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1.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726"/>
  <workbookPr codeName="ThisWorkbook" defaultThemeVersion="124226"/>
  <mc:AlternateContent xmlns:mc="http://schemas.openxmlformats.org/markup-compatibility/2006">
    <mc:Choice Requires="x15">
      <x15ac:absPath xmlns:x15ac="http://schemas.microsoft.com/office/spreadsheetml/2010/11/ac" url="G:\高鹏\项目\北保——询价待补函\北保-通州工业地\测算\"/>
    </mc:Choice>
  </mc:AlternateContent>
  <xr:revisionPtr revIDLastSave="0" documentId="13_ncr:1_{CA149952-08B1-4C50-BD38-3127B2F79BEB}" xr6:coauthVersionLast="47" xr6:coauthVersionMax="47" xr10:uidLastSave="{00000000-0000-0000-0000-000000000000}"/>
  <bookViews>
    <workbookView xWindow="-120" yWindow="-120" windowWidth="19440" windowHeight="15000" tabRatio="875" firstSheet="13" activeTab="29" xr2:uid="{00000000-000D-0000-FFFF-FFFF0000000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常用公式" sheetId="69" r:id="rId10"/>
    <sheet name="项目基本情况" sheetId="4" r:id="rId11"/>
    <sheet name="数据-基础表" sheetId="3" r:id="rId12"/>
    <sheet name="数据-汇总表" sheetId="6" r:id="rId13"/>
    <sheet name="数据-取费表" sheetId="1" r:id="rId14"/>
    <sheet name="估价对象房地状况" sheetId="20" r:id="rId15"/>
    <sheet name="系统读取表" sheetId="66" r:id="rId16"/>
    <sheet name="结果表" sheetId="9" r:id="rId17"/>
    <sheet name="比较法-住宅、综合" sheetId="39" state="hidden" r:id="rId18"/>
    <sheet name="基准地价" sheetId="46" r:id="rId19"/>
    <sheet name="修正" sheetId="49" state="hidden" r:id="rId20"/>
    <sheet name="区片价" sheetId="48" state="hidden" r:id="rId21"/>
    <sheet name="区片价-范围" sheetId="71" state="hidden" r:id="rId22"/>
    <sheet name="容积率修正" sheetId="45" state="hidden" r:id="rId23"/>
    <sheet name="因素修正幅度" sheetId="56" state="hidden" r:id="rId24"/>
    <sheet name="地价" sheetId="59" state="hidden" r:id="rId25"/>
    <sheet name="地价-分区" sheetId="70" r:id="rId26"/>
    <sheet name="基准地价（汇总）" sheetId="67" state="hidden" r:id="rId27"/>
    <sheet name="收益还原法" sheetId="44" state="hidden" r:id="rId28"/>
    <sheet name="成本逼近法" sheetId="11" r:id="rId29"/>
    <sheet name="比较法-工业" sheetId="40" r:id="rId30"/>
    <sheet name="土地成本" sheetId="73" r:id="rId31"/>
    <sheet name="收储案例" sheetId="74" r:id="rId32"/>
    <sheet name="不动产收益法-酒店模型" sheetId="68" state="hidden" r:id="rId33"/>
    <sheet name="不动产比较法-住宅" sheetId="21" state="hidden" r:id="rId34"/>
    <sheet name="不动产比较法-商业" sheetId="33" state="hidden" r:id="rId35"/>
    <sheet name="不动产比较法-办公" sheetId="34" state="hidden" r:id="rId36"/>
    <sheet name="不动产比较法-工业" sheetId="37" state="hidden" r:id="rId37"/>
    <sheet name="不动产比较法-车位" sheetId="35" state="hidden" r:id="rId38"/>
    <sheet name="不动产比较法-仓储" sheetId="36" state="hidden" r:id="rId39"/>
    <sheet name="典型户型修正" sheetId="31" state="hidden" r:id="rId40"/>
    <sheet name="存贷款利率" sheetId="65" r:id="rId41"/>
    <sheet name="剩余法-现房" sheetId="43" r:id="rId42"/>
    <sheet name="剩余法-待开发" sheetId="12" r:id="rId43"/>
    <sheet name="不动产收益法" sheetId="15" r:id="rId44"/>
    <sheet name="案例" sheetId="72" r:id="rId45"/>
  </sheets>
  <externalReferences>
    <externalReference r:id="rId46"/>
    <externalReference r:id="rId47"/>
  </externalReferences>
  <definedNames>
    <definedName name="_xlnm._FilterDatabase" localSheetId="29" hidden="1">'比较法-工业'!$A$1:$L$45</definedName>
    <definedName name="_xlnm._FilterDatabase" localSheetId="17"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33"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29">'比较法-工业'!$A$1:$K$62,'比较法-工业'!$A$65:$N$122</definedName>
    <definedName name="_xlnm.Print_Area" localSheetId="17">'比较法-住宅、综合'!$A$1:$K$66,'比较法-住宅、综合'!$A$70:$N$133</definedName>
    <definedName name="_xlnm.Print_Area" localSheetId="35">'不动产比较法-办公'!$A$1:$K$55,'不动产比较法-办公'!$A$58:$M$132</definedName>
    <definedName name="_xlnm.Print_Area" localSheetId="38">'不动产比较法-仓储'!$A$1:$K$42,'不动产比较法-仓储'!$A$45:$M$96</definedName>
    <definedName name="_xlnm.Print_Area" localSheetId="37">'不动产比较法-车位'!$A$1:$K$44,'不动产比较法-车位'!$A$47:$M$102</definedName>
    <definedName name="_xlnm.Print_Area" localSheetId="36">'不动产比较法-工业'!$A$1:$K$48,'不动产比较法-工业'!$A$51:$M$113</definedName>
    <definedName name="_xlnm.Print_Area" localSheetId="34">'不动产比较法-商业'!$A$1:$K$54,'不动产比较法-商业'!$A$57:$M$131</definedName>
    <definedName name="_xlnm.Print_Area" localSheetId="33">'不动产比较法-住宅'!$A$1:$K$54,'不动产比较法-住宅'!$A$57:$M$131</definedName>
    <definedName name="_xlnm.Print_Area" localSheetId="43">不动产收益法!$A$1:$F$43,不动产收益法!$H$3:$M$29,不动产收益法!$A$46:$F$70,不动产收益法!$I$46:$M$60</definedName>
    <definedName name="_xlnm.Print_Area" localSheetId="28">成本逼近法!$A$1:$G$23</definedName>
    <definedName name="_xlnm.Print_Area" localSheetId="14">估价对象房地状况!$A$1:$G$24</definedName>
    <definedName name="_xlnm.Print_Area" localSheetId="7">估价师及机构信息!$A$1:$F$23</definedName>
    <definedName name="_xlnm.Print_Area" localSheetId="18">基准地价!$A$1:$J$44,基准地价!$A$47:$N$103,基准地价!$R$1:$V$16</definedName>
    <definedName name="_xlnm.Print_Area" localSheetId="26">'基准地价（汇总）'!$A$1:$F$14</definedName>
    <definedName name="_xlnm.Print_Area" localSheetId="16">结果表!$A$1:$I$46,结果表!$K$25:$O$44,结果表!$A$62:$I$115,结果表!$K$64:$P$81</definedName>
    <definedName name="_xlnm.Print_Area" localSheetId="42">'剩余法-待开发'!$A$1:$K$36</definedName>
    <definedName name="_xlnm.Print_Area" localSheetId="41">'剩余法-现房'!$A$1:$K$27</definedName>
    <definedName name="_xlnm.Print_Area" localSheetId="27">收益还原法!$A$1:$F$46,收益还原法!$H$3:$M$31,收益还原法!$I$47:$M$61</definedName>
    <definedName name="_xlnm.Print_Area" localSheetId="12">'数据-汇总表'!$A$1:$P$32</definedName>
    <definedName name="_xlnm.Print_Area" localSheetId="15">系统读取表!$A$1:$J$26</definedName>
    <definedName name="_xlnm.Print_Area" localSheetId="10">项目基本情况!$A$1:$J$44</definedName>
    <definedName name="八级">区片价!$Q$1:$Q$44</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修正!$C$19:$C$51</definedName>
    <definedName name="法定最高年限">定义!$G$2:$G$5</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32">'[1]数据-汇总表'!$C$17:$C$26</definedName>
    <definedName name="项目类型">'数据-汇总表'!$C$17:$C$26</definedName>
    <definedName name="写字楼等级">'不动产比较法-办公'!$B$113:$M$113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定义!$F$1:$F$12</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81029" iterate="1"/>
</workbook>
</file>

<file path=xl/calcChain.xml><?xml version="1.0" encoding="utf-8"?>
<calcChain xmlns="http://schemas.openxmlformats.org/spreadsheetml/2006/main">
  <c r="J36" i="40" l="1"/>
  <c r="H36" i="40"/>
  <c r="F36" i="40"/>
  <c r="E110" i="40"/>
  <c r="F110" i="40" s="1"/>
  <c r="G110" i="40" s="1"/>
  <c r="H110" i="40" s="1"/>
  <c r="I110" i="40" s="1"/>
  <c r="D110" i="40"/>
  <c r="I36" i="40"/>
  <c r="G36" i="40"/>
  <c r="E36" i="40"/>
  <c r="I43" i="40"/>
  <c r="G43" i="40"/>
  <c r="I9" i="40"/>
  <c r="G9" i="40"/>
  <c r="I7" i="40"/>
  <c r="G7" i="40"/>
  <c r="J18" i="73"/>
  <c r="J17" i="73"/>
  <c r="E43" i="40" l="1"/>
  <c r="D8" i="11"/>
  <c r="W66" i="40"/>
  <c r="X66" i="40"/>
  <c r="Y66" i="40"/>
  <c r="Z66" i="40"/>
  <c r="AA66" i="40"/>
  <c r="AB66" i="40"/>
  <c r="AC66" i="40"/>
  <c r="AD66" i="40"/>
  <c r="AE66" i="40"/>
  <c r="AF66" i="40"/>
  <c r="AG66" i="40"/>
  <c r="AH66" i="40"/>
  <c r="AI66" i="40"/>
  <c r="AJ66" i="40"/>
  <c r="AK66" i="40"/>
  <c r="AL66" i="40"/>
  <c r="AM66" i="40"/>
  <c r="AN66" i="40"/>
  <c r="AO66" i="40"/>
  <c r="AP66" i="40"/>
  <c r="AQ66" i="40"/>
  <c r="AR66" i="40"/>
  <c r="AS66" i="40"/>
  <c r="AT66" i="40"/>
  <c r="AU66" i="40"/>
  <c r="AV66" i="40"/>
  <c r="AW66" i="40"/>
  <c r="AX66" i="40"/>
  <c r="AY66" i="40"/>
  <c r="AZ66" i="40"/>
  <c r="BA66" i="40"/>
  <c r="BB66" i="40"/>
  <c r="BC66" i="40"/>
  <c r="BD66" i="40"/>
  <c r="BE66" i="40"/>
  <c r="BF66" i="40"/>
  <c r="W67" i="40"/>
  <c r="X67" i="40"/>
  <c r="Y67" i="40" s="1"/>
  <c r="Z67" i="40" s="1"/>
  <c r="AA67" i="40" s="1"/>
  <c r="AB67" i="40" s="1"/>
  <c r="AC67" i="40" s="1"/>
  <c r="AD67" i="40" s="1"/>
  <c r="AE67" i="40" s="1"/>
  <c r="AF67" i="40" s="1"/>
  <c r="AG67" i="40" s="1"/>
  <c r="AH67" i="40" s="1"/>
  <c r="AI67" i="40" s="1"/>
  <c r="AJ67" i="40" s="1"/>
  <c r="AK67" i="40" s="1"/>
  <c r="AL67" i="40" s="1"/>
  <c r="AM67" i="40" s="1"/>
  <c r="AN67" i="40" s="1"/>
  <c r="AO67" i="40" s="1"/>
  <c r="AP67" i="40" s="1"/>
  <c r="AQ67" i="40" s="1"/>
  <c r="AR67" i="40" s="1"/>
  <c r="AS67" i="40" s="1"/>
  <c r="AT67" i="40" s="1"/>
  <c r="AU67" i="40" s="1"/>
  <c r="AV67" i="40" s="1"/>
  <c r="AW67" i="40" s="1"/>
  <c r="AX67" i="40" s="1"/>
  <c r="AY67" i="40" s="1"/>
  <c r="AZ67" i="40" s="1"/>
  <c r="BA67" i="40" s="1"/>
  <c r="BB67" i="40" s="1"/>
  <c r="BC67" i="40" s="1"/>
  <c r="BD67" i="40" s="1"/>
  <c r="BE67" i="40" s="1"/>
  <c r="BF67" i="40" s="1"/>
  <c r="W64" i="40"/>
  <c r="X64" i="40" s="1"/>
  <c r="Y64" i="40" s="1"/>
  <c r="Z64" i="40" s="1"/>
  <c r="AA64" i="40" s="1"/>
  <c r="AB64" i="40" s="1"/>
  <c r="AC64" i="40" s="1"/>
  <c r="AD64" i="40" s="1"/>
  <c r="AE64" i="40" s="1"/>
  <c r="AF64" i="40" s="1"/>
  <c r="AG64" i="40" s="1"/>
  <c r="AH64" i="40" s="1"/>
  <c r="AI64" i="40" s="1"/>
  <c r="AJ64" i="40" s="1"/>
  <c r="AK64" i="40" s="1"/>
  <c r="AL64" i="40" s="1"/>
  <c r="AM64" i="40" s="1"/>
  <c r="AN64" i="40" s="1"/>
  <c r="AO64" i="40" s="1"/>
  <c r="AP64" i="40" s="1"/>
  <c r="AQ64" i="40" s="1"/>
  <c r="AR64" i="40" s="1"/>
  <c r="AS64" i="40" s="1"/>
  <c r="AT64" i="40" s="1"/>
  <c r="AU64" i="40" s="1"/>
  <c r="AV64" i="40" s="1"/>
  <c r="AW64" i="40" s="1"/>
  <c r="AX64" i="40" s="1"/>
  <c r="AY64" i="40" s="1"/>
  <c r="AZ64" i="40" s="1"/>
  <c r="BA64" i="40" s="1"/>
  <c r="BB64" i="40" s="1"/>
  <c r="BC64" i="40" s="1"/>
  <c r="BD64" i="40" s="1"/>
  <c r="BE64" i="40" s="1"/>
  <c r="BF64" i="40" s="1"/>
  <c r="N67" i="40"/>
  <c r="O67" i="40" s="1"/>
  <c r="P67" i="40" s="1"/>
  <c r="Q67" i="40" s="1"/>
  <c r="R67" i="40" s="1"/>
  <c r="S67" i="40" s="1"/>
  <c r="T67" i="40" s="1"/>
  <c r="U67" i="40" s="1"/>
  <c r="V67" i="40" s="1"/>
  <c r="O66" i="40"/>
  <c r="P66" i="40"/>
  <c r="Q66" i="40"/>
  <c r="R66" i="40"/>
  <c r="S66" i="40"/>
  <c r="T66" i="40"/>
  <c r="U66" i="40"/>
  <c r="V66" i="40"/>
  <c r="O64" i="40"/>
  <c r="P64" i="40" s="1"/>
  <c r="Q64" i="40" s="1"/>
  <c r="R64" i="40" s="1"/>
  <c r="S64" i="40" s="1"/>
  <c r="T64" i="40" s="1"/>
  <c r="U64" i="40" s="1"/>
  <c r="V64" i="40" s="1"/>
  <c r="N66" i="40"/>
  <c r="C36" i="40"/>
  <c r="E7" i="40"/>
  <c r="J12" i="40"/>
  <c r="H12" i="40"/>
  <c r="Y6" i="1" l="1"/>
  <c r="F22" i="43"/>
  <c r="J52" i="15" l="1"/>
  <c r="N22" i="1"/>
  <c r="N21" i="1"/>
  <c r="G1" i="15"/>
  <c r="I13" i="3" l="1"/>
  <c r="D5" i="9"/>
  <c r="E67" i="40"/>
  <c r="F67" i="40"/>
  <c r="G67" i="40" s="1"/>
  <c r="H67" i="40" s="1"/>
  <c r="I67" i="40" s="1"/>
  <c r="J67" i="40" s="1"/>
  <c r="K67" i="40" s="1"/>
  <c r="L67" i="40" s="1"/>
  <c r="M67" i="40" s="1"/>
  <c r="D67" i="40"/>
  <c r="AI5" i="72"/>
  <c r="AH5" i="72"/>
  <c r="F1" i="46" l="1"/>
  <c r="F19" i="6" l="1"/>
  <c r="D3" i="4"/>
  <c r="AB28" i="70"/>
  <c r="AA28" i="70"/>
  <c r="Z28" i="70"/>
  <c r="N28" i="70"/>
  <c r="M28" i="70"/>
  <c r="P28" i="70" s="1"/>
  <c r="L28" i="70"/>
  <c r="I28" i="70"/>
  <c r="AD28" i="70" s="1"/>
  <c r="AC5" i="70"/>
  <c r="AB5" i="70"/>
  <c r="AA5" i="70"/>
  <c r="AD5" i="70" s="1"/>
  <c r="Z5" i="70"/>
  <c r="Y5" i="70"/>
  <c r="O5" i="70"/>
  <c r="N5" i="70"/>
  <c r="M5" i="70"/>
  <c r="P5" i="70" s="1"/>
  <c r="L5" i="70"/>
  <c r="K5" i="70"/>
  <c r="I5" i="70"/>
  <c r="AB30" i="70" l="1"/>
  <c r="AA30" i="70"/>
  <c r="Z30" i="70"/>
  <c r="N30" i="70"/>
  <c r="M30" i="70"/>
  <c r="L30" i="70"/>
  <c r="I30" i="70"/>
  <c r="AB31" i="70"/>
  <c r="AA31" i="70"/>
  <c r="Z31" i="70"/>
  <c r="N31" i="70"/>
  <c r="M31" i="70"/>
  <c r="L31" i="70"/>
  <c r="I31" i="70"/>
  <c r="AC7" i="70"/>
  <c r="AB7" i="70"/>
  <c r="AA7" i="70"/>
  <c r="AD7" i="70" s="1"/>
  <c r="Z7" i="70"/>
  <c r="Y7" i="70"/>
  <c r="O7" i="70"/>
  <c r="N7" i="70"/>
  <c r="M7" i="70"/>
  <c r="P7" i="70" s="1"/>
  <c r="L7" i="70"/>
  <c r="K7" i="70"/>
  <c r="I7" i="70"/>
  <c r="AC8" i="70"/>
  <c r="AB8" i="70"/>
  <c r="AA8" i="70"/>
  <c r="AD8" i="70" s="1"/>
  <c r="Z8" i="70"/>
  <c r="Y8" i="70"/>
  <c r="O8" i="70"/>
  <c r="N8" i="70"/>
  <c r="M8" i="70"/>
  <c r="P8" i="70" s="1"/>
  <c r="L8" i="70"/>
  <c r="K8" i="70"/>
  <c r="I8" i="70"/>
  <c r="P30" i="70" l="1"/>
  <c r="P31" i="70"/>
  <c r="G14" i="65"/>
  <c r="F14" i="65"/>
  <c r="E14" i="65"/>
  <c r="Z32" i="70" l="1"/>
  <c r="AA32" i="70"/>
  <c r="AB32" i="70"/>
  <c r="Z33" i="70"/>
  <c r="AA33" i="70"/>
  <c r="AB33" i="70"/>
  <c r="Z34" i="70"/>
  <c r="AA34" i="70"/>
  <c r="AB34" i="70"/>
  <c r="Y9" i="70"/>
  <c r="Z9" i="70"/>
  <c r="AA9" i="70"/>
  <c r="AD9" i="70" s="1"/>
  <c r="AB9" i="70"/>
  <c r="AC9" i="70"/>
  <c r="Y10" i="70"/>
  <c r="Z10" i="70"/>
  <c r="AA10" i="70"/>
  <c r="AD10" i="70" s="1"/>
  <c r="AB10" i="70"/>
  <c r="AC10" i="70"/>
  <c r="Y11" i="70"/>
  <c r="Z11" i="70"/>
  <c r="AA11" i="70"/>
  <c r="AD11" i="70" s="1"/>
  <c r="AB11" i="70"/>
  <c r="AC11" i="70"/>
  <c r="L32" i="70"/>
  <c r="M32" i="70"/>
  <c r="P32" i="70" s="1"/>
  <c r="N32" i="70"/>
  <c r="L33" i="70"/>
  <c r="M33" i="70"/>
  <c r="P33" i="70" s="1"/>
  <c r="N33" i="70"/>
  <c r="L34" i="70"/>
  <c r="M34" i="70"/>
  <c r="N34" i="70"/>
  <c r="K9" i="70"/>
  <c r="L9" i="70"/>
  <c r="M9" i="70"/>
  <c r="P9" i="70" s="1"/>
  <c r="N9" i="70"/>
  <c r="O9" i="70"/>
  <c r="K10" i="70"/>
  <c r="L10" i="70"/>
  <c r="M10" i="70"/>
  <c r="P10" i="70" s="1"/>
  <c r="N10" i="70"/>
  <c r="O10" i="70"/>
  <c r="K11" i="70"/>
  <c r="L11" i="70"/>
  <c r="M11" i="70"/>
  <c r="P11" i="70" s="1"/>
  <c r="N11" i="70"/>
  <c r="O11" i="70"/>
  <c r="I32" i="70"/>
  <c r="I33" i="70"/>
  <c r="I34" i="70"/>
  <c r="I9" i="70"/>
  <c r="I10" i="70"/>
  <c r="I11" i="70"/>
  <c r="P34" i="70" l="1"/>
  <c r="B3" i="69" l="1"/>
  <c r="C7" i="69" s="1"/>
  <c r="C5" i="69" l="1"/>
  <c r="C6" i="69"/>
  <c r="C13" i="46" l="1"/>
  <c r="M96" i="46"/>
  <c r="N96" i="46" s="1"/>
  <c r="M101" i="46"/>
  <c r="N101" i="46" s="1"/>
  <c r="K101" i="46"/>
  <c r="J101" i="46" s="1"/>
  <c r="M100" i="46"/>
  <c r="N100" i="46" s="1"/>
  <c r="K100" i="46"/>
  <c r="J100" i="46" s="1"/>
  <c r="M99" i="46"/>
  <c r="N99" i="46" s="1"/>
  <c r="K99" i="46"/>
  <c r="J99" i="46" s="1"/>
  <c r="M98" i="46"/>
  <c r="N98" i="46" s="1"/>
  <c r="K98" i="46"/>
  <c r="J98" i="46" s="1"/>
  <c r="M97" i="46"/>
  <c r="N97" i="46" s="1"/>
  <c r="K97" i="46"/>
  <c r="J97" i="46" s="1"/>
  <c r="K96" i="46"/>
  <c r="J96" i="46" s="1"/>
  <c r="M95" i="46"/>
  <c r="N95" i="46" s="1"/>
  <c r="K95" i="46"/>
  <c r="J95" i="46" s="1"/>
  <c r="M94" i="46"/>
  <c r="N94" i="46" s="1"/>
  <c r="K94" i="46"/>
  <c r="J94" i="46" s="1"/>
  <c r="M93" i="46"/>
  <c r="N93" i="46" s="1"/>
  <c r="K93" i="46"/>
  <c r="J93" i="46" s="1"/>
  <c r="D93" i="46"/>
  <c r="B97" i="46"/>
  <c r="B95" i="46"/>
  <c r="Y10" i="46"/>
  <c r="J24" i="46"/>
  <c r="G24" i="46"/>
  <c r="E24" i="46"/>
  <c r="Q32" i="46" s="1"/>
  <c r="I23" i="46"/>
  <c r="C22" i="46"/>
  <c r="G17" i="46"/>
  <c r="I2" i="46"/>
  <c r="G2" i="46"/>
  <c r="M1" i="46" l="1"/>
  <c r="M5" i="46"/>
  <c r="M2" i="46"/>
  <c r="S5" i="46"/>
  <c r="S3" i="46"/>
  <c r="S6" i="46"/>
  <c r="S4" i="46"/>
  <c r="S2" i="46"/>
  <c r="D21" i="46"/>
  <c r="C27" i="46"/>
  <c r="D101" i="46"/>
  <c r="D99" i="46"/>
  <c r="D97" i="46"/>
  <c r="D95" i="46"/>
  <c r="D100" i="46"/>
  <c r="D98" i="46"/>
  <c r="D96" i="46"/>
  <c r="D94" i="46"/>
  <c r="N1" i="46"/>
  <c r="M3" i="46"/>
  <c r="M4" i="46"/>
  <c r="M6" i="46"/>
  <c r="M7" i="46"/>
  <c r="M8" i="46"/>
  <c r="M9" i="46"/>
  <c r="M10" i="46"/>
  <c r="M11" i="46"/>
  <c r="M12" i="46"/>
  <c r="N2" i="46"/>
  <c r="N3" i="46"/>
  <c r="N4" i="46"/>
  <c r="N5" i="46"/>
  <c r="F93" i="46" s="1"/>
  <c r="N6" i="46"/>
  <c r="N7" i="46"/>
  <c r="N8" i="46"/>
  <c r="N9" i="46"/>
  <c r="N10" i="46"/>
  <c r="N11" i="46"/>
  <c r="N12" i="46"/>
  <c r="C21" i="46"/>
  <c r="E93" i="46" l="1"/>
  <c r="B91" i="46" s="1"/>
  <c r="H93" i="46"/>
  <c r="H95" i="46"/>
  <c r="H97" i="46"/>
  <c r="H99" i="46"/>
  <c r="H101" i="46"/>
  <c r="H94" i="46"/>
  <c r="H96" i="46"/>
  <c r="H98" i="46"/>
  <c r="H100" i="46"/>
  <c r="I16" i="48" l="1"/>
  <c r="I15" i="48"/>
  <c r="I14" i="48"/>
  <c r="I13" i="48"/>
  <c r="I12" i="48"/>
  <c r="I11" i="48"/>
  <c r="I10" i="48"/>
  <c r="I9" i="48"/>
  <c r="I8" i="48"/>
  <c r="I7" i="48"/>
  <c r="I6" i="48"/>
  <c r="AB42" i="70"/>
  <c r="AA42" i="70"/>
  <c r="Z42" i="70"/>
  <c r="AB41" i="70"/>
  <c r="AA41" i="70"/>
  <c r="Z41" i="70"/>
  <c r="AB40" i="70"/>
  <c r="AA40" i="70"/>
  <c r="Z40" i="70"/>
  <c r="AB39" i="70"/>
  <c r="AA39" i="70"/>
  <c r="Z39" i="70"/>
  <c r="AB38" i="70"/>
  <c r="AA38" i="70"/>
  <c r="Z38" i="70"/>
  <c r="AB37" i="70"/>
  <c r="AA37" i="70"/>
  <c r="Z37" i="70"/>
  <c r="AB36" i="70"/>
  <c r="AA36" i="70"/>
  <c r="Z36" i="70"/>
  <c r="AB35" i="70"/>
  <c r="AA35" i="70"/>
  <c r="Z35" i="70"/>
  <c r="AB29" i="70"/>
  <c r="AA29" i="70"/>
  <c r="Z29" i="70"/>
  <c r="AD19" i="70"/>
  <c r="AC19" i="70"/>
  <c r="AB19" i="70"/>
  <c r="AA19" i="70"/>
  <c r="Z19" i="70"/>
  <c r="Y19" i="70"/>
  <c r="AC18" i="70"/>
  <c r="AB18" i="70"/>
  <c r="AA18" i="70"/>
  <c r="AD18" i="70" s="1"/>
  <c r="Z18" i="70"/>
  <c r="Y18" i="70"/>
  <c r="AC17" i="70"/>
  <c r="AB17" i="70"/>
  <c r="AA17" i="70"/>
  <c r="AD17" i="70" s="1"/>
  <c r="Z17" i="70"/>
  <c r="Y17" i="70"/>
  <c r="AC16" i="70"/>
  <c r="AB16" i="70"/>
  <c r="AA16" i="70"/>
  <c r="AD16" i="70" s="1"/>
  <c r="Z16" i="70"/>
  <c r="Y16" i="70"/>
  <c r="AC15" i="70"/>
  <c r="AB15" i="70"/>
  <c r="AA15" i="70"/>
  <c r="AD15" i="70" s="1"/>
  <c r="Z15" i="70"/>
  <c r="Y15" i="70"/>
  <c r="AC14" i="70"/>
  <c r="AB14" i="70"/>
  <c r="AA14" i="70"/>
  <c r="AD14" i="70" s="1"/>
  <c r="Z14" i="70"/>
  <c r="Y14" i="70"/>
  <c r="AC13" i="70"/>
  <c r="AB13" i="70"/>
  <c r="AA13" i="70"/>
  <c r="AD13" i="70" s="1"/>
  <c r="Z13" i="70"/>
  <c r="Y13" i="70"/>
  <c r="AC12" i="70"/>
  <c r="AB12" i="70"/>
  <c r="AB3" i="70" s="1"/>
  <c r="AA12" i="70"/>
  <c r="AD12" i="70" s="1"/>
  <c r="Z12" i="70"/>
  <c r="Y12" i="70"/>
  <c r="AC6" i="70"/>
  <c r="AB6" i="70"/>
  <c r="AA6" i="70"/>
  <c r="AD6" i="70" s="1"/>
  <c r="Z6" i="70"/>
  <c r="Y6" i="70"/>
  <c r="W42" i="70"/>
  <c r="W19" i="70"/>
  <c r="N42" i="70"/>
  <c r="M42" i="70"/>
  <c r="P42" i="70" s="1"/>
  <c r="L42" i="70"/>
  <c r="I42" i="70"/>
  <c r="AD42" i="70" s="1"/>
  <c r="N41" i="70"/>
  <c r="U41" i="70" s="1"/>
  <c r="M41" i="70"/>
  <c r="P41" i="70" s="1"/>
  <c r="L41" i="70"/>
  <c r="S41" i="70" s="1"/>
  <c r="I41" i="70"/>
  <c r="AD41" i="70" s="1"/>
  <c r="N40" i="70"/>
  <c r="U40" i="70" s="1"/>
  <c r="M40" i="70"/>
  <c r="P40" i="70" s="1"/>
  <c r="L40" i="70"/>
  <c r="S40" i="70" s="1"/>
  <c r="I40" i="70"/>
  <c r="AD40" i="70" s="1"/>
  <c r="N39" i="70"/>
  <c r="U39" i="70" s="1"/>
  <c r="M39" i="70"/>
  <c r="P39" i="70" s="1"/>
  <c r="L39" i="70"/>
  <c r="S39" i="70" s="1"/>
  <c r="I39" i="70"/>
  <c r="AD39" i="70" s="1"/>
  <c r="N38" i="70"/>
  <c r="U38" i="70" s="1"/>
  <c r="M38" i="70"/>
  <c r="P38" i="70" s="1"/>
  <c r="L38" i="70"/>
  <c r="S38" i="70" s="1"/>
  <c r="I38" i="70"/>
  <c r="AD38" i="70" s="1"/>
  <c r="N37" i="70"/>
  <c r="U37" i="70" s="1"/>
  <c r="M37" i="70"/>
  <c r="P37" i="70" s="1"/>
  <c r="L37" i="70"/>
  <c r="S37" i="70" s="1"/>
  <c r="I37" i="70"/>
  <c r="AD37" i="70" s="1"/>
  <c r="N36" i="70"/>
  <c r="M36" i="70"/>
  <c r="P36" i="70" s="1"/>
  <c r="L36" i="70"/>
  <c r="S36" i="70" s="1"/>
  <c r="I36" i="70"/>
  <c r="AD36" i="70" s="1"/>
  <c r="N35" i="70"/>
  <c r="M35" i="70"/>
  <c r="L35" i="70"/>
  <c r="I35" i="70"/>
  <c r="AD30" i="70" s="1"/>
  <c r="N29" i="70"/>
  <c r="U28" i="70" s="1"/>
  <c r="M29" i="70"/>
  <c r="L29" i="70"/>
  <c r="S28" i="70" s="1"/>
  <c r="I29" i="70"/>
  <c r="AD29" i="70" s="1"/>
  <c r="N26" i="70"/>
  <c r="M26" i="70"/>
  <c r="P26" i="70" s="1"/>
  <c r="L26" i="70"/>
  <c r="G26" i="70"/>
  <c r="F26" i="70"/>
  <c r="I26" i="70" s="1"/>
  <c r="E26" i="70"/>
  <c r="O19" i="70"/>
  <c r="N19" i="70"/>
  <c r="M19" i="70"/>
  <c r="P19" i="70" s="1"/>
  <c r="L19" i="70"/>
  <c r="K19" i="70"/>
  <c r="I19" i="70"/>
  <c r="O18" i="70"/>
  <c r="V18" i="70" s="1"/>
  <c r="N18" i="70"/>
  <c r="U18" i="70" s="1"/>
  <c r="M18" i="70"/>
  <c r="T18" i="70" s="1"/>
  <c r="W18" i="70" s="1"/>
  <c r="L18" i="70"/>
  <c r="S18" i="70" s="1"/>
  <c r="K18" i="70"/>
  <c r="R18" i="70" s="1"/>
  <c r="I18" i="70"/>
  <c r="O17" i="70"/>
  <c r="N17" i="70"/>
  <c r="U17" i="70" s="1"/>
  <c r="M17" i="70"/>
  <c r="P17" i="70" s="1"/>
  <c r="L17" i="70"/>
  <c r="K17" i="70"/>
  <c r="I17" i="70"/>
  <c r="O16" i="70"/>
  <c r="V16" i="70" s="1"/>
  <c r="N16" i="70"/>
  <c r="M16" i="70"/>
  <c r="L16" i="70"/>
  <c r="S16" i="70" s="1"/>
  <c r="K16" i="70"/>
  <c r="R16" i="70" s="1"/>
  <c r="I16" i="70"/>
  <c r="O15" i="70"/>
  <c r="N15" i="70"/>
  <c r="U15" i="70" s="1"/>
  <c r="M15" i="70"/>
  <c r="P15" i="70" s="1"/>
  <c r="L15" i="70"/>
  <c r="K15" i="70"/>
  <c r="I15" i="70"/>
  <c r="O14" i="70"/>
  <c r="N14" i="70"/>
  <c r="M14" i="70"/>
  <c r="P14" i="70" s="1"/>
  <c r="L14" i="70"/>
  <c r="K14" i="70"/>
  <c r="I14" i="70"/>
  <c r="O13" i="70"/>
  <c r="N13" i="70"/>
  <c r="M13" i="70"/>
  <c r="P13" i="70" s="1"/>
  <c r="L13" i="70"/>
  <c r="K13" i="70"/>
  <c r="I13" i="70"/>
  <c r="O12" i="70"/>
  <c r="N12" i="70"/>
  <c r="M12" i="70"/>
  <c r="L12" i="70"/>
  <c r="K12" i="70"/>
  <c r="I12" i="70"/>
  <c r="O6" i="70"/>
  <c r="N6" i="70"/>
  <c r="U5" i="70" s="1"/>
  <c r="M6" i="70"/>
  <c r="L6" i="70"/>
  <c r="K6" i="70"/>
  <c r="I6" i="70"/>
  <c r="H3" i="70"/>
  <c r="G3" i="70"/>
  <c r="F3" i="70"/>
  <c r="I3" i="70" s="1"/>
  <c r="E3" i="70"/>
  <c r="D3" i="70"/>
  <c r="N370" i="45"/>
  <c r="N94" i="45"/>
  <c r="H73" i="49"/>
  <c r="M17" i="49"/>
  <c r="L17" i="49"/>
  <c r="K17" i="49"/>
  <c r="J17" i="49"/>
  <c r="I17" i="49"/>
  <c r="H17" i="49"/>
  <c r="G17" i="49"/>
  <c r="F17" i="49"/>
  <c r="E17" i="49"/>
  <c r="D17" i="49"/>
  <c r="C17" i="49"/>
  <c r="B17" i="49"/>
  <c r="E21" i="46" s="1"/>
  <c r="F13" i="1"/>
  <c r="D13" i="1"/>
  <c r="D12" i="1"/>
  <c r="D11" i="1"/>
  <c r="D10" i="1"/>
  <c r="D9" i="1"/>
  <c r="D8" i="1"/>
  <c r="D7" i="1"/>
  <c r="D6" i="1"/>
  <c r="C19" i="4"/>
  <c r="D19" i="4"/>
  <c r="F7" i="1" s="1"/>
  <c r="Z3" i="70" l="1"/>
  <c r="R5" i="70"/>
  <c r="V15" i="70"/>
  <c r="V17" i="70"/>
  <c r="S17" i="70"/>
  <c r="P29" i="70"/>
  <c r="T28" i="70"/>
  <c r="W28" i="70" s="1"/>
  <c r="P6" i="70"/>
  <c r="T5" i="70"/>
  <c r="W5" i="70" s="1"/>
  <c r="V5" i="70"/>
  <c r="S5" i="70"/>
  <c r="O3" i="70"/>
  <c r="R17" i="70"/>
  <c r="R15" i="70"/>
  <c r="T16" i="70"/>
  <c r="W16" i="70" s="1"/>
  <c r="K3" i="70"/>
  <c r="S15" i="70"/>
  <c r="U16" i="70"/>
  <c r="S31" i="70"/>
  <c r="S30" i="70"/>
  <c r="U31" i="70"/>
  <c r="U30" i="70"/>
  <c r="T31" i="70"/>
  <c r="W31" i="70" s="1"/>
  <c r="T30" i="70"/>
  <c r="W30" i="70" s="1"/>
  <c r="P18" i="70"/>
  <c r="AD35" i="70"/>
  <c r="AD32" i="70"/>
  <c r="AD33" i="70"/>
  <c r="AD34" i="70"/>
  <c r="AD31" i="70"/>
  <c r="S8" i="70"/>
  <c r="S7" i="70"/>
  <c r="U8" i="70"/>
  <c r="U7" i="70"/>
  <c r="R8" i="70"/>
  <c r="R7" i="70"/>
  <c r="T8" i="70"/>
  <c r="W8" i="70" s="1"/>
  <c r="T7" i="70"/>
  <c r="W7" i="70" s="1"/>
  <c r="V8" i="70"/>
  <c r="V7" i="70"/>
  <c r="S32" i="70"/>
  <c r="S33" i="70"/>
  <c r="S34" i="70"/>
  <c r="U34" i="70"/>
  <c r="U32" i="70"/>
  <c r="U33" i="70"/>
  <c r="P35" i="70"/>
  <c r="T33" i="70"/>
  <c r="W33" i="70" s="1"/>
  <c r="T34" i="70"/>
  <c r="W34" i="70" s="1"/>
  <c r="T32" i="70"/>
  <c r="W32" i="70" s="1"/>
  <c r="R10" i="70"/>
  <c r="R9" i="70"/>
  <c r="R11" i="70"/>
  <c r="R6" i="70"/>
  <c r="V10" i="70"/>
  <c r="V11" i="70"/>
  <c r="V9" i="70"/>
  <c r="V6" i="70"/>
  <c r="S11" i="70"/>
  <c r="S10" i="70"/>
  <c r="S9" i="70"/>
  <c r="S6" i="70"/>
  <c r="U10" i="70"/>
  <c r="U9" i="70"/>
  <c r="U11" i="70"/>
  <c r="U6" i="70"/>
  <c r="P12" i="70"/>
  <c r="T6" i="70"/>
  <c r="W6" i="70" s="1"/>
  <c r="T9" i="70"/>
  <c r="W9" i="70" s="1"/>
  <c r="T10" i="70"/>
  <c r="W10" i="70" s="1"/>
  <c r="T11" i="70"/>
  <c r="W11" i="70" s="1"/>
  <c r="AB26" i="70"/>
  <c r="T26" i="70"/>
  <c r="W26" i="70" s="1"/>
  <c r="Z26" i="70"/>
  <c r="AC3" i="70"/>
  <c r="N3" i="70"/>
  <c r="U13" i="70"/>
  <c r="U14" i="70"/>
  <c r="T37" i="70"/>
  <c r="W37" i="70" s="1"/>
  <c r="T38" i="70"/>
  <c r="W38" i="70" s="1"/>
  <c r="T40" i="70"/>
  <c r="W40" i="70" s="1"/>
  <c r="U29" i="70"/>
  <c r="T39" i="70"/>
  <c r="W39" i="70" s="1"/>
  <c r="T41" i="70"/>
  <c r="W41" i="70" s="1"/>
  <c r="R13" i="70"/>
  <c r="V13" i="70"/>
  <c r="R14" i="70"/>
  <c r="T14" i="70"/>
  <c r="W14" i="70" s="1"/>
  <c r="V14" i="70"/>
  <c r="P16" i="70"/>
  <c r="T15" i="70"/>
  <c r="W15" i="70" s="1"/>
  <c r="T17" i="70"/>
  <c r="W17" i="70" s="1"/>
  <c r="AA26" i="70"/>
  <c r="AD26" i="70" s="1"/>
  <c r="L3" i="70"/>
  <c r="Y3" i="70"/>
  <c r="U26" i="70"/>
  <c r="S35" i="70"/>
  <c r="T36" i="70"/>
  <c r="W36" i="70" s="1"/>
  <c r="S29" i="70"/>
  <c r="T35" i="70"/>
  <c r="W35" i="70" s="1"/>
  <c r="U36" i="70"/>
  <c r="S26" i="70"/>
  <c r="T29" i="70"/>
  <c r="W29" i="70" s="1"/>
  <c r="U35" i="70"/>
  <c r="S12" i="70"/>
  <c r="AA3" i="70"/>
  <c r="AD3" i="70" s="1"/>
  <c r="S14" i="70"/>
  <c r="S3" i="70"/>
  <c r="T12" i="70"/>
  <c r="W12" i="70" s="1"/>
  <c r="S13" i="70"/>
  <c r="T3" i="70"/>
  <c r="W3" i="70" s="1"/>
  <c r="U12" i="70"/>
  <c r="T13" i="70"/>
  <c r="W13" i="70" s="1"/>
  <c r="U3" i="70"/>
  <c r="R12" i="70"/>
  <c r="V12" i="70"/>
  <c r="R3" i="70"/>
  <c r="V3" i="70"/>
  <c r="M3" i="70"/>
  <c r="P3" i="70" s="1"/>
  <c r="E25" i="69" l="1"/>
  <c r="E24" i="69"/>
  <c r="F23" i="69"/>
  <c r="F24" i="69" s="1"/>
  <c r="F25" i="69" s="1"/>
  <c r="E23" i="69"/>
  <c r="G23" i="69" s="1"/>
  <c r="E22" i="69"/>
  <c r="G22" i="69" s="1"/>
  <c r="F12" i="69"/>
  <c r="C15" i="69" s="1"/>
  <c r="F11" i="69"/>
  <c r="D7" i="69"/>
  <c r="D6" i="69"/>
  <c r="D5" i="69"/>
  <c r="C18" i="69" l="1"/>
  <c r="G24" i="69"/>
  <c r="G25" i="69"/>
  <c r="B15" i="69"/>
  <c r="B18" i="69"/>
  <c r="G16" i="65"/>
  <c r="F16" i="65"/>
  <c r="E16" i="65"/>
  <c r="G17" i="65" l="1"/>
  <c r="F17" i="65"/>
  <c r="E17" i="65"/>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8" i="65" l="1"/>
  <c r="F18" i="65"/>
  <c r="E18" i="65"/>
  <c r="G13" i="65" l="1"/>
  <c r="F13" i="65"/>
  <c r="E13" i="65"/>
  <c r="AH9" i="59" l="1"/>
  <c r="AG9" i="59"/>
  <c r="AE9" i="59"/>
  <c r="AF9" i="59" s="1"/>
  <c r="AD9" i="59"/>
  <c r="Q9" i="59"/>
  <c r="P9" i="59"/>
  <c r="O9" i="59"/>
  <c r="N9" i="59"/>
  <c r="R43" i="68" l="1"/>
  <c r="R40" i="68"/>
  <c r="R41" i="68" s="1"/>
  <c r="F36" i="68"/>
  <c r="R34" i="68"/>
  <c r="R33" i="68"/>
  <c r="C30" i="68"/>
  <c r="R27" i="68"/>
  <c r="M24" i="68"/>
  <c r="R23" i="68"/>
  <c r="C23" i="68"/>
  <c r="D23" i="68" s="1"/>
  <c r="D38" i="68" s="1"/>
  <c r="D39" i="68" s="1"/>
  <c r="R22" i="68"/>
  <c r="R21" i="68"/>
  <c r="N19" i="68"/>
  <c r="R18" i="68"/>
  <c r="D18" i="68"/>
  <c r="R17" i="68"/>
  <c r="D17" i="68"/>
  <c r="R16" i="68"/>
  <c r="D16" i="68"/>
  <c r="D15" i="68"/>
  <c r="M14" i="68"/>
  <c r="N14" i="68" s="1"/>
  <c r="D14" i="68"/>
  <c r="R13" i="68"/>
  <c r="R12" i="68"/>
  <c r="D12" i="68"/>
  <c r="D11" i="68" s="1"/>
  <c r="R11" i="68"/>
  <c r="R10" i="68"/>
  <c r="D10" i="68"/>
  <c r="R9" i="68"/>
  <c r="D9" i="68"/>
  <c r="R8" i="68"/>
  <c r="R7" i="68"/>
  <c r="R4" i="68"/>
  <c r="R3" i="68"/>
  <c r="E11" i="68" l="1"/>
  <c r="E7" i="68" s="1"/>
  <c r="C27" i="68" s="1"/>
  <c r="D7" i="68"/>
  <c r="C26" i="68" s="1"/>
  <c r="C32" i="68" s="1"/>
  <c r="C38" i="68" s="1"/>
  <c r="C39" i="68" s="1"/>
  <c r="R14" i="68"/>
  <c r="R24" i="68"/>
  <c r="R25" i="68"/>
  <c r="R19" i="68"/>
  <c r="D29" i="68"/>
  <c r="D32" i="68" s="1"/>
  <c r="E23" i="68"/>
  <c r="D26" i="68"/>
  <c r="C29" i="68"/>
  <c r="R35" i="68"/>
  <c r="U34" i="68" s="1"/>
  <c r="F26" i="43"/>
  <c r="R5" i="68" l="1"/>
  <c r="U5" i="68" s="1"/>
  <c r="E26" i="68"/>
  <c r="E38" i="68"/>
  <c r="E39" i="68" s="1"/>
  <c r="C40" i="68" s="1"/>
  <c r="E29" i="68"/>
  <c r="E32" i="68" s="1"/>
  <c r="AH10" i="59"/>
  <c r="AG10" i="59"/>
  <c r="AE10" i="59"/>
  <c r="AF10" i="59" s="1"/>
  <c r="AD10" i="59"/>
  <c r="Q10" i="59"/>
  <c r="P10" i="59"/>
  <c r="O10" i="59"/>
  <c r="N10" i="59"/>
  <c r="B2" i="68" l="1"/>
  <c r="B3" i="68" s="1"/>
  <c r="C41" i="68"/>
  <c r="AH11" i="59"/>
  <c r="AG11" i="59"/>
  <c r="AE11" i="59"/>
  <c r="AF11" i="59" s="1"/>
  <c r="AD11" i="59"/>
  <c r="Q11" i="59"/>
  <c r="P11" i="59"/>
  <c r="O11" i="59"/>
  <c r="N11" i="59"/>
  <c r="AH12" i="59" l="1"/>
  <c r="AG12" i="59"/>
  <c r="AE12" i="59"/>
  <c r="AF12" i="59" s="1"/>
  <c r="AD12" i="59"/>
  <c r="Q12" i="59"/>
  <c r="P12" i="59"/>
  <c r="O12" i="59"/>
  <c r="N12" i="59"/>
  <c r="AH13" i="59" l="1"/>
  <c r="AG13" i="59"/>
  <c r="AE13" i="59"/>
  <c r="AF13" i="59" s="1"/>
  <c r="AD13" i="59"/>
  <c r="Q13" i="59"/>
  <c r="P13" i="59"/>
  <c r="O13" i="59"/>
  <c r="N13" i="59"/>
  <c r="AH14" i="59" l="1"/>
  <c r="AG14" i="59"/>
  <c r="AE14" i="59"/>
  <c r="AF14" i="59" s="1"/>
  <c r="AD14" i="59"/>
  <c r="Q14" i="59"/>
  <c r="P14" i="59"/>
  <c r="O14" i="59"/>
  <c r="N14" i="59"/>
  <c r="C16" i="11" l="1"/>
  <c r="C15" i="11"/>
  <c r="C14" i="11"/>
  <c r="C9" i="11"/>
  <c r="K36" i="36" l="1"/>
  <c r="K38" i="35"/>
  <c r="K42" i="37"/>
  <c r="K49" i="34"/>
  <c r="K48" i="33" l="1"/>
  <c r="K48" i="21"/>
  <c r="K44" i="40" l="1"/>
  <c r="K49" i="39"/>
  <c r="E77" i="9"/>
  <c r="F77" i="9"/>
  <c r="AH15" i="59" l="1"/>
  <c r="AG15" i="59"/>
  <c r="AE15" i="59"/>
  <c r="AF15" i="59" s="1"/>
  <c r="AD15" i="59"/>
  <c r="Q15" i="59"/>
  <c r="P15" i="59"/>
  <c r="O15" i="59"/>
  <c r="N15" i="59"/>
  <c r="A21" i="31" l="1"/>
  <c r="C109" i="9" l="1"/>
  <c r="AH16" i="59" l="1"/>
  <c r="AG16" i="59"/>
  <c r="AE16" i="59"/>
  <c r="AF16" i="59" s="1"/>
  <c r="AD16" i="59"/>
  <c r="Q16" i="59"/>
  <c r="P16" i="59"/>
  <c r="O16" i="59"/>
  <c r="N16" i="59"/>
  <c r="Q18" i="59" l="1"/>
  <c r="P18" i="59"/>
  <c r="O18" i="59"/>
  <c r="N18" i="59"/>
  <c r="AH17" i="59"/>
  <c r="AG17" i="59"/>
  <c r="AE17" i="59"/>
  <c r="AF17" i="59" s="1"/>
  <c r="AD17" i="59"/>
  <c r="Q17" i="59"/>
  <c r="P17" i="59"/>
  <c r="O17" i="59"/>
  <c r="N17" i="59"/>
  <c r="AH18" i="59"/>
  <c r="AG18" i="59"/>
  <c r="AE18" i="59"/>
  <c r="AF18" i="59" s="1"/>
  <c r="AD18" i="59"/>
  <c r="Q19" i="59"/>
  <c r="Q20" i="59"/>
  <c r="P19" i="59"/>
  <c r="P20" i="59"/>
  <c r="O19" i="59"/>
  <c r="O20" i="59"/>
  <c r="N19" i="59"/>
  <c r="N20" i="59"/>
  <c r="AH19" i="59"/>
  <c r="AG19" i="59"/>
  <c r="AE19" i="59"/>
  <c r="AF19" i="59" s="1"/>
  <c r="AD19" i="59"/>
  <c r="F25" i="12"/>
  <c r="AH20" i="59"/>
  <c r="AG20" i="59"/>
  <c r="AE20" i="59"/>
  <c r="AF20" i="59" s="1"/>
  <c r="AD20" i="59"/>
  <c r="AH21" i="59"/>
  <c r="AG21" i="59"/>
  <c r="AE21" i="59"/>
  <c r="AF21" i="59" s="1"/>
  <c r="AD21" i="59"/>
  <c r="Q21" i="59"/>
  <c r="P21" i="59"/>
  <c r="O21" i="59"/>
  <c r="N21" i="59"/>
  <c r="L3" i="59"/>
  <c r="AH3" i="59" s="1"/>
  <c r="K3" i="59"/>
  <c r="AG3" i="59" s="1"/>
  <c r="J3" i="59"/>
  <c r="AE3" i="59" s="1"/>
  <c r="AF3" i="59" s="1"/>
  <c r="I3" i="59"/>
  <c r="AD3" i="59" s="1"/>
  <c r="AH22" i="59"/>
  <c r="AG22" i="59"/>
  <c r="AE22" i="59"/>
  <c r="AF22" i="59" s="1"/>
  <c r="AD22" i="59"/>
  <c r="Q22" i="59"/>
  <c r="Q23" i="59"/>
  <c r="P22" i="59"/>
  <c r="P23" i="59"/>
  <c r="O22" i="59"/>
  <c r="O23" i="59"/>
  <c r="N22" i="59"/>
  <c r="N23" i="59"/>
  <c r="AH23" i="59"/>
  <c r="AG23" i="59"/>
  <c r="AE23" i="59"/>
  <c r="AF23" i="59"/>
  <c r="AD23" i="59"/>
  <c r="Q24" i="59"/>
  <c r="P24" i="59"/>
  <c r="O24" i="59"/>
  <c r="N24" i="59"/>
  <c r="M23" i="46"/>
  <c r="J50" i="15"/>
  <c r="J51" i="15" s="1"/>
  <c r="D26" i="59"/>
  <c r="AH24" i="59"/>
  <c r="AG24" i="59"/>
  <c r="AE24" i="59"/>
  <c r="AF24" i="59" s="1"/>
  <c r="AD24" i="59"/>
  <c r="AE25" i="59"/>
  <c r="AF25" i="59"/>
  <c r="AG25" i="59"/>
  <c r="AH25" i="59"/>
  <c r="AD25" i="59"/>
  <c r="Q25" i="59"/>
  <c r="P25" i="59"/>
  <c r="E25" i="59" s="1"/>
  <c r="U25" i="59" s="1"/>
  <c r="O25" i="59"/>
  <c r="N25" i="59"/>
  <c r="N26" i="59"/>
  <c r="Q26" i="59"/>
  <c r="P26" i="59"/>
  <c r="O26" i="59"/>
  <c r="Y26" i="59" s="1"/>
  <c r="Z26" i="59" s="1"/>
  <c r="K59" i="15"/>
  <c r="P62" i="15"/>
  <c r="P75" i="15"/>
  <c r="Q74" i="44"/>
  <c r="Q61" i="44"/>
  <c r="Q60" i="44"/>
  <c r="Q53" i="44"/>
  <c r="J51" i="44"/>
  <c r="J52" i="44" s="1"/>
  <c r="M48" i="44"/>
  <c r="A16" i="55"/>
  <c r="A15" i="55"/>
  <c r="B66" i="63" s="1"/>
  <c r="A14" i="55"/>
  <c r="A11" i="55"/>
  <c r="A10" i="55"/>
  <c r="B61" i="63" s="1"/>
  <c r="A9" i="55"/>
  <c r="B60" i="63" s="1"/>
  <c r="A8" i="55"/>
  <c r="A6" i="54"/>
  <c r="A8" i="54"/>
  <c r="A7" i="54"/>
  <c r="A27" i="51"/>
  <c r="B20" i="63" s="1"/>
  <c r="Q27" i="59"/>
  <c r="O27" i="59"/>
  <c r="N28" i="59"/>
  <c r="O28" i="59"/>
  <c r="P28" i="59"/>
  <c r="Q28" i="59"/>
  <c r="N27" i="59"/>
  <c r="P27" i="59"/>
  <c r="B29" i="59"/>
  <c r="S29" i="59" s="1"/>
  <c r="K75" i="9"/>
  <c r="K6" i="4"/>
  <c r="K76" i="9" s="1"/>
  <c r="L76" i="9"/>
  <c r="B22" i="31"/>
  <c r="E15" i="66"/>
  <c r="F15" i="66"/>
  <c r="E16" i="66"/>
  <c r="F16" i="66"/>
  <c r="E17" i="66"/>
  <c r="F17" i="66"/>
  <c r="E18" i="66"/>
  <c r="F18" i="66"/>
  <c r="E19" i="66"/>
  <c r="F19" i="66"/>
  <c r="E20" i="66"/>
  <c r="F20" i="66"/>
  <c r="E21" i="66"/>
  <c r="F21" i="66"/>
  <c r="E22" i="66"/>
  <c r="F22" i="66"/>
  <c r="E23" i="66"/>
  <c r="F23" i="66"/>
  <c r="B3" i="66"/>
  <c r="B28" i="59"/>
  <c r="B27" i="59" s="1"/>
  <c r="B25" i="59"/>
  <c r="B24" i="59" s="1"/>
  <c r="B23" i="59"/>
  <c r="E24" i="59"/>
  <c r="E23" i="59" s="1"/>
  <c r="E22" i="59" s="1"/>
  <c r="E21" i="59" s="1"/>
  <c r="E20" i="59" s="1"/>
  <c r="E19" i="59" s="1"/>
  <c r="E18" i="59" s="1"/>
  <c r="S25" i="59"/>
  <c r="AD26" i="59"/>
  <c r="AE26" i="59"/>
  <c r="AF26" i="59" s="1"/>
  <c r="AG26" i="59"/>
  <c r="AH26" i="59"/>
  <c r="AD27" i="59"/>
  <c r="AE27" i="59"/>
  <c r="AF27" i="59"/>
  <c r="AG27" i="59"/>
  <c r="AH27" i="59"/>
  <c r="AD28" i="59"/>
  <c r="AE28" i="59"/>
  <c r="AF28" i="59" s="1"/>
  <c r="AG28" i="59"/>
  <c r="AH28" i="59"/>
  <c r="AD29" i="59"/>
  <c r="AE29" i="59"/>
  <c r="AF29" i="59"/>
  <c r="AG29" i="59"/>
  <c r="AH29" i="59"/>
  <c r="AD30" i="59"/>
  <c r="AE30" i="59"/>
  <c r="AF30" i="59" s="1"/>
  <c r="AG30" i="59"/>
  <c r="AH30" i="59"/>
  <c r="AD31" i="59"/>
  <c r="AE31" i="59"/>
  <c r="AF31" i="59"/>
  <c r="AG31" i="59"/>
  <c r="AH31" i="59"/>
  <c r="AD32" i="59"/>
  <c r="AE32" i="59"/>
  <c r="AF32" i="59" s="1"/>
  <c r="AG32" i="59"/>
  <c r="AH32" i="59"/>
  <c r="AD33" i="59"/>
  <c r="AE33" i="59"/>
  <c r="AF33" i="59"/>
  <c r="AG33" i="59"/>
  <c r="AH33" i="59"/>
  <c r="AD34" i="59"/>
  <c r="AE34" i="59"/>
  <c r="AF34" i="59" s="1"/>
  <c r="AG34" i="59"/>
  <c r="AH34" i="59"/>
  <c r="AD35" i="59"/>
  <c r="AE35" i="59"/>
  <c r="AF35" i="59"/>
  <c r="AG35" i="59"/>
  <c r="AH35" i="59"/>
  <c r="AD36" i="59"/>
  <c r="AE36" i="59"/>
  <c r="AF36" i="59" s="1"/>
  <c r="AG36" i="59"/>
  <c r="AH36" i="59"/>
  <c r="AD37" i="59"/>
  <c r="AE37" i="59"/>
  <c r="AF37" i="59"/>
  <c r="AG37" i="59"/>
  <c r="AH37" i="59"/>
  <c r="AD38" i="59"/>
  <c r="AE38" i="59"/>
  <c r="AF38" i="59" s="1"/>
  <c r="AG38" i="59"/>
  <c r="AH38" i="59"/>
  <c r="AD39" i="59"/>
  <c r="AE39" i="59"/>
  <c r="AF39" i="59"/>
  <c r="AG39" i="59"/>
  <c r="AH39" i="59"/>
  <c r="AH40" i="59"/>
  <c r="AG40" i="59"/>
  <c r="AE40" i="59"/>
  <c r="AF40" i="59"/>
  <c r="AD40" i="59"/>
  <c r="AD41" i="59"/>
  <c r="AE41" i="59"/>
  <c r="AF41" i="59"/>
  <c r="AG41" i="59"/>
  <c r="AH41" i="59"/>
  <c r="AB37" i="59"/>
  <c r="AB39" i="59"/>
  <c r="Y39" i="59"/>
  <c r="S2" i="31"/>
  <c r="M2" i="31"/>
  <c r="N2" i="31"/>
  <c r="O2" i="31"/>
  <c r="P2" i="31"/>
  <c r="Q2" i="31"/>
  <c r="R2" i="31"/>
  <c r="C25" i="59"/>
  <c r="C3" i="65"/>
  <c r="C1" i="65"/>
  <c r="N1" i="65" s="1"/>
  <c r="T25" i="59"/>
  <c r="B76" i="63"/>
  <c r="M5" i="54"/>
  <c r="A23" i="51"/>
  <c r="AA9" i="46"/>
  <c r="AA10" i="46" s="1"/>
  <c r="AB9" i="46"/>
  <c r="AB10" i="46" s="1"/>
  <c r="AC9" i="46"/>
  <c r="AC10" i="46" s="1"/>
  <c r="AD9" i="46"/>
  <c r="AD10" i="46" s="1"/>
  <c r="AE9" i="46"/>
  <c r="AE10" i="46" s="1"/>
  <c r="AF9" i="46"/>
  <c r="AF10" i="46" s="1"/>
  <c r="AG9" i="46"/>
  <c r="AG10" i="46" s="1"/>
  <c r="AH9" i="46"/>
  <c r="AH10" i="46" s="1"/>
  <c r="AI9" i="46"/>
  <c r="AI10" i="46" s="1"/>
  <c r="AJ9" i="46"/>
  <c r="AJ10" i="46" s="1"/>
  <c r="Z9" i="46"/>
  <c r="Z10" i="46" s="1"/>
  <c r="B73" i="63"/>
  <c r="A21" i="64"/>
  <c r="B75" i="63" s="1"/>
  <c r="A27" i="64"/>
  <c r="A15" i="64"/>
  <c r="A14" i="64"/>
  <c r="A11" i="64"/>
  <c r="A3" i="64"/>
  <c r="A45" i="9"/>
  <c r="K40" i="9" s="1"/>
  <c r="A44" i="9"/>
  <c r="C57" i="10"/>
  <c r="A28" i="51" s="1"/>
  <c r="C56" i="10"/>
  <c r="A26" i="64" s="1"/>
  <c r="C55" i="10"/>
  <c r="C54" i="10"/>
  <c r="B49" i="63"/>
  <c r="B44" i="63"/>
  <c r="B40" i="63"/>
  <c r="B30" i="63"/>
  <c r="B27" i="63"/>
  <c r="B25" i="63"/>
  <c r="A11" i="51"/>
  <c r="B10" i="63" s="1"/>
  <c r="A26" i="51"/>
  <c r="K39" i="9"/>
  <c r="B58" i="63"/>
  <c r="B53" i="63"/>
  <c r="B51" i="63"/>
  <c r="A46" i="9"/>
  <c r="K41" i="9" s="1"/>
  <c r="B8" i="63"/>
  <c r="A21" i="55"/>
  <c r="B71" i="63" s="1"/>
  <c r="A20" i="55"/>
  <c r="B69" i="63" s="1"/>
  <c r="B26" i="63"/>
  <c r="B28" i="63"/>
  <c r="B29" i="63"/>
  <c r="B31" i="63"/>
  <c r="B33" i="63"/>
  <c r="B35" i="63"/>
  <c r="B36" i="63"/>
  <c r="B37" i="63"/>
  <c r="B63" i="63"/>
  <c r="B64" i="63"/>
  <c r="B68" i="63"/>
  <c r="D51" i="10"/>
  <c r="B59" i="63"/>
  <c r="B51" i="10"/>
  <c r="B17" i="63"/>
  <c r="A15" i="51"/>
  <c r="B12" i="63" s="1"/>
  <c r="A14" i="51"/>
  <c r="B11" i="63" s="1"/>
  <c r="A4" i="55"/>
  <c r="B57" i="63" s="1"/>
  <c r="B41" i="63"/>
  <c r="G5" i="54"/>
  <c r="B34" i="63" s="1"/>
  <c r="E5" i="54"/>
  <c r="B32" i="63" s="1"/>
  <c r="R2" i="54"/>
  <c r="B24" i="63" s="1"/>
  <c r="B19" i="63"/>
  <c r="B49" i="50"/>
  <c r="B5" i="63" s="1"/>
  <c r="B40" i="50"/>
  <c r="B3" i="63" s="1"/>
  <c r="B67" i="63"/>
  <c r="Q29" i="59"/>
  <c r="P29" i="59"/>
  <c r="AA29" i="59" s="1"/>
  <c r="O29" i="59"/>
  <c r="N29" i="59"/>
  <c r="D90" i="59"/>
  <c r="F89" i="59"/>
  <c r="F88" i="59" s="1"/>
  <c r="E89" i="59"/>
  <c r="E88" i="59" s="1"/>
  <c r="E87" i="59"/>
  <c r="C89" i="59"/>
  <c r="D89" i="59" s="1"/>
  <c r="B89" i="59"/>
  <c r="F87" i="59"/>
  <c r="B88" i="59"/>
  <c r="B87" i="59" s="1"/>
  <c r="D86" i="59"/>
  <c r="F85" i="59"/>
  <c r="E85" i="59"/>
  <c r="E84" i="59" s="1"/>
  <c r="E83" i="59" s="1"/>
  <c r="C85" i="59"/>
  <c r="D85" i="59"/>
  <c r="B85" i="59"/>
  <c r="F84" i="59"/>
  <c r="F83" i="59" s="1"/>
  <c r="B84" i="59"/>
  <c r="B83" i="59" s="1"/>
  <c r="D82" i="59"/>
  <c r="Q81" i="59"/>
  <c r="P81" i="59"/>
  <c r="O81" i="59"/>
  <c r="N81" i="59"/>
  <c r="F81" i="59"/>
  <c r="V81" i="59" s="1"/>
  <c r="E81" i="59"/>
  <c r="U81" i="59"/>
  <c r="C81" i="59"/>
  <c r="B81" i="59"/>
  <c r="S81" i="59"/>
  <c r="Q80" i="59"/>
  <c r="P80" i="59"/>
  <c r="O80" i="59"/>
  <c r="N80" i="59"/>
  <c r="B80" i="59"/>
  <c r="B79" i="59"/>
  <c r="Q79" i="59"/>
  <c r="P79" i="59"/>
  <c r="O79" i="59"/>
  <c r="N79" i="59"/>
  <c r="Q78" i="59"/>
  <c r="P78" i="59"/>
  <c r="O78" i="59"/>
  <c r="N78" i="59"/>
  <c r="D78" i="59"/>
  <c r="Q77" i="59"/>
  <c r="P77" i="59"/>
  <c r="O77" i="59"/>
  <c r="N77" i="59"/>
  <c r="F77" i="59"/>
  <c r="V77" i="59" s="1"/>
  <c r="E77" i="59"/>
  <c r="U77" i="59"/>
  <c r="C77" i="59"/>
  <c r="B77" i="59"/>
  <c r="S77" i="59"/>
  <c r="Q76" i="59"/>
  <c r="P76" i="59"/>
  <c r="O76" i="59"/>
  <c r="N76" i="59"/>
  <c r="F76" i="59"/>
  <c r="F75" i="59" s="1"/>
  <c r="B76" i="59"/>
  <c r="B75" i="59" s="1"/>
  <c r="Q75" i="59"/>
  <c r="P75" i="59"/>
  <c r="O75" i="59"/>
  <c r="N75" i="59"/>
  <c r="Q74" i="59"/>
  <c r="P74" i="59"/>
  <c r="O74" i="59"/>
  <c r="N74" i="59"/>
  <c r="D74" i="59"/>
  <c r="Q73" i="59"/>
  <c r="P73" i="59"/>
  <c r="O73" i="59"/>
  <c r="N73" i="59"/>
  <c r="F73" i="59"/>
  <c r="V73" i="59"/>
  <c r="E73" i="59"/>
  <c r="U73" i="59"/>
  <c r="C73" i="59"/>
  <c r="T73" i="59"/>
  <c r="B73" i="59"/>
  <c r="S73" i="59"/>
  <c r="Q72" i="59"/>
  <c r="P72" i="59"/>
  <c r="O72" i="59"/>
  <c r="N72" i="59"/>
  <c r="F72" i="59"/>
  <c r="F71" i="59"/>
  <c r="B72" i="59"/>
  <c r="B71" i="59"/>
  <c r="Q71" i="59"/>
  <c r="P71" i="59"/>
  <c r="O71" i="59"/>
  <c r="N71" i="59"/>
  <c r="Q70" i="59"/>
  <c r="P70" i="59"/>
  <c r="O70" i="59"/>
  <c r="N70" i="59"/>
  <c r="D70" i="59"/>
  <c r="F69" i="59"/>
  <c r="E69" i="59"/>
  <c r="E68" i="59" s="1"/>
  <c r="P68" i="59"/>
  <c r="C69" i="59"/>
  <c r="C68" i="59" s="1"/>
  <c r="O68" i="59" s="1"/>
  <c r="B69" i="59"/>
  <c r="D66" i="59"/>
  <c r="Q65" i="59"/>
  <c r="P65" i="59"/>
  <c r="O65" i="59"/>
  <c r="N65" i="59"/>
  <c r="Q64" i="59"/>
  <c r="P64" i="59"/>
  <c r="O64" i="59"/>
  <c r="N64" i="59"/>
  <c r="Q63" i="59"/>
  <c r="P63" i="59"/>
  <c r="O63" i="59"/>
  <c r="N63" i="59"/>
  <c r="Q62" i="59"/>
  <c r="F63" i="59" s="1"/>
  <c r="F64" i="59" s="1"/>
  <c r="F65" i="59" s="1"/>
  <c r="V65" i="59" s="1"/>
  <c r="P62" i="59"/>
  <c r="E63" i="59" s="1"/>
  <c r="E64" i="59" s="1"/>
  <c r="E65" i="59" s="1"/>
  <c r="U65" i="59" s="1"/>
  <c r="O62" i="59"/>
  <c r="C63" i="59" s="1"/>
  <c r="N62" i="59"/>
  <c r="B63" i="59"/>
  <c r="B64" i="59" s="1"/>
  <c r="B65" i="59" s="1"/>
  <c r="S65" i="59" s="1"/>
  <c r="D62" i="59"/>
  <c r="Q61" i="59"/>
  <c r="P61" i="59"/>
  <c r="O61" i="59"/>
  <c r="N61" i="59"/>
  <c r="Q60" i="59"/>
  <c r="P60" i="59"/>
  <c r="O60" i="59"/>
  <c r="N60" i="59"/>
  <c r="Q59" i="59"/>
  <c r="P59" i="59"/>
  <c r="O59" i="59"/>
  <c r="N59" i="59"/>
  <c r="Q58" i="59"/>
  <c r="F59" i="59" s="1"/>
  <c r="F60" i="59" s="1"/>
  <c r="F61" i="59" s="1"/>
  <c r="V61" i="59" s="1"/>
  <c r="P58" i="59"/>
  <c r="E59" i="59"/>
  <c r="E60" i="59"/>
  <c r="E61" i="59" s="1"/>
  <c r="U61" i="59" s="1"/>
  <c r="O58" i="59"/>
  <c r="C59" i="59"/>
  <c r="D59" i="59" s="1"/>
  <c r="N58" i="59"/>
  <c r="B59" i="59" s="1"/>
  <c r="B60" i="59" s="1"/>
  <c r="B61" i="59" s="1"/>
  <c r="S61" i="59" s="1"/>
  <c r="D58" i="59"/>
  <c r="Q57" i="59"/>
  <c r="P57" i="59"/>
  <c r="O57" i="59"/>
  <c r="N57" i="59"/>
  <c r="Q56" i="59"/>
  <c r="P56" i="59"/>
  <c r="O56" i="59"/>
  <c r="N56" i="59"/>
  <c r="Q55" i="59"/>
  <c r="P55" i="59"/>
  <c r="O55" i="59"/>
  <c r="N55" i="59"/>
  <c r="Q54" i="59"/>
  <c r="F55" i="59" s="1"/>
  <c r="P54" i="59"/>
  <c r="E55" i="59" s="1"/>
  <c r="E56" i="59"/>
  <c r="E57" i="59" s="1"/>
  <c r="U57" i="59" s="1"/>
  <c r="O54" i="59"/>
  <c r="C55" i="59"/>
  <c r="C56" i="59" s="1"/>
  <c r="N54" i="59"/>
  <c r="B55" i="59" s="1"/>
  <c r="B56" i="59" s="1"/>
  <c r="B57" i="59" s="1"/>
  <c r="S57" i="59" s="1"/>
  <c r="D54" i="59"/>
  <c r="Q53" i="59"/>
  <c r="P53" i="59"/>
  <c r="O53" i="59"/>
  <c r="N53" i="59"/>
  <c r="Q52" i="59"/>
  <c r="P52" i="59"/>
  <c r="O52" i="59"/>
  <c r="N52" i="59"/>
  <c r="Q51" i="59"/>
  <c r="P51" i="59"/>
  <c r="O51" i="59"/>
  <c r="N51" i="59"/>
  <c r="Q50" i="59"/>
  <c r="F51" i="59"/>
  <c r="F52" i="59"/>
  <c r="F53" i="59" s="1"/>
  <c r="V53" i="59" s="1"/>
  <c r="P50" i="59"/>
  <c r="E51" i="59"/>
  <c r="O50" i="59"/>
  <c r="C51" i="59" s="1"/>
  <c r="D51" i="59" s="1"/>
  <c r="N50" i="59"/>
  <c r="B51" i="59" s="1"/>
  <c r="B52" i="59" s="1"/>
  <c r="B53" i="59" s="1"/>
  <c r="D50" i="59"/>
  <c r="T49" i="59"/>
  <c r="Q49" i="59"/>
  <c r="P49" i="59"/>
  <c r="O49" i="59"/>
  <c r="N49" i="59"/>
  <c r="D49" i="59"/>
  <c r="Q48" i="59"/>
  <c r="P48" i="59"/>
  <c r="O48" i="59"/>
  <c r="N48" i="59"/>
  <c r="Q47" i="59"/>
  <c r="P47" i="59"/>
  <c r="O47" i="59"/>
  <c r="N47" i="59"/>
  <c r="B48" i="59" s="1"/>
  <c r="Q46" i="59"/>
  <c r="F47" i="59"/>
  <c r="P46" i="59"/>
  <c r="E47" i="59"/>
  <c r="E48" i="59" s="1"/>
  <c r="E49" i="59" s="1"/>
  <c r="U49" i="59" s="1"/>
  <c r="O46" i="59"/>
  <c r="C47" i="59"/>
  <c r="C48" i="59" s="1"/>
  <c r="N46" i="59"/>
  <c r="B47" i="59" s="1"/>
  <c r="B49" i="59"/>
  <c r="S49" i="59" s="1"/>
  <c r="D46" i="59"/>
  <c r="Q45" i="59"/>
  <c r="P45" i="59"/>
  <c r="O45" i="59"/>
  <c r="N45" i="59"/>
  <c r="Q44" i="59"/>
  <c r="P44" i="59"/>
  <c r="O44" i="59"/>
  <c r="N44" i="59"/>
  <c r="Q43" i="59"/>
  <c r="P43" i="59"/>
  <c r="O43" i="59"/>
  <c r="N43" i="59"/>
  <c r="Q42" i="59"/>
  <c r="F43" i="59"/>
  <c r="P42" i="59"/>
  <c r="E43" i="59" s="1"/>
  <c r="O42" i="59"/>
  <c r="C43" i="59"/>
  <c r="N42" i="59"/>
  <c r="B43" i="59"/>
  <c r="B44" i="59" s="1"/>
  <c r="B45" i="59" s="1"/>
  <c r="S45" i="59" s="1"/>
  <c r="D42" i="59"/>
  <c r="Q41" i="59"/>
  <c r="P41" i="59"/>
  <c r="O41" i="59"/>
  <c r="N41" i="59"/>
  <c r="Q40" i="59"/>
  <c r="AB40" i="59"/>
  <c r="P40" i="59"/>
  <c r="O40" i="59"/>
  <c r="N40" i="59"/>
  <c r="Q39" i="59"/>
  <c r="P39" i="59"/>
  <c r="AA39" i="59" s="1"/>
  <c r="O39" i="59"/>
  <c r="N39" i="59"/>
  <c r="Q38" i="59"/>
  <c r="AB38" i="59" s="1"/>
  <c r="F39" i="59"/>
  <c r="F40" i="59" s="1"/>
  <c r="P38" i="59"/>
  <c r="O38" i="59"/>
  <c r="N38" i="59"/>
  <c r="B39" i="59"/>
  <c r="B40" i="59"/>
  <c r="B41" i="59" s="1"/>
  <c r="S41" i="59" s="1"/>
  <c r="D38" i="59"/>
  <c r="Q37" i="59"/>
  <c r="P37" i="59"/>
  <c r="AA37" i="59" s="1"/>
  <c r="O37" i="59"/>
  <c r="Y37" i="59" s="1"/>
  <c r="Z37" i="59" s="1"/>
  <c r="N37" i="59"/>
  <c r="Q36" i="59"/>
  <c r="AB36" i="59" s="1"/>
  <c r="P36" i="59"/>
  <c r="O36" i="59"/>
  <c r="Y36" i="59" s="1"/>
  <c r="Z36" i="59" s="1"/>
  <c r="N36" i="59"/>
  <c r="Q35" i="59"/>
  <c r="AB35" i="59" s="1"/>
  <c r="P35" i="59"/>
  <c r="AA35" i="59" s="1"/>
  <c r="O35" i="59"/>
  <c r="Y35" i="59" s="1"/>
  <c r="Z35" i="59" s="1"/>
  <c r="N35" i="59"/>
  <c r="Q34" i="59"/>
  <c r="P34" i="59"/>
  <c r="E35" i="59" s="1"/>
  <c r="E36" i="59" s="1"/>
  <c r="E37" i="59" s="1"/>
  <c r="U37" i="59" s="1"/>
  <c r="O34" i="59"/>
  <c r="C35" i="59" s="1"/>
  <c r="N34" i="59"/>
  <c r="B35" i="59"/>
  <c r="B36" i="59"/>
  <c r="B37" i="59" s="1"/>
  <c r="S37" i="59" s="1"/>
  <c r="D34" i="59"/>
  <c r="Q33" i="59"/>
  <c r="AB33" i="59" s="1"/>
  <c r="P33" i="59"/>
  <c r="O33" i="59"/>
  <c r="N33" i="59"/>
  <c r="Q32" i="59"/>
  <c r="AB32" i="59" s="1"/>
  <c r="P32" i="59"/>
  <c r="O32" i="59"/>
  <c r="N32" i="59"/>
  <c r="Q31" i="59"/>
  <c r="AB31" i="59" s="1"/>
  <c r="P31" i="59"/>
  <c r="O31" i="59"/>
  <c r="N31" i="59"/>
  <c r="X31" i="59" s="1"/>
  <c r="Q30" i="59"/>
  <c r="AB30" i="59" s="1"/>
  <c r="F31" i="59"/>
  <c r="P30" i="59"/>
  <c r="O30" i="59"/>
  <c r="C31" i="59"/>
  <c r="N30" i="59"/>
  <c r="D30" i="59"/>
  <c r="X28" i="59"/>
  <c r="AB26" i="59"/>
  <c r="E31" i="59"/>
  <c r="E32" i="59"/>
  <c r="E33" i="59" s="1"/>
  <c r="U33" i="59" s="1"/>
  <c r="S53" i="59"/>
  <c r="E52" i="59"/>
  <c r="E53" i="59" s="1"/>
  <c r="U53" i="59" s="1"/>
  <c r="S69" i="59"/>
  <c r="Z39" i="59"/>
  <c r="F32" i="59"/>
  <c r="F33" i="59" s="1"/>
  <c r="V33" i="59" s="1"/>
  <c r="F41" i="59"/>
  <c r="V41" i="59" s="1"/>
  <c r="F44" i="59"/>
  <c r="F45" i="59" s="1"/>
  <c r="V45" i="59" s="1"/>
  <c r="F48" i="59"/>
  <c r="F49" i="59" s="1"/>
  <c r="V49" i="59" s="1"/>
  <c r="F56" i="59"/>
  <c r="F57" i="59" s="1"/>
  <c r="V57" i="59" s="1"/>
  <c r="C32" i="59"/>
  <c r="C33" i="59" s="1"/>
  <c r="T33" i="59" s="1"/>
  <c r="D31" i="59"/>
  <c r="C44" i="59"/>
  <c r="C45" i="59" s="1"/>
  <c r="T45" i="59" s="1"/>
  <c r="D43" i="59"/>
  <c r="D48" i="59"/>
  <c r="C52" i="59"/>
  <c r="C53" i="59" s="1"/>
  <c r="D55" i="59"/>
  <c r="C60" i="59"/>
  <c r="C64" i="59"/>
  <c r="C65" i="59" s="1"/>
  <c r="D65" i="59" s="1"/>
  <c r="D63" i="59"/>
  <c r="E67" i="59"/>
  <c r="P66" i="59" s="1"/>
  <c r="T69" i="59"/>
  <c r="O69" i="59"/>
  <c r="D69" i="59"/>
  <c r="P69" i="59"/>
  <c r="U69" i="59"/>
  <c r="C72" i="59"/>
  <c r="E72" i="59"/>
  <c r="E71" i="59"/>
  <c r="D73" i="59"/>
  <c r="E76" i="59"/>
  <c r="E75" i="59" s="1"/>
  <c r="D77" i="59"/>
  <c r="E80" i="59"/>
  <c r="E79" i="59" s="1"/>
  <c r="D81" i="59"/>
  <c r="C84" i="59"/>
  <c r="C88" i="59"/>
  <c r="U16" i="4"/>
  <c r="S16" i="4"/>
  <c r="Q16" i="4"/>
  <c r="O16" i="4"/>
  <c r="M16" i="4"/>
  <c r="K16" i="4"/>
  <c r="P67" i="59"/>
  <c r="D88" i="59"/>
  <c r="C87" i="59"/>
  <c r="D87" i="59" s="1"/>
  <c r="D72" i="59"/>
  <c r="C71" i="59"/>
  <c r="D71" i="59"/>
  <c r="C67" i="59"/>
  <c r="O66" i="59" s="1"/>
  <c r="D68" i="59"/>
  <c r="D84" i="59"/>
  <c r="C83" i="59"/>
  <c r="D83" i="59" s="1"/>
  <c r="D60" i="59"/>
  <c r="C61" i="59"/>
  <c r="D52" i="59"/>
  <c r="D44" i="59"/>
  <c r="D32" i="59"/>
  <c r="T61" i="59"/>
  <c r="D61" i="59"/>
  <c r="D33" i="59"/>
  <c r="D45" i="59"/>
  <c r="T65" i="59"/>
  <c r="O67" i="59"/>
  <c r="D67" i="59"/>
  <c r="O27" i="6"/>
  <c r="N27" i="6"/>
  <c r="P26" i="6"/>
  <c r="L26" i="6"/>
  <c r="P25" i="6"/>
  <c r="L25" i="6"/>
  <c r="P24" i="6"/>
  <c r="L24" i="6"/>
  <c r="P23" i="6"/>
  <c r="L23" i="6"/>
  <c r="P22" i="6"/>
  <c r="L22" i="6"/>
  <c r="P21" i="6"/>
  <c r="L21" i="6"/>
  <c r="P20" i="6"/>
  <c r="P27" i="6" s="1"/>
  <c r="P19" i="6"/>
  <c r="Z18" i="36"/>
  <c r="Q18" i="36"/>
  <c r="C18" i="36"/>
  <c r="D66" i="36"/>
  <c r="F18" i="36"/>
  <c r="AA18" i="36" s="1"/>
  <c r="Q18" i="35"/>
  <c r="Z18" i="35" s="1"/>
  <c r="F18" i="35"/>
  <c r="AA18" i="35"/>
  <c r="C18" i="35"/>
  <c r="D68" i="35"/>
  <c r="E68" i="35" s="1"/>
  <c r="F68" i="35" s="1"/>
  <c r="G68" i="35" s="1"/>
  <c r="Q21" i="37"/>
  <c r="Z21" i="37" s="1"/>
  <c r="F21" i="37"/>
  <c r="AA21" i="37" s="1"/>
  <c r="C21" i="37"/>
  <c r="D77" i="37"/>
  <c r="E77" i="37" s="1"/>
  <c r="F77" i="37" s="1"/>
  <c r="G77" i="37" s="1"/>
  <c r="Z21" i="34"/>
  <c r="Q21" i="34"/>
  <c r="C21" i="34"/>
  <c r="D84" i="34"/>
  <c r="F21" i="34"/>
  <c r="AA21" i="34" s="1"/>
  <c r="Q21" i="33"/>
  <c r="Z21" i="33" s="1"/>
  <c r="C21" i="33"/>
  <c r="D83" i="33"/>
  <c r="E83" i="33" s="1"/>
  <c r="F83" i="33" s="1"/>
  <c r="G83" i="33" s="1"/>
  <c r="Z21" i="21"/>
  <c r="Q21" i="21"/>
  <c r="D83" i="21"/>
  <c r="E83" i="21" s="1"/>
  <c r="F83" i="21" s="1"/>
  <c r="G83" i="21" s="1"/>
  <c r="F21" i="21"/>
  <c r="AA21" i="21" s="1"/>
  <c r="C21" i="21"/>
  <c r="Q27" i="40"/>
  <c r="Z27" i="40" s="1"/>
  <c r="D95" i="40"/>
  <c r="E95" i="40" s="1"/>
  <c r="F95" i="40" s="1"/>
  <c r="G95" i="40" s="1"/>
  <c r="F27" i="40"/>
  <c r="AA27" i="40" s="1"/>
  <c r="Q31" i="39"/>
  <c r="Z31" i="39" s="1"/>
  <c r="D104" i="39"/>
  <c r="E104" i="39" s="1"/>
  <c r="F31" i="39"/>
  <c r="AA31" i="39" s="1"/>
  <c r="G20" i="20"/>
  <c r="C27" i="40" s="1"/>
  <c r="B88" i="46"/>
  <c r="C22" i="20"/>
  <c r="B100" i="46" s="1"/>
  <c r="B68" i="46"/>
  <c r="S18" i="35"/>
  <c r="S21" i="21"/>
  <c r="S31" i="39"/>
  <c r="C31" i="39"/>
  <c r="B57" i="46"/>
  <c r="B77" i="46"/>
  <c r="E66" i="36"/>
  <c r="H18" i="35"/>
  <c r="J18" i="35"/>
  <c r="H21" i="37"/>
  <c r="J21" i="37"/>
  <c r="E84" i="34"/>
  <c r="F84" i="34"/>
  <c r="G84" i="34"/>
  <c r="J21" i="34"/>
  <c r="H21" i="34"/>
  <c r="F21" i="33"/>
  <c r="H21" i="33"/>
  <c r="J21" i="33"/>
  <c r="H21" i="21"/>
  <c r="J21" i="21"/>
  <c r="H27" i="40"/>
  <c r="F104" i="39"/>
  <c r="H31" i="39"/>
  <c r="F23" i="15"/>
  <c r="D22" i="15" s="1"/>
  <c r="G17" i="11"/>
  <c r="F15" i="15"/>
  <c r="F17" i="15"/>
  <c r="F18" i="15"/>
  <c r="F20" i="15"/>
  <c r="F21" i="15"/>
  <c r="F33" i="15"/>
  <c r="F60" i="15" s="1"/>
  <c r="K2" i="4"/>
  <c r="K1" i="4"/>
  <c r="B1" i="4"/>
  <c r="C112" i="9"/>
  <c r="F83" i="46"/>
  <c r="H84" i="46" s="1"/>
  <c r="F117" i="46"/>
  <c r="D112" i="46"/>
  <c r="D113" i="46" s="1"/>
  <c r="E112" i="46"/>
  <c r="E113" i="46" s="1"/>
  <c r="F112" i="46"/>
  <c r="F113" i="46" s="1"/>
  <c r="G112" i="46"/>
  <c r="G113" i="46" s="1"/>
  <c r="H112" i="46"/>
  <c r="H113" i="46" s="1"/>
  <c r="I112" i="46"/>
  <c r="I113" i="46" s="1"/>
  <c r="J112" i="46"/>
  <c r="J113" i="46" s="1"/>
  <c r="K112" i="46"/>
  <c r="K113" i="46" s="1"/>
  <c r="L112" i="46"/>
  <c r="L113" i="46" s="1"/>
  <c r="M112" i="46"/>
  <c r="M113" i="46" s="1"/>
  <c r="N112" i="46"/>
  <c r="N113" i="46" s="1"/>
  <c r="C112" i="46"/>
  <c r="C113" i="46" s="1"/>
  <c r="K61" i="46"/>
  <c r="J61" i="46" s="1"/>
  <c r="K53" i="46"/>
  <c r="D53" i="46" s="1"/>
  <c r="B86" i="46"/>
  <c r="B85" i="46"/>
  <c r="B74" i="46"/>
  <c r="B63" i="46"/>
  <c r="B52" i="46"/>
  <c r="M90" i="46"/>
  <c r="N90" i="46" s="1"/>
  <c r="K90" i="46"/>
  <c r="J90" i="46" s="1"/>
  <c r="D90" i="46"/>
  <c r="M89" i="46"/>
  <c r="N89" i="46" s="1"/>
  <c r="D89" i="46"/>
  <c r="K89" i="46"/>
  <c r="J89" i="46"/>
  <c r="M88" i="46"/>
  <c r="N88" i="46" s="1"/>
  <c r="K88" i="46"/>
  <c r="J88" i="46" s="1"/>
  <c r="M87" i="46"/>
  <c r="N87" i="46" s="1"/>
  <c r="K87" i="46"/>
  <c r="J87" i="46" s="1"/>
  <c r="M86" i="46"/>
  <c r="N86" i="46" s="1"/>
  <c r="K86" i="46"/>
  <c r="J86" i="46" s="1"/>
  <c r="M85" i="46"/>
  <c r="N85" i="46" s="1"/>
  <c r="K85" i="46"/>
  <c r="J85" i="46" s="1"/>
  <c r="M84" i="46"/>
  <c r="N84" i="46" s="1"/>
  <c r="K84" i="46"/>
  <c r="J84" i="46" s="1"/>
  <c r="M83" i="46"/>
  <c r="N83" i="46" s="1"/>
  <c r="K83" i="46"/>
  <c r="M80" i="46"/>
  <c r="N80" i="46" s="1"/>
  <c r="K80" i="46"/>
  <c r="J80" i="46" s="1"/>
  <c r="M79" i="46"/>
  <c r="N79" i="46" s="1"/>
  <c r="D79" i="46"/>
  <c r="K79" i="46"/>
  <c r="J79" i="46" s="1"/>
  <c r="M78" i="46"/>
  <c r="N78" i="46" s="1"/>
  <c r="K78" i="46"/>
  <c r="J78" i="46" s="1"/>
  <c r="M77" i="46"/>
  <c r="N77" i="46" s="1"/>
  <c r="K77" i="46"/>
  <c r="J77" i="46" s="1"/>
  <c r="D77" i="46"/>
  <c r="M76" i="46"/>
  <c r="D76" i="46"/>
  <c r="K76" i="46"/>
  <c r="J76" i="46" s="1"/>
  <c r="M75" i="46"/>
  <c r="N75" i="46"/>
  <c r="K75" i="46"/>
  <c r="J75" i="46" s="1"/>
  <c r="D75" i="46"/>
  <c r="M74" i="46"/>
  <c r="N74" i="46" s="1"/>
  <c r="K74" i="46"/>
  <c r="J74" i="46" s="1"/>
  <c r="M73" i="46"/>
  <c r="N73" i="46" s="1"/>
  <c r="K73" i="46"/>
  <c r="J73" i="46" s="1"/>
  <c r="D73" i="46"/>
  <c r="M72" i="46"/>
  <c r="N72" i="46" s="1"/>
  <c r="K72" i="46"/>
  <c r="J72" i="46"/>
  <c r="M69" i="46"/>
  <c r="N69" i="46" s="1"/>
  <c r="K69" i="46"/>
  <c r="D69" i="46" s="1"/>
  <c r="M68" i="46"/>
  <c r="N68" i="46" s="1"/>
  <c r="K68" i="46"/>
  <c r="J68" i="46" s="1"/>
  <c r="D68" i="46" s="1"/>
  <c r="M67" i="46"/>
  <c r="N67" i="46" s="1"/>
  <c r="K67" i="46"/>
  <c r="J67" i="46" s="1"/>
  <c r="M66" i="46"/>
  <c r="N66" i="46" s="1"/>
  <c r="K66" i="46"/>
  <c r="J66" i="46" s="1"/>
  <c r="M65" i="46"/>
  <c r="N65" i="46" s="1"/>
  <c r="K65" i="46"/>
  <c r="J65" i="46" s="1"/>
  <c r="M64" i="46"/>
  <c r="N64" i="46" s="1"/>
  <c r="K64" i="46"/>
  <c r="J64" i="46" s="1"/>
  <c r="M63" i="46"/>
  <c r="N63" i="46" s="1"/>
  <c r="K63" i="46"/>
  <c r="J63" i="46" s="1"/>
  <c r="M62" i="46"/>
  <c r="N62" i="46" s="1"/>
  <c r="K62" i="46"/>
  <c r="J62" i="46" s="1"/>
  <c r="M61" i="46"/>
  <c r="N61" i="46" s="1"/>
  <c r="M58" i="46"/>
  <c r="N58" i="46" s="1"/>
  <c r="K58" i="46"/>
  <c r="J58" i="46" s="1"/>
  <c r="M57" i="46"/>
  <c r="N57" i="46" s="1"/>
  <c r="K57" i="46"/>
  <c r="J57" i="46" s="1"/>
  <c r="D57" i="46" s="1"/>
  <c r="M56" i="46"/>
  <c r="N56" i="46" s="1"/>
  <c r="K56" i="46"/>
  <c r="J56" i="46" s="1"/>
  <c r="M55" i="46"/>
  <c r="N55" i="46" s="1"/>
  <c r="K55" i="46"/>
  <c r="J55" i="46" s="1"/>
  <c r="D55" i="46"/>
  <c r="M54" i="46"/>
  <c r="N54" i="46" s="1"/>
  <c r="K54" i="46"/>
  <c r="J54" i="46" s="1"/>
  <c r="M53" i="46"/>
  <c r="N53" i="46" s="1"/>
  <c r="M52" i="46"/>
  <c r="N52" i="46" s="1"/>
  <c r="K52" i="46"/>
  <c r="J52" i="46" s="1"/>
  <c r="D52" i="46"/>
  <c r="M51" i="46"/>
  <c r="N51" i="46" s="1"/>
  <c r="K51" i="46"/>
  <c r="J51" i="46" s="1"/>
  <c r="M50" i="46"/>
  <c r="N50" i="46" s="1"/>
  <c r="K50" i="46"/>
  <c r="J50" i="46" s="1"/>
  <c r="D58" i="46"/>
  <c r="D84" i="46"/>
  <c r="N76" i="46"/>
  <c r="D78" i="46"/>
  <c r="Q73" i="15"/>
  <c r="Q60" i="15"/>
  <c r="Q59" i="15"/>
  <c r="Q52" i="15"/>
  <c r="AE13" i="1"/>
  <c r="M47" i="15"/>
  <c r="AG13" i="1"/>
  <c r="D12" i="31"/>
  <c r="E12" i="31"/>
  <c r="F12" i="31"/>
  <c r="G12" i="31" s="1"/>
  <c r="H12" i="31" s="1"/>
  <c r="I12" i="31" s="1"/>
  <c r="J12" i="31" s="1"/>
  <c r="K12" i="31" s="1"/>
  <c r="L12" i="31" s="1"/>
  <c r="M12" i="31" s="1"/>
  <c r="N12" i="31" s="1"/>
  <c r="O12" i="31" s="1"/>
  <c r="P12" i="31" s="1"/>
  <c r="Q12" i="31" s="1"/>
  <c r="R12" i="31" s="1"/>
  <c r="S12" i="31" s="1"/>
  <c r="D10" i="31"/>
  <c r="E10" i="31"/>
  <c r="F10" i="31"/>
  <c r="G10" i="31" s="1"/>
  <c r="H10" i="31" s="1"/>
  <c r="I10" i="31" s="1"/>
  <c r="J10" i="31" s="1"/>
  <c r="K10" i="31" s="1"/>
  <c r="L10" i="31" s="1"/>
  <c r="M10" i="31" s="1"/>
  <c r="N10" i="31" s="1"/>
  <c r="O10" i="31" s="1"/>
  <c r="P10" i="31" s="1"/>
  <c r="Q10" i="31" s="1"/>
  <c r="R10" i="31" s="1"/>
  <c r="S10" i="31" s="1"/>
  <c r="D8" i="31"/>
  <c r="E8" i="31"/>
  <c r="F8" i="31"/>
  <c r="G8" i="31" s="1"/>
  <c r="H8" i="31" s="1"/>
  <c r="I8" i="31" s="1"/>
  <c r="J8" i="31" s="1"/>
  <c r="K8" i="31" s="1"/>
  <c r="L8" i="31" s="1"/>
  <c r="M8" i="31" s="1"/>
  <c r="N8" i="31" s="1"/>
  <c r="O8" i="31" s="1"/>
  <c r="P8" i="31" s="1"/>
  <c r="Q8" i="31" s="1"/>
  <c r="R8" i="31" s="1"/>
  <c r="S8" i="31" s="1"/>
  <c r="D6" i="31"/>
  <c r="E6" i="31"/>
  <c r="F6" i="31"/>
  <c r="G6" i="31" s="1"/>
  <c r="H6" i="31" s="1"/>
  <c r="I6" i="31" s="1"/>
  <c r="J6" i="31" s="1"/>
  <c r="K6" i="31" s="1"/>
  <c r="L6" i="31" s="1"/>
  <c r="M6" i="31" s="1"/>
  <c r="N6" i="31" s="1"/>
  <c r="O6" i="31" s="1"/>
  <c r="P6" i="31" s="1"/>
  <c r="Q6" i="31" s="1"/>
  <c r="R6" i="31" s="1"/>
  <c r="S6" i="31" s="1"/>
  <c r="AP13" i="1"/>
  <c r="B2" i="1"/>
  <c r="C42" i="1" s="1"/>
  <c r="A12" i="1"/>
  <c r="A13" i="1"/>
  <c r="B13" i="1" s="1"/>
  <c r="E13" i="1" s="1"/>
  <c r="A7" i="1"/>
  <c r="A8" i="1"/>
  <c r="A9" i="1"/>
  <c r="A10" i="1"/>
  <c r="A11" i="1"/>
  <c r="A6" i="1"/>
  <c r="T4" i="1"/>
  <c r="G79" i="36"/>
  <c r="G85" i="35"/>
  <c r="G97" i="37"/>
  <c r="G110" i="34"/>
  <c r="G109" i="33"/>
  <c r="L2" i="31"/>
  <c r="K2" i="31"/>
  <c r="J2" i="31"/>
  <c r="I2" i="31"/>
  <c r="H2" i="31"/>
  <c r="G2" i="31"/>
  <c r="F2" i="31"/>
  <c r="E2" i="31"/>
  <c r="D2" i="31"/>
  <c r="C2" i="31"/>
  <c r="D60" i="15"/>
  <c r="G19" i="20"/>
  <c r="B87" i="46"/>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BA111" i="3" s="1"/>
  <c r="AX111" i="3"/>
  <c r="AW111" i="3"/>
  <c r="AV111" i="3"/>
  <c r="AC111" i="3"/>
  <c r="H111" i="3"/>
  <c r="BT110" i="3"/>
  <c r="BS110" i="3"/>
  <c r="BR110" i="3"/>
  <c r="BQ110" i="3"/>
  <c r="BP110" i="3"/>
  <c r="BO110" i="3"/>
  <c r="BN110" i="3"/>
  <c r="BM110" i="3"/>
  <c r="BK110" i="3"/>
  <c r="BJ110" i="3"/>
  <c r="BI110" i="3"/>
  <c r="BH110" i="3"/>
  <c r="BG110" i="3"/>
  <c r="BF110" i="3"/>
  <c r="BE110" i="3"/>
  <c r="BD110" i="3"/>
  <c r="BC110" i="3"/>
  <c r="BB110" i="3"/>
  <c r="BA110" i="3" s="1"/>
  <c r="AX110" i="3"/>
  <c r="AW110" i="3"/>
  <c r="AV110" i="3"/>
  <c r="AC110" i="3"/>
  <c r="H110" i="3"/>
  <c r="G110" i="3"/>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BA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H106" i="3"/>
  <c r="G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BA103" i="3"/>
  <c r="AX103" i="3"/>
  <c r="AW103" i="3"/>
  <c r="AV103" i="3"/>
  <c r="AC103" i="3"/>
  <c r="H103" i="3"/>
  <c r="G103" i="3" s="1"/>
  <c r="BT102" i="3"/>
  <c r="BS102" i="3"/>
  <c r="BR102" i="3"/>
  <c r="BQ102" i="3"/>
  <c r="BP102" i="3"/>
  <c r="BO102" i="3"/>
  <c r="BL102" i="3" s="1"/>
  <c r="BN102" i="3"/>
  <c r="BM102" i="3"/>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A100" i="3" s="1"/>
  <c r="BC100" i="3"/>
  <c r="BB100" i="3"/>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BA99" i="3" s="1"/>
  <c r="AX99" i="3"/>
  <c r="AW99" i="3"/>
  <c r="AV99" i="3"/>
  <c r="AC99" i="3"/>
  <c r="H99" i="3"/>
  <c r="BT98" i="3"/>
  <c r="BS98" i="3"/>
  <c r="BR98" i="3"/>
  <c r="BQ98" i="3"/>
  <c r="BP98" i="3"/>
  <c r="BO98" i="3"/>
  <c r="BL98" i="3" s="1"/>
  <c r="BN98" i="3"/>
  <c r="BM98" i="3"/>
  <c r="BK98" i="3"/>
  <c r="BJ98" i="3"/>
  <c r="BI98" i="3"/>
  <c r="BH98" i="3"/>
  <c r="BG98" i="3"/>
  <c r="BF98" i="3"/>
  <c r="BE98" i="3"/>
  <c r="BD98" i="3"/>
  <c r="BC98" i="3"/>
  <c r="BB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AX97" i="3"/>
  <c r="AW97" i="3"/>
  <c r="AV97" i="3"/>
  <c r="AC97" i="3"/>
  <c r="H97" i="3"/>
  <c r="G97" i="3"/>
  <c r="BT96" i="3"/>
  <c r="BS96" i="3"/>
  <c r="BR96" i="3"/>
  <c r="BQ96" i="3"/>
  <c r="BP96" i="3"/>
  <c r="BO96" i="3"/>
  <c r="BN96" i="3"/>
  <c r="BM96" i="3"/>
  <c r="BL96" i="3" s="1"/>
  <c r="BK96" i="3"/>
  <c r="BJ96" i="3"/>
  <c r="BI96" i="3"/>
  <c r="BH96" i="3"/>
  <c r="BG96" i="3"/>
  <c r="BF96" i="3"/>
  <c r="BE96" i="3"/>
  <c r="BD96" i="3"/>
  <c r="BA96" i="3" s="1"/>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s="1"/>
  <c r="AX95" i="3"/>
  <c r="AW95" i="3"/>
  <c r="AV95" i="3"/>
  <c r="AC95" i="3"/>
  <c r="H95" i="3"/>
  <c r="BT94" i="3"/>
  <c r="BS94" i="3"/>
  <c r="BR94" i="3"/>
  <c r="BQ94" i="3"/>
  <c r="BP94" i="3"/>
  <c r="BO94" i="3"/>
  <c r="BN94" i="3"/>
  <c r="BM94" i="3"/>
  <c r="BK94" i="3"/>
  <c r="BJ94" i="3"/>
  <c r="BI94" i="3"/>
  <c r="BH94" i="3"/>
  <c r="BG94" i="3"/>
  <c r="BF94" i="3"/>
  <c r="BE94" i="3"/>
  <c r="BD94" i="3"/>
  <c r="BC94" i="3"/>
  <c r="BB94" i="3"/>
  <c r="BA94" i="3" s="1"/>
  <c r="AX94" i="3"/>
  <c r="AW94" i="3"/>
  <c r="AV94" i="3"/>
  <c r="AC94" i="3"/>
  <c r="H94" i="3"/>
  <c r="G94" i="3"/>
  <c r="BT93" i="3"/>
  <c r="BS93" i="3"/>
  <c r="BR93" i="3"/>
  <c r="BQ93" i="3"/>
  <c r="BP93" i="3"/>
  <c r="BO93" i="3"/>
  <c r="BN93" i="3"/>
  <c r="BM93" i="3"/>
  <c r="BK93" i="3"/>
  <c r="BJ93" i="3"/>
  <c r="BI93" i="3"/>
  <c r="BH93" i="3"/>
  <c r="BG93" i="3"/>
  <c r="BF93" i="3"/>
  <c r="BE93" i="3"/>
  <c r="BD93" i="3"/>
  <c r="BC93" i="3"/>
  <c r="BB93" i="3"/>
  <c r="BA93" i="3" s="1"/>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BA91" i="3"/>
  <c r="AX91" i="3"/>
  <c r="AW91" i="3"/>
  <c r="AV91" i="3"/>
  <c r="AC91" i="3"/>
  <c r="H91" i="3"/>
  <c r="BT90" i="3"/>
  <c r="BS90" i="3"/>
  <c r="BR90" i="3"/>
  <c r="BQ90" i="3"/>
  <c r="BP90" i="3"/>
  <c r="BO90" i="3"/>
  <c r="BN90" i="3"/>
  <c r="BM90" i="3"/>
  <c r="BK90" i="3"/>
  <c r="BJ90" i="3"/>
  <c r="BI90" i="3"/>
  <c r="BH90" i="3"/>
  <c r="BG90" i="3"/>
  <c r="BF90" i="3"/>
  <c r="BE90" i="3"/>
  <c r="BD90" i="3"/>
  <c r="BC90" i="3"/>
  <c r="BB90" i="3"/>
  <c r="BA90" i="3" s="1"/>
  <c r="AX90" i="3"/>
  <c r="AW90" i="3"/>
  <c r="AV90" i="3"/>
  <c r="AC90" i="3"/>
  <c r="H90" i="3"/>
  <c r="G90" i="3"/>
  <c r="BT89" i="3"/>
  <c r="BS89" i="3"/>
  <c r="BR89" i="3"/>
  <c r="BQ89" i="3"/>
  <c r="BP89" i="3"/>
  <c r="BO89" i="3"/>
  <c r="BN89" i="3"/>
  <c r="BM89" i="3"/>
  <c r="BK89" i="3"/>
  <c r="BJ89" i="3"/>
  <c r="BI89" i="3"/>
  <c r="BH89" i="3"/>
  <c r="BG89" i="3"/>
  <c r="BF89" i="3"/>
  <c r="BE89" i="3"/>
  <c r="BD89" i="3"/>
  <c r="BC89" i="3"/>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AX88" i="3"/>
  <c r="AW88" i="3"/>
  <c r="AV88" i="3"/>
  <c r="AC88" i="3"/>
  <c r="H88" i="3"/>
  <c r="G88" i="3" s="1"/>
  <c r="BT87" i="3"/>
  <c r="BS87" i="3"/>
  <c r="BR87" i="3"/>
  <c r="BQ87" i="3"/>
  <c r="BP87" i="3"/>
  <c r="BO87" i="3"/>
  <c r="BN87" i="3"/>
  <c r="BM87" i="3"/>
  <c r="BK87" i="3"/>
  <c r="BJ87" i="3"/>
  <c r="BI87" i="3"/>
  <c r="BH87" i="3"/>
  <c r="BG87" i="3"/>
  <c r="BF87" i="3"/>
  <c r="BE87" i="3"/>
  <c r="BD87" i="3"/>
  <c r="BC87" i="3"/>
  <c r="BB87" i="3"/>
  <c r="BA87" i="3"/>
  <c r="AX87" i="3"/>
  <c r="AW87" i="3"/>
  <c r="AV87" i="3"/>
  <c r="AC87" i="3"/>
  <c r="H87" i="3"/>
  <c r="G87" i="3" s="1"/>
  <c r="BT86" i="3"/>
  <c r="BS86" i="3"/>
  <c r="BR86" i="3"/>
  <c r="BQ86" i="3"/>
  <c r="BP86" i="3"/>
  <c r="BO86" i="3"/>
  <c r="BL86" i="3" s="1"/>
  <c r="BN86" i="3"/>
  <c r="BM86" i="3"/>
  <c r="BK86" i="3"/>
  <c r="BJ86" i="3"/>
  <c r="BI86" i="3"/>
  <c r="BH86" i="3"/>
  <c r="BG86" i="3"/>
  <c r="BF86" i="3"/>
  <c r="BE86" i="3"/>
  <c r="BD86" i="3"/>
  <c r="BC86" i="3"/>
  <c r="BB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AX85" i="3"/>
  <c r="AW85" i="3"/>
  <c r="AV85" i="3"/>
  <c r="AC85" i="3"/>
  <c r="H85" i="3"/>
  <c r="G85" i="3"/>
  <c r="BT84" i="3"/>
  <c r="BS84" i="3"/>
  <c r="BR84" i="3"/>
  <c r="BQ84" i="3"/>
  <c r="BP84" i="3"/>
  <c r="BO84" i="3"/>
  <c r="BN84" i="3"/>
  <c r="BM84" i="3"/>
  <c r="BL84" i="3" s="1"/>
  <c r="BK84" i="3"/>
  <c r="BJ84" i="3"/>
  <c r="BI84" i="3"/>
  <c r="BH84" i="3"/>
  <c r="BG84" i="3"/>
  <c r="BF84" i="3"/>
  <c r="BE84" i="3"/>
  <c r="BD84" i="3"/>
  <c r="BA84" i="3" s="1"/>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BA83" i="3"/>
  <c r="AX83" i="3"/>
  <c r="AW83" i="3"/>
  <c r="AV83" i="3"/>
  <c r="AC83" i="3"/>
  <c r="H83" i="3"/>
  <c r="G83" i="3" s="1"/>
  <c r="BT82" i="3"/>
  <c r="BS82" i="3"/>
  <c r="BR82" i="3"/>
  <c r="BQ82" i="3"/>
  <c r="BP82" i="3"/>
  <c r="BO82" i="3"/>
  <c r="BL82" i="3" s="1"/>
  <c r="BN82" i="3"/>
  <c r="BM82" i="3"/>
  <c r="BK82" i="3"/>
  <c r="BJ82" i="3"/>
  <c r="BI82" i="3"/>
  <c r="BH82" i="3"/>
  <c r="BG82" i="3"/>
  <c r="BF82" i="3"/>
  <c r="BE82" i="3"/>
  <c r="BD82" i="3"/>
  <c r="BC82" i="3"/>
  <c r="BB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AX81" i="3"/>
  <c r="AW81" i="3"/>
  <c r="AV81" i="3"/>
  <c r="AC81" i="3"/>
  <c r="H81" i="3"/>
  <c r="G81" i="3"/>
  <c r="BT80" i="3"/>
  <c r="BS80" i="3"/>
  <c r="BR80" i="3"/>
  <c r="BQ80" i="3"/>
  <c r="BP80" i="3"/>
  <c r="BO80" i="3"/>
  <c r="BN80" i="3"/>
  <c r="BM80" i="3"/>
  <c r="BL80" i="3" s="1"/>
  <c r="BK80" i="3"/>
  <c r="BJ80" i="3"/>
  <c r="BI80" i="3"/>
  <c r="BH80" i="3"/>
  <c r="BG80" i="3"/>
  <c r="BF80" i="3"/>
  <c r="BE80" i="3"/>
  <c r="BD80" i="3"/>
  <c r="BA80" i="3" s="1"/>
  <c r="BC80" i="3"/>
  <c r="BB80" i="3"/>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BA79" i="3" s="1"/>
  <c r="AX79" i="3"/>
  <c r="AW79" i="3"/>
  <c r="AV79" i="3"/>
  <c r="AC79" i="3"/>
  <c r="H79" i="3"/>
  <c r="BT78" i="3"/>
  <c r="BS78" i="3"/>
  <c r="BR78" i="3"/>
  <c r="BQ78" i="3"/>
  <c r="BP78" i="3"/>
  <c r="BO78" i="3"/>
  <c r="BL78" i="3" s="1"/>
  <c r="BN78" i="3"/>
  <c r="BM78" i="3"/>
  <c r="BK78" i="3"/>
  <c r="BJ78" i="3"/>
  <c r="BI78" i="3"/>
  <c r="BH78" i="3"/>
  <c r="BG78" i="3"/>
  <c r="BF78" i="3"/>
  <c r="BE78" i="3"/>
  <c r="BD78" i="3"/>
  <c r="BC78" i="3"/>
  <c r="BB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AX77" i="3"/>
  <c r="AW77" i="3"/>
  <c r="AV77" i="3"/>
  <c r="AC77" i="3"/>
  <c r="H77" i="3"/>
  <c r="G77" i="3"/>
  <c r="BT76" i="3"/>
  <c r="BS76" i="3"/>
  <c r="BR76" i="3"/>
  <c r="BQ76" i="3"/>
  <c r="BP76" i="3"/>
  <c r="BO76" i="3"/>
  <c r="BN76" i="3"/>
  <c r="BM76" i="3"/>
  <c r="BL76" i="3" s="1"/>
  <c r="BK76" i="3"/>
  <c r="BJ76" i="3"/>
  <c r="BI76" i="3"/>
  <c r="BH76" i="3"/>
  <c r="BG76" i="3"/>
  <c r="BF76" i="3"/>
  <c r="BE76" i="3"/>
  <c r="BD76" i="3"/>
  <c r="BA76" i="3" s="1"/>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BA75" i="3" s="1"/>
  <c r="AX75" i="3"/>
  <c r="AW75" i="3"/>
  <c r="AV75" i="3"/>
  <c r="AC75" i="3"/>
  <c r="H75" i="3"/>
  <c r="BT74" i="3"/>
  <c r="BS74" i="3"/>
  <c r="BR74" i="3"/>
  <c r="BQ74" i="3"/>
  <c r="BP74" i="3"/>
  <c r="BO74" i="3"/>
  <c r="BN74" i="3"/>
  <c r="BM74" i="3"/>
  <c r="BK74" i="3"/>
  <c r="BJ74" i="3"/>
  <c r="BI74" i="3"/>
  <c r="BH74" i="3"/>
  <c r="BG74" i="3"/>
  <c r="BF74" i="3"/>
  <c r="BE74" i="3"/>
  <c r="BD74" i="3"/>
  <c r="BC74" i="3"/>
  <c r="BB74" i="3"/>
  <c r="BA74" i="3" s="1"/>
  <c r="AX74" i="3"/>
  <c r="AW74" i="3"/>
  <c r="AV74" i="3"/>
  <c r="AC74" i="3"/>
  <c r="H74" i="3"/>
  <c r="G74" i="3"/>
  <c r="BT73" i="3"/>
  <c r="BS73" i="3"/>
  <c r="BR73" i="3"/>
  <c r="BQ73" i="3"/>
  <c r="BP73" i="3"/>
  <c r="BO73" i="3"/>
  <c r="BN73" i="3"/>
  <c r="BM73" i="3"/>
  <c r="BK73" i="3"/>
  <c r="BJ73" i="3"/>
  <c r="BI73" i="3"/>
  <c r="BH73" i="3"/>
  <c r="BG73" i="3"/>
  <c r="BF73" i="3"/>
  <c r="BE73" i="3"/>
  <c r="BD73" i="3"/>
  <c r="BC73" i="3"/>
  <c r="BB73" i="3"/>
  <c r="BA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BA71" i="3" s="1"/>
  <c r="AX71" i="3"/>
  <c r="AW71" i="3"/>
  <c r="AV71" i="3"/>
  <c r="AC71" i="3"/>
  <c r="H71" i="3"/>
  <c r="G71" i="3"/>
  <c r="BT70" i="3"/>
  <c r="BS70" i="3"/>
  <c r="BR70" i="3"/>
  <c r="BQ70" i="3"/>
  <c r="BP70" i="3"/>
  <c r="BO70" i="3"/>
  <c r="BN70" i="3"/>
  <c r="BM70" i="3"/>
  <c r="BK70" i="3"/>
  <c r="BJ70" i="3"/>
  <c r="BI70" i="3"/>
  <c r="BH70" i="3"/>
  <c r="BG70" i="3"/>
  <c r="BF70" i="3"/>
  <c r="BE70" i="3"/>
  <c r="BD70" i="3"/>
  <c r="BC70" i="3"/>
  <c r="BB70" i="3"/>
  <c r="BA70" i="3" s="1"/>
  <c r="AX70" i="3"/>
  <c r="AW70" i="3"/>
  <c r="AV70" i="3"/>
  <c r="AC70" i="3"/>
  <c r="H70" i="3"/>
  <c r="G70" i="3"/>
  <c r="BT69" i="3"/>
  <c r="BS69" i="3"/>
  <c r="BR69" i="3"/>
  <c r="BQ69" i="3"/>
  <c r="BP69" i="3"/>
  <c r="BO69" i="3"/>
  <c r="BN69" i="3"/>
  <c r="BM69" i="3"/>
  <c r="BL69" i="3" s="1"/>
  <c r="BK69" i="3"/>
  <c r="BJ69" i="3"/>
  <c r="BI69" i="3"/>
  <c r="BH69" i="3"/>
  <c r="BG69" i="3"/>
  <c r="BF69" i="3"/>
  <c r="BE69" i="3"/>
  <c r="BD69" i="3"/>
  <c r="BA69" i="3" s="1"/>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BA68" i="3" s="1"/>
  <c r="AX68" i="3"/>
  <c r="AW68" i="3"/>
  <c r="AV68" i="3"/>
  <c r="AC68" i="3"/>
  <c r="H68" i="3"/>
  <c r="G68" i="3" s="1"/>
  <c r="BT67" i="3"/>
  <c r="BS67" i="3"/>
  <c r="BR67" i="3"/>
  <c r="BQ67" i="3"/>
  <c r="BP67" i="3"/>
  <c r="BO67" i="3"/>
  <c r="BN67" i="3"/>
  <c r="BM67" i="3"/>
  <c r="BK67" i="3"/>
  <c r="BJ67" i="3"/>
  <c r="BI67" i="3"/>
  <c r="BH67" i="3"/>
  <c r="BG67" i="3"/>
  <c r="BF67" i="3"/>
  <c r="BE67" i="3"/>
  <c r="BD67" i="3"/>
  <c r="BC67" i="3"/>
  <c r="BB67" i="3"/>
  <c r="BA67" i="3" s="1"/>
  <c r="AX67" i="3"/>
  <c r="AW67" i="3"/>
  <c r="AV67" i="3"/>
  <c r="AC67" i="3"/>
  <c r="H67" i="3"/>
  <c r="G67" i="3"/>
  <c r="BT66" i="3"/>
  <c r="BS66" i="3"/>
  <c r="BR66" i="3"/>
  <c r="BQ66" i="3"/>
  <c r="BP66" i="3"/>
  <c r="BO66" i="3"/>
  <c r="BN66" i="3"/>
  <c r="BM66" i="3"/>
  <c r="BL66" i="3"/>
  <c r="BK66" i="3"/>
  <c r="BJ66" i="3"/>
  <c r="BI66" i="3"/>
  <c r="BH66" i="3"/>
  <c r="BG66" i="3"/>
  <c r="BF66" i="3"/>
  <c r="BE66" i="3"/>
  <c r="BD66" i="3"/>
  <c r="BC66" i="3"/>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BA64" i="3"/>
  <c r="AX64" i="3"/>
  <c r="AW64" i="3"/>
  <c r="AV64" i="3"/>
  <c r="AC64" i="3"/>
  <c r="H64" i="3"/>
  <c r="G64" i="3" s="1"/>
  <c r="BT63" i="3"/>
  <c r="BS63" i="3"/>
  <c r="BR63" i="3"/>
  <c r="BQ63" i="3"/>
  <c r="BP63" i="3"/>
  <c r="BO63" i="3"/>
  <c r="BL63" i="3" s="1"/>
  <c r="BN63" i="3"/>
  <c r="BM63" i="3"/>
  <c r="BK63" i="3"/>
  <c r="BJ63" i="3"/>
  <c r="BI63" i="3"/>
  <c r="BH63" i="3"/>
  <c r="BG63" i="3"/>
  <c r="BF63" i="3"/>
  <c r="BE63" i="3"/>
  <c r="BD63" i="3"/>
  <c r="BC63" i="3"/>
  <c r="BB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AX62" i="3"/>
  <c r="AW62" i="3"/>
  <c r="AV62" i="3"/>
  <c r="AC62" i="3"/>
  <c r="H62" i="3"/>
  <c r="G62" i="3"/>
  <c r="BT61" i="3"/>
  <c r="BS61" i="3"/>
  <c r="BR61" i="3"/>
  <c r="BQ61" i="3"/>
  <c r="BP61" i="3"/>
  <c r="BO61" i="3"/>
  <c r="BN61" i="3"/>
  <c r="BM61" i="3"/>
  <c r="BL61" i="3" s="1"/>
  <c r="BK61" i="3"/>
  <c r="BJ61" i="3"/>
  <c r="BI61" i="3"/>
  <c r="BH61" i="3"/>
  <c r="BG61" i="3"/>
  <c r="BF61" i="3"/>
  <c r="BE61" i="3"/>
  <c r="BD61" i="3"/>
  <c r="BA61" i="3" s="1"/>
  <c r="AZ61" i="3" s="1"/>
  <c r="BC61" i="3"/>
  <c r="BB61" i="3"/>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BA60" i="3" s="1"/>
  <c r="AX60" i="3"/>
  <c r="AW60" i="3"/>
  <c r="AV60" i="3"/>
  <c r="AC60" i="3"/>
  <c r="H60" i="3"/>
  <c r="G60" i="3"/>
  <c r="BT59" i="3"/>
  <c r="BS59" i="3"/>
  <c r="BR59" i="3"/>
  <c r="BQ59" i="3"/>
  <c r="BP59" i="3"/>
  <c r="BO59" i="3"/>
  <c r="BN59" i="3"/>
  <c r="BM59" i="3"/>
  <c r="BK59" i="3"/>
  <c r="BJ59" i="3"/>
  <c r="BI59" i="3"/>
  <c r="BH59" i="3"/>
  <c r="BG59" i="3"/>
  <c r="BF59" i="3"/>
  <c r="BE59" i="3"/>
  <c r="BD59" i="3"/>
  <c r="BC59" i="3"/>
  <c r="BB59" i="3"/>
  <c r="AX59" i="3"/>
  <c r="AW59" i="3"/>
  <c r="AV59" i="3"/>
  <c r="AC59" i="3"/>
  <c r="H59" i="3"/>
  <c r="G59" i="3"/>
  <c r="BT58" i="3"/>
  <c r="BS58" i="3"/>
  <c r="BR58" i="3"/>
  <c r="BQ58" i="3"/>
  <c r="BP58" i="3"/>
  <c r="BO58" i="3"/>
  <c r="BN58" i="3"/>
  <c r="BM58" i="3"/>
  <c r="BL58" i="3" s="1"/>
  <c r="BK58" i="3"/>
  <c r="BJ58" i="3"/>
  <c r="BI58" i="3"/>
  <c r="BH58" i="3"/>
  <c r="BG58" i="3"/>
  <c r="BF58" i="3"/>
  <c r="BE58" i="3"/>
  <c r="BD58" i="3"/>
  <c r="BA58" i="3" s="1"/>
  <c r="AZ58" i="3" s="1"/>
  <c r="BC58" i="3"/>
  <c r="BB58" i="3"/>
  <c r="AX58" i="3"/>
  <c r="AW58" i="3"/>
  <c r="AV58" i="3"/>
  <c r="AC58" i="3"/>
  <c r="H58" i="3"/>
  <c r="G58" i="3" s="1"/>
  <c r="BT57" i="3"/>
  <c r="BS57" i="3"/>
  <c r="BR57" i="3"/>
  <c r="BQ57" i="3"/>
  <c r="BP57" i="3"/>
  <c r="BO57" i="3"/>
  <c r="BN57" i="3"/>
  <c r="BM57" i="3"/>
  <c r="BK57" i="3"/>
  <c r="BJ57" i="3"/>
  <c r="BI57" i="3"/>
  <c r="BH57" i="3"/>
  <c r="BG57" i="3"/>
  <c r="BF57" i="3"/>
  <c r="BE57" i="3"/>
  <c r="BD57" i="3"/>
  <c r="BC57" i="3"/>
  <c r="BB57" i="3"/>
  <c r="BA57" i="3" s="1"/>
  <c r="AX57" i="3"/>
  <c r="AW57" i="3"/>
  <c r="AV57" i="3"/>
  <c r="AC57" i="3"/>
  <c r="H57" i="3"/>
  <c r="G57" i="3"/>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A55" i="3" s="1"/>
  <c r="BC55" i="3"/>
  <c r="BB55" i="3"/>
  <c r="AX55" i="3"/>
  <c r="AW55" i="3"/>
  <c r="AV55" i="3"/>
  <c r="AC55" i="3"/>
  <c r="H55" i="3"/>
  <c r="G55" i="3" s="1"/>
  <c r="BT54" i="3"/>
  <c r="BS54" i="3"/>
  <c r="BR54" i="3"/>
  <c r="BQ54" i="3"/>
  <c r="BP54" i="3"/>
  <c r="BO54" i="3"/>
  <c r="BN54" i="3"/>
  <c r="BM54" i="3"/>
  <c r="BK54" i="3"/>
  <c r="BJ54" i="3"/>
  <c r="BI54" i="3"/>
  <c r="BH54" i="3"/>
  <c r="BG54" i="3"/>
  <c r="BF54" i="3"/>
  <c r="BE54" i="3"/>
  <c r="BD54" i="3"/>
  <c r="BC54" i="3"/>
  <c r="BB54" i="3"/>
  <c r="BA54" i="3"/>
  <c r="AX54" i="3"/>
  <c r="AW54" i="3"/>
  <c r="AV54" i="3"/>
  <c r="AC54" i="3"/>
  <c r="H54" i="3"/>
  <c r="BT53" i="3"/>
  <c r="BS53" i="3"/>
  <c r="BR53" i="3"/>
  <c r="BQ53" i="3"/>
  <c r="BP53" i="3"/>
  <c r="BO53" i="3"/>
  <c r="BL53" i="3" s="1"/>
  <c r="BN53" i="3"/>
  <c r="BM53" i="3"/>
  <c r="BK53" i="3"/>
  <c r="BJ53" i="3"/>
  <c r="BI53" i="3"/>
  <c r="BH53" i="3"/>
  <c r="BG53" i="3"/>
  <c r="BF53" i="3"/>
  <c r="BE53" i="3"/>
  <c r="BD53" i="3"/>
  <c r="BC53" i="3"/>
  <c r="BB53" i="3"/>
  <c r="AX53" i="3"/>
  <c r="AW53" i="3"/>
  <c r="AV53" i="3"/>
  <c r="AC53" i="3"/>
  <c r="H53" i="3"/>
  <c r="G53" i="3"/>
  <c r="BT52" i="3"/>
  <c r="BS52" i="3"/>
  <c r="BR52" i="3"/>
  <c r="BQ52" i="3"/>
  <c r="BP52" i="3"/>
  <c r="BO52" i="3"/>
  <c r="BN52" i="3"/>
  <c r="BM52" i="3"/>
  <c r="BK52" i="3"/>
  <c r="BJ52" i="3"/>
  <c r="BI52" i="3"/>
  <c r="BH52" i="3"/>
  <c r="BG52" i="3"/>
  <c r="BF52" i="3"/>
  <c r="BE52" i="3"/>
  <c r="BD52" i="3"/>
  <c r="BC52" i="3"/>
  <c r="BB52" i="3"/>
  <c r="BA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K49" i="3"/>
  <c r="BJ49" i="3"/>
  <c r="BI49" i="3"/>
  <c r="BH49" i="3"/>
  <c r="BG49" i="3"/>
  <c r="BF49" i="3"/>
  <c r="BE49" i="3"/>
  <c r="BD49" i="3"/>
  <c r="BC49" i="3"/>
  <c r="BB49" i="3"/>
  <c r="BA49" i="3" s="1"/>
  <c r="AX49" i="3"/>
  <c r="AW49" i="3"/>
  <c r="AV49" i="3"/>
  <c r="AC49" i="3"/>
  <c r="H49" i="3"/>
  <c r="G49" i="3"/>
  <c r="BT48" i="3"/>
  <c r="BS48" i="3"/>
  <c r="BR48" i="3"/>
  <c r="BQ48" i="3"/>
  <c r="BP48" i="3"/>
  <c r="BO48" i="3"/>
  <c r="BN48" i="3"/>
  <c r="BM48" i="3"/>
  <c r="BL48" i="3"/>
  <c r="BK48" i="3"/>
  <c r="BJ48" i="3"/>
  <c r="BI48" i="3"/>
  <c r="BH48" i="3"/>
  <c r="BG48" i="3"/>
  <c r="BF48" i="3"/>
  <c r="BE48" i="3"/>
  <c r="BD48" i="3"/>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AX47" i="3"/>
  <c r="AW47" i="3"/>
  <c r="AV47" i="3"/>
  <c r="AC47" i="3"/>
  <c r="H47" i="3"/>
  <c r="G47" i="3" s="1"/>
  <c r="BT46" i="3"/>
  <c r="BS46" i="3"/>
  <c r="BR46" i="3"/>
  <c r="BQ46" i="3"/>
  <c r="BP46" i="3"/>
  <c r="BO46" i="3"/>
  <c r="BN46" i="3"/>
  <c r="BM46" i="3"/>
  <c r="BL46" i="3" s="1"/>
  <c r="BK46" i="3"/>
  <c r="BJ46" i="3"/>
  <c r="BI46" i="3"/>
  <c r="BH46" i="3"/>
  <c r="BG46" i="3"/>
  <c r="BF46" i="3"/>
  <c r="BE46" i="3"/>
  <c r="BD46" i="3"/>
  <c r="BC46" i="3"/>
  <c r="BB46" i="3"/>
  <c r="BA46" i="3" s="1"/>
  <c r="AZ46" i="3" s="1"/>
  <c r="AX46" i="3"/>
  <c r="AW46" i="3"/>
  <c r="AV46" i="3"/>
  <c r="AC46" i="3"/>
  <c r="H46" i="3"/>
  <c r="BT45" i="3"/>
  <c r="BS45" i="3"/>
  <c r="BR45" i="3"/>
  <c r="BQ45" i="3"/>
  <c r="BP45" i="3"/>
  <c r="BO45" i="3"/>
  <c r="BN45" i="3"/>
  <c r="BM45" i="3"/>
  <c r="BK45" i="3"/>
  <c r="BJ45" i="3"/>
  <c r="BI45" i="3"/>
  <c r="BH45" i="3"/>
  <c r="BG45" i="3"/>
  <c r="BF45" i="3"/>
  <c r="BE45" i="3"/>
  <c r="BD45" i="3"/>
  <c r="BC45" i="3"/>
  <c r="BB45" i="3"/>
  <c r="BA45" i="3" s="1"/>
  <c r="AX45" i="3"/>
  <c r="AW45" i="3"/>
  <c r="AV45" i="3"/>
  <c r="AC45" i="3"/>
  <c r="H45" i="3"/>
  <c r="G45" i="3"/>
  <c r="BT44" i="3"/>
  <c r="BS44" i="3"/>
  <c r="BR44" i="3"/>
  <c r="BQ44" i="3"/>
  <c r="BP44" i="3"/>
  <c r="BO44" i="3"/>
  <c r="BN44" i="3"/>
  <c r="BM44" i="3"/>
  <c r="BL44" i="3"/>
  <c r="BK44" i="3"/>
  <c r="BJ44" i="3"/>
  <c r="BI44" i="3"/>
  <c r="BH44" i="3"/>
  <c r="BG44" i="3"/>
  <c r="BF44" i="3"/>
  <c r="BE44" i="3"/>
  <c r="BD44" i="3"/>
  <c r="BC44" i="3"/>
  <c r="BB44" i="3"/>
  <c r="AX44" i="3"/>
  <c r="AW44" i="3"/>
  <c r="AV44" i="3"/>
  <c r="AC44" i="3"/>
  <c r="H44" i="3"/>
  <c r="G44" i="3"/>
  <c r="BT43" i="3"/>
  <c r="BS43" i="3"/>
  <c r="BR43" i="3"/>
  <c r="BQ43" i="3"/>
  <c r="BP43" i="3"/>
  <c r="BO43" i="3"/>
  <c r="BN43" i="3"/>
  <c r="BM43" i="3"/>
  <c r="BL43" i="3" s="1"/>
  <c r="BK43" i="3"/>
  <c r="BJ43" i="3"/>
  <c r="BI43" i="3"/>
  <c r="BH43" i="3"/>
  <c r="BG43" i="3"/>
  <c r="BF43" i="3"/>
  <c r="BE43" i="3"/>
  <c r="BD43" i="3"/>
  <c r="BA43" i="3" s="1"/>
  <c r="BC43" i="3"/>
  <c r="BB43" i="3"/>
  <c r="AX43" i="3"/>
  <c r="AW43" i="3"/>
  <c r="AV43" i="3"/>
  <c r="AC43" i="3"/>
  <c r="H43" i="3"/>
  <c r="G43" i="3" s="1"/>
  <c r="BT42" i="3"/>
  <c r="BS42" i="3"/>
  <c r="BR42" i="3"/>
  <c r="BQ42" i="3"/>
  <c r="BP42" i="3"/>
  <c r="BO42" i="3"/>
  <c r="BN42" i="3"/>
  <c r="BM42" i="3"/>
  <c r="BK42" i="3"/>
  <c r="BJ42" i="3"/>
  <c r="BI42" i="3"/>
  <c r="BH42" i="3"/>
  <c r="BG42" i="3"/>
  <c r="BF42" i="3"/>
  <c r="BE42" i="3"/>
  <c r="BD42" i="3"/>
  <c r="BC42" i="3"/>
  <c r="BB42" i="3"/>
  <c r="BA42" i="3"/>
  <c r="AX42" i="3"/>
  <c r="AW42" i="3"/>
  <c r="AV42" i="3"/>
  <c r="AC42" i="3"/>
  <c r="H42" i="3"/>
  <c r="BT41" i="3"/>
  <c r="BS41" i="3"/>
  <c r="BR41" i="3"/>
  <c r="BQ41" i="3"/>
  <c r="BP41" i="3"/>
  <c r="BO41" i="3"/>
  <c r="BL41" i="3" s="1"/>
  <c r="BN41" i="3"/>
  <c r="BM41" i="3"/>
  <c r="BK41" i="3"/>
  <c r="BJ41" i="3"/>
  <c r="BI41" i="3"/>
  <c r="BH41" i="3"/>
  <c r="BG41" i="3"/>
  <c r="BF41" i="3"/>
  <c r="BE41" i="3"/>
  <c r="BD41" i="3"/>
  <c r="BC41" i="3"/>
  <c r="BB41" i="3"/>
  <c r="AX41" i="3"/>
  <c r="AW41" i="3"/>
  <c r="AV41" i="3"/>
  <c r="AC41" i="3"/>
  <c r="H41" i="3"/>
  <c r="G41" i="3"/>
  <c r="BT40" i="3"/>
  <c r="BS40" i="3"/>
  <c r="BR40" i="3"/>
  <c r="BQ40" i="3"/>
  <c r="BP40" i="3"/>
  <c r="BO40" i="3"/>
  <c r="BN40" i="3"/>
  <c r="BM40" i="3"/>
  <c r="BK40" i="3"/>
  <c r="BJ40" i="3"/>
  <c r="BI40" i="3"/>
  <c r="BH40" i="3"/>
  <c r="BG40" i="3"/>
  <c r="BF40" i="3"/>
  <c r="BE40" i="3"/>
  <c r="BD40" i="3"/>
  <c r="BC40" i="3"/>
  <c r="BB40" i="3"/>
  <c r="AX40" i="3"/>
  <c r="AW40" i="3"/>
  <c r="AV40" i="3"/>
  <c r="AC40" i="3"/>
  <c r="H40" i="3"/>
  <c r="G40" i="3"/>
  <c r="BT39" i="3"/>
  <c r="BS39" i="3"/>
  <c r="BR39" i="3"/>
  <c r="BQ39" i="3"/>
  <c r="BP39" i="3"/>
  <c r="BO39" i="3"/>
  <c r="BN39" i="3"/>
  <c r="BM39" i="3"/>
  <c r="BL39" i="3" s="1"/>
  <c r="BK39" i="3"/>
  <c r="BJ39" i="3"/>
  <c r="BI39" i="3"/>
  <c r="BH39" i="3"/>
  <c r="BG39" i="3"/>
  <c r="BF39" i="3"/>
  <c r="BE39" i="3"/>
  <c r="BD39" i="3"/>
  <c r="BA39" i="3" s="1"/>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BA38" i="3" s="1"/>
  <c r="AX38" i="3"/>
  <c r="AW38" i="3"/>
  <c r="AV38" i="3"/>
  <c r="AC38" i="3"/>
  <c r="H38" i="3"/>
  <c r="G38" i="3" s="1"/>
  <c r="BT37" i="3"/>
  <c r="BS37" i="3"/>
  <c r="BR37" i="3"/>
  <c r="BQ37" i="3"/>
  <c r="BP37" i="3"/>
  <c r="BO37" i="3"/>
  <c r="BL37" i="3" s="1"/>
  <c r="BN37" i="3"/>
  <c r="BM37" i="3"/>
  <c r="BK37" i="3"/>
  <c r="BJ37" i="3"/>
  <c r="BI37" i="3"/>
  <c r="BH37" i="3"/>
  <c r="BG37" i="3"/>
  <c r="BF37" i="3"/>
  <c r="BE37" i="3"/>
  <c r="BD37" i="3"/>
  <c r="BC37" i="3"/>
  <c r="BB37" i="3"/>
  <c r="AX37" i="3"/>
  <c r="AW37" i="3"/>
  <c r="AV37" i="3"/>
  <c r="AC37" i="3"/>
  <c r="H37" i="3"/>
  <c r="G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BA34" i="3" s="1"/>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BA29" i="3" s="1"/>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BA27" i="3"/>
  <c r="AX27" i="3"/>
  <c r="AW27" i="3"/>
  <c r="AV27" i="3"/>
  <c r="AC27" i="3"/>
  <c r="H27" i="3"/>
  <c r="BT26" i="3"/>
  <c r="BS26" i="3"/>
  <c r="BR26" i="3"/>
  <c r="BQ26" i="3"/>
  <c r="BP26" i="3"/>
  <c r="BO26" i="3"/>
  <c r="BN26" i="3"/>
  <c r="BM26" i="3"/>
  <c r="BK26" i="3"/>
  <c r="BJ26" i="3"/>
  <c r="BI26" i="3"/>
  <c r="BH26" i="3"/>
  <c r="BG26" i="3"/>
  <c r="BF26" i="3"/>
  <c r="BE26" i="3"/>
  <c r="BD26" i="3"/>
  <c r="BC26" i="3"/>
  <c r="BB26" i="3"/>
  <c r="BA26" i="3"/>
  <c r="AX26" i="3"/>
  <c r="AW26" i="3"/>
  <c r="AV26" i="3"/>
  <c r="AC26" i="3"/>
  <c r="H26" i="3"/>
  <c r="BT25" i="3"/>
  <c r="BS25" i="3"/>
  <c r="BR25" i="3"/>
  <c r="BQ25" i="3"/>
  <c r="BP25" i="3"/>
  <c r="BO25" i="3"/>
  <c r="BN25" i="3"/>
  <c r="BM25" i="3"/>
  <c r="BL25" i="3"/>
  <c r="BK25" i="3"/>
  <c r="BJ25" i="3"/>
  <c r="BI25" i="3"/>
  <c r="BH25" i="3"/>
  <c r="BG25" i="3"/>
  <c r="BF25" i="3"/>
  <c r="BE25" i="3"/>
  <c r="BD25" i="3"/>
  <c r="BC25" i="3"/>
  <c r="BB25" i="3"/>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AX24" i="3"/>
  <c r="AW24" i="3"/>
  <c r="AV24" i="3"/>
  <c r="AC24" i="3"/>
  <c r="H24" i="3"/>
  <c r="G24" i="3"/>
  <c r="BT23" i="3"/>
  <c r="BS23" i="3"/>
  <c r="BR23" i="3"/>
  <c r="BQ23" i="3"/>
  <c r="BP23" i="3"/>
  <c r="BO23" i="3"/>
  <c r="BN23" i="3"/>
  <c r="BM23" i="3"/>
  <c r="BL23" i="3" s="1"/>
  <c r="BK23" i="3"/>
  <c r="BJ23" i="3"/>
  <c r="BI23" i="3"/>
  <c r="BH23" i="3"/>
  <c r="BG23" i="3"/>
  <c r="BF23" i="3"/>
  <c r="BE23" i="3"/>
  <c r="BD23" i="3"/>
  <c r="BA23" i="3" s="1"/>
  <c r="BC23" i="3"/>
  <c r="BB23" i="3"/>
  <c r="AX23" i="3"/>
  <c r="AW23" i="3"/>
  <c r="AV23" i="3"/>
  <c r="AC23" i="3"/>
  <c r="H23" i="3"/>
  <c r="G23" i="3" s="1"/>
  <c r="BT22" i="3"/>
  <c r="BS22" i="3"/>
  <c r="BR22" i="3"/>
  <c r="BQ22" i="3"/>
  <c r="BP22" i="3"/>
  <c r="BO22" i="3"/>
  <c r="BN22" i="3"/>
  <c r="BM22" i="3"/>
  <c r="BK22" i="3"/>
  <c r="BJ22" i="3"/>
  <c r="BI22" i="3"/>
  <c r="BH22" i="3"/>
  <c r="BG22" i="3"/>
  <c r="BF22" i="3"/>
  <c r="BE22" i="3"/>
  <c r="BD22" i="3"/>
  <c r="BC22" i="3"/>
  <c r="BB22" i="3"/>
  <c r="BA22" i="3" s="1"/>
  <c r="AX22" i="3"/>
  <c r="AW22" i="3"/>
  <c r="AV22" i="3"/>
  <c r="AC22" i="3"/>
  <c r="H22" i="3"/>
  <c r="G22" i="3" s="1"/>
  <c r="BT21" i="3"/>
  <c r="BS21" i="3"/>
  <c r="BR21" i="3"/>
  <c r="BQ21" i="3"/>
  <c r="BP21" i="3"/>
  <c r="BO21" i="3"/>
  <c r="BL21" i="3" s="1"/>
  <c r="BN21" i="3"/>
  <c r="BM21" i="3"/>
  <c r="BK21" i="3"/>
  <c r="BJ21" i="3"/>
  <c r="BI21" i="3"/>
  <c r="BH21" i="3"/>
  <c r="BG21" i="3"/>
  <c r="BF21" i="3"/>
  <c r="BE21" i="3"/>
  <c r="BD21" i="3"/>
  <c r="BC21" i="3"/>
  <c r="BB21" i="3"/>
  <c r="AX21" i="3"/>
  <c r="AW21" i="3"/>
  <c r="AV21" i="3"/>
  <c r="AC21" i="3"/>
  <c r="H21" i="3"/>
  <c r="G21"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L202" i="3" s="1"/>
  <c r="BM202" i="3"/>
  <c r="BK202" i="3"/>
  <c r="BJ202" i="3"/>
  <c r="BI202" i="3"/>
  <c r="BH202" i="3"/>
  <c r="BG202" i="3"/>
  <c r="BF202" i="3"/>
  <c r="BE202" i="3"/>
  <c r="BD202" i="3"/>
  <c r="BC202" i="3"/>
  <c r="BB202" i="3"/>
  <c r="BA202" i="3" s="1"/>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G201" i="3" s="1"/>
  <c r="BT200" i="3"/>
  <c r="BS200" i="3"/>
  <c r="BR200" i="3"/>
  <c r="BQ200" i="3"/>
  <c r="BP200" i="3"/>
  <c r="BO200" i="3"/>
  <c r="BL200" i="3" s="1"/>
  <c r="BN200" i="3"/>
  <c r="BM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G197" i="3" s="1"/>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BA195" i="3" s="1"/>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G193" i="3" s="1"/>
  <c r="BT192" i="3"/>
  <c r="BS192" i="3"/>
  <c r="BR192" i="3"/>
  <c r="BQ192" i="3"/>
  <c r="BP192" i="3"/>
  <c r="BO192" i="3"/>
  <c r="BL192" i="3" s="1"/>
  <c r="BN192" i="3"/>
  <c r="BM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G189" i="3" s="1"/>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BA187" i="3" s="1"/>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G185" i="3" s="1"/>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BA183" i="3" s="1"/>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G181" i="3" s="1"/>
  <c r="BT180" i="3"/>
  <c r="BS180" i="3"/>
  <c r="BR180" i="3"/>
  <c r="BQ180" i="3"/>
  <c r="BP180" i="3"/>
  <c r="BO180" i="3"/>
  <c r="BN180" i="3"/>
  <c r="BL180" i="3" s="1"/>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L178" i="3" s="1"/>
  <c r="BM178" i="3"/>
  <c r="BK178" i="3"/>
  <c r="BJ178" i="3"/>
  <c r="BI178" i="3"/>
  <c r="BH178" i="3"/>
  <c r="BG178" i="3"/>
  <c r="BF178" i="3"/>
  <c r="BE178" i="3"/>
  <c r="BD178" i="3"/>
  <c r="BC178" i="3"/>
  <c r="BB178" i="3"/>
  <c r="AX178" i="3"/>
  <c r="AW178" i="3"/>
  <c r="AV178" i="3"/>
  <c r="AC178" i="3"/>
  <c r="G178" i="3" s="1"/>
  <c r="H178" i="3"/>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G177" i="3"/>
  <c r="BT176" i="3"/>
  <c r="BS176" i="3"/>
  <c r="BR176" i="3"/>
  <c r="BQ176" i="3"/>
  <c r="BP176" i="3"/>
  <c r="BO176" i="3"/>
  <c r="BN176" i="3"/>
  <c r="BM176" i="3"/>
  <c r="BK176" i="3"/>
  <c r="BJ176" i="3"/>
  <c r="BI176" i="3"/>
  <c r="BH176" i="3"/>
  <c r="BG176" i="3"/>
  <c r="BF176" i="3"/>
  <c r="BE176" i="3"/>
  <c r="BD176" i="3"/>
  <c r="BC176" i="3"/>
  <c r="BA176" i="3" s="1"/>
  <c r="BB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A174" i="3" s="1"/>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L172" i="3" s="1"/>
  <c r="BM172" i="3"/>
  <c r="BK172" i="3"/>
  <c r="BJ172" i="3"/>
  <c r="BI172" i="3"/>
  <c r="BH172" i="3"/>
  <c r="BG172" i="3"/>
  <c r="BF172" i="3"/>
  <c r="BE172" i="3"/>
  <c r="BD172" i="3"/>
  <c r="BC172" i="3"/>
  <c r="BB172" i="3"/>
  <c r="BA172" i="3" s="1"/>
  <c r="AX172" i="3"/>
  <c r="AW172" i="3"/>
  <c r="AV172" i="3"/>
  <c r="AC172" i="3"/>
  <c r="G172" i="3" s="1"/>
  <c r="H172" i="3"/>
  <c r="BT171" i="3"/>
  <c r="BS171" i="3"/>
  <c r="BR171" i="3"/>
  <c r="BQ171" i="3"/>
  <c r="BP171" i="3"/>
  <c r="BO171" i="3"/>
  <c r="BN171" i="3"/>
  <c r="BM171" i="3"/>
  <c r="BK171" i="3"/>
  <c r="BJ171" i="3"/>
  <c r="BI171" i="3"/>
  <c r="BH171" i="3"/>
  <c r="BG171" i="3"/>
  <c r="BF171" i="3"/>
  <c r="BE171" i="3"/>
  <c r="BD171" i="3"/>
  <c r="BC171" i="3"/>
  <c r="BB171" i="3"/>
  <c r="BA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G170" i="3" s="1"/>
  <c r="H170" i="3"/>
  <c r="BT169" i="3"/>
  <c r="BS169" i="3"/>
  <c r="BR169" i="3"/>
  <c r="BQ169" i="3"/>
  <c r="BP169" i="3"/>
  <c r="BO169" i="3"/>
  <c r="BL169" i="3" s="1"/>
  <c r="BN169" i="3"/>
  <c r="BM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K168" i="3"/>
  <c r="BJ168" i="3"/>
  <c r="BI168" i="3"/>
  <c r="BH168" i="3"/>
  <c r="BG168" i="3"/>
  <c r="BF168" i="3"/>
  <c r="BE168" i="3"/>
  <c r="BD168" i="3"/>
  <c r="BC168" i="3"/>
  <c r="BA168" i="3" s="1"/>
  <c r="BB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L164" i="3" s="1"/>
  <c r="BM164" i="3"/>
  <c r="BK164" i="3"/>
  <c r="BJ164" i="3"/>
  <c r="BI164" i="3"/>
  <c r="BH164" i="3"/>
  <c r="BG164" i="3"/>
  <c r="BF164" i="3"/>
  <c r="BE164" i="3"/>
  <c r="BD164" i="3"/>
  <c r="BC164" i="3"/>
  <c r="BB164" i="3"/>
  <c r="BA164" i="3" s="1"/>
  <c r="AX164" i="3"/>
  <c r="AW164" i="3"/>
  <c r="AV164" i="3"/>
  <c r="AC164" i="3"/>
  <c r="G164" i="3" s="1"/>
  <c r="H164" i="3"/>
  <c r="BT163" i="3"/>
  <c r="BS163" i="3"/>
  <c r="BR163" i="3"/>
  <c r="BQ163" i="3"/>
  <c r="BP163" i="3"/>
  <c r="BO163" i="3"/>
  <c r="BL163" i="3" s="1"/>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A159" i="3" s="1"/>
  <c r="AZ159" i="3" s="1"/>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G156" i="3" s="1"/>
  <c r="H156" i="3"/>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AX152" i="3"/>
  <c r="AW152" i="3"/>
  <c r="AV152" i="3"/>
  <c r="AC152" i="3"/>
  <c r="H152" i="3"/>
  <c r="G152" i="3"/>
  <c r="BT151" i="3"/>
  <c r="BS151" i="3"/>
  <c r="BR151" i="3"/>
  <c r="BQ151" i="3"/>
  <c r="BP151" i="3"/>
  <c r="BO151" i="3"/>
  <c r="BN151" i="3"/>
  <c r="BM151" i="3"/>
  <c r="BK151" i="3"/>
  <c r="BJ151" i="3"/>
  <c r="BI151" i="3"/>
  <c r="BH151" i="3"/>
  <c r="BG151" i="3"/>
  <c r="BF151" i="3"/>
  <c r="BE151" i="3"/>
  <c r="BD151" i="3"/>
  <c r="BA151" i="3" s="1"/>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G149" i="3" s="1"/>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G145" i="3" s="1"/>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L141" i="3" s="1"/>
  <c r="BM141" i="3"/>
  <c r="BK141" i="3"/>
  <c r="BJ141" i="3"/>
  <c r="BI141" i="3"/>
  <c r="BH141" i="3"/>
  <c r="BG141" i="3"/>
  <c r="BF141" i="3"/>
  <c r="BE141" i="3"/>
  <c r="BD141" i="3"/>
  <c r="BC141" i="3"/>
  <c r="BB141" i="3"/>
  <c r="BA141" i="3" s="1"/>
  <c r="AX141" i="3"/>
  <c r="AW141" i="3"/>
  <c r="AV141" i="3"/>
  <c r="AC141" i="3"/>
  <c r="G141" i="3" s="1"/>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BA137" i="3" s="1"/>
  <c r="AX137" i="3"/>
  <c r="AW137" i="3"/>
  <c r="AV137" i="3"/>
  <c r="AC137" i="3"/>
  <c r="H137" i="3"/>
  <c r="G137" i="3" s="1"/>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AX133" i="3"/>
  <c r="AW133" i="3"/>
  <c r="AV133" i="3"/>
  <c r="AC133" i="3"/>
  <c r="H133" i="3"/>
  <c r="G133" i="3"/>
  <c r="BT132" i="3"/>
  <c r="BS132" i="3"/>
  <c r="BR132" i="3"/>
  <c r="BQ132" i="3"/>
  <c r="BP132" i="3"/>
  <c r="BO132" i="3"/>
  <c r="BN132" i="3"/>
  <c r="BM132" i="3"/>
  <c r="BL132" i="3" s="1"/>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c r="AX129" i="3"/>
  <c r="AW129" i="3"/>
  <c r="AV129" i="3"/>
  <c r="AC129" i="3"/>
  <c r="H129" i="3"/>
  <c r="G129" i="3" s="1"/>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L125" i="3" s="1"/>
  <c r="BN125" i="3"/>
  <c r="BM125" i="3"/>
  <c r="BK125" i="3"/>
  <c r="BJ125" i="3"/>
  <c r="BI125" i="3"/>
  <c r="BH125" i="3"/>
  <c r="BG125" i="3"/>
  <c r="BF125" i="3"/>
  <c r="BE125" i="3"/>
  <c r="BD125" i="3"/>
  <c r="BC125" i="3"/>
  <c r="BB125" i="3"/>
  <c r="AX125" i="3"/>
  <c r="AW125" i="3"/>
  <c r="AV125" i="3"/>
  <c r="AC125" i="3"/>
  <c r="H125" i="3"/>
  <c r="G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G121" i="3" s="1"/>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AX117" i="3"/>
  <c r="AW117" i="3"/>
  <c r="AV117" i="3"/>
  <c r="AC117" i="3"/>
  <c r="H117" i="3"/>
  <c r="G117" i="3" s="1"/>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L114" i="3" s="1"/>
  <c r="BM114" i="3"/>
  <c r="BK114" i="3"/>
  <c r="BJ114" i="3"/>
  <c r="BI114" i="3"/>
  <c r="BH114" i="3"/>
  <c r="BG114" i="3"/>
  <c r="BF114" i="3"/>
  <c r="BE114" i="3"/>
  <c r="BD114" i="3"/>
  <c r="BC114" i="3"/>
  <c r="BB114" i="3"/>
  <c r="AX114" i="3"/>
  <c r="AW114" i="3"/>
  <c r="AV114" i="3"/>
  <c r="AC114" i="3"/>
  <c r="G114" i="3" s="1"/>
  <c r="H114" i="3"/>
  <c r="BT113" i="3"/>
  <c r="BS113" i="3"/>
  <c r="BR113" i="3"/>
  <c r="BQ113" i="3"/>
  <c r="BP113" i="3"/>
  <c r="BO113" i="3"/>
  <c r="BN113" i="3"/>
  <c r="BM113" i="3"/>
  <c r="BK113" i="3"/>
  <c r="BJ113" i="3"/>
  <c r="BI113" i="3"/>
  <c r="BH113" i="3"/>
  <c r="BG113" i="3"/>
  <c r="BF113" i="3"/>
  <c r="BE113" i="3"/>
  <c r="BD113" i="3"/>
  <c r="BC113" i="3"/>
  <c r="BB113" i="3"/>
  <c r="BA113" i="3" s="1"/>
  <c r="AX113" i="3"/>
  <c r="AW113" i="3"/>
  <c r="AV113" i="3"/>
  <c r="AC113" i="3"/>
  <c r="H113" i="3"/>
  <c r="G113" i="3" s="1"/>
  <c r="BT296" i="3"/>
  <c r="BS296" i="3"/>
  <c r="BR296" i="3"/>
  <c r="BQ296" i="3"/>
  <c r="BP296" i="3"/>
  <c r="BO296" i="3"/>
  <c r="BN296" i="3"/>
  <c r="BM296" i="3"/>
  <c r="BL296" i="3"/>
  <c r="BK296" i="3"/>
  <c r="BJ296" i="3"/>
  <c r="BI296" i="3"/>
  <c r="BH296" i="3"/>
  <c r="BG296" i="3"/>
  <c r="BF296" i="3"/>
  <c r="BE296" i="3"/>
  <c r="BD296" i="3"/>
  <c r="BC296" i="3"/>
  <c r="BB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BA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s="1"/>
  <c r="AZ291" i="3" s="1"/>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BA290" i="3" s="1"/>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s="1"/>
  <c r="AZ283" i="3" s="1"/>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BA282" i="3" s="1"/>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s="1"/>
  <c r="AZ279" i="3" s="1"/>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BA278" i="3" s="1"/>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Z275" i="3" s="1"/>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s="1"/>
  <c r="AZ267" i="3" s="1"/>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BA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BA262" i="3" s="1"/>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BA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BA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B246" i="3"/>
  <c r="BA246" i="3" s="1"/>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BA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BA242" i="3" s="1"/>
  <c r="AX242" i="3"/>
  <c r="AW242" i="3"/>
  <c r="AV242" i="3"/>
  <c r="AC242" i="3"/>
  <c r="H242" i="3"/>
  <c r="G242" i="3" s="1"/>
  <c r="BT241" i="3"/>
  <c r="BS241" i="3"/>
  <c r="BR241" i="3"/>
  <c r="BQ241" i="3"/>
  <c r="BP241" i="3"/>
  <c r="BO241" i="3"/>
  <c r="BN241" i="3"/>
  <c r="BM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BA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BA232" i="3" s="1"/>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BA230" i="3" s="1"/>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BA224" i="3" s="1"/>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BA218" i="3" s="1"/>
  <c r="AX218" i="3"/>
  <c r="AW218" i="3"/>
  <c r="AV218" i="3"/>
  <c r="AC218" i="3"/>
  <c r="H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BA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AC214" i="3"/>
  <c r="H214" i="3"/>
  <c r="BT213" i="3"/>
  <c r="BS213" i="3"/>
  <c r="BR213" i="3"/>
  <c r="BQ213" i="3"/>
  <c r="BP213" i="3"/>
  <c r="BO213" i="3"/>
  <c r="BN213" i="3"/>
  <c r="BM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s="1"/>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BA210" i="3" s="1"/>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H208" i="3"/>
  <c r="G208" i="3"/>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BA206" i="3" s="1"/>
  <c r="AX206" i="3"/>
  <c r="AW206" i="3"/>
  <c r="AV206" i="3"/>
  <c r="AC206" i="3"/>
  <c r="H206" i="3"/>
  <c r="BT205" i="3"/>
  <c r="BS205" i="3"/>
  <c r="BR205" i="3"/>
  <c r="BQ205" i="3"/>
  <c r="BP205" i="3"/>
  <c r="BO205" i="3"/>
  <c r="BN205" i="3"/>
  <c r="BM205" i="3"/>
  <c r="BK205" i="3"/>
  <c r="BJ205" i="3"/>
  <c r="BI205" i="3"/>
  <c r="BH205" i="3"/>
  <c r="BG205" i="3"/>
  <c r="BF205" i="3"/>
  <c r="BE205" i="3"/>
  <c r="BD205" i="3"/>
  <c r="BC205" i="3"/>
  <c r="BB205" i="3"/>
  <c r="BA205" i="3" s="1"/>
  <c r="AX205" i="3"/>
  <c r="AW205" i="3"/>
  <c r="AV205" i="3"/>
  <c r="AC205" i="3"/>
  <c r="H205" i="3"/>
  <c r="G205" i="3" s="1"/>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G388" i="3"/>
  <c r="BT387" i="3"/>
  <c r="BS387" i="3"/>
  <c r="BR387" i="3"/>
  <c r="BQ387" i="3"/>
  <c r="BP387" i="3"/>
  <c r="BO387" i="3"/>
  <c r="BN387" i="3"/>
  <c r="BM387" i="3"/>
  <c r="BL387" i="3" s="1"/>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G383" i="3" s="1"/>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G367" i="3" s="1"/>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BA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G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BA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G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BA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BA478" i="3"/>
  <c r="AX478" i="3"/>
  <c r="AW478" i="3"/>
  <c r="AV478" i="3"/>
  <c r="AC478" i="3"/>
  <c r="H478" i="3"/>
  <c r="BT477" i="3"/>
  <c r="BS477" i="3"/>
  <c r="BR477" i="3"/>
  <c r="BQ477" i="3"/>
  <c r="BP477" i="3"/>
  <c r="BO477" i="3"/>
  <c r="BL477" i="3" s="1"/>
  <c r="BN477" i="3"/>
  <c r="BM477" i="3"/>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A475" i="3" s="1"/>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A471" i="3" s="1"/>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BA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BT465" i="3"/>
  <c r="BS465" i="3"/>
  <c r="BR465" i="3"/>
  <c r="BQ465" i="3"/>
  <c r="BP465" i="3"/>
  <c r="BO465" i="3"/>
  <c r="BN465" i="3"/>
  <c r="BM465" i="3"/>
  <c r="BK465" i="3"/>
  <c r="BJ465" i="3"/>
  <c r="BI465" i="3"/>
  <c r="BH465" i="3"/>
  <c r="BG465" i="3"/>
  <c r="BF465" i="3"/>
  <c r="BE465" i="3"/>
  <c r="BD465" i="3"/>
  <c r="BC465" i="3"/>
  <c r="BB465" i="3"/>
  <c r="BA465" i="3" s="1"/>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A463" i="3" s="1"/>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BA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BA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BA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BA457" i="3" s="1"/>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BA455" i="3" s="1"/>
  <c r="AX455" i="3"/>
  <c r="AW455" i="3"/>
  <c r="AV455" i="3"/>
  <c r="AC455" i="3"/>
  <c r="H455" i="3"/>
  <c r="BT454" i="3"/>
  <c r="BS454" i="3"/>
  <c r="BR454" i="3"/>
  <c r="BQ454" i="3"/>
  <c r="BP454" i="3"/>
  <c r="BO454" i="3"/>
  <c r="BN454" i="3"/>
  <c r="BM454" i="3"/>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BA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BA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BA446" i="3" s="1"/>
  <c r="AX446" i="3"/>
  <c r="AW446" i="3"/>
  <c r="AV446" i="3"/>
  <c r="AC446" i="3"/>
  <c r="H446" i="3"/>
  <c r="BT445" i="3"/>
  <c r="BS445" i="3"/>
  <c r="BR445" i="3"/>
  <c r="BQ445" i="3"/>
  <c r="BP445" i="3"/>
  <c r="BO445" i="3"/>
  <c r="BL445" i="3" s="1"/>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BA442" i="3" s="1"/>
  <c r="AX442" i="3"/>
  <c r="AW442" i="3"/>
  <c r="AV442" i="3"/>
  <c r="AC442" i="3"/>
  <c r="H442" i="3"/>
  <c r="BT441" i="3"/>
  <c r="BS441" i="3"/>
  <c r="BR441" i="3"/>
  <c r="BQ441" i="3"/>
  <c r="BP441" i="3"/>
  <c r="BO441" i="3"/>
  <c r="BL441" i="3" s="1"/>
  <c r="BN441" i="3"/>
  <c r="BM441" i="3"/>
  <c r="BK441" i="3"/>
  <c r="BJ441" i="3"/>
  <c r="BI441" i="3"/>
  <c r="BH441" i="3"/>
  <c r="BG441" i="3"/>
  <c r="BF441" i="3"/>
  <c r="BE441" i="3"/>
  <c r="BD441" i="3"/>
  <c r="BC441" i="3"/>
  <c r="BB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A439" i="3" s="1"/>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H431" i="3"/>
  <c r="BT430" i="3"/>
  <c r="BS430" i="3"/>
  <c r="BR430" i="3"/>
  <c r="BQ430" i="3"/>
  <c r="BP430" i="3"/>
  <c r="BO430" i="3"/>
  <c r="BN430" i="3"/>
  <c r="BM430" i="3"/>
  <c r="BK430" i="3"/>
  <c r="BJ430" i="3"/>
  <c r="BI430" i="3"/>
  <c r="BH430" i="3"/>
  <c r="BG430" i="3"/>
  <c r="BF430" i="3"/>
  <c r="BE430" i="3"/>
  <c r="BD430" i="3"/>
  <c r="BC430" i="3"/>
  <c r="BB430" i="3"/>
  <c r="BA430" i="3" s="1"/>
  <c r="AX430" i="3"/>
  <c r="AW430" i="3"/>
  <c r="AV430" i="3"/>
  <c r="AC430" i="3"/>
  <c r="H430" i="3"/>
  <c r="BT429" i="3"/>
  <c r="BS429" i="3"/>
  <c r="BR429" i="3"/>
  <c r="BQ429" i="3"/>
  <c r="BP429" i="3"/>
  <c r="BO429" i="3"/>
  <c r="BN429" i="3"/>
  <c r="BM429" i="3"/>
  <c r="BL429" i="3"/>
  <c r="BK429" i="3"/>
  <c r="BJ429" i="3"/>
  <c r="BI429" i="3"/>
  <c r="BH429" i="3"/>
  <c r="BG429" i="3"/>
  <c r="BF429" i="3"/>
  <c r="BE429" i="3"/>
  <c r="BD429" i="3"/>
  <c r="BC429" i="3"/>
  <c r="BB429" i="3"/>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BA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BA426" i="3" s="1"/>
  <c r="AX426" i="3"/>
  <c r="AW426" i="3"/>
  <c r="AV426" i="3"/>
  <c r="AC426" i="3"/>
  <c r="H426" i="3"/>
  <c r="BT425" i="3"/>
  <c r="BS425" i="3"/>
  <c r="BR425" i="3"/>
  <c r="BQ425" i="3"/>
  <c r="BP425" i="3"/>
  <c r="BO425" i="3"/>
  <c r="BN425" i="3"/>
  <c r="BM425" i="3"/>
  <c r="BL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BA423" i="3" s="1"/>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L421" i="3" s="1"/>
  <c r="BM421" i="3"/>
  <c r="BK421" i="3"/>
  <c r="BJ421" i="3"/>
  <c r="BI421" i="3"/>
  <c r="BH421" i="3"/>
  <c r="BG421" i="3"/>
  <c r="BF421" i="3"/>
  <c r="BE421" i="3"/>
  <c r="BD421" i="3"/>
  <c r="BC421" i="3"/>
  <c r="BB421" i="3"/>
  <c r="AX421" i="3"/>
  <c r="AW421" i="3"/>
  <c r="AV421" i="3"/>
  <c r="AC421" i="3"/>
  <c r="G421" i="3" s="1"/>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s="1"/>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s="1"/>
  <c r="AX414" i="3"/>
  <c r="AW414" i="3"/>
  <c r="AV414" i="3"/>
  <c r="AC414" i="3"/>
  <c r="H414" i="3"/>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H410" i="3"/>
  <c r="BT409" i="3"/>
  <c r="BS409" i="3"/>
  <c r="BR409" i="3"/>
  <c r="BQ409" i="3"/>
  <c r="BP409" i="3"/>
  <c r="BO409" i="3"/>
  <c r="BN409" i="3"/>
  <c r="BL409" i="3" s="1"/>
  <c r="BM409" i="3"/>
  <c r="BK409" i="3"/>
  <c r="BJ409" i="3"/>
  <c r="BI409" i="3"/>
  <c r="BH409" i="3"/>
  <c r="BG409" i="3"/>
  <c r="BF409" i="3"/>
  <c r="BE409" i="3"/>
  <c r="BD409" i="3"/>
  <c r="BC409" i="3"/>
  <c r="BB409" i="3"/>
  <c r="BA409" i="3" s="1"/>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BA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BA402" i="3"/>
  <c r="AX402" i="3"/>
  <c r="AW402" i="3"/>
  <c r="AV402" i="3"/>
  <c r="AC402" i="3"/>
  <c r="H402" i="3"/>
  <c r="G402" i="3" s="1"/>
  <c r="BT401" i="3"/>
  <c r="BS401" i="3"/>
  <c r="BR401" i="3"/>
  <c r="BQ401" i="3"/>
  <c r="BP401" i="3"/>
  <c r="BO401" i="3"/>
  <c r="BN401" i="3"/>
  <c r="BM401" i="3"/>
  <c r="BL401" i="3" s="1"/>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BA398" i="3"/>
  <c r="AX398" i="3"/>
  <c r="AW398" i="3"/>
  <c r="AV398" i="3"/>
  <c r="AC398" i="3"/>
  <c r="H398" i="3"/>
  <c r="G398" i="3" s="1"/>
  <c r="BT397" i="3"/>
  <c r="BS397" i="3"/>
  <c r="BR397" i="3"/>
  <c r="BQ397" i="3"/>
  <c r="BP397" i="3"/>
  <c r="BO397" i="3"/>
  <c r="BN397" i="3"/>
  <c r="BM397" i="3"/>
  <c r="BK397" i="3"/>
  <c r="BJ397" i="3"/>
  <c r="BI397" i="3"/>
  <c r="BH397" i="3"/>
  <c r="BG397" i="3"/>
  <c r="BF397" i="3"/>
  <c r="BE397" i="3"/>
  <c r="BD397" i="3"/>
  <c r="BC397" i="3"/>
  <c r="BB397" i="3"/>
  <c r="BA397" i="3" s="1"/>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s="1"/>
  <c r="AX395" i="3"/>
  <c r="AW395" i="3"/>
  <c r="AV395" i="3"/>
  <c r="AC395" i="3"/>
  <c r="H395" i="3"/>
  <c r="G395" i="3" s="1"/>
  <c r="BT394" i="3"/>
  <c r="BS394" i="3"/>
  <c r="BR394" i="3"/>
  <c r="BQ394" i="3"/>
  <c r="BP394" i="3"/>
  <c r="BO394" i="3"/>
  <c r="BN394" i="3"/>
  <c r="BM394" i="3"/>
  <c r="BL394" i="3" s="1"/>
  <c r="BK394" i="3"/>
  <c r="BJ394" i="3"/>
  <c r="BI394" i="3"/>
  <c r="BH394" i="3"/>
  <c r="BG394" i="3"/>
  <c r="BF394" i="3"/>
  <c r="BE394" i="3"/>
  <c r="BD394" i="3"/>
  <c r="BC394" i="3"/>
  <c r="BB394" i="3"/>
  <c r="BA394" i="3" s="1"/>
  <c r="AX394" i="3"/>
  <c r="AW394" i="3"/>
  <c r="AV394" i="3"/>
  <c r="AC394" i="3"/>
  <c r="H394" i="3"/>
  <c r="G394" i="3" s="1"/>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G393" i="3" s="1"/>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c r="BT391" i="3"/>
  <c r="BS391" i="3"/>
  <c r="BR391" i="3"/>
  <c r="BQ391" i="3"/>
  <c r="BP391" i="3"/>
  <c r="BO391" i="3"/>
  <c r="BN391" i="3"/>
  <c r="BM391" i="3"/>
  <c r="BL391" i="3" s="1"/>
  <c r="BK391" i="3"/>
  <c r="BJ391" i="3"/>
  <c r="BI391" i="3"/>
  <c r="BH391" i="3"/>
  <c r="BG391" i="3"/>
  <c r="BF391" i="3"/>
  <c r="BE391" i="3"/>
  <c r="BD391" i="3"/>
  <c r="BC391" i="3"/>
  <c r="BB391" i="3"/>
  <c r="AX391" i="3"/>
  <c r="AW391" i="3"/>
  <c r="AV391" i="3"/>
  <c r="AC391" i="3"/>
  <c r="H391" i="3"/>
  <c r="G391" i="3" s="1"/>
  <c r="BT390" i="3"/>
  <c r="BS390" i="3"/>
  <c r="BR390" i="3"/>
  <c r="BQ390" i="3"/>
  <c r="BP390" i="3"/>
  <c r="BO390" i="3"/>
  <c r="BN390" i="3"/>
  <c r="BM390" i="3"/>
  <c r="BL390" i="3" s="1"/>
  <c r="BK390" i="3"/>
  <c r="BJ390" i="3"/>
  <c r="BI390" i="3"/>
  <c r="BH390" i="3"/>
  <c r="BG390" i="3"/>
  <c r="BF390" i="3"/>
  <c r="BE390" i="3"/>
  <c r="BD390" i="3"/>
  <c r="BC390" i="3"/>
  <c r="BB390" i="3"/>
  <c r="BA390" i="3" s="1"/>
  <c r="AX390" i="3"/>
  <c r="AW390" i="3"/>
  <c r="AV390" i="3"/>
  <c r="AC390" i="3"/>
  <c r="H390" i="3"/>
  <c r="G390" i="3" s="1"/>
  <c r="BT389" i="3"/>
  <c r="BS389" i="3"/>
  <c r="BR389" i="3"/>
  <c r="BQ389" i="3"/>
  <c r="BP389" i="3"/>
  <c r="BO389" i="3"/>
  <c r="BN389" i="3"/>
  <c r="BM389" i="3"/>
  <c r="BL389" i="3" s="1"/>
  <c r="BK389" i="3"/>
  <c r="BJ389" i="3"/>
  <c r="BI389" i="3"/>
  <c r="BH389" i="3"/>
  <c r="BG389" i="3"/>
  <c r="BF389" i="3"/>
  <c r="BE389" i="3"/>
  <c r="BD389" i="3"/>
  <c r="BC389" i="3"/>
  <c r="BB389" i="3"/>
  <c r="AX389" i="3"/>
  <c r="AW389" i="3"/>
  <c r="AV389" i="3"/>
  <c r="AC389" i="3"/>
  <c r="H389" i="3"/>
  <c r="G389" i="3" s="1"/>
  <c r="H61" i="40"/>
  <c r="I61" i="40" s="1"/>
  <c r="C61" i="40" s="1"/>
  <c r="H60" i="40"/>
  <c r="I60" i="40" s="1"/>
  <c r="C60" i="40" s="1"/>
  <c r="H59" i="40"/>
  <c r="H58" i="40"/>
  <c r="H57" i="40"/>
  <c r="I57" i="40" s="1"/>
  <c r="C57" i="40" s="1"/>
  <c r="H56" i="40"/>
  <c r="I56" i="40" s="1"/>
  <c r="C56" i="40" s="1"/>
  <c r="H55" i="40"/>
  <c r="I55" i="40" s="1"/>
  <c r="C55" i="40" s="1"/>
  <c r="H54" i="40"/>
  <c r="I54" i="40" s="1"/>
  <c r="C54" i="40" s="1"/>
  <c r="H62" i="39"/>
  <c r="I62" i="39" s="1"/>
  <c r="C62" i="39" s="1"/>
  <c r="H59" i="39"/>
  <c r="I59" i="39" s="1"/>
  <c r="C59" i="39" s="1"/>
  <c r="H66" i="39"/>
  <c r="I66" i="39" s="1"/>
  <c r="C66" i="39" s="1"/>
  <c r="H65" i="39"/>
  <c r="I65" i="39" s="1"/>
  <c r="C65" i="39" s="1"/>
  <c r="H64" i="39"/>
  <c r="I64" i="39" s="1"/>
  <c r="C64" i="39" s="1"/>
  <c r="H63" i="39"/>
  <c r="I63" i="39" s="1"/>
  <c r="C63" i="39" s="1"/>
  <c r="H61" i="39"/>
  <c r="I61" i="39" s="1"/>
  <c r="C61" i="39" s="1"/>
  <c r="H60" i="39"/>
  <c r="I60" i="39" s="1"/>
  <c r="C60" i="39" s="1"/>
  <c r="L25" i="4"/>
  <c r="C145" i="21"/>
  <c r="J142" i="21"/>
  <c r="J140" i="21"/>
  <c r="K145" i="21"/>
  <c r="K139" i="21"/>
  <c r="M87" i="21"/>
  <c r="L87" i="21"/>
  <c r="K87" i="21"/>
  <c r="J87" i="21"/>
  <c r="I87" i="21"/>
  <c r="H87" i="21"/>
  <c r="G87" i="21"/>
  <c r="F87" i="21"/>
  <c r="E87" i="21"/>
  <c r="D87" i="21"/>
  <c r="H21" i="46"/>
  <c r="R26" i="31"/>
  <c r="S26" i="31" s="1"/>
  <c r="R27" i="31"/>
  <c r="R28" i="31"/>
  <c r="S28" i="31" s="1"/>
  <c r="R29" i="31"/>
  <c r="R30" i="31"/>
  <c r="S30" i="31"/>
  <c r="R31" i="31"/>
  <c r="R32" i="31"/>
  <c r="S32" i="31" s="1"/>
  <c r="R33" i="31"/>
  <c r="R34" i="31"/>
  <c r="S34" i="31" s="1"/>
  <c r="R35" i="31"/>
  <c r="R36" i="31"/>
  <c r="S36" i="31" s="1"/>
  <c r="R37" i="31"/>
  <c r="R38" i="31"/>
  <c r="S38" i="31"/>
  <c r="R39" i="31"/>
  <c r="R40" i="31"/>
  <c r="S40" i="31" s="1"/>
  <c r="R41" i="31"/>
  <c r="R42" i="31"/>
  <c r="S42" i="31" s="1"/>
  <c r="R43" i="31"/>
  <c r="R44" i="31"/>
  <c r="S44" i="31" s="1"/>
  <c r="R45" i="31"/>
  <c r="R46" i="31"/>
  <c r="S46" i="31"/>
  <c r="R47" i="31"/>
  <c r="R48" i="31"/>
  <c r="S48" i="31" s="1"/>
  <c r="R49" i="31"/>
  <c r="R50" i="31"/>
  <c r="S50" i="31" s="1"/>
  <c r="R51" i="31"/>
  <c r="R52" i="31"/>
  <c r="S52" i="31" s="1"/>
  <c r="R53" i="31"/>
  <c r="R54" i="31"/>
  <c r="S54" i="31"/>
  <c r="R55" i="31"/>
  <c r="R56" i="31"/>
  <c r="S56" i="31" s="1"/>
  <c r="R57" i="31"/>
  <c r="R58" i="31"/>
  <c r="S58" i="31" s="1"/>
  <c r="R59" i="31"/>
  <c r="R60" i="31"/>
  <c r="S60" i="31" s="1"/>
  <c r="R61" i="31"/>
  <c r="R62" i="31"/>
  <c r="S62" i="31"/>
  <c r="R63" i="31"/>
  <c r="R64" i="31"/>
  <c r="S64" i="31" s="1"/>
  <c r="R65" i="31"/>
  <c r="R66" i="31"/>
  <c r="S66" i="31" s="1"/>
  <c r="R67" i="31"/>
  <c r="R68" i="31"/>
  <c r="S68" i="31" s="1"/>
  <c r="R69" i="31"/>
  <c r="R70" i="31"/>
  <c r="S70" i="31"/>
  <c r="R71" i="31"/>
  <c r="R72" i="31"/>
  <c r="S72" i="31" s="1"/>
  <c r="R73" i="31"/>
  <c r="R74" i="31"/>
  <c r="S74" i="31" s="1"/>
  <c r="R75" i="31"/>
  <c r="R76" i="31"/>
  <c r="S76" i="31" s="1"/>
  <c r="R77" i="31"/>
  <c r="R78" i="31"/>
  <c r="S78" i="31"/>
  <c r="R79" i="31"/>
  <c r="R80" i="31"/>
  <c r="S80" i="31" s="1"/>
  <c r="R81" i="31"/>
  <c r="R82" i="31"/>
  <c r="S82" i="31" s="1"/>
  <c r="R83" i="31"/>
  <c r="R84" i="31"/>
  <c r="S84" i="31" s="1"/>
  <c r="R85" i="31"/>
  <c r="R86" i="31"/>
  <c r="S86" i="31"/>
  <c r="R87" i="31"/>
  <c r="R88" i="31"/>
  <c r="S88" i="31" s="1"/>
  <c r="R89" i="31"/>
  <c r="R90" i="31"/>
  <c r="S90" i="31" s="1"/>
  <c r="R91" i="31"/>
  <c r="R92" i="31"/>
  <c r="S92" i="31" s="1"/>
  <c r="R93" i="31"/>
  <c r="R94" i="31"/>
  <c r="S94" i="31"/>
  <c r="R95" i="31"/>
  <c r="R96" i="31"/>
  <c r="S96" i="31" s="1"/>
  <c r="R97" i="31"/>
  <c r="R98" i="31"/>
  <c r="S98" i="31" s="1"/>
  <c r="R99" i="31"/>
  <c r="R100" i="31"/>
  <c r="S100" i="31" s="1"/>
  <c r="R101" i="31"/>
  <c r="R102" i="31"/>
  <c r="S102" i="31"/>
  <c r="R103" i="31"/>
  <c r="R104" i="31"/>
  <c r="S104" i="31" s="1"/>
  <c r="R105" i="31"/>
  <c r="R106" i="31"/>
  <c r="S106" i="31" s="1"/>
  <c r="R107" i="31"/>
  <c r="R108" i="31"/>
  <c r="S108" i="31" s="1"/>
  <c r="R109" i="31"/>
  <c r="R110" i="31"/>
  <c r="S110" i="31"/>
  <c r="R111" i="31"/>
  <c r="R112" i="31"/>
  <c r="S112" i="31" s="1"/>
  <c r="R113" i="31"/>
  <c r="R114" i="31"/>
  <c r="S114" i="31" s="1"/>
  <c r="R115" i="31"/>
  <c r="R116" i="31"/>
  <c r="S116" i="31" s="1"/>
  <c r="R117" i="31"/>
  <c r="R118" i="31"/>
  <c r="S118" i="31"/>
  <c r="R119" i="31"/>
  <c r="R120" i="31"/>
  <c r="S120" i="31" s="1"/>
  <c r="R121" i="31"/>
  <c r="R122" i="31"/>
  <c r="S122" i="31" s="1"/>
  <c r="R123" i="31"/>
  <c r="R124" i="31"/>
  <c r="S124" i="31" s="1"/>
  <c r="R125" i="31"/>
  <c r="R126" i="31"/>
  <c r="S126" i="31"/>
  <c r="R127" i="31"/>
  <c r="R128" i="31"/>
  <c r="S128" i="31" s="1"/>
  <c r="R129" i="31"/>
  <c r="R130" i="31"/>
  <c r="S130" i="31" s="1"/>
  <c r="R131" i="31"/>
  <c r="R132" i="31"/>
  <c r="S132" i="31" s="1"/>
  <c r="R133" i="31"/>
  <c r="R134" i="31"/>
  <c r="S134" i="31"/>
  <c r="R135" i="31"/>
  <c r="R136" i="31"/>
  <c r="S136" i="31" s="1"/>
  <c r="R137" i="31"/>
  <c r="R138" i="31"/>
  <c r="S138" i="31" s="1"/>
  <c r="R139" i="31"/>
  <c r="R140" i="31"/>
  <c r="S140" i="31" s="1"/>
  <c r="R141" i="31"/>
  <c r="R142" i="31"/>
  <c r="S142" i="31"/>
  <c r="R143" i="31"/>
  <c r="R144" i="31"/>
  <c r="S144" i="31" s="1"/>
  <c r="R145" i="31"/>
  <c r="R146" i="31"/>
  <c r="S146" i="31" s="1"/>
  <c r="R147" i="31"/>
  <c r="R148" i="31"/>
  <c r="S148" i="31" s="1"/>
  <c r="R149" i="31"/>
  <c r="R150" i="31"/>
  <c r="S150" i="31"/>
  <c r="R151" i="31"/>
  <c r="R152" i="31"/>
  <c r="S152" i="31" s="1"/>
  <c r="R153" i="31"/>
  <c r="R154" i="31"/>
  <c r="S154" i="31" s="1"/>
  <c r="R155" i="31"/>
  <c r="R156" i="31"/>
  <c r="S156" i="31" s="1"/>
  <c r="R157" i="31"/>
  <c r="R158" i="31"/>
  <c r="S158" i="31"/>
  <c r="R159" i="31"/>
  <c r="R160" i="31"/>
  <c r="S160" i="31" s="1"/>
  <c r="R161" i="31"/>
  <c r="R162" i="31"/>
  <c r="S162" i="31" s="1"/>
  <c r="R163" i="31"/>
  <c r="R164" i="31"/>
  <c r="S164" i="31" s="1"/>
  <c r="R165" i="31"/>
  <c r="R166" i="31"/>
  <c r="S166" i="31"/>
  <c r="R167" i="31"/>
  <c r="R168" i="31"/>
  <c r="S168" i="31" s="1"/>
  <c r="R169" i="31"/>
  <c r="R170" i="31"/>
  <c r="S170" i="31" s="1"/>
  <c r="R171" i="31"/>
  <c r="R172" i="31"/>
  <c r="S172" i="31" s="1"/>
  <c r="R173" i="31"/>
  <c r="R174" i="31"/>
  <c r="S174" i="31"/>
  <c r="R175" i="31"/>
  <c r="R176" i="31"/>
  <c r="S176" i="31" s="1"/>
  <c r="R177" i="31"/>
  <c r="R178" i="31"/>
  <c r="S178" i="31" s="1"/>
  <c r="R179" i="31"/>
  <c r="R180" i="31"/>
  <c r="S180" i="31" s="1"/>
  <c r="R181" i="31"/>
  <c r="R182" i="31"/>
  <c r="S182" i="31"/>
  <c r="R183" i="31"/>
  <c r="R184" i="31"/>
  <c r="S184" i="31" s="1"/>
  <c r="R185" i="31"/>
  <c r="R186" i="31"/>
  <c r="S186" i="31" s="1"/>
  <c r="R187" i="31"/>
  <c r="R188" i="31"/>
  <c r="S188" i="31" s="1"/>
  <c r="R189" i="31"/>
  <c r="R190" i="31"/>
  <c r="S190" i="31"/>
  <c r="R191" i="31"/>
  <c r="R192" i="31"/>
  <c r="S192" i="31" s="1"/>
  <c r="R193" i="31"/>
  <c r="R194" i="31"/>
  <c r="S194" i="31" s="1"/>
  <c r="R195" i="31"/>
  <c r="R196" i="31"/>
  <c r="S196" i="31" s="1"/>
  <c r="R197" i="31"/>
  <c r="R198" i="31"/>
  <c r="S198" i="31"/>
  <c r="R199" i="31"/>
  <c r="R200" i="31"/>
  <c r="S200" i="31" s="1"/>
  <c r="R201" i="31"/>
  <c r="R202" i="31"/>
  <c r="S202" i="31" s="1"/>
  <c r="R203" i="31"/>
  <c r="R204" i="31"/>
  <c r="S204" i="31" s="1"/>
  <c r="R205" i="31"/>
  <c r="R206" i="31"/>
  <c r="S206" i="31"/>
  <c r="R207" i="31"/>
  <c r="R208" i="31"/>
  <c r="S208" i="31" s="1"/>
  <c r="R209" i="31"/>
  <c r="R210" i="31"/>
  <c r="S210" i="31" s="1"/>
  <c r="R211" i="31"/>
  <c r="R212" i="31"/>
  <c r="S212" i="31" s="1"/>
  <c r="R213" i="31"/>
  <c r="R214" i="31"/>
  <c r="S214" i="31"/>
  <c r="R215" i="31"/>
  <c r="R216" i="31"/>
  <c r="S216" i="31" s="1"/>
  <c r="R217" i="31"/>
  <c r="R218" i="31"/>
  <c r="S218" i="31" s="1"/>
  <c r="R219" i="31"/>
  <c r="R220" i="31"/>
  <c r="S220" i="31" s="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c r="R429" i="31"/>
  <c r="R430" i="31"/>
  <c r="S430" i="31" s="1"/>
  <c r="R431" i="31"/>
  <c r="R432" i="31"/>
  <c r="S432" i="31" s="1"/>
  <c r="R433" i="31"/>
  <c r="R434" i="31"/>
  <c r="S434" i="31" s="1"/>
  <c r="R435" i="31"/>
  <c r="R436" i="31"/>
  <c r="S436" i="31"/>
  <c r="R437" i="31"/>
  <c r="R438" i="31"/>
  <c r="S438" i="31" s="1"/>
  <c r="R439" i="31"/>
  <c r="R440" i="31"/>
  <c r="S440" i="31" s="1"/>
  <c r="R441" i="31"/>
  <c r="R442" i="31"/>
  <c r="S442" i="31" s="1"/>
  <c r="R443" i="31"/>
  <c r="R444" i="31"/>
  <c r="S444" i="31"/>
  <c r="R445" i="31"/>
  <c r="R446" i="31"/>
  <c r="S446" i="31" s="1"/>
  <c r="R447" i="31"/>
  <c r="R448" i="31"/>
  <c r="S448" i="31" s="1"/>
  <c r="R449" i="31"/>
  <c r="R450" i="31"/>
  <c r="S450" i="31" s="1"/>
  <c r="R451" i="31"/>
  <c r="R452" i="31"/>
  <c r="S452" i="31"/>
  <c r="R453" i="31"/>
  <c r="R454" i="31"/>
  <c r="S454" i="31" s="1"/>
  <c r="R455" i="31"/>
  <c r="R456" i="31"/>
  <c r="S456" i="31" s="1"/>
  <c r="R457" i="31"/>
  <c r="R458" i="31"/>
  <c r="S458" i="31" s="1"/>
  <c r="R459" i="31"/>
  <c r="R460" i="31"/>
  <c r="S460" i="31"/>
  <c r="R461" i="31"/>
  <c r="R462" i="31"/>
  <c r="S462" i="31" s="1"/>
  <c r="R463" i="31"/>
  <c r="R464" i="31"/>
  <c r="S464" i="31" s="1"/>
  <c r="R465" i="31"/>
  <c r="R466" i="31"/>
  <c r="S466" i="31" s="1"/>
  <c r="R467" i="31"/>
  <c r="R468" i="31"/>
  <c r="S468" i="3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c r="R503" i="31"/>
  <c r="R504" i="31"/>
  <c r="S504" i="31" s="1"/>
  <c r="R505" i="31"/>
  <c r="R506" i="31"/>
  <c r="S506" i="31" s="1"/>
  <c r="R507" i="31"/>
  <c r="R508" i="31"/>
  <c r="S508" i="31" s="1"/>
  <c r="R509" i="31"/>
  <c r="R510" i="31"/>
  <c r="S510" i="31"/>
  <c r="R511" i="31"/>
  <c r="R512" i="31"/>
  <c r="S512" i="31" s="1"/>
  <c r="R513" i="31"/>
  <c r="R514" i="31"/>
  <c r="S514" i="31" s="1"/>
  <c r="R515" i="31"/>
  <c r="R516" i="31"/>
  <c r="S516" i="31" s="1"/>
  <c r="R517" i="31"/>
  <c r="R518" i="31"/>
  <c r="S518" i="3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s="1"/>
  <c r="B55" i="63" s="1"/>
  <c r="N3" i="54"/>
  <c r="B42" i="63" s="1"/>
  <c r="A2" i="9"/>
  <c r="T16" i="4"/>
  <c r="D14" i="4"/>
  <c r="M4" i="9"/>
  <c r="L4" i="9"/>
  <c r="G36" i="4"/>
  <c r="K2" i="54"/>
  <c r="B23" i="63" s="1"/>
  <c r="A3" i="51"/>
  <c r="R41" i="4"/>
  <c r="Q41" i="4"/>
  <c r="P41" i="4"/>
  <c r="O41" i="4"/>
  <c r="N41" i="4"/>
  <c r="M41" i="4"/>
  <c r="L41" i="4"/>
  <c r="K40" i="4"/>
  <c r="T40" i="4" s="1"/>
  <c r="F23" i="4"/>
  <c r="I19" i="4"/>
  <c r="F10" i="1" s="1"/>
  <c r="H19" i="4"/>
  <c r="G19" i="4"/>
  <c r="F12" i="1" s="1"/>
  <c r="AP12" i="1" s="1"/>
  <c r="F19" i="4"/>
  <c r="F11" i="1" s="1"/>
  <c r="AP11" i="1" s="1"/>
  <c r="E19" i="4"/>
  <c r="F8" i="1" s="1"/>
  <c r="AP8" i="1" s="1"/>
  <c r="G7" i="1"/>
  <c r="B2" i="52"/>
  <c r="B15" i="52" s="1"/>
  <c r="F41" i="4"/>
  <c r="J52" i="40"/>
  <c r="H42" i="46"/>
  <c r="H41" i="46"/>
  <c r="H40" i="46"/>
  <c r="H39" i="46"/>
  <c r="H38" i="46"/>
  <c r="H37" i="46"/>
  <c r="C10" i="46"/>
  <c r="C11" i="46" s="1"/>
  <c r="C9" i="46"/>
  <c r="E19" i="6"/>
  <c r="E32" i="6" s="1"/>
  <c r="E20" i="6"/>
  <c r="E21" i="6"/>
  <c r="K8" i="1" s="1"/>
  <c r="M8" i="1" s="1"/>
  <c r="O8" i="1" s="1"/>
  <c r="P8" i="1" s="1"/>
  <c r="E22" i="6"/>
  <c r="E23" i="6"/>
  <c r="E24" i="6"/>
  <c r="E25" i="6"/>
  <c r="K12" i="1" s="1"/>
  <c r="M12" i="1" s="1"/>
  <c r="E26" i="6"/>
  <c r="C35" i="4"/>
  <c r="E16" i="12"/>
  <c r="F14" i="12"/>
  <c r="F15" i="12"/>
  <c r="F17" i="12"/>
  <c r="E19" i="12"/>
  <c r="E21" i="12"/>
  <c r="E22" i="12"/>
  <c r="F23" i="12"/>
  <c r="F24" i="12"/>
  <c r="C43" i="9"/>
  <c r="K47" i="9" s="1"/>
  <c r="B65" i="63"/>
  <c r="I73" i="9"/>
  <c r="F73" i="9"/>
  <c r="P73" i="9" s="1"/>
  <c r="D107" i="9"/>
  <c r="C107" i="9" s="1"/>
  <c r="C105" i="9" s="1"/>
  <c r="C110" i="9" s="1"/>
  <c r="C17" i="9"/>
  <c r="D17" i="9"/>
  <c r="F17" i="44"/>
  <c r="F19" i="44"/>
  <c r="F22" i="44"/>
  <c r="F25" i="44"/>
  <c r="D25" i="44" s="1"/>
  <c r="F23" i="44"/>
  <c r="E16" i="43"/>
  <c r="F14" i="43"/>
  <c r="F15" i="43"/>
  <c r="F17" i="43"/>
  <c r="F19" i="43"/>
  <c r="F25" i="43"/>
  <c r="F10" i="40"/>
  <c r="AA10" i="40" s="1"/>
  <c r="F11" i="40"/>
  <c r="AA11" i="40" s="1"/>
  <c r="C21" i="40"/>
  <c r="C32" i="40"/>
  <c r="AA36" i="40"/>
  <c r="H10" i="40"/>
  <c r="AB10" i="40" s="1"/>
  <c r="H11" i="40"/>
  <c r="AB11" i="40" s="1"/>
  <c r="AB36" i="40"/>
  <c r="J10" i="40"/>
  <c r="AC10" i="40" s="1"/>
  <c r="J11" i="40"/>
  <c r="AC11" i="40" s="1"/>
  <c r="AC36" i="40"/>
  <c r="F10" i="39"/>
  <c r="AA10" i="39" s="1"/>
  <c r="F11" i="39"/>
  <c r="AA11" i="39" s="1"/>
  <c r="C25" i="39"/>
  <c r="F36" i="39"/>
  <c r="F40" i="39"/>
  <c r="AA40" i="39" s="1"/>
  <c r="F42" i="39"/>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K9" i="43"/>
  <c r="J9" i="43"/>
  <c r="I9" i="43"/>
  <c r="H9" i="43"/>
  <c r="G9" i="43"/>
  <c r="F9" i="43"/>
  <c r="E9" i="43"/>
  <c r="D9" i="43"/>
  <c r="C9" i="43"/>
  <c r="BC13" i="3"/>
  <c r="BB13" i="3"/>
  <c r="BR13" i="3"/>
  <c r="B24" i="1"/>
  <c r="O75" i="9"/>
  <c r="L75" i="9"/>
  <c r="P75" i="9"/>
  <c r="O74" i="9"/>
  <c r="O73" i="9"/>
  <c r="E66" i="9"/>
  <c r="O72" i="9"/>
  <c r="F74" i="9"/>
  <c r="P74" i="9" s="1"/>
  <c r="K44" i="9"/>
  <c r="K43" i="9"/>
  <c r="B31" i="1"/>
  <c r="B22" i="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30" i="40"/>
  <c r="G12" i="1"/>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s="1"/>
  <c r="E48" i="37"/>
  <c r="F48" i="37"/>
  <c r="I55" i="34"/>
  <c r="J55" i="34" s="1"/>
  <c r="G55" i="34"/>
  <c r="H55" i="34"/>
  <c r="E55" i="34"/>
  <c r="F55" i="34" s="1"/>
  <c r="I50" i="40"/>
  <c r="J50" i="40" s="1"/>
  <c r="G50" i="40"/>
  <c r="H50" i="40" s="1"/>
  <c r="E50" i="40"/>
  <c r="F50" i="40" s="1"/>
  <c r="I55" i="39"/>
  <c r="J55" i="39" s="1"/>
  <c r="G55" i="39"/>
  <c r="H55" i="39" s="1"/>
  <c r="E55" i="39"/>
  <c r="F55" i="39" s="1"/>
  <c r="I42" i="36"/>
  <c r="J42" i="36" s="1"/>
  <c r="G42" i="36"/>
  <c r="H42" i="36"/>
  <c r="E42" i="36"/>
  <c r="F42" i="36" s="1"/>
  <c r="I44" i="35"/>
  <c r="J44" i="35"/>
  <c r="G44" i="35"/>
  <c r="H44" i="35" s="1"/>
  <c r="E44" i="35"/>
  <c r="F44" i="35"/>
  <c r="I54" i="33"/>
  <c r="J54" i="33" s="1"/>
  <c r="G54" i="33"/>
  <c r="E54" i="33"/>
  <c r="F54" i="33" s="1"/>
  <c r="H14" i="3"/>
  <c r="AC14" i="3"/>
  <c r="G14" i="3"/>
  <c r="H15" i="3"/>
  <c r="G15" i="3" s="1"/>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G481" i="3" s="1"/>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G486" i="3" s="1"/>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G489" i="3" s="1"/>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AC496" i="3"/>
  <c r="G496" i="3" s="1"/>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G500" i="3" s="1"/>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AC504" i="3"/>
  <c r="G504" i="3" s="1"/>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s="1"/>
  <c r="AC511" i="3"/>
  <c r="BB511" i="3"/>
  <c r="BC511" i="3"/>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s="1"/>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G532" i="3" s="1"/>
  <c r="AC532" i="3"/>
  <c r="BB532" i="3"/>
  <c r="BC532" i="3"/>
  <c r="BD532" i="3"/>
  <c r="BE532" i="3"/>
  <c r="BF532" i="3"/>
  <c r="BG532" i="3"/>
  <c r="BH532" i="3"/>
  <c r="BI532" i="3"/>
  <c r="BJ532" i="3"/>
  <c r="BK532" i="3"/>
  <c r="BM532" i="3"/>
  <c r="BN532" i="3"/>
  <c r="BO532" i="3"/>
  <c r="BP532" i="3"/>
  <c r="BR532" i="3"/>
  <c r="BS532" i="3"/>
  <c r="BT532" i="3"/>
  <c r="H533" i="3"/>
  <c r="AC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G541" i="3" s="1"/>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G563" i="3" s="1"/>
  <c r="AC563" i="3"/>
  <c r="BB563" i="3"/>
  <c r="BC563" i="3"/>
  <c r="BD563" i="3"/>
  <c r="BE563" i="3"/>
  <c r="BF563" i="3"/>
  <c r="BG563" i="3"/>
  <c r="BH563" i="3"/>
  <c r="BI563" i="3"/>
  <c r="BJ563" i="3"/>
  <c r="BK563" i="3"/>
  <c r="BM563" i="3"/>
  <c r="BN563" i="3"/>
  <c r="BO563" i="3"/>
  <c r="BP563" i="3"/>
  <c r="BQ563" i="3"/>
  <c r="BR563" i="3"/>
  <c r="BS563" i="3"/>
  <c r="BT563" i="3"/>
  <c r="H564" i="3"/>
  <c r="AC564" i="3"/>
  <c r="G564" i="3" s="1"/>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G567" i="3" s="1"/>
  <c r="AC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AC569" i="3"/>
  <c r="G569" i="3" s="1"/>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1" i="39"/>
  <c r="B113" i="39"/>
  <c r="F38" i="39"/>
  <c r="AA38" i="39" s="1"/>
  <c r="J30" i="36"/>
  <c r="H30" i="36"/>
  <c r="U30" i="36" s="1"/>
  <c r="F30" i="36"/>
  <c r="AA30" i="36"/>
  <c r="C26" i="35"/>
  <c r="C79" i="35" s="1"/>
  <c r="J31" i="35"/>
  <c r="H31" i="35"/>
  <c r="F31" i="35"/>
  <c r="D87" i="35"/>
  <c r="E87" i="35"/>
  <c r="F87" i="35"/>
  <c r="G87" i="35"/>
  <c r="H87" i="35" s="1"/>
  <c r="I87" i="35" s="1"/>
  <c r="J87" i="35"/>
  <c r="K87" i="35" s="1"/>
  <c r="L87" i="35" s="1"/>
  <c r="M87" i="35" s="1"/>
  <c r="H34" i="37"/>
  <c r="AB34" i="37"/>
  <c r="D101" i="37"/>
  <c r="F34" i="37"/>
  <c r="D99" i="37"/>
  <c r="E99" i="37"/>
  <c r="H42" i="34"/>
  <c r="J42" i="34"/>
  <c r="F42" i="34"/>
  <c r="J38" i="34"/>
  <c r="D114" i="34"/>
  <c r="F38" i="34"/>
  <c r="D112" i="34"/>
  <c r="E112" i="34"/>
  <c r="F112" i="34" s="1"/>
  <c r="G112" i="34" s="1"/>
  <c r="H112" i="34"/>
  <c r="I112" i="34" s="1"/>
  <c r="J112" i="34" s="1"/>
  <c r="K112" i="34" s="1"/>
  <c r="L112" i="34" s="1"/>
  <c r="M112" i="34" s="1"/>
  <c r="F40" i="33"/>
  <c r="J41" i="33"/>
  <c r="AC41" i="33"/>
  <c r="D113" i="33"/>
  <c r="F37" i="33"/>
  <c r="AA37" i="33"/>
  <c r="D111" i="33"/>
  <c r="E111" i="33"/>
  <c r="F111" i="33" s="1"/>
  <c r="G111" i="33" s="1"/>
  <c r="H111" i="33"/>
  <c r="I111" i="33" s="1"/>
  <c r="J111" i="33" s="1"/>
  <c r="K111" i="33" s="1"/>
  <c r="L111" i="33" s="1"/>
  <c r="M111" i="33" s="1"/>
  <c r="S515" i="31"/>
  <c r="S517" i="31"/>
  <c r="S519" i="31"/>
  <c r="S521" i="31"/>
  <c r="S523" i="31"/>
  <c r="F41" i="21"/>
  <c r="J41" i="21"/>
  <c r="AC41" i="21"/>
  <c r="H41" i="21"/>
  <c r="U41" i="21"/>
  <c r="D82" i="39"/>
  <c r="E82" i="39" s="1"/>
  <c r="F82" i="39"/>
  <c r="G82" i="39" s="1"/>
  <c r="H82" i="39" s="1"/>
  <c r="I82" i="39" s="1"/>
  <c r="J82" i="39" s="1"/>
  <c r="K82" i="39" s="1"/>
  <c r="L82" i="39" s="1"/>
  <c r="M82" i="39" s="1"/>
  <c r="D77" i="40"/>
  <c r="E77" i="40" s="1"/>
  <c r="B121" i="40"/>
  <c r="F42" i="40" s="1"/>
  <c r="AA42" i="40" s="1"/>
  <c r="B119" i="40"/>
  <c r="B117" i="40"/>
  <c r="F40" i="40" s="1"/>
  <c r="AA40" i="40" s="1"/>
  <c r="D116" i="40"/>
  <c r="E116" i="40" s="1"/>
  <c r="F116" i="40" s="1"/>
  <c r="G116" i="40" s="1"/>
  <c r="H116" i="40" s="1"/>
  <c r="I116" i="40" s="1"/>
  <c r="J116" i="40" s="1"/>
  <c r="K116" i="40" s="1"/>
  <c r="L116" i="40" s="1"/>
  <c r="M116" i="40" s="1"/>
  <c r="D114" i="40"/>
  <c r="E114" i="40" s="1"/>
  <c r="F114" i="40" s="1"/>
  <c r="G114" i="40" s="1"/>
  <c r="H114" i="40" s="1"/>
  <c r="I114" i="40" s="1"/>
  <c r="J114" i="40" s="1"/>
  <c r="K114" i="40" s="1"/>
  <c r="L114" i="40" s="1"/>
  <c r="M114" i="40" s="1"/>
  <c r="J38" i="40"/>
  <c r="AC38" i="40" s="1"/>
  <c r="H38" i="40"/>
  <c r="AB38" i="40" s="1"/>
  <c r="D112" i="40"/>
  <c r="E112" i="40" s="1"/>
  <c r="F112" i="40" s="1"/>
  <c r="M108" i="40"/>
  <c r="L108" i="40"/>
  <c r="K108" i="40"/>
  <c r="J108" i="40"/>
  <c r="I108" i="40"/>
  <c r="H108" i="40"/>
  <c r="G108" i="40"/>
  <c r="F108" i="40"/>
  <c r="E108" i="40"/>
  <c r="D108" i="40"/>
  <c r="C108" i="40"/>
  <c r="B106" i="40"/>
  <c r="B104" i="40"/>
  <c r="F34" i="40" s="1"/>
  <c r="AA34" i="40" s="1"/>
  <c r="B102" i="40"/>
  <c r="D101" i="40"/>
  <c r="E101" i="40" s="1"/>
  <c r="D99" i="40"/>
  <c r="E99" i="40" s="1"/>
  <c r="F99" i="40" s="1"/>
  <c r="D97" i="40"/>
  <c r="E97" i="40"/>
  <c r="B96" i="40"/>
  <c r="D93" i="40"/>
  <c r="E93" i="40" s="1"/>
  <c r="D91" i="40"/>
  <c r="D89" i="40"/>
  <c r="H21" i="40"/>
  <c r="AB21" i="40" s="1"/>
  <c r="D87" i="40"/>
  <c r="E87" i="40" s="1"/>
  <c r="F87" i="40" s="1"/>
  <c r="D85" i="40"/>
  <c r="E85" i="40" s="1"/>
  <c r="F85" i="40" s="1"/>
  <c r="G85" i="40" s="1"/>
  <c r="B82" i="40"/>
  <c r="F16" i="40" s="1"/>
  <c r="AA16" i="40" s="1"/>
  <c r="B80" i="40"/>
  <c r="B78" i="40"/>
  <c r="F14" i="40" s="1"/>
  <c r="AA14" i="40"/>
  <c r="M75" i="40"/>
  <c r="L75" i="40"/>
  <c r="K75" i="40"/>
  <c r="J75" i="40"/>
  <c r="I75" i="40"/>
  <c r="H75" i="40"/>
  <c r="G75" i="40"/>
  <c r="F75" i="40"/>
  <c r="E75" i="40"/>
  <c r="D75" i="40"/>
  <c r="C75"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D125" i="39"/>
  <c r="E125" i="39" s="1"/>
  <c r="F125" i="39" s="1"/>
  <c r="G125" i="39" s="1"/>
  <c r="H125" i="39" s="1"/>
  <c r="I125" i="39" s="1"/>
  <c r="J125" i="39" s="1"/>
  <c r="K125" i="39" s="1"/>
  <c r="L125" i="39" s="1"/>
  <c r="M125" i="39" s="1"/>
  <c r="D121" i="39"/>
  <c r="E121" i="39"/>
  <c r="F121" i="39" s="1"/>
  <c r="G121" i="39" s="1"/>
  <c r="H121" i="39" s="1"/>
  <c r="I121" i="39" s="1"/>
  <c r="J121" i="39" s="1"/>
  <c r="K121" i="39" s="1"/>
  <c r="L121" i="39" s="1"/>
  <c r="M121" i="39" s="1"/>
  <c r="B115" i="39"/>
  <c r="D110" i="39"/>
  <c r="E110" i="39" s="1"/>
  <c r="F110" i="39" s="1"/>
  <c r="G110" i="39" s="1"/>
  <c r="H110" i="39" s="1"/>
  <c r="I110" i="39" s="1"/>
  <c r="J110" i="39" s="1"/>
  <c r="K110" i="39" s="1"/>
  <c r="L110" i="39" s="1"/>
  <c r="M110" i="39" s="1"/>
  <c r="D108" i="39"/>
  <c r="E108" i="39" s="1"/>
  <c r="F108" i="39"/>
  <c r="G108" i="39" s="1"/>
  <c r="H108" i="39" s="1"/>
  <c r="I108" i="39" s="1"/>
  <c r="J108" i="39" s="1"/>
  <c r="K108" i="39" s="1"/>
  <c r="L108" i="39" s="1"/>
  <c r="M108" i="39" s="1"/>
  <c r="D106" i="39"/>
  <c r="E106" i="39" s="1"/>
  <c r="F106" i="39" s="1"/>
  <c r="G106" i="39" s="1"/>
  <c r="H106" i="39" s="1"/>
  <c r="I106" i="39" s="1"/>
  <c r="J106" i="39" s="1"/>
  <c r="K106" i="39" s="1"/>
  <c r="L106" i="39" s="1"/>
  <c r="M106" i="39" s="1"/>
  <c r="D102" i="39"/>
  <c r="D100" i="39"/>
  <c r="E100" i="39"/>
  <c r="F100" i="39" s="1"/>
  <c r="G100" i="39" s="1"/>
  <c r="Q41" i="39"/>
  <c r="Z41" i="39"/>
  <c r="Q42" i="39"/>
  <c r="Z42" i="39" s="1"/>
  <c r="Q43" i="39"/>
  <c r="Q44" i="39"/>
  <c r="Z44" i="39" s="1"/>
  <c r="Q45" i="39"/>
  <c r="Z45" i="39" s="1"/>
  <c r="Q46" i="39"/>
  <c r="Z46" i="39" s="1"/>
  <c r="Q47" i="39"/>
  <c r="Z47" i="39" s="1"/>
  <c r="Q40" i="39"/>
  <c r="Z40" i="39" s="1"/>
  <c r="Q38" i="39"/>
  <c r="Z38" i="39" s="1"/>
  <c r="Q39" i="39"/>
  <c r="Z39" i="39" s="1"/>
  <c r="Z43" i="39"/>
  <c r="M117" i="39"/>
  <c r="L117" i="39"/>
  <c r="K117" i="39"/>
  <c r="J117" i="39"/>
  <c r="I117" i="39"/>
  <c r="H117" i="39"/>
  <c r="G117" i="39"/>
  <c r="F117" i="39"/>
  <c r="E117" i="39"/>
  <c r="D117" i="39"/>
  <c r="C117" i="39"/>
  <c r="B132" i="39"/>
  <c r="B130" i="39"/>
  <c r="B128" i="39"/>
  <c r="D127" i="39"/>
  <c r="D123" i="39"/>
  <c r="E123" i="39" s="1"/>
  <c r="F123" i="39"/>
  <c r="G123" i="39" s="1"/>
  <c r="H123" i="39" s="1"/>
  <c r="I123" i="39" s="1"/>
  <c r="J123" i="39" s="1"/>
  <c r="K123" i="39" s="1"/>
  <c r="L123" i="39" s="1"/>
  <c r="M123" i="39" s="1"/>
  <c r="B105" i="39"/>
  <c r="D98" i="39"/>
  <c r="E98" i="39" s="1"/>
  <c r="F98" i="39" s="1"/>
  <c r="G98" i="39" s="1"/>
  <c r="D96" i="39"/>
  <c r="D94" i="39"/>
  <c r="E94" i="39" s="1"/>
  <c r="F94" i="39" s="1"/>
  <c r="G94" i="39" s="1"/>
  <c r="D92" i="39"/>
  <c r="E92" i="39" s="1"/>
  <c r="F92" i="39"/>
  <c r="G92" i="39" s="1"/>
  <c r="D90" i="39"/>
  <c r="E90" i="39" s="1"/>
  <c r="F90" i="39" s="1"/>
  <c r="G90" i="39" s="1"/>
  <c r="B87" i="39"/>
  <c r="B85" i="39"/>
  <c r="B83" i="39"/>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20" i="36"/>
  <c r="C20" i="35"/>
  <c r="C16" i="36"/>
  <c r="C16" i="35"/>
  <c r="C14" i="36"/>
  <c r="C14" i="35"/>
  <c r="B80" i="37"/>
  <c r="H25" i="37"/>
  <c r="U25" i="37"/>
  <c r="B110" i="37"/>
  <c r="J39" i="37" s="1"/>
  <c r="AC39" i="37" s="1"/>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H26" i="37" s="1"/>
  <c r="D79" i="37"/>
  <c r="E79" i="37"/>
  <c r="D75" i="37"/>
  <c r="E75" i="37"/>
  <c r="F75" i="37" s="1"/>
  <c r="D73" i="37"/>
  <c r="E73" i="37"/>
  <c r="F73" i="37" s="1"/>
  <c r="G73" i="37" s="1"/>
  <c r="D71" i="37"/>
  <c r="E71" i="37"/>
  <c r="F71" i="37" s="1"/>
  <c r="G71" i="37" s="1"/>
  <c r="F15" i="37"/>
  <c r="AA15" i="37"/>
  <c r="B68" i="37"/>
  <c r="H14" i="37" s="1"/>
  <c r="U14" i="37" s="1"/>
  <c r="B66" i="37"/>
  <c r="B64" i="37"/>
  <c r="D63" i="37"/>
  <c r="E63" i="37"/>
  <c r="F63" i="37" s="1"/>
  <c r="G63" i="37" s="1"/>
  <c r="H63" i="37" s="1"/>
  <c r="I63" i="37" s="1"/>
  <c r="J63" i="37" s="1"/>
  <c r="K63" i="37" s="1"/>
  <c r="L63" i="37" s="1"/>
  <c r="M63" i="37" s="1"/>
  <c r="M61" i="37"/>
  <c r="L61" i="37"/>
  <c r="K61" i="37"/>
  <c r="J61" i="37"/>
  <c r="I61" i="37"/>
  <c r="H61" i="37"/>
  <c r="G61" i="37"/>
  <c r="F61" i="37"/>
  <c r="E61" i="37"/>
  <c r="D61" i="37"/>
  <c r="C61" i="37"/>
  <c r="H10" i="37"/>
  <c r="U10" i="37" s="1"/>
  <c r="C57" i="37"/>
  <c r="P43" i="37"/>
  <c r="P42" i="37"/>
  <c r="V41" i="37"/>
  <c r="T41" i="37"/>
  <c r="R41" i="37"/>
  <c r="P41" i="37"/>
  <c r="Q40" i="37"/>
  <c r="Z40" i="37"/>
  <c r="Q39" i="37"/>
  <c r="Z39" i="37" s="1"/>
  <c r="Q38" i="37"/>
  <c r="Z38" i="37"/>
  <c r="Q37" i="37"/>
  <c r="Z37" i="37" s="1"/>
  <c r="Q36" i="37"/>
  <c r="Z36" i="37" s="1"/>
  <c r="Q35" i="37"/>
  <c r="Z35" i="37" s="1"/>
  <c r="Q34" i="37"/>
  <c r="Z34" i="37" s="1"/>
  <c r="Q33" i="37"/>
  <c r="Z33" i="37" s="1"/>
  <c r="Q32" i="37"/>
  <c r="Z32" i="37"/>
  <c r="Q31" i="37"/>
  <c r="Z31" i="37" s="1"/>
  <c r="J31" i="37"/>
  <c r="Q30" i="37"/>
  <c r="Z30" i="37"/>
  <c r="J30" i="37"/>
  <c r="W30" i="37"/>
  <c r="H30" i="37"/>
  <c r="AB30" i="37"/>
  <c r="F30" i="37"/>
  <c r="Q29" i="37"/>
  <c r="Z29" i="37"/>
  <c r="H29" i="37"/>
  <c r="U29" i="37" s="1"/>
  <c r="Q28" i="37"/>
  <c r="Z28" i="37" s="1"/>
  <c r="Q27" i="37"/>
  <c r="Z27" i="37" s="1"/>
  <c r="Q26" i="37"/>
  <c r="Z26" i="37" s="1"/>
  <c r="AB26" i="37"/>
  <c r="F26" i="37"/>
  <c r="AA26" i="37" s="1"/>
  <c r="Q25" i="37"/>
  <c r="Z25" i="37"/>
  <c r="J25" i="37"/>
  <c r="W25" i="37" s="1"/>
  <c r="F25" i="37"/>
  <c r="AA25" i="37"/>
  <c r="Q23" i="37"/>
  <c r="Z23" i="37" s="1"/>
  <c r="Q19" i="37"/>
  <c r="Z19" i="37"/>
  <c r="Q17" i="37"/>
  <c r="Z17" i="37" s="1"/>
  <c r="Q15" i="37"/>
  <c r="Z15" i="37"/>
  <c r="Q14" i="37"/>
  <c r="Z14" i="37" s="1"/>
  <c r="Q13" i="37"/>
  <c r="Z13" i="37"/>
  <c r="Q12" i="37"/>
  <c r="Z12" i="37" s="1"/>
  <c r="Q11" i="37"/>
  <c r="Z11" i="37"/>
  <c r="Q10" i="37"/>
  <c r="Z10" i="37" s="1"/>
  <c r="F10" i="37"/>
  <c r="AA10" i="37" s="1"/>
  <c r="Q9" i="37"/>
  <c r="Z9" i="37"/>
  <c r="J8" i="37"/>
  <c r="W8" i="37" s="1"/>
  <c r="H8" i="37"/>
  <c r="AB8" i="37"/>
  <c r="F8" i="37"/>
  <c r="C7" i="37"/>
  <c r="C52" i="37" s="1"/>
  <c r="D52" i="37" s="1"/>
  <c r="E52" i="37" s="1"/>
  <c r="F52" i="37" s="1"/>
  <c r="G52" i="37" s="1"/>
  <c r="H52" i="37" s="1"/>
  <c r="I52" i="37" s="1"/>
  <c r="J52" i="37" s="1"/>
  <c r="K52" i="37" s="1"/>
  <c r="J31" i="36"/>
  <c r="W31" i="36"/>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c r="S32" i="36"/>
  <c r="B95" i="36"/>
  <c r="H34" i="36" s="1"/>
  <c r="D83" i="36"/>
  <c r="E83" i="36" s="1"/>
  <c r="F83" i="36" s="1"/>
  <c r="G83" i="36" s="1"/>
  <c r="H83" i="36" s="1"/>
  <c r="I83" i="36" s="1"/>
  <c r="J83" i="36" s="1"/>
  <c r="K83" i="36" s="1"/>
  <c r="L83" i="36" s="1"/>
  <c r="M83" i="36" s="1"/>
  <c r="D78" i="36"/>
  <c r="J26" i="36"/>
  <c r="W26" i="36"/>
  <c r="B75" i="36"/>
  <c r="B73" i="36"/>
  <c r="J24" i="36"/>
  <c r="W24" i="36"/>
  <c r="B71" i="36"/>
  <c r="H23" i="36" s="1"/>
  <c r="AB23" i="36" s="1"/>
  <c r="D70" i="36"/>
  <c r="H22" i="36"/>
  <c r="AB22" i="36"/>
  <c r="D68" i="36"/>
  <c r="E68" i="36" s="1"/>
  <c r="D64" i="36"/>
  <c r="E64" i="36"/>
  <c r="F64" i="36" s="1"/>
  <c r="G64" i="36" s="1"/>
  <c r="J16" i="36"/>
  <c r="D62" i="36"/>
  <c r="E62" i="36" s="1"/>
  <c r="B59" i="36"/>
  <c r="B57" i="36"/>
  <c r="J12" i="36"/>
  <c r="B55" i="36"/>
  <c r="J10" i="36"/>
  <c r="W10" i="36" s="1"/>
  <c r="C51" i="36"/>
  <c r="J9" i="36" s="1"/>
  <c r="AC9" i="36" s="1"/>
  <c r="P37" i="36"/>
  <c r="P36" i="36"/>
  <c r="V35" i="36"/>
  <c r="T35" i="36"/>
  <c r="R35" i="36"/>
  <c r="P35" i="36"/>
  <c r="Q34" i="36"/>
  <c r="Z34" i="36"/>
  <c r="Q33" i="36"/>
  <c r="Z33" i="36" s="1"/>
  <c r="Q32" i="36"/>
  <c r="Z32" i="36"/>
  <c r="Q31" i="36"/>
  <c r="Z31" i="36" s="1"/>
  <c r="Q30" i="36"/>
  <c r="Z30" i="36"/>
  <c r="Q29" i="36"/>
  <c r="Z29" i="36" s="1"/>
  <c r="Q28" i="36"/>
  <c r="Z28" i="36"/>
  <c r="J28" i="36"/>
  <c r="AC28" i="36" s="1"/>
  <c r="Q27" i="36"/>
  <c r="Z27" i="36"/>
  <c r="Q26" i="36"/>
  <c r="Z26" i="36" s="1"/>
  <c r="H26" i="36"/>
  <c r="AB26" i="36"/>
  <c r="Q25" i="36"/>
  <c r="Z25" i="36" s="1"/>
  <c r="Q24" i="36"/>
  <c r="Z24" i="36"/>
  <c r="H24" i="36"/>
  <c r="AB24" i="36" s="1"/>
  <c r="Q23" i="36"/>
  <c r="Z23" i="36"/>
  <c r="J23" i="36"/>
  <c r="AC23" i="36" s="1"/>
  <c r="F23" i="36"/>
  <c r="AA23" i="36" s="1"/>
  <c r="Q22" i="36"/>
  <c r="Z22" i="36"/>
  <c r="J22" i="36"/>
  <c r="AC22" i="36" s="1"/>
  <c r="Q20" i="36"/>
  <c r="Z20" i="36"/>
  <c r="Q16" i="36"/>
  <c r="Z16" i="36" s="1"/>
  <c r="Q14" i="36"/>
  <c r="Z14" i="36"/>
  <c r="Q13" i="36"/>
  <c r="Z13" i="36" s="1"/>
  <c r="Q12" i="36"/>
  <c r="Z12" i="36"/>
  <c r="H12" i="36"/>
  <c r="U12" i="36" s="1"/>
  <c r="Q11" i="36"/>
  <c r="Z11" i="36"/>
  <c r="Q10" i="36"/>
  <c r="Z10" i="36" s="1"/>
  <c r="F10" i="36"/>
  <c r="AA10" i="36" s="1"/>
  <c r="Q9" i="36"/>
  <c r="Z9" i="36"/>
  <c r="H9" i="36"/>
  <c r="AB9" i="36"/>
  <c r="J8" i="36"/>
  <c r="AC8" i="36"/>
  <c r="H8" i="36"/>
  <c r="U8" i="36" s="1"/>
  <c r="F8" i="36"/>
  <c r="AA8" i="36"/>
  <c r="D89" i="35"/>
  <c r="H30" i="35"/>
  <c r="U30" i="35"/>
  <c r="M90" i="35"/>
  <c r="L90" i="35"/>
  <c r="K90" i="35"/>
  <c r="J90" i="35"/>
  <c r="I90" i="35"/>
  <c r="H90" i="35"/>
  <c r="G90" i="35"/>
  <c r="F90" i="35"/>
  <c r="E90" i="35"/>
  <c r="D90" i="35"/>
  <c r="C90" i="35"/>
  <c r="F85" i="35"/>
  <c r="E85" i="35"/>
  <c r="D85" i="35"/>
  <c r="C85" i="35"/>
  <c r="J27" i="35"/>
  <c r="W27" i="35"/>
  <c r="H27" i="35"/>
  <c r="U27" i="35" s="1"/>
  <c r="F27" i="35"/>
  <c r="AA27" i="35"/>
  <c r="J22" i="35"/>
  <c r="AC22" i="35" s="1"/>
  <c r="B101" i="35"/>
  <c r="H36" i="35"/>
  <c r="B99" i="35"/>
  <c r="B97" i="35"/>
  <c r="B77" i="35"/>
  <c r="B75" i="35"/>
  <c r="J24" i="35" s="1"/>
  <c r="AC24" i="35" s="1"/>
  <c r="B73" i="35"/>
  <c r="B57" i="35"/>
  <c r="B61" i="35"/>
  <c r="B59" i="35"/>
  <c r="H12" i="35"/>
  <c r="B131" i="34"/>
  <c r="B129" i="34"/>
  <c r="B127" i="34"/>
  <c r="B99" i="34"/>
  <c r="B97" i="34"/>
  <c r="B95" i="34"/>
  <c r="B93" i="34"/>
  <c r="B75" i="34"/>
  <c r="B73" i="34"/>
  <c r="B71" i="34"/>
  <c r="B130" i="33"/>
  <c r="B128" i="33"/>
  <c r="H45" i="33"/>
  <c r="U45" i="33" s="1"/>
  <c r="B126" i="33"/>
  <c r="B98" i="33"/>
  <c r="F31" i="33"/>
  <c r="AA31" i="33" s="1"/>
  <c r="B96" i="33"/>
  <c r="B94" i="33"/>
  <c r="B74" i="33"/>
  <c r="B72" i="33"/>
  <c r="B70" i="33"/>
  <c r="D96" i="35"/>
  <c r="E96" i="35"/>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C53" i="35"/>
  <c r="J9" i="35" s="1"/>
  <c r="W9" i="35" s="1"/>
  <c r="P39" i="35"/>
  <c r="P38" i="35"/>
  <c r="V37" i="35"/>
  <c r="T37" i="35"/>
  <c r="R37" i="35"/>
  <c r="P37" i="35"/>
  <c r="Q36" i="35"/>
  <c r="Z36" i="35" s="1"/>
  <c r="J36" i="35"/>
  <c r="AC36" i="35"/>
  <c r="Q35" i="35"/>
  <c r="Z35" i="35" s="1"/>
  <c r="Q34" i="35"/>
  <c r="Z34" i="35"/>
  <c r="J34" i="35"/>
  <c r="AC34" i="35" s="1"/>
  <c r="H34" i="35"/>
  <c r="AB34" i="35"/>
  <c r="F34" i="35"/>
  <c r="AA34" i="35" s="1"/>
  <c r="Q33" i="35"/>
  <c r="Z33" i="35"/>
  <c r="Q32" i="35"/>
  <c r="Z32" i="35" s="1"/>
  <c r="H32" i="35"/>
  <c r="AB32" i="35"/>
  <c r="F32" i="35"/>
  <c r="AA32" i="35" s="1"/>
  <c r="Q31" i="35"/>
  <c r="Z31" i="35"/>
  <c r="AC31" i="35"/>
  <c r="AB31" i="35"/>
  <c r="AA31" i="35"/>
  <c r="Q30" i="35"/>
  <c r="Z30" i="35" s="1"/>
  <c r="Q29" i="35"/>
  <c r="Z29" i="35"/>
  <c r="Q28" i="35"/>
  <c r="Z28" i="35" s="1"/>
  <c r="J28" i="35"/>
  <c r="H28" i="35"/>
  <c r="F28" i="35"/>
  <c r="AA28" i="35" s="1"/>
  <c r="Q27" i="35"/>
  <c r="Z27" i="35"/>
  <c r="Q26" i="35"/>
  <c r="Z26" i="35" s="1"/>
  <c r="Q25" i="35"/>
  <c r="Z25" i="35"/>
  <c r="Q24" i="35"/>
  <c r="Z24" i="35" s="1"/>
  <c r="Q23" i="35"/>
  <c r="Z23" i="35"/>
  <c r="J23" i="35"/>
  <c r="AC23" i="35" s="1"/>
  <c r="Q22" i="35"/>
  <c r="Z22" i="35"/>
  <c r="Q20" i="35"/>
  <c r="Z20" i="35" s="1"/>
  <c r="Q16" i="35"/>
  <c r="Z16" i="35"/>
  <c r="Q14" i="35"/>
  <c r="Z14" i="35" s="1"/>
  <c r="Q13" i="35"/>
  <c r="Z13" i="35"/>
  <c r="Q12" i="35"/>
  <c r="Z12" i="35" s="1"/>
  <c r="J12" i="35"/>
  <c r="W12" i="35"/>
  <c r="F12" i="35"/>
  <c r="AA12" i="35" s="1"/>
  <c r="Q11" i="35"/>
  <c r="Z11" i="35"/>
  <c r="Q10" i="35"/>
  <c r="Z10" i="35" s="1"/>
  <c r="Q9" i="35"/>
  <c r="Z9" i="35"/>
  <c r="J8" i="35"/>
  <c r="AC8" i="35" s="1"/>
  <c r="H8" i="35"/>
  <c r="F8" i="35"/>
  <c r="AA8" i="35"/>
  <c r="D120" i="34"/>
  <c r="E120" i="34" s="1"/>
  <c r="F120" i="34" s="1"/>
  <c r="G120" i="34" s="1"/>
  <c r="H120" i="34"/>
  <c r="I120" i="34" s="1"/>
  <c r="J120" i="34" s="1"/>
  <c r="K120" i="34" s="1"/>
  <c r="L120" i="34" s="1"/>
  <c r="M120" i="34" s="1"/>
  <c r="D90" i="34"/>
  <c r="C15" i="34"/>
  <c r="H10" i="34"/>
  <c r="AB10" i="34" s="1"/>
  <c r="D126" i="34"/>
  <c r="E126" i="34" s="1"/>
  <c r="F126" i="34" s="1"/>
  <c r="G126" i="34" s="1"/>
  <c r="D124" i="34"/>
  <c r="E124" i="34" s="1"/>
  <c r="F124" i="34" s="1"/>
  <c r="G124" i="34"/>
  <c r="H124" i="34" s="1"/>
  <c r="I124" i="34" s="1"/>
  <c r="J124" i="34" s="1"/>
  <c r="K124" i="34" s="1"/>
  <c r="L124" i="34" s="1"/>
  <c r="M124" i="34" s="1"/>
  <c r="J43" i="34"/>
  <c r="D118" i="34"/>
  <c r="E118" i="34" s="1"/>
  <c r="F118" i="34" s="1"/>
  <c r="G118" i="34" s="1"/>
  <c r="H40" i="34"/>
  <c r="U40" i="34" s="1"/>
  <c r="D116" i="34"/>
  <c r="E116" i="34"/>
  <c r="F116" i="34"/>
  <c r="G116" i="34" s="1"/>
  <c r="H116" i="34" s="1"/>
  <c r="I116" i="34" s="1"/>
  <c r="J116" i="34"/>
  <c r="K116" i="34" s="1"/>
  <c r="L116" i="34" s="1"/>
  <c r="M116" i="34" s="1"/>
  <c r="F110" i="34"/>
  <c r="E110" i="34"/>
  <c r="D110" i="34"/>
  <c r="C110" i="34"/>
  <c r="D109" i="34"/>
  <c r="E109" i="34" s="1"/>
  <c r="F109" i="34" s="1"/>
  <c r="G109" i="34" s="1"/>
  <c r="H109" i="34" s="1"/>
  <c r="I109" i="34" s="1"/>
  <c r="J109" i="34" s="1"/>
  <c r="K109" i="34" s="1"/>
  <c r="L109" i="34" s="1"/>
  <c r="M109" i="34" s="1"/>
  <c r="J36" i="34"/>
  <c r="D107" i="34"/>
  <c r="E107" i="34"/>
  <c r="F35" i="34"/>
  <c r="M103" i="34"/>
  <c r="L103" i="34"/>
  <c r="K103" i="34"/>
  <c r="J103" i="34"/>
  <c r="I103" i="34"/>
  <c r="H103" i="34"/>
  <c r="G103" i="34"/>
  <c r="F103" i="34"/>
  <c r="E103" i="34"/>
  <c r="D103" i="34"/>
  <c r="C103" i="34"/>
  <c r="D102" i="34"/>
  <c r="E102" i="34" s="1"/>
  <c r="F102" i="34" s="1"/>
  <c r="G102" i="34"/>
  <c r="H102" i="34" s="1"/>
  <c r="I102" i="34" s="1"/>
  <c r="J102" i="34" s="1"/>
  <c r="K102" i="34" s="1"/>
  <c r="L102" i="34" s="1"/>
  <c r="M102" i="34" s="1"/>
  <c r="H33" i="34"/>
  <c r="U33" i="34"/>
  <c r="D92" i="34"/>
  <c r="E92" i="34" s="1"/>
  <c r="F92" i="34" s="1"/>
  <c r="G92" i="34" s="1"/>
  <c r="H92" i="34" s="1"/>
  <c r="I92" i="34" s="1"/>
  <c r="J92" i="34" s="1"/>
  <c r="K92" i="34" s="1"/>
  <c r="L92" i="34" s="1"/>
  <c r="M92" i="34" s="1"/>
  <c r="B91" i="34"/>
  <c r="F28" i="34"/>
  <c r="S28" i="34" s="1"/>
  <c r="B89" i="34"/>
  <c r="J27" i="34"/>
  <c r="D88" i="34"/>
  <c r="E88" i="34" s="1"/>
  <c r="F88" i="34" s="1"/>
  <c r="G88" i="34" s="1"/>
  <c r="H88" i="34"/>
  <c r="I88" i="34" s="1"/>
  <c r="J88" i="34" s="1"/>
  <c r="K88" i="34" s="1"/>
  <c r="L88" i="34" s="1"/>
  <c r="M88" i="34" s="1"/>
  <c r="D86" i="34"/>
  <c r="E86" i="34"/>
  <c r="D82" i="34"/>
  <c r="E82" i="34" s="1"/>
  <c r="F82" i="34" s="1"/>
  <c r="G82" i="34" s="1"/>
  <c r="D80" i="34"/>
  <c r="D78" i="34"/>
  <c r="D70" i="34"/>
  <c r="E70" i="34"/>
  <c r="F70" i="34"/>
  <c r="G70" i="34" s="1"/>
  <c r="H70" i="34" s="1"/>
  <c r="I70" i="34" s="1"/>
  <c r="J70" i="34" s="1"/>
  <c r="K70" i="34" s="1"/>
  <c r="L70" i="34" s="1"/>
  <c r="M70" i="34" s="1"/>
  <c r="M68" i="34"/>
  <c r="L68" i="34"/>
  <c r="K68" i="34"/>
  <c r="J68" i="34"/>
  <c r="I68" i="34"/>
  <c r="H68" i="34"/>
  <c r="G68" i="34"/>
  <c r="F68" i="34"/>
  <c r="E68" i="34"/>
  <c r="D68" i="34"/>
  <c r="C68" i="34"/>
  <c r="C64" i="34"/>
  <c r="J9" i="34" s="1"/>
  <c r="P50" i="34"/>
  <c r="P49" i="34"/>
  <c r="V48" i="34"/>
  <c r="T48" i="34"/>
  <c r="R48" i="34"/>
  <c r="P48" i="34"/>
  <c r="Q47" i="34"/>
  <c r="Z47" i="34"/>
  <c r="Q46" i="34"/>
  <c r="Z46" i="34" s="1"/>
  <c r="Q45" i="34"/>
  <c r="Z45" i="34"/>
  <c r="Q44" i="34"/>
  <c r="Z44" i="34" s="1"/>
  <c r="H44" i="34"/>
  <c r="AB44" i="34"/>
  <c r="Q43" i="34"/>
  <c r="Z43" i="34" s="1"/>
  <c r="F43" i="34"/>
  <c r="AA43" i="34"/>
  <c r="Q42" i="34"/>
  <c r="Z42" i="34" s="1"/>
  <c r="Q41" i="34"/>
  <c r="Z41" i="34"/>
  <c r="Q40" i="34"/>
  <c r="Z40" i="34" s="1"/>
  <c r="F40" i="34"/>
  <c r="S40" i="34"/>
  <c r="Q39" i="34"/>
  <c r="Z39" i="34" s="1"/>
  <c r="J39" i="34"/>
  <c r="AC39" i="34"/>
  <c r="H39" i="34"/>
  <c r="U39" i="34" s="1"/>
  <c r="F39" i="34"/>
  <c r="Q38" i="34"/>
  <c r="Z38" i="34"/>
  <c r="Q37" i="34"/>
  <c r="Z37" i="34" s="1"/>
  <c r="Q36" i="34"/>
  <c r="Z36" i="34"/>
  <c r="Q35" i="34"/>
  <c r="Z35" i="34" s="1"/>
  <c r="Q34" i="34"/>
  <c r="Z34" i="34"/>
  <c r="J34" i="34"/>
  <c r="H34" i="34"/>
  <c r="AB34" i="34"/>
  <c r="F34" i="34"/>
  <c r="AA34" i="34" s="1"/>
  <c r="Q33" i="34"/>
  <c r="Z33" i="34"/>
  <c r="Q32" i="34"/>
  <c r="Z32" i="34" s="1"/>
  <c r="Q31" i="34"/>
  <c r="Z31" i="34"/>
  <c r="Q30" i="34"/>
  <c r="Z30" i="34" s="1"/>
  <c r="Q29" i="34"/>
  <c r="Z29" i="34"/>
  <c r="Q28" i="34"/>
  <c r="Z28" i="34" s="1"/>
  <c r="Q27" i="34"/>
  <c r="Z27" i="34"/>
  <c r="Q25" i="34"/>
  <c r="Z25" i="34" s="1"/>
  <c r="Q23" i="34"/>
  <c r="Z23" i="34"/>
  <c r="C23" i="34"/>
  <c r="Q19" i="34"/>
  <c r="Z19" i="34" s="1"/>
  <c r="C19" i="34"/>
  <c r="Q17" i="34"/>
  <c r="Z17" i="34" s="1"/>
  <c r="C17" i="34"/>
  <c r="Q15" i="34"/>
  <c r="Z15" i="34"/>
  <c r="Q14" i="34"/>
  <c r="Z14" i="34" s="1"/>
  <c r="Q13" i="34"/>
  <c r="Z13" i="34"/>
  <c r="Q12" i="34"/>
  <c r="Z12" i="34" s="1"/>
  <c r="Q11" i="34"/>
  <c r="Z11" i="34"/>
  <c r="Q10" i="34"/>
  <c r="Z10" i="34" s="1"/>
  <c r="F10" i="34"/>
  <c r="S10" i="34" s="1"/>
  <c r="Q9" i="34"/>
  <c r="Z9" i="34" s="1"/>
  <c r="H9" i="34"/>
  <c r="AB9" i="34" s="1"/>
  <c r="J8" i="34"/>
  <c r="AC8" i="34" s="1"/>
  <c r="H8" i="34"/>
  <c r="U8" i="34"/>
  <c r="F8" i="34"/>
  <c r="AA8" i="34" s="1"/>
  <c r="D121" i="33"/>
  <c r="F109" i="33"/>
  <c r="E109" i="33"/>
  <c r="D109" i="33"/>
  <c r="C109" i="33"/>
  <c r="D91" i="33"/>
  <c r="E91" i="33"/>
  <c r="F91" i="33" s="1"/>
  <c r="G91" i="33" s="1"/>
  <c r="H91" i="33" s="1"/>
  <c r="I91" i="33" s="1"/>
  <c r="J91" i="33" s="1"/>
  <c r="K91" i="33" s="1"/>
  <c r="L91" i="33" s="1"/>
  <c r="M91" i="33" s="1"/>
  <c r="B88" i="33"/>
  <c r="J26" i="33" s="1"/>
  <c r="AC26" i="33" s="1"/>
  <c r="C23" i="33"/>
  <c r="C19" i="33"/>
  <c r="C17" i="33"/>
  <c r="C15" i="33"/>
  <c r="C15" i="21"/>
  <c r="D125" i="33"/>
  <c r="D123" i="33"/>
  <c r="D117" i="33"/>
  <c r="E117" i="33"/>
  <c r="F117" i="33" s="1"/>
  <c r="G117" i="33" s="1"/>
  <c r="D115" i="33"/>
  <c r="E115" i="33"/>
  <c r="F115" i="33" s="1"/>
  <c r="G115" i="33" s="1"/>
  <c r="H115" i="33" s="1"/>
  <c r="I115" i="33"/>
  <c r="J115" i="33" s="1"/>
  <c r="K115" i="33" s="1"/>
  <c r="L115" i="33" s="1"/>
  <c r="M115" i="33"/>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H27" i="33"/>
  <c r="U27" i="33"/>
  <c r="D87" i="33"/>
  <c r="E87" i="33" s="1"/>
  <c r="D85" i="33"/>
  <c r="E85" i="33"/>
  <c r="D81" i="33"/>
  <c r="E81" i="33" s="1"/>
  <c r="F81" i="33" s="1"/>
  <c r="G81" i="33"/>
  <c r="D79" i="33"/>
  <c r="E79" i="33" s="1"/>
  <c r="D77" i="33"/>
  <c r="E77" i="33"/>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C63" i="33"/>
  <c r="H9" i="33" s="1"/>
  <c r="AB9" i="33" s="1"/>
  <c r="H54" i="33"/>
  <c r="P49" i="33"/>
  <c r="P48" i="33"/>
  <c r="V47" i="33"/>
  <c r="T47" i="33"/>
  <c r="R47" i="33"/>
  <c r="P47" i="33"/>
  <c r="Q46" i="33"/>
  <c r="Z46" i="33" s="1"/>
  <c r="Q45" i="33"/>
  <c r="Z45" i="33"/>
  <c r="Q44" i="33"/>
  <c r="Z44" i="33" s="1"/>
  <c r="Q43" i="33"/>
  <c r="Z43" i="33"/>
  <c r="Q42" i="33"/>
  <c r="Z42" i="33" s="1"/>
  <c r="J42" i="33"/>
  <c r="AC42" i="33"/>
  <c r="W41" i="33"/>
  <c r="Q41" i="33"/>
  <c r="Z41" i="33"/>
  <c r="Q40" i="33"/>
  <c r="Z40" i="33"/>
  <c r="J40" i="33"/>
  <c r="AC40" i="33" s="1"/>
  <c r="H40" i="33"/>
  <c r="AA40" i="33"/>
  <c r="Q39" i="33"/>
  <c r="Z39" i="33" s="1"/>
  <c r="J39" i="33"/>
  <c r="AC39" i="33" s="1"/>
  <c r="Q38" i="33"/>
  <c r="Z38" i="33" s="1"/>
  <c r="J38" i="33"/>
  <c r="AC38" i="33" s="1"/>
  <c r="H38" i="33"/>
  <c r="AB38" i="33" s="1"/>
  <c r="F38" i="33"/>
  <c r="S38" i="33" s="1"/>
  <c r="AA38" i="33"/>
  <c r="Q37" i="33"/>
  <c r="Z37" i="33" s="1"/>
  <c r="Q36" i="33"/>
  <c r="Z36" i="33"/>
  <c r="Q35" i="33"/>
  <c r="Z35" i="33" s="1"/>
  <c r="H35" i="33"/>
  <c r="AB35" i="33" s="1"/>
  <c r="Q34" i="33"/>
  <c r="Z34" i="33" s="1"/>
  <c r="Q33" i="33"/>
  <c r="Z33" i="33" s="1"/>
  <c r="J33" i="33"/>
  <c r="AC33" i="33" s="1"/>
  <c r="H33" i="33"/>
  <c r="U33" i="33" s="1"/>
  <c r="AB33" i="33"/>
  <c r="F33" i="33"/>
  <c r="AA33" i="33" s="1"/>
  <c r="Q32" i="33"/>
  <c r="Z32" i="33"/>
  <c r="Q31" i="33"/>
  <c r="Z31" i="33" s="1"/>
  <c r="Q30" i="33"/>
  <c r="Z30" i="33" s="1"/>
  <c r="Q29" i="33"/>
  <c r="Z29" i="33" s="1"/>
  <c r="Q28" i="33"/>
  <c r="Z28" i="33" s="1"/>
  <c r="Q27" i="33"/>
  <c r="Z27" i="33" s="1"/>
  <c r="Q26" i="33"/>
  <c r="Z26" i="33"/>
  <c r="Q25" i="33"/>
  <c r="Z25" i="33" s="1"/>
  <c r="Q23" i="33"/>
  <c r="Z23" i="33"/>
  <c r="Q19" i="33"/>
  <c r="Z19" i="33" s="1"/>
  <c r="Q17" i="33"/>
  <c r="Z17" i="33" s="1"/>
  <c r="Q15" i="33"/>
  <c r="Z15" i="33" s="1"/>
  <c r="F15" i="33"/>
  <c r="AA15" i="33" s="1"/>
  <c r="Q14" i="33"/>
  <c r="Z14" i="33" s="1"/>
  <c r="Q13" i="33"/>
  <c r="Z13" i="33"/>
  <c r="Q12" i="33"/>
  <c r="Z12" i="33" s="1"/>
  <c r="J12" i="33"/>
  <c r="W12" i="33"/>
  <c r="H12" i="33"/>
  <c r="U12" i="33" s="1"/>
  <c r="F12" i="33"/>
  <c r="S12" i="33" s="1"/>
  <c r="Q11" i="33"/>
  <c r="Z11" i="33" s="1"/>
  <c r="Q10" i="33"/>
  <c r="Z10" i="33" s="1"/>
  <c r="Q9" i="33"/>
  <c r="Z9" i="33" s="1"/>
  <c r="J9" i="33"/>
  <c r="AC9" i="33"/>
  <c r="J8" i="33"/>
  <c r="W8" i="33" s="1"/>
  <c r="H8" i="33"/>
  <c r="F8" i="33"/>
  <c r="M102" i="21"/>
  <c r="D102" i="21"/>
  <c r="E102" i="21"/>
  <c r="F102" i="21"/>
  <c r="G102" i="21"/>
  <c r="H102" i="21"/>
  <c r="I102" i="21"/>
  <c r="J102" i="21"/>
  <c r="K102" i="21"/>
  <c r="L102" i="21"/>
  <c r="C102" i="21"/>
  <c r="C63" i="21"/>
  <c r="G18" i="20"/>
  <c r="B90" i="46"/>
  <c r="C25" i="40"/>
  <c r="G16" i="20"/>
  <c r="G15" i="20"/>
  <c r="B83" i="46"/>
  <c r="C24" i="20"/>
  <c r="B75" i="46" s="1"/>
  <c r="C21" i="20"/>
  <c r="B99" i="46" s="1"/>
  <c r="C20" i="20"/>
  <c r="C18" i="20"/>
  <c r="B73" i="46"/>
  <c r="C17" i="20"/>
  <c r="B61" i="46" s="1"/>
  <c r="C16" i="20"/>
  <c r="B50" i="46"/>
  <c r="C15" i="20"/>
  <c r="B72" i="46" s="1"/>
  <c r="E54" i="21"/>
  <c r="F54" i="21"/>
  <c r="I54" i="21"/>
  <c r="J54" i="21" s="1"/>
  <c r="G54" i="21"/>
  <c r="H54" i="21"/>
  <c r="D125" i="21"/>
  <c r="E125" i="21" s="1"/>
  <c r="F125" i="21" s="1"/>
  <c r="D123" i="21"/>
  <c r="E123" i="21"/>
  <c r="F123" i="21" s="1"/>
  <c r="G123" i="21" s="1"/>
  <c r="H123" i="21" s="1"/>
  <c r="I123" i="21" s="1"/>
  <c r="J123" i="21" s="1"/>
  <c r="K123" i="21" s="1"/>
  <c r="L123" i="21" s="1"/>
  <c r="M123" i="21" s="1"/>
  <c r="H42" i="21"/>
  <c r="AB42" i="21" s="1"/>
  <c r="D119" i="21"/>
  <c r="D117" i="21"/>
  <c r="E117" i="21" s="1"/>
  <c r="F117" i="21" s="1"/>
  <c r="G117" i="21" s="1"/>
  <c r="D115" i="21"/>
  <c r="E115" i="21"/>
  <c r="F115" i="21" s="1"/>
  <c r="G115" i="21" s="1"/>
  <c r="H115" i="2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W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I101" i="21"/>
  <c r="J101" i="21" s="1"/>
  <c r="K101" i="21" s="1"/>
  <c r="L101" i="21" s="1"/>
  <c r="M101" i="21" s="1"/>
  <c r="D89" i="21"/>
  <c r="E89" i="21" s="1"/>
  <c r="F89" i="21" s="1"/>
  <c r="G89" i="21"/>
  <c r="H89" i="21" s="1"/>
  <c r="I89" i="21" s="1"/>
  <c r="J89" i="21" s="1"/>
  <c r="K89" i="21" s="1"/>
  <c r="L89" i="21" s="1"/>
  <c r="M89" i="21" s="1"/>
  <c r="D67" i="21"/>
  <c r="E67" i="21"/>
  <c r="F67" i="21"/>
  <c r="G67" i="21"/>
  <c r="H67" i="21"/>
  <c r="I67" i="21"/>
  <c r="J67" i="21"/>
  <c r="K67" i="21"/>
  <c r="L67" i="21"/>
  <c r="M67" i="21"/>
  <c r="C67" i="21"/>
  <c r="D69" i="21"/>
  <c r="E69" i="21" s="1"/>
  <c r="F69" i="21"/>
  <c r="G69" i="21" s="1"/>
  <c r="H69" i="21" s="1"/>
  <c r="I69" i="21" s="1"/>
  <c r="J69" i="21" s="1"/>
  <c r="K69" i="21" s="1"/>
  <c r="L69" i="21" s="1"/>
  <c r="M69" i="21" s="1"/>
  <c r="D111" i="21"/>
  <c r="E111" i="21"/>
  <c r="F111" i="21"/>
  <c r="C111" i="21"/>
  <c r="D79" i="21"/>
  <c r="E79" i="21" s="1"/>
  <c r="F79" i="21" s="1"/>
  <c r="G79" i="21" s="1"/>
  <c r="D85" i="21"/>
  <c r="E85" i="21"/>
  <c r="D81" i="21"/>
  <c r="E81" i="21" s="1"/>
  <c r="F81" i="21" s="1"/>
  <c r="G81" i="21" s="1"/>
  <c r="D77" i="21"/>
  <c r="E77" i="21" s="1"/>
  <c r="B130" i="21"/>
  <c r="H46" i="21" s="1"/>
  <c r="U46" i="21" s="1"/>
  <c r="B128" i="21"/>
  <c r="B126" i="21"/>
  <c r="B98" i="21"/>
  <c r="B96" i="21"/>
  <c r="F30" i="21" s="1"/>
  <c r="S30" i="21" s="1"/>
  <c r="B94" i="21"/>
  <c r="B92" i="21"/>
  <c r="B90" i="21"/>
  <c r="B74" i="21"/>
  <c r="J14" i="21" s="1"/>
  <c r="B72" i="21"/>
  <c r="B70" i="21"/>
  <c r="F12" i="21" s="1"/>
  <c r="F10" i="21"/>
  <c r="AA10" i="21" s="1"/>
  <c r="C19" i="21"/>
  <c r="C17" i="21"/>
  <c r="C23" i="21"/>
  <c r="Q9" i="21"/>
  <c r="Z9" i="21"/>
  <c r="Q10" i="21"/>
  <c r="Z10" i="21" s="1"/>
  <c r="Q11" i="21"/>
  <c r="Z11" i="21"/>
  <c r="Q12" i="21"/>
  <c r="Z12" i="21" s="1"/>
  <c r="Q13" i="21"/>
  <c r="Z13" i="21" s="1"/>
  <c r="Q14" i="21"/>
  <c r="Z14" i="21" s="1"/>
  <c r="Q15" i="21"/>
  <c r="Z15" i="21" s="1"/>
  <c r="Q17" i="21"/>
  <c r="Z17" i="21" s="1"/>
  <c r="Q19" i="21"/>
  <c r="Z19" i="21"/>
  <c r="Q23" i="21"/>
  <c r="Z23" i="21" s="1"/>
  <c r="Q25" i="21"/>
  <c r="Z25" i="21"/>
  <c r="Q26" i="21"/>
  <c r="Z26" i="21" s="1"/>
  <c r="Q27" i="21"/>
  <c r="Z27" i="21" s="1"/>
  <c r="Q28" i="21"/>
  <c r="Z28" i="21" s="1"/>
  <c r="Q29" i="21"/>
  <c r="Z29" i="21" s="1"/>
  <c r="Q30" i="21"/>
  <c r="Z30" i="21" s="1"/>
  <c r="Q31" i="21"/>
  <c r="Z31" i="21"/>
  <c r="Q32" i="21"/>
  <c r="Z32" i="21" s="1"/>
  <c r="Q33" i="21"/>
  <c r="Z33" i="21"/>
  <c r="Q34" i="21"/>
  <c r="Z34" i="21" s="1"/>
  <c r="J35" i="21"/>
  <c r="W35" i="21" s="1"/>
  <c r="Q35" i="21"/>
  <c r="Z35" i="21" s="1"/>
  <c r="Q36" i="21"/>
  <c r="Z36" i="21" s="1"/>
  <c r="Q37" i="21"/>
  <c r="Z37" i="21" s="1"/>
  <c r="J38" i="21"/>
  <c r="W38" i="21"/>
  <c r="Q38" i="21"/>
  <c r="Z38" i="21" s="1"/>
  <c r="J39" i="21"/>
  <c r="AC39" i="21"/>
  <c r="Q39" i="21"/>
  <c r="Z39" i="21" s="1"/>
  <c r="Q40" i="21"/>
  <c r="Z40" i="21" s="1"/>
  <c r="Q41" i="21"/>
  <c r="Z41" i="21" s="1"/>
  <c r="Q42" i="21"/>
  <c r="Z42" i="21" s="1"/>
  <c r="J43" i="21"/>
  <c r="AC43" i="21" s="1"/>
  <c r="Q43" i="21"/>
  <c r="Z43" i="21"/>
  <c r="Q44" i="21"/>
  <c r="Z44" i="21" s="1"/>
  <c r="Q45" i="21"/>
  <c r="Z45" i="21"/>
  <c r="Q46" i="21"/>
  <c r="Z46" i="21" s="1"/>
  <c r="P47" i="21"/>
  <c r="R47" i="21"/>
  <c r="T47" i="21"/>
  <c r="V47" i="21"/>
  <c r="P48" i="21"/>
  <c r="P49" i="21"/>
  <c r="F8" i="21"/>
  <c r="AA8" i="21" s="1"/>
  <c r="E13" i="11"/>
  <c r="E12" i="11"/>
  <c r="C9" i="12"/>
  <c r="BB12" i="3"/>
  <c r="F9" i="12"/>
  <c r="D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s="1"/>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s="1"/>
  <c r="H571" i="3"/>
  <c r="H572" i="3"/>
  <c r="G572" i="3" s="1"/>
  <c r="F5" i="3"/>
  <c r="G27" i="6"/>
  <c r="F34" i="21"/>
  <c r="AA34" i="21"/>
  <c r="H34" i="21"/>
  <c r="U34" i="21" s="1"/>
  <c r="F43" i="21"/>
  <c r="S43" i="21" s="1"/>
  <c r="H38" i="21"/>
  <c r="AB38" i="21" s="1"/>
  <c r="H43" i="21"/>
  <c r="AB43" i="21" s="1"/>
  <c r="F32" i="21"/>
  <c r="F38" i="21"/>
  <c r="S38" i="21"/>
  <c r="F36" i="21"/>
  <c r="S36" i="21" s="1"/>
  <c r="F39" i="21"/>
  <c r="AA39" i="21"/>
  <c r="J40" i="21"/>
  <c r="W40" i="21" s="1"/>
  <c r="H35" i="21"/>
  <c r="AB35" i="21"/>
  <c r="J8" i="21"/>
  <c r="AC8" i="21" s="1"/>
  <c r="H8" i="21"/>
  <c r="H10" i="21"/>
  <c r="U10" i="21" s="1"/>
  <c r="H39" i="21"/>
  <c r="AB39" i="21" s="1"/>
  <c r="J34" i="21"/>
  <c r="W34" i="21"/>
  <c r="H36" i="21"/>
  <c r="U36" i="21" s="1"/>
  <c r="F35" i="21"/>
  <c r="AA35" i="21"/>
  <c r="J33" i="21"/>
  <c r="W33" i="21" s="1"/>
  <c r="H33" i="21"/>
  <c r="U33" i="21"/>
  <c r="F33" i="21"/>
  <c r="J10" i="21"/>
  <c r="AC10" i="21"/>
  <c r="H26" i="21"/>
  <c r="F19" i="21"/>
  <c r="AA19" i="21" s="1"/>
  <c r="H19" i="21"/>
  <c r="AB19" i="21" s="1"/>
  <c r="J19" i="21"/>
  <c r="W19" i="21" s="1"/>
  <c r="J12" i="21"/>
  <c r="H12" i="21"/>
  <c r="U12" i="21" s="1"/>
  <c r="J26" i="21"/>
  <c r="W26" i="21"/>
  <c r="F26" i="21"/>
  <c r="AA26" i="21" s="1"/>
  <c r="AB41" i="21"/>
  <c r="S41" i="21"/>
  <c r="AA41" i="21"/>
  <c r="W41" i="21"/>
  <c r="S10" i="39"/>
  <c r="U30" i="37"/>
  <c r="E103" i="37"/>
  <c r="F103" i="37" s="1"/>
  <c r="F39" i="37"/>
  <c r="S39" i="37"/>
  <c r="W39" i="37"/>
  <c r="F29" i="36"/>
  <c r="AA29" i="36" s="1"/>
  <c r="F16" i="36"/>
  <c r="AA16" i="36"/>
  <c r="U22" i="36"/>
  <c r="W23" i="36"/>
  <c r="W22" i="36"/>
  <c r="U26" i="36"/>
  <c r="AC31" i="36"/>
  <c r="J33" i="36"/>
  <c r="W33" i="36"/>
  <c r="AC27" i="35"/>
  <c r="U31" i="35"/>
  <c r="S34" i="35"/>
  <c r="W36" i="35"/>
  <c r="W24" i="35"/>
  <c r="S31" i="35"/>
  <c r="W31" i="35"/>
  <c r="U34" i="35"/>
  <c r="F36" i="34"/>
  <c r="S36" i="34" s="1"/>
  <c r="S34" i="34"/>
  <c r="W39" i="34"/>
  <c r="H39" i="33"/>
  <c r="AB39" i="33" s="1"/>
  <c r="F26" i="33"/>
  <c r="AA26" i="33" s="1"/>
  <c r="U9" i="33"/>
  <c r="W38" i="33"/>
  <c r="S40" i="33"/>
  <c r="S33" i="33"/>
  <c r="W33" i="33"/>
  <c r="U38" i="33"/>
  <c r="S8" i="21"/>
  <c r="H39" i="37"/>
  <c r="AB39" i="37"/>
  <c r="AB27" i="35"/>
  <c r="W10" i="40"/>
  <c r="U11" i="40"/>
  <c r="S40" i="39"/>
  <c r="F11" i="21"/>
  <c r="S11" i="21" s="1"/>
  <c r="AA38" i="21"/>
  <c r="AB36" i="21"/>
  <c r="AC35" i="21"/>
  <c r="C29" i="39"/>
  <c r="C23" i="39"/>
  <c r="U36" i="39"/>
  <c r="H32" i="33"/>
  <c r="AB32" i="33"/>
  <c r="H11" i="21"/>
  <c r="U11" i="21" s="1"/>
  <c r="J11" i="21"/>
  <c r="W11" i="21"/>
  <c r="AA12" i="33"/>
  <c r="J27" i="36"/>
  <c r="W27" i="36"/>
  <c r="J34" i="36"/>
  <c r="W34" i="36" s="1"/>
  <c r="J30" i="35"/>
  <c r="W30" i="35"/>
  <c r="F22" i="35"/>
  <c r="AA22" i="35" s="1"/>
  <c r="H10" i="35"/>
  <c r="U10" i="35" s="1"/>
  <c r="AC24" i="36"/>
  <c r="U29" i="36"/>
  <c r="U24" i="36"/>
  <c r="E85" i="36"/>
  <c r="F85" i="36"/>
  <c r="G85" i="36" s="1"/>
  <c r="H85" i="36" s="1"/>
  <c r="I85" i="36" s="1"/>
  <c r="J85" i="36" s="1"/>
  <c r="K85" i="36" s="1"/>
  <c r="L85" i="36" s="1"/>
  <c r="M85" i="36" s="1"/>
  <c r="J29" i="36"/>
  <c r="AC29" i="36" s="1"/>
  <c r="F12" i="36"/>
  <c r="S12" i="36"/>
  <c r="F24" i="36"/>
  <c r="AA24" i="36" s="1"/>
  <c r="F34" i="36"/>
  <c r="S34" i="36"/>
  <c r="AB8" i="36"/>
  <c r="H16" i="35"/>
  <c r="U16" i="35" s="1"/>
  <c r="H33" i="35"/>
  <c r="AB33" i="35"/>
  <c r="W8" i="35"/>
  <c r="F35" i="37"/>
  <c r="E101" i="37"/>
  <c r="F101" i="37" s="1"/>
  <c r="G101" i="37" s="1"/>
  <c r="H101" i="37" s="1"/>
  <c r="I101" i="37" s="1"/>
  <c r="J101" i="37" s="1"/>
  <c r="K101" i="37" s="1"/>
  <c r="L101" i="37" s="1"/>
  <c r="M101" i="37" s="1"/>
  <c r="J34" i="37"/>
  <c r="W34" i="37" s="1"/>
  <c r="AA39" i="37"/>
  <c r="H43" i="34"/>
  <c r="U42" i="34"/>
  <c r="E114" i="34"/>
  <c r="H36" i="34"/>
  <c r="U36" i="34"/>
  <c r="F37" i="34"/>
  <c r="AA37" i="34" s="1"/>
  <c r="F33" i="34"/>
  <c r="S33" i="34"/>
  <c r="F19" i="34"/>
  <c r="AA19" i="34"/>
  <c r="J10" i="34"/>
  <c r="AC10" i="34" s="1"/>
  <c r="U9" i="34"/>
  <c r="W8" i="34"/>
  <c r="J28" i="34"/>
  <c r="AC28" i="34" s="1"/>
  <c r="E113" i="33"/>
  <c r="F36" i="33"/>
  <c r="S36" i="33"/>
  <c r="F19" i="33"/>
  <c r="S19" i="33" s="1"/>
  <c r="J19" i="33"/>
  <c r="S10" i="21"/>
  <c r="W40" i="33"/>
  <c r="G125" i="21"/>
  <c r="AB30" i="36"/>
  <c r="AC34" i="36"/>
  <c r="H29" i="35"/>
  <c r="U34" i="37"/>
  <c r="S34" i="37"/>
  <c r="AA34" i="37"/>
  <c r="AC43" i="34"/>
  <c r="AB42" i="34"/>
  <c r="W36" i="34"/>
  <c r="J19" i="34"/>
  <c r="AC19" i="34" s="1"/>
  <c r="F113" i="33"/>
  <c r="G113" i="33" s="1"/>
  <c r="H113" i="33"/>
  <c r="I113" i="33"/>
  <c r="J113" i="33" s="1"/>
  <c r="K113" i="33" s="1"/>
  <c r="L113" i="33" s="1"/>
  <c r="M113" i="33" s="1"/>
  <c r="H37" i="33"/>
  <c r="AB37" i="33" s="1"/>
  <c r="S37" i="33"/>
  <c r="W43" i="34"/>
  <c r="AC42" i="34"/>
  <c r="W42" i="34"/>
  <c r="AA42" i="34"/>
  <c r="S42" i="34"/>
  <c r="AC38" i="34"/>
  <c r="W38" i="34"/>
  <c r="AA38" i="34"/>
  <c r="S38" i="34"/>
  <c r="J37" i="33"/>
  <c r="W37" i="33" s="1"/>
  <c r="J42" i="21"/>
  <c r="AC42" i="21"/>
  <c r="J44" i="34"/>
  <c r="AC44" i="34" s="1"/>
  <c r="F44" i="34"/>
  <c r="S44" i="34" s="1"/>
  <c r="J10" i="35"/>
  <c r="W10" i="35" s="1"/>
  <c r="AL5" i="3"/>
  <c r="BQ13" i="3"/>
  <c r="BL572" i="3"/>
  <c r="H14" i="21"/>
  <c r="U14" i="21" s="1"/>
  <c r="H28" i="21"/>
  <c r="AB28" i="21"/>
  <c r="F28" i="21"/>
  <c r="S28" i="21" s="1"/>
  <c r="J28" i="21"/>
  <c r="AC28" i="21" s="1"/>
  <c r="H30" i="21"/>
  <c r="AB30" i="21" s="1"/>
  <c r="J30" i="21"/>
  <c r="J44" i="21"/>
  <c r="AC44" i="21" s="1"/>
  <c r="H44" i="21"/>
  <c r="U44" i="21"/>
  <c r="F44" i="21"/>
  <c r="AA44" i="21" s="1"/>
  <c r="AB46" i="21"/>
  <c r="J46" i="21"/>
  <c r="W46" i="21" s="1"/>
  <c r="H26" i="33"/>
  <c r="U26" i="33" s="1"/>
  <c r="H28" i="33"/>
  <c r="F28" i="33"/>
  <c r="AA28" i="33" s="1"/>
  <c r="J28" i="33"/>
  <c r="W28" i="33" s="1"/>
  <c r="F33" i="35"/>
  <c r="S33" i="35" s="1"/>
  <c r="J33" i="35"/>
  <c r="W33" i="35" s="1"/>
  <c r="F30" i="35"/>
  <c r="AA30" i="35" s="1"/>
  <c r="E89" i="35"/>
  <c r="F89" i="35" s="1"/>
  <c r="G89" i="35" s="1"/>
  <c r="H89" i="35" s="1"/>
  <c r="I89" i="35" s="1"/>
  <c r="J89" i="35" s="1"/>
  <c r="K89" i="35" s="1"/>
  <c r="L89" i="35" s="1"/>
  <c r="M89" i="35" s="1"/>
  <c r="H10" i="36"/>
  <c r="AB10" i="36" s="1"/>
  <c r="F28" i="36"/>
  <c r="S28" i="36" s="1"/>
  <c r="F27" i="36"/>
  <c r="S27" i="36" s="1"/>
  <c r="H13" i="21"/>
  <c r="U13" i="21"/>
  <c r="J13" i="21"/>
  <c r="AC13" i="21" s="1"/>
  <c r="F13" i="21"/>
  <c r="AA13" i="21" s="1"/>
  <c r="H27" i="21"/>
  <c r="AB27" i="21" s="1"/>
  <c r="J27" i="21"/>
  <c r="W27" i="21" s="1"/>
  <c r="F27" i="21"/>
  <c r="AA27" i="21" s="1"/>
  <c r="J29" i="21"/>
  <c r="AC29" i="21" s="1"/>
  <c r="H29" i="21"/>
  <c r="U29" i="21" s="1"/>
  <c r="F29" i="21"/>
  <c r="S29" i="21"/>
  <c r="J31" i="21"/>
  <c r="AC31" i="21" s="1"/>
  <c r="H31" i="21"/>
  <c r="U31" i="21" s="1"/>
  <c r="F31" i="21"/>
  <c r="S31" i="21" s="1"/>
  <c r="J45" i="21"/>
  <c r="W45" i="21" s="1"/>
  <c r="F45" i="21"/>
  <c r="AA45" i="21" s="1"/>
  <c r="H45" i="21"/>
  <c r="U45" i="21" s="1"/>
  <c r="J27" i="33"/>
  <c r="AC27" i="33" s="1"/>
  <c r="F27" i="33"/>
  <c r="AA27" i="33" s="1"/>
  <c r="S27" i="33"/>
  <c r="F13" i="33"/>
  <c r="S13" i="33" s="1"/>
  <c r="J29" i="33"/>
  <c r="W29" i="33" s="1"/>
  <c r="J31" i="33"/>
  <c r="AC31" i="33" s="1"/>
  <c r="H31" i="33"/>
  <c r="AB31" i="33" s="1"/>
  <c r="S31" i="33"/>
  <c r="J45" i="33"/>
  <c r="W45" i="33"/>
  <c r="F45" i="33"/>
  <c r="S45" i="33" s="1"/>
  <c r="F11" i="35"/>
  <c r="S11" i="35"/>
  <c r="H28" i="36"/>
  <c r="H32" i="36"/>
  <c r="AB32" i="36"/>
  <c r="J32" i="36"/>
  <c r="J11" i="36"/>
  <c r="W11" i="36" s="1"/>
  <c r="H13" i="36"/>
  <c r="AB13" i="36" s="1"/>
  <c r="J13" i="36"/>
  <c r="W13" i="36" s="1"/>
  <c r="F13" i="36"/>
  <c r="S13" i="36" s="1"/>
  <c r="E89" i="37"/>
  <c r="F89" i="37" s="1"/>
  <c r="G89" i="37"/>
  <c r="H89" i="37" s="1"/>
  <c r="I89" i="37" s="1"/>
  <c r="J89" i="37" s="1"/>
  <c r="K89" i="37" s="1"/>
  <c r="L89" i="37" s="1"/>
  <c r="M89" i="37" s="1"/>
  <c r="J29" i="37"/>
  <c r="W29" i="37"/>
  <c r="F29" i="37"/>
  <c r="AA29" i="37" s="1"/>
  <c r="F105" i="37"/>
  <c r="AB36" i="37"/>
  <c r="F107" i="37"/>
  <c r="G107" i="37" s="1"/>
  <c r="J37" i="37"/>
  <c r="AC37" i="37" s="1"/>
  <c r="H37" i="37"/>
  <c r="U37" i="37" s="1"/>
  <c r="H40" i="37"/>
  <c r="U40" i="37" s="1"/>
  <c r="J40" i="37"/>
  <c r="F40" i="37"/>
  <c r="AA40" i="37" s="1"/>
  <c r="H14" i="33"/>
  <c r="U14" i="33"/>
  <c r="F14" i="33"/>
  <c r="AA14" i="33" s="1"/>
  <c r="J14" i="33"/>
  <c r="AC14" i="33"/>
  <c r="H30" i="33"/>
  <c r="F30" i="33"/>
  <c r="S30" i="33"/>
  <c r="J30" i="33"/>
  <c r="H44" i="33"/>
  <c r="U44" i="33" s="1"/>
  <c r="J44" i="33"/>
  <c r="AC44" i="33"/>
  <c r="F44" i="33"/>
  <c r="S44" i="33" s="1"/>
  <c r="J46" i="33"/>
  <c r="AC46" i="33" s="1"/>
  <c r="F46" i="33"/>
  <c r="AA46" i="33" s="1"/>
  <c r="H46" i="33"/>
  <c r="AB46" i="33" s="1"/>
  <c r="H13" i="34"/>
  <c r="U13" i="34" s="1"/>
  <c r="J13" i="34"/>
  <c r="W13" i="34" s="1"/>
  <c r="F13" i="34"/>
  <c r="AA13" i="34" s="1"/>
  <c r="J29" i="34"/>
  <c r="AC29" i="34"/>
  <c r="F29" i="34"/>
  <c r="S29" i="34" s="1"/>
  <c r="H29" i="34"/>
  <c r="U29" i="34" s="1"/>
  <c r="J31" i="34"/>
  <c r="AC31" i="34" s="1"/>
  <c r="H31" i="34"/>
  <c r="AB31" i="34" s="1"/>
  <c r="F31" i="34"/>
  <c r="S31" i="34" s="1"/>
  <c r="H45" i="34"/>
  <c r="U45" i="34" s="1"/>
  <c r="J45" i="34"/>
  <c r="W45" i="34" s="1"/>
  <c r="F45" i="34"/>
  <c r="AA45" i="34"/>
  <c r="H47" i="34"/>
  <c r="U47" i="34" s="1"/>
  <c r="F47" i="34"/>
  <c r="AA47" i="34" s="1"/>
  <c r="J47" i="34"/>
  <c r="AC47" i="34" s="1"/>
  <c r="F13" i="35"/>
  <c r="S13" i="35" s="1"/>
  <c r="J13" i="35"/>
  <c r="AC13" i="35" s="1"/>
  <c r="H13" i="35"/>
  <c r="U13" i="35" s="1"/>
  <c r="J25" i="35"/>
  <c r="AC25" i="35" s="1"/>
  <c r="F25" i="35"/>
  <c r="AA25" i="35"/>
  <c r="H25" i="35"/>
  <c r="AB25" i="35" s="1"/>
  <c r="J35" i="35"/>
  <c r="W35" i="35" s="1"/>
  <c r="F35" i="35"/>
  <c r="S35" i="35" s="1"/>
  <c r="H35" i="35"/>
  <c r="U35" i="35" s="1"/>
  <c r="J25" i="36"/>
  <c r="W25" i="36" s="1"/>
  <c r="F25" i="36"/>
  <c r="AA25" i="36" s="1"/>
  <c r="H25" i="36"/>
  <c r="AB25" i="36" s="1"/>
  <c r="H13" i="37"/>
  <c r="AB13" i="37"/>
  <c r="F13" i="37"/>
  <c r="S13" i="37" s="1"/>
  <c r="J13" i="37"/>
  <c r="AC13" i="37" s="1"/>
  <c r="F28" i="37"/>
  <c r="AA28" i="37" s="1"/>
  <c r="J28" i="37"/>
  <c r="AC28" i="37" s="1"/>
  <c r="H28" i="37"/>
  <c r="U28" i="37" s="1"/>
  <c r="H38" i="37"/>
  <c r="AB38" i="37" s="1"/>
  <c r="J38" i="37"/>
  <c r="AC38" i="37" s="1"/>
  <c r="F38" i="37"/>
  <c r="AA38" i="37" s="1"/>
  <c r="S38" i="37"/>
  <c r="F14" i="37"/>
  <c r="AA14" i="37" s="1"/>
  <c r="F27" i="37"/>
  <c r="AA27" i="37" s="1"/>
  <c r="J14" i="37"/>
  <c r="W14" i="37" s="1"/>
  <c r="J27" i="37"/>
  <c r="W27" i="37" s="1"/>
  <c r="W46" i="33"/>
  <c r="J36" i="37"/>
  <c r="AC36" i="37" s="1"/>
  <c r="G105" i="37"/>
  <c r="AB31" i="21"/>
  <c r="AB13" i="21"/>
  <c r="AC30" i="21"/>
  <c r="W30" i="21"/>
  <c r="AA28" i="21"/>
  <c r="AB14" i="21"/>
  <c r="W42" i="21"/>
  <c r="W31" i="34"/>
  <c r="S46" i="33"/>
  <c r="U36" i="37"/>
  <c r="AC13" i="36"/>
  <c r="AB45" i="33"/>
  <c r="AB27" i="33"/>
  <c r="S45" i="21"/>
  <c r="AC28" i="33"/>
  <c r="U28" i="21"/>
  <c r="AB44" i="21"/>
  <c r="S19"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BL555" i="3"/>
  <c r="BL551" i="3"/>
  <c r="BL541" i="3"/>
  <c r="BL533" i="3"/>
  <c r="BL525" i="3"/>
  <c r="G518" i="3"/>
  <c r="G514" i="3"/>
  <c r="G510" i="3"/>
  <c r="BL503" i="3"/>
  <c r="BL495" i="3"/>
  <c r="BL485" i="3"/>
  <c r="G18" i="3"/>
  <c r="BA569" i="3"/>
  <c r="AZ569" i="3" s="1"/>
  <c r="BA565" i="3"/>
  <c r="BA561" i="3"/>
  <c r="AZ561" i="3"/>
  <c r="BA559" i="3"/>
  <c r="AZ559" i="3" s="1"/>
  <c r="BA557" i="3"/>
  <c r="AZ557" i="3" s="1"/>
  <c r="BA555" i="3"/>
  <c r="BA551" i="3"/>
  <c r="AZ551" i="3" s="1"/>
  <c r="BA545" i="3"/>
  <c r="AZ545" i="3" s="1"/>
  <c r="BA543" i="3"/>
  <c r="BA541" i="3"/>
  <c r="AZ541" i="3" s="1"/>
  <c r="BA531" i="3"/>
  <c r="BA521" i="3"/>
  <c r="BA509" i="3"/>
  <c r="BA505" i="3"/>
  <c r="BA501" i="3"/>
  <c r="BA493" i="3"/>
  <c r="AZ493" i="3" s="1"/>
  <c r="BA487" i="3"/>
  <c r="BA19" i="3"/>
  <c r="BA566" i="3"/>
  <c r="BA562" i="3"/>
  <c r="BA560" i="3"/>
  <c r="BA558" i="3"/>
  <c r="BA556" i="3"/>
  <c r="BA554" i="3"/>
  <c r="BA550" i="3"/>
  <c r="BA546" i="3"/>
  <c r="BA544" i="3"/>
  <c r="BA540" i="3"/>
  <c r="BA536" i="3"/>
  <c r="BA532" i="3"/>
  <c r="BA528" i="3"/>
  <c r="BA524" i="3"/>
  <c r="BA520" i="3"/>
  <c r="BA516" i="3"/>
  <c r="BA512" i="3"/>
  <c r="BA508" i="3"/>
  <c r="BA502" i="3"/>
  <c r="BA498" i="3"/>
  <c r="BA492" i="3"/>
  <c r="BA488" i="3"/>
  <c r="BA484" i="3"/>
  <c r="BA20" i="3"/>
  <c r="G566" i="3"/>
  <c r="G562" i="3"/>
  <c r="G560" i="3"/>
  <c r="G558" i="3"/>
  <c r="G556" i="3"/>
  <c r="G554" i="3"/>
  <c r="G550" i="3"/>
  <c r="G546" i="3"/>
  <c r="BL543" i="3"/>
  <c r="AZ543" i="3" s="1"/>
  <c r="BA542" i="3"/>
  <c r="AC542" i="3"/>
  <c r="G542" i="3"/>
  <c r="BQ542" i="3"/>
  <c r="BL542" i="3" s="1"/>
  <c r="BQ568" i="3"/>
  <c r="BQ566" i="3"/>
  <c r="BQ564" i="3"/>
  <c r="BL564" i="3" s="1"/>
  <c r="BQ562" i="3"/>
  <c r="BL562" i="3" s="1"/>
  <c r="AZ562" i="3" s="1"/>
  <c r="BQ560" i="3"/>
  <c r="BL560" i="3"/>
  <c r="BQ558" i="3"/>
  <c r="BL558" i="3" s="1"/>
  <c r="BQ556" i="3"/>
  <c r="BL556" i="3"/>
  <c r="BQ554" i="3"/>
  <c r="BQ552" i="3"/>
  <c r="BL552" i="3" s="1"/>
  <c r="BQ550" i="3"/>
  <c r="BL550" i="3"/>
  <c r="BQ548" i="3"/>
  <c r="BQ546" i="3"/>
  <c r="BL546" i="3" s="1"/>
  <c r="BQ544" i="3"/>
  <c r="BL544" i="3" s="1"/>
  <c r="AZ544" i="3" s="1"/>
  <c r="G544" i="3"/>
  <c r="G538" i="3"/>
  <c r="G534" i="3"/>
  <c r="G530" i="3"/>
  <c r="G526" i="3"/>
  <c r="G522" i="3"/>
  <c r="BQ540" i="3"/>
  <c r="BL540" i="3"/>
  <c r="AZ540" i="3" s="1"/>
  <c r="BQ538" i="3"/>
  <c r="BL538" i="3" s="1"/>
  <c r="BQ536" i="3"/>
  <c r="BQ534" i="3"/>
  <c r="BL534" i="3" s="1"/>
  <c r="BQ532" i="3"/>
  <c r="BL532" i="3" s="1"/>
  <c r="AZ532" i="3" s="1"/>
  <c r="BQ530" i="3"/>
  <c r="BQ528" i="3"/>
  <c r="BQ526" i="3"/>
  <c r="BL526" i="3" s="1"/>
  <c r="BQ524" i="3"/>
  <c r="BL524" i="3" s="1"/>
  <c r="AZ524" i="3" s="1"/>
  <c r="BQ522" i="3"/>
  <c r="BQ520" i="3"/>
  <c r="BL520" i="3"/>
  <c r="AZ520" i="3" s="1"/>
  <c r="BQ518" i="3"/>
  <c r="BQ516" i="3"/>
  <c r="BL516" i="3" s="1"/>
  <c r="BQ514" i="3"/>
  <c r="BL514" i="3" s="1"/>
  <c r="BQ512" i="3"/>
  <c r="BQ510" i="3"/>
  <c r="BL510" i="3" s="1"/>
  <c r="BQ508" i="3"/>
  <c r="BL508" i="3"/>
  <c r="AC506" i="3"/>
  <c r="G506" i="3" s="1"/>
  <c r="BQ506" i="3"/>
  <c r="G502" i="3"/>
  <c r="G498" i="3"/>
  <c r="BQ504" i="3"/>
  <c r="BQ502" i="3"/>
  <c r="BL502" i="3"/>
  <c r="BQ500" i="3"/>
  <c r="BL500" i="3" s="1"/>
  <c r="BQ498" i="3"/>
  <c r="BQ496" i="3"/>
  <c r="AC494" i="3"/>
  <c r="BQ494" i="3"/>
  <c r="BL493" i="3"/>
  <c r="G492" i="3"/>
  <c r="G488" i="3"/>
  <c r="G484" i="3"/>
  <c r="G20" i="3"/>
  <c r="BQ492" i="3"/>
  <c r="BL492" i="3" s="1"/>
  <c r="AZ492" i="3" s="1"/>
  <c r="BQ490" i="3"/>
  <c r="BQ488" i="3"/>
  <c r="BL488" i="3" s="1"/>
  <c r="BQ486" i="3"/>
  <c r="BQ484" i="3"/>
  <c r="BL484" i="3" s="1"/>
  <c r="BQ482" i="3"/>
  <c r="BL482" i="3" s="1"/>
  <c r="BQ20" i="3"/>
  <c r="BL20" i="3" s="1"/>
  <c r="BQ18" i="3"/>
  <c r="AZ501" i="3"/>
  <c r="S505" i="31"/>
  <c r="S503" i="31"/>
  <c r="S501" i="31"/>
  <c r="S499" i="31"/>
  <c r="O27" i="31"/>
  <c r="O28" i="31"/>
  <c r="O26" i="31"/>
  <c r="M27" i="31"/>
  <c r="M28" i="31"/>
  <c r="M26" i="31"/>
  <c r="I26" i="31"/>
  <c r="I25" i="31"/>
  <c r="S25" i="31"/>
  <c r="Q26" i="31"/>
  <c r="K26" i="31"/>
  <c r="I27" i="31"/>
  <c r="Q27" i="31"/>
  <c r="K27" i="31"/>
  <c r="I28" i="31"/>
  <c r="Q28" i="31"/>
  <c r="K28" i="31"/>
  <c r="AA12" i="21"/>
  <c r="S12" i="21"/>
  <c r="H25" i="21"/>
  <c r="U25" i="21" s="1"/>
  <c r="F25" i="21"/>
  <c r="S25" i="21" s="1"/>
  <c r="J25" i="21"/>
  <c r="AC25" i="21" s="1"/>
  <c r="E125" i="33"/>
  <c r="F125" i="33" s="1"/>
  <c r="G125" i="33" s="1"/>
  <c r="H43" i="33"/>
  <c r="U43" i="33"/>
  <c r="H17" i="37"/>
  <c r="U17" i="37" s="1"/>
  <c r="F23" i="37"/>
  <c r="S23" i="37"/>
  <c r="F79" i="37"/>
  <c r="G79" i="37" s="1"/>
  <c r="AB27" i="37"/>
  <c r="F39" i="33"/>
  <c r="AA39" i="33"/>
  <c r="E123" i="33"/>
  <c r="F123" i="33" s="1"/>
  <c r="G123" i="33" s="1"/>
  <c r="H123" i="33" s="1"/>
  <c r="I123" i="33" s="1"/>
  <c r="J123" i="33" s="1"/>
  <c r="K123" i="33" s="1"/>
  <c r="L123" i="33" s="1"/>
  <c r="M123" i="33" s="1"/>
  <c r="F42" i="33"/>
  <c r="AA42" i="33" s="1"/>
  <c r="H28" i="34"/>
  <c r="AB28" i="34" s="1"/>
  <c r="F22" i="36"/>
  <c r="S22" i="36" s="1"/>
  <c r="H35" i="34"/>
  <c r="U35" i="34" s="1"/>
  <c r="F41" i="34"/>
  <c r="S41" i="34" s="1"/>
  <c r="H41" i="34"/>
  <c r="U41" i="34"/>
  <c r="J41" i="34"/>
  <c r="W41" i="34" s="1"/>
  <c r="F10" i="35"/>
  <c r="AA10" i="35" s="1"/>
  <c r="F24" i="35"/>
  <c r="AA24" i="35"/>
  <c r="H24" i="35"/>
  <c r="AB24" i="35"/>
  <c r="H23" i="37"/>
  <c r="AB23" i="37"/>
  <c r="J32" i="37"/>
  <c r="AC32" i="37"/>
  <c r="F36" i="37"/>
  <c r="S36" i="37"/>
  <c r="F37" i="37"/>
  <c r="AA37" i="37"/>
  <c r="U23" i="37"/>
  <c r="AC41" i="34"/>
  <c r="H42" i="33"/>
  <c r="U42" i="33"/>
  <c r="J43" i="33"/>
  <c r="AC43" i="33" s="1"/>
  <c r="J23" i="37"/>
  <c r="W23" i="37" s="1"/>
  <c r="F17" i="37"/>
  <c r="AA17" i="37" s="1"/>
  <c r="AB43" i="33"/>
  <c r="D3" i="21"/>
  <c r="AC33" i="36"/>
  <c r="AC12" i="35"/>
  <c r="W23" i="35"/>
  <c r="AC23" i="37"/>
  <c r="S27" i="37"/>
  <c r="U39" i="37"/>
  <c r="AC8" i="37"/>
  <c r="S25" i="37"/>
  <c r="AC36" i="34"/>
  <c r="AB8" i="34"/>
  <c r="AC37" i="33"/>
  <c r="AA13" i="33"/>
  <c r="AC45" i="33"/>
  <c r="U19" i="21"/>
  <c r="AC33" i="21"/>
  <c r="AA36" i="21"/>
  <c r="S39" i="33"/>
  <c r="F43" i="33"/>
  <c r="AA43" i="33"/>
  <c r="AA23" i="37"/>
  <c r="AB44" i="33"/>
  <c r="H107" i="37"/>
  <c r="I107" i="37" s="1"/>
  <c r="J107" i="37" s="1"/>
  <c r="K107" i="37" s="1"/>
  <c r="L107" i="37" s="1"/>
  <c r="M107" i="37" s="1"/>
  <c r="F37" i="21"/>
  <c r="S37" i="21"/>
  <c r="J37" i="21"/>
  <c r="W37" i="21" s="1"/>
  <c r="H19" i="34"/>
  <c r="AB19" i="34"/>
  <c r="J10" i="37"/>
  <c r="AC10" i="37" s="1"/>
  <c r="F36" i="35"/>
  <c r="S36" i="35" s="1"/>
  <c r="J9" i="37"/>
  <c r="W9" i="37" s="1"/>
  <c r="H9" i="37"/>
  <c r="U9" i="37" s="1"/>
  <c r="F9" i="37"/>
  <c r="S9" i="37"/>
  <c r="F11" i="37"/>
  <c r="S11" i="37" s="1"/>
  <c r="J12" i="37"/>
  <c r="AC12" i="37" s="1"/>
  <c r="H12" i="37"/>
  <c r="F12" i="37"/>
  <c r="AA12" i="37"/>
  <c r="H15" i="37"/>
  <c r="U15" i="37" s="1"/>
  <c r="E94" i="37"/>
  <c r="F94" i="37" s="1"/>
  <c r="G94" i="37" s="1"/>
  <c r="H94" i="37" s="1"/>
  <c r="I94" i="37" s="1"/>
  <c r="J94" i="37" s="1"/>
  <c r="K94" i="37" s="1"/>
  <c r="L94" i="37" s="1"/>
  <c r="M94" i="37" s="1"/>
  <c r="F31" i="37"/>
  <c r="S31" i="37"/>
  <c r="H31" i="37"/>
  <c r="AB31" i="37"/>
  <c r="J15" i="37"/>
  <c r="W15" i="37"/>
  <c r="J11" i="37"/>
  <c r="W11" i="37"/>
  <c r="U31" i="37"/>
  <c r="E89" i="40"/>
  <c r="F89" i="40" s="1"/>
  <c r="G89" i="40" s="1"/>
  <c r="F21" i="40"/>
  <c r="S21" i="40" s="1"/>
  <c r="J21" i="40"/>
  <c r="AC21" i="40" s="1"/>
  <c r="S27" i="31"/>
  <c r="AZ558" i="3"/>
  <c r="AZ560" i="3"/>
  <c r="G483" i="3"/>
  <c r="G515" i="3"/>
  <c r="G507" i="3"/>
  <c r="G501" i="3"/>
  <c r="BA15" i="3"/>
  <c r="BL17" i="3"/>
  <c r="BL15" i="3"/>
  <c r="BA14" i="3"/>
  <c r="AZ14" i="3" s="1"/>
  <c r="J57" i="39"/>
  <c r="H13" i="40"/>
  <c r="U13" i="40" s="1"/>
  <c r="I4" i="4"/>
  <c r="K141" i="21"/>
  <c r="K143" i="21"/>
  <c r="K144" i="21"/>
  <c r="I58" i="40"/>
  <c r="C58" i="40" s="1"/>
  <c r="I59" i="40"/>
  <c r="C59" i="40" s="1"/>
  <c r="W9" i="33"/>
  <c r="G297" i="3"/>
  <c r="BL298" i="3"/>
  <c r="G299" i="3"/>
  <c r="BL300" i="3"/>
  <c r="BA302" i="3"/>
  <c r="BA303" i="3"/>
  <c r="BL303" i="3"/>
  <c r="AZ303" i="3" s="1"/>
  <c r="G304" i="3"/>
  <c r="BA305" i="3"/>
  <c r="G321" i="3"/>
  <c r="BL322" i="3"/>
  <c r="G323" i="3"/>
  <c r="BL324" i="3"/>
  <c r="BA326" i="3"/>
  <c r="BA327" i="3"/>
  <c r="BL327" i="3"/>
  <c r="AZ327" i="3" s="1"/>
  <c r="G328" i="3"/>
  <c r="BA329" i="3"/>
  <c r="G337" i="3"/>
  <c r="BL338" i="3"/>
  <c r="G339" i="3"/>
  <c r="BL340" i="3"/>
  <c r="BA342" i="3"/>
  <c r="AZ342" i="3"/>
  <c r="BA343" i="3"/>
  <c r="BL343" i="3"/>
  <c r="AZ343" i="3" s="1"/>
  <c r="G344" i="3"/>
  <c r="BA345" i="3"/>
  <c r="G353" i="3"/>
  <c r="BL354" i="3"/>
  <c r="AZ354" i="3" s="1"/>
  <c r="G355" i="3"/>
  <c r="BL356" i="3"/>
  <c r="G357" i="3"/>
  <c r="BL358" i="3"/>
  <c r="G359" i="3"/>
  <c r="BA360" i="3"/>
  <c r="BA361" i="3"/>
  <c r="BL361" i="3"/>
  <c r="AZ361" i="3" s="1"/>
  <c r="G362" i="3"/>
  <c r="BA363" i="3"/>
  <c r="G371" i="3"/>
  <c r="BL372" i="3"/>
  <c r="G373" i="3"/>
  <c r="BL374" i="3"/>
  <c r="BA376" i="3"/>
  <c r="BA377" i="3"/>
  <c r="AZ377" i="3" s="1"/>
  <c r="BL377" i="3"/>
  <c r="G378" i="3"/>
  <c r="BA379" i="3"/>
  <c r="AZ379" i="3" s="1"/>
  <c r="BA114" i="3"/>
  <c r="AZ114" i="3" s="1"/>
  <c r="BL115" i="3"/>
  <c r="G116" i="3"/>
  <c r="BA118" i="3"/>
  <c r="BL119" i="3"/>
  <c r="AZ119" i="3" s="1"/>
  <c r="G120" i="3"/>
  <c r="BA122" i="3"/>
  <c r="AZ122" i="3" s="1"/>
  <c r="BL123" i="3"/>
  <c r="G124" i="3"/>
  <c r="BA126" i="3"/>
  <c r="BL127" i="3"/>
  <c r="AZ127" i="3" s="1"/>
  <c r="G128" i="3"/>
  <c r="BA130" i="3"/>
  <c r="AZ130" i="3"/>
  <c r="BL131" i="3"/>
  <c r="G132" i="3"/>
  <c r="BA134" i="3"/>
  <c r="BL135" i="3"/>
  <c r="AZ135" i="3" s="1"/>
  <c r="G136" i="3"/>
  <c r="BA138" i="3"/>
  <c r="BL139" i="3"/>
  <c r="G140" i="3"/>
  <c r="BA142" i="3"/>
  <c r="BL143" i="3"/>
  <c r="AZ143" i="3" s="1"/>
  <c r="G144" i="3"/>
  <c r="BA146" i="3"/>
  <c r="AZ146" i="3" s="1"/>
  <c r="BL147" i="3"/>
  <c r="G148" i="3"/>
  <c r="BA150" i="3"/>
  <c r="BL151" i="3"/>
  <c r="AZ151" i="3" s="1"/>
  <c r="BA153" i="3"/>
  <c r="BL154" i="3"/>
  <c r="G155" i="3"/>
  <c r="BA157" i="3"/>
  <c r="AZ157" i="3"/>
  <c r="BL158" i="3"/>
  <c r="G159" i="3"/>
  <c r="BA161" i="3"/>
  <c r="BL162" i="3"/>
  <c r="AZ162" i="3" s="1"/>
  <c r="G163" i="3"/>
  <c r="BA165" i="3"/>
  <c r="BL166" i="3"/>
  <c r="AZ166" i="3" s="1"/>
  <c r="G167" i="3"/>
  <c r="BA169" i="3"/>
  <c r="AZ169" i="3"/>
  <c r="BL170" i="3"/>
  <c r="G171" i="3"/>
  <c r="BA173" i="3"/>
  <c r="BL174" i="3"/>
  <c r="G175" i="3"/>
  <c r="BA178" i="3"/>
  <c r="AZ178" i="3"/>
  <c r="BL179" i="3"/>
  <c r="G180" i="3"/>
  <c r="AZ23" i="3"/>
  <c r="AZ31" i="3"/>
  <c r="AZ39" i="3"/>
  <c r="AZ43" i="3"/>
  <c r="AZ55" i="3"/>
  <c r="G537" i="3"/>
  <c r="BL181" i="3"/>
  <c r="G182" i="3"/>
  <c r="BA184" i="3"/>
  <c r="AZ184" i="3"/>
  <c r="BL185" i="3"/>
  <c r="G186" i="3"/>
  <c r="BA188" i="3"/>
  <c r="BL189" i="3"/>
  <c r="G190" i="3"/>
  <c r="BA192" i="3"/>
  <c r="AZ192" i="3" s="1"/>
  <c r="BL193" i="3"/>
  <c r="G194" i="3"/>
  <c r="BA196" i="3"/>
  <c r="BL197" i="3"/>
  <c r="G198" i="3"/>
  <c r="BA200" i="3"/>
  <c r="AZ200" i="3" s="1"/>
  <c r="BL201" i="3"/>
  <c r="AZ84" i="3"/>
  <c r="G491" i="3"/>
  <c r="BA298" i="3"/>
  <c r="AZ298" i="3" s="1"/>
  <c r="BA299" i="3"/>
  <c r="AZ299" i="3" s="1"/>
  <c r="BL299" i="3"/>
  <c r="G300" i="3"/>
  <c r="G303" i="3"/>
  <c r="BL304" i="3"/>
  <c r="BA306" i="3"/>
  <c r="AZ306" i="3" s="1"/>
  <c r="BA307" i="3"/>
  <c r="BL307" i="3"/>
  <c r="AZ307" i="3" s="1"/>
  <c r="G308" i="3"/>
  <c r="G319" i="3"/>
  <c r="BL320" i="3"/>
  <c r="BA322" i="3"/>
  <c r="BA323" i="3"/>
  <c r="AZ323" i="3" s="1"/>
  <c r="BL323" i="3"/>
  <c r="G324" i="3"/>
  <c r="G327" i="3"/>
  <c r="BL328" i="3"/>
  <c r="BA330" i="3"/>
  <c r="AZ330" i="3" s="1"/>
  <c r="BA331" i="3"/>
  <c r="BL331" i="3"/>
  <c r="G332" i="3"/>
  <c r="G335" i="3"/>
  <c r="BL336" i="3"/>
  <c r="BA338" i="3"/>
  <c r="AZ338" i="3" s="1"/>
  <c r="BA339" i="3"/>
  <c r="BL339" i="3"/>
  <c r="G340" i="3"/>
  <c r="G343" i="3"/>
  <c r="BL344" i="3"/>
  <c r="BA346" i="3"/>
  <c r="AZ346" i="3" s="1"/>
  <c r="BA347" i="3"/>
  <c r="BL347" i="3"/>
  <c r="G348" i="3"/>
  <c r="G351" i="3"/>
  <c r="BL352" i="3"/>
  <c r="BA354" i="3"/>
  <c r="BA355" i="3"/>
  <c r="BL355" i="3"/>
  <c r="G356" i="3"/>
  <c r="BA358" i="3"/>
  <c r="AZ358" i="3" s="1"/>
  <c r="BA359" i="3"/>
  <c r="BL359" i="3"/>
  <c r="AZ359" i="3" s="1"/>
  <c r="G360" i="3"/>
  <c r="G361" i="3"/>
  <c r="BL362" i="3"/>
  <c r="BA364" i="3"/>
  <c r="BA365" i="3"/>
  <c r="AZ365" i="3"/>
  <c r="BL365" i="3"/>
  <c r="G366" i="3"/>
  <c r="G369" i="3"/>
  <c r="BL370" i="3"/>
  <c r="BA372" i="3"/>
  <c r="BA373" i="3"/>
  <c r="BL373" i="3"/>
  <c r="AZ373" i="3"/>
  <c r="G374" i="3"/>
  <c r="G377" i="3"/>
  <c r="BL378" i="3"/>
  <c r="BA380" i="3"/>
  <c r="BA381" i="3"/>
  <c r="BL381" i="3"/>
  <c r="G382" i="3"/>
  <c r="G385" i="3"/>
  <c r="AZ154" i="3"/>
  <c r="AZ170" i="3"/>
  <c r="AZ174" i="3"/>
  <c r="AZ183" i="3"/>
  <c r="G523" i="3"/>
  <c r="BL297" i="3"/>
  <c r="AZ297" i="3"/>
  <c r="G298" i="3"/>
  <c r="BA300" i="3"/>
  <c r="BL301" i="3"/>
  <c r="AZ301" i="3"/>
  <c r="G302" i="3"/>
  <c r="BA304" i="3"/>
  <c r="AZ304" i="3" s="1"/>
  <c r="BL305" i="3"/>
  <c r="G306" i="3"/>
  <c r="BA308" i="3"/>
  <c r="AZ308" i="3" s="1"/>
  <c r="BL309" i="3"/>
  <c r="G310" i="3"/>
  <c r="BA310" i="3"/>
  <c r="AZ310" i="3" s="1"/>
  <c r="BL311" i="3"/>
  <c r="G312" i="3"/>
  <c r="BA312" i="3"/>
  <c r="AZ312" i="3" s="1"/>
  <c r="BL313" i="3"/>
  <c r="G314" i="3"/>
  <c r="BA314" i="3"/>
  <c r="AZ314" i="3" s="1"/>
  <c r="BL315" i="3"/>
  <c r="G316" i="3"/>
  <c r="BA316" i="3"/>
  <c r="AZ316" i="3" s="1"/>
  <c r="BL317" i="3"/>
  <c r="G318" i="3"/>
  <c r="BA320" i="3"/>
  <c r="AZ320" i="3" s="1"/>
  <c r="BL321" i="3"/>
  <c r="AZ321" i="3" s="1"/>
  <c r="G322" i="3"/>
  <c r="BA324" i="3"/>
  <c r="BL325" i="3"/>
  <c r="AZ325" i="3" s="1"/>
  <c r="G326" i="3"/>
  <c r="BA328" i="3"/>
  <c r="AZ328" i="3" s="1"/>
  <c r="BL329" i="3"/>
  <c r="G330" i="3"/>
  <c r="BA332" i="3"/>
  <c r="AZ332" i="3" s="1"/>
  <c r="BL333" i="3"/>
  <c r="G334" i="3"/>
  <c r="BA336" i="3"/>
  <c r="AZ336" i="3" s="1"/>
  <c r="BL337" i="3"/>
  <c r="G338" i="3"/>
  <c r="BA340" i="3"/>
  <c r="BL341" i="3"/>
  <c r="G342" i="3"/>
  <c r="BA344" i="3"/>
  <c r="AZ344" i="3" s="1"/>
  <c r="BL345" i="3"/>
  <c r="G346" i="3"/>
  <c r="BA348" i="3"/>
  <c r="AZ348" i="3" s="1"/>
  <c r="BL349" i="3"/>
  <c r="G350" i="3"/>
  <c r="BA352" i="3"/>
  <c r="AZ352" i="3" s="1"/>
  <c r="BL353" i="3"/>
  <c r="G354" i="3"/>
  <c r="BA356" i="3"/>
  <c r="BL357" i="3"/>
  <c r="G358" i="3"/>
  <c r="BA362" i="3"/>
  <c r="BL363" i="3"/>
  <c r="G364" i="3"/>
  <c r="BA366" i="3"/>
  <c r="BL367" i="3"/>
  <c r="AZ367" i="3" s="1"/>
  <c r="AZ341" i="3"/>
  <c r="AZ363" i="3"/>
  <c r="G368" i="3"/>
  <c r="BA370" i="3"/>
  <c r="BL371" i="3"/>
  <c r="G372" i="3"/>
  <c r="BA374" i="3"/>
  <c r="AZ374" i="3" s="1"/>
  <c r="BL375" i="3"/>
  <c r="G376" i="3"/>
  <c r="BA378" i="3"/>
  <c r="AZ378" i="3" s="1"/>
  <c r="BL379" i="3"/>
  <c r="G380" i="3"/>
  <c r="BA382" i="3"/>
  <c r="BL383" i="3"/>
  <c r="G384" i="3"/>
  <c r="AZ383" i="3"/>
  <c r="AZ270" i="3"/>
  <c r="AZ274" i="3"/>
  <c r="AZ278" i="3"/>
  <c r="AZ282" i="3"/>
  <c r="AZ286" i="3"/>
  <c r="AZ290" i="3"/>
  <c r="AZ295" i="3"/>
  <c r="AZ331" i="3"/>
  <c r="AZ339" i="3"/>
  <c r="AZ347" i="3"/>
  <c r="F37" i="46"/>
  <c r="AB16" i="35"/>
  <c r="AB15" i="37"/>
  <c r="AA43" i="21"/>
  <c r="U43" i="21"/>
  <c r="F77" i="40"/>
  <c r="G77" i="40" s="1"/>
  <c r="H77" i="40" s="1"/>
  <c r="I77" i="40" s="1"/>
  <c r="J77" i="40" s="1"/>
  <c r="K77" i="40" s="1"/>
  <c r="L77" i="40" s="1"/>
  <c r="M77" i="40" s="1"/>
  <c r="BH5" i="3"/>
  <c r="R16" i="4"/>
  <c r="D3" i="35"/>
  <c r="G4" i="4"/>
  <c r="S37" i="34"/>
  <c r="J16" i="35"/>
  <c r="W16" i="35" s="1"/>
  <c r="U42" i="21"/>
  <c r="AC26" i="36"/>
  <c r="W25" i="35"/>
  <c r="AZ300" i="3"/>
  <c r="AZ322" i="3"/>
  <c r="H13" i="39"/>
  <c r="AB13" i="39" s="1"/>
  <c r="F13" i="39"/>
  <c r="J13" i="39"/>
  <c r="AC13" i="39"/>
  <c r="AA36" i="35"/>
  <c r="H11" i="37"/>
  <c r="AB11" i="37" s="1"/>
  <c r="W37" i="37"/>
  <c r="AA30" i="33"/>
  <c r="AA36" i="37"/>
  <c r="S42" i="33"/>
  <c r="U32" i="33"/>
  <c r="AB17" i="37"/>
  <c r="AZ488" i="3"/>
  <c r="AZ508" i="3"/>
  <c r="AC29" i="33"/>
  <c r="AA45" i="33"/>
  <c r="AC11" i="36"/>
  <c r="AB45" i="34"/>
  <c r="AC14" i="37"/>
  <c r="AB35" i="35"/>
  <c r="S25" i="35"/>
  <c r="W44" i="33"/>
  <c r="AC30" i="33"/>
  <c r="W30" i="33"/>
  <c r="AC29" i="37"/>
  <c r="W32" i="36"/>
  <c r="AC32" i="36"/>
  <c r="U28" i="33"/>
  <c r="AB28" i="33"/>
  <c r="J33" i="34"/>
  <c r="AC33" i="34"/>
  <c r="AB36" i="34"/>
  <c r="J40" i="34"/>
  <c r="W40" i="34" s="1"/>
  <c r="F16" i="35"/>
  <c r="AA16" i="35" s="1"/>
  <c r="S24" i="36"/>
  <c r="W42" i="33"/>
  <c r="J35" i="34"/>
  <c r="W35" i="34" s="1"/>
  <c r="F107" i="34"/>
  <c r="G107" i="34" s="1"/>
  <c r="H107" i="34" s="1"/>
  <c r="I107" i="34" s="1"/>
  <c r="J107" i="34" s="1"/>
  <c r="K107" i="34" s="1"/>
  <c r="L107" i="34" s="1"/>
  <c r="M107" i="34" s="1"/>
  <c r="S30" i="36"/>
  <c r="H16" i="36"/>
  <c r="AB16" i="36"/>
  <c r="G103" i="37"/>
  <c r="H103" i="37"/>
  <c r="I103" i="37" s="1"/>
  <c r="J103" i="37" s="1"/>
  <c r="K103" i="37" s="1"/>
  <c r="L103" i="37" s="1"/>
  <c r="M103" i="37" s="1"/>
  <c r="H35" i="37"/>
  <c r="AB35" i="37" s="1"/>
  <c r="S26" i="21"/>
  <c r="AB12" i="21"/>
  <c r="H32" i="21"/>
  <c r="U32" i="21" s="1"/>
  <c r="AB26" i="21"/>
  <c r="U26" i="21"/>
  <c r="AA33" i="21"/>
  <c r="S33" i="21"/>
  <c r="U39" i="21"/>
  <c r="J32" i="21"/>
  <c r="AC32" i="21" s="1"/>
  <c r="AC5" i="3"/>
  <c r="F17" i="21"/>
  <c r="S17" i="21"/>
  <c r="H17" i="21"/>
  <c r="AB17" i="21" s="1"/>
  <c r="J17" i="21"/>
  <c r="AC17" i="21"/>
  <c r="H37" i="21"/>
  <c r="U37" i="21" s="1"/>
  <c r="F40" i="21"/>
  <c r="S40" i="21"/>
  <c r="H40" i="21"/>
  <c r="AB40" i="21" s="1"/>
  <c r="E119" i="21"/>
  <c r="F119" i="21"/>
  <c r="G119" i="21" s="1"/>
  <c r="H119" i="21" s="1"/>
  <c r="I119" i="21" s="1"/>
  <c r="J119" i="21" s="1"/>
  <c r="K119" i="21" s="1"/>
  <c r="L119" i="21" s="1"/>
  <c r="M119" i="21" s="1"/>
  <c r="AA8" i="33"/>
  <c r="S8" i="33"/>
  <c r="AC8" i="33"/>
  <c r="F10" i="33"/>
  <c r="AA10" i="33" s="1"/>
  <c r="F11" i="33"/>
  <c r="S11" i="33" s="1"/>
  <c r="J15" i="33"/>
  <c r="W15" i="33" s="1"/>
  <c r="H19" i="33"/>
  <c r="AB19" i="33" s="1"/>
  <c r="F32" i="33"/>
  <c r="AA32" i="33" s="1"/>
  <c r="J32" i="33"/>
  <c r="AC32" i="33" s="1"/>
  <c r="F35" i="33"/>
  <c r="AA35" i="33" s="1"/>
  <c r="AB39" i="34"/>
  <c r="F11" i="34"/>
  <c r="S11" i="34"/>
  <c r="E80" i="34"/>
  <c r="F80" i="34"/>
  <c r="H17" i="34"/>
  <c r="AB17" i="34"/>
  <c r="AC27" i="34"/>
  <c r="W27" i="34"/>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c r="F96" i="37"/>
  <c r="H32" i="37"/>
  <c r="AB32" i="37" s="1"/>
  <c r="F19" i="39"/>
  <c r="S19" i="39" s="1"/>
  <c r="H19" i="39"/>
  <c r="J19" i="39"/>
  <c r="W19" i="39" s="1"/>
  <c r="F43" i="39"/>
  <c r="H43" i="39"/>
  <c r="U43" i="39"/>
  <c r="J43" i="39"/>
  <c r="F99" i="37"/>
  <c r="AC27" i="37"/>
  <c r="U25" i="35"/>
  <c r="S45" i="34"/>
  <c r="U31" i="34"/>
  <c r="AC40" i="37"/>
  <c r="W40" i="37"/>
  <c r="W27" i="33"/>
  <c r="AC45" i="21"/>
  <c r="S28" i="33"/>
  <c r="AA44" i="34"/>
  <c r="AB29" i="35"/>
  <c r="U29" i="35"/>
  <c r="AC19" i="33"/>
  <c r="W19" i="33"/>
  <c r="U43" i="34"/>
  <c r="AB43" i="34"/>
  <c r="AC34" i="37"/>
  <c r="S35" i="37"/>
  <c r="AA35" i="37"/>
  <c r="AA32" i="21"/>
  <c r="S32" i="21"/>
  <c r="U38" i="21"/>
  <c r="AB34" i="21"/>
  <c r="BL571" i="3"/>
  <c r="BA571" i="3"/>
  <c r="AZ571" i="3" s="1"/>
  <c r="BL570" i="3"/>
  <c r="F42" i="21"/>
  <c r="AA42" i="21" s="1"/>
  <c r="AB40" i="33"/>
  <c r="U40" i="33"/>
  <c r="AA35" i="34"/>
  <c r="S35" i="34"/>
  <c r="E90" i="34"/>
  <c r="H27" i="34"/>
  <c r="AB27" i="34"/>
  <c r="AB8" i="35"/>
  <c r="U8" i="35"/>
  <c r="J14" i="35"/>
  <c r="AC14" i="35" s="1"/>
  <c r="F14" i="35"/>
  <c r="H14" i="35"/>
  <c r="U14" i="35"/>
  <c r="E80" i="35"/>
  <c r="E94" i="35"/>
  <c r="F94" i="35" s="1"/>
  <c r="G94" i="35" s="1"/>
  <c r="H94" i="35" s="1"/>
  <c r="I94" i="35" s="1"/>
  <c r="J94" i="35" s="1"/>
  <c r="K94" i="35" s="1"/>
  <c r="L94" i="35" s="1"/>
  <c r="M94" i="35" s="1"/>
  <c r="J32" i="35"/>
  <c r="AC32" i="35"/>
  <c r="H11" i="36"/>
  <c r="AB11" i="36"/>
  <c r="F11" i="36"/>
  <c r="S11" i="36"/>
  <c r="W16" i="36"/>
  <c r="AC16" i="36"/>
  <c r="E78" i="36"/>
  <c r="F78" i="36"/>
  <c r="G78" i="36" s="1"/>
  <c r="H78" i="36" s="1"/>
  <c r="I78" i="36" s="1"/>
  <c r="J78" i="36" s="1"/>
  <c r="K78" i="36" s="1"/>
  <c r="L78" i="36" s="1"/>
  <c r="M78" i="36" s="1"/>
  <c r="F26" i="36"/>
  <c r="S26" i="36" s="1"/>
  <c r="U34" i="36"/>
  <c r="AB34" i="36"/>
  <c r="H33" i="36"/>
  <c r="U33" i="36" s="1"/>
  <c r="F33" i="36"/>
  <c r="AA33" i="36" s="1"/>
  <c r="H27" i="36"/>
  <c r="AB27" i="36" s="1"/>
  <c r="AA31" i="36"/>
  <c r="AC25" i="37"/>
  <c r="AB29" i="37"/>
  <c r="AA30" i="37"/>
  <c r="S30" i="37"/>
  <c r="AC30" i="37"/>
  <c r="AC31" i="37"/>
  <c r="W31" i="37"/>
  <c r="AB14" i="37"/>
  <c r="F17" i="39"/>
  <c r="AA17" i="39"/>
  <c r="H17" i="39"/>
  <c r="U17" i="39"/>
  <c r="J17" i="39"/>
  <c r="W17" i="39" s="1"/>
  <c r="F21" i="39"/>
  <c r="S21" i="39" s="1"/>
  <c r="H21" i="39"/>
  <c r="J21" i="39"/>
  <c r="W21" i="39" s="1"/>
  <c r="F33" i="39"/>
  <c r="H33" i="39"/>
  <c r="U33" i="39" s="1"/>
  <c r="J33" i="39"/>
  <c r="F44" i="39"/>
  <c r="S44" i="39"/>
  <c r="H44" i="39"/>
  <c r="U44" i="39"/>
  <c r="J44" i="39"/>
  <c r="W44" i="39"/>
  <c r="E127" i="39"/>
  <c r="F127" i="39"/>
  <c r="G127" i="39" s="1"/>
  <c r="H127" i="39" s="1"/>
  <c r="I127" i="39" s="1"/>
  <c r="J127" i="39" s="1"/>
  <c r="K127" i="39" s="1"/>
  <c r="L127" i="39" s="1"/>
  <c r="M127" i="39" s="1"/>
  <c r="F46" i="39"/>
  <c r="S46" i="39" s="1"/>
  <c r="H46" i="39"/>
  <c r="U46" i="39" s="1"/>
  <c r="J46" i="39"/>
  <c r="W46" i="39" s="1"/>
  <c r="F29" i="39"/>
  <c r="AA29" i="39" s="1"/>
  <c r="E102" i="39"/>
  <c r="F102" i="39" s="1"/>
  <c r="G102" i="39" s="1"/>
  <c r="H29" i="39"/>
  <c r="U29" i="39" s="1"/>
  <c r="F34" i="39"/>
  <c r="AA34" i="39" s="1"/>
  <c r="H34" i="39"/>
  <c r="AB34" i="39" s="1"/>
  <c r="J34" i="39"/>
  <c r="AC34" i="39" s="1"/>
  <c r="F39" i="39"/>
  <c r="H39" i="39"/>
  <c r="AB39" i="39" s="1"/>
  <c r="J39" i="39"/>
  <c r="J29" i="35"/>
  <c r="AC29" i="35"/>
  <c r="F29" i="35"/>
  <c r="S29" i="35"/>
  <c r="W30" i="36"/>
  <c r="AC30" i="36"/>
  <c r="F37" i="39"/>
  <c r="S37" i="39"/>
  <c r="H37" i="39"/>
  <c r="U37" i="39"/>
  <c r="J37" i="39"/>
  <c r="W37" i="39"/>
  <c r="BL568" i="3"/>
  <c r="BA568" i="3"/>
  <c r="AZ568" i="3" s="1"/>
  <c r="BL567" i="3"/>
  <c r="BA567" i="3"/>
  <c r="BL566" i="3"/>
  <c r="AZ566" i="3" s="1"/>
  <c r="BL565" i="3"/>
  <c r="AZ565" i="3" s="1"/>
  <c r="BA564" i="3"/>
  <c r="AZ564" i="3" s="1"/>
  <c r="BA563" i="3"/>
  <c r="AZ563" i="3" s="1"/>
  <c r="BL554" i="3"/>
  <c r="AZ554" i="3" s="1"/>
  <c r="BA553" i="3"/>
  <c r="AZ553" i="3" s="1"/>
  <c r="BA552" i="3"/>
  <c r="AZ552" i="3" s="1"/>
  <c r="BL549" i="3"/>
  <c r="BA549" i="3"/>
  <c r="BL548" i="3"/>
  <c r="BA548" i="3"/>
  <c r="BL547" i="3"/>
  <c r="BA547" i="3"/>
  <c r="BL539" i="3"/>
  <c r="BA539" i="3"/>
  <c r="AZ539" i="3" s="1"/>
  <c r="BA538" i="3"/>
  <c r="AZ538" i="3" s="1"/>
  <c r="BL537" i="3"/>
  <c r="BA537" i="3"/>
  <c r="BL536" i="3"/>
  <c r="AZ536" i="3" s="1"/>
  <c r="BA535" i="3"/>
  <c r="AZ535" i="3" s="1"/>
  <c r="BA534" i="3"/>
  <c r="BA533" i="3"/>
  <c r="AZ533" i="3"/>
  <c r="BL531" i="3"/>
  <c r="AZ531" i="3"/>
  <c r="BL530" i="3"/>
  <c r="BA530" i="3"/>
  <c r="BL529" i="3"/>
  <c r="BA529" i="3"/>
  <c r="AZ529" i="3" s="1"/>
  <c r="BL528" i="3"/>
  <c r="AZ528" i="3"/>
  <c r="BA527" i="3"/>
  <c r="AZ527" i="3"/>
  <c r="BA526" i="3"/>
  <c r="BA525" i="3"/>
  <c r="AZ525" i="3" s="1"/>
  <c r="BL523" i="3"/>
  <c r="BA523" i="3"/>
  <c r="BL522" i="3"/>
  <c r="AZ522" i="3" s="1"/>
  <c r="BA522" i="3"/>
  <c r="BL521" i="3"/>
  <c r="AZ521" i="3"/>
  <c r="BA519" i="3"/>
  <c r="AZ519" i="3"/>
  <c r="BL518" i="3"/>
  <c r="BA518" i="3"/>
  <c r="AZ518" i="3" s="1"/>
  <c r="BL517" i="3"/>
  <c r="BA517" i="3"/>
  <c r="AZ517" i="3" s="1"/>
  <c r="BL515" i="3"/>
  <c r="BA515" i="3"/>
  <c r="BA514" i="3"/>
  <c r="BL513" i="3"/>
  <c r="BA513" i="3"/>
  <c r="AZ513" i="3" s="1"/>
  <c r="BL512" i="3"/>
  <c r="AZ512" i="3" s="1"/>
  <c r="BA511" i="3"/>
  <c r="AZ511" i="3" s="1"/>
  <c r="BA510" i="3"/>
  <c r="AZ510" i="3" s="1"/>
  <c r="BL509" i="3"/>
  <c r="AZ509" i="3" s="1"/>
  <c r="BL507" i="3"/>
  <c r="BA507" i="3"/>
  <c r="AZ507" i="3" s="1"/>
  <c r="BL506" i="3"/>
  <c r="BA506" i="3"/>
  <c r="BL505" i="3"/>
  <c r="AZ505" i="3" s="1"/>
  <c r="BL504" i="3"/>
  <c r="BA504" i="3"/>
  <c r="BA503" i="3"/>
  <c r="AZ503" i="3" s="1"/>
  <c r="BA500" i="3"/>
  <c r="AZ500" i="3" s="1"/>
  <c r="BL499" i="3"/>
  <c r="BA499" i="3"/>
  <c r="AZ499" i="3" s="1"/>
  <c r="BL498" i="3"/>
  <c r="AZ498" i="3" s="1"/>
  <c r="BL497" i="3"/>
  <c r="BA497" i="3"/>
  <c r="BL496" i="3"/>
  <c r="BA496" i="3"/>
  <c r="BA495" i="3"/>
  <c r="AZ495" i="3" s="1"/>
  <c r="BL494" i="3"/>
  <c r="BA494" i="3"/>
  <c r="AZ494" i="3" s="1"/>
  <c r="G494" i="3"/>
  <c r="BA491" i="3"/>
  <c r="AZ491" i="3" s="1"/>
  <c r="BL490" i="3"/>
  <c r="BA490" i="3"/>
  <c r="AZ490" i="3"/>
  <c r="BL489" i="3"/>
  <c r="BA489" i="3"/>
  <c r="AZ489" i="3" s="1"/>
  <c r="BL487" i="3"/>
  <c r="AZ487" i="3" s="1"/>
  <c r="BL486" i="3"/>
  <c r="AZ486" i="3" s="1"/>
  <c r="BA486" i="3"/>
  <c r="BA485" i="3"/>
  <c r="AZ485" i="3" s="1"/>
  <c r="BA483" i="3"/>
  <c r="AZ483" i="3" s="1"/>
  <c r="BA482" i="3"/>
  <c r="AZ482" i="3" s="1"/>
  <c r="BL481" i="3"/>
  <c r="BJ5" i="3"/>
  <c r="BA481" i="3"/>
  <c r="AZ481" i="3" s="1"/>
  <c r="BB5" i="3"/>
  <c r="BL19" i="3"/>
  <c r="AZ19" i="3"/>
  <c r="BA18" i="3"/>
  <c r="F114" i="34"/>
  <c r="G114" i="34" s="1"/>
  <c r="H114" i="34" s="1"/>
  <c r="I114" i="34" s="1"/>
  <c r="J114" i="34" s="1"/>
  <c r="K114" i="34" s="1"/>
  <c r="L114" i="34" s="1"/>
  <c r="M114" i="34" s="1"/>
  <c r="H38" i="34"/>
  <c r="U38" i="34" s="1"/>
  <c r="H30" i="40"/>
  <c r="AB30" i="40" s="1"/>
  <c r="G99" i="40"/>
  <c r="J30" i="40"/>
  <c r="AC30" i="40" s="1"/>
  <c r="F38" i="40"/>
  <c r="AA38" i="40" s="1"/>
  <c r="AA36" i="34"/>
  <c r="AC12" i="21"/>
  <c r="W12" i="21"/>
  <c r="AB33" i="21"/>
  <c r="S35" i="21"/>
  <c r="AB10" i="21"/>
  <c r="U8" i="21"/>
  <c r="AB8" i="21"/>
  <c r="S34" i="21"/>
  <c r="AC36" i="21"/>
  <c r="AB8" i="33"/>
  <c r="U8" i="33"/>
  <c r="E106" i="33"/>
  <c r="H34" i="33"/>
  <c r="U34" i="33"/>
  <c r="F34" i="33"/>
  <c r="S34" i="33"/>
  <c r="E121" i="33"/>
  <c r="F41" i="33"/>
  <c r="S41" i="33" s="1"/>
  <c r="AC34" i="34"/>
  <c r="W34" i="34"/>
  <c r="AA39" i="34"/>
  <c r="S39" i="34"/>
  <c r="S43" i="34"/>
  <c r="E78" i="34"/>
  <c r="F15" i="34"/>
  <c r="AC28" i="35"/>
  <c r="W28" i="35"/>
  <c r="J20" i="35"/>
  <c r="AC20" i="35"/>
  <c r="E72" i="35"/>
  <c r="F72" i="35"/>
  <c r="G72" i="35" s="1"/>
  <c r="H22" i="35"/>
  <c r="AB22" i="35" s="1"/>
  <c r="H23" i="35"/>
  <c r="AB23" i="35" s="1"/>
  <c r="F23" i="35"/>
  <c r="AA23" i="35"/>
  <c r="AB36" i="35"/>
  <c r="U36" i="35"/>
  <c r="W12" i="36"/>
  <c r="AC12" i="36"/>
  <c r="U31" i="36"/>
  <c r="S8" i="37"/>
  <c r="AA8" i="37"/>
  <c r="F14" i="39"/>
  <c r="AA14" i="39" s="1"/>
  <c r="H14" i="39"/>
  <c r="AB14" i="39" s="1"/>
  <c r="J14" i="39"/>
  <c r="AC14" i="39" s="1"/>
  <c r="F16" i="39"/>
  <c r="AA16" i="39" s="1"/>
  <c r="H16" i="39"/>
  <c r="U16" i="39" s="1"/>
  <c r="J16" i="39"/>
  <c r="AC16" i="39" s="1"/>
  <c r="F23" i="39"/>
  <c r="AA23" i="39" s="1"/>
  <c r="E96" i="39"/>
  <c r="F27" i="39"/>
  <c r="AA27" i="39" s="1"/>
  <c r="H27" i="39"/>
  <c r="AB27" i="39" s="1"/>
  <c r="J27" i="39"/>
  <c r="AC27" i="39" s="1"/>
  <c r="F15" i="40"/>
  <c r="AA15" i="40" s="1"/>
  <c r="J15" i="40"/>
  <c r="W15" i="40" s="1"/>
  <c r="H15" i="40"/>
  <c r="AB15" i="40"/>
  <c r="E91" i="40"/>
  <c r="H23" i="40" s="1"/>
  <c r="U23" i="40" s="1"/>
  <c r="H41" i="40"/>
  <c r="AB41" i="40"/>
  <c r="F41" i="40"/>
  <c r="AA41" i="40"/>
  <c r="J41" i="40"/>
  <c r="H36" i="33"/>
  <c r="AB36" i="33" s="1"/>
  <c r="H37" i="34"/>
  <c r="U37" i="34" s="1"/>
  <c r="F15" i="39"/>
  <c r="AA15" i="39"/>
  <c r="H15" i="39"/>
  <c r="U15" i="39"/>
  <c r="J15" i="39"/>
  <c r="AC15" i="39"/>
  <c r="H25" i="39"/>
  <c r="U25" i="39"/>
  <c r="J25" i="39"/>
  <c r="AC25" i="39"/>
  <c r="F25" i="39"/>
  <c r="AA25" i="39" s="1"/>
  <c r="F45" i="39"/>
  <c r="AA45" i="39" s="1"/>
  <c r="H45" i="39"/>
  <c r="U45" i="39" s="1"/>
  <c r="J45" i="39"/>
  <c r="AC45" i="39" s="1"/>
  <c r="F47" i="39"/>
  <c r="AA47" i="39" s="1"/>
  <c r="H47" i="39"/>
  <c r="AB47" i="39" s="1"/>
  <c r="J47" i="39"/>
  <c r="W47" i="39" s="1"/>
  <c r="F41" i="39"/>
  <c r="AA41" i="39" s="1"/>
  <c r="H41" i="39"/>
  <c r="AB41" i="39" s="1"/>
  <c r="J41" i="39"/>
  <c r="AC41" i="39" s="1"/>
  <c r="J25" i="40"/>
  <c r="AC25" i="40" s="1"/>
  <c r="H33" i="40"/>
  <c r="AB33" i="40" s="1"/>
  <c r="F33" i="40"/>
  <c r="AA33" i="40" s="1"/>
  <c r="J33" i="40"/>
  <c r="AC33" i="40" s="1"/>
  <c r="H35" i="40"/>
  <c r="AB35" i="40" s="1"/>
  <c r="F35" i="40"/>
  <c r="AA35" i="40" s="1"/>
  <c r="J35" i="40"/>
  <c r="AC35" i="40" s="1"/>
  <c r="J38" i="39"/>
  <c r="W38" i="39" s="1"/>
  <c r="H38" i="39"/>
  <c r="U38" i="39" s="1"/>
  <c r="J16" i="40"/>
  <c r="W16" i="40" s="1"/>
  <c r="J14" i="40"/>
  <c r="W14" i="40" s="1"/>
  <c r="H42" i="40"/>
  <c r="AB42" i="40" s="1"/>
  <c r="H40" i="40"/>
  <c r="U40" i="40"/>
  <c r="H34" i="40"/>
  <c r="U34" i="40"/>
  <c r="B41" i="1"/>
  <c r="F72" i="9" s="1"/>
  <c r="J42" i="40"/>
  <c r="AC42" i="40" s="1"/>
  <c r="J40" i="40"/>
  <c r="AC40" i="40" s="1"/>
  <c r="J34" i="40"/>
  <c r="AC34" i="40" s="1"/>
  <c r="H16" i="40"/>
  <c r="AB16" i="40" s="1"/>
  <c r="H14" i="40"/>
  <c r="U14" i="40" s="1"/>
  <c r="F61" i="46"/>
  <c r="AZ137" i="3"/>
  <c r="F72" i="46"/>
  <c r="H74" i="46" s="1"/>
  <c r="AZ164" i="3"/>
  <c r="AZ180" i="3"/>
  <c r="AZ79" i="3"/>
  <c r="AZ99" i="3"/>
  <c r="AB14" i="40"/>
  <c r="AC14" i="40"/>
  <c r="S33" i="40"/>
  <c r="S47" i="39"/>
  <c r="AB25" i="39"/>
  <c r="AB37" i="34"/>
  <c r="AC41" i="40"/>
  <c r="W41" i="40"/>
  <c r="U41" i="40"/>
  <c r="AC15" i="40"/>
  <c r="W27" i="39"/>
  <c r="AB16" i="39"/>
  <c r="U23" i="35"/>
  <c r="H20" i="35"/>
  <c r="AB20" i="35" s="1"/>
  <c r="F20" i="35"/>
  <c r="S20" i="35"/>
  <c r="H15" i="34"/>
  <c r="AB15" i="34"/>
  <c r="F78" i="34"/>
  <c r="G78" i="34"/>
  <c r="J15" i="34"/>
  <c r="AC15" i="34" s="1"/>
  <c r="H41" i="33"/>
  <c r="U41" i="33" s="1"/>
  <c r="F121" i="33"/>
  <c r="G121" i="33" s="1"/>
  <c r="H121" i="33" s="1"/>
  <c r="I121" i="33" s="1"/>
  <c r="J121" i="33" s="1"/>
  <c r="K121" i="33" s="1"/>
  <c r="L121" i="33" s="1"/>
  <c r="M121" i="33" s="1"/>
  <c r="F30" i="40"/>
  <c r="AA30" i="40" s="1"/>
  <c r="H99" i="40"/>
  <c r="I99" i="40" s="1"/>
  <c r="J99" i="40" s="1"/>
  <c r="K99" i="40" s="1"/>
  <c r="L99" i="40" s="1"/>
  <c r="M99" i="40" s="1"/>
  <c r="AB38" i="34"/>
  <c r="AZ497" i="3"/>
  <c r="AZ515" i="3"/>
  <c r="AZ530" i="3"/>
  <c r="AZ547" i="3"/>
  <c r="AZ549" i="3"/>
  <c r="AB37" i="39"/>
  <c r="AA29" i="35"/>
  <c r="U39" i="39"/>
  <c r="J29" i="39"/>
  <c r="AC29" i="39" s="1"/>
  <c r="AB21" i="39"/>
  <c r="U21" i="39"/>
  <c r="AB17" i="39"/>
  <c r="AB33" i="36"/>
  <c r="AA11" i="36"/>
  <c r="AA14" i="35"/>
  <c r="S14" i="35"/>
  <c r="G99" i="37"/>
  <c r="F33" i="37"/>
  <c r="AB19" i="39"/>
  <c r="U19" i="39"/>
  <c r="U46" i="34"/>
  <c r="AC30" i="34"/>
  <c r="AA14" i="34"/>
  <c r="W12" i="34"/>
  <c r="U29" i="33"/>
  <c r="AC13" i="33"/>
  <c r="U17" i="34"/>
  <c r="AA11" i="34"/>
  <c r="W32" i="33"/>
  <c r="H15" i="33"/>
  <c r="U15" i="33" s="1"/>
  <c r="AA11" i="33"/>
  <c r="AA40" i="21"/>
  <c r="U17" i="21"/>
  <c r="S13" i="39"/>
  <c r="AA13" i="39"/>
  <c r="W34" i="40"/>
  <c r="AB34" i="40"/>
  <c r="U42" i="40"/>
  <c r="H25" i="40"/>
  <c r="AB25" i="40" s="1"/>
  <c r="F93" i="40"/>
  <c r="G93" i="40"/>
  <c r="U47" i="39"/>
  <c r="W15" i="39"/>
  <c r="J37" i="34"/>
  <c r="AC37" i="34"/>
  <c r="J36" i="33"/>
  <c r="W36" i="33"/>
  <c r="S41" i="40"/>
  <c r="U27" i="39"/>
  <c r="H23" i="39"/>
  <c r="AB23" i="39" s="1"/>
  <c r="J23" i="39"/>
  <c r="AC23" i="39" s="1"/>
  <c r="F96" i="39"/>
  <c r="G96" i="39" s="1"/>
  <c r="S16" i="39"/>
  <c r="S15" i="34"/>
  <c r="AA15" i="34"/>
  <c r="AA41" i="33"/>
  <c r="AA34" i="33"/>
  <c r="F106" i="33"/>
  <c r="G106" i="33"/>
  <c r="H106" i="33" s="1"/>
  <c r="I106" i="33" s="1"/>
  <c r="J106" i="33" s="1"/>
  <c r="K106" i="33" s="1"/>
  <c r="L106" i="33" s="1"/>
  <c r="M106" i="33" s="1"/>
  <c r="J34" i="33"/>
  <c r="AC34" i="33"/>
  <c r="U30" i="40"/>
  <c r="AA37" i="39"/>
  <c r="W29" i="35"/>
  <c r="AC39" i="39"/>
  <c r="W39" i="39"/>
  <c r="AA39" i="39"/>
  <c r="S39" i="39"/>
  <c r="U34" i="39"/>
  <c r="AB29" i="39"/>
  <c r="AB46" i="39"/>
  <c r="AB44" i="39"/>
  <c r="AC33" i="39"/>
  <c r="W33" i="39"/>
  <c r="AA33" i="39"/>
  <c r="S33" i="39"/>
  <c r="S17" i="39"/>
  <c r="U11" i="36"/>
  <c r="F80" i="35"/>
  <c r="G80" i="35" s="1"/>
  <c r="H80" i="35" s="1"/>
  <c r="I80" i="35" s="1"/>
  <c r="J80" i="35" s="1"/>
  <c r="K80" i="35" s="1"/>
  <c r="L80" i="35" s="1"/>
  <c r="M80" i="35" s="1"/>
  <c r="W14" i="35"/>
  <c r="F90" i="34"/>
  <c r="G90" i="34"/>
  <c r="H90" i="34" s="1"/>
  <c r="I90" i="34" s="1"/>
  <c r="J90" i="34" s="1"/>
  <c r="K90" i="34" s="1"/>
  <c r="L90" i="34" s="1"/>
  <c r="M90" i="34" s="1"/>
  <c r="F27" i="34"/>
  <c r="S27" i="34"/>
  <c r="AC43" i="39"/>
  <c r="W43" i="39"/>
  <c r="AA43" i="39"/>
  <c r="S43" i="39"/>
  <c r="AA19" i="39"/>
  <c r="G96" i="37"/>
  <c r="H96" i="37" s="1"/>
  <c r="I96" i="37" s="1"/>
  <c r="J96" i="37" s="1"/>
  <c r="K96" i="37" s="1"/>
  <c r="L96" i="37" s="1"/>
  <c r="M96" i="37" s="1"/>
  <c r="F32" i="37"/>
  <c r="S32" i="37"/>
  <c r="U11" i="35"/>
  <c r="AB11" i="35"/>
  <c r="S46" i="34"/>
  <c r="U32" i="34"/>
  <c r="U14" i="34"/>
  <c r="AC14" i="34"/>
  <c r="U12" i="34"/>
  <c r="AB13" i="33"/>
  <c r="G80" i="34"/>
  <c r="F17" i="34"/>
  <c r="AA17" i="34" s="1"/>
  <c r="J17" i="34"/>
  <c r="AC17" i="34" s="1"/>
  <c r="H11" i="34"/>
  <c r="AB11" i="34" s="1"/>
  <c r="J35" i="33"/>
  <c r="W35" i="33" s="1"/>
  <c r="S32" i="33"/>
  <c r="AC15" i="33"/>
  <c r="H11" i="33"/>
  <c r="U11" i="33" s="1"/>
  <c r="H10" i="33"/>
  <c r="U10" i="33" s="1"/>
  <c r="J10" i="33"/>
  <c r="W10" i="33" s="1"/>
  <c r="U40" i="21"/>
  <c r="U11" i="37"/>
  <c r="U13" i="39"/>
  <c r="AC16" i="35"/>
  <c r="J11" i="34"/>
  <c r="W11" i="34"/>
  <c r="AC36" i="33"/>
  <c r="F25" i="40"/>
  <c r="AA25" i="40" s="1"/>
  <c r="J11" i="33"/>
  <c r="W11" i="33" s="1"/>
  <c r="H33" i="37"/>
  <c r="AB33" i="37" s="1"/>
  <c r="W15" i="34"/>
  <c r="U20" i="35"/>
  <c r="B11" i="1"/>
  <c r="E11" i="1" s="1"/>
  <c r="K11" i="1"/>
  <c r="M11" i="1" s="1"/>
  <c r="B9" i="1"/>
  <c r="E9" i="1" s="1"/>
  <c r="K9" i="1"/>
  <c r="M9" i="1" s="1"/>
  <c r="B7" i="1"/>
  <c r="E7" i="1" s="1"/>
  <c r="K7" i="1"/>
  <c r="M7" i="1" s="1"/>
  <c r="M20" i="44"/>
  <c r="AC25" i="36"/>
  <c r="S23" i="36"/>
  <c r="S8" i="36"/>
  <c r="AA26" i="36"/>
  <c r="AA28" i="36"/>
  <c r="U25" i="36"/>
  <c r="H20" i="36"/>
  <c r="U20" i="36"/>
  <c r="F68" i="36"/>
  <c r="G68" i="36"/>
  <c r="J20" i="36"/>
  <c r="W20" i="36" s="1"/>
  <c r="AC20" i="36"/>
  <c r="F20" i="36"/>
  <c r="S20" i="36"/>
  <c r="F62" i="36"/>
  <c r="G62" i="36"/>
  <c r="J14" i="36"/>
  <c r="H14" i="36"/>
  <c r="F14" i="36"/>
  <c r="AA14" i="36"/>
  <c r="U27" i="36"/>
  <c r="U32" i="36"/>
  <c r="AB12" i="36"/>
  <c r="U9" i="36"/>
  <c r="S33" i="36"/>
  <c r="AA27" i="36"/>
  <c r="S16" i="36"/>
  <c r="S29" i="36"/>
  <c r="AC33" i="35"/>
  <c r="U22" i="35"/>
  <c r="AA13" i="35"/>
  <c r="AC9" i="35"/>
  <c r="S8" i="35"/>
  <c r="U33" i="35"/>
  <c r="AA20" i="35"/>
  <c r="W20" i="35"/>
  <c r="S23" i="35"/>
  <c r="S16" i="35"/>
  <c r="AB14"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c r="G75" i="37"/>
  <c r="F19" i="37"/>
  <c r="AA19" i="37" s="1"/>
  <c r="H19" i="37"/>
  <c r="J17" i="37"/>
  <c r="S15" i="37"/>
  <c r="AC21" i="37"/>
  <c r="W21" i="37"/>
  <c r="AC11" i="37"/>
  <c r="AC9" i="37"/>
  <c r="W32" i="37"/>
  <c r="U35" i="37"/>
  <c r="U8" i="37"/>
  <c r="AB25" i="37"/>
  <c r="AB21" i="37"/>
  <c r="U21" i="37"/>
  <c r="S37" i="37"/>
  <c r="S40" i="37"/>
  <c r="AA11"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37" i="34"/>
  <c r="AC40" i="34"/>
  <c r="W44" i="34"/>
  <c r="W19" i="34"/>
  <c r="W29" i="34"/>
  <c r="AC21" i="34"/>
  <c r="W21" i="34"/>
  <c r="U15" i="34"/>
  <c r="AB21" i="34"/>
  <c r="U21" i="34"/>
  <c r="U27" i="34"/>
  <c r="U19" i="34"/>
  <c r="AB41" i="34"/>
  <c r="S13" i="34"/>
  <c r="AA41" i="34"/>
  <c r="U39" i="33"/>
  <c r="U37" i="33"/>
  <c r="S35" i="33"/>
  <c r="W34" i="33"/>
  <c r="AC12" i="33"/>
  <c r="AB11" i="33"/>
  <c r="AB41" i="33"/>
  <c r="U36" i="33"/>
  <c r="AC35" i="33"/>
  <c r="S29" i="33"/>
  <c r="W31" i="33"/>
  <c r="W43" i="33"/>
  <c r="U46" i="33"/>
  <c r="W39" i="33"/>
  <c r="U35" i="33"/>
  <c r="AB34" i="33"/>
  <c r="W26" i="33"/>
  <c r="AB26" i="33"/>
  <c r="H25" i="33"/>
  <c r="AB25" i="33"/>
  <c r="J25" i="33"/>
  <c r="W25" i="33" s="1"/>
  <c r="F87" i="33"/>
  <c r="G87" i="33"/>
  <c r="H87" i="33" s="1"/>
  <c r="I87" i="33" s="1"/>
  <c r="J87" i="33" s="1"/>
  <c r="K87" i="33" s="1"/>
  <c r="L87" i="33" s="1"/>
  <c r="M87" i="33" s="1"/>
  <c r="F25" i="33"/>
  <c r="F85" i="33"/>
  <c r="G85" i="33" s="1"/>
  <c r="J23" i="33"/>
  <c r="F23" i="33"/>
  <c r="H23" i="33"/>
  <c r="U19" i="33"/>
  <c r="F79" i="33"/>
  <c r="G79" i="33" s="1"/>
  <c r="F17" i="33"/>
  <c r="H17" i="33"/>
  <c r="J17" i="33"/>
  <c r="AB15" i="33"/>
  <c r="AC11" i="33"/>
  <c r="S14" i="33"/>
  <c r="AC21" i="33"/>
  <c r="W21" i="33"/>
  <c r="W14"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B15" i="21" s="1"/>
  <c r="AC11" i="21"/>
  <c r="AB11" i="21"/>
  <c r="W13" i="21"/>
  <c r="AA11" i="21"/>
  <c r="AC23" i="21"/>
  <c r="AC21" i="21"/>
  <c r="W21" i="21"/>
  <c r="W44" i="21"/>
  <c r="AC19" i="21"/>
  <c r="W10" i="21"/>
  <c r="AC38" i="21"/>
  <c r="AB21" i="21"/>
  <c r="U21" i="21"/>
  <c r="AB29" i="21"/>
  <c r="AA30" i="21"/>
  <c r="AA31" i="21"/>
  <c r="W33" i="40"/>
  <c r="U33" i="40"/>
  <c r="S35" i="40"/>
  <c r="U15" i="40"/>
  <c r="S14" i="40"/>
  <c r="S15" i="40"/>
  <c r="S16" i="40"/>
  <c r="W11" i="40"/>
  <c r="W42" i="40"/>
  <c r="U35" i="40"/>
  <c r="F37" i="40"/>
  <c r="S37" i="40" s="1"/>
  <c r="J37" i="40"/>
  <c r="AC37" i="40" s="1"/>
  <c r="H37" i="40"/>
  <c r="U37" i="40" s="1"/>
  <c r="G112" i="40"/>
  <c r="H112" i="40"/>
  <c r="I112" i="40" s="1"/>
  <c r="J112" i="40" s="1"/>
  <c r="K112" i="40" s="1"/>
  <c r="L112" i="40" s="1"/>
  <c r="M112" i="40" s="1"/>
  <c r="F39" i="40"/>
  <c r="S38" i="40"/>
  <c r="H39" i="40"/>
  <c r="U39" i="40" s="1"/>
  <c r="J39" i="40"/>
  <c r="W38" i="40"/>
  <c r="F29" i="40"/>
  <c r="H29" i="40"/>
  <c r="J29" i="40"/>
  <c r="W29" i="40" s="1"/>
  <c r="F97" i="40"/>
  <c r="G97" i="40" s="1"/>
  <c r="H97" i="40" s="1"/>
  <c r="I97" i="40" s="1"/>
  <c r="J97" i="40" s="1"/>
  <c r="K97" i="40" s="1"/>
  <c r="L97" i="40" s="1"/>
  <c r="M97" i="40" s="1"/>
  <c r="S30" i="40"/>
  <c r="F17" i="40"/>
  <c r="AA17" i="40" s="1"/>
  <c r="H17" i="40"/>
  <c r="U17" i="40" s="1"/>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D96" i="9"/>
  <c r="M18" i="15"/>
  <c r="A18" i="64"/>
  <c r="B74" i="63" s="1"/>
  <c r="C53" i="10"/>
  <c r="A25" i="64" s="1"/>
  <c r="A18" i="51"/>
  <c r="B14" i="63" s="1"/>
  <c r="BA16" i="3"/>
  <c r="AZ16" i="3" s="1"/>
  <c r="BA17" i="3"/>
  <c r="AZ17" i="3" s="1"/>
  <c r="F3" i="35"/>
  <c r="K1" i="43"/>
  <c r="K1" i="12"/>
  <c r="G1" i="44"/>
  <c r="I4" i="6"/>
  <c r="G3" i="46" s="1"/>
  <c r="Z7" i="46" s="1"/>
  <c r="AZ15" i="3"/>
  <c r="BK5" i="3"/>
  <c r="BO5" i="3"/>
  <c r="BP5" i="3"/>
  <c r="BN5" i="3"/>
  <c r="BL18" i="3"/>
  <c r="AZ18" i="3" s="1"/>
  <c r="BC5" i="3"/>
  <c r="BD5" i="3"/>
  <c r="BR5" i="3"/>
  <c r="BS5" i="3"/>
  <c r="F28" i="6" s="1"/>
  <c r="BQ5" i="3"/>
  <c r="BL16" i="3"/>
  <c r="BM5" i="3"/>
  <c r="F29" i="6" s="1"/>
  <c r="G28" i="12"/>
  <c r="D24" i="44"/>
  <c r="D26" i="44"/>
  <c r="F50" i="46"/>
  <c r="H52" i="46" s="1"/>
  <c r="C6" i="46"/>
  <c r="I5" i="48"/>
  <c r="K21" i="46"/>
  <c r="F42" i="46"/>
  <c r="D74" i="46"/>
  <c r="D87" i="46"/>
  <c r="D72" i="46"/>
  <c r="A4" i="64"/>
  <c r="A4" i="51"/>
  <c r="B6" i="63" s="1"/>
  <c r="C51" i="10"/>
  <c r="A9" i="64" s="1"/>
  <c r="H83" i="46"/>
  <c r="H87" i="46"/>
  <c r="AA12" i="36"/>
  <c r="U12" i="35"/>
  <c r="AB12" i="35"/>
  <c r="W11" i="35"/>
  <c r="AA11" i="35"/>
  <c r="S14" i="37"/>
  <c r="U13" i="37"/>
  <c r="S13" i="21"/>
  <c r="C24" i="9"/>
  <c r="C25" i="9"/>
  <c r="L5" i="54"/>
  <c r="B39" i="63" s="1"/>
  <c r="K5" i="54"/>
  <c r="B38" i="63" s="1"/>
  <c r="T41" i="4"/>
  <c r="A17" i="64"/>
  <c r="B46" i="50"/>
  <c r="B4" i="63" s="1"/>
  <c r="H89" i="46"/>
  <c r="H85" i="46"/>
  <c r="H90" i="46"/>
  <c r="H88" i="46"/>
  <c r="H86" i="46"/>
  <c r="K10" i="1"/>
  <c r="M10" i="1" s="1"/>
  <c r="S13" i="1"/>
  <c r="R13" i="1"/>
  <c r="B6" i="1"/>
  <c r="E6" i="1" s="1"/>
  <c r="B10" i="1"/>
  <c r="E10" i="1" s="1"/>
  <c r="B8" i="1"/>
  <c r="E8" i="1" s="1"/>
  <c r="B12" i="1"/>
  <c r="E12" i="1" s="1"/>
  <c r="F66" i="36"/>
  <c r="G66" i="36" s="1"/>
  <c r="H18" i="36"/>
  <c r="AB18" i="36" s="1"/>
  <c r="U16" i="36"/>
  <c r="S25" i="36"/>
  <c r="AA34" i="36"/>
  <c r="U23" i="36"/>
  <c r="AC27" i="36"/>
  <c r="W28" i="36"/>
  <c r="AA32" i="36"/>
  <c r="U13" i="36"/>
  <c r="AA22" i="36"/>
  <c r="AA13" i="36"/>
  <c r="W29" i="36"/>
  <c r="W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39" i="21"/>
  <c r="AB25" i="21"/>
  <c r="AB45" i="21"/>
  <c r="W25" i="21"/>
  <c r="AA25" i="21"/>
  <c r="AC37" i="21"/>
  <c r="AA29" i="21"/>
  <c r="U27" i="21"/>
  <c r="W31" i="21"/>
  <c r="S27" i="21"/>
  <c r="AA15" i="21"/>
  <c r="AC27" i="21"/>
  <c r="W29" i="21"/>
  <c r="J27" i="40"/>
  <c r="AC27" i="40" s="1"/>
  <c r="W30" i="40"/>
  <c r="S34" i="40"/>
  <c r="U38" i="40"/>
  <c r="S40" i="40"/>
  <c r="S42" i="40"/>
  <c r="G104" i="39"/>
  <c r="J31" i="39"/>
  <c r="W31" i="39" s="1"/>
  <c r="S45" i="39"/>
  <c r="W41" i="39"/>
  <c r="AB43" i="39"/>
  <c r="AB33" i="39"/>
  <c r="AC46" i="39"/>
  <c r="S34" i="39"/>
  <c r="W42" i="39"/>
  <c r="W36" i="39"/>
  <c r="W23" i="39"/>
  <c r="AC37" i="39"/>
  <c r="U14" i="39"/>
  <c r="W16" i="39"/>
  <c r="S15" i="39"/>
  <c r="W25" i="39"/>
  <c r="W45" i="39"/>
  <c r="S41" i="39"/>
  <c r="AA44" i="39"/>
  <c r="AA46" i="39"/>
  <c r="W34" i="39"/>
  <c r="W10" i="39"/>
  <c r="W11" i="39"/>
  <c r="U42" i="39"/>
  <c r="W40" i="39"/>
  <c r="C27" i="39"/>
  <c r="C17" i="40"/>
  <c r="C19" i="40"/>
  <c r="C17" i="39"/>
  <c r="C19" i="39"/>
  <c r="C21" i="39"/>
  <c r="C23" i="40"/>
  <c r="B51" i="46"/>
  <c r="B54" i="46"/>
  <c r="B58" i="46"/>
  <c r="B62" i="46"/>
  <c r="B65" i="46"/>
  <c r="B69" i="46"/>
  <c r="B56" i="46"/>
  <c r="B67" i="46"/>
  <c r="D24" i="15"/>
  <c r="S14" i="36"/>
  <c r="AB20" i="36"/>
  <c r="AA20" i="36"/>
  <c r="AC14" i="36"/>
  <c r="W14" i="36"/>
  <c r="U14" i="36"/>
  <c r="AB14" i="36"/>
  <c r="U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W15" i="21"/>
  <c r="AC15" i="21"/>
  <c r="AB39" i="40"/>
  <c r="AC39" i="40"/>
  <c r="W39" i="40"/>
  <c r="AA39" i="40"/>
  <c r="S39" i="40"/>
  <c r="U29" i="40"/>
  <c r="AB29" i="40"/>
  <c r="AC29" i="40"/>
  <c r="AA29" i="40"/>
  <c r="S29" i="40"/>
  <c r="B20" i="31"/>
  <c r="R22" i="31"/>
  <c r="B21" i="31"/>
  <c r="A17" i="51"/>
  <c r="B13" i="63"/>
  <c r="AT6" i="3"/>
  <c r="E4" i="4"/>
  <c r="B21" i="55" s="1"/>
  <c r="B72" i="63" s="1"/>
  <c r="C4" i="4"/>
  <c r="B20" i="55" s="1"/>
  <c r="B70" i="63" s="1"/>
  <c r="J18" i="36"/>
  <c r="W18" i="36"/>
  <c r="AC18" i="36"/>
  <c r="L20" i="6"/>
  <c r="C45" i="9"/>
  <c r="B7" i="66" s="1"/>
  <c r="C44" i="9"/>
  <c r="B6" i="66" s="1"/>
  <c r="K29" i="9"/>
  <c r="K30" i="9"/>
  <c r="N76" i="9"/>
  <c r="C46" i="9"/>
  <c r="K33" i="9"/>
  <c r="O41" i="9"/>
  <c r="R8" i="54" s="1"/>
  <c r="B54" i="63" s="1"/>
  <c r="B8" i="66"/>
  <c r="H61" i="46"/>
  <c r="J21" i="46"/>
  <c r="F38" i="46"/>
  <c r="F41" i="46"/>
  <c r="F40" i="46"/>
  <c r="H117" i="46"/>
  <c r="U21" i="59"/>
  <c r="Y23" i="59"/>
  <c r="Z23" i="59"/>
  <c r="AA23" i="59"/>
  <c r="AB23" i="59"/>
  <c r="Y22" i="59"/>
  <c r="Z22" i="59"/>
  <c r="Y21" i="59"/>
  <c r="Z21" i="59" s="1"/>
  <c r="Y20" i="59"/>
  <c r="Z20" i="59" s="1"/>
  <c r="AB22" i="59"/>
  <c r="AB21" i="59"/>
  <c r="AB20" i="59"/>
  <c r="AA25" i="59"/>
  <c r="X23" i="59"/>
  <c r="X21" i="59"/>
  <c r="X20" i="59"/>
  <c r="AA21" i="59"/>
  <c r="AA20" i="59"/>
  <c r="H1" i="65"/>
  <c r="X7" i="46"/>
  <c r="N21" i="46"/>
  <c r="O21" i="46"/>
  <c r="M21" i="46"/>
  <c r="L21" i="46"/>
  <c r="F39" i="46"/>
  <c r="I21" i="46"/>
  <c r="H72" i="46"/>
  <c r="B22" i="59"/>
  <c r="B21" i="59"/>
  <c r="B20" i="59" s="1"/>
  <c r="B19" i="59" s="1"/>
  <c r="B18" i="59" s="1"/>
  <c r="S21" i="59"/>
  <c r="E12" i="67"/>
  <c r="E13" i="67"/>
  <c r="J17" i="44"/>
  <c r="F6" i="15"/>
  <c r="M9" i="15"/>
  <c r="F38" i="15"/>
  <c r="I7" i="65"/>
  <c r="F15" i="44"/>
  <c r="F8" i="67"/>
  <c r="F39" i="44"/>
  <c r="L48" i="44"/>
  <c r="B12" i="67"/>
  <c r="E8" i="67"/>
  <c r="F37" i="15"/>
  <c r="J3" i="65"/>
  <c r="M8" i="15"/>
  <c r="F36" i="15"/>
  <c r="B8" i="67"/>
  <c r="E11" i="67"/>
  <c r="F14" i="67"/>
  <c r="N5" i="65"/>
  <c r="F43" i="44"/>
  <c r="F10" i="67"/>
  <c r="M31" i="44"/>
  <c r="M24" i="44"/>
  <c r="M30" i="44"/>
  <c r="M26" i="44"/>
  <c r="F8" i="44"/>
  <c r="F13" i="15"/>
  <c r="M22" i="15"/>
  <c r="F26" i="15"/>
  <c r="F13" i="67"/>
  <c r="M8" i="44"/>
  <c r="M28" i="15"/>
  <c r="F10" i="44"/>
  <c r="B13" i="67"/>
  <c r="J36" i="15"/>
  <c r="J6" i="65"/>
  <c r="J15" i="15"/>
  <c r="N6" i="65"/>
  <c r="B11" i="67"/>
  <c r="M25" i="44"/>
  <c r="M10" i="44"/>
  <c r="M24" i="15"/>
  <c r="E9" i="67"/>
  <c r="M23" i="15"/>
  <c r="M11" i="44"/>
  <c r="F40" i="15"/>
  <c r="F45" i="44"/>
  <c r="N7" i="65"/>
  <c r="L47" i="15"/>
  <c r="B10" i="67"/>
  <c r="F38" i="44"/>
  <c r="F11" i="67"/>
  <c r="F12" i="67"/>
  <c r="N3" i="65"/>
  <c r="F18" i="44"/>
  <c r="I3" i="65"/>
  <c r="B14" i="67"/>
  <c r="E10" i="67"/>
  <c r="B9" i="67"/>
  <c r="M26" i="15"/>
  <c r="I6" i="65"/>
  <c r="N4" i="65"/>
  <c r="J4" i="65"/>
  <c r="F9" i="15"/>
  <c r="M28" i="44"/>
  <c r="F28" i="44"/>
  <c r="I4" i="65"/>
  <c r="F42" i="15"/>
  <c r="L49" i="44"/>
  <c r="E14" i="67"/>
  <c r="I5" i="65"/>
  <c r="F8" i="15"/>
  <c r="J7" i="65"/>
  <c r="F9" i="44"/>
  <c r="F9" i="67"/>
  <c r="M6" i="15"/>
  <c r="F40" i="44"/>
  <c r="F11" i="44"/>
  <c r="F16" i="15"/>
  <c r="AA37" i="40" l="1"/>
  <c r="AB37" i="40"/>
  <c r="W37" i="40"/>
  <c r="K6" i="1"/>
  <c r="F9" i="1"/>
  <c r="AP9" i="1" s="1"/>
  <c r="F6" i="1"/>
  <c r="I24" i="46"/>
  <c r="C24" i="46" s="1"/>
  <c r="AB13" i="40"/>
  <c r="F23" i="40"/>
  <c r="S23" i="40" s="1"/>
  <c r="C18" i="9"/>
  <c r="J13" i="40"/>
  <c r="W13" i="40" s="1"/>
  <c r="F13" i="40"/>
  <c r="J23" i="40"/>
  <c r="AC23" i="40" s="1"/>
  <c r="F91" i="40"/>
  <c r="G91" i="40" s="1"/>
  <c r="U36" i="40"/>
  <c r="J17" i="40"/>
  <c r="W21" i="40"/>
  <c r="F101" i="40"/>
  <c r="G101" i="40" s="1"/>
  <c r="H101" i="40" s="1"/>
  <c r="I101" i="40" s="1"/>
  <c r="J101" i="40" s="1"/>
  <c r="K101" i="40" s="1"/>
  <c r="L101" i="40" s="1"/>
  <c r="M101" i="40" s="1"/>
  <c r="H32" i="40"/>
  <c r="U32" i="40" s="1"/>
  <c r="F32" i="40"/>
  <c r="AA32" i="40" s="1"/>
  <c r="J32" i="40"/>
  <c r="AC32" i="40" s="1"/>
  <c r="W27" i="40"/>
  <c r="S25" i="40"/>
  <c r="W25" i="40"/>
  <c r="U25" i="40"/>
  <c r="AB23" i="40"/>
  <c r="AA21" i="40"/>
  <c r="U21" i="40"/>
  <c r="G87" i="40"/>
  <c r="H19" i="40"/>
  <c r="U19" i="40" s="1"/>
  <c r="F19" i="40"/>
  <c r="AA19" i="40" s="1"/>
  <c r="J19" i="40"/>
  <c r="AC19" i="40" s="1"/>
  <c r="G29" i="6"/>
  <c r="S23" i="39"/>
  <c r="AZ506" i="3"/>
  <c r="AZ537" i="3"/>
  <c r="AZ567" i="3"/>
  <c r="AZ381" i="3"/>
  <c r="AZ372" i="3"/>
  <c r="AZ556" i="3"/>
  <c r="U30" i="21"/>
  <c r="K34" i="9"/>
  <c r="O40" i="9"/>
  <c r="K31" i="9" s="1"/>
  <c r="K32" i="9" s="1"/>
  <c r="AB12" i="37"/>
  <c r="U12" i="37"/>
  <c r="AZ526" i="3"/>
  <c r="AZ534" i="3"/>
  <c r="AB13" i="35"/>
  <c r="AC35" i="35"/>
  <c r="U31" i="33"/>
  <c r="W28" i="34"/>
  <c r="S17" i="34"/>
  <c r="AC16" i="40"/>
  <c r="U16" i="40"/>
  <c r="W14" i="39"/>
  <c r="W40" i="40"/>
  <c r="AZ496" i="3"/>
  <c r="AZ504" i="3"/>
  <c r="AZ523" i="3"/>
  <c r="AZ548" i="3"/>
  <c r="AZ370" i="3"/>
  <c r="AZ362" i="3"/>
  <c r="AB30" i="33"/>
  <c r="U30" i="33"/>
  <c r="U28" i="36"/>
  <c r="AB28" i="36"/>
  <c r="W14" i="21"/>
  <c r="AC14" i="21"/>
  <c r="AZ193" i="3"/>
  <c r="AZ302" i="3"/>
  <c r="BA570" i="3"/>
  <c r="AZ570" i="3" s="1"/>
  <c r="BE5" i="3"/>
  <c r="AC40" i="21"/>
  <c r="H5" i="3"/>
  <c r="AZ356" i="3"/>
  <c r="AZ345" i="3"/>
  <c r="AZ340" i="3"/>
  <c r="AZ329" i="3"/>
  <c r="AZ324" i="3"/>
  <c r="AZ305" i="3"/>
  <c r="AZ355" i="3"/>
  <c r="AZ514" i="3"/>
  <c r="AZ546" i="3"/>
  <c r="AZ502" i="3"/>
  <c r="AZ550" i="3"/>
  <c r="AZ555" i="3"/>
  <c r="AB40" i="37"/>
  <c r="F46" i="21"/>
  <c r="F14" i="21"/>
  <c r="S22" i="35"/>
  <c r="W8" i="21"/>
  <c r="B76" i="46"/>
  <c r="AC9" i="34"/>
  <c r="W9" i="34"/>
  <c r="AZ516" i="3"/>
  <c r="AZ542" i="3"/>
  <c r="AB40" i="34"/>
  <c r="AA28" i="34"/>
  <c r="BF5" i="3"/>
  <c r="J9" i="21"/>
  <c r="F9" i="21"/>
  <c r="H9" i="21"/>
  <c r="F9" i="33"/>
  <c r="F9" i="35"/>
  <c r="H9" i="35"/>
  <c r="BA572" i="3"/>
  <c r="AZ572" i="3" s="1"/>
  <c r="B101" i="46"/>
  <c r="B79" i="46"/>
  <c r="F9" i="36"/>
  <c r="G533" i="3"/>
  <c r="E5" i="6"/>
  <c r="D12" i="11" s="1"/>
  <c r="C12" i="11" s="1"/>
  <c r="B94" i="46"/>
  <c r="B84" i="46"/>
  <c r="F9" i="34"/>
  <c r="J26" i="37"/>
  <c r="G509" i="3"/>
  <c r="A30" i="64"/>
  <c r="A30" i="51"/>
  <c r="B22" i="63" s="1"/>
  <c r="BA391" i="3"/>
  <c r="AZ391" i="3" s="1"/>
  <c r="BL392" i="3"/>
  <c r="AZ392" i="3" s="1"/>
  <c r="BL406" i="3"/>
  <c r="G414" i="3"/>
  <c r="BL414" i="3"/>
  <c r="AZ414" i="3" s="1"/>
  <c r="BL420" i="3"/>
  <c r="BL422" i="3"/>
  <c r="BL431" i="3"/>
  <c r="AZ431" i="3" s="1"/>
  <c r="BL432" i="3"/>
  <c r="AZ439" i="3"/>
  <c r="BA452" i="3"/>
  <c r="AZ463" i="3"/>
  <c r="AZ475" i="3"/>
  <c r="BA315" i="3"/>
  <c r="AZ315" i="3" s="1"/>
  <c r="BL326" i="3"/>
  <c r="AZ326" i="3" s="1"/>
  <c r="G375" i="3"/>
  <c r="G214" i="3"/>
  <c r="AZ216" i="3"/>
  <c r="AZ113" i="3"/>
  <c r="BA396" i="3"/>
  <c r="AZ396" i="3" s="1"/>
  <c r="BL397" i="3"/>
  <c r="BA400" i="3"/>
  <c r="AZ400" i="3" s="1"/>
  <c r="BA404" i="3"/>
  <c r="AZ404" i="3" s="1"/>
  <c r="G406" i="3"/>
  <c r="BL408" i="3"/>
  <c r="BL410" i="3"/>
  <c r="BL415" i="3"/>
  <c r="AZ415" i="3" s="1"/>
  <c r="BA419" i="3"/>
  <c r="AZ419" i="3" s="1"/>
  <c r="G422" i="3"/>
  <c r="BL424" i="3"/>
  <c r="BL426" i="3"/>
  <c r="AZ426" i="3" s="1"/>
  <c r="G427" i="3"/>
  <c r="BL427" i="3"/>
  <c r="AZ428" i="3"/>
  <c r="BL430" i="3"/>
  <c r="AZ430" i="3" s="1"/>
  <c r="G431" i="3"/>
  <c r="BA435" i="3"/>
  <c r="AZ435" i="3" s="1"/>
  <c r="BL442" i="3"/>
  <c r="G443" i="3"/>
  <c r="BL443" i="3"/>
  <c r="BL444" i="3"/>
  <c r="AZ444" i="3" s="1"/>
  <c r="BL446" i="3"/>
  <c r="G447" i="3"/>
  <c r="BL447" i="3"/>
  <c r="BL455" i="3"/>
  <c r="AZ455" i="3" s="1"/>
  <c r="G466" i="3"/>
  <c r="G467" i="3"/>
  <c r="BL467" i="3"/>
  <c r="AZ467" i="3" s="1"/>
  <c r="BA311" i="3"/>
  <c r="AZ311" i="3" s="1"/>
  <c r="BL318" i="3"/>
  <c r="G325" i="3"/>
  <c r="BL334" i="3"/>
  <c r="G341" i="3"/>
  <c r="BL350" i="3"/>
  <c r="G370" i="3"/>
  <c r="AZ375" i="3"/>
  <c r="G386" i="3"/>
  <c r="BA387" i="3"/>
  <c r="AZ387" i="3" s="1"/>
  <c r="AZ214" i="3"/>
  <c r="G218" i="3"/>
  <c r="BA219" i="3"/>
  <c r="BA220" i="3"/>
  <c r="BA389" i="3"/>
  <c r="AZ389" i="3" s="1"/>
  <c r="BA393" i="3"/>
  <c r="AZ393" i="3" s="1"/>
  <c r="BL398" i="3"/>
  <c r="AZ398" i="3" s="1"/>
  <c r="BA401" i="3"/>
  <c r="AZ401" i="3" s="1"/>
  <c r="BL402" i="3"/>
  <c r="AZ402" i="3" s="1"/>
  <c r="BA406" i="3"/>
  <c r="AZ406" i="3" s="1"/>
  <c r="AZ407" i="3"/>
  <c r="G410" i="3"/>
  <c r="BL411" i="3"/>
  <c r="BA420" i="3"/>
  <c r="BA421" i="3"/>
  <c r="AZ421" i="3" s="1"/>
  <c r="BA422" i="3"/>
  <c r="AZ422" i="3" s="1"/>
  <c r="AZ423" i="3"/>
  <c r="G426" i="3"/>
  <c r="G430" i="3"/>
  <c r="BA432" i="3"/>
  <c r="AZ432" i="3" s="1"/>
  <c r="BA433" i="3"/>
  <c r="BA437" i="3"/>
  <c r="G442" i="3"/>
  <c r="G446" i="3"/>
  <c r="BL450" i="3"/>
  <c r="AZ450" i="3" s="1"/>
  <c r="G451" i="3"/>
  <c r="BL451" i="3"/>
  <c r="AZ452" i="3"/>
  <c r="BL454" i="3"/>
  <c r="AZ454" i="3" s="1"/>
  <c r="G455" i="3"/>
  <c r="G458" i="3"/>
  <c r="G459" i="3"/>
  <c r="BL459" i="3"/>
  <c r="AZ459" i="3" s="1"/>
  <c r="BA473" i="3"/>
  <c r="G478" i="3"/>
  <c r="G479" i="3"/>
  <c r="BL479" i="3"/>
  <c r="AZ479" i="3" s="1"/>
  <c r="BL302" i="3"/>
  <c r="BA337" i="3"/>
  <c r="AZ337" i="3" s="1"/>
  <c r="BA353" i="3"/>
  <c r="AZ353" i="3" s="1"/>
  <c r="G365" i="3"/>
  <c r="G381" i="3"/>
  <c r="AZ386" i="3"/>
  <c r="G206" i="3"/>
  <c r="BA208" i="3"/>
  <c r="BL210" i="3"/>
  <c r="AZ210" i="3" s="1"/>
  <c r="AZ218" i="3"/>
  <c r="AZ224" i="3"/>
  <c r="AZ390" i="3"/>
  <c r="AZ394" i="3"/>
  <c r="AZ399" i="3"/>
  <c r="AZ403" i="3"/>
  <c r="AZ408" i="3"/>
  <c r="AZ409" i="3"/>
  <c r="AZ410" i="3"/>
  <c r="AZ418" i="3"/>
  <c r="AZ424" i="3"/>
  <c r="AZ442" i="3"/>
  <c r="AZ446" i="3"/>
  <c r="AZ471" i="3"/>
  <c r="AZ318" i="3"/>
  <c r="AZ334" i="3"/>
  <c r="AZ350" i="3"/>
  <c r="BA425" i="3"/>
  <c r="AZ425" i="3" s="1"/>
  <c r="BA429" i="3"/>
  <c r="AZ429" i="3" s="1"/>
  <c r="BL434" i="3"/>
  <c r="AZ434" i="3" s="1"/>
  <c r="BL438" i="3"/>
  <c r="AZ438" i="3" s="1"/>
  <c r="BA441" i="3"/>
  <c r="AZ441" i="3" s="1"/>
  <c r="BA445" i="3"/>
  <c r="AZ445" i="3" s="1"/>
  <c r="BA449" i="3"/>
  <c r="AZ449" i="3" s="1"/>
  <c r="BA453" i="3"/>
  <c r="AZ453" i="3" s="1"/>
  <c r="BL458" i="3"/>
  <c r="AZ458" i="3" s="1"/>
  <c r="BA461" i="3"/>
  <c r="AZ461" i="3" s="1"/>
  <c r="BL462" i="3"/>
  <c r="AZ462" i="3" s="1"/>
  <c r="BL466" i="3"/>
  <c r="AZ466" i="3" s="1"/>
  <c r="BA469" i="3"/>
  <c r="AZ469" i="3" s="1"/>
  <c r="BL470" i="3"/>
  <c r="AZ470" i="3" s="1"/>
  <c r="BL474" i="3"/>
  <c r="AZ474" i="3" s="1"/>
  <c r="BA477" i="3"/>
  <c r="AZ477" i="3" s="1"/>
  <c r="BL478" i="3"/>
  <c r="AZ478" i="3" s="1"/>
  <c r="BA309" i="3"/>
  <c r="AZ309" i="3" s="1"/>
  <c r="BA313" i="3"/>
  <c r="AZ313" i="3" s="1"/>
  <c r="BA317" i="3"/>
  <c r="AZ317" i="3" s="1"/>
  <c r="BA333" i="3"/>
  <c r="AZ333" i="3" s="1"/>
  <c r="BA349" i="3"/>
  <c r="AZ349" i="3" s="1"/>
  <c r="BA357" i="3"/>
  <c r="AZ357" i="3" s="1"/>
  <c r="BL364" i="3"/>
  <c r="AZ364" i="3" s="1"/>
  <c r="BL369" i="3"/>
  <c r="AZ369" i="3" s="1"/>
  <c r="BL380" i="3"/>
  <c r="AZ380" i="3" s="1"/>
  <c r="BL385" i="3"/>
  <c r="AZ385" i="3" s="1"/>
  <c r="BL205" i="3"/>
  <c r="AZ205" i="3" s="1"/>
  <c r="BL209" i="3"/>
  <c r="AZ209" i="3" s="1"/>
  <c r="BL213" i="3"/>
  <c r="AZ213" i="3" s="1"/>
  <c r="BL217" i="3"/>
  <c r="AZ217" i="3" s="1"/>
  <c r="BL221" i="3"/>
  <c r="AZ221" i="3" s="1"/>
  <c r="BL225" i="3"/>
  <c r="AZ225" i="3" s="1"/>
  <c r="BL229" i="3"/>
  <c r="AZ229" i="3" s="1"/>
  <c r="BL233" i="3"/>
  <c r="AZ233" i="3" s="1"/>
  <c r="BL237" i="3"/>
  <c r="AZ237" i="3" s="1"/>
  <c r="BL241" i="3"/>
  <c r="AZ241" i="3" s="1"/>
  <c r="BL245" i="3"/>
  <c r="AZ245" i="3" s="1"/>
  <c r="BL249" i="3"/>
  <c r="AZ249" i="3" s="1"/>
  <c r="BL253" i="3"/>
  <c r="AZ253" i="3" s="1"/>
  <c r="BL257" i="3"/>
  <c r="AZ257" i="3" s="1"/>
  <c r="BL261" i="3"/>
  <c r="AZ261" i="3" s="1"/>
  <c r="BL265" i="3"/>
  <c r="AZ265" i="3" s="1"/>
  <c r="BA272" i="3"/>
  <c r="AZ272" i="3" s="1"/>
  <c r="BA280" i="3"/>
  <c r="AZ280" i="3" s="1"/>
  <c r="BA288" i="3"/>
  <c r="AZ288" i="3" s="1"/>
  <c r="BA296" i="3"/>
  <c r="AZ296" i="3" s="1"/>
  <c r="BL113" i="3"/>
  <c r="BA123" i="3"/>
  <c r="AZ123" i="3" s="1"/>
  <c r="BL128" i="3"/>
  <c r="AZ128" i="3" s="1"/>
  <c r="BA131" i="3"/>
  <c r="AZ131" i="3" s="1"/>
  <c r="BL136" i="3"/>
  <c r="AZ136" i="3" s="1"/>
  <c r="BL140" i="3"/>
  <c r="AZ140" i="3" s="1"/>
  <c r="G143" i="3"/>
  <c r="BL145" i="3"/>
  <c r="BL149" i="3"/>
  <c r="BA368" i="3"/>
  <c r="AZ368" i="3" s="1"/>
  <c r="BA371" i="3"/>
  <c r="AZ371" i="3" s="1"/>
  <c r="BA384" i="3"/>
  <c r="AZ384" i="3" s="1"/>
  <c r="BA269" i="3"/>
  <c r="AZ269" i="3" s="1"/>
  <c r="BA273" i="3"/>
  <c r="AZ273" i="3" s="1"/>
  <c r="BA277" i="3"/>
  <c r="AZ277" i="3" s="1"/>
  <c r="BA281" i="3"/>
  <c r="AZ281" i="3" s="1"/>
  <c r="BA285" i="3"/>
  <c r="AZ285" i="3" s="1"/>
  <c r="BA289" i="3"/>
  <c r="AZ289" i="3" s="1"/>
  <c r="BA293" i="3"/>
  <c r="AZ293" i="3" s="1"/>
  <c r="BL294" i="3"/>
  <c r="BL116" i="3"/>
  <c r="BL120" i="3"/>
  <c r="BL124" i="3"/>
  <c r="G127" i="3"/>
  <c r="BL129" i="3"/>
  <c r="G135" i="3"/>
  <c r="BL138" i="3"/>
  <c r="AZ138" i="3" s="1"/>
  <c r="G142" i="3"/>
  <c r="BA144" i="3"/>
  <c r="AZ145" i="3"/>
  <c r="BA149" i="3"/>
  <c r="AZ222" i="3"/>
  <c r="AZ226" i="3"/>
  <c r="AZ230" i="3"/>
  <c r="AZ234" i="3"/>
  <c r="AZ238" i="3"/>
  <c r="AZ242" i="3"/>
  <c r="AZ246" i="3"/>
  <c r="AZ250" i="3"/>
  <c r="AZ254" i="3"/>
  <c r="AZ258" i="3"/>
  <c r="AZ262" i="3"/>
  <c r="AZ266" i="3"/>
  <c r="AZ294" i="3"/>
  <c r="AZ129" i="3"/>
  <c r="AZ141" i="3"/>
  <c r="AZ156" i="3"/>
  <c r="BL405" i="3"/>
  <c r="BA412" i="3"/>
  <c r="AZ412" i="3" s="1"/>
  <c r="BL413" i="3"/>
  <c r="AZ413" i="3" s="1"/>
  <c r="BA416" i="3"/>
  <c r="AZ416" i="3" s="1"/>
  <c r="BL417" i="3"/>
  <c r="BL433" i="3"/>
  <c r="AZ433" i="3" s="1"/>
  <c r="BA436" i="3"/>
  <c r="AZ436" i="3" s="1"/>
  <c r="BL437" i="3"/>
  <c r="BA440" i="3"/>
  <c r="AZ440" i="3" s="1"/>
  <c r="BA448" i="3"/>
  <c r="AZ448" i="3" s="1"/>
  <c r="BA456" i="3"/>
  <c r="AZ456" i="3" s="1"/>
  <c r="BL457" i="3"/>
  <c r="BA460" i="3"/>
  <c r="AZ460" i="3" s="1"/>
  <c r="BA464" i="3"/>
  <c r="AZ464" i="3" s="1"/>
  <c r="BL465" i="3"/>
  <c r="AZ465" i="3" s="1"/>
  <c r="BA468" i="3"/>
  <c r="AZ468" i="3" s="1"/>
  <c r="BA472" i="3"/>
  <c r="AZ472" i="3" s="1"/>
  <c r="BL473" i="3"/>
  <c r="BA476" i="3"/>
  <c r="AZ476" i="3" s="1"/>
  <c r="BA480" i="3"/>
  <c r="AZ480" i="3" s="1"/>
  <c r="BA319" i="3"/>
  <c r="AZ319" i="3" s="1"/>
  <c r="BA335" i="3"/>
  <c r="AZ335" i="3" s="1"/>
  <c r="BA351" i="3"/>
  <c r="AZ351" i="3" s="1"/>
  <c r="BL360" i="3"/>
  <c r="AZ360" i="3" s="1"/>
  <c r="BL366" i="3"/>
  <c r="AZ366" i="3" s="1"/>
  <c r="BL376" i="3"/>
  <c r="AZ376" i="3" s="1"/>
  <c r="BL382" i="3"/>
  <c r="AZ382" i="3" s="1"/>
  <c r="BL388" i="3"/>
  <c r="AZ388" i="3" s="1"/>
  <c r="BA207" i="3"/>
  <c r="AZ207" i="3" s="1"/>
  <c r="BL208" i="3"/>
  <c r="BL212" i="3"/>
  <c r="AZ212" i="3" s="1"/>
  <c r="BA215" i="3"/>
  <c r="AZ215" i="3" s="1"/>
  <c r="BL216" i="3"/>
  <c r="BL220" i="3"/>
  <c r="BA223" i="3"/>
  <c r="AZ223" i="3" s="1"/>
  <c r="BL224" i="3"/>
  <c r="BL228" i="3"/>
  <c r="AZ228" i="3" s="1"/>
  <c r="BA231" i="3"/>
  <c r="AZ231" i="3" s="1"/>
  <c r="BL232" i="3"/>
  <c r="AZ232" i="3" s="1"/>
  <c r="BL236" i="3"/>
  <c r="AZ236" i="3" s="1"/>
  <c r="BA239" i="3"/>
  <c r="AZ239" i="3" s="1"/>
  <c r="BL240" i="3"/>
  <c r="AZ240" i="3" s="1"/>
  <c r="BL244" i="3"/>
  <c r="AZ244" i="3" s="1"/>
  <c r="BA247" i="3"/>
  <c r="AZ247" i="3" s="1"/>
  <c r="BL248" i="3"/>
  <c r="AZ248" i="3" s="1"/>
  <c r="BL252" i="3"/>
  <c r="AZ252" i="3" s="1"/>
  <c r="BA255" i="3"/>
  <c r="AZ255" i="3" s="1"/>
  <c r="BL256" i="3"/>
  <c r="AZ256" i="3" s="1"/>
  <c r="BL260" i="3"/>
  <c r="AZ260" i="3" s="1"/>
  <c r="BA263" i="3"/>
  <c r="AZ263" i="3" s="1"/>
  <c r="BL264" i="3"/>
  <c r="AZ264" i="3" s="1"/>
  <c r="BL268" i="3"/>
  <c r="AZ268" i="3" s="1"/>
  <c r="BL276" i="3"/>
  <c r="AZ276" i="3" s="1"/>
  <c r="BL284" i="3"/>
  <c r="AZ284" i="3" s="1"/>
  <c r="BL292" i="3"/>
  <c r="AZ292" i="3" s="1"/>
  <c r="BA115" i="3"/>
  <c r="AZ115" i="3" s="1"/>
  <c r="BA117" i="3"/>
  <c r="AZ117" i="3" s="1"/>
  <c r="BA120" i="3"/>
  <c r="BA121" i="3"/>
  <c r="AZ121" i="3" s="1"/>
  <c r="BA124" i="3"/>
  <c r="AZ124" i="3" s="1"/>
  <c r="BA125" i="3"/>
  <c r="AZ125" i="3" s="1"/>
  <c r="BA132" i="3"/>
  <c r="AZ132" i="3" s="1"/>
  <c r="BA133" i="3"/>
  <c r="AZ133" i="3" s="1"/>
  <c r="BA139" i="3"/>
  <c r="AZ139" i="3" s="1"/>
  <c r="BL144" i="3"/>
  <c r="BA147" i="3"/>
  <c r="AZ147" i="3" s="1"/>
  <c r="AZ171" i="3"/>
  <c r="BL118" i="3"/>
  <c r="AZ118" i="3" s="1"/>
  <c r="BL126" i="3"/>
  <c r="AZ126" i="3" s="1"/>
  <c r="BL134" i="3"/>
  <c r="AZ134" i="3" s="1"/>
  <c r="BL142" i="3"/>
  <c r="AZ142" i="3" s="1"/>
  <c r="BL150" i="3"/>
  <c r="AZ150" i="3" s="1"/>
  <c r="BA155" i="3"/>
  <c r="AZ155" i="3" s="1"/>
  <c r="BL156" i="3"/>
  <c r="BA163" i="3"/>
  <c r="AZ163" i="3" s="1"/>
  <c r="BL165" i="3"/>
  <c r="AZ165" i="3" s="1"/>
  <c r="BL173" i="3"/>
  <c r="AZ173" i="3" s="1"/>
  <c r="BL182" i="3"/>
  <c r="BA185" i="3"/>
  <c r="AZ185" i="3" s="1"/>
  <c r="BL188" i="3"/>
  <c r="AZ188" i="3" s="1"/>
  <c r="BL190" i="3"/>
  <c r="BL191" i="3"/>
  <c r="BA199" i="3"/>
  <c r="AZ199" i="3" s="1"/>
  <c r="BA201" i="3"/>
  <c r="AZ201" i="3" s="1"/>
  <c r="BL203" i="3"/>
  <c r="BL204" i="3"/>
  <c r="BA30" i="3"/>
  <c r="BA33" i="3"/>
  <c r="BL35" i="3"/>
  <c r="BL36" i="3"/>
  <c r="G42" i="3"/>
  <c r="G46" i="3"/>
  <c r="BL57" i="3"/>
  <c r="AZ64" i="3"/>
  <c r="BL75" i="3"/>
  <c r="G79" i="3"/>
  <c r="AZ83" i="3"/>
  <c r="BA89" i="3"/>
  <c r="BL95" i="3"/>
  <c r="G99" i="3"/>
  <c r="BA105" i="3"/>
  <c r="BL111" i="3"/>
  <c r="T53" i="59"/>
  <c r="D53" i="59"/>
  <c r="AZ172" i="3"/>
  <c r="AZ49" i="3"/>
  <c r="G54" i="3"/>
  <c r="BA59" i="3"/>
  <c r="AZ60" i="3"/>
  <c r="G72" i="3"/>
  <c r="G75" i="3"/>
  <c r="G95" i="3"/>
  <c r="G111" i="3"/>
  <c r="BL153" i="3"/>
  <c r="AZ153" i="3" s="1"/>
  <c r="BL161" i="3"/>
  <c r="AZ161" i="3" s="1"/>
  <c r="BA167" i="3"/>
  <c r="AZ167" i="3" s="1"/>
  <c r="BL168" i="3"/>
  <c r="BA175" i="3"/>
  <c r="AZ175" i="3" s="1"/>
  <c r="BL176" i="3"/>
  <c r="BA179" i="3"/>
  <c r="AZ179" i="3" s="1"/>
  <c r="BA181" i="3"/>
  <c r="AZ181" i="3" s="1"/>
  <c r="BA191" i="3"/>
  <c r="AZ191" i="3" s="1"/>
  <c r="BA193" i="3"/>
  <c r="BL196" i="3"/>
  <c r="AZ196" i="3" s="1"/>
  <c r="BL198" i="3"/>
  <c r="BL199" i="3"/>
  <c r="G202" i="3"/>
  <c r="BA203" i="3"/>
  <c r="BA204" i="3"/>
  <c r="AZ204" i="3" s="1"/>
  <c r="G26" i="3"/>
  <c r="G27" i="3"/>
  <c r="BL27" i="3"/>
  <c r="AZ27" i="3" s="1"/>
  <c r="BL30" i="3"/>
  <c r="G31" i="3"/>
  <c r="G34" i="3"/>
  <c r="BA35" i="3"/>
  <c r="BA36" i="3"/>
  <c r="AZ36" i="3" s="1"/>
  <c r="BA40" i="3"/>
  <c r="BL50" i="3"/>
  <c r="AZ50" i="3" s="1"/>
  <c r="BA56" i="3"/>
  <c r="AZ57" i="3"/>
  <c r="BL68" i="3"/>
  <c r="AZ68" i="3" s="1"/>
  <c r="AZ75" i="3"/>
  <c r="G91" i="3"/>
  <c r="AZ95" i="3"/>
  <c r="G107" i="3"/>
  <c r="AZ111" i="3"/>
  <c r="D35" i="59"/>
  <c r="C36" i="59"/>
  <c r="BL148" i="3"/>
  <c r="AZ148" i="3" s="1"/>
  <c r="BA152" i="3"/>
  <c r="AZ152" i="3" s="1"/>
  <c r="BA158" i="3"/>
  <c r="AZ158" i="3" s="1"/>
  <c r="BA160" i="3"/>
  <c r="AZ160" i="3" s="1"/>
  <c r="BL171" i="3"/>
  <c r="BL177" i="3"/>
  <c r="AZ177" i="3" s="1"/>
  <c r="AZ202" i="3"/>
  <c r="BA24" i="3"/>
  <c r="AZ24" i="3" s="1"/>
  <c r="AZ34" i="3"/>
  <c r="AZ73" i="3"/>
  <c r="C57" i="59"/>
  <c r="D56" i="59"/>
  <c r="X5" i="59"/>
  <c r="X8" i="59"/>
  <c r="X7" i="59"/>
  <c r="X6" i="59"/>
  <c r="X10" i="59"/>
  <c r="X11" i="59"/>
  <c r="X35" i="59"/>
  <c r="X40" i="59"/>
  <c r="V69" i="59"/>
  <c r="F68" i="59"/>
  <c r="AA34" i="59"/>
  <c r="X24" i="59"/>
  <c r="AB25" i="59"/>
  <c r="F25" i="59"/>
  <c r="AA18" i="59"/>
  <c r="BL40" i="3"/>
  <c r="BA47" i="3"/>
  <c r="AZ47" i="3" s="1"/>
  <c r="BA51" i="3"/>
  <c r="AZ51" i="3" s="1"/>
  <c r="BL52" i="3"/>
  <c r="AZ52" i="3" s="1"/>
  <c r="BL56" i="3"/>
  <c r="BL59" i="3"/>
  <c r="BA65" i="3"/>
  <c r="AZ65" i="3" s="1"/>
  <c r="BL70" i="3"/>
  <c r="AZ70" i="3" s="1"/>
  <c r="BA72" i="3"/>
  <c r="AZ72" i="3" s="1"/>
  <c r="BL73" i="3"/>
  <c r="BA88" i="3"/>
  <c r="AZ88" i="3" s="1"/>
  <c r="BL89" i="3"/>
  <c r="BA92" i="3"/>
  <c r="AZ92" i="3" s="1"/>
  <c r="BL93" i="3"/>
  <c r="AZ93" i="3" s="1"/>
  <c r="BA104" i="3"/>
  <c r="AZ104" i="3" s="1"/>
  <c r="BL105" i="3"/>
  <c r="BA108" i="3"/>
  <c r="AZ108" i="3" s="1"/>
  <c r="BL109" i="3"/>
  <c r="AZ109" i="3" s="1"/>
  <c r="BA112" i="3"/>
  <c r="AZ112" i="3" s="1"/>
  <c r="S18" i="36"/>
  <c r="D64" i="59"/>
  <c r="AB3" i="59"/>
  <c r="Y31" i="59"/>
  <c r="Z31" i="59" s="1"/>
  <c r="Y33" i="59"/>
  <c r="Z33" i="59" s="1"/>
  <c r="AB11" i="59"/>
  <c r="AA36" i="59"/>
  <c r="AA38" i="59"/>
  <c r="E39" i="59"/>
  <c r="E40" i="59" s="1"/>
  <c r="E41" i="59" s="1"/>
  <c r="U41" i="59" s="1"/>
  <c r="E44" i="59"/>
  <c r="E45" i="59" s="1"/>
  <c r="U45" i="59" s="1"/>
  <c r="T81" i="59"/>
  <c r="C80" i="59"/>
  <c r="X33" i="59"/>
  <c r="X14" i="59"/>
  <c r="X3" i="59"/>
  <c r="X18" i="59"/>
  <c r="AA15" i="59"/>
  <c r="AA14" i="59"/>
  <c r="AA12" i="59"/>
  <c r="AA19" i="59"/>
  <c r="AA11" i="59"/>
  <c r="AA3" i="59"/>
  <c r="AB14" i="59"/>
  <c r="BL186" i="3"/>
  <c r="BA189" i="3"/>
  <c r="AZ189" i="3" s="1"/>
  <c r="BL194" i="3"/>
  <c r="AZ194" i="3" s="1"/>
  <c r="BA197" i="3"/>
  <c r="AZ197" i="3" s="1"/>
  <c r="BA28" i="3"/>
  <c r="AZ28" i="3" s="1"/>
  <c r="BL29" i="3"/>
  <c r="BA32" i="3"/>
  <c r="AZ32" i="3" s="1"/>
  <c r="BL33" i="3"/>
  <c r="BA44" i="3"/>
  <c r="AZ44" i="3" s="1"/>
  <c r="BL45" i="3"/>
  <c r="BA48" i="3"/>
  <c r="AZ48" i="3" s="1"/>
  <c r="BL49" i="3"/>
  <c r="BA62" i="3"/>
  <c r="AZ62" i="3" s="1"/>
  <c r="BA66" i="3"/>
  <c r="AZ66" i="3" s="1"/>
  <c r="BL67" i="3"/>
  <c r="AZ67" i="3" s="1"/>
  <c r="BL71" i="3"/>
  <c r="AZ71" i="3" s="1"/>
  <c r="BL74" i="3"/>
  <c r="AZ74" i="3" s="1"/>
  <c r="BA77" i="3"/>
  <c r="AZ77" i="3" s="1"/>
  <c r="BA81" i="3"/>
  <c r="AZ81" i="3" s="1"/>
  <c r="BA85" i="3"/>
  <c r="AZ85" i="3" s="1"/>
  <c r="BL90" i="3"/>
  <c r="AZ90" i="3" s="1"/>
  <c r="BL94" i="3"/>
  <c r="AZ94" i="3" s="1"/>
  <c r="BA97" i="3"/>
  <c r="AZ97" i="3" s="1"/>
  <c r="BA101" i="3"/>
  <c r="AZ101" i="3" s="1"/>
  <c r="BL106" i="3"/>
  <c r="AZ106" i="3" s="1"/>
  <c r="BL110" i="3"/>
  <c r="AZ110" i="3" s="1"/>
  <c r="K13" i="1"/>
  <c r="M13" i="1" s="1"/>
  <c r="O13" i="1" s="1"/>
  <c r="P13" i="1" s="1"/>
  <c r="S21" i="34"/>
  <c r="AA28" i="59"/>
  <c r="B31" i="59"/>
  <c r="B32" i="59" s="1"/>
  <c r="B33" i="59" s="1"/>
  <c r="S33" i="59" s="1"/>
  <c r="X27" i="59"/>
  <c r="X30" i="59"/>
  <c r="X22" i="59"/>
  <c r="X26" i="59"/>
  <c r="AA31" i="59"/>
  <c r="AA30" i="59"/>
  <c r="AA32" i="59"/>
  <c r="AA33" i="59"/>
  <c r="Y30" i="59"/>
  <c r="Z30" i="59" s="1"/>
  <c r="Y32" i="59"/>
  <c r="Z32" i="59" s="1"/>
  <c r="Y29" i="59"/>
  <c r="Z29" i="59" s="1"/>
  <c r="Y34" i="59"/>
  <c r="Z34" i="59" s="1"/>
  <c r="Y27" i="59"/>
  <c r="Z27" i="59" s="1"/>
  <c r="X37" i="59"/>
  <c r="F80" i="59"/>
  <c r="F79" i="59" s="1"/>
  <c r="AA26" i="59"/>
  <c r="E29" i="59"/>
  <c r="AA27" i="59"/>
  <c r="BL187" i="3"/>
  <c r="AZ187" i="3" s="1"/>
  <c r="BL195" i="3"/>
  <c r="AZ195" i="3" s="1"/>
  <c r="BA21" i="3"/>
  <c r="AZ21" i="3" s="1"/>
  <c r="BL22" i="3"/>
  <c r="AZ22" i="3" s="1"/>
  <c r="BA25" i="3"/>
  <c r="AZ25" i="3" s="1"/>
  <c r="BL26" i="3"/>
  <c r="AZ26" i="3" s="1"/>
  <c r="BA37" i="3"/>
  <c r="AZ37" i="3" s="1"/>
  <c r="BL38" i="3"/>
  <c r="AZ38" i="3" s="1"/>
  <c r="BA41" i="3"/>
  <c r="AZ41" i="3" s="1"/>
  <c r="BL42" i="3"/>
  <c r="AZ42" i="3" s="1"/>
  <c r="BA53" i="3"/>
  <c r="AZ53" i="3" s="1"/>
  <c r="BL54" i="3"/>
  <c r="BA63" i="3"/>
  <c r="AZ63" i="3" s="1"/>
  <c r="BL64" i="3"/>
  <c r="BA78" i="3"/>
  <c r="AZ78" i="3" s="1"/>
  <c r="BA82" i="3"/>
  <c r="AZ82" i="3" s="1"/>
  <c r="BL83" i="3"/>
  <c r="BA86" i="3"/>
  <c r="AZ86" i="3" s="1"/>
  <c r="BL87" i="3"/>
  <c r="AZ87" i="3" s="1"/>
  <c r="BL91" i="3"/>
  <c r="AZ91" i="3" s="1"/>
  <c r="BA98" i="3"/>
  <c r="AZ98" i="3" s="1"/>
  <c r="BA102" i="3"/>
  <c r="AZ102" i="3" s="1"/>
  <c r="BL103" i="3"/>
  <c r="AZ103" i="3" s="1"/>
  <c r="BL107" i="3"/>
  <c r="AZ107" i="3" s="1"/>
  <c r="J53" i="46"/>
  <c r="S21" i="37"/>
  <c r="Q69" i="59"/>
  <c r="D47" i="59"/>
  <c r="X29" i="59"/>
  <c r="C39" i="59"/>
  <c r="Y38" i="59"/>
  <c r="Z38" i="59" s="1"/>
  <c r="T77" i="59"/>
  <c r="C76" i="59"/>
  <c r="AB29" i="59"/>
  <c r="F29" i="59"/>
  <c r="AB27" i="59"/>
  <c r="X19" i="59"/>
  <c r="AB15" i="59"/>
  <c r="F35" i="59"/>
  <c r="F36" i="59" s="1"/>
  <c r="F37" i="59" s="1"/>
  <c r="V37" i="59" s="1"/>
  <c r="AB34" i="59"/>
  <c r="Y7" i="59"/>
  <c r="Z7" i="59" s="1"/>
  <c r="Y6" i="59"/>
  <c r="Z6" i="59" s="1"/>
  <c r="Y8" i="59"/>
  <c r="Z8" i="59" s="1"/>
  <c r="Y5" i="59"/>
  <c r="Z5" i="59" s="1"/>
  <c r="Y40" i="59"/>
  <c r="Z40" i="59" s="1"/>
  <c r="Y11" i="59"/>
  <c r="Z11" i="59" s="1"/>
  <c r="X25" i="59"/>
  <c r="AB28" i="59"/>
  <c r="AB24" i="59"/>
  <c r="AA22" i="59"/>
  <c r="X13" i="59"/>
  <c r="Y10" i="59"/>
  <c r="Z10" i="59" s="1"/>
  <c r="P16" i="4"/>
  <c r="X32" i="59"/>
  <c r="X34" i="59"/>
  <c r="X36" i="59"/>
  <c r="X38" i="59"/>
  <c r="X39" i="59"/>
  <c r="AA7" i="59"/>
  <c r="AA5" i="59"/>
  <c r="AA8" i="59"/>
  <c r="AA6" i="59"/>
  <c r="AA10" i="59"/>
  <c r="AA40" i="59"/>
  <c r="N69" i="59"/>
  <c r="B68" i="59"/>
  <c r="C29" i="59"/>
  <c r="Y28" i="59"/>
  <c r="Z28" i="59" s="1"/>
  <c r="Y25" i="59"/>
  <c r="Z25" i="59" s="1"/>
  <c r="Y18" i="59"/>
  <c r="Z18" i="59" s="1"/>
  <c r="AB19" i="59"/>
  <c r="Y14" i="59"/>
  <c r="Z14" i="59" s="1"/>
  <c r="Y15" i="59"/>
  <c r="Z15" i="59" s="1"/>
  <c r="Y12" i="59"/>
  <c r="Z12" i="59" s="1"/>
  <c r="Y13" i="59"/>
  <c r="Z13" i="59" s="1"/>
  <c r="C24" i="59"/>
  <c r="D25" i="59"/>
  <c r="Y24" i="59"/>
  <c r="Z24" i="59" s="1"/>
  <c r="Y19" i="59"/>
  <c r="Z19" i="59" s="1"/>
  <c r="O76" i="9"/>
  <c r="AA24" i="59"/>
  <c r="AA16" i="59"/>
  <c r="X12" i="59"/>
  <c r="AA13" i="59"/>
  <c r="AB16" i="59"/>
  <c r="AB18" i="59"/>
  <c r="AB12" i="59"/>
  <c r="X15" i="59"/>
  <c r="AB5" i="59"/>
  <c r="AB6" i="59"/>
  <c r="AB7" i="59"/>
  <c r="AB8" i="59"/>
  <c r="AB10" i="59"/>
  <c r="X17" i="59"/>
  <c r="AB13" i="59"/>
  <c r="D65" i="46"/>
  <c r="D50" i="46"/>
  <c r="F36" i="44"/>
  <c r="M22" i="44"/>
  <c r="M20" i="15"/>
  <c r="E29" i="6"/>
  <c r="BL13" i="3"/>
  <c r="BL5" i="3" s="1"/>
  <c r="L19" i="6"/>
  <c r="L27" i="6" s="1"/>
  <c r="F30" i="6"/>
  <c r="C7" i="21"/>
  <c r="C58" i="21" s="1"/>
  <c r="D58" i="21" s="1"/>
  <c r="E58" i="21" s="1"/>
  <c r="F58" i="21" s="1"/>
  <c r="G58" i="21" s="1"/>
  <c r="H58" i="21" s="1"/>
  <c r="I58" i="21" s="1"/>
  <c r="J58" i="21" s="1"/>
  <c r="K58" i="21" s="1"/>
  <c r="L58" i="21" s="1"/>
  <c r="M58" i="21" s="1"/>
  <c r="N58" i="21" s="1"/>
  <c r="O58" i="21" s="1"/>
  <c r="C7" i="33"/>
  <c r="C58" i="33" s="1"/>
  <c r="D58" i="33" s="1"/>
  <c r="E58" i="33" s="1"/>
  <c r="F58" i="33" s="1"/>
  <c r="G58" i="33" s="1"/>
  <c r="H58" i="33" s="1"/>
  <c r="I58" i="33" s="1"/>
  <c r="J58" i="33" s="1"/>
  <c r="K58" i="33" s="1"/>
  <c r="L58" i="33" s="1"/>
  <c r="M58" i="33" s="1"/>
  <c r="N58" i="33" s="1"/>
  <c r="O58" i="33" s="1"/>
  <c r="C7" i="34"/>
  <c r="C59" i="34" s="1"/>
  <c r="C9" i="39"/>
  <c r="C69" i="39" s="1"/>
  <c r="C9" i="40"/>
  <c r="C64" i="40" s="1"/>
  <c r="D64" i="40" s="1"/>
  <c r="N67" i="9"/>
  <c r="D38" i="4"/>
  <c r="C39" i="4" s="1"/>
  <c r="G23" i="46"/>
  <c r="C23" i="46" s="1"/>
  <c r="AP10" i="1"/>
  <c r="C7" i="35"/>
  <c r="C48" i="35" s="1"/>
  <c r="D48" i="35" s="1"/>
  <c r="E48" i="35" s="1"/>
  <c r="F48" i="35" s="1"/>
  <c r="G48" i="35" s="1"/>
  <c r="H48" i="35" s="1"/>
  <c r="I48" i="35" s="1"/>
  <c r="J48" i="35" s="1"/>
  <c r="K48" i="35" s="1"/>
  <c r="L48" i="35" s="1"/>
  <c r="M48" i="35" s="1"/>
  <c r="N48" i="35" s="1"/>
  <c r="O48" i="35" s="1"/>
  <c r="C7" i="36"/>
  <c r="C46" i="36" s="1"/>
  <c r="D46" i="36" s="1"/>
  <c r="E46" i="36" s="1"/>
  <c r="F46" i="36" s="1"/>
  <c r="G46" i="36" s="1"/>
  <c r="H46" i="36" s="1"/>
  <c r="AC10" i="36"/>
  <c r="S10" i="36"/>
  <c r="U10" i="36"/>
  <c r="S10" i="35"/>
  <c r="AC10" i="35"/>
  <c r="AB10" i="35"/>
  <c r="S10" i="37"/>
  <c r="W10" i="37"/>
  <c r="AB10" i="37"/>
  <c r="U10" i="34"/>
  <c r="W10" i="34"/>
  <c r="AA10" i="34"/>
  <c r="AC10" i="33"/>
  <c r="AB10" i="33"/>
  <c r="S10" i="33"/>
  <c r="F33" i="44"/>
  <c r="F48" i="15"/>
  <c r="D86" i="46"/>
  <c r="J83" i="46"/>
  <c r="D83" i="46"/>
  <c r="D85" i="46"/>
  <c r="D88" i="46"/>
  <c r="D80" i="46"/>
  <c r="E72" i="46" s="1"/>
  <c r="B70" i="46" s="1"/>
  <c r="H63" i="46"/>
  <c r="H65" i="46"/>
  <c r="H67" i="46"/>
  <c r="H69" i="46"/>
  <c r="H62" i="46"/>
  <c r="H64" i="46"/>
  <c r="H66" i="46"/>
  <c r="H68" i="46"/>
  <c r="J69" i="46"/>
  <c r="D63" i="46"/>
  <c r="D67" i="46"/>
  <c r="D62" i="46"/>
  <c r="D64" i="46"/>
  <c r="D66" i="46"/>
  <c r="D61" i="46"/>
  <c r="D54" i="46"/>
  <c r="D51" i="46"/>
  <c r="D56" i="46"/>
  <c r="H57" i="46"/>
  <c r="B117" i="46"/>
  <c r="J26" i="46"/>
  <c r="E26" i="46"/>
  <c r="G26" i="46"/>
  <c r="H26" i="46"/>
  <c r="F26" i="46"/>
  <c r="E44" i="46"/>
  <c r="C44" i="46" s="1"/>
  <c r="G18" i="46"/>
  <c r="I18" i="46"/>
  <c r="H79" i="46"/>
  <c r="H78" i="46"/>
  <c r="H77" i="46"/>
  <c r="H76" i="46"/>
  <c r="H80" i="46"/>
  <c r="H75" i="46"/>
  <c r="H73" i="46"/>
  <c r="O23" i="46"/>
  <c r="A1" i="70"/>
  <c r="H50" i="46"/>
  <c r="H51" i="46"/>
  <c r="H56" i="46"/>
  <c r="H55" i="46"/>
  <c r="H58" i="46"/>
  <c r="H53" i="46"/>
  <c r="H54" i="46"/>
  <c r="BA13" i="3"/>
  <c r="AZ13" i="3" s="1"/>
  <c r="E8" i="6"/>
  <c r="E53" i="40" s="1"/>
  <c r="AZ20" i="3"/>
  <c r="AZ484" i="3"/>
  <c r="AZ395" i="3"/>
  <c r="AZ397" i="3"/>
  <c r="AZ405" i="3"/>
  <c r="AZ411" i="3"/>
  <c r="AZ417" i="3"/>
  <c r="AZ427" i="3"/>
  <c r="AZ437" i="3"/>
  <c r="AZ443" i="3"/>
  <c r="AZ447" i="3"/>
  <c r="AZ451" i="3"/>
  <c r="AZ457" i="3"/>
  <c r="AZ473" i="3"/>
  <c r="AZ206" i="3"/>
  <c r="AZ116" i="3"/>
  <c r="BT5" i="3"/>
  <c r="BI5" i="3"/>
  <c r="BG5" i="3"/>
  <c r="AZ208" i="3"/>
  <c r="AZ211" i="3"/>
  <c r="AZ219" i="3"/>
  <c r="AZ227" i="3"/>
  <c r="AZ235" i="3"/>
  <c r="AZ243" i="3"/>
  <c r="AZ251" i="3"/>
  <c r="AZ259" i="3"/>
  <c r="AZ271" i="3"/>
  <c r="AZ287" i="3"/>
  <c r="AZ168" i="3"/>
  <c r="AZ176" i="3"/>
  <c r="AZ182" i="3"/>
  <c r="AZ186" i="3"/>
  <c r="AZ190" i="3"/>
  <c r="AZ198" i="3"/>
  <c r="AZ29" i="3"/>
  <c r="AZ33" i="3"/>
  <c r="AZ45" i="3"/>
  <c r="AZ54" i="3"/>
  <c r="AZ69" i="3"/>
  <c r="AZ76" i="3"/>
  <c r="AZ80" i="3"/>
  <c r="AZ96" i="3"/>
  <c r="AZ100" i="3"/>
  <c r="AP7" i="1"/>
  <c r="B21" i="63"/>
  <c r="N4" i="63"/>
  <c r="A9" i="51"/>
  <c r="B9" i="63" s="1"/>
  <c r="A28" i="64"/>
  <c r="G9" i="1"/>
  <c r="G11" i="1"/>
  <c r="G8" i="1"/>
  <c r="L16" i="4"/>
  <c r="K17" i="4" s="1"/>
  <c r="A22" i="51" s="1"/>
  <c r="B16" i="63" s="1"/>
  <c r="N16" i="4"/>
  <c r="O39" i="9"/>
  <c r="R6" i="54" s="1"/>
  <c r="B50" i="63" s="1"/>
  <c r="N69" i="9"/>
  <c r="R7" i="54"/>
  <c r="B52" i="63" s="1"/>
  <c r="A3" i="55"/>
  <c r="B56" i="63" s="1"/>
  <c r="B37" i="50"/>
  <c r="B2" i="63" s="1"/>
  <c r="X9" i="59"/>
  <c r="AB9" i="59"/>
  <c r="Y9" i="59"/>
  <c r="Z9" i="59" s="1"/>
  <c r="AA9" i="59"/>
  <c r="S17" i="40"/>
  <c r="AB17" i="40"/>
  <c r="W35" i="40"/>
  <c r="W36" i="40"/>
  <c r="S36" i="40"/>
  <c r="S11" i="40"/>
  <c r="S10" i="40"/>
  <c r="S27" i="40"/>
  <c r="AC31" i="39"/>
  <c r="AC47" i="39"/>
  <c r="U40" i="39"/>
  <c r="AA42" i="39"/>
  <c r="S42" i="39"/>
  <c r="AA36" i="39"/>
  <c r="S36" i="39"/>
  <c r="G21" i="46"/>
  <c r="C20" i="46" s="1"/>
  <c r="E10" i="46"/>
  <c r="E11" i="46"/>
  <c r="E9" i="46"/>
  <c r="E8" i="46"/>
  <c r="G28" i="6"/>
  <c r="G30" i="6" s="1"/>
  <c r="G31" i="6" s="1"/>
  <c r="G27" i="12"/>
  <c r="G13" i="3"/>
  <c r="F34" i="44"/>
  <c r="F24" i="43"/>
  <c r="C2" i="65"/>
  <c r="I1" i="65" s="1"/>
  <c r="G20" i="43"/>
  <c r="G26" i="12"/>
  <c r="F70" i="9"/>
  <c r="F66" i="9"/>
  <c r="P72" i="9" s="1"/>
  <c r="F28" i="15"/>
  <c r="F30" i="44"/>
  <c r="C30" i="44" s="1"/>
  <c r="D86" i="9"/>
  <c r="F29" i="12"/>
  <c r="F32" i="15"/>
  <c r="F59" i="15" s="1"/>
  <c r="F71" i="9"/>
  <c r="K15" i="1"/>
  <c r="O11" i="1"/>
  <c r="P11" i="1" s="1"/>
  <c r="O7" i="1"/>
  <c r="P7" i="1" s="1"/>
  <c r="O12" i="1"/>
  <c r="P12" i="1" s="1"/>
  <c r="O10" i="1"/>
  <c r="P10" i="1" s="1"/>
  <c r="O9" i="1"/>
  <c r="P9" i="1" s="1"/>
  <c r="G6" i="1"/>
  <c r="A25" i="51"/>
  <c r="B18" i="63" s="1"/>
  <c r="G10" i="1"/>
  <c r="G13" i="1"/>
  <c r="C95" i="9"/>
  <c r="C92" i="9" s="1"/>
  <c r="C25" i="12"/>
  <c r="C28" i="15"/>
  <c r="D23" i="15"/>
  <c r="L52" i="37"/>
  <c r="M52" i="37" s="1"/>
  <c r="N52" i="37" s="1"/>
  <c r="O52" i="37" s="1"/>
  <c r="I46" i="36"/>
  <c r="D59" i="34"/>
  <c r="E59" i="34" s="1"/>
  <c r="F59" i="34" s="1"/>
  <c r="G59" i="34" s="1"/>
  <c r="H59" i="34" s="1"/>
  <c r="I59" i="34" s="1"/>
  <c r="J59" i="34" s="1"/>
  <c r="K59" i="34" s="1"/>
  <c r="L59" i="34" s="1"/>
  <c r="M59" i="34" s="1"/>
  <c r="N59" i="34" s="1"/>
  <c r="O59" i="34" s="1"/>
  <c r="D69" i="39"/>
  <c r="C71" i="39"/>
  <c r="K77" i="9"/>
  <c r="K79" i="9" s="1"/>
  <c r="K81" i="9" s="1"/>
  <c r="E12" i="52"/>
  <c r="E17" i="59"/>
  <c r="B17" i="59"/>
  <c r="X16" i="59"/>
  <c r="Y16" i="59"/>
  <c r="Z16" i="59" s="1"/>
  <c r="B4" i="52"/>
  <c r="B7" i="52"/>
  <c r="E14" i="52"/>
  <c r="E6" i="52"/>
  <c r="E11" i="52"/>
  <c r="E9" i="52"/>
  <c r="E7" i="52"/>
  <c r="B9" i="52"/>
  <c r="E4" i="52"/>
  <c r="E13" i="52"/>
  <c r="B8" i="52"/>
  <c r="E10" i="52"/>
  <c r="B10" i="52"/>
  <c r="B6" i="52"/>
  <c r="B5" i="52"/>
  <c r="B11" i="52"/>
  <c r="B12" i="52"/>
  <c r="E8" i="52"/>
  <c r="B14" i="52"/>
  <c r="E5" i="52"/>
  <c r="Y3" i="59"/>
  <c r="Z3" i="59" s="1"/>
  <c r="AB17" i="59"/>
  <c r="AA17" i="59"/>
  <c r="Y17" i="59"/>
  <c r="Z17" i="59" s="1"/>
  <c r="P26" i="46"/>
  <c r="P28" i="46"/>
  <c r="B67" i="40" s="1"/>
  <c r="P27" i="46"/>
  <c r="P29" i="46"/>
  <c r="B72" i="39" s="1"/>
  <c r="P25" i="46"/>
  <c r="Q73" i="44"/>
  <c r="F65" i="15"/>
  <c r="C29" i="44"/>
  <c r="C8" i="44"/>
  <c r="C34" i="44" s="1"/>
  <c r="F67" i="15"/>
  <c r="F50" i="15"/>
  <c r="C27" i="15"/>
  <c r="F64" i="15"/>
  <c r="M9" i="44"/>
  <c r="J8" i="44" s="1"/>
  <c r="L59" i="15"/>
  <c r="L60" i="44"/>
  <c r="L59" i="44"/>
  <c r="I55" i="44"/>
  <c r="J54" i="44"/>
  <c r="L57" i="44"/>
  <c r="J58" i="44"/>
  <c r="J56" i="44" s="1"/>
  <c r="J59" i="44" s="1"/>
  <c r="Q52" i="44" s="1"/>
  <c r="Q72" i="15"/>
  <c r="F63" i="15"/>
  <c r="C4" i="65"/>
  <c r="B39" i="1" s="1"/>
  <c r="L48" i="15"/>
  <c r="F43" i="15"/>
  <c r="F7" i="15"/>
  <c r="C15" i="12"/>
  <c r="C15" i="43"/>
  <c r="J5" i="65"/>
  <c r="M29" i="15"/>
  <c r="C18" i="44"/>
  <c r="E2" i="65"/>
  <c r="J1" i="65" l="1"/>
  <c r="AA23" i="40"/>
  <c r="AB32" i="40"/>
  <c r="F70" i="15"/>
  <c r="F49" i="15"/>
  <c r="F58" i="15" s="1"/>
  <c r="F31" i="15"/>
  <c r="M7" i="15"/>
  <c r="M17" i="15" s="1"/>
  <c r="C6" i="15"/>
  <c r="C32" i="15" s="1"/>
  <c r="M6" i="1"/>
  <c r="J53" i="15"/>
  <c r="Q53" i="15" s="1"/>
  <c r="L58" i="15"/>
  <c r="Q61" i="15" s="1"/>
  <c r="J57" i="15"/>
  <c r="J55" i="15" s="1"/>
  <c r="J58" i="15" s="1"/>
  <c r="Q51" i="15" s="1"/>
  <c r="I54" i="15"/>
  <c r="L56" i="15"/>
  <c r="AP6" i="1"/>
  <c r="AP16" i="1" s="1"/>
  <c r="F22" i="11" s="1"/>
  <c r="M43" i="9"/>
  <c r="D18" i="9"/>
  <c r="M44" i="9" s="1"/>
  <c r="AC13" i="40"/>
  <c r="S13" i="40"/>
  <c r="AA13" i="40"/>
  <c r="W19" i="40"/>
  <c r="W23" i="40"/>
  <c r="W17" i="40"/>
  <c r="AC17" i="40"/>
  <c r="S32" i="40"/>
  <c r="W32" i="40"/>
  <c r="S19" i="40"/>
  <c r="AB19" i="40"/>
  <c r="Q16" i="1"/>
  <c r="H16" i="1"/>
  <c r="C66" i="40"/>
  <c r="E16" i="59"/>
  <c r="E15" i="59" s="1"/>
  <c r="E14" i="59" s="1"/>
  <c r="E13" i="59" s="1"/>
  <c r="U17" i="59"/>
  <c r="D29" i="59"/>
  <c r="C28" i="59"/>
  <c r="T29" i="59"/>
  <c r="F28" i="59"/>
  <c r="F27" i="59" s="1"/>
  <c r="V29" i="59"/>
  <c r="U29" i="59"/>
  <c r="E28" i="59"/>
  <c r="E27" i="59" s="1"/>
  <c r="C37" i="59"/>
  <c r="D36" i="59"/>
  <c r="AZ30" i="3"/>
  <c r="AZ5" i="3" s="1"/>
  <c r="E3" i="6" s="1"/>
  <c r="AB9" i="21"/>
  <c r="U9" i="21"/>
  <c r="N68" i="59"/>
  <c r="B67" i="59"/>
  <c r="C40" i="59"/>
  <c r="D39" i="59"/>
  <c r="T57" i="59"/>
  <c r="D57" i="59"/>
  <c r="AZ56" i="3"/>
  <c r="AZ35" i="3"/>
  <c r="AZ203" i="3"/>
  <c r="AZ120" i="3"/>
  <c r="AZ144" i="3"/>
  <c r="AZ220" i="3"/>
  <c r="AC26" i="37"/>
  <c r="W26" i="37"/>
  <c r="AA9" i="36"/>
  <c r="S9" i="36"/>
  <c r="AB9" i="35"/>
  <c r="U9" i="35"/>
  <c r="S9" i="21"/>
  <c r="AA9" i="21"/>
  <c r="AA14" i="21"/>
  <c r="S14" i="21"/>
  <c r="D76" i="59"/>
  <c r="C75" i="59"/>
  <c r="D75" i="59" s="1"/>
  <c r="D80" i="59"/>
  <c r="C79" i="59"/>
  <c r="D79" i="59" s="1"/>
  <c r="V25" i="59"/>
  <c r="F24" i="59"/>
  <c r="F23" i="59" s="1"/>
  <c r="F22" i="59" s="1"/>
  <c r="F21" i="59" s="1"/>
  <c r="Q68" i="59"/>
  <c r="F67" i="59"/>
  <c r="AZ59" i="3"/>
  <c r="AZ105" i="3"/>
  <c r="AZ89" i="3"/>
  <c r="AA9" i="34"/>
  <c r="S9" i="34"/>
  <c r="AA9" i="35"/>
  <c r="S9" i="35"/>
  <c r="AC9" i="21"/>
  <c r="W9" i="21"/>
  <c r="S46" i="21"/>
  <c r="AA46" i="21"/>
  <c r="B16" i="59"/>
  <c r="B15" i="59" s="1"/>
  <c r="B14" i="59" s="1"/>
  <c r="B13" i="59" s="1"/>
  <c r="S13" i="59" s="1"/>
  <c r="S17" i="59"/>
  <c r="E15" i="6"/>
  <c r="E61" i="40" s="1"/>
  <c r="D24" i="59"/>
  <c r="C23" i="59"/>
  <c r="AZ40" i="3"/>
  <c r="AZ149" i="3"/>
  <c r="AZ420" i="3"/>
  <c r="AA9" i="33"/>
  <c r="S9" i="33"/>
  <c r="J7" i="33"/>
  <c r="AC7" i="33" s="1"/>
  <c r="V48" i="33" s="1"/>
  <c r="I48" i="33" s="1"/>
  <c r="J60" i="44"/>
  <c r="J61" i="44" s="1"/>
  <c r="Q50" i="44" s="1"/>
  <c r="E83" i="46"/>
  <c r="B81" i="46" s="1"/>
  <c r="D26" i="46"/>
  <c r="C25" i="46" s="1"/>
  <c r="BA5" i="3"/>
  <c r="E12" i="6"/>
  <c r="E58" i="40" s="1"/>
  <c r="J7" i="21"/>
  <c r="AC7" i="21" s="1"/>
  <c r="V48" i="21" s="1"/>
  <c r="I48" i="21" s="1"/>
  <c r="E61" i="46"/>
  <c r="B59" i="46" s="1"/>
  <c r="E50" i="46"/>
  <c r="B48" i="46" s="1"/>
  <c r="I123" i="46"/>
  <c r="J123" i="46" s="1"/>
  <c r="K123" i="46" s="1"/>
  <c r="L123" i="46" s="1"/>
  <c r="M123" i="46" s="1"/>
  <c r="D123" i="46"/>
  <c r="E123" i="46" s="1"/>
  <c r="F123" i="46" s="1"/>
  <c r="G123" i="46" s="1"/>
  <c r="H123" i="46" s="1"/>
  <c r="B123" i="46"/>
  <c r="C123" i="46" s="1"/>
  <c r="G122" i="46"/>
  <c r="H122" i="46" s="1"/>
  <c r="D122" i="46"/>
  <c r="E122" i="46" s="1"/>
  <c r="F122" i="46" s="1"/>
  <c r="B122" i="46"/>
  <c r="C122" i="46" s="1"/>
  <c r="I120" i="46"/>
  <c r="J120" i="46" s="1"/>
  <c r="K120" i="46" s="1"/>
  <c r="L120" i="46" s="1"/>
  <c r="M120" i="46" s="1"/>
  <c r="D120" i="46"/>
  <c r="E120" i="46" s="1"/>
  <c r="F120" i="46" s="1"/>
  <c r="G120" i="46" s="1"/>
  <c r="H120" i="46" s="1"/>
  <c r="B120" i="46"/>
  <c r="C120" i="46" s="1"/>
  <c r="D117" i="46"/>
  <c r="I122" i="46"/>
  <c r="J122" i="46" s="1"/>
  <c r="K122" i="46" s="1"/>
  <c r="L122" i="46" s="1"/>
  <c r="M122" i="46" s="1"/>
  <c r="I121" i="46"/>
  <c r="J121" i="46" s="1"/>
  <c r="K121" i="46" s="1"/>
  <c r="L121" i="46" s="1"/>
  <c r="M121" i="46" s="1"/>
  <c r="D121" i="46"/>
  <c r="E121" i="46" s="1"/>
  <c r="F121" i="46" s="1"/>
  <c r="G121" i="46" s="1"/>
  <c r="H121" i="46" s="1"/>
  <c r="B121" i="46"/>
  <c r="C121" i="46" s="1"/>
  <c r="I119" i="46"/>
  <c r="J119" i="46" s="1"/>
  <c r="K119" i="46" s="1"/>
  <c r="L119" i="46" s="1"/>
  <c r="M119" i="46" s="1"/>
  <c r="D119" i="46"/>
  <c r="E119" i="46" s="1"/>
  <c r="F119" i="46" s="1"/>
  <c r="G119" i="46" s="1"/>
  <c r="H119" i="46" s="1"/>
  <c r="B119" i="46"/>
  <c r="C119" i="46" s="1"/>
  <c r="E17" i="46"/>
  <c r="C17" i="46" s="1"/>
  <c r="C7" i="46"/>
  <c r="F27" i="6"/>
  <c r="F31" i="6" s="1"/>
  <c r="E58" i="39"/>
  <c r="E10" i="6"/>
  <c r="E14" i="6"/>
  <c r="E65" i="39" s="1"/>
  <c r="E13" i="6"/>
  <c r="E59" i="40" s="1"/>
  <c r="E11" i="6"/>
  <c r="E62" i="39" s="1"/>
  <c r="E28" i="6"/>
  <c r="K14" i="1" s="1"/>
  <c r="M86" i="9"/>
  <c r="N86" i="9" s="1"/>
  <c r="M84" i="9"/>
  <c r="N84" i="9" s="1"/>
  <c r="M88" i="9"/>
  <c r="N88" i="9" s="1"/>
  <c r="M87" i="9"/>
  <c r="N87" i="9" s="1"/>
  <c r="M85" i="9"/>
  <c r="N85" i="9" s="1"/>
  <c r="M83" i="9"/>
  <c r="N83" i="9" s="1"/>
  <c r="N89" i="9" s="1"/>
  <c r="O89" i="9" s="1"/>
  <c r="G5" i="3"/>
  <c r="B3" i="3" s="1"/>
  <c r="E66" i="39"/>
  <c r="H7" i="34"/>
  <c r="U7" i="34" s="1"/>
  <c r="F7" i="34"/>
  <c r="AA7" i="34" s="1"/>
  <c r="R49" i="34" s="1"/>
  <c r="J7" i="34"/>
  <c r="W7" i="34" s="1"/>
  <c r="G16" i="1"/>
  <c r="F7" i="21"/>
  <c r="AA7" i="21" s="1"/>
  <c r="R48" i="21" s="1"/>
  <c r="H7" i="21"/>
  <c r="AB7" i="21" s="1"/>
  <c r="T48" i="21" s="1"/>
  <c r="G48" i="21" s="1"/>
  <c r="B12" i="59"/>
  <c r="E12" i="59"/>
  <c r="U13" i="59"/>
  <c r="H7" i="35"/>
  <c r="U7" i="35" s="1"/>
  <c r="B40" i="1"/>
  <c r="L36" i="46" s="1"/>
  <c r="E64" i="40"/>
  <c r="D66" i="40"/>
  <c r="W7" i="33"/>
  <c r="S7" i="34"/>
  <c r="J7" i="37"/>
  <c r="W7" i="21"/>
  <c r="D71" i="39"/>
  <c r="E69" i="39"/>
  <c r="H7" i="33"/>
  <c r="F7" i="33"/>
  <c r="J46" i="36"/>
  <c r="J7" i="35"/>
  <c r="F7" i="35"/>
  <c r="H7" i="37"/>
  <c r="F7" i="37"/>
  <c r="M19" i="44"/>
  <c r="Q62" i="15"/>
  <c r="Q75" i="15"/>
  <c r="M13" i="44"/>
  <c r="J12" i="44" s="1"/>
  <c r="J7" i="44" s="1"/>
  <c r="F11" i="15"/>
  <c r="M11" i="15"/>
  <c r="F13" i="44"/>
  <c r="C12" i="44" s="1"/>
  <c r="C7" i="44" s="1"/>
  <c r="C40" i="44" s="1"/>
  <c r="Q75" i="44"/>
  <c r="Q62" i="44"/>
  <c r="M32" i="46"/>
  <c r="P32" i="46"/>
  <c r="O32" i="46"/>
  <c r="N32" i="46"/>
  <c r="F1" i="44"/>
  <c r="Q54" i="44"/>
  <c r="J20" i="44"/>
  <c r="Q63" i="44"/>
  <c r="Q76" i="44"/>
  <c r="AE12" i="1"/>
  <c r="AE7" i="1"/>
  <c r="AE8" i="1"/>
  <c r="AE9" i="1"/>
  <c r="AE10" i="1"/>
  <c r="AE11" i="1"/>
  <c r="F21" i="43"/>
  <c r="D21" i="12"/>
  <c r="F33" i="12"/>
  <c r="C16" i="15"/>
  <c r="E3" i="65"/>
  <c r="F17" i="11" l="1"/>
  <c r="F1" i="15"/>
  <c r="C48" i="15"/>
  <c r="O6" i="1"/>
  <c r="P6" i="1" s="1"/>
  <c r="J6" i="15"/>
  <c r="J18" i="15" s="1"/>
  <c r="Q74" i="15"/>
  <c r="D33" i="46"/>
  <c r="D1" i="46" s="1"/>
  <c r="C34" i="12"/>
  <c r="D33" i="12" s="1"/>
  <c r="C21" i="12"/>
  <c r="C28" i="46"/>
  <c r="E63" i="39"/>
  <c r="D23" i="59"/>
  <c r="C22" i="59"/>
  <c r="Q66" i="59"/>
  <c r="Q67" i="59"/>
  <c r="N66" i="59"/>
  <c r="N67" i="59"/>
  <c r="D28" i="59"/>
  <c r="C27" i="59"/>
  <c r="D27" i="59" s="1"/>
  <c r="F20" i="59"/>
  <c r="F19" i="59" s="1"/>
  <c r="F18" i="59" s="1"/>
  <c r="F17" i="59" s="1"/>
  <c r="V21" i="59"/>
  <c r="T37" i="59"/>
  <c r="D37" i="59"/>
  <c r="C41" i="59"/>
  <c r="D40" i="59"/>
  <c r="AB7" i="34"/>
  <c r="T49" i="34" s="1"/>
  <c r="G49" i="34" s="1"/>
  <c r="G53" i="34" s="1"/>
  <c r="H53" i="34" s="1"/>
  <c r="Q36" i="46"/>
  <c r="O36" i="46"/>
  <c r="M36" i="46"/>
  <c r="L37" i="46"/>
  <c r="P36" i="46"/>
  <c r="N36" i="46"/>
  <c r="D46" i="9"/>
  <c r="C21" i="4"/>
  <c r="O5" i="54" s="1"/>
  <c r="B45" i="63" s="1"/>
  <c r="E6" i="6"/>
  <c r="D13" i="11" s="1"/>
  <c r="C13" i="11" s="1"/>
  <c r="D44" i="9"/>
  <c r="AC7" i="34"/>
  <c r="V49" i="34" s="1"/>
  <c r="I49" i="34" s="1"/>
  <c r="J10" i="15"/>
  <c r="AG8" i="1"/>
  <c r="AG9" i="1"/>
  <c r="AG11" i="1"/>
  <c r="AG12" i="1"/>
  <c r="AG10" i="1"/>
  <c r="AG7" i="1"/>
  <c r="AG6" i="1"/>
  <c r="D5" i="46"/>
  <c r="C5" i="46"/>
  <c r="L38" i="9"/>
  <c r="B1" i="66" s="1"/>
  <c r="C7" i="66" s="1"/>
  <c r="D45" i="9"/>
  <c r="E27" i="6"/>
  <c r="K19" i="6" s="1"/>
  <c r="E57" i="40"/>
  <c r="E60" i="40"/>
  <c r="E16" i="6"/>
  <c r="E30" i="6"/>
  <c r="E64" i="39"/>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6"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M14" i="1"/>
  <c r="K16" i="1"/>
  <c r="J12" i="39"/>
  <c r="AC12" i="39" s="1"/>
  <c r="S7" i="21"/>
  <c r="H12" i="39"/>
  <c r="W12" i="40"/>
  <c r="AC12" i="40"/>
  <c r="F12" i="39"/>
  <c r="E11" i="59"/>
  <c r="B11" i="59"/>
  <c r="AB7" i="35"/>
  <c r="T38" i="35" s="1"/>
  <c r="G38" i="35" s="1"/>
  <c r="G42" i="35" s="1"/>
  <c r="H42" i="35" s="1"/>
  <c r="AA7" i="37"/>
  <c r="R42" i="37" s="1"/>
  <c r="S7" i="37"/>
  <c r="AA7" i="35"/>
  <c r="R38" i="35" s="1"/>
  <c r="S7" i="35"/>
  <c r="U7" i="37"/>
  <c r="AB7" i="37"/>
  <c r="T42" i="37" s="1"/>
  <c r="G42" i="37" s="1"/>
  <c r="W7" i="35"/>
  <c r="AC7" i="35"/>
  <c r="V38" i="35" s="1"/>
  <c r="I38" i="35" s="1"/>
  <c r="K46" i="36"/>
  <c r="AB7" i="33"/>
  <c r="T48" i="33" s="1"/>
  <c r="G48" i="33" s="1"/>
  <c r="U7" i="33"/>
  <c r="I52" i="21"/>
  <c r="J52" i="21" s="1"/>
  <c r="AC7" i="37"/>
  <c r="V42" i="37" s="1"/>
  <c r="I42" i="37" s="1"/>
  <c r="W7" i="37"/>
  <c r="R49" i="21"/>
  <c r="E48" i="21"/>
  <c r="AA7" i="33"/>
  <c r="R48" i="33" s="1"/>
  <c r="S7" i="33"/>
  <c r="F69" i="39"/>
  <c r="E71" i="39"/>
  <c r="G52" i="21"/>
  <c r="H52" i="21" s="1"/>
  <c r="G53" i="21"/>
  <c r="H53" i="21" s="1"/>
  <c r="R50" i="34"/>
  <c r="E49" i="34"/>
  <c r="I52" i="33"/>
  <c r="J52" i="33" s="1"/>
  <c r="E66" i="40"/>
  <c r="F64" i="40"/>
  <c r="J26" i="44"/>
  <c r="C52" i="15"/>
  <c r="C10" i="15"/>
  <c r="C5" i="15" s="1"/>
  <c r="C38" i="15" s="1"/>
  <c r="AE6" i="1"/>
  <c r="F41" i="15"/>
  <c r="M27" i="15"/>
  <c r="M29" i="44"/>
  <c r="D16" i="43"/>
  <c r="C16" i="43" l="1"/>
  <c r="F68" i="15"/>
  <c r="C47" i="15"/>
  <c r="C59" i="15" s="1"/>
  <c r="J5" i="15"/>
  <c r="J24" i="15" s="1"/>
  <c r="C33" i="46"/>
  <c r="E33" i="46" s="1"/>
  <c r="G54" i="34"/>
  <c r="H54" i="34" s="1"/>
  <c r="D22" i="59"/>
  <c r="C21" i="59"/>
  <c r="D41" i="59"/>
  <c r="T41" i="59"/>
  <c r="F16" i="59"/>
  <c r="F15" i="59" s="1"/>
  <c r="F14" i="59" s="1"/>
  <c r="F13" i="59" s="1"/>
  <c r="V17" i="59"/>
  <c r="I53" i="34"/>
  <c r="J53" i="34" s="1"/>
  <c r="P37" i="46"/>
  <c r="Q37" i="46"/>
  <c r="M37" i="46"/>
  <c r="O37" i="46"/>
  <c r="N37" i="46"/>
  <c r="T16" i="46"/>
  <c r="V16" i="46" s="1"/>
  <c r="T9" i="46"/>
  <c r="V9" i="46" s="1"/>
  <c r="T7" i="46"/>
  <c r="V7" i="46" s="1"/>
  <c r="T2" i="46"/>
  <c r="V2" i="46" s="1"/>
  <c r="T15" i="46"/>
  <c r="V15" i="46" s="1"/>
  <c r="T3" i="46"/>
  <c r="V3" i="46" s="1"/>
  <c r="C6" i="66"/>
  <c r="C8" i="66"/>
  <c r="E31" i="6"/>
  <c r="K21" i="6"/>
  <c r="S8" i="1" s="1"/>
  <c r="T8" i="46"/>
  <c r="V8" i="46" s="1"/>
  <c r="T10" i="46"/>
  <c r="V10" i="46" s="1"/>
  <c r="G43" i="35"/>
  <c r="H43" i="35" s="1"/>
  <c r="T11" i="46"/>
  <c r="V11" i="46" s="1"/>
  <c r="T4" i="46"/>
  <c r="V4" i="46" s="1"/>
  <c r="T12" i="46"/>
  <c r="V12" i="46" s="1"/>
  <c r="T5" i="46"/>
  <c r="V5" i="46" s="1"/>
  <c r="T13" i="46"/>
  <c r="V13" i="46" s="1"/>
  <c r="T6" i="46"/>
  <c r="V6" i="46" s="1"/>
  <c r="T14" i="46"/>
  <c r="V14" i="46" s="1"/>
  <c r="C42" i="46"/>
  <c r="E42" i="46" s="1"/>
  <c r="C40" i="46"/>
  <c r="G40" i="46" s="1"/>
  <c r="I40" i="46" s="1"/>
  <c r="C37" i="46"/>
  <c r="E37" i="46" s="1"/>
  <c r="C41" i="46"/>
  <c r="G41" i="46" s="1"/>
  <c r="I41" i="46" s="1"/>
  <c r="C39" i="46"/>
  <c r="G39" i="46" s="1"/>
  <c r="I39" i="46" s="1"/>
  <c r="C38" i="46"/>
  <c r="K26" i="6"/>
  <c r="M26" i="6" s="1"/>
  <c r="I26" i="6" s="1"/>
  <c r="S26" i="6" s="1"/>
  <c r="K20" i="6"/>
  <c r="M20" i="6" s="1"/>
  <c r="I20" i="6" s="1"/>
  <c r="S20" i="6" s="1"/>
  <c r="K23" i="6"/>
  <c r="K22" i="6"/>
  <c r="K24" i="6"/>
  <c r="K25" i="6"/>
  <c r="S6" i="1"/>
  <c r="M19" i="6"/>
  <c r="H6" i="3"/>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W12" i="39"/>
  <c r="M16" i="1"/>
  <c r="N16" i="1" s="1"/>
  <c r="O14" i="1"/>
  <c r="U12" i="40"/>
  <c r="AB12" i="40"/>
  <c r="U12" i="39"/>
  <c r="AB12" i="39"/>
  <c r="AA12" i="39"/>
  <c r="S12" i="39"/>
  <c r="AA12" i="40"/>
  <c r="S12" i="40"/>
  <c r="B10" i="59"/>
  <c r="E10" i="59"/>
  <c r="E40" i="46"/>
  <c r="F66" i="40"/>
  <c r="G64" i="40"/>
  <c r="C50" i="34"/>
  <c r="B3" i="34" s="1"/>
  <c r="B2" i="34" s="1"/>
  <c r="C49" i="34"/>
  <c r="G69" i="39"/>
  <c r="F71" i="39"/>
  <c r="R49" i="33"/>
  <c r="E48" i="33"/>
  <c r="E53" i="21"/>
  <c r="F53" i="21" s="1"/>
  <c r="E52" i="21"/>
  <c r="F52" i="21" s="1"/>
  <c r="I53" i="21"/>
  <c r="J53" i="21" s="1"/>
  <c r="L46" i="36"/>
  <c r="R39" i="35"/>
  <c r="E38" i="35"/>
  <c r="R43" i="37"/>
  <c r="E42" i="37"/>
  <c r="I47" i="37" s="1"/>
  <c r="J47" i="37" s="1"/>
  <c r="E54" i="34"/>
  <c r="F54" i="34" s="1"/>
  <c r="E53" i="34"/>
  <c r="F53" i="34" s="1"/>
  <c r="I54" i="34"/>
  <c r="J54" i="34" s="1"/>
  <c r="C48" i="21"/>
  <c r="C49" i="21"/>
  <c r="B3" i="21" s="1"/>
  <c r="B2" i="21" s="1"/>
  <c r="I46" i="37"/>
  <c r="J46" i="37" s="1"/>
  <c r="G52" i="33"/>
  <c r="H52" i="33" s="1"/>
  <c r="G53" i="33"/>
  <c r="H53" i="33" s="1"/>
  <c r="I42" i="35"/>
  <c r="J42" i="35" s="1"/>
  <c r="I43" i="35"/>
  <c r="J43" i="35" s="1"/>
  <c r="G46" i="37"/>
  <c r="H46" i="37" s="1"/>
  <c r="G47" i="37"/>
  <c r="H47" i="37" s="1"/>
  <c r="D22" i="12"/>
  <c r="D16" i="12"/>
  <c r="F46" i="44"/>
  <c r="C17" i="15"/>
  <c r="F7" i="67"/>
  <c r="C65" i="15" l="1"/>
  <c r="D19" i="12"/>
  <c r="C19" i="12" s="1"/>
  <c r="C16" i="12"/>
  <c r="C22" i="12"/>
  <c r="C34" i="46"/>
  <c r="E34" i="46" s="1"/>
  <c r="K27" i="6"/>
  <c r="M21" i="6"/>
  <c r="I21" i="6" s="1"/>
  <c r="S21" i="6" s="1"/>
  <c r="F12" i="59"/>
  <c r="F11" i="59" s="1"/>
  <c r="F10" i="59" s="1"/>
  <c r="F9" i="59" s="1"/>
  <c r="V9" i="59" s="1"/>
  <c r="V13" i="59"/>
  <c r="C20" i="59"/>
  <c r="T21" i="59"/>
  <c r="D21" i="59"/>
  <c r="E41" i="46"/>
  <c r="G37" i="46"/>
  <c r="I37" i="46" s="1"/>
  <c r="E39" i="46"/>
  <c r="G42" i="46"/>
  <c r="I42" i="46" s="1"/>
  <c r="E38" i="46"/>
  <c r="G38" i="46"/>
  <c r="I38" i="46" s="1"/>
  <c r="S7" i="1"/>
  <c r="M25" i="6"/>
  <c r="I25" i="6" s="1"/>
  <c r="S25" i="6" s="1"/>
  <c r="S12" i="1"/>
  <c r="M22" i="6"/>
  <c r="I22" i="6" s="1"/>
  <c r="S22" i="6" s="1"/>
  <c r="S9" i="1"/>
  <c r="M24" i="6"/>
  <c r="I24" i="6" s="1"/>
  <c r="S24" i="6" s="1"/>
  <c r="S11" i="1"/>
  <c r="M23" i="6"/>
  <c r="I23" i="6" s="1"/>
  <c r="S23" i="6" s="1"/>
  <c r="S10" i="1"/>
  <c r="M27" i="6"/>
  <c r="I19" i="6"/>
  <c r="E6" i="3"/>
  <c r="F8" i="59"/>
  <c r="E9" i="59"/>
  <c r="U9" i="59" s="1"/>
  <c r="B9" i="59"/>
  <c r="S9" i="59" s="1"/>
  <c r="D22" i="6"/>
  <c r="D8" i="6"/>
  <c r="E62" i="40"/>
  <c r="D15" i="6"/>
  <c r="D11" i="6"/>
  <c r="K38" i="9"/>
  <c r="B2" i="66" s="1"/>
  <c r="E45" i="9"/>
  <c r="D14" i="6"/>
  <c r="D21" i="6"/>
  <c r="D13" i="6"/>
  <c r="E44" i="9"/>
  <c r="E67" i="39"/>
  <c r="D25" i="6"/>
  <c r="D29" i="6"/>
  <c r="F46" i="9"/>
  <c r="D5" i="6"/>
  <c r="D26" i="6"/>
  <c r="F44" i="9"/>
  <c r="D20" i="6"/>
  <c r="D10" i="6"/>
  <c r="D12" i="6"/>
  <c r="H21" i="6"/>
  <c r="H20" i="6"/>
  <c r="H26" i="6"/>
  <c r="D23" i="6"/>
  <c r="E46" i="9"/>
  <c r="F45" i="9"/>
  <c r="D28" i="6"/>
  <c r="C22" i="4"/>
  <c r="D24" i="6"/>
  <c r="D19" i="6"/>
  <c r="D9" i="6"/>
  <c r="D6" i="6"/>
  <c r="P14" i="1"/>
  <c r="P16" i="1" s="1"/>
  <c r="O16" i="1"/>
  <c r="L16" i="1"/>
  <c r="C43" i="37"/>
  <c r="B3" i="37" s="1"/>
  <c r="B2" i="37" s="1"/>
  <c r="C42" i="37"/>
  <c r="C38" i="35"/>
  <c r="C39" i="35"/>
  <c r="B3" i="35" s="1"/>
  <c r="B2" i="35" s="1"/>
  <c r="M46" i="36"/>
  <c r="E52" i="33"/>
  <c r="F52" i="33" s="1"/>
  <c r="E53" i="33"/>
  <c r="F53" i="33" s="1"/>
  <c r="I53" i="33"/>
  <c r="J53" i="33" s="1"/>
  <c r="E47" i="37"/>
  <c r="F47" i="37" s="1"/>
  <c r="E46" i="37"/>
  <c r="F46" i="37" s="1"/>
  <c r="E43" i="35"/>
  <c r="F43" i="35" s="1"/>
  <c r="E42" i="35"/>
  <c r="F42" i="35" s="1"/>
  <c r="C49" i="33"/>
  <c r="B3" i="33" s="1"/>
  <c r="B2" i="33" s="1"/>
  <c r="C48" i="33"/>
  <c r="H69" i="39"/>
  <c r="G71" i="39"/>
  <c r="H64" i="40"/>
  <c r="G66" i="40"/>
  <c r="E4" i="67"/>
  <c r="D77" i="9"/>
  <c r="N75" i="9" s="1"/>
  <c r="B5" i="66"/>
  <c r="E14" i="66"/>
  <c r="C13" i="43"/>
  <c r="E7" i="67"/>
  <c r="B7" i="67"/>
  <c r="C19" i="44"/>
  <c r="C20" i="12" l="1"/>
  <c r="B29" i="1"/>
  <c r="C11" i="11" s="1"/>
  <c r="C10" i="11" s="1"/>
  <c r="H23" i="6"/>
  <c r="H24" i="6"/>
  <c r="D30" i="6"/>
  <c r="H22" i="6"/>
  <c r="R22" i="6" s="1"/>
  <c r="R9" i="1" s="1"/>
  <c r="S16" i="1"/>
  <c r="T10" i="1" s="1"/>
  <c r="H25" i="6"/>
  <c r="C19" i="59"/>
  <c r="D20" i="59"/>
  <c r="C31" i="46"/>
  <c r="C30" i="46"/>
  <c r="B2" i="46" s="1"/>
  <c r="F14" i="66"/>
  <c r="T7" i="1"/>
  <c r="I27" i="6"/>
  <c r="S19" i="6"/>
  <c r="S27" i="6" s="1"/>
  <c r="H19" i="6"/>
  <c r="R19" i="6" s="1"/>
  <c r="R6" i="1" s="1"/>
  <c r="R24" i="6"/>
  <c r="R11" i="1" s="1"/>
  <c r="R26" i="6"/>
  <c r="F7" i="59"/>
  <c r="B8" i="59"/>
  <c r="E8" i="59"/>
  <c r="R25" i="6"/>
  <c r="R12" i="1" s="1"/>
  <c r="R21" i="6"/>
  <c r="R8" i="1" s="1"/>
  <c r="D27" i="6"/>
  <c r="D31" i="6" s="1"/>
  <c r="A20" i="64"/>
  <c r="A6" i="64"/>
  <c r="A20" i="51"/>
  <c r="B15" i="63" s="1"/>
  <c r="N5" i="54"/>
  <c r="B43" i="63" s="1"/>
  <c r="A6" i="51"/>
  <c r="B7" i="63" s="1"/>
  <c r="D6" i="66"/>
  <c r="D8" i="66"/>
  <c r="D7" i="66"/>
  <c r="D16" i="6"/>
  <c r="R23" i="6"/>
  <c r="R10" i="1" s="1"/>
  <c r="R20" i="6"/>
  <c r="R7" i="1" s="1"/>
  <c r="C17" i="43"/>
  <c r="C14" i="43"/>
  <c r="I64" i="40"/>
  <c r="H66" i="40"/>
  <c r="H71" i="39"/>
  <c r="I69" i="39"/>
  <c r="N46" i="36"/>
  <c r="E3" i="67"/>
  <c r="B2" i="67"/>
  <c r="D5" i="66"/>
  <c r="C5" i="66"/>
  <c r="F37" i="44"/>
  <c r="M23" i="44"/>
  <c r="C16" i="44"/>
  <c r="D19" i="9"/>
  <c r="F35" i="15"/>
  <c r="M21" i="15"/>
  <c r="L44" i="9" l="1"/>
  <c r="D4" i="46"/>
  <c r="T9" i="1"/>
  <c r="T8" i="1"/>
  <c r="T11" i="1"/>
  <c r="T6" i="1"/>
  <c r="T13" i="1"/>
  <c r="T12" i="1"/>
  <c r="C18" i="59"/>
  <c r="D19" i="59"/>
  <c r="B3" i="46"/>
  <c r="B4" i="46"/>
  <c r="C36" i="44"/>
  <c r="J20" i="15"/>
  <c r="C34" i="15"/>
  <c r="R27" i="6"/>
  <c r="H27" i="6"/>
  <c r="C17" i="44"/>
  <c r="C20" i="44"/>
  <c r="E7" i="59"/>
  <c r="B7" i="59"/>
  <c r="F6" i="59"/>
  <c r="I6" i="6"/>
  <c r="I5" i="6"/>
  <c r="J22" i="44"/>
  <c r="F62" i="15"/>
  <c r="C61" i="15" s="1"/>
  <c r="R16" i="1"/>
  <c r="C18" i="43"/>
  <c r="O46" i="36"/>
  <c r="J7" i="36" s="1"/>
  <c r="F7" i="36"/>
  <c r="J64" i="40"/>
  <c r="I66" i="40"/>
  <c r="J69" i="39"/>
  <c r="I71" i="39"/>
  <c r="B3" i="67"/>
  <c r="B4" i="67"/>
  <c r="C14" i="15"/>
  <c r="C13" i="12"/>
  <c r="D21" i="9"/>
  <c r="D20" i="9"/>
  <c r="C14" i="12" l="1"/>
  <c r="C17" i="12"/>
  <c r="C15" i="15"/>
  <c r="C18" i="15"/>
  <c r="T16" i="1"/>
  <c r="H7" i="36"/>
  <c r="U7" i="36" s="1"/>
  <c r="C17" i="59"/>
  <c r="D18" i="59"/>
  <c r="C21" i="44"/>
  <c r="C22" i="44" s="1"/>
  <c r="C28" i="44" s="1"/>
  <c r="F5" i="59"/>
  <c r="V5" i="59" s="1"/>
  <c r="B6" i="59"/>
  <c r="E6" i="59"/>
  <c r="C19" i="43"/>
  <c r="K69" i="39"/>
  <c r="J71" i="39"/>
  <c r="AC7" i="36"/>
  <c r="V36" i="36" s="1"/>
  <c r="I36" i="36" s="1"/>
  <c r="W7" i="36"/>
  <c r="J66" i="40"/>
  <c r="K64" i="40"/>
  <c r="S7" i="36"/>
  <c r="AA7" i="36"/>
  <c r="R36" i="36" s="1"/>
  <c r="C18" i="12" l="1"/>
  <c r="C23" i="12" s="1"/>
  <c r="C19" i="15"/>
  <c r="C20" i="15" s="1"/>
  <c r="C26" i="15" s="1"/>
  <c r="AB7" i="36"/>
  <c r="T36" i="36" s="1"/>
  <c r="G36" i="36" s="1"/>
  <c r="C16" i="59"/>
  <c r="T17" i="59"/>
  <c r="D17" i="59"/>
  <c r="E5" i="59"/>
  <c r="U5" i="59" s="1"/>
  <c r="B5" i="59"/>
  <c r="C21" i="43"/>
  <c r="R37" i="36"/>
  <c r="E36" i="36"/>
  <c r="I41" i="36" s="1"/>
  <c r="J41" i="36" s="1"/>
  <c r="K66" i="40"/>
  <c r="L64" i="40"/>
  <c r="G41" i="36"/>
  <c r="H41" i="36" s="1"/>
  <c r="G40" i="36"/>
  <c r="H40" i="36" s="1"/>
  <c r="I40" i="36"/>
  <c r="J40" i="36" s="1"/>
  <c r="L69" i="39"/>
  <c r="K71" i="39"/>
  <c r="D16" i="59" l="1"/>
  <c r="C15" i="59"/>
  <c r="S5" i="59"/>
  <c r="L71" i="39"/>
  <c r="M69" i="39"/>
  <c r="M64" i="40"/>
  <c r="L66" i="40"/>
  <c r="E40" i="36"/>
  <c r="F40" i="36" s="1"/>
  <c r="E41" i="36"/>
  <c r="F41" i="36" s="1"/>
  <c r="C37" i="36"/>
  <c r="B3" i="36" s="1"/>
  <c r="B2" i="36" s="1"/>
  <c r="C36" i="36"/>
  <c r="D15" i="59" l="1"/>
  <c r="C14" i="59"/>
  <c r="N64" i="40"/>
  <c r="M66" i="40"/>
  <c r="N69" i="39"/>
  <c r="N71" i="39" s="1"/>
  <c r="M71" i="39"/>
  <c r="D14" i="59" l="1"/>
  <c r="C13" i="59"/>
  <c r="J9" i="40"/>
  <c r="H9" i="40"/>
  <c r="F9" i="40"/>
  <c r="J9" i="39"/>
  <c r="H9" i="39"/>
  <c r="F9" i="39"/>
  <c r="C12" i="59" l="1"/>
  <c r="T13" i="59"/>
  <c r="D13" i="59"/>
  <c r="S9" i="39"/>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C11" i="59" l="1"/>
  <c r="D12" i="59"/>
  <c r="R45" i="40"/>
  <c r="E44" i="40"/>
  <c r="G53" i="39"/>
  <c r="H53" i="39" s="1"/>
  <c r="G54" i="39"/>
  <c r="H54" i="39" s="1"/>
  <c r="G48" i="40"/>
  <c r="H48" i="40" s="1"/>
  <c r="G49" i="40"/>
  <c r="H49" i="40" s="1"/>
  <c r="I53" i="39"/>
  <c r="J53" i="39" s="1"/>
  <c r="R50" i="39"/>
  <c r="E49" i="39"/>
  <c r="I54" i="39" s="1"/>
  <c r="J54" i="39" s="1"/>
  <c r="C10" i="59" l="1"/>
  <c r="D11" i="59"/>
  <c r="E54" i="39"/>
  <c r="F54" i="39" s="1"/>
  <c r="E53" i="39"/>
  <c r="F53" i="39" s="1"/>
  <c r="I49" i="40"/>
  <c r="J49" i="40" s="1"/>
  <c r="E49" i="40"/>
  <c r="F49" i="40" s="1"/>
  <c r="E48" i="40"/>
  <c r="F48" i="40" s="1"/>
  <c r="C49" i="39"/>
  <c r="C50" i="39"/>
  <c r="C44" i="40"/>
  <c r="E8" i="11" s="1"/>
  <c r="C8" i="11" s="1"/>
  <c r="C7" i="11" s="1"/>
  <c r="C45" i="40"/>
  <c r="C18" i="11" l="1"/>
  <c r="C17" i="11"/>
  <c r="C9" i="59"/>
  <c r="D10" i="59"/>
  <c r="B60" i="40"/>
  <c r="F60" i="40" s="1"/>
  <c r="B57" i="40"/>
  <c r="F57" i="40" s="1"/>
  <c r="B55" i="40"/>
  <c r="F55" i="40" s="1"/>
  <c r="B56" i="40"/>
  <c r="F56" i="40" s="1"/>
  <c r="B58" i="40"/>
  <c r="F58" i="40" s="1"/>
  <c r="B53" i="40"/>
  <c r="F53" i="40" s="1"/>
  <c r="B59" i="40"/>
  <c r="F59" i="40" s="1"/>
  <c r="B54" i="40"/>
  <c r="F54" i="40" s="1"/>
  <c r="B61" i="40"/>
  <c r="F61" i="40" s="1"/>
  <c r="F62" i="40"/>
  <c r="B2" i="40" s="1"/>
  <c r="B61" i="39"/>
  <c r="F61" i="39" s="1"/>
  <c r="B59" i="39"/>
  <c r="F59" i="39" s="1"/>
  <c r="B62" i="39"/>
  <c r="F62" i="39" s="1"/>
  <c r="B65" i="39"/>
  <c r="F65" i="39" s="1"/>
  <c r="B66" i="39"/>
  <c r="F66" i="39" s="1"/>
  <c r="B58" i="39"/>
  <c r="F58" i="39" s="1"/>
  <c r="B64" i="39"/>
  <c r="F64" i="39" s="1"/>
  <c r="B63" i="39"/>
  <c r="F63" i="39" s="1"/>
  <c r="B60" i="39"/>
  <c r="F60" i="39" s="1"/>
  <c r="F67" i="39"/>
  <c r="B2" i="39" s="1"/>
  <c r="C19" i="11" l="1"/>
  <c r="C20" i="11" s="1"/>
  <c r="C21" i="11" s="1"/>
  <c r="C22" i="11" s="1"/>
  <c r="C23" i="11" s="1"/>
  <c r="B2" i="11" s="1"/>
  <c r="B3" i="11" s="1"/>
  <c r="C8" i="59"/>
  <c r="T9" i="59"/>
  <c r="D9" i="59"/>
  <c r="B5" i="39"/>
  <c r="B4" i="39"/>
  <c r="B3" i="39"/>
  <c r="B5" i="40"/>
  <c r="B4" i="40"/>
  <c r="B3" i="40"/>
  <c r="B4" i="11" l="1"/>
  <c r="B5" i="11"/>
  <c r="C7" i="59"/>
  <c r="D8" i="59"/>
  <c r="F20" i="43"/>
  <c r="D20" i="43" s="1"/>
  <c r="F26" i="12"/>
  <c r="F26" i="44"/>
  <c r="F24" i="15"/>
  <c r="C6" i="59" l="1"/>
  <c r="D7" i="59"/>
  <c r="C20" i="43"/>
  <c r="C23" i="43" s="1"/>
  <c r="C24" i="15"/>
  <c r="C23" i="15"/>
  <c r="C27" i="12"/>
  <c r="D26" i="12" s="1"/>
  <c r="C32" i="12" s="1"/>
  <c r="D30" i="12" s="1"/>
  <c r="C26" i="44"/>
  <c r="C25" i="44"/>
  <c r="D6" i="59" l="1"/>
  <c r="C5" i="59"/>
  <c r="C31" i="44"/>
  <c r="C38" i="44" s="1"/>
  <c r="C29" i="15"/>
  <c r="D5" i="59" l="1"/>
  <c r="T5" i="59"/>
  <c r="M24" i="46"/>
  <c r="Q51" i="44"/>
  <c r="C35" i="44"/>
  <c r="C33" i="44" s="1"/>
  <c r="C36" i="15"/>
  <c r="J19" i="15"/>
  <c r="J17" i="15" s="1"/>
  <c r="C13" i="15"/>
  <c r="C37" i="15" s="1"/>
  <c r="C33" i="15"/>
  <c r="C31" i="15" s="1"/>
  <c r="C56" i="15"/>
  <c r="C63" i="15" s="1"/>
  <c r="J59" i="15"/>
  <c r="J60" i="15" s="1"/>
  <c r="Q49" i="15" s="1"/>
  <c r="J21" i="44"/>
  <c r="J19" i="44" s="1"/>
  <c r="J14" i="15"/>
  <c r="Q50" i="15"/>
  <c r="J16" i="44"/>
  <c r="J24" i="44" s="1"/>
  <c r="C15" i="44"/>
  <c r="Q71" i="15" l="1"/>
  <c r="Q72" i="44"/>
  <c r="C39" i="44"/>
  <c r="C32" i="44" s="1"/>
  <c r="C42" i="44" s="1"/>
  <c r="C55" i="15"/>
  <c r="C64" i="15" s="1"/>
  <c r="C60" i="15"/>
  <c r="C58" i="15" s="1"/>
  <c r="J13" i="15"/>
  <c r="J23" i="15" s="1"/>
  <c r="J22" i="15"/>
  <c r="J35" i="15"/>
  <c r="C30" i="15"/>
  <c r="C39" i="15" s="1"/>
  <c r="Q70" i="15" s="1"/>
  <c r="C43" i="44"/>
  <c r="J15" i="44"/>
  <c r="J25" i="44" s="1"/>
  <c r="J18" i="44" s="1"/>
  <c r="J27" i="44" s="1"/>
  <c r="J28" i="44" s="1"/>
  <c r="J31" i="44" s="1"/>
  <c r="Q69" i="15" l="1"/>
  <c r="Q58" i="44"/>
  <c r="Q49" i="44"/>
  <c r="Q55" i="44" s="1"/>
  <c r="Q67" i="44"/>
  <c r="C57" i="15"/>
  <c r="C66" i="15" s="1"/>
  <c r="C67" i="15" s="1"/>
  <c r="C70" i="15" s="1"/>
  <c r="J16" i="15"/>
  <c r="J25" i="15" s="1"/>
  <c r="J26" i="15" s="1"/>
  <c r="J29" i="15" s="1"/>
  <c r="C40" i="15"/>
  <c r="J39" i="15"/>
  <c r="J40" i="15" s="1"/>
  <c r="C44" i="44"/>
  <c r="C45" i="44" s="1"/>
  <c r="B2" i="44" s="1"/>
  <c r="Q71" i="44"/>
  <c r="Q70" i="44" s="1"/>
  <c r="L51" i="15"/>
  <c r="Q57" i="15" l="1"/>
  <c r="L57" i="15"/>
  <c r="L60" i="15" s="1"/>
  <c r="Q68" i="15"/>
  <c r="C46" i="15"/>
  <c r="Q66" i="15"/>
  <c r="J42" i="15"/>
  <c r="J43" i="15" s="1"/>
  <c r="C43" i="15"/>
  <c r="Q48" i="15"/>
  <c r="Q54" i="15" s="1"/>
  <c r="L52" i="44"/>
  <c r="L58" i="44" s="1"/>
  <c r="L61" i="44" s="1"/>
  <c r="L47" i="44" s="1"/>
  <c r="B3" i="44"/>
  <c r="B5" i="44"/>
  <c r="B4" i="44"/>
  <c r="Q67" i="15" l="1"/>
  <c r="Q76" i="15" s="1"/>
  <c r="L46" i="15"/>
  <c r="B2" i="15" s="1"/>
  <c r="B3" i="15" s="1"/>
  <c r="C8" i="43" s="1"/>
  <c r="C10" i="43" s="1"/>
  <c r="C6" i="43" s="1"/>
  <c r="Q58" i="15"/>
  <c r="Q63" i="15" s="1"/>
  <c r="Q69" i="44"/>
  <c r="Q59" i="44"/>
  <c r="Q64" i="44" s="1"/>
  <c r="Q68" i="44"/>
  <c r="Q77" i="44" s="1"/>
  <c r="C25" i="43" l="1"/>
  <c r="C24" i="43"/>
  <c r="C8" i="12"/>
  <c r="C10" i="12" s="1"/>
  <c r="C6" i="12" s="1"/>
  <c r="C24" i="12" s="1"/>
  <c r="C27" i="43" l="1"/>
  <c r="B2" i="43" s="1"/>
  <c r="C29" i="12"/>
  <c r="C35" i="12"/>
  <c r="C33" i="12" s="1"/>
  <c r="C28" i="12"/>
  <c r="C26" i="12" s="1"/>
  <c r="B4" i="43"/>
  <c r="B5" i="43"/>
  <c r="B3" i="43"/>
  <c r="C31" i="12" l="1"/>
  <c r="C30" i="12" s="1"/>
  <c r="C36" i="12" s="1"/>
  <c r="B2" i="12" s="1"/>
  <c r="C19" i="9"/>
  <c r="B4" i="12"/>
  <c r="D22" i="9" l="1"/>
  <c r="L43" i="9"/>
  <c r="B5" i="12"/>
  <c r="C21" i="9"/>
  <c r="B3" i="12"/>
  <c r="G21" i="9" l="1"/>
  <c r="C20" i="9"/>
  <c r="G20" i="9" l="1"/>
  <c r="G19" i="9" s="1"/>
  <c r="N43" i="9" l="1"/>
  <c r="C32" i="9"/>
  <c r="G22" i="9"/>
  <c r="O38" i="9" l="1"/>
  <c r="C35" i="9"/>
  <c r="F42" i="9" s="1"/>
  <c r="C34" i="9"/>
  <c r="C33" i="9"/>
  <c r="C42" i="9"/>
  <c r="O43" i="9"/>
  <c r="N38" i="9" l="1"/>
  <c r="K28" i="9" s="1"/>
  <c r="D42" i="9"/>
  <c r="Q5" i="54" s="1"/>
  <c r="B47" i="63" s="1"/>
  <c r="M38" i="9"/>
  <c r="K27" i="9" s="1"/>
  <c r="E42" i="9"/>
  <c r="P5" i="54" s="1"/>
  <c r="B46" i="63" s="1"/>
  <c r="R5" i="54"/>
  <c r="B48" i="63" s="1"/>
  <c r="D63" i="9"/>
  <c r="N68" i="9"/>
  <c r="K25" i="9"/>
  <c r="K26" i="9"/>
  <c r="C111" i="9" l="1"/>
  <c r="C104" i="9" s="1"/>
  <c r="C82" i="9"/>
  <c r="C81" i="9" s="1"/>
  <c r="C85" i="9" s="1"/>
  <c r="C86" i="9" s="1"/>
  <c r="D72" i="9" s="1"/>
  <c r="D71" i="9"/>
  <c r="D66" i="9" s="1"/>
  <c r="N72" i="9" s="1"/>
  <c r="D70" i="9"/>
  <c r="C103" i="9"/>
  <c r="C96" i="9"/>
  <c r="C91" i="9" s="1"/>
  <c r="D73" i="9"/>
  <c r="N73" i="9" s="1"/>
  <c r="C90" i="9"/>
  <c r="C113" i="9" l="1"/>
  <c r="C114" i="9" s="1"/>
  <c r="E114" i="9" s="1"/>
  <c r="E115" i="9" s="1"/>
  <c r="C97" i="9"/>
  <c r="C98" i="9" s="1"/>
  <c r="E98" i="9" s="1"/>
  <c r="E99" i="9" s="1"/>
  <c r="C99" i="9" l="1"/>
  <c r="C115" i="9"/>
  <c r="D76" i="9" s="1"/>
  <c r="D74" i="9" s="1"/>
  <c r="N74" i="9" s="1"/>
  <c r="O77" i="9" s="1"/>
  <c r="O78" i="9" l="1"/>
  <c r="O79" i="9"/>
  <c r="Q77" i="9"/>
  <c r="O80" i="9" l="1"/>
  <c r="O81"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B24" authorId="0" shapeId="0" xr:uid="{00000000-0006-0000-1E00-000001000000}">
      <text>
        <r>
          <rPr>
            <sz val="11"/>
            <color indexed="81"/>
            <rFont val="宋体"/>
            <family val="3"/>
            <charset val="134"/>
          </rPr>
          <t>开发期≤1年，单利计息；＞1年，复利计息</t>
        </r>
        <r>
          <rPr>
            <sz val="9"/>
            <color indexed="81"/>
            <rFont val="宋体"/>
            <family val="3"/>
            <charset val="134"/>
          </rPr>
          <t xml:space="preserve">
</t>
        </r>
      </text>
    </comment>
    <comment ref="I53" authorId="0" shapeId="0" xr:uid="{00000000-0006-0000-1E00-000002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xr:uid="{00000000-0006-0000-1E00-000003000000}">
      <text>
        <r>
          <rPr>
            <sz val="11"/>
            <color indexed="81"/>
            <rFont val="宋体"/>
            <family val="3"/>
            <charset val="134"/>
          </rPr>
          <t xml:space="preserve">需注意，采用基准地价系数修正法中土地结果计算时，土地报酬率应采用该方法中报酬率（还原率）。
</t>
        </r>
      </text>
    </comment>
    <comment ref="L56" authorId="0" shapeId="0" xr:uid="{00000000-0006-0000-1E00-00000400000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1400-000001000000}">
      <text>
        <r>
          <rPr>
            <b/>
            <sz val="9"/>
            <color indexed="81"/>
            <rFont val="宋体"/>
            <family val="3"/>
            <charset val="134"/>
          </rPr>
          <t>权重验证</t>
        </r>
        <r>
          <rPr>
            <sz val="9"/>
            <color indexed="81"/>
            <rFont val="宋体"/>
            <family val="3"/>
            <charset val="134"/>
          </rPr>
          <t xml:space="preserve">
</t>
        </r>
      </text>
    </comment>
    <comment ref="C66" authorId="1" shapeId="0" xr:uid="{00000000-0006-0000-1400-000002000000}">
      <text>
        <r>
          <rPr>
            <b/>
            <sz val="12"/>
            <color indexed="81"/>
            <rFont val="宋体"/>
            <family val="3"/>
            <charset val="134"/>
          </rPr>
          <t>价值时点所在季度</t>
        </r>
        <r>
          <rPr>
            <sz val="12"/>
            <color indexed="81"/>
            <rFont val="宋体"/>
            <family val="3"/>
            <charset val="134"/>
          </rPr>
          <t xml:space="preserve">
</t>
        </r>
      </text>
    </comment>
    <comment ref="B67" authorId="0" shapeId="0" xr:uid="{00000000-0006-0000-1400-000003000000}">
      <text>
        <r>
          <rPr>
            <sz val="12"/>
            <color indexed="81"/>
            <rFont val="宋体"/>
            <family val="3"/>
            <charset val="134"/>
          </rPr>
          <t xml:space="preserve">北京市公示数据计算的平均涨幅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2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2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3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3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3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4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24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24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5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25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25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6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6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6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600-000004000000}">
      <text>
        <r>
          <rPr>
            <b/>
            <sz val="12"/>
            <color indexed="81"/>
            <rFont val="宋体"/>
            <family val="3"/>
            <charset val="134"/>
          </rPr>
          <t>所属项目品质或
物业管理</t>
        </r>
      </text>
    </comment>
    <comment ref="B90" authorId="0" shapeId="0" xr:uid="{00000000-0006-0000-26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7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7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7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700-000004000000}">
      <text>
        <r>
          <rPr>
            <b/>
            <sz val="12"/>
            <color indexed="81"/>
            <rFont val="宋体"/>
            <family val="3"/>
            <charset val="134"/>
          </rPr>
          <t>所属项目品质或
物业管理</t>
        </r>
      </text>
    </comment>
    <comment ref="B86" authorId="0" shapeId="0" xr:uid="{00000000-0006-0000-2700-000005000000}">
      <text>
        <r>
          <rPr>
            <b/>
            <sz val="12"/>
            <color indexed="81"/>
            <rFont val="宋体"/>
            <family val="3"/>
            <charset val="134"/>
          </rPr>
          <t>所属项目品质</t>
        </r>
      </text>
    </comment>
    <comment ref="B89" authorId="0" shapeId="0" xr:uid="{00000000-0006-0000-27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8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F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F00-000002000000}">
      <text>
        <r>
          <rPr>
            <sz val="11"/>
            <color indexed="81"/>
            <rFont val="宋体"/>
            <family val="3"/>
            <charset val="134"/>
          </rPr>
          <t xml:space="preserve">需注意，采用基准地价系数修正法中土地结果计算时，土地报酬率应采用该方法中报酬率（还原率）。
</t>
        </r>
      </text>
    </comment>
    <comment ref="L55" authorId="0" shapeId="0" xr:uid="{00000000-0006-0000-1F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F00-000004000000}">
      <text>
        <r>
          <rPr>
            <sz val="11"/>
            <color indexed="81"/>
            <rFont val="宋体"/>
            <family val="3"/>
            <charset val="134"/>
          </rPr>
          <t>未建项目选择“是”</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楷体_GB2312"/>
            <family val="3"/>
            <charset val="134"/>
          </rPr>
          <t xml:space="preserve">没有时，请选择“——”
</t>
        </r>
      </text>
    </comment>
    <comment ref="H4" authorId="0" shapeId="0" xr:uid="{00000000-0006-0000-0A00-000002000000}">
      <text>
        <r>
          <rPr>
            <sz val="12"/>
            <color indexed="81"/>
            <rFont val="楷体_GB2312"/>
            <family val="3"/>
            <charset val="134"/>
          </rPr>
          <t xml:space="preserve">没有时，请选择“——”
</t>
        </r>
      </text>
    </comment>
    <comment ref="B10" authorId="1" shapeId="0" xr:uid="{00000000-0006-0000-0A00-00000300000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D20" authorId="0" shapeId="0" xr:uid="{00000000-0006-0000-0A00-000005000000}">
      <text>
        <r>
          <rPr>
            <sz val="11"/>
            <color indexed="81"/>
            <rFont val="宋体"/>
            <family val="3"/>
            <charset val="134"/>
          </rPr>
          <t>如：住宅67.6年、商业37.6年</t>
        </r>
        <r>
          <rPr>
            <sz val="9"/>
            <color indexed="81"/>
            <rFont val="宋体"/>
            <family val="3"/>
            <charset val="134"/>
          </rPr>
          <t xml:space="preserve">
</t>
        </r>
      </text>
    </comment>
    <comment ref="E22" authorId="0" shapeId="0" xr:uid="{00000000-0006-0000-0A00-00000600000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xr:uid="{00000000-0006-0000-0A00-000007000000}">
      <text>
        <r>
          <rPr>
            <sz val="11"/>
            <color indexed="81"/>
            <rFont val="楷体_GB2312"/>
            <family val="3"/>
            <charset val="134"/>
          </rPr>
          <t>其他特殊项请在右侧录入</t>
        </r>
      </text>
    </comment>
    <comment ref="C34" authorId="1" shapeId="0" xr:uid="{00000000-0006-0000-0A00-000008000000}">
      <text>
        <r>
          <rPr>
            <sz val="11"/>
            <color indexed="81"/>
            <rFont val="宋体"/>
            <family val="3"/>
            <charset val="134"/>
          </rPr>
          <t>廉租房、公租房、限价房、自住房</t>
        </r>
        <r>
          <rPr>
            <sz val="9"/>
            <color indexed="81"/>
            <rFont val="宋体"/>
            <family val="3"/>
            <charset val="134"/>
          </rPr>
          <t xml:space="preserve">
</t>
        </r>
      </text>
    </comment>
    <comment ref="D35" authorId="0" shapeId="0" xr:uid="{00000000-0006-0000-0A00-00000900000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xr:uid="{00000000-0006-0000-0A00-00000A00000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xr:uid="{00000000-0006-0000-0A00-00000B00000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xr:uid="{00000000-0006-0000-0A00-00000C00000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xr:uid="{00000000-0006-0000-0A00-00000D00000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C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C00-00000200000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Q5" authorId="0" shapeId="0" xr:uid="{00000000-0006-0000-0D00-00000100000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xr:uid="{00000000-0006-0000-0D00-000002000000}">
      <text>
        <r>
          <rPr>
            <sz val="12"/>
            <color indexed="81"/>
            <rFont val="宋体"/>
            <family val="3"/>
            <charset val="134"/>
          </rPr>
          <t>无值时不得空项，需录入“0”</t>
        </r>
        <r>
          <rPr>
            <sz val="9"/>
            <color indexed="81"/>
            <rFont val="宋体"/>
            <family val="3"/>
            <charset val="134"/>
          </rPr>
          <t xml:space="preserve">
</t>
        </r>
      </text>
    </comment>
    <comment ref="U5" authorId="0" shapeId="0" xr:uid="{00000000-0006-0000-0D00-000003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D00-000004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D00-000005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xr:uid="{00000000-0006-0000-0D00-000006000000}">
      <text>
        <r>
          <rPr>
            <sz val="10"/>
            <color indexed="81"/>
            <rFont val="宋体"/>
            <family val="3"/>
            <charset val="134"/>
          </rPr>
          <t>取值范围：
1.5%-2.5%</t>
        </r>
      </text>
    </comment>
    <comment ref="AL5" authorId="0" shapeId="0" xr:uid="{00000000-0006-0000-0D00-000007000000}">
      <text>
        <r>
          <rPr>
            <sz val="10"/>
            <color indexed="81"/>
            <rFont val="宋体"/>
            <family val="3"/>
            <charset val="134"/>
          </rPr>
          <t>取值范围：
0.15%-0.3%</t>
        </r>
      </text>
    </comment>
    <comment ref="AM5" authorId="0" shapeId="0" xr:uid="{00000000-0006-0000-0D00-000008000000}">
      <text>
        <r>
          <rPr>
            <sz val="10"/>
            <color indexed="81"/>
            <rFont val="宋体"/>
            <family val="3"/>
            <charset val="134"/>
          </rPr>
          <t>取值范围：1%-3%</t>
        </r>
      </text>
    </comment>
    <comment ref="B44" authorId="2" shapeId="0" xr:uid="{00000000-0006-0000-0D00-000009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E00-000001000000}">
      <text>
        <r>
          <rPr>
            <sz val="12"/>
            <color indexed="81"/>
            <rFont val="宋体"/>
            <family val="3"/>
            <charset val="134"/>
          </rPr>
          <t xml:space="preserve">指区域居住用地比例、居住小区规模和社区发展完善程度
</t>
        </r>
      </text>
    </comment>
    <comment ref="F3" authorId="0" shapeId="0" xr:uid="{00000000-0006-0000-0E00-000002000000}">
      <text>
        <r>
          <rPr>
            <sz val="12"/>
            <color indexed="81"/>
            <rFont val="宋体"/>
            <family val="3"/>
            <charset val="134"/>
          </rPr>
          <t xml:space="preserve">也指工业区成熟度，工业区性质、相关产业的配套及集聚状况
</t>
        </r>
      </text>
    </comment>
    <comment ref="B4" authorId="0" shapeId="0" xr:uid="{00000000-0006-0000-0E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E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E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E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E00-000007000000}">
      <text>
        <r>
          <rPr>
            <sz val="12"/>
            <color indexed="81"/>
            <rFont val="宋体"/>
            <family val="3"/>
            <charset val="134"/>
          </rPr>
          <t>主要指污染排放状况及治理状况、距离危险设施或污染源的临近程度、自然条件等</t>
        </r>
      </text>
    </comment>
    <comment ref="B9" authorId="0" shapeId="0" xr:uid="{00000000-0006-0000-0E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1000-000001000000}">
      <text>
        <r>
          <rPr>
            <sz val="11"/>
            <color indexed="81"/>
            <rFont val="宋体"/>
            <family val="3"/>
            <charset val="134"/>
          </rPr>
          <t>需在下方列示计算过程</t>
        </r>
        <r>
          <rPr>
            <sz val="9"/>
            <color indexed="81"/>
            <rFont val="宋体"/>
            <family val="3"/>
            <charset val="134"/>
          </rPr>
          <t xml:space="preserve">
</t>
        </r>
      </text>
    </comment>
    <comment ref="H93" authorId="1" shapeId="0" xr:uid="{00000000-0006-0000-10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300-000001000000}">
      <text>
        <r>
          <rPr>
            <b/>
            <sz val="9"/>
            <color indexed="81"/>
            <rFont val="宋体"/>
            <family val="3"/>
            <charset val="134"/>
          </rPr>
          <t>权重验证</t>
        </r>
        <r>
          <rPr>
            <sz val="9"/>
            <color indexed="81"/>
            <rFont val="宋体"/>
            <family val="3"/>
            <charset val="134"/>
          </rPr>
          <t xml:space="preserve">
</t>
        </r>
      </text>
    </comment>
    <comment ref="C71" authorId="1" shapeId="0" xr:uid="{00000000-0006-0000-1300-000002000000}">
      <text>
        <r>
          <rPr>
            <b/>
            <sz val="12"/>
            <color indexed="81"/>
            <rFont val="宋体"/>
            <family val="3"/>
            <charset val="134"/>
          </rPr>
          <t>价值时点所在季度</t>
        </r>
        <r>
          <rPr>
            <sz val="12"/>
            <color indexed="81"/>
            <rFont val="宋体"/>
            <family val="3"/>
            <charset val="134"/>
          </rPr>
          <t xml:space="preserve">
</t>
        </r>
      </text>
    </comment>
    <comment ref="B72" authorId="0" shapeId="0" xr:uid="{00000000-0006-0000-1300-00000300000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5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500-000002000000}">
      <text>
        <r>
          <rPr>
            <sz val="11"/>
            <color indexed="81"/>
            <rFont val="宋体"/>
            <family val="3"/>
            <charset val="134"/>
          </rPr>
          <t xml:space="preserve">录入层数，将对应的结果录入至左侧相应层的楼层修正系数单元格中
</t>
        </r>
      </text>
    </comment>
    <comment ref="Z9" authorId="0" shapeId="0" xr:uid="{00000000-0006-0000-1500-000003000000}">
      <text>
        <r>
          <rPr>
            <b/>
            <sz val="9"/>
            <color indexed="81"/>
            <rFont val="宋体"/>
            <family val="3"/>
            <charset val="134"/>
          </rPr>
          <t xml:space="preserve">所在楼层
</t>
        </r>
        <r>
          <rPr>
            <sz val="9"/>
            <color indexed="81"/>
            <rFont val="宋体"/>
            <family val="3"/>
            <charset val="134"/>
          </rPr>
          <t xml:space="preserve">
</t>
        </r>
      </text>
    </comment>
    <comment ref="AA9" authorId="0" shapeId="0" xr:uid="{00000000-0006-0000-1500-000004000000}">
      <text>
        <r>
          <rPr>
            <b/>
            <sz val="9"/>
            <color indexed="81"/>
            <rFont val="宋体"/>
            <family val="3"/>
            <charset val="134"/>
          </rPr>
          <t xml:space="preserve">所在楼层
</t>
        </r>
        <r>
          <rPr>
            <sz val="9"/>
            <color indexed="81"/>
            <rFont val="宋体"/>
            <family val="3"/>
            <charset val="134"/>
          </rPr>
          <t xml:space="preserve">
</t>
        </r>
      </text>
    </comment>
    <comment ref="AB9" authorId="0" shapeId="0" xr:uid="{00000000-0006-0000-1500-000005000000}">
      <text>
        <r>
          <rPr>
            <b/>
            <sz val="9"/>
            <color indexed="81"/>
            <rFont val="宋体"/>
            <family val="3"/>
            <charset val="134"/>
          </rPr>
          <t xml:space="preserve">所在楼层
</t>
        </r>
        <r>
          <rPr>
            <sz val="9"/>
            <color indexed="81"/>
            <rFont val="宋体"/>
            <family val="3"/>
            <charset val="134"/>
          </rPr>
          <t xml:space="preserve">
</t>
        </r>
      </text>
    </comment>
    <comment ref="AC9" authorId="0" shapeId="0" xr:uid="{00000000-0006-0000-1500-000006000000}">
      <text>
        <r>
          <rPr>
            <b/>
            <sz val="9"/>
            <color indexed="81"/>
            <rFont val="宋体"/>
            <family val="3"/>
            <charset val="134"/>
          </rPr>
          <t xml:space="preserve">所在楼层
</t>
        </r>
        <r>
          <rPr>
            <sz val="9"/>
            <color indexed="81"/>
            <rFont val="宋体"/>
            <family val="3"/>
            <charset val="134"/>
          </rPr>
          <t xml:space="preserve">
</t>
        </r>
      </text>
    </comment>
    <comment ref="AD9" authorId="0" shapeId="0" xr:uid="{00000000-0006-0000-1500-000007000000}">
      <text>
        <r>
          <rPr>
            <b/>
            <sz val="9"/>
            <color indexed="81"/>
            <rFont val="宋体"/>
            <family val="3"/>
            <charset val="134"/>
          </rPr>
          <t xml:space="preserve">所在楼层
</t>
        </r>
        <r>
          <rPr>
            <sz val="9"/>
            <color indexed="81"/>
            <rFont val="宋体"/>
            <family val="3"/>
            <charset val="134"/>
          </rPr>
          <t xml:space="preserve">
</t>
        </r>
      </text>
    </comment>
    <comment ref="AE9" authorId="0" shapeId="0" xr:uid="{00000000-0006-0000-1500-000008000000}">
      <text>
        <r>
          <rPr>
            <b/>
            <sz val="9"/>
            <color indexed="81"/>
            <rFont val="宋体"/>
            <family val="3"/>
            <charset val="134"/>
          </rPr>
          <t xml:space="preserve">所在楼层
</t>
        </r>
        <r>
          <rPr>
            <sz val="9"/>
            <color indexed="81"/>
            <rFont val="宋体"/>
            <family val="3"/>
            <charset val="134"/>
          </rPr>
          <t xml:space="preserve">
</t>
        </r>
      </text>
    </comment>
    <comment ref="AF9" authorId="0" shapeId="0" xr:uid="{00000000-0006-0000-1500-000009000000}">
      <text>
        <r>
          <rPr>
            <b/>
            <sz val="9"/>
            <color indexed="81"/>
            <rFont val="宋体"/>
            <family val="3"/>
            <charset val="134"/>
          </rPr>
          <t xml:space="preserve">所在楼层
</t>
        </r>
        <r>
          <rPr>
            <sz val="9"/>
            <color indexed="81"/>
            <rFont val="宋体"/>
            <family val="3"/>
            <charset val="134"/>
          </rPr>
          <t xml:space="preserve">
</t>
        </r>
      </text>
    </comment>
    <comment ref="AG9" authorId="0" shapeId="0" xr:uid="{00000000-0006-0000-1500-00000A000000}">
      <text>
        <r>
          <rPr>
            <b/>
            <sz val="9"/>
            <color indexed="81"/>
            <rFont val="宋体"/>
            <family val="3"/>
            <charset val="134"/>
          </rPr>
          <t xml:space="preserve">所在楼层
</t>
        </r>
        <r>
          <rPr>
            <sz val="9"/>
            <color indexed="81"/>
            <rFont val="宋体"/>
            <family val="3"/>
            <charset val="134"/>
          </rPr>
          <t xml:space="preserve">
</t>
        </r>
      </text>
    </comment>
    <comment ref="AH9" authorId="0" shapeId="0" xr:uid="{00000000-0006-0000-1500-00000B000000}">
      <text>
        <r>
          <rPr>
            <b/>
            <sz val="9"/>
            <color indexed="81"/>
            <rFont val="宋体"/>
            <family val="3"/>
            <charset val="134"/>
          </rPr>
          <t xml:space="preserve">所在楼层
</t>
        </r>
        <r>
          <rPr>
            <sz val="9"/>
            <color indexed="81"/>
            <rFont val="宋体"/>
            <family val="3"/>
            <charset val="134"/>
          </rPr>
          <t xml:space="preserve">
</t>
        </r>
      </text>
    </comment>
    <comment ref="AI9" authorId="0" shapeId="0" xr:uid="{00000000-0006-0000-1500-00000C000000}">
      <text>
        <r>
          <rPr>
            <b/>
            <sz val="9"/>
            <color indexed="81"/>
            <rFont val="宋体"/>
            <family val="3"/>
            <charset val="134"/>
          </rPr>
          <t xml:space="preserve">所在楼层
</t>
        </r>
        <r>
          <rPr>
            <sz val="9"/>
            <color indexed="81"/>
            <rFont val="宋体"/>
            <family val="3"/>
            <charset val="134"/>
          </rPr>
          <t xml:space="preserve">
</t>
        </r>
      </text>
    </comment>
    <comment ref="AJ9" authorId="0" shapeId="0" xr:uid="{00000000-0006-0000-1500-00000D000000}">
      <text>
        <r>
          <rPr>
            <b/>
            <sz val="9"/>
            <color indexed="81"/>
            <rFont val="宋体"/>
            <family val="3"/>
            <charset val="134"/>
          </rPr>
          <t xml:space="preserve">所在楼层
</t>
        </r>
        <r>
          <rPr>
            <sz val="9"/>
            <color indexed="81"/>
            <rFont val="宋体"/>
            <family val="3"/>
            <charset val="134"/>
          </rPr>
          <t xml:space="preserve">
</t>
        </r>
      </text>
    </comment>
    <comment ref="C16" authorId="1" shapeId="0" xr:uid="{00000000-0006-0000-1500-00000E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1500-00000F000000}">
      <text>
        <r>
          <rPr>
            <sz val="12"/>
            <color indexed="81"/>
            <rFont val="宋体"/>
            <family val="3"/>
            <charset val="134"/>
          </rPr>
          <t>1.05~1.1</t>
        </r>
        <r>
          <rPr>
            <sz val="9"/>
            <color indexed="81"/>
            <rFont val="宋体"/>
            <family val="3"/>
            <charset val="134"/>
          </rPr>
          <t xml:space="preserve">
</t>
        </r>
      </text>
    </comment>
    <comment ref="E16" authorId="1" shapeId="0" xr:uid="{00000000-0006-0000-1500-000010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1500-000011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shapeId="0" xr:uid="{00000000-0006-0000-1500-000012000000}">
      <text>
        <r>
          <rPr>
            <b/>
            <sz val="16"/>
            <color indexed="81"/>
            <rFont val="宋体"/>
            <family val="3"/>
            <charset val="134"/>
          </rPr>
          <t>工业选“中心城区”</t>
        </r>
      </text>
    </comment>
    <comment ref="B35" authorId="3" shapeId="0" xr:uid="{00000000-0006-0000-1500-000013000000}">
      <text>
        <r>
          <rPr>
            <sz val="9"/>
            <color indexed="81"/>
            <rFont val="宋体"/>
            <family val="3"/>
            <charset val="134"/>
          </rPr>
          <t xml:space="preserve">地下商业：地上主用途需选商业
地下办公：地上主用途需选办公
地下仓储及车库：按地上主用途计算
</t>
        </r>
      </text>
    </comment>
    <comment ref="G44" authorId="3" shapeId="0" xr:uid="{00000000-0006-0000-1500-000014000000}">
      <text>
        <r>
          <rPr>
            <sz val="10"/>
            <color indexed="81"/>
            <rFont val="宋体"/>
            <family val="3"/>
            <charset val="134"/>
          </rPr>
          <t xml:space="preserve">需在此处填写剩余土地年限
</t>
        </r>
      </text>
    </comment>
    <comment ref="C112" authorId="0" shapeId="0" xr:uid="{00000000-0006-0000-1500-000015000000}">
      <text>
        <r>
          <rPr>
            <b/>
            <sz val="9"/>
            <color indexed="81"/>
            <rFont val="宋体"/>
            <family val="3"/>
            <charset val="134"/>
          </rPr>
          <t xml:space="preserve">所在楼层
</t>
        </r>
        <r>
          <rPr>
            <sz val="9"/>
            <color indexed="81"/>
            <rFont val="宋体"/>
            <family val="3"/>
            <charset val="134"/>
          </rPr>
          <t xml:space="preserve">
</t>
        </r>
      </text>
    </comment>
    <comment ref="D112" authorId="0" shapeId="0" xr:uid="{00000000-0006-0000-1500-000016000000}">
      <text>
        <r>
          <rPr>
            <b/>
            <sz val="9"/>
            <color indexed="81"/>
            <rFont val="宋体"/>
            <family val="3"/>
            <charset val="134"/>
          </rPr>
          <t xml:space="preserve">所在楼层
</t>
        </r>
        <r>
          <rPr>
            <sz val="9"/>
            <color indexed="81"/>
            <rFont val="宋体"/>
            <family val="3"/>
            <charset val="134"/>
          </rPr>
          <t xml:space="preserve">
</t>
        </r>
      </text>
    </comment>
    <comment ref="E112" authorId="0" shapeId="0" xr:uid="{00000000-0006-0000-1500-000017000000}">
      <text>
        <r>
          <rPr>
            <b/>
            <sz val="9"/>
            <color indexed="81"/>
            <rFont val="宋体"/>
            <family val="3"/>
            <charset val="134"/>
          </rPr>
          <t xml:space="preserve">所在楼层
</t>
        </r>
        <r>
          <rPr>
            <sz val="9"/>
            <color indexed="81"/>
            <rFont val="宋体"/>
            <family val="3"/>
            <charset val="134"/>
          </rPr>
          <t xml:space="preserve">
</t>
        </r>
      </text>
    </comment>
    <comment ref="F112" authorId="0" shapeId="0" xr:uid="{00000000-0006-0000-1500-000018000000}">
      <text>
        <r>
          <rPr>
            <b/>
            <sz val="9"/>
            <color indexed="81"/>
            <rFont val="宋体"/>
            <family val="3"/>
            <charset val="134"/>
          </rPr>
          <t xml:space="preserve">所在楼层
</t>
        </r>
        <r>
          <rPr>
            <sz val="9"/>
            <color indexed="81"/>
            <rFont val="宋体"/>
            <family val="3"/>
            <charset val="134"/>
          </rPr>
          <t xml:space="preserve">
</t>
        </r>
      </text>
    </comment>
    <comment ref="G112" authorId="0" shapeId="0" xr:uid="{00000000-0006-0000-1500-000019000000}">
      <text>
        <r>
          <rPr>
            <b/>
            <sz val="9"/>
            <color indexed="81"/>
            <rFont val="宋体"/>
            <family val="3"/>
            <charset val="134"/>
          </rPr>
          <t xml:space="preserve">所在楼层
</t>
        </r>
        <r>
          <rPr>
            <sz val="9"/>
            <color indexed="81"/>
            <rFont val="宋体"/>
            <family val="3"/>
            <charset val="134"/>
          </rPr>
          <t xml:space="preserve">
</t>
        </r>
      </text>
    </comment>
    <comment ref="H112" authorId="0" shapeId="0" xr:uid="{00000000-0006-0000-1500-00001A000000}">
      <text>
        <r>
          <rPr>
            <b/>
            <sz val="9"/>
            <color indexed="81"/>
            <rFont val="宋体"/>
            <family val="3"/>
            <charset val="134"/>
          </rPr>
          <t xml:space="preserve">所在楼层
</t>
        </r>
        <r>
          <rPr>
            <sz val="9"/>
            <color indexed="81"/>
            <rFont val="宋体"/>
            <family val="3"/>
            <charset val="134"/>
          </rPr>
          <t xml:space="preserve">
</t>
        </r>
      </text>
    </comment>
    <comment ref="I112" authorId="0" shapeId="0" xr:uid="{00000000-0006-0000-1500-00001B000000}">
      <text>
        <r>
          <rPr>
            <b/>
            <sz val="9"/>
            <color indexed="81"/>
            <rFont val="宋体"/>
            <family val="3"/>
            <charset val="134"/>
          </rPr>
          <t xml:space="preserve">所在楼层
</t>
        </r>
        <r>
          <rPr>
            <sz val="9"/>
            <color indexed="81"/>
            <rFont val="宋体"/>
            <family val="3"/>
            <charset val="134"/>
          </rPr>
          <t xml:space="preserve">
</t>
        </r>
      </text>
    </comment>
    <comment ref="J112" authorId="0" shapeId="0" xr:uid="{00000000-0006-0000-1500-00001C000000}">
      <text>
        <r>
          <rPr>
            <b/>
            <sz val="9"/>
            <color indexed="81"/>
            <rFont val="宋体"/>
            <family val="3"/>
            <charset val="134"/>
          </rPr>
          <t xml:space="preserve">所在楼层
</t>
        </r>
        <r>
          <rPr>
            <sz val="9"/>
            <color indexed="81"/>
            <rFont val="宋体"/>
            <family val="3"/>
            <charset val="134"/>
          </rPr>
          <t xml:space="preserve">
</t>
        </r>
      </text>
    </comment>
    <comment ref="K112" authorId="0" shapeId="0" xr:uid="{00000000-0006-0000-1500-00001D000000}">
      <text>
        <r>
          <rPr>
            <b/>
            <sz val="9"/>
            <color indexed="81"/>
            <rFont val="宋体"/>
            <family val="3"/>
            <charset val="134"/>
          </rPr>
          <t xml:space="preserve">所在楼层
</t>
        </r>
        <r>
          <rPr>
            <sz val="9"/>
            <color indexed="81"/>
            <rFont val="宋体"/>
            <family val="3"/>
            <charset val="134"/>
          </rPr>
          <t xml:space="preserve">
</t>
        </r>
      </text>
    </comment>
    <comment ref="L112" authorId="0" shapeId="0" xr:uid="{00000000-0006-0000-1500-00001E000000}">
      <text>
        <r>
          <rPr>
            <b/>
            <sz val="9"/>
            <color indexed="81"/>
            <rFont val="宋体"/>
            <family val="3"/>
            <charset val="134"/>
          </rPr>
          <t xml:space="preserve">所在楼层
</t>
        </r>
        <r>
          <rPr>
            <sz val="9"/>
            <color indexed="81"/>
            <rFont val="宋体"/>
            <family val="3"/>
            <charset val="134"/>
          </rPr>
          <t xml:space="preserve">
</t>
        </r>
      </text>
    </comment>
    <comment ref="M112" authorId="0" shapeId="0" xr:uid="{00000000-0006-0000-1500-00001F000000}">
      <text>
        <r>
          <rPr>
            <b/>
            <sz val="9"/>
            <color indexed="81"/>
            <rFont val="宋体"/>
            <family val="3"/>
            <charset val="134"/>
          </rPr>
          <t xml:space="preserve">所在楼层
</t>
        </r>
        <r>
          <rPr>
            <sz val="9"/>
            <color indexed="81"/>
            <rFont val="宋体"/>
            <family val="3"/>
            <charset val="134"/>
          </rPr>
          <t xml:space="preserve">
</t>
        </r>
      </text>
    </comment>
    <comment ref="N112" authorId="0" shapeId="0" xr:uid="{00000000-0006-0000-1500-000020000000}">
      <text>
        <r>
          <rPr>
            <b/>
            <sz val="9"/>
            <color indexed="81"/>
            <rFont val="宋体"/>
            <family val="3"/>
            <charset val="134"/>
          </rPr>
          <t xml:space="preserve">所在楼层
</t>
        </r>
        <r>
          <rPr>
            <sz val="9"/>
            <color indexed="81"/>
            <rFont val="宋体"/>
            <family val="3"/>
            <charset val="134"/>
          </rPr>
          <t xml:space="preserve">
</t>
        </r>
      </text>
    </comment>
    <comment ref="D117" authorId="0" shapeId="0" xr:uid="{00000000-0006-0000-1500-00002100000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<sst xmlns="http://schemas.openxmlformats.org/spreadsheetml/2006/main" count="7619" uniqueCount="3483">
  <si>
    <t>——</t>
    <phoneticPr fontId="3" type="noConversion"/>
  </si>
  <si>
    <t>——</t>
    <phoneticPr fontId="3" type="noConversion"/>
  </si>
  <si>
    <t>——</t>
    <phoneticPr fontId="3"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</si>
  <si>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</si>
  <si>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</si>
  <si>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</si>
  <si>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</si>
  <si>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</si>
  <si>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</si>
  <si>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</si>
  <si>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</si>
  <si>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</si>
  <si>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</si>
  <si>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33" type="noConversion"/>
  </si>
  <si>
    <t>——</t>
    <phoneticPr fontId="21" type="noConversion"/>
  </si>
  <si>
    <t>——</t>
    <phoneticPr fontId="8" type="noConversion"/>
  </si>
  <si>
    <t>小计</t>
  </si>
  <si>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</si>
  <si>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</si>
  <si>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</si>
  <si>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</si>
  <si>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</si>
  <si>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</si>
  <si>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</si>
  <si>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</si>
  <si>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</si>
  <si>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</si>
  <si>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</si>
  <si>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</si>
  <si>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</si>
  <si>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</si>
  <si>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</si>
  <si>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</si>
  <si>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</si>
  <si>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</si>
  <si>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</si>
  <si>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</si>
  <si>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</si>
  <si>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</si>
  <si>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</si>
  <si>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</si>
  <si>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</si>
  <si>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</si>
  <si>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</si>
  <si>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</si>
  <si>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</si>
  <si>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</si>
  <si>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</si>
  <si>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</si>
  <si>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</si>
  <si>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</si>
  <si>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</si>
  <si>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</si>
  <si>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</si>
  <si>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</si>
  <si>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</si>
  <si>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</si>
  <si>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</si>
  <si>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</si>
  <si>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</si>
  <si>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</si>
  <si>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</si>
  <si>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</si>
  <si>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</si>
  <si>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</si>
  <si>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</si>
  <si>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</si>
  <si>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</si>
  <si>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</si>
  <si>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</si>
  <si>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rPr>
        <sz val="11"/>
        <color indexed="8"/>
        <rFont val="仿宋_GB2312"/>
        <family val="3"/>
        <charset val="134"/>
      </rPr>
      <t>洋房</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</si>
  <si>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</si>
  <si>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</si>
  <si>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</si>
  <si>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</si>
  <si>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</si>
  <si>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</si>
  <si>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</si>
  <si>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</si>
  <si>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</si>
  <si>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</si>
  <si>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</si>
  <si>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</si>
  <si>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</si>
  <si>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</si>
  <si>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</si>
  <si>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</si>
  <si>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</si>
  <si>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</si>
  <si>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</si>
  <si>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</si>
  <si>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</si>
  <si>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</si>
  <si>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</si>
  <si>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</si>
  <si>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</si>
  <si>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</si>
  <si>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</si>
  <si>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</si>
  <si>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</si>
  <si>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</si>
  <si>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</si>
  <si>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</si>
  <si>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</si>
  <si>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</si>
  <si>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</si>
  <si>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</si>
  <si>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</si>
  <si>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</si>
  <si>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</si>
  <si>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</si>
  <si>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</si>
  <si>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</si>
  <si>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</si>
  <si>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</si>
  <si>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</si>
  <si>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</si>
  <si>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</si>
  <si>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</si>
  <si>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</si>
  <si>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</si>
  <si>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</si>
  <si>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</si>
  <si>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</si>
  <si>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</si>
  <si>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</si>
  <si>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</si>
  <si>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</si>
  <si>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</si>
  <si>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</si>
  <si>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</si>
  <si>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</si>
  <si>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</si>
  <si>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</si>
  <si>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</si>
  <si>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</si>
  <si>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</si>
  <si>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</si>
  <si>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</si>
  <si>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</si>
  <si>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</si>
  <si>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</si>
  <si>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</si>
  <si>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</si>
  <si>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</si>
  <si>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</si>
  <si>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</si>
  <si>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</si>
  <si>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</si>
  <si>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</si>
  <si>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</si>
  <si>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</si>
  <si>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</si>
  <si>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</si>
  <si>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</si>
  <si>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</si>
  <si>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</si>
  <si>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</si>
  <si>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</si>
  <si>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</si>
  <si>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</si>
  <si>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</si>
  <si>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</si>
  <si>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</si>
  <si>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</si>
  <si>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</si>
  <si>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</si>
  <si>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</si>
  <si>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</si>
  <si>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</si>
  <si>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</si>
  <si>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</si>
  <si>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</si>
  <si>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</si>
  <si>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</si>
  <si>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</si>
  <si>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</si>
  <si>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</si>
  <si>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</si>
  <si>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</si>
  <si>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</si>
  <si>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</si>
  <si>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</si>
  <si>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</si>
  <si>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</si>
  <si>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</si>
  <si>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</si>
  <si>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</si>
  <si>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</si>
  <si>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</si>
  <si>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</si>
  <si>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</si>
  <si>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</si>
  <si>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</si>
  <si>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</si>
  <si>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</si>
  <si>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</si>
  <si>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</si>
  <si>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</si>
  <si>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</si>
  <si>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</si>
  <si>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</si>
  <si>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</si>
  <si>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</si>
  <si>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</si>
  <si>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</si>
  <si>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</si>
  <si>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</si>
  <si>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</si>
  <si>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</si>
  <si>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</si>
  <si>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</si>
  <si>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</si>
  <si>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</si>
  <si>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</si>
  <si>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</si>
  <si>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</si>
  <si>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</si>
  <si>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</si>
  <si>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</si>
  <si>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</si>
  <si>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</si>
  <si>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</si>
  <si>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</si>
  <si>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</si>
  <si>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</si>
  <si>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</si>
  <si>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</si>
  <si>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</si>
  <si>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</si>
  <si>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</si>
  <si>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</si>
  <si>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</si>
  <si>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</si>
  <si>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</si>
  <si>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</si>
  <si>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</si>
  <si>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</si>
  <si>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</si>
  <si>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</si>
  <si>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</si>
  <si>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</si>
  <si>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</si>
  <si>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</si>
  <si>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</si>
  <si>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</si>
  <si>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</si>
  <si>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</si>
  <si>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</si>
  <si>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</si>
  <si>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</si>
  <si>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</si>
  <si>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</si>
  <si>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</si>
  <si>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</si>
  <si>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</si>
  <si>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</si>
  <si>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</si>
  <si>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</si>
  <si>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</si>
  <si>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</si>
  <si>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</si>
  <si>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</si>
  <si>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</si>
  <si>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</si>
  <si>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</si>
  <si>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</si>
  <si>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</si>
  <si>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</si>
  <si>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</si>
  <si>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</si>
  <si>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</si>
  <si>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</si>
  <si>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</si>
  <si>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</si>
  <si>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</si>
  <si>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</si>
  <si>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</si>
  <si>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</si>
  <si>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</si>
  <si>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</si>
  <si>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</si>
  <si>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</si>
  <si>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</si>
  <si>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</si>
  <si>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</si>
  <si>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</si>
  <si>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</si>
  <si>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</si>
  <si>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</si>
  <si>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</si>
  <si>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</si>
  <si>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</si>
  <si>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</si>
  <si>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</si>
  <si>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</si>
  <si>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</si>
  <si>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</si>
  <si>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</si>
  <si>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</si>
  <si>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</si>
  <si>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</si>
  <si>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</si>
  <si>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</si>
  <si>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</si>
  <si>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</si>
  <si>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</si>
  <si>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</si>
  <si>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</si>
  <si>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</si>
  <si>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</si>
  <si>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</si>
  <si>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</si>
  <si>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</si>
  <si>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</si>
  <si>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</si>
  <si>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</si>
  <si>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</si>
  <si>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</si>
  <si>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</si>
  <si>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</si>
  <si>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</si>
  <si>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</si>
  <si>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</si>
  <si>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</si>
  <si>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</si>
  <si>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</si>
  <si>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</si>
  <si>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</si>
  <si>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</si>
  <si>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</si>
  <si>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</si>
  <si>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</si>
  <si>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</si>
  <si>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</si>
  <si>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</si>
  <si>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</si>
  <si>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</si>
  <si>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</si>
  <si>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</si>
  <si>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</si>
  <si>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</si>
  <si>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</si>
  <si>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</si>
  <si>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</si>
  <si>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</si>
  <si>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</si>
  <si>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</si>
  <si>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</si>
  <si>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</si>
  <si>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</si>
  <si>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</si>
  <si>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</si>
  <si>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</si>
  <si>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</si>
  <si>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</si>
  <si>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</si>
  <si>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</si>
  <si>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</si>
  <si>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</si>
  <si>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</si>
  <si>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</si>
  <si>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</si>
  <si>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</si>
  <si>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</si>
  <si>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</si>
  <si>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</si>
  <si>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</si>
  <si>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</si>
  <si>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</si>
  <si>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</si>
  <si>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</si>
  <si>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</si>
  <si>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</si>
  <si>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</si>
  <si>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</si>
  <si>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</si>
  <si>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</si>
  <si>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</si>
  <si>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</si>
  <si>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</si>
  <si>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</si>
  <si>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</si>
  <si>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</si>
  <si>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</si>
  <si>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</si>
  <si>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</si>
  <si>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</si>
  <si>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</si>
  <si>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</si>
  <si>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</si>
  <si>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</si>
  <si>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</si>
  <si>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</si>
  <si>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</si>
  <si>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</si>
  <si>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</si>
  <si>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</si>
  <si>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</si>
  <si>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</si>
  <si>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</si>
  <si>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</si>
  <si>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</si>
  <si>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</si>
  <si>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</si>
  <si>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</si>
  <si>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</si>
  <si>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</si>
  <si>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</si>
  <si>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</si>
  <si>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</si>
  <si>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</si>
  <si>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</si>
  <si>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</si>
  <si>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</si>
  <si>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</si>
  <si>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</si>
  <si>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</si>
  <si>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</si>
  <si>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</si>
  <si>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</si>
  <si>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</si>
  <si>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</si>
  <si>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</si>
  <si>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</si>
  <si>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</si>
  <si>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</si>
  <si>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</si>
  <si>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</si>
  <si>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</si>
  <si>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</si>
  <si>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</si>
  <si>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</si>
  <si>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</si>
  <si>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</si>
  <si>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</si>
  <si>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</si>
  <si>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</si>
  <si>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</si>
  <si>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</si>
  <si>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</si>
  <si>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</si>
  <si>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</si>
  <si>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</si>
  <si>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</si>
  <si>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</si>
  <si>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</si>
  <si>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</si>
  <si>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</si>
  <si>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</si>
  <si>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</si>
  <si>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</si>
  <si>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</si>
  <si>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</si>
  <si>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</si>
  <si>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</si>
  <si>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</si>
  <si>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</si>
  <si>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</si>
  <si>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</si>
  <si>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</si>
  <si>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</si>
  <si>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</si>
  <si>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</si>
  <si>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</si>
  <si>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</si>
  <si>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</si>
  <si>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</si>
  <si>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</si>
  <si>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</si>
  <si>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</si>
  <si>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</si>
  <si>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</si>
  <si>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</si>
  <si>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</si>
  <si>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</si>
  <si>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</si>
  <si>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</si>
  <si>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</si>
  <si>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</si>
  <si>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</si>
  <si>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</si>
  <si>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</si>
  <si>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</si>
  <si>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</si>
  <si>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</si>
  <si>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</si>
  <si>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</si>
  <si>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</si>
  <si>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</si>
  <si>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</si>
  <si>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</si>
  <si>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</si>
  <si>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</si>
  <si>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</si>
  <si>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</si>
  <si>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</si>
  <si>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</si>
  <si>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</si>
  <si>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</si>
  <si>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</si>
  <si>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</si>
  <si>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</si>
  <si>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</si>
  <si>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</si>
  <si>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</si>
  <si>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</si>
  <si>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</si>
  <si>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</si>
  <si>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</si>
  <si>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</si>
  <si>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</si>
  <si>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</si>
  <si>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</si>
  <si>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</si>
  <si>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</si>
  <si>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</si>
  <si>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</si>
  <si>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</si>
  <si>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</si>
  <si>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</si>
  <si>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</si>
  <si>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</si>
  <si>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</si>
  <si>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</si>
  <si>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</si>
  <si>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</si>
  <si>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</si>
  <si>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</si>
  <si>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</si>
  <si>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</si>
  <si>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</si>
  <si>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</si>
  <si>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</si>
  <si>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</si>
  <si>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</si>
  <si>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</si>
  <si>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</si>
  <si>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</si>
  <si>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</si>
  <si>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</si>
  <si>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</si>
  <si>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</si>
  <si>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</si>
  <si>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</si>
  <si>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</si>
  <si>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</si>
  <si>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</si>
  <si>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</si>
  <si>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</si>
  <si>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</si>
  <si>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</si>
  <si>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</si>
  <si>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</si>
  <si>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</si>
  <si>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</si>
  <si>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</si>
  <si>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</si>
  <si>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</si>
  <si>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</si>
  <si>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</si>
  <si>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</si>
  <si>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</si>
  <si>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</si>
  <si>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</si>
  <si>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</si>
  <si>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</si>
  <si>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</si>
  <si>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</si>
  <si>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</si>
  <si>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</si>
  <si>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</si>
  <si>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</si>
  <si>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</si>
  <si>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</si>
  <si>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</si>
  <si>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</si>
  <si>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</si>
  <si>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</si>
  <si>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</si>
  <si>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</si>
  <si>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</si>
  <si>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</si>
  <si>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</si>
  <si>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</si>
  <si>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</si>
  <si>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</si>
  <si>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</si>
  <si>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</si>
  <si>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</si>
  <si>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</si>
  <si>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</si>
  <si>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</si>
  <si>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</si>
  <si>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</si>
  <si>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</si>
  <si>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</si>
  <si>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</si>
  <si>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</si>
  <si>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</si>
  <si>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</si>
  <si>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</si>
  <si>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</si>
  <si>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</si>
  <si>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</si>
  <si>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</si>
  <si>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</si>
  <si>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</si>
  <si>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</si>
  <si>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</si>
  <si>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</si>
  <si>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</si>
  <si>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</si>
  <si>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</si>
  <si>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</si>
  <si>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</si>
  <si>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</si>
  <si>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</si>
  <si>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</si>
  <si>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</si>
  <si>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</si>
  <si>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</si>
  <si>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</si>
  <si>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</si>
  <si>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</si>
  <si>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</si>
  <si>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</si>
  <si>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</si>
  <si>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</si>
  <si>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</si>
  <si>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</si>
  <si>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</si>
  <si>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</si>
  <si>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</si>
  <si>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</si>
  <si>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</si>
  <si>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</si>
  <si>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</si>
  <si>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</si>
  <si>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</si>
  <si>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7"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</si>
  <si>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</si>
  <si>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</si>
  <si>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</si>
  <si>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</si>
  <si>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</si>
  <si>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</si>
  <si>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</si>
  <si>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</si>
  <si>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</si>
  <si>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</si>
  <si>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</si>
  <si>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</si>
  <si>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</si>
  <si>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</si>
  <si>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</si>
  <si>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</si>
  <si>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</si>
  <si>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7"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</si>
  <si>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7" type="noConversion"/>
  </si>
  <si>
    <r>
      <rPr>
        <sz val="11"/>
        <color indexed="8"/>
        <rFont val="仿宋_GB2312"/>
        <family val="3"/>
        <charset val="134"/>
      </rPr>
      <t>土地年纯收益</t>
    </r>
    <phoneticPr fontId="57"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</si>
  <si>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7" type="noConversion"/>
  </si>
  <si>
    <r>
      <rPr>
        <sz val="11"/>
        <color indexed="8"/>
        <rFont val="仿宋_GB2312"/>
        <family val="3"/>
        <charset val="134"/>
      </rPr>
      <t>土地价格</t>
    </r>
    <phoneticPr fontId="57"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</si>
  <si>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</si>
  <si>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</si>
  <si>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</si>
  <si>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</si>
  <si>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</si>
  <si>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</si>
  <si>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</si>
  <si>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</si>
  <si>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</si>
  <si>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</si>
  <si>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</si>
  <si>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</si>
  <si>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</si>
  <si>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</si>
  <si>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</si>
  <si>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</si>
  <si>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</si>
  <si>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</si>
  <si>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</si>
  <si>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</si>
  <si>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</si>
  <si>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</si>
  <si>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</si>
  <si>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</si>
  <si>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</si>
  <si>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</si>
  <si>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</si>
  <si>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</si>
  <si>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</si>
  <si>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</si>
  <si>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</si>
  <si>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</si>
  <si>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</si>
  <si>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</si>
  <si>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</si>
  <si>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</si>
  <si>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</si>
  <si>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</si>
  <si>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</si>
  <si>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</si>
  <si>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</si>
  <si>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</si>
  <si>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</si>
  <si>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</si>
  <si>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</si>
  <si>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</si>
  <si>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</si>
  <si>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</si>
  <si>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</si>
  <si>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</si>
  <si>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</si>
  <si>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</si>
  <si>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</si>
  <si>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</si>
  <si>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</si>
  <si>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</si>
  <si>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</si>
  <si>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</si>
  <si>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</si>
  <si>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</si>
  <si>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</si>
  <si>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</si>
  <si>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</si>
  <si>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</si>
  <si>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</si>
  <si>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</si>
  <si>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</si>
  <si>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</si>
  <si>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</si>
  <si>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</si>
  <si>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</si>
  <si>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</si>
  <si>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</si>
  <si>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</si>
  <si>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</si>
  <si>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</si>
  <si>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</si>
  <si>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</si>
  <si>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</si>
  <si>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</si>
  <si>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</si>
  <si>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</si>
  <si>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</si>
  <si>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</si>
  <si>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</si>
  <si>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</si>
  <si>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</si>
  <si>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</si>
  <si>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</si>
  <si>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</si>
  <si>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</si>
  <si>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</si>
  <si>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</si>
  <si>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</si>
  <si>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</si>
  <si>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</si>
  <si>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</si>
  <si>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</si>
  <si>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</si>
  <si>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</si>
  <si>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</si>
  <si>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</si>
  <si>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</si>
  <si>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</si>
  <si>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</si>
  <si>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</si>
  <si>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</si>
  <si>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</si>
  <si>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</si>
  <si>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</si>
  <si>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</si>
  <si>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</si>
  <si>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</si>
  <si>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</si>
  <si>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</si>
  <si>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</si>
  <si>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</si>
  <si>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</si>
  <si>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</si>
  <si>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</si>
  <si>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</si>
  <si>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</si>
  <si>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</si>
  <si>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</si>
  <si>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</si>
  <si>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</si>
  <si>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</si>
  <si>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</si>
  <si>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</si>
  <si>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</si>
  <si>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19" type="noConversion"/>
  </si>
  <si>
    <t>用途类型</t>
    <phoneticPr fontId="14" type="noConversion"/>
  </si>
  <si>
    <r>
      <rPr>
        <b/>
        <sz val="11"/>
        <color indexed="8"/>
        <rFont val="楷体_GB2312"/>
        <family val="3"/>
        <charset val="134"/>
      </rPr>
      <t>容积率</t>
    </r>
    <phoneticPr fontId="119" type="noConversion"/>
  </si>
  <si>
    <r>
      <rPr>
        <sz val="11"/>
        <color indexed="8"/>
        <rFont val="楷体_GB2312"/>
        <family val="3"/>
        <charset val="134"/>
      </rPr>
      <t>项目</t>
    </r>
    <phoneticPr fontId="119" type="noConversion"/>
  </si>
  <si>
    <r>
      <rPr>
        <sz val="11"/>
        <color indexed="8"/>
        <rFont val="楷体_GB2312"/>
        <family val="3"/>
        <charset val="134"/>
      </rPr>
      <t>总</t>
    </r>
    <phoneticPr fontId="119" type="noConversion"/>
  </si>
  <si>
    <r>
      <rPr>
        <sz val="11"/>
        <color indexed="8"/>
        <rFont val="楷体_GB2312"/>
        <family val="3"/>
        <charset val="134"/>
      </rPr>
      <t>地上</t>
    </r>
    <phoneticPr fontId="119" type="noConversion"/>
  </si>
  <si>
    <r>
      <rPr>
        <sz val="11"/>
        <color indexed="8"/>
        <rFont val="楷体_GB2312"/>
        <family val="3"/>
        <charset val="134"/>
      </rPr>
      <t>估价对象</t>
    </r>
    <phoneticPr fontId="119"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</si>
  <si>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</si>
  <si>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</si>
  <si>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19" type="noConversion"/>
  </si>
  <si>
    <t>土地使用年期</t>
    <phoneticPr fontId="119" type="noConversion"/>
  </si>
  <si>
    <t>建安费用</t>
    <phoneticPr fontId="119"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</si>
  <si>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19" type="noConversion"/>
  </si>
  <si>
    <r>
      <rPr>
        <sz val="11"/>
        <color indexed="8"/>
        <rFont val="楷体_GB2312"/>
        <family val="3"/>
        <charset val="134"/>
      </rPr>
      <t>租期外</t>
    </r>
    <phoneticPr fontId="119" type="noConversion"/>
  </si>
  <si>
    <r>
      <rPr>
        <sz val="11"/>
        <color indexed="8"/>
        <rFont val="楷体_GB2312"/>
        <family val="3"/>
        <charset val="134"/>
      </rPr>
      <t>收益期</t>
    </r>
    <phoneticPr fontId="119"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</si>
  <si>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</si>
  <si>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</si>
  <si>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</si>
  <si>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</si>
  <si>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</si>
  <si>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</si>
  <si>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</si>
  <si>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</si>
  <si>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</si>
  <si>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</si>
  <si>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</si>
  <si>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</si>
  <si>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</si>
  <si>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</si>
  <si>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</si>
  <si>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</si>
  <si>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</si>
  <si>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</si>
  <si>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</si>
  <si>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</si>
  <si>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</si>
  <si>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</si>
  <si>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</si>
  <si>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r>
      <rPr>
        <sz val="10"/>
        <rFont val="楷体_GB2312"/>
        <family val="3"/>
        <charset val="134"/>
      </rPr>
      <t>宗地容积率</t>
    </r>
    <r>
      <rPr>
        <sz val="10"/>
        <rFont val="Arial"/>
        <family val="2"/>
      </rPr>
      <t>R</t>
    </r>
    <phoneticPr fontId="121" type="noConversion"/>
  </si>
  <si>
    <r>
      <rPr>
        <sz val="10"/>
        <rFont val="楷体_GB2312"/>
        <family val="3"/>
        <charset val="134"/>
      </rPr>
      <t>修正系数</t>
    </r>
    <phoneticPr fontId="121" type="noConversion"/>
  </si>
  <si>
    <t>用途</t>
    <phoneticPr fontId="121" type="noConversion"/>
  </si>
  <si>
    <t>土地级别</t>
    <phoneticPr fontId="121" type="noConversion"/>
  </si>
  <si>
    <t>住宅</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</si>
  <si>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</si>
  <si>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</si>
  <si>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</si>
  <si>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</si>
  <si>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</si>
  <si>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</si>
  <si>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</si>
  <si>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</si>
  <si>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</si>
  <si>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</si>
  <si>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</si>
  <si>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</si>
  <si>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总价</t>
    <phoneticPr fontId="121" type="noConversion"/>
  </si>
  <si>
    <t>万元</t>
    <phoneticPr fontId="121" type="noConversion"/>
  </si>
  <si>
    <t>用途</t>
    <phoneticPr fontId="121" type="noConversion"/>
  </si>
  <si>
    <t>住宅</t>
  </si>
  <si>
    <t>土地级别</t>
    <phoneticPr fontId="121" type="noConversion"/>
  </si>
  <si>
    <t>四级</t>
  </si>
  <si>
    <t>区片编号</t>
    <phoneticPr fontId="121" type="noConversion"/>
  </si>
  <si>
    <t>元/平方米</t>
    <phoneticPr fontId="121" type="noConversion"/>
  </si>
  <si>
    <t>用途类别</t>
    <phoneticPr fontId="121" type="noConversion"/>
  </si>
  <si>
    <t>楼层</t>
    <phoneticPr fontId="121" type="noConversion"/>
  </si>
  <si>
    <t>（地上）</t>
    <phoneticPr fontId="121" type="noConversion"/>
  </si>
  <si>
    <t>适用的楼面熟地价</t>
    <phoneticPr fontId="121" type="noConversion"/>
  </si>
  <si>
    <t>商业路线价修正（商业用途）</t>
    <phoneticPr fontId="121" type="noConversion"/>
  </si>
  <si>
    <t>宗地深度（米）</t>
    <phoneticPr fontId="121" type="noConversion"/>
  </si>
  <si>
    <t>所在商业街</t>
    <phoneticPr fontId="121" type="noConversion"/>
  </si>
  <si>
    <t>A1</t>
    <phoneticPr fontId="121" type="noConversion"/>
  </si>
  <si>
    <t>临商业街红线1/4标准深度占地面积／宗地总面积</t>
    <phoneticPr fontId="121" type="noConversion"/>
  </si>
  <si>
    <t>加价幅度</t>
    <phoneticPr fontId="121" type="noConversion"/>
  </si>
  <si>
    <t>A2</t>
  </si>
  <si>
    <t>临商业街红线1/4至2/4标准深度占地面积／宗地总面积</t>
    <phoneticPr fontId="121" type="noConversion"/>
  </si>
  <si>
    <t>标准深度（米）</t>
    <phoneticPr fontId="121" type="noConversion"/>
  </si>
  <si>
    <t>A3</t>
  </si>
  <si>
    <t>临商业街红线2/4至3/4标准深度占地面积／宗地总面积</t>
    <phoneticPr fontId="121" type="noConversion"/>
  </si>
  <si>
    <t>1/4标准深度</t>
    <phoneticPr fontId="121" type="noConversion"/>
  </si>
  <si>
    <t>A4</t>
  </si>
  <si>
    <t>临商业街红线3/4至4/4标准深度占地面积／宗地总面积</t>
    <phoneticPr fontId="121" type="noConversion"/>
  </si>
  <si>
    <t>特殊情况修正（居住用途）</t>
    <phoneticPr fontId="121" type="noConversion"/>
  </si>
  <si>
    <t>开发程度差异修正</t>
    <phoneticPr fontId="121" type="noConversion"/>
  </si>
  <si>
    <t>估价对象开发程度</t>
    <phoneticPr fontId="121" type="noConversion"/>
  </si>
  <si>
    <t>——</t>
  </si>
  <si>
    <t>级别平均容积率</t>
    <phoneticPr fontId="121" type="noConversion"/>
  </si>
  <si>
    <t>级别开发程度</t>
    <phoneticPr fontId="121" type="noConversion"/>
  </si>
  <si>
    <t>用途修正系数</t>
    <phoneticPr fontId="121" type="noConversion"/>
  </si>
  <si>
    <t>期日修正指数</t>
    <phoneticPr fontId="121" type="noConversion"/>
  </si>
  <si>
    <t>基准期日</t>
    <phoneticPr fontId="121" type="noConversion"/>
  </si>
  <si>
    <t>估价期日</t>
    <phoneticPr fontId="121" type="noConversion"/>
  </si>
  <si>
    <t>2016-2</t>
  </si>
  <si>
    <t>2014-1</t>
  </si>
  <si>
    <t>2014-2</t>
  </si>
  <si>
    <t>2014-3</t>
  </si>
  <si>
    <t>2014-4</t>
  </si>
  <si>
    <t>2015-1</t>
  </si>
  <si>
    <t>2015-2</t>
  </si>
  <si>
    <t>2015-3</t>
  </si>
  <si>
    <t>2015-4</t>
  </si>
  <si>
    <t>2016-1</t>
  </si>
  <si>
    <t>2016-3</t>
  </si>
  <si>
    <t>2016-4</t>
  </si>
  <si>
    <t>年期修正系数</t>
    <phoneticPr fontId="121" type="noConversion"/>
  </si>
  <si>
    <t>现行一年期贷款利率</t>
    <phoneticPr fontId="121" type="noConversion"/>
  </si>
  <si>
    <t>土地还原率</t>
    <phoneticPr fontId="121" type="noConversion"/>
  </si>
  <si>
    <t>剩余使用年限</t>
    <phoneticPr fontId="121" type="noConversion"/>
  </si>
  <si>
    <t>商业</t>
    <phoneticPr fontId="121" type="noConversion"/>
  </si>
  <si>
    <t>容积率修正系数</t>
    <phoneticPr fontId="121" type="noConversion"/>
  </si>
  <si>
    <t>办公</t>
    <phoneticPr fontId="121" type="noConversion"/>
  </si>
  <si>
    <t>楼层修正系数（商业）</t>
    <phoneticPr fontId="121" type="noConversion"/>
  </si>
  <si>
    <t>因素修正系数</t>
    <phoneticPr fontId="121" type="noConversion"/>
  </si>
  <si>
    <t>工业</t>
  </si>
  <si>
    <t>估算结果</t>
    <phoneticPr fontId="121" type="noConversion"/>
  </si>
  <si>
    <t>商业</t>
    <phoneticPr fontId="121" type="noConversion"/>
  </si>
  <si>
    <t>办公</t>
    <phoneticPr fontId="121" type="noConversion"/>
  </si>
  <si>
    <t>工业</t>
    <phoneticPr fontId="121" type="noConversion"/>
  </si>
  <si>
    <t>熟地价</t>
    <phoneticPr fontId="121" type="noConversion"/>
  </si>
  <si>
    <t>上浮比率</t>
    <phoneticPr fontId="121" type="noConversion"/>
  </si>
  <si>
    <t>政府土地出让收益</t>
    <phoneticPr fontId="121" type="noConversion"/>
  </si>
  <si>
    <t>地上部分</t>
    <phoneticPr fontId="121" type="noConversion"/>
  </si>
  <si>
    <t>单价</t>
    <phoneticPr fontId="121" type="noConversion"/>
  </si>
  <si>
    <t>建筑面积</t>
    <phoneticPr fontId="121" type="noConversion"/>
  </si>
  <si>
    <t>总额</t>
    <phoneticPr fontId="121" type="noConversion"/>
  </si>
  <si>
    <t>地上部分——楼面熟地价</t>
    <phoneticPr fontId="121" type="noConversion"/>
  </si>
  <si>
    <t>地上部分——政府土地出让收益</t>
    <phoneticPr fontId="121" type="noConversion"/>
  </si>
  <si>
    <t>政府土地出让收益=楼面熟地价×政府土地出让收益比例</t>
    <phoneticPr fontId="121" type="noConversion"/>
  </si>
  <si>
    <t>地下部分</t>
    <phoneticPr fontId="121" type="noConversion"/>
  </si>
  <si>
    <t>楼面熟地价=适用的基准地价×期日修正系数×年期修正系数×因素修正系数×相应用途地下空间修正系数</t>
    <phoneticPr fontId="121" type="noConversion"/>
  </si>
  <si>
    <t>相应用途地下空间修正系数</t>
  </si>
  <si>
    <t>地下第1层商业</t>
    <phoneticPr fontId="121" type="noConversion"/>
  </si>
  <si>
    <t>地下第2层商业</t>
    <phoneticPr fontId="121" type="noConversion"/>
  </si>
  <si>
    <t>地下办公</t>
    <phoneticPr fontId="121" type="noConversion"/>
  </si>
  <si>
    <t>地下仓储</t>
    <phoneticPr fontId="121" type="noConversion"/>
  </si>
  <si>
    <t>地下车库</t>
    <phoneticPr fontId="121" type="noConversion"/>
  </si>
  <si>
    <t>结果不可超过《北京市区片基准地价因素总修正幅度表》所列修正幅度；依据估价对象用途调整链接</t>
    <phoneticPr fontId="121" type="noConversion"/>
  </si>
  <si>
    <t>商业</t>
    <phoneticPr fontId="121" type="noConversion"/>
  </si>
  <si>
    <t>影响因素</t>
    <phoneticPr fontId="121" type="noConversion"/>
  </si>
  <si>
    <t>情况说明</t>
    <phoneticPr fontId="121" type="noConversion"/>
  </si>
  <si>
    <t>等级</t>
    <phoneticPr fontId="121" type="noConversion"/>
  </si>
  <si>
    <r>
      <rPr>
        <sz val="10"/>
        <color indexed="8"/>
        <rFont val="楷体_GB2312"/>
        <family val="3"/>
        <charset val="134"/>
      </rPr>
      <t>修正幅度</t>
    </r>
    <phoneticPr fontId="121" type="noConversion"/>
  </si>
  <si>
    <r>
      <rPr>
        <sz val="10"/>
        <color indexed="8"/>
        <rFont val="楷体_GB2312"/>
        <family val="3"/>
        <charset val="134"/>
      </rPr>
      <t>权重</t>
    </r>
    <phoneticPr fontId="121" type="noConversion"/>
  </si>
  <si>
    <r>
      <rPr>
        <sz val="10"/>
        <rFont val="楷体_GB2312"/>
        <family val="3"/>
        <charset val="134"/>
      </rPr>
      <t>合计</t>
    </r>
    <phoneticPr fontId="121" type="noConversion"/>
  </si>
  <si>
    <r>
      <rPr>
        <sz val="10"/>
        <color indexed="8"/>
        <rFont val="宋体"/>
        <family val="3"/>
        <charset val="134"/>
      </rPr>
      <t>修正系数</t>
    </r>
    <phoneticPr fontId="121" type="noConversion"/>
  </si>
  <si>
    <r>
      <rPr>
        <sz val="11"/>
        <color indexed="8"/>
        <rFont val="楷体_GB2312"/>
        <family val="3"/>
        <charset val="134"/>
      </rPr>
      <t>好</t>
    </r>
    <phoneticPr fontId="121" type="noConversion"/>
  </si>
  <si>
    <r>
      <rPr>
        <sz val="11"/>
        <color indexed="8"/>
        <rFont val="楷体_GB2312"/>
        <family val="3"/>
        <charset val="134"/>
      </rPr>
      <t>较好</t>
    </r>
    <phoneticPr fontId="121" type="noConversion"/>
  </si>
  <si>
    <r>
      <rPr>
        <sz val="11"/>
        <color indexed="8"/>
        <rFont val="楷体_GB2312"/>
        <family val="3"/>
        <charset val="134"/>
      </rPr>
      <t>一般</t>
    </r>
    <phoneticPr fontId="121" type="noConversion"/>
  </si>
  <si>
    <r>
      <rPr>
        <sz val="11"/>
        <color indexed="8"/>
        <rFont val="楷体_GB2312"/>
        <family val="3"/>
        <charset val="134"/>
      </rPr>
      <t>较差</t>
    </r>
    <phoneticPr fontId="121" type="noConversion"/>
  </si>
  <si>
    <r>
      <rPr>
        <sz val="11"/>
        <color indexed="8"/>
        <rFont val="楷体_GB2312"/>
        <family val="3"/>
        <charset val="134"/>
      </rPr>
      <t>差</t>
    </r>
    <phoneticPr fontId="121" type="noConversion"/>
  </si>
  <si>
    <t xml:space="preserve"> 商业繁华程度</t>
    <phoneticPr fontId="121" type="noConversion"/>
  </si>
  <si>
    <t>交通便捷度</t>
    <phoneticPr fontId="121" type="noConversion"/>
  </si>
  <si>
    <t>区域土地利用方向</t>
    <phoneticPr fontId="121" type="noConversion"/>
  </si>
  <si>
    <t>临街宽度和深度</t>
    <phoneticPr fontId="121" type="noConversion"/>
  </si>
  <si>
    <t>临街道路状况</t>
    <phoneticPr fontId="121" type="noConversion"/>
  </si>
  <si>
    <t>宗地形状及可利用程度</t>
    <phoneticPr fontId="121" type="noConversion"/>
  </si>
  <si>
    <t>公共服务设施状况</t>
    <phoneticPr fontId="121" type="noConversion"/>
  </si>
  <si>
    <t>基础设施完备状况</t>
    <phoneticPr fontId="121" type="noConversion"/>
  </si>
  <si>
    <t>自然和人文环境状况</t>
    <phoneticPr fontId="121" type="noConversion"/>
  </si>
  <si>
    <t>办公</t>
    <phoneticPr fontId="121" type="noConversion"/>
  </si>
  <si>
    <t>办公集聚程度</t>
    <phoneticPr fontId="121" type="noConversion"/>
  </si>
  <si>
    <t>住宅</t>
    <phoneticPr fontId="121" type="noConversion"/>
  </si>
  <si>
    <t>居住社区成熟度</t>
    <phoneticPr fontId="121" type="noConversion"/>
  </si>
  <si>
    <t>交通便捷度</t>
    <phoneticPr fontId="121" type="noConversion"/>
  </si>
  <si>
    <t>临路状况</t>
    <phoneticPr fontId="121" type="noConversion"/>
  </si>
  <si>
    <t>与区域中心的接近程度</t>
    <phoneticPr fontId="121" type="noConversion"/>
  </si>
  <si>
    <t>工业</t>
    <phoneticPr fontId="121" type="noConversion"/>
  </si>
  <si>
    <t>产业集聚程度</t>
    <phoneticPr fontId="121" type="noConversion"/>
  </si>
  <si>
    <t>环境状况</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</si>
  <si>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</si>
  <si>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</si>
  <si>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</si>
  <si>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</si>
  <si>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</si>
  <si>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</si>
  <si>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</si>
  <si>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</si>
  <si>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</si>
  <si>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</si>
  <si>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</si>
  <si>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</si>
  <si>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Ⅱ—02</t>
  </si>
  <si>
    <t>Ⅲ—02</t>
  </si>
  <si>
    <t>Ⅳ-02</t>
  </si>
  <si>
    <t>Ⅴ-02</t>
  </si>
  <si>
    <t>Ⅵ-02</t>
  </si>
  <si>
    <t>Ⅶ-02</t>
  </si>
  <si>
    <t>Ⅷ-02</t>
  </si>
  <si>
    <t>Ⅸ-02</t>
  </si>
  <si>
    <t>Ⅹ-02</t>
  </si>
  <si>
    <t>Ⅰ—03</t>
  </si>
  <si>
    <t>Ⅱ—03</t>
  </si>
  <si>
    <t>Ⅲ—03</t>
  </si>
  <si>
    <t>Ⅳ-03</t>
  </si>
  <si>
    <t>Ⅴ-03</t>
  </si>
  <si>
    <t>Ⅵ-03</t>
  </si>
  <si>
    <t>Ⅶ-03</t>
  </si>
  <si>
    <t>Ⅷ-03</t>
  </si>
  <si>
    <t>一级</t>
  </si>
  <si>
    <t>Ⅰ—04</t>
  </si>
  <si>
    <t>Ⅱ—04</t>
  </si>
  <si>
    <t>Ⅲ—04</t>
  </si>
  <si>
    <t>Ⅳ-04</t>
  </si>
  <si>
    <t>Ⅴ-04</t>
  </si>
  <si>
    <t>Ⅵ-04</t>
  </si>
  <si>
    <t>Ⅶ-04</t>
  </si>
  <si>
    <t>Ⅷ-04</t>
  </si>
  <si>
    <t>Ⅺ-房2</t>
  </si>
  <si>
    <t>二级</t>
    <phoneticPr fontId="121" type="noConversion"/>
  </si>
  <si>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</si>
  <si>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</si>
  <si>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</si>
  <si>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</si>
  <si>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</si>
  <si>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</si>
  <si>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</si>
  <si>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</si>
  <si>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</si>
  <si>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</si>
  <si>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</si>
  <si>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</si>
  <si>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</si>
  <si>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</si>
  <si>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</si>
  <si>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</si>
  <si>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</si>
  <si>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</si>
  <si>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</si>
  <si>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</si>
  <si>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</si>
  <si>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</si>
  <si>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</si>
  <si>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</si>
  <si>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</si>
  <si>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</si>
  <si>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</si>
  <si>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</si>
  <si>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</si>
  <si>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</si>
  <si>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</si>
  <si>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</si>
  <si>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</si>
  <si>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</si>
  <si>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</si>
  <si>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</si>
  <si>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</si>
  <si>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</si>
  <si>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</si>
  <si>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</si>
  <si>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</si>
  <si>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</si>
  <si>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</si>
  <si>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</si>
  <si>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</si>
  <si>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</si>
  <si>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</si>
  <si>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</si>
  <si>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</si>
  <si>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</si>
  <si>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</si>
  <si>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</si>
  <si>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</si>
  <si>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</si>
  <si>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</si>
  <si>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</si>
  <si>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</si>
  <si>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</si>
  <si>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</si>
  <si>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</si>
  <si>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</si>
  <si>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Ⅱ—13</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</si>
  <si>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</si>
  <si>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</si>
  <si>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</si>
  <si>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</si>
  <si>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</si>
  <si>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</si>
  <si>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</si>
  <si>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</si>
  <si>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</si>
  <si>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</si>
  <si>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</si>
  <si>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</si>
  <si>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</si>
  <si>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</si>
  <si>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</si>
  <si>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</si>
  <si>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</si>
  <si>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</si>
  <si>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</si>
  <si>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</si>
  <si>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</si>
  <si>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</si>
  <si>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</si>
  <si>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</si>
  <si>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</si>
  <si>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</si>
  <si>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</si>
  <si>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</si>
  <si>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</si>
  <si>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</si>
  <si>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</si>
  <si>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</si>
  <si>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</si>
  <si>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</si>
  <si>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</si>
  <si>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</si>
  <si>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</si>
  <si>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</si>
  <si>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</si>
  <si>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</si>
  <si>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</si>
  <si>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</si>
  <si>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</si>
  <si>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</si>
  <si>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</si>
  <si>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</si>
  <si>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</si>
  <si>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</si>
  <si>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</si>
  <si>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</si>
  <si>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</si>
  <si>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</si>
  <si>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</si>
  <si>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</si>
  <si>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</si>
  <si>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</si>
  <si>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</si>
  <si>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</si>
  <si>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</si>
  <si>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</si>
  <si>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Ⅶ-兴2</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</si>
  <si>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</si>
  <si>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</si>
  <si>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</si>
  <si>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</si>
  <si>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</si>
  <si>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</si>
  <si>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</si>
  <si>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</si>
  <si>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</si>
  <si>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</si>
  <si>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</si>
  <si>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</si>
  <si>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</si>
  <si>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</si>
  <si>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</si>
  <si>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</si>
  <si>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</si>
  <si>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</si>
  <si>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</si>
  <si>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</si>
  <si>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</si>
  <si>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</si>
  <si>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</si>
  <si>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</si>
  <si>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</si>
  <si>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</si>
  <si>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</si>
  <si>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</si>
  <si>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</si>
  <si>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六级</t>
  </si>
  <si>
    <t>七级</t>
  </si>
  <si>
    <t>八级</t>
  </si>
  <si>
    <t>九级</t>
  </si>
  <si>
    <t>十级</t>
  </si>
  <si>
    <t>工业</t>
    <phoneticPr fontId="121" type="noConversion"/>
  </si>
  <si>
    <t>——</t>
    <phoneticPr fontId="121" type="noConversion"/>
  </si>
  <si>
    <t>北京市基准地价用途修正系数表</t>
    <phoneticPr fontId="121" type="noConversion"/>
  </si>
  <si>
    <t>用途</t>
    <phoneticPr fontId="121" type="noConversion"/>
  </si>
  <si>
    <t>地下</t>
    <phoneticPr fontId="121" type="noConversion"/>
  </si>
  <si>
    <t>地下仓储</t>
    <phoneticPr fontId="121" type="noConversion"/>
  </si>
  <si>
    <t>车库</t>
    <phoneticPr fontId="121" type="noConversion"/>
  </si>
  <si>
    <t>北京市商业路线价加价幅度表</t>
    <phoneticPr fontId="121" type="noConversion"/>
  </si>
  <si>
    <t>序号</t>
    <phoneticPr fontId="121" type="noConversion"/>
  </si>
  <si>
    <t>区县</t>
    <phoneticPr fontId="121" type="noConversion"/>
  </si>
  <si>
    <t>商业街名称</t>
    <phoneticPr fontId="121" type="noConversion"/>
  </si>
  <si>
    <t>起止点</t>
    <phoneticPr fontId="121" type="noConversion"/>
  </si>
  <si>
    <t>加价幅度</t>
    <phoneticPr fontId="121" type="noConversion"/>
  </si>
  <si>
    <t>标准深度（m）</t>
    <phoneticPr fontId="121" type="noConversion"/>
  </si>
  <si>
    <t>北京市基准地价商业用途楼层修正系数表</t>
    <phoneticPr fontId="121" type="noConversion"/>
  </si>
  <si>
    <t>所在楼层</t>
    <phoneticPr fontId="121" type="noConversion"/>
  </si>
  <si>
    <t>楼层修正系数</t>
    <phoneticPr fontId="121" type="noConversion"/>
  </si>
  <si>
    <t>说明：R为宗地地上容积率</t>
    <phoneticPr fontId="121" type="noConversion"/>
  </si>
  <si>
    <t>基准地价</t>
    <phoneticPr fontId="14" type="noConversion"/>
  </si>
  <si>
    <t>*</t>
    <phoneticPr fontId="14" type="noConversion"/>
  </si>
  <si>
    <t>无</t>
    <phoneticPr fontId="120"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</si>
  <si>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</si>
  <si>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</si>
  <si>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</si>
  <si>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</si>
  <si>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</si>
  <si>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</si>
  <si>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</si>
  <si>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</si>
  <si>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</si>
  <si>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</si>
  <si>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</si>
  <si>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</si>
  <si>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</si>
  <si>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</si>
  <si>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</si>
  <si>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</si>
  <si>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</si>
  <si>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</si>
  <si>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</si>
  <si>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</si>
  <si>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</si>
  <si>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</si>
  <si>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</si>
  <si>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</si>
  <si>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</si>
  <si>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</si>
  <si>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</si>
  <si>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</si>
  <si>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</si>
  <si>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</si>
  <si>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</si>
  <si>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</si>
  <si>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0" type="noConversion"/>
  </si>
  <si>
    <t>办公</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</si>
  <si>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</si>
  <si>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</si>
  <si>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</si>
  <si>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</si>
  <si>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</si>
  <si>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</si>
  <si>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</si>
  <si>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1"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</si>
  <si>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</si>
  <si>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</si>
  <si>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</si>
  <si>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</si>
  <si>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</si>
  <si>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</si>
  <si>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1" type="noConversion"/>
  </si>
  <si>
    <r>
      <rPr>
        <sz val="10"/>
        <color indexed="10"/>
        <rFont val="仿宋_GB2312"/>
        <family val="3"/>
        <charset val="134"/>
      </rPr>
      <t>依据《北京市区片基准地价表》，能否通过用途和级别筛选？</t>
    </r>
    <phoneticPr fontId="121" type="noConversion"/>
  </si>
  <si>
    <r>
      <rPr>
        <sz val="10"/>
        <color indexed="8"/>
        <rFont val="仿宋_GB2312"/>
        <family val="3"/>
        <charset val="134"/>
      </rPr>
      <t>特殊情况</t>
    </r>
    <phoneticPr fontId="121" type="noConversion"/>
  </si>
  <si>
    <r>
      <rPr>
        <sz val="10"/>
        <color indexed="8"/>
        <rFont val="仿宋_GB2312"/>
        <family val="3"/>
        <charset val="134"/>
      </rPr>
      <t>公园</t>
    </r>
    <phoneticPr fontId="121" type="noConversion"/>
  </si>
  <si>
    <r>
      <rPr>
        <sz val="10"/>
        <color indexed="8"/>
        <rFont val="仿宋_GB2312"/>
        <family val="3"/>
        <charset val="134"/>
      </rPr>
      <t>水系</t>
    </r>
    <phoneticPr fontId="121" type="noConversion"/>
  </si>
  <si>
    <r>
      <rPr>
        <sz val="10"/>
        <color indexed="8"/>
        <rFont val="仿宋_GB2312"/>
        <family val="3"/>
        <charset val="134"/>
      </rPr>
      <t>修正系数</t>
    </r>
    <phoneticPr fontId="121" type="noConversion"/>
  </si>
  <si>
    <r>
      <rPr>
        <sz val="10"/>
        <rFont val="仿宋_GB2312"/>
        <family val="3"/>
        <charset val="134"/>
      </rPr>
      <t>政府土地出让收益比例</t>
    </r>
    <phoneticPr fontId="121" type="noConversion"/>
  </si>
  <si>
    <r>
      <rPr>
        <sz val="10"/>
        <rFont val="仿宋_GB2312"/>
        <family val="3"/>
        <charset val="134"/>
      </rPr>
      <t>工业</t>
    </r>
    <phoneticPr fontId="121"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</si>
  <si>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</si>
  <si>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</si>
  <si>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</si>
  <si>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</si>
  <si>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</si>
  <si>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</si>
  <si>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</si>
  <si>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</si>
  <si>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</si>
  <si>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</si>
  <si>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</si>
  <si>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</si>
  <si>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</si>
  <si>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</si>
  <si>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</si>
  <si>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</si>
  <si>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7" type="noConversion"/>
  </si>
  <si>
    <t>外省市地下修正系数请自行录入</t>
    <phoneticPr fontId="127"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</si>
  <si>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</si>
  <si>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</si>
  <si>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</si>
  <si>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</si>
  <si>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</si>
  <si>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</si>
  <si>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</si>
  <si>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</si>
  <si>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</si>
  <si>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</si>
  <si>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</si>
  <si>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</si>
  <si>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</si>
  <si>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</si>
  <si>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</si>
  <si>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</si>
  <si>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</si>
  <si>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</si>
  <si>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</si>
  <si>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</si>
  <si>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</si>
  <si>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</si>
  <si>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</si>
  <si>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</si>
  <si>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</si>
  <si>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</si>
  <si>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</si>
  <si>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</si>
  <si>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</si>
  <si>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</si>
  <si>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</si>
  <si>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</si>
  <si>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</si>
  <si>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</si>
  <si>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</si>
  <si>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</si>
  <si>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</si>
  <si>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</si>
  <si>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</si>
  <si>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</si>
  <si>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</si>
  <si>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</si>
  <si>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</si>
  <si>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</si>
  <si>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</si>
  <si>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</si>
  <si>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</si>
  <si>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</si>
  <si>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</si>
  <si>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</si>
  <si>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</si>
  <si>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</si>
  <si>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</si>
  <si>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</si>
  <si>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</si>
  <si>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</si>
  <si>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</si>
  <si>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</si>
  <si>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</si>
  <si>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</si>
  <si>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</si>
  <si>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</si>
  <si>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</si>
  <si>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</si>
  <si>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</si>
  <si>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</si>
  <si>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</si>
  <si>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</si>
  <si>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</si>
  <si>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</si>
  <si>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</si>
  <si>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</si>
  <si>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</si>
  <si>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</si>
  <si>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</si>
  <si>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</si>
  <si>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</si>
  <si>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</si>
  <si>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</si>
  <si>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</si>
  <si>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</si>
  <si>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</si>
  <si>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</si>
  <si>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</si>
  <si>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</si>
  <si>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</si>
  <si>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</si>
  <si>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</si>
  <si>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</si>
  <si>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</si>
  <si>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</si>
  <si>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</si>
  <si>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</si>
  <si>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</si>
  <si>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</si>
  <si>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</si>
  <si>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</si>
  <si>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</si>
  <si>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</si>
  <si>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</si>
  <si>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</si>
  <si>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</si>
  <si>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</si>
  <si>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</si>
  <si>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</si>
  <si>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</si>
  <si>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</si>
  <si>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</si>
  <si>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</si>
  <si>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</si>
  <si>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</si>
  <si>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</si>
  <si>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</si>
  <si>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</si>
  <si>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</si>
  <si>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</si>
  <si>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</si>
  <si>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</si>
  <si>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</si>
  <si>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</si>
  <si>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</si>
  <si>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</si>
  <si>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</si>
  <si>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</si>
  <si>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</si>
  <si>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</si>
  <si>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</si>
  <si>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</si>
  <si>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</si>
  <si>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</si>
  <si>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</si>
  <si>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</si>
  <si>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</si>
  <si>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</si>
  <si>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</si>
  <si>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</si>
  <si>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</si>
  <si>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</si>
  <si>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</si>
  <si>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</si>
  <si>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</si>
  <si>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</si>
  <si>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</si>
  <si>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</si>
  <si>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</si>
  <si>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</si>
  <si>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</si>
  <si>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</si>
  <si>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</si>
  <si>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</si>
  <si>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</si>
  <si>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</si>
  <si>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</si>
  <si>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</si>
  <si>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</si>
  <si>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</si>
  <si>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</si>
  <si>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</si>
  <si>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</si>
  <si>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</si>
  <si>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</si>
  <si>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</si>
  <si>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</si>
  <si>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</si>
  <si>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</si>
  <si>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</si>
  <si>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</si>
  <si>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</si>
  <si>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</si>
  <si>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</si>
  <si>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</si>
  <si>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</si>
  <si>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</si>
  <si>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</si>
  <si>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</si>
  <si>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</si>
  <si>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</si>
  <si>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</si>
  <si>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</si>
  <si>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</si>
  <si>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</si>
  <si>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</si>
  <si>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</si>
  <si>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</si>
  <si>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</si>
  <si>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</si>
  <si>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</si>
  <si>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</si>
  <si>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</si>
  <si>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</si>
  <si>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</si>
  <si>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</si>
  <si>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</si>
  <si>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</si>
  <si>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</si>
  <si>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</si>
  <si>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</si>
  <si>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</si>
  <si>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</si>
  <si>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</si>
  <si>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</si>
  <si>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</si>
  <si>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</si>
  <si>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</si>
  <si>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</si>
  <si>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</si>
  <si>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</si>
  <si>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</si>
  <si>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</si>
  <si>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</si>
  <si>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</si>
  <si>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</si>
  <si>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</si>
  <si>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</si>
  <si>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</si>
  <si>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</si>
  <si>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</si>
  <si>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</si>
  <si>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车库</t>
    <phoneticPr fontId="3" type="noConversion"/>
  </si>
  <si>
    <t>仓储</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</si>
  <si>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</si>
  <si>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</si>
  <si>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</si>
  <si>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</si>
  <si>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</si>
  <si>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</si>
  <si>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</si>
  <si>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</si>
  <si>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</si>
  <si>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</si>
  <si>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</si>
  <si>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</si>
  <si>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</si>
  <si>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</si>
  <si>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</si>
  <si>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</si>
  <si>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</si>
  <si>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</si>
  <si>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</si>
  <si>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</si>
  <si>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</si>
  <si>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</si>
  <si>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</si>
  <si>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</si>
  <si>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</si>
  <si>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</si>
  <si>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</si>
  <si>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</si>
  <si>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</si>
  <si>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</si>
  <si>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</si>
  <si>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</si>
  <si>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</si>
  <si>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</si>
  <si>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</si>
  <si>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</si>
  <si>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</si>
  <si>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</si>
  <si>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</si>
  <si>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</si>
  <si>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</si>
  <si>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</si>
  <si>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</si>
  <si>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</si>
  <si>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</si>
  <si>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</si>
  <si>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</si>
  <si>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</si>
  <si>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</si>
  <si>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</si>
  <si>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</si>
  <si>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</si>
  <si>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</si>
  <si>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</si>
  <si>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</si>
  <si>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</si>
  <si>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</si>
  <si>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</si>
  <si>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</si>
  <si>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</si>
  <si>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</si>
  <si>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</si>
  <si>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</si>
  <si>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</si>
  <si>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</si>
  <si>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</si>
  <si>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</si>
  <si>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</si>
  <si>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</si>
  <si>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</si>
  <si>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</si>
  <si>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</si>
  <si>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</si>
  <si>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3"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</si>
  <si>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</si>
  <si>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</si>
  <si>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</si>
  <si>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</si>
  <si>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</si>
  <si>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</si>
  <si>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</si>
  <si>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</si>
  <si>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</si>
  <si>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3" type="noConversion"/>
  </si>
  <si>
    <t>估价机构：北京康正宏基房地产评估有限公司</t>
  </si>
  <si>
    <t>估价机构：北京康正宏基房地产评估有限公司</t>
    <phoneticPr fontId="133" type="noConversion"/>
  </si>
  <si>
    <t>币种：人民币</t>
    <phoneticPr fontId="133" type="noConversion"/>
  </si>
  <si>
    <t>证载（或批准）</t>
    <phoneticPr fontId="133" type="noConversion"/>
  </si>
  <si>
    <t>单位面积地价/元/㎡</t>
    <phoneticPr fontId="133" type="noConversion"/>
  </si>
  <si>
    <t>二、其他需要说明的事项：</t>
    <phoneticPr fontId="133"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</si>
  <si>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</si>
  <si>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</si>
  <si>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</si>
  <si>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</si>
  <si>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</si>
  <si>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</si>
  <si>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</si>
  <si>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</si>
  <si>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3" type="noConversion"/>
  </si>
  <si>
    <t>宗地内平整情况设定为：</t>
    <phoneticPr fontId="6" type="noConversion"/>
  </si>
  <si>
    <t>估价结果（过程）</t>
    <phoneticPr fontId="138" type="noConversion"/>
  </si>
  <si>
    <t>估价对象范围</t>
    <phoneticPr fontId="138" type="noConversion"/>
  </si>
  <si>
    <t>估价对象状态</t>
    <phoneticPr fontId="138"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</si>
  <si>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</si>
  <si>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</si>
  <si>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</si>
  <si>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</si>
  <si>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</si>
  <si>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</si>
  <si>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</si>
  <si>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3" type="noConversion"/>
  </si>
  <si>
    <t>4.影响价格的其他限定条件：无。</t>
    <phoneticPr fontId="133"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</si>
  <si>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</si>
  <si>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</si>
  <si>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</si>
  <si>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</si>
  <si>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</si>
  <si>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3" type="noConversion"/>
  </si>
  <si>
    <t>3.规划利用条件</t>
    <phoneticPr fontId="133" type="noConversion"/>
  </si>
  <si>
    <t>4.土地使用年限</t>
    <phoneticPr fontId="133" type="noConversion"/>
  </si>
  <si>
    <t>5.地价定义</t>
    <phoneticPr fontId="133" type="noConversion"/>
  </si>
  <si>
    <t>车位数</t>
    <phoneticPr fontId="27" type="noConversion"/>
  </si>
  <si>
    <t>成交单价</t>
    <phoneticPr fontId="3" type="noConversion"/>
  </si>
  <si>
    <t>元/平方米</t>
  </si>
  <si>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</si>
  <si>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</si>
  <si>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</si>
  <si>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</si>
  <si>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</si>
  <si>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</si>
  <si>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</si>
  <si>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</si>
  <si>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</si>
  <si>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</si>
  <si>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</si>
  <si>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</si>
  <si>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</si>
  <si>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</si>
  <si>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</si>
  <si>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</si>
  <si>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0" type="noConversion"/>
  </si>
  <si>
    <t>万元/亩</t>
    <phoneticPr fontId="120"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</si>
  <si>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</si>
  <si>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</si>
  <si>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</si>
  <si>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</si>
  <si>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</si>
  <si>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</si>
  <si>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</si>
  <si>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</si>
  <si>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</si>
  <si>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</si>
  <si>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</si>
  <si>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</si>
  <si>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</si>
  <si>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</si>
  <si>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</si>
  <si>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</si>
  <si>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</si>
  <si>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</si>
  <si>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</si>
  <si>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</si>
  <si>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</si>
  <si>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</si>
  <si>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</si>
  <si>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0"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</si>
  <si>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</si>
  <si>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</si>
  <si>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</si>
  <si>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</si>
  <si>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</si>
  <si>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</si>
  <si>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</si>
  <si>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</si>
  <si>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</si>
  <si>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</si>
  <si>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</si>
  <si>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</si>
  <si>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</si>
  <si>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</si>
  <si>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</si>
  <si>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</si>
  <si>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</si>
  <si>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</si>
  <si>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</si>
  <si>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</si>
  <si>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</si>
  <si>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</si>
  <si>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</si>
  <si>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</si>
  <si>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</si>
  <si>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</si>
  <si>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</si>
  <si>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</si>
  <si>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</si>
  <si>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</si>
  <si>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</si>
  <si>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</si>
  <si>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</si>
  <si>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</si>
  <si>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</si>
  <si>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</si>
  <si>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</si>
  <si>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</si>
  <si>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</si>
  <si>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</si>
  <si>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</si>
  <si>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</si>
  <si>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</si>
  <si>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</si>
  <si>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</si>
  <si>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</si>
  <si>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</si>
  <si>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</si>
  <si>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</si>
  <si>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</si>
  <si>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</si>
  <si>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</si>
  <si>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</si>
  <si>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</si>
  <si>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</si>
  <si>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</si>
  <si>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</si>
  <si>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</si>
  <si>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</si>
  <si>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</si>
  <si>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</si>
  <si>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</si>
  <si>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</si>
  <si>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</si>
  <si>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</si>
  <si>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</si>
  <si>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</si>
  <si>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</si>
  <si>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</si>
  <si>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</si>
  <si>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</si>
  <si>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</si>
  <si>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</si>
  <si>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</si>
  <si>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</si>
  <si>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</si>
  <si>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</si>
  <si>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</si>
  <si>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</si>
  <si>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</si>
  <si>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</si>
  <si>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</si>
  <si>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</si>
  <si>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</si>
  <si>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</si>
  <si>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</si>
  <si>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</si>
  <si>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</si>
  <si>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</si>
  <si>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</si>
  <si>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</si>
  <si>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</si>
  <si>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</si>
  <si>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</si>
  <si>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</si>
  <si>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</si>
  <si>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</si>
  <si>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</si>
  <si>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</si>
  <si>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</si>
  <si>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</si>
  <si>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</si>
  <si>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</si>
  <si>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</si>
  <si>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</si>
  <si>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</si>
  <si>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</si>
  <si>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</si>
  <si>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</si>
  <si>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</si>
  <si>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</si>
  <si>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</si>
  <si>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</si>
  <si>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</si>
  <si>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</si>
  <si>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</si>
  <si>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</si>
  <si>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</si>
  <si>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</si>
  <si>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</si>
  <si>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</si>
  <si>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</si>
  <si>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</si>
  <si>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</si>
  <si>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</si>
  <si>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</si>
  <si>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</si>
  <si>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</si>
  <si>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</si>
  <si>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</si>
  <si>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</si>
  <si>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</si>
  <si>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</si>
  <si>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</si>
  <si>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</si>
  <si>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</si>
  <si>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</si>
  <si>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宗地开发程度</t>
    <phoneticPr fontId="26" type="noConversion"/>
  </si>
  <si>
    <t>宗地开发程度</t>
    <phoneticPr fontId="3" type="noConversion"/>
  </si>
  <si>
    <t>建筑面积</t>
    <phoneticPr fontId="121" type="noConversion"/>
  </si>
  <si>
    <t>土地面积</t>
    <phoneticPr fontId="121"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</si>
  <si>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</si>
  <si>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</si>
  <si>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</si>
  <si>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</si>
  <si>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</si>
  <si>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</si>
  <si>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</si>
  <si>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</si>
  <si>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</si>
  <si>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</si>
  <si>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</si>
  <si>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</si>
  <si>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</si>
  <si>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</si>
  <si>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</si>
  <si>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</si>
  <si>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</si>
  <si>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</si>
  <si>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</si>
  <si>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</si>
  <si>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</si>
  <si>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</si>
  <si>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</si>
  <si>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</si>
  <si>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</si>
  <si>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</si>
  <si>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</si>
  <si>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</si>
  <si>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</si>
  <si>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</si>
  <si>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</si>
  <si>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</si>
  <si>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</si>
  <si>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</si>
  <si>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</si>
  <si>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</si>
  <si>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</si>
  <si>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</si>
  <si>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</si>
  <si>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</si>
  <si>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</si>
  <si>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</si>
  <si>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</si>
  <si>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</si>
  <si>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</si>
  <si>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</si>
  <si>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</si>
  <si>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</si>
  <si>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</si>
  <si>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</si>
  <si>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</si>
  <si>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</si>
  <si>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</si>
  <si>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</si>
  <si>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</si>
  <si>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</si>
  <si>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</si>
  <si>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</si>
  <si>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</si>
  <si>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</si>
  <si>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</si>
  <si>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</si>
  <si>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</si>
  <si>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</si>
  <si>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</si>
  <si>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</si>
  <si>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</si>
  <si>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</si>
  <si>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</si>
  <si>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</si>
  <si>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</si>
  <si>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</si>
  <si>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</si>
  <si>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</si>
  <si>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</si>
  <si>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</si>
  <si>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</si>
  <si>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3" type="noConversion"/>
  </si>
  <si>
    <t>公示地价指数</t>
    <phoneticPr fontId="231" type="noConversion"/>
  </si>
  <si>
    <r>
      <rPr>
        <b/>
        <sz val="10"/>
        <color theme="1"/>
        <rFont val="楷体_GB2312"/>
        <family val="2"/>
        <charset val="134"/>
      </rPr>
      <t>公示增长率</t>
    </r>
    <phoneticPr fontId="231" type="noConversion"/>
  </si>
  <si>
    <r>
      <rPr>
        <b/>
        <sz val="10"/>
        <color theme="1"/>
        <rFont val="楷体_GB2312"/>
        <family val="2"/>
        <charset val="134"/>
      </rPr>
      <t>核算至百分数</t>
    </r>
    <phoneticPr fontId="231" type="noConversion"/>
  </si>
  <si>
    <r>
      <rPr>
        <b/>
        <sz val="10"/>
        <color theme="1"/>
        <rFont val="楷体_GB2312"/>
        <family val="2"/>
        <charset val="134"/>
      </rPr>
      <t>验证</t>
    </r>
    <phoneticPr fontId="231" type="noConversion"/>
  </si>
  <si>
    <t>综合</t>
    <phoneticPr fontId="3" type="noConversion"/>
  </si>
  <si>
    <t>2017-2</t>
    <phoneticPr fontId="3" type="noConversion"/>
  </si>
  <si>
    <t>2017-1</t>
    <phoneticPr fontId="3" type="noConversion"/>
  </si>
  <si>
    <t>2013-4</t>
    <phoneticPr fontId="224" type="noConversion"/>
  </si>
  <si>
    <t>2013-3</t>
    <phoneticPr fontId="224" type="noConversion"/>
  </si>
  <si>
    <t>2013-2</t>
    <phoneticPr fontId="224" type="noConversion"/>
  </si>
  <si>
    <t>2013-1</t>
    <phoneticPr fontId="224" type="noConversion"/>
  </si>
  <si>
    <r>
      <t>2</t>
    </r>
    <r>
      <rPr>
        <sz val="10"/>
        <color theme="1"/>
        <rFont val="Arial"/>
        <family val="2"/>
      </rPr>
      <t>012-4</t>
    </r>
    <phoneticPr fontId="224" type="noConversion"/>
  </si>
  <si>
    <r>
      <t>2</t>
    </r>
    <r>
      <rPr>
        <sz val="10"/>
        <color theme="1"/>
        <rFont val="Arial"/>
        <family val="2"/>
      </rPr>
      <t>012-3</t>
    </r>
    <phoneticPr fontId="224" type="noConversion"/>
  </si>
  <si>
    <r>
      <t>2</t>
    </r>
    <r>
      <rPr>
        <sz val="10"/>
        <color theme="1"/>
        <rFont val="Arial"/>
        <family val="2"/>
      </rPr>
      <t>012-2</t>
    </r>
    <phoneticPr fontId="224" type="noConversion"/>
  </si>
  <si>
    <r>
      <t>2</t>
    </r>
    <r>
      <rPr>
        <sz val="10"/>
        <color theme="1"/>
        <rFont val="Arial"/>
        <family val="2"/>
      </rPr>
      <t>012-1</t>
    </r>
    <phoneticPr fontId="224" type="noConversion"/>
  </si>
  <si>
    <r>
      <t>2</t>
    </r>
    <r>
      <rPr>
        <sz val="10"/>
        <color theme="1"/>
        <rFont val="Arial"/>
        <family val="2"/>
      </rPr>
      <t>011-4</t>
    </r>
    <phoneticPr fontId="224" type="noConversion"/>
  </si>
  <si>
    <r>
      <t>2</t>
    </r>
    <r>
      <rPr>
        <sz val="10"/>
        <color theme="1"/>
        <rFont val="Arial"/>
        <family val="2"/>
      </rPr>
      <t>011-3</t>
    </r>
    <phoneticPr fontId="224" type="noConversion"/>
  </si>
  <si>
    <r>
      <t>2</t>
    </r>
    <r>
      <rPr>
        <sz val="10"/>
        <color theme="1"/>
        <rFont val="Arial"/>
        <family val="2"/>
      </rPr>
      <t>011-2</t>
    </r>
    <phoneticPr fontId="224" type="noConversion"/>
  </si>
  <si>
    <r>
      <t>2</t>
    </r>
    <r>
      <rPr>
        <sz val="10"/>
        <color theme="1"/>
        <rFont val="Arial"/>
        <family val="2"/>
      </rPr>
      <t>011-1</t>
    </r>
    <phoneticPr fontId="224" type="noConversion"/>
  </si>
  <si>
    <r>
      <t>2</t>
    </r>
    <r>
      <rPr>
        <sz val="10"/>
        <color theme="1"/>
        <rFont val="Arial"/>
        <family val="2"/>
      </rPr>
      <t>010-4</t>
    </r>
    <phoneticPr fontId="224" type="noConversion"/>
  </si>
  <si>
    <r>
      <t>2</t>
    </r>
    <r>
      <rPr>
        <sz val="10"/>
        <color theme="1"/>
        <rFont val="Arial"/>
        <family val="2"/>
      </rPr>
      <t>010-3</t>
    </r>
    <phoneticPr fontId="224" type="noConversion"/>
  </si>
  <si>
    <r>
      <t>2</t>
    </r>
    <r>
      <rPr>
        <sz val="10"/>
        <color theme="1"/>
        <rFont val="Arial"/>
        <family val="2"/>
      </rPr>
      <t>010-2</t>
    </r>
    <phoneticPr fontId="224" type="noConversion"/>
  </si>
  <si>
    <r>
      <t>2</t>
    </r>
    <r>
      <rPr>
        <sz val="10"/>
        <color theme="1"/>
        <rFont val="Arial"/>
        <family val="2"/>
      </rPr>
      <t>010-1</t>
    </r>
    <phoneticPr fontId="224" type="noConversion"/>
  </si>
  <si>
    <r>
      <t>2</t>
    </r>
    <r>
      <rPr>
        <sz val="10"/>
        <color theme="1"/>
        <rFont val="Arial"/>
        <family val="2"/>
      </rPr>
      <t>009-4</t>
    </r>
    <phoneticPr fontId="224" type="noConversion"/>
  </si>
  <si>
    <r>
      <t>2</t>
    </r>
    <r>
      <rPr>
        <sz val="10"/>
        <color theme="1"/>
        <rFont val="Arial"/>
        <family val="2"/>
      </rPr>
      <t>009-3</t>
    </r>
    <phoneticPr fontId="224" type="noConversion"/>
  </si>
  <si>
    <r>
      <t>2</t>
    </r>
    <r>
      <rPr>
        <sz val="10"/>
        <color theme="1"/>
        <rFont val="Arial"/>
        <family val="2"/>
      </rPr>
      <t>009-2</t>
    </r>
    <phoneticPr fontId="224" type="noConversion"/>
  </si>
  <si>
    <r>
      <t>2</t>
    </r>
    <r>
      <rPr>
        <sz val="10"/>
        <color theme="1"/>
        <rFont val="Arial"/>
        <family val="2"/>
      </rPr>
      <t>009-1</t>
    </r>
    <phoneticPr fontId="224" type="noConversion"/>
  </si>
  <si>
    <r>
      <t>2</t>
    </r>
    <r>
      <rPr>
        <sz val="10"/>
        <color theme="1"/>
        <rFont val="Arial"/>
        <family val="2"/>
      </rPr>
      <t>008-4</t>
    </r>
    <phoneticPr fontId="224" type="noConversion"/>
  </si>
  <si>
    <r>
      <t>2</t>
    </r>
    <r>
      <rPr>
        <sz val="10"/>
        <color theme="1"/>
        <rFont val="Arial"/>
        <family val="2"/>
      </rPr>
      <t>008-3</t>
    </r>
    <phoneticPr fontId="224" type="noConversion"/>
  </si>
  <si>
    <r>
      <t>2</t>
    </r>
    <r>
      <rPr>
        <sz val="10"/>
        <color theme="1"/>
        <rFont val="Arial"/>
        <family val="2"/>
      </rPr>
      <t>008-2</t>
    </r>
    <phoneticPr fontId="224" type="noConversion"/>
  </si>
  <si>
    <r>
      <t>2</t>
    </r>
    <r>
      <rPr>
        <sz val="10"/>
        <color theme="1"/>
        <rFont val="Arial"/>
        <family val="2"/>
      </rPr>
      <t>008-1</t>
    </r>
    <phoneticPr fontId="224" type="noConversion"/>
  </si>
  <si>
    <r>
      <t>2</t>
    </r>
    <r>
      <rPr>
        <sz val="10"/>
        <color theme="1"/>
        <rFont val="Arial"/>
        <family val="2"/>
      </rPr>
      <t>007-4</t>
    </r>
    <phoneticPr fontId="224" type="noConversion"/>
  </si>
  <si>
    <r>
      <t>2</t>
    </r>
    <r>
      <rPr>
        <sz val="10"/>
        <color theme="1"/>
        <rFont val="Arial"/>
        <family val="2"/>
      </rPr>
      <t>007-3</t>
    </r>
    <phoneticPr fontId="224" type="noConversion"/>
  </si>
  <si>
    <r>
      <t>2</t>
    </r>
    <r>
      <rPr>
        <sz val="10"/>
        <color theme="1"/>
        <rFont val="Arial"/>
        <family val="2"/>
      </rPr>
      <t>007-2</t>
    </r>
    <phoneticPr fontId="224" type="noConversion"/>
  </si>
  <si>
    <r>
      <t>2</t>
    </r>
    <r>
      <rPr>
        <sz val="10"/>
        <color theme="1"/>
        <rFont val="Arial"/>
        <family val="2"/>
      </rPr>
      <t>007-1</t>
    </r>
    <phoneticPr fontId="224" type="noConversion"/>
  </si>
  <si>
    <r>
      <t>2</t>
    </r>
    <r>
      <rPr>
        <sz val="10"/>
        <color theme="1"/>
        <rFont val="Arial"/>
        <family val="2"/>
      </rPr>
      <t>006-4</t>
    </r>
    <phoneticPr fontId="224" type="noConversion"/>
  </si>
  <si>
    <t>2006-3</t>
    <phoneticPr fontId="224" type="noConversion"/>
  </si>
  <si>
    <t>2006-2</t>
    <phoneticPr fontId="224" type="noConversion"/>
  </si>
  <si>
    <t>2006-1</t>
    <phoneticPr fontId="224" type="noConversion"/>
  </si>
  <si>
    <r>
      <t>2</t>
    </r>
    <r>
      <rPr>
        <sz val="10"/>
        <color theme="1"/>
        <rFont val="Arial"/>
        <family val="2"/>
      </rPr>
      <t>005-4</t>
    </r>
    <phoneticPr fontId="224" type="noConversion"/>
  </si>
  <si>
    <r>
      <t>2</t>
    </r>
    <r>
      <rPr>
        <sz val="10"/>
        <color theme="1"/>
        <rFont val="Arial"/>
        <family val="2"/>
      </rPr>
      <t>005-3</t>
    </r>
    <phoneticPr fontId="224" type="noConversion"/>
  </si>
  <si>
    <r>
      <t>2</t>
    </r>
    <r>
      <rPr>
        <sz val="10"/>
        <color theme="1"/>
        <rFont val="Arial"/>
        <family val="2"/>
      </rPr>
      <t>005-2</t>
    </r>
    <phoneticPr fontId="224" type="noConversion"/>
  </si>
  <si>
    <r>
      <t>2</t>
    </r>
    <r>
      <rPr>
        <sz val="10"/>
        <color theme="1"/>
        <rFont val="Arial"/>
        <family val="2"/>
      </rPr>
      <t>005-1</t>
    </r>
    <phoneticPr fontId="224" type="noConversion"/>
  </si>
  <si>
    <r>
      <t>2</t>
    </r>
    <r>
      <rPr>
        <sz val="10"/>
        <color theme="1"/>
        <rFont val="Arial"/>
        <family val="2"/>
      </rPr>
      <t>004-4</t>
    </r>
    <phoneticPr fontId="224" type="noConversion"/>
  </si>
  <si>
    <r>
      <t>2</t>
    </r>
    <r>
      <rPr>
        <sz val="10"/>
        <color theme="1"/>
        <rFont val="Arial"/>
        <family val="2"/>
      </rPr>
      <t>004-3</t>
    </r>
    <phoneticPr fontId="224" type="noConversion"/>
  </si>
  <si>
    <r>
      <t>2</t>
    </r>
    <r>
      <rPr>
        <sz val="10"/>
        <color theme="1"/>
        <rFont val="Arial"/>
        <family val="2"/>
      </rPr>
      <t>004-2</t>
    </r>
    <phoneticPr fontId="224" type="noConversion"/>
  </si>
  <si>
    <r>
      <t>2</t>
    </r>
    <r>
      <rPr>
        <sz val="10"/>
        <color theme="1"/>
        <rFont val="Arial"/>
        <family val="2"/>
      </rPr>
      <t>004-1</t>
    </r>
    <phoneticPr fontId="224" type="noConversion"/>
  </si>
  <si>
    <r>
      <t>2</t>
    </r>
    <r>
      <rPr>
        <sz val="10"/>
        <color theme="1"/>
        <rFont val="Arial"/>
        <family val="2"/>
      </rPr>
      <t>003-4</t>
    </r>
    <phoneticPr fontId="224" type="noConversion"/>
  </si>
  <si>
    <r>
      <t>2</t>
    </r>
    <r>
      <rPr>
        <sz val="10"/>
        <color theme="1"/>
        <rFont val="Arial"/>
        <family val="2"/>
      </rPr>
      <t>003-3</t>
    </r>
    <phoneticPr fontId="224" type="noConversion"/>
  </si>
  <si>
    <r>
      <t>2</t>
    </r>
    <r>
      <rPr>
        <sz val="10"/>
        <color theme="1"/>
        <rFont val="Arial"/>
        <family val="2"/>
      </rPr>
      <t>003-2</t>
    </r>
    <phoneticPr fontId="224" type="noConversion"/>
  </si>
  <si>
    <r>
      <t>2</t>
    </r>
    <r>
      <rPr>
        <sz val="10"/>
        <color theme="1"/>
        <rFont val="Arial"/>
        <family val="2"/>
      </rPr>
      <t>003-1</t>
    </r>
    <phoneticPr fontId="224" type="noConversion"/>
  </si>
  <si>
    <r>
      <t>2</t>
    </r>
    <r>
      <rPr>
        <sz val="10"/>
        <color theme="1"/>
        <rFont val="Arial"/>
        <family val="2"/>
      </rPr>
      <t>002-4</t>
    </r>
    <phoneticPr fontId="224" type="noConversion"/>
  </si>
  <si>
    <r>
      <t>2</t>
    </r>
    <r>
      <rPr>
        <sz val="10"/>
        <color theme="1"/>
        <rFont val="Arial"/>
        <family val="2"/>
      </rPr>
      <t>002-3</t>
    </r>
    <phoneticPr fontId="224" type="noConversion"/>
  </si>
  <si>
    <r>
      <t>2</t>
    </r>
    <r>
      <rPr>
        <sz val="10"/>
        <color theme="1"/>
        <rFont val="Arial"/>
        <family val="2"/>
      </rPr>
      <t>002-2</t>
    </r>
    <phoneticPr fontId="224" type="noConversion"/>
  </si>
  <si>
    <r>
      <t>2</t>
    </r>
    <r>
      <rPr>
        <sz val="10"/>
        <color theme="1"/>
        <rFont val="Arial"/>
        <family val="2"/>
      </rPr>
      <t>002-1</t>
    </r>
    <phoneticPr fontId="224" type="noConversion"/>
  </si>
  <si>
    <t>说明</t>
    <phoneticPr fontId="22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</si>
  <si>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</si>
  <si>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</si>
  <si>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</si>
  <si>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</si>
  <si>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</si>
  <si>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</si>
  <si>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</si>
  <si>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4" type="noConversion"/>
  </si>
  <si>
    <t>基准季度</t>
    <phoneticPr fontId="224"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</si>
  <si>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</si>
  <si>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</si>
  <si>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4" type="noConversion"/>
  </si>
  <si>
    <t>自定义涨幅</t>
    <phoneticPr fontId="121" type="noConversion"/>
  </si>
  <si>
    <t>季度增幅</t>
    <phoneticPr fontId="121"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</si>
  <si>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</si>
  <si>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</si>
  <si>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1" type="noConversion"/>
  </si>
  <si>
    <t>工业</t>
    <phoneticPr fontId="28" type="noConversion"/>
  </si>
  <si>
    <t>平均季度涨幅（公示）</t>
    <phoneticPr fontId="121" type="noConversion"/>
  </si>
  <si>
    <t>万元</t>
    <phoneticPr fontId="3" type="noConversion"/>
  </si>
  <si>
    <r>
      <t>1 .</t>
    </r>
    <r>
      <rPr>
        <b/>
        <sz val="12"/>
        <color indexed="8"/>
        <rFont val="仿宋_GB2312"/>
        <family val="3"/>
        <charset val="134"/>
      </rPr>
      <t>不动产总价</t>
    </r>
    <phoneticPr fontId="14" type="noConversion"/>
  </si>
  <si>
    <t>11111111111</t>
    <phoneticPr fontId="133" type="noConversion"/>
  </si>
  <si>
    <t>京国土字第111号</t>
    <phoneticPr fontId="133" type="noConversion"/>
  </si>
  <si>
    <t>中信开发</t>
    <phoneticPr fontId="133" type="noConversion"/>
  </si>
  <si>
    <t>顺序</t>
    <phoneticPr fontId="224" type="noConversion"/>
  </si>
  <si>
    <t>致函-估价对象-1</t>
    <phoneticPr fontId="224" type="noConversion"/>
  </si>
  <si>
    <t>致函-估价对象-2</t>
  </si>
  <si>
    <t>致函-估价期日</t>
    <phoneticPr fontId="224" type="noConversion"/>
  </si>
  <si>
    <t>封皮-估价项目名称</t>
    <phoneticPr fontId="235" type="noConversion"/>
  </si>
  <si>
    <t>封皮-委托估价方</t>
    <phoneticPr fontId="235" type="noConversion"/>
  </si>
  <si>
    <t>封皮-土地估价师</t>
    <phoneticPr fontId="235" type="noConversion"/>
  </si>
  <si>
    <t>封皮-土地估价报告编号</t>
    <phoneticPr fontId="235" type="noConversion"/>
  </si>
  <si>
    <t>致函-地价定义-规划</t>
    <phoneticPr fontId="224" type="noConversion"/>
  </si>
  <si>
    <t>致函-地价定义-用途-1</t>
    <phoneticPr fontId="224" type="noConversion"/>
  </si>
  <si>
    <t>致函-地价定义-用途-2</t>
    <phoneticPr fontId="224" type="noConversion"/>
  </si>
  <si>
    <t>致函-地价定义-开发程度-1</t>
    <phoneticPr fontId="224" type="noConversion"/>
  </si>
  <si>
    <t>致函-地价定义-开发程度-2</t>
    <phoneticPr fontId="224" type="noConversion"/>
  </si>
  <si>
    <t>致函-地价定义-年限-1</t>
    <phoneticPr fontId="224" type="noConversion"/>
  </si>
  <si>
    <t>致函-地价定义-年限-2</t>
    <phoneticPr fontId="224" type="noConversion"/>
  </si>
  <si>
    <t>致函-地价定义-1</t>
    <phoneticPr fontId="224" type="noConversion"/>
  </si>
  <si>
    <t>致函-地价定义-2</t>
    <phoneticPr fontId="224" type="noConversion"/>
  </si>
  <si>
    <t>致函-地价定义-3</t>
    <phoneticPr fontId="224" type="noConversion"/>
  </si>
  <si>
    <t>致函-地价定义-4</t>
    <phoneticPr fontId="224" type="noConversion"/>
  </si>
  <si>
    <t>致函-估价结果</t>
    <phoneticPr fontId="224" type="noConversion"/>
  </si>
  <si>
    <t>致函-估价结果-表-1</t>
    <phoneticPr fontId="224" type="noConversion"/>
  </si>
  <si>
    <t>致函-估价结果-表-2</t>
  </si>
  <si>
    <t>致函-限定条件-1</t>
    <phoneticPr fontId="235" type="noConversion"/>
  </si>
  <si>
    <t>致函-限定条件-2</t>
  </si>
  <si>
    <t>致函-限定条件-3</t>
  </si>
  <si>
    <t>致函-其他事项-1</t>
    <phoneticPr fontId="224" type="noConversion"/>
  </si>
  <si>
    <t>致函-其他事项-2</t>
  </si>
  <si>
    <t>致函-其他事项-优先受偿-1</t>
    <phoneticPr fontId="224" type="noConversion"/>
  </si>
  <si>
    <t>致函-其他事项-优先受偿</t>
    <phoneticPr fontId="224" type="noConversion"/>
  </si>
  <si>
    <t>致函-其他事项-优先受偿-2</t>
  </si>
  <si>
    <t>致函-其他事项-优先受偿-3</t>
  </si>
  <si>
    <t>致函-其他事项-优先受偿-4</t>
  </si>
  <si>
    <t>致函-其他事项-4</t>
    <phoneticPr fontId="224" type="noConversion"/>
  </si>
  <si>
    <t>致函-其他事项-5</t>
  </si>
  <si>
    <t>致函-估价师签字-1</t>
    <phoneticPr fontId="224" type="noConversion"/>
  </si>
  <si>
    <t>致函-估价师签字-2</t>
    <phoneticPr fontId="224" type="noConversion"/>
  </si>
  <si>
    <t>致函-出具日期</t>
    <phoneticPr fontId="224"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</si>
  <si>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</si>
  <si>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</si>
  <si>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</si>
  <si>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</si>
  <si>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</si>
  <si>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</si>
  <si>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</si>
  <si>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</si>
  <si>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</si>
  <si>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3" type="noConversion"/>
  </si>
  <si>
    <t xml:space="preserve">  年   月   日</t>
    <phoneticPr fontId="133" type="noConversion"/>
  </si>
  <si>
    <t xml:space="preserve">  年   月   日</t>
    <phoneticPr fontId="133" type="noConversion"/>
  </si>
  <si>
    <t>致函-委托事项</t>
    <phoneticPr fontId="235" type="noConversion"/>
  </si>
  <si>
    <r>
      <t>金融机构</t>
    </r>
    <r>
      <rPr>
        <sz val="10"/>
        <color indexed="8"/>
        <rFont val="仿宋_GB2312"/>
        <family val="3"/>
        <charset val="134"/>
      </rPr>
      <t>(贷款方)</t>
    </r>
    <phoneticPr fontId="3" type="noConversion"/>
  </si>
  <si>
    <t>借款方</t>
    <phoneticPr fontId="6" type="noConversion"/>
  </si>
  <si>
    <t>致函-估价目的</t>
    <phoneticPr fontId="224" type="noConversion"/>
  </si>
  <si>
    <t>致函-估价结果-表-使用者</t>
    <phoneticPr fontId="235" type="noConversion"/>
  </si>
  <si>
    <t>致函-估价结果-表-地号</t>
    <phoneticPr fontId="235" type="noConversion"/>
  </si>
  <si>
    <t>致函-估价结果-表-权属证号</t>
    <phoneticPr fontId="235" type="noConversion"/>
  </si>
  <si>
    <t>致函-估价结果-表-用途-1</t>
    <phoneticPr fontId="235" type="noConversion"/>
  </si>
  <si>
    <t>致函-估价结果-表-用途-2</t>
  </si>
  <si>
    <t>致函-估价结果-表-用途-3</t>
  </si>
  <si>
    <t>致函-估价结果-表-容积率-1</t>
    <phoneticPr fontId="235" type="noConversion"/>
  </si>
  <si>
    <t>致函-估价结果-表-容积率-2</t>
  </si>
  <si>
    <t>致函-估价结果-表-容积率-3</t>
  </si>
  <si>
    <t>致函-估价结果-表-开发程度-1</t>
    <phoneticPr fontId="235" type="noConversion"/>
  </si>
  <si>
    <t>致函-估价结果-表-开发程度-2</t>
  </si>
  <si>
    <t>致函-估价结果-表-年限</t>
    <phoneticPr fontId="235" type="noConversion"/>
  </si>
  <si>
    <t>致函-估价结果-表-土地</t>
    <phoneticPr fontId="235" type="noConversion"/>
  </si>
  <si>
    <t>致函-估价结果-表-建筑</t>
    <phoneticPr fontId="235" type="noConversion"/>
  </si>
  <si>
    <t>致函-估价结果-表-地面价</t>
    <phoneticPr fontId="235" type="noConversion"/>
  </si>
  <si>
    <t>致函-估价结果-表-楼面价</t>
    <phoneticPr fontId="235" type="noConversion"/>
  </si>
  <si>
    <t>致函-估价结果-表-总额</t>
    <phoneticPr fontId="235" type="noConversion"/>
  </si>
  <si>
    <t>致函-估价结果-表-抵押</t>
    <phoneticPr fontId="235" type="noConversion"/>
  </si>
  <si>
    <t>致函-估价结果-表-已注</t>
    <phoneticPr fontId="235" type="noConversion"/>
  </si>
  <si>
    <t>致函-估价结果-表-净值</t>
    <phoneticPr fontId="235" type="noConversion"/>
  </si>
  <si>
    <t>致函-限定条件-4</t>
  </si>
  <si>
    <t>2.估价师知悉的法定优先受偿款</t>
  </si>
  <si>
    <r>
      <t>宗地编号</t>
    </r>
    <r>
      <rPr>
        <i/>
        <sz val="10.5"/>
        <color theme="9" tint="-0.249977111117893"/>
        <rFont val="仿宋_GB2312"/>
        <family val="3"/>
        <charset val="134"/>
      </rPr>
      <t>/不动产单元号</t>
    </r>
    <phoneticPr fontId="133" type="noConversion"/>
  </si>
  <si>
    <t>（剩余）土地使用年限/年</t>
    <phoneticPr fontId="133" type="noConversion"/>
  </si>
  <si>
    <t>致函-估价结果-表-使用者(标题）</t>
    <phoneticPr fontId="235" type="noConversion"/>
  </si>
  <si>
    <t>致函-估价结果-表-地号(标题）</t>
    <phoneticPr fontId="235" type="noConversion"/>
  </si>
  <si>
    <t>土地使用证编号/不动产权证书编号</t>
    <phoneticPr fontId="133" type="noConversion"/>
  </si>
  <si>
    <t>致函-估价结果-表-宗地名称</t>
    <phoneticPr fontId="235" type="noConversion"/>
  </si>
  <si>
    <t>致函-估价结果-表-权属证号(标题）</t>
    <phoneticPr fontId="235" type="noConversion"/>
  </si>
  <si>
    <t>致函-估价结果-表-年限(标题）</t>
    <phoneticPr fontId="235" type="noConversion"/>
  </si>
  <si>
    <t>致函-估价结果-表-土地(标题）</t>
    <phoneticPr fontId="235" type="noConversion"/>
  </si>
  <si>
    <t>致函-估价结果-表-建筑(标题）</t>
    <phoneticPr fontId="235" type="noConversion"/>
  </si>
  <si>
    <t>致函-估价结果-表-抵押（名称）</t>
    <phoneticPr fontId="235" type="noConversion"/>
  </si>
  <si>
    <t>致函-估价结果-表-已注（名称）</t>
    <phoneticPr fontId="235" type="noConversion"/>
  </si>
  <si>
    <t>致函-估价结果-表-净值（名称）</t>
    <phoneticPr fontId="235" type="noConversion"/>
  </si>
  <si>
    <r>
      <t>实际</t>
    </r>
    <r>
      <rPr>
        <i/>
        <sz val="10.5"/>
        <color theme="3" tint="0.39997558519241921"/>
        <rFont val="仿宋_GB2312"/>
        <family val="3"/>
        <charset val="134"/>
      </rPr>
      <t>（证载）</t>
    </r>
    <phoneticPr fontId="133" type="noConversion"/>
  </si>
  <si>
    <r>
      <t>实际</t>
    </r>
    <r>
      <rPr>
        <i/>
        <sz val="10.5"/>
        <color theme="3" tint="0.39997558519241921"/>
        <rFont val="仿宋_GB2312"/>
        <family val="3"/>
        <charset val="134"/>
      </rPr>
      <t>（工程规划）</t>
    </r>
    <phoneticPr fontId="133" type="noConversion"/>
  </si>
  <si>
    <t>（3）。</t>
    <phoneticPr fontId="133"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</si>
  <si>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</si>
  <si>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3" type="noConversion"/>
  </si>
  <si>
    <t>本次估价对象国有建设用地使用权类型为储备，无土地使用年限限制。</t>
  </si>
  <si>
    <t>储备-补1</t>
    <phoneticPr fontId="23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</si>
  <si>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</si>
  <si>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</si>
  <si>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1"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</si>
  <si>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</si>
  <si>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</si>
  <si>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</si>
  <si>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</si>
  <si>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</si>
  <si>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</si>
  <si>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</si>
  <si>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1" type="noConversion"/>
  </si>
  <si>
    <t>楼层修正系数</t>
    <phoneticPr fontId="121" type="noConversion"/>
  </si>
  <si>
    <r>
      <t>商业R</t>
    </r>
    <r>
      <rPr>
        <sz val="10"/>
        <color indexed="8"/>
        <rFont val="仿宋_GB2312"/>
        <family val="3"/>
        <charset val="134"/>
      </rPr>
      <t>≥</t>
    </r>
    <r>
      <rPr>
        <sz val="10"/>
        <color indexed="8"/>
        <rFont val="宋体"/>
        <family val="3"/>
        <charset val="134"/>
      </rPr>
      <t>1</t>
    </r>
    <phoneticPr fontId="121" type="noConversion"/>
  </si>
  <si>
    <r>
      <rPr>
        <sz val="10"/>
        <rFont val="仿宋_GB2312"/>
        <family val="3"/>
        <charset val="134"/>
      </rPr>
      <t>估价对象级别</t>
    </r>
    <phoneticPr fontId="121" type="noConversion"/>
  </si>
  <si>
    <r>
      <rPr>
        <sz val="10"/>
        <rFont val="仿宋_GB2312"/>
        <family val="3"/>
        <charset val="134"/>
      </rPr>
      <t>容积率</t>
    </r>
    <phoneticPr fontId="121" type="noConversion"/>
  </si>
  <si>
    <r>
      <rPr>
        <sz val="10"/>
        <color theme="1"/>
        <rFont val="宋体"/>
        <family val="3"/>
        <charset val="134"/>
      </rPr>
      <t>一级</t>
    </r>
    <phoneticPr fontId="121" type="noConversion"/>
  </si>
  <si>
    <r>
      <rPr>
        <sz val="10"/>
        <color theme="1"/>
        <rFont val="宋体"/>
        <family val="3"/>
        <charset val="134"/>
      </rPr>
      <t>二级</t>
    </r>
    <phoneticPr fontId="121" type="noConversion"/>
  </si>
  <si>
    <r>
      <rPr>
        <sz val="10"/>
        <color theme="1"/>
        <rFont val="宋体"/>
        <family val="3"/>
        <charset val="134"/>
      </rPr>
      <t>三级</t>
    </r>
    <phoneticPr fontId="121" type="noConversion"/>
  </si>
  <si>
    <r>
      <rPr>
        <sz val="10"/>
        <color theme="1"/>
        <rFont val="宋体"/>
        <family val="3"/>
        <charset val="134"/>
      </rPr>
      <t>四级</t>
    </r>
    <phoneticPr fontId="121" type="noConversion"/>
  </si>
  <si>
    <r>
      <rPr>
        <sz val="10"/>
        <color theme="1"/>
        <rFont val="宋体"/>
        <family val="3"/>
        <charset val="134"/>
      </rPr>
      <t>五级</t>
    </r>
    <phoneticPr fontId="121" type="noConversion"/>
  </si>
  <si>
    <r>
      <rPr>
        <sz val="10"/>
        <color theme="1"/>
        <rFont val="宋体"/>
        <family val="3"/>
        <charset val="134"/>
      </rPr>
      <t>六级</t>
    </r>
    <phoneticPr fontId="121" type="noConversion"/>
  </si>
  <si>
    <r>
      <rPr>
        <sz val="10"/>
        <color theme="1"/>
        <rFont val="宋体"/>
        <family val="3"/>
        <charset val="134"/>
      </rPr>
      <t>七级</t>
    </r>
    <phoneticPr fontId="121" type="noConversion"/>
  </si>
  <si>
    <r>
      <rPr>
        <sz val="10"/>
        <color theme="1"/>
        <rFont val="宋体"/>
        <family val="3"/>
        <charset val="134"/>
      </rPr>
      <t>八级</t>
    </r>
    <phoneticPr fontId="121" type="noConversion"/>
  </si>
  <si>
    <r>
      <rPr>
        <sz val="10"/>
        <color theme="1"/>
        <rFont val="宋体"/>
        <family val="3"/>
        <charset val="134"/>
      </rPr>
      <t>九级</t>
    </r>
    <phoneticPr fontId="121" type="noConversion"/>
  </si>
  <si>
    <r>
      <rPr>
        <sz val="10"/>
        <color theme="1"/>
        <rFont val="宋体"/>
        <family val="3"/>
        <charset val="134"/>
      </rPr>
      <t>十级</t>
    </r>
    <phoneticPr fontId="121" type="noConversion"/>
  </si>
  <si>
    <r>
      <rPr>
        <sz val="10"/>
        <color theme="1"/>
        <rFont val="宋体"/>
        <family val="3"/>
        <charset val="134"/>
      </rPr>
      <t>十一级</t>
    </r>
    <phoneticPr fontId="121" type="noConversion"/>
  </si>
  <si>
    <r>
      <rPr>
        <sz val="10"/>
        <color theme="1"/>
        <rFont val="宋体"/>
        <family val="3"/>
        <charset val="134"/>
      </rPr>
      <t>十二级</t>
    </r>
    <phoneticPr fontId="121" type="noConversion"/>
  </si>
  <si>
    <t>容积率             级别</t>
    <phoneticPr fontId="121" type="noConversion"/>
  </si>
  <si>
    <t>楼面熟地单价</t>
    <phoneticPr fontId="121" type="noConversion"/>
  </si>
  <si>
    <t>层面积</t>
    <phoneticPr fontId="121" type="noConversion"/>
  </si>
  <si>
    <t>总额</t>
    <phoneticPr fontId="121" type="noConversion"/>
  </si>
  <si>
    <t>致函-其他专业人员</t>
    <phoneticPr fontId="235" type="noConversion"/>
  </si>
  <si>
    <t>价值时点</t>
    <phoneticPr fontId="3" type="noConversion"/>
  </si>
  <si>
    <t>贷款利率</t>
    <phoneticPr fontId="3" type="noConversion"/>
  </si>
  <si>
    <t>贷款利率</t>
    <phoneticPr fontId="224" type="noConversion"/>
  </si>
  <si>
    <t>存款利率</t>
    <phoneticPr fontId="22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</si>
  <si>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</si>
  <si>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</si>
  <si>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</si>
  <si>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</si>
  <si>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</si>
  <si>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</si>
  <si>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</si>
  <si>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</si>
  <si>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</si>
  <si>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</si>
  <si>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</si>
  <si>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</si>
  <si>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</si>
  <si>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</si>
  <si>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</si>
  <si>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</si>
  <si>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</si>
  <si>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</si>
  <si>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</si>
  <si>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</si>
  <si>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</si>
  <si>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</si>
  <si>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</si>
  <si>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</si>
  <si>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</si>
  <si>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</si>
  <si>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</si>
  <si>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4" type="noConversion"/>
  </si>
  <si>
    <t>1年期存款利率</t>
    <phoneticPr fontId="3" type="noConversion"/>
  </si>
  <si>
    <t>土地开发期</t>
    <phoneticPr fontId="224"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</si>
  <si>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</si>
  <si>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</si>
  <si>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</si>
  <si>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</si>
  <si>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</si>
  <si>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</si>
  <si>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</si>
  <si>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</si>
  <si>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</si>
  <si>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</si>
  <si>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</si>
  <si>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</si>
  <si>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</si>
  <si>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</si>
  <si>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</si>
  <si>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</si>
  <si>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</si>
  <si>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</si>
  <si>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</si>
  <si>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</si>
  <si>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</si>
  <si>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</si>
  <si>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</si>
  <si>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</si>
  <si>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</si>
  <si>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</si>
  <si>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</si>
  <si>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</si>
  <si>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</si>
  <si>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</si>
  <si>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</si>
  <si>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</si>
  <si>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</si>
  <si>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</si>
  <si>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</si>
  <si>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</si>
  <si>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</si>
  <si>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</si>
  <si>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</si>
  <si>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</si>
  <si>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</si>
  <si>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</si>
  <si>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</si>
  <si>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</si>
  <si>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</si>
  <si>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4" type="noConversion"/>
  </si>
  <si>
    <t>楼面单价（元/平方米）</t>
    <phoneticPr fontId="224" type="noConversion"/>
  </si>
  <si>
    <t>项目名称</t>
    <phoneticPr fontId="224" type="noConversion"/>
  </si>
  <si>
    <t>重置成新价</t>
    <phoneticPr fontId="224"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</si>
  <si>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</si>
  <si>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</si>
  <si>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</si>
  <si>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</si>
  <si>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</si>
  <si>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</si>
  <si>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</si>
  <si>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</si>
  <si>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</si>
  <si>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</si>
  <si>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</si>
  <si>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</si>
  <si>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</si>
  <si>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</si>
  <si>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</si>
  <si>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</si>
  <si>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</si>
  <si>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</si>
  <si>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</si>
  <si>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</si>
  <si>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</si>
  <si>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</si>
  <si>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</si>
  <si>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</si>
  <si>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</si>
  <si>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</si>
  <si>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</si>
  <si>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</si>
  <si>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</si>
  <si>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</si>
  <si>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</si>
  <si>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</si>
  <si>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</si>
  <si>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</si>
  <si>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</si>
  <si>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</si>
  <si>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</si>
  <si>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</si>
  <si>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</si>
  <si>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</si>
  <si>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</si>
  <si>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</si>
  <si>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</si>
  <si>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</si>
  <si>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</si>
  <si>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</si>
  <si>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</si>
  <si>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</si>
  <si>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</si>
  <si>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</si>
  <si>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</si>
  <si>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</si>
  <si>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</si>
  <si>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</si>
  <si>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</si>
  <si>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</si>
  <si>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</si>
  <si>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</si>
  <si>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</si>
  <si>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</si>
  <si>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</si>
  <si>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</si>
  <si>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</si>
  <si>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</si>
  <si>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4" type="noConversion"/>
  </si>
  <si>
    <t>土地面积</t>
    <phoneticPr fontId="224" type="noConversion"/>
  </si>
  <si>
    <t>单位面积地价</t>
    <phoneticPr fontId="224" type="noConversion"/>
  </si>
  <si>
    <t>汇总土地面积</t>
    <phoneticPr fontId="224"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</si>
  <si>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</si>
  <si>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</si>
  <si>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</si>
  <si>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</si>
  <si>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</si>
  <si>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</si>
  <si>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7"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</si>
  <si>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</si>
  <si>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</si>
  <si>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</si>
  <si>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</si>
  <si>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</si>
  <si>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4"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</si>
  <si>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</si>
  <si>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</si>
  <si>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</si>
  <si>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</si>
  <si>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</si>
  <si>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</si>
  <si>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4"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</si>
  <si>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</si>
  <si>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</si>
  <si>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</si>
  <si>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</si>
  <si>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</si>
  <si>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</si>
  <si>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</si>
  <si>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</si>
  <si>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</si>
  <si>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2019-1</t>
    <phoneticPr fontId="3" type="noConversion"/>
  </si>
  <si>
    <t>2019-2</t>
    <phoneticPr fontId="3" type="noConversion"/>
  </si>
  <si>
    <t>按公示增长率计算</t>
  </si>
  <si>
    <t>2019-3</t>
    <phoneticPr fontId="3" type="noConversion"/>
  </si>
  <si>
    <t>2019-4</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</si>
  <si>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</si>
  <si>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</si>
  <si>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</si>
  <si>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</si>
  <si>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</si>
  <si>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</si>
  <si>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</si>
  <si>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</si>
  <si>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</si>
  <si>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</si>
  <si>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</si>
  <si>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</si>
  <si>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</si>
  <si>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</si>
  <si>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</si>
  <si>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</si>
  <si>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</si>
  <si>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</si>
  <si>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</si>
  <si>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</si>
  <si>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</si>
  <si>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</si>
  <si>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</si>
  <si>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</si>
  <si>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</si>
  <si>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</si>
  <si>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</si>
  <si>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</si>
  <si>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</si>
  <si>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</si>
  <si>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</si>
  <si>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</si>
  <si>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</si>
  <si>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</si>
  <si>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</si>
  <si>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</si>
  <si>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</si>
  <si>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</si>
  <si>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</si>
  <si>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</si>
  <si>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</si>
  <si>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</si>
  <si>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</si>
  <si>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</si>
  <si>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</si>
  <si>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</si>
  <si>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</si>
  <si>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0" type="noConversion"/>
  </si>
  <si>
    <t>5.购地税费</t>
    <phoneticPr fontId="40"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</si>
  <si>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</si>
  <si>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</si>
  <si>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</si>
  <si>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</si>
  <si>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</si>
  <si>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</si>
  <si>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</si>
  <si>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</si>
  <si>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</si>
  <si>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</si>
  <si>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</si>
  <si>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</si>
  <si>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</si>
  <si>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</si>
  <si>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</si>
  <si>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</si>
  <si>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</si>
  <si>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</si>
  <si>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</si>
  <si>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</si>
  <si>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</si>
  <si>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</si>
  <si>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</si>
  <si>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</si>
  <si>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</si>
  <si>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</si>
  <si>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</si>
  <si>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</si>
  <si>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</si>
  <si>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</si>
  <si>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</si>
  <si>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</si>
  <si>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</si>
  <si>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</si>
  <si>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</si>
  <si>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</si>
  <si>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</si>
  <si>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</si>
  <si>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</si>
  <si>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</si>
  <si>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</si>
  <si>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</si>
  <si>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</si>
  <si>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</si>
  <si>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</si>
  <si>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</si>
  <si>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</si>
  <si>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</si>
  <si>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</si>
  <si>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</si>
  <si>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</si>
  <si>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</si>
  <si>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</si>
  <si>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</si>
  <si>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</si>
  <si>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</si>
  <si>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</si>
  <si>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</si>
  <si>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</si>
  <si>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</si>
  <si>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</si>
  <si>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</si>
  <si>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</si>
  <si>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</si>
  <si>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</si>
  <si>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</si>
  <si>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</si>
  <si>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</si>
  <si>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</si>
  <si>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</si>
  <si>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</si>
  <si>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</si>
  <si>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</si>
  <si>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</si>
  <si>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</si>
  <si>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</si>
  <si>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</si>
  <si>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</si>
  <si>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</si>
  <si>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</si>
  <si>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</si>
  <si>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</si>
  <si>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</si>
  <si>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</si>
  <si>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</si>
  <si>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</si>
  <si>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</si>
  <si>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</si>
  <si>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</si>
  <si>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</si>
  <si>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</si>
  <si>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</si>
  <si>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</si>
  <si>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</si>
  <si>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</si>
  <si>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</si>
  <si>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</si>
  <si>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</si>
  <si>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</si>
  <si>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</si>
  <si>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</si>
  <si>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</si>
  <si>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</si>
  <si>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</si>
  <si>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</si>
  <si>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</si>
  <si>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</si>
  <si>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</si>
  <si>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</si>
  <si>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</si>
  <si>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</si>
  <si>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</si>
  <si>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</si>
  <si>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</si>
  <si>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</si>
  <si>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</si>
  <si>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</si>
  <si>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</si>
  <si>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</si>
  <si>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</si>
  <si>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</si>
  <si>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</si>
  <si>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</si>
  <si>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</si>
  <si>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</si>
  <si>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</si>
  <si>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</si>
  <si>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</si>
  <si>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</si>
  <si>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</si>
  <si>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</si>
  <si>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</si>
  <si>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</si>
  <si>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</si>
  <si>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</si>
  <si>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</si>
  <si>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</si>
  <si>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</si>
  <si>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</si>
  <si>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</si>
  <si>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</si>
  <si>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</si>
  <si>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</si>
  <si>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</si>
  <si>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</si>
  <si>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</si>
  <si>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</si>
  <si>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</si>
  <si>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</si>
  <si>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</si>
  <si>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</si>
  <si>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</si>
  <si>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</si>
  <si>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</si>
  <si>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</si>
  <si>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</si>
  <si>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</si>
  <si>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</si>
  <si>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</si>
  <si>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</si>
  <si>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</si>
  <si>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</si>
  <si>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</si>
  <si>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</si>
  <si>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</si>
  <si>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</si>
  <si>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</si>
  <si>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</si>
  <si>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</si>
  <si>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</si>
  <si>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</si>
  <si>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</si>
  <si>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</si>
  <si>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</si>
  <si>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</si>
  <si>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</si>
  <si>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</si>
  <si>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</si>
  <si>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</si>
  <si>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</si>
  <si>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</si>
  <si>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</si>
  <si>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</si>
  <si>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</si>
  <si>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</si>
  <si>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</si>
  <si>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</si>
  <si>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</si>
  <si>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</si>
  <si>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</si>
  <si>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</si>
  <si>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</si>
  <si>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</si>
  <si>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</si>
  <si>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</si>
  <si>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</si>
  <si>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</si>
  <si>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</si>
  <si>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</si>
  <si>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</si>
  <si>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</si>
  <si>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</si>
  <si>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</si>
  <si>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</si>
  <si>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</si>
  <si>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</si>
  <si>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</si>
  <si>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</si>
  <si>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</si>
  <si>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</si>
  <si>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</si>
  <si>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</si>
  <si>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</si>
  <si>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</si>
  <si>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</si>
  <si>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</si>
  <si>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</si>
  <si>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</si>
  <si>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</si>
  <si>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</si>
  <si>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</si>
  <si>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</si>
  <si>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</si>
  <si>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</si>
  <si>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</si>
  <si>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</si>
  <si>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</si>
  <si>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</si>
  <si>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</si>
  <si>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</si>
  <si>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</si>
  <si>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1"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</si>
  <si>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</si>
  <si>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</si>
  <si>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</si>
  <si>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</si>
  <si>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</si>
  <si>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</si>
  <si>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</si>
  <si>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</si>
  <si>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</si>
  <si>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</si>
  <si>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</si>
  <si>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</si>
  <si>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</si>
  <si>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</si>
  <si>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</si>
  <si>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</si>
  <si>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</si>
  <si>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</si>
  <si>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</si>
  <si>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</si>
  <si>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</si>
  <si>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</si>
  <si>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</si>
  <si>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</si>
  <si>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</si>
  <si>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</si>
  <si>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</si>
  <si>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</si>
  <si>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</si>
  <si>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</si>
  <si>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</si>
  <si>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</si>
  <si>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</si>
  <si>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</si>
  <si>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</si>
  <si>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</si>
  <si>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</si>
  <si>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</si>
  <si>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</si>
  <si>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</si>
  <si>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</si>
  <si>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</si>
  <si>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</si>
  <si>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</si>
  <si>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</si>
  <si>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</si>
  <si>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</si>
  <si>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</si>
  <si>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</si>
  <si>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</si>
  <si>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</si>
  <si>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</si>
  <si>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</si>
  <si>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</si>
  <si>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</si>
  <si>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</si>
  <si>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</si>
  <si>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</si>
  <si>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</si>
  <si>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</si>
  <si>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</si>
  <si>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</si>
  <si>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</si>
  <si>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</si>
  <si>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</si>
  <si>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</si>
  <si>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</si>
  <si>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</si>
  <si>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</si>
  <si>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</si>
  <si>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</si>
  <si>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</si>
  <si>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</si>
  <si>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</si>
  <si>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</si>
  <si>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</si>
  <si>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</si>
  <si>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</si>
  <si>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</si>
  <si>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</si>
  <si>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</si>
  <si>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</si>
  <si>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</si>
  <si>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</si>
  <si>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</si>
  <si>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</si>
  <si>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</si>
  <si>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</si>
  <si>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</si>
  <si>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</si>
  <si>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</si>
  <si>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</si>
  <si>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</si>
  <si>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</si>
  <si>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</si>
  <si>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</si>
  <si>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</si>
  <si>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</si>
  <si>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</si>
  <si>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</si>
  <si>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</si>
  <si>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</si>
  <si>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</si>
  <si>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</si>
  <si>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</si>
  <si>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</si>
  <si>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</si>
  <si>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</si>
  <si>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</si>
  <si>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</si>
  <si>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</si>
  <si>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</si>
  <si>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</si>
  <si>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</si>
  <si>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</si>
  <si>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</si>
  <si>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</si>
  <si>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</si>
  <si>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</si>
  <si>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</si>
  <si>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</si>
  <si>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</si>
  <si>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</si>
  <si>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</si>
  <si>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</si>
  <si>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</si>
  <si>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</si>
  <si>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</si>
  <si>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</si>
  <si>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</si>
  <si>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</si>
  <si>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</si>
  <si>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</si>
  <si>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</si>
  <si>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</si>
  <si>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</si>
  <si>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</si>
  <si>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</si>
  <si>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</si>
  <si>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</si>
  <si>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</si>
  <si>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</si>
  <si>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</si>
  <si>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</si>
  <si>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</si>
  <si>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</si>
  <si>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土地年期修正</t>
    <phoneticPr fontId="22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</si>
  <si>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</si>
  <si>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</si>
  <si>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</si>
  <si>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</si>
  <si>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</si>
  <si>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</si>
  <si>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</si>
  <si>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</si>
  <si>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</si>
  <si>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</si>
  <si>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</si>
  <si>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</si>
  <si>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</si>
  <si>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</si>
  <si>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</si>
  <si>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</si>
  <si>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</si>
  <si>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</si>
  <si>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224" type="noConversion"/>
  </si>
  <si>
    <t>出让年限</t>
    <phoneticPr fontId="281" type="noConversion"/>
  </si>
  <si>
    <t>剩余土地使用年限</t>
    <phoneticPr fontId="281" type="noConversion"/>
  </si>
  <si>
    <t>报酬率</t>
    <phoneticPr fontId="281" type="noConversion"/>
  </si>
  <si>
    <t>年期修正系数</t>
    <phoneticPr fontId="281" type="noConversion"/>
  </si>
  <si>
    <t>地价贡献率（参考下表）</t>
    <phoneticPr fontId="281" type="noConversion"/>
  </si>
  <si>
    <t>房价修正系数</t>
    <phoneticPr fontId="281" type="noConversion"/>
  </si>
  <si>
    <t>估价对象</t>
    <phoneticPr fontId="281" type="noConversion"/>
  </si>
  <si>
    <t>案例A</t>
    <phoneticPr fontId="281" type="noConversion"/>
  </si>
  <si>
    <t>案例B</t>
    <phoneticPr fontId="281" type="noConversion"/>
  </si>
  <si>
    <t>案例C</t>
    <phoneticPr fontId="281" type="noConversion"/>
  </si>
  <si>
    <t>推导公式</t>
    <phoneticPr fontId="281" type="noConversion"/>
  </si>
  <si>
    <t>1.建+50年地价×20年年期修正系数＝20年房价</t>
    <phoneticPr fontId="281" type="noConversion"/>
  </si>
  <si>
    <t>2.建+50年地价＝50年房价</t>
    <phoneticPr fontId="281" type="noConversion"/>
  </si>
  <si>
    <t>1、2步得出</t>
    <phoneticPr fontId="281" type="noConversion"/>
  </si>
  <si>
    <t>3.50年房价－50年地价+50年地价×20年年期修正系数＝20年房价</t>
    <phoneticPr fontId="281" type="noConversion"/>
  </si>
  <si>
    <t>4.20年房价＝50年房价×20年房价修正系数</t>
    <phoneticPr fontId="281" type="noConversion"/>
  </si>
  <si>
    <t>4步代入3步</t>
    <phoneticPr fontId="281" type="noConversion"/>
  </si>
  <si>
    <t>5.50年房价－50年地价+50年地价×20年年期修正系数＝50年房价×20年房价修正系数</t>
    <phoneticPr fontId="281" type="noConversion"/>
  </si>
  <si>
    <t>6.20年房价修正系数＝1-50年地价×（1-20年年期修正系数）÷50年房价</t>
    <phoneticPr fontId="281" type="noConversion"/>
  </si>
  <si>
    <t>7.50年地价＝50年房价×地价贡献率</t>
    <phoneticPr fontId="281" type="noConversion"/>
  </si>
  <si>
    <t>7步代入6步</t>
    <phoneticPr fontId="281" type="noConversion"/>
  </si>
  <si>
    <t>8.20年房价修正系数＝1-50年房价×地价贡献率×（1-20年年期修正系数）÷50年房价＝1-地价贡献率×（1-20年年期修正系数）</t>
    <phoneticPr fontId="281" type="noConversion"/>
  </si>
  <si>
    <t>以北京为例验算</t>
    <phoneticPr fontId="224" type="noConversion"/>
  </si>
  <si>
    <t>用途</t>
    <phoneticPr fontId="224" type="noConversion"/>
  </si>
  <si>
    <t>综合地价贡献率</t>
    <phoneticPr fontId="224" type="noConversion"/>
  </si>
  <si>
    <t>收益法地价房价比</t>
    <phoneticPr fontId="224" type="noConversion"/>
  </si>
  <si>
    <t>地价售价比</t>
    <phoneticPr fontId="224" type="noConversion"/>
  </si>
  <si>
    <t>工业</t>
    <phoneticPr fontId="224" type="noConversion"/>
  </si>
  <si>
    <t>20%-30%</t>
    <phoneticPr fontId="224" type="noConversion"/>
  </si>
  <si>
    <t>15%-40%</t>
    <phoneticPr fontId="224" type="noConversion"/>
  </si>
  <si>
    <t>8000地价，20000售价；地价950，售价6500</t>
    <phoneticPr fontId="224" type="noConversion"/>
  </si>
  <si>
    <t>住宅</t>
    <phoneticPr fontId="224" type="noConversion"/>
  </si>
  <si>
    <t>60%-70%</t>
    <phoneticPr fontId="224" type="noConversion"/>
  </si>
  <si>
    <t>65%-75%</t>
    <phoneticPr fontId="224" type="noConversion"/>
  </si>
  <si>
    <t>50%-65%</t>
    <phoneticPr fontId="224" type="noConversion"/>
  </si>
  <si>
    <t>当前北京市基本控制在50%-65%</t>
    <phoneticPr fontId="224" type="noConversion"/>
  </si>
  <si>
    <t>商业/办公</t>
    <phoneticPr fontId="224" type="noConversion"/>
  </si>
  <si>
    <t>50%-60%</t>
    <phoneticPr fontId="224" type="noConversion"/>
  </si>
  <si>
    <t>70%-80%</t>
    <phoneticPr fontId="224" type="noConversion"/>
  </si>
  <si>
    <t>15000地价，30000售价</t>
    <phoneticPr fontId="224" type="noConversion"/>
  </si>
  <si>
    <t>车库/仓储</t>
    <phoneticPr fontId="224" type="noConversion"/>
  </si>
  <si>
    <t>35%-45%</t>
    <phoneticPr fontId="224" type="noConversion"/>
  </si>
  <si>
    <t>四级或五级地，地价2500-3000熟地价，售价5500-8000</t>
    <phoneticPr fontId="224" type="noConversion"/>
  </si>
  <si>
    <t>公共服务</t>
  </si>
  <si>
    <t>公共服务</t>
    <phoneticPr fontId="3" type="noConversion"/>
  </si>
  <si>
    <t>商业</t>
  </si>
  <si>
    <t>车库</t>
  </si>
  <si>
    <t>仓储</t>
  </si>
  <si>
    <t>出让</t>
  </si>
  <si>
    <t>工业</t>
    <phoneticPr fontId="6" type="noConversion"/>
  </si>
  <si>
    <t>公共服务</t>
    <phoneticPr fontId="6" type="noConversion"/>
  </si>
  <si>
    <t>公共服务</t>
    <phoneticPr fontId="14" type="noConversion"/>
  </si>
  <si>
    <t>公共服务</t>
    <phoneticPr fontId="14" type="noConversion"/>
  </si>
  <si>
    <r>
      <t>65-70</t>
    </r>
    <r>
      <rPr>
        <sz val="11"/>
        <color indexed="8"/>
        <rFont val="仿宋_GB2312"/>
        <family val="3"/>
        <charset val="134"/>
      </rPr>
      <t>（含）</t>
    </r>
    <phoneticPr fontId="14" type="noConversion"/>
  </si>
  <si>
    <r>
      <t>60-65</t>
    </r>
    <r>
      <rPr>
        <sz val="11"/>
        <color indexed="8"/>
        <rFont val="仿宋_GB2312"/>
        <family val="3"/>
        <charset val="134"/>
      </rPr>
      <t>（含）</t>
    </r>
    <phoneticPr fontId="14" type="noConversion"/>
  </si>
  <si>
    <r>
      <t>55-60</t>
    </r>
    <r>
      <rPr>
        <sz val="11"/>
        <color indexed="8"/>
        <rFont val="仿宋_GB2312"/>
        <family val="3"/>
        <charset val="134"/>
      </rPr>
      <t>（含）</t>
    </r>
    <phoneticPr fontId="14" type="noConversion"/>
  </si>
  <si>
    <r>
      <t>50-55</t>
    </r>
    <r>
      <rPr>
        <sz val="11"/>
        <color indexed="8"/>
        <rFont val="仿宋_GB2312"/>
        <family val="3"/>
        <charset val="134"/>
      </rPr>
      <t>（含）</t>
    </r>
    <phoneticPr fontId="14" type="noConversion"/>
  </si>
  <si>
    <r>
      <t>45-50</t>
    </r>
    <r>
      <rPr>
        <sz val="11"/>
        <color indexed="8"/>
        <rFont val="仿宋_GB2312"/>
        <family val="3"/>
        <charset val="134"/>
      </rPr>
      <t>（含）</t>
    </r>
    <phoneticPr fontId="14" type="noConversion"/>
  </si>
  <si>
    <r>
      <t>40-45</t>
    </r>
    <r>
      <rPr>
        <sz val="11"/>
        <color indexed="8"/>
        <rFont val="仿宋_GB2312"/>
        <family val="3"/>
        <charset val="134"/>
      </rPr>
      <t>（含）</t>
    </r>
    <phoneticPr fontId="14" type="noConversion"/>
  </si>
  <si>
    <r>
      <t>35-40</t>
    </r>
    <r>
      <rPr>
        <sz val="11"/>
        <color indexed="8"/>
        <rFont val="仿宋_GB2312"/>
        <family val="3"/>
        <charset val="134"/>
      </rPr>
      <t>（含）</t>
    </r>
    <phoneticPr fontId="14" type="noConversion"/>
  </si>
  <si>
    <r>
      <t>30-35</t>
    </r>
    <r>
      <rPr>
        <sz val="11"/>
        <color indexed="8"/>
        <rFont val="仿宋_GB2312"/>
        <family val="3"/>
        <charset val="134"/>
      </rPr>
      <t>（含）</t>
    </r>
    <phoneticPr fontId="14" type="noConversion"/>
  </si>
  <si>
    <r>
      <t>25-30</t>
    </r>
    <r>
      <rPr>
        <sz val="11"/>
        <color indexed="8"/>
        <rFont val="仿宋_GB2312"/>
        <family val="3"/>
        <charset val="134"/>
      </rPr>
      <t>（含）</t>
    </r>
    <phoneticPr fontId="14" type="noConversion"/>
  </si>
  <si>
    <r>
      <t>20-25</t>
    </r>
    <r>
      <rPr>
        <sz val="11"/>
        <color indexed="8"/>
        <rFont val="仿宋_GB2312"/>
        <family val="3"/>
        <charset val="134"/>
      </rPr>
      <t>（含）</t>
    </r>
    <phoneticPr fontId="14" type="noConversion"/>
  </si>
  <si>
    <r>
      <t>15-20</t>
    </r>
    <r>
      <rPr>
        <sz val="11"/>
        <color indexed="8"/>
        <rFont val="仿宋_GB2312"/>
        <family val="3"/>
        <charset val="134"/>
      </rPr>
      <t>（含）</t>
    </r>
    <phoneticPr fontId="14" type="noConversion"/>
  </si>
  <si>
    <r>
      <t>10-15</t>
    </r>
    <r>
      <rPr>
        <sz val="11"/>
        <color indexed="8"/>
        <rFont val="仿宋_GB2312"/>
        <family val="3"/>
        <charset val="134"/>
      </rPr>
      <t>（含）</t>
    </r>
    <phoneticPr fontId="14" type="noConversion"/>
  </si>
  <si>
    <r>
      <t>5-10</t>
    </r>
    <r>
      <rPr>
        <sz val="11"/>
        <color indexed="8"/>
        <rFont val="仿宋_GB2312"/>
        <family val="3"/>
        <charset val="134"/>
      </rPr>
      <t>（含）</t>
    </r>
    <phoneticPr fontId="14" type="noConversion"/>
  </si>
  <si>
    <r>
      <t>0-5</t>
    </r>
    <r>
      <rPr>
        <sz val="11"/>
        <color indexed="8"/>
        <rFont val="仿宋_GB2312"/>
        <family val="3"/>
        <charset val="134"/>
      </rPr>
      <t>（含）</t>
    </r>
    <phoneticPr fontId="14" type="noConversion"/>
  </si>
  <si>
    <t>估价范围判定</t>
    <phoneticPr fontId="14" type="noConversion"/>
  </si>
  <si>
    <t>土地级别</t>
  </si>
  <si>
    <t>十一级</t>
  </si>
  <si>
    <t>十二级</t>
  </si>
  <si>
    <t>M4科研用地</t>
  </si>
  <si>
    <t>通路</t>
  </si>
  <si>
    <t>通电</t>
  </si>
  <si>
    <t>通讯</t>
  </si>
  <si>
    <t>通上水</t>
  </si>
  <si>
    <t>通下水</t>
  </si>
  <si>
    <t>通热</t>
  </si>
  <si>
    <t>燃气</t>
  </si>
  <si>
    <t>平整</t>
  </si>
  <si>
    <t>级别开发程度</t>
  </si>
  <si>
    <t>—</t>
  </si>
  <si>
    <t>北京市基准地价容积率修正系数表（商业）</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</si>
  <si>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</si>
  <si>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</si>
  <si>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</si>
  <si>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</si>
  <si>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本行不参与计算</t>
    <phoneticPr fontId="224" type="noConversion"/>
  </si>
  <si>
    <t>2022-1</t>
    <phoneticPr fontId="3" type="noConversion"/>
  </si>
  <si>
    <t>2021-4</t>
    <phoneticPr fontId="3" type="noConversion"/>
  </si>
  <si>
    <t>2021-3</t>
    <phoneticPr fontId="3" type="noConversion"/>
  </si>
  <si>
    <t>2021-2</t>
    <phoneticPr fontId="3" type="noConversion"/>
  </si>
  <si>
    <t>2021-1</t>
    <phoneticPr fontId="3" type="noConversion"/>
  </si>
  <si>
    <t>本行不参与计算</t>
    <phoneticPr fontId="224" type="noConversion"/>
  </si>
  <si>
    <t>2021-2</t>
    <phoneticPr fontId="3" type="noConversion"/>
  </si>
  <si>
    <t>2021-1</t>
    <phoneticPr fontId="3" type="noConversion"/>
  </si>
  <si>
    <t>公示增长率-中心城区</t>
    <phoneticPr fontId="231" type="noConversion"/>
  </si>
  <si>
    <r>
      <rPr>
        <b/>
        <sz val="10"/>
        <color theme="1"/>
        <rFont val="楷体_GB2312"/>
        <family val="2"/>
        <charset val="134"/>
      </rPr>
      <t>核算至百分数</t>
    </r>
    <phoneticPr fontId="231" type="noConversion"/>
  </si>
  <si>
    <t>平均</t>
    <phoneticPr fontId="3"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</si>
  <si>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</si>
  <si>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</si>
  <si>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</si>
  <si>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</si>
  <si>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</si>
  <si>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 xml:space="preserve"> </t>
    <phoneticPr fontId="224" type="noConversion"/>
  </si>
  <si>
    <t>公示增长率-非中心城区</t>
    <phoneticPr fontId="231" type="noConversion"/>
  </si>
  <si>
    <t>季度连乘</t>
    <phoneticPr fontId="224"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</si>
  <si>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</si>
  <si>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</si>
  <si>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</si>
  <si>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</si>
  <si>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</si>
  <si>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公共服务</t>
    <phoneticPr fontId="3" type="noConversion"/>
  </si>
  <si>
    <t>季度连乘</t>
    <phoneticPr fontId="224" type="noConversion"/>
  </si>
  <si>
    <t>平均</t>
    <phoneticPr fontId="3" type="noConversion"/>
  </si>
  <si>
    <t>商业</t>
    <phoneticPr fontId="3" type="noConversion"/>
  </si>
  <si>
    <t>公共服务</t>
    <phoneticPr fontId="3" type="noConversion"/>
  </si>
  <si>
    <t>平均增幅</t>
    <phoneticPr fontId="224" type="noConversion"/>
  </si>
  <si>
    <t>办公</t>
    <phoneticPr fontId="224" type="noConversion"/>
  </si>
  <si>
    <t>公共服务</t>
    <phoneticPr fontId="3" type="noConversion"/>
  </si>
  <si>
    <t>北京市区片基准地价表（楼面地价）</t>
    <phoneticPr fontId="3" type="noConversion"/>
  </si>
  <si>
    <t xml:space="preserve">基准日期：2021年1月1日                                                             </t>
    <phoneticPr fontId="3" type="noConversion"/>
  </si>
  <si>
    <t>单位：元/平方米</t>
    <phoneticPr fontId="3" type="noConversion"/>
  </si>
  <si>
    <t>级别</t>
    <phoneticPr fontId="3" type="noConversion"/>
  </si>
  <si>
    <t>办公</t>
    <phoneticPr fontId="3" type="noConversion"/>
  </si>
  <si>
    <t>工业</t>
    <phoneticPr fontId="3" type="noConversion"/>
  </si>
  <si>
    <t>区片编号</t>
    <phoneticPr fontId="3" type="noConversion"/>
  </si>
  <si>
    <t>区片价格</t>
    <phoneticPr fontId="3" type="noConversion"/>
  </si>
  <si>
    <t>Ⅰ—01</t>
  </si>
  <si>
    <t>Ⅰ—02</t>
  </si>
  <si>
    <t>Ⅱ—01</t>
  </si>
  <si>
    <t>Ⅱ—20</t>
  </si>
  <si>
    <t>Ⅲ—01</t>
  </si>
  <si>
    <t>Ⅲ—21</t>
  </si>
  <si>
    <t>Ⅲ—22</t>
  </si>
  <si>
    <t>Ⅲ—23</t>
  </si>
  <si>
    <t>Ⅲ—24</t>
  </si>
  <si>
    <t>Ⅲ—25</t>
  </si>
  <si>
    <t>Ⅳ-01</t>
  </si>
  <si>
    <t>Ⅳ-24</t>
  </si>
  <si>
    <t>Ⅳ-25</t>
  </si>
  <si>
    <t>Ⅳ-26</t>
  </si>
  <si>
    <t>Ⅳ-27</t>
  </si>
  <si>
    <t>Ⅳ-28</t>
  </si>
  <si>
    <t>Ⅳ-电子城东</t>
  </si>
  <si>
    <t>Ⅳ-电子城西</t>
  </si>
  <si>
    <t>Ⅳ-丰台园东</t>
  </si>
  <si>
    <t>Ⅳ-通1</t>
  </si>
  <si>
    <t>Ⅴ-01</t>
  </si>
  <si>
    <t>Ⅴ-27</t>
  </si>
  <si>
    <t>Ⅴ-28</t>
  </si>
  <si>
    <t>Ⅴ-29</t>
  </si>
  <si>
    <t>Ⅴ-30</t>
  </si>
  <si>
    <t>Ⅴ-31</t>
  </si>
  <si>
    <t>Ⅴ-32</t>
  </si>
  <si>
    <t>Ⅴ-33</t>
  </si>
  <si>
    <t>Ⅴ-上地核心</t>
  </si>
  <si>
    <t>Ⅴ-电子城北</t>
  </si>
  <si>
    <t>Ⅴ-通1</t>
  </si>
  <si>
    <t>Ⅴ-通2</t>
  </si>
  <si>
    <t>Ⅴ-通3</t>
  </si>
  <si>
    <t>Ⅴ-通4</t>
  </si>
  <si>
    <t>Ⅴ-亦1</t>
  </si>
  <si>
    <t>Ⅵ-01</t>
  </si>
  <si>
    <t>Ⅵ-门1</t>
  </si>
  <si>
    <t>Ⅵ-通1</t>
  </si>
  <si>
    <t>Ⅵ-通5</t>
  </si>
  <si>
    <t>Ⅵ-顺1</t>
  </si>
  <si>
    <t>Ⅵ-顺2</t>
  </si>
  <si>
    <t>Ⅵ-昌1</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</si>
  <si>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</si>
  <si>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</si>
  <si>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</si>
  <si>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</si>
  <si>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</si>
  <si>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</si>
  <si>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</si>
  <si>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</si>
  <si>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</si>
  <si>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</si>
  <si>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</si>
  <si>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</si>
  <si>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</si>
  <si>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</si>
  <si>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</si>
  <si>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</si>
  <si>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</si>
  <si>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</si>
  <si>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</si>
  <si>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</si>
  <si>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</si>
  <si>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</si>
  <si>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</si>
  <si>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</si>
  <si>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</si>
  <si>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</si>
  <si>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</si>
  <si>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</si>
  <si>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</si>
  <si>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</si>
  <si>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</si>
  <si>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Ⅶ-门1</t>
  </si>
  <si>
    <t>Ⅶ-门2</t>
  </si>
  <si>
    <t>Ⅶ-房1</t>
  </si>
  <si>
    <t>Ⅶ-通1</t>
  </si>
  <si>
    <t>Ⅶ-通2</t>
  </si>
  <si>
    <t>Ⅶ-通3</t>
  </si>
  <si>
    <t>Ⅶ-通4</t>
  </si>
  <si>
    <t>Ⅶ-通5</t>
  </si>
  <si>
    <t>Ⅶ-顺1</t>
  </si>
  <si>
    <t>Ⅶ-顺3</t>
  </si>
  <si>
    <t>Ⅶ-昌1</t>
  </si>
  <si>
    <t>Ⅶ-兴1</t>
  </si>
  <si>
    <t>Ⅶ-亦1</t>
  </si>
  <si>
    <t>Ⅶ-亦2</t>
  </si>
  <si>
    <t>Ⅶ-创新园</t>
  </si>
  <si>
    <t>Ⅶ-海淀环保园</t>
  </si>
  <si>
    <t>Ⅶ-温泉科技园Ⅰ</t>
  </si>
  <si>
    <t>Ⅶ-温泉科技园Ⅱ</t>
  </si>
  <si>
    <t>Ⅶ-温泉科技园Ⅲ</t>
  </si>
  <si>
    <t>Ⅶ-国际教育园</t>
  </si>
  <si>
    <t>Ⅶ-农林园</t>
  </si>
  <si>
    <t>Ⅶ-上庄科技</t>
  </si>
  <si>
    <t>Ⅶ-石龙开发区</t>
  </si>
  <si>
    <t>Ⅶ-良乡开发区A</t>
  </si>
  <si>
    <t>Ⅶ-良乡开发区B</t>
  </si>
  <si>
    <t>Ⅶ-良乡开发区C</t>
  </si>
  <si>
    <t>Ⅶ-林河开发区</t>
  </si>
  <si>
    <t>Ⅶ-空港北区A</t>
  </si>
  <si>
    <t>Ⅶ-昌平园北Ⅰ</t>
  </si>
  <si>
    <t>Ⅶ-BDA南</t>
  </si>
  <si>
    <t>Ⅷ-01</t>
  </si>
  <si>
    <t>Ⅷ-05</t>
  </si>
  <si>
    <t>Ⅷ-门1</t>
  </si>
  <si>
    <t>Ⅷ-门军</t>
  </si>
  <si>
    <t>Ⅷ-房1</t>
  </si>
  <si>
    <t>Ⅷ-通1</t>
  </si>
  <si>
    <t>Ⅷ-顺1</t>
  </si>
  <si>
    <t>Ⅷ-顺3</t>
  </si>
  <si>
    <t>Ⅷ-昌1</t>
  </si>
  <si>
    <t>Ⅷ-兴1</t>
  </si>
  <si>
    <t>Ⅷ-兴3</t>
  </si>
  <si>
    <t>Ⅷ-怀1</t>
  </si>
  <si>
    <t>Ⅷ-平1</t>
  </si>
  <si>
    <t>Ⅷ-密1</t>
  </si>
  <si>
    <t>Ⅷ-延1</t>
  </si>
  <si>
    <t>Ⅷ-亦1</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</si>
  <si>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</si>
  <si>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</si>
  <si>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</si>
  <si>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</si>
  <si>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</si>
  <si>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</si>
  <si>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</si>
  <si>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</si>
  <si>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</si>
  <si>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</si>
  <si>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</si>
  <si>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</si>
  <si>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</si>
  <si>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Ⅸ-门1</t>
  </si>
  <si>
    <t>Ⅸ-门2</t>
  </si>
  <si>
    <t>Ⅸ-门潭</t>
  </si>
  <si>
    <t>Ⅸ-房1</t>
  </si>
  <si>
    <t>Ⅸ-通1</t>
  </si>
  <si>
    <t>Ⅸ-顺1</t>
  </si>
  <si>
    <t>Ⅸ-顺5</t>
  </si>
  <si>
    <t>Ⅸ-昌1</t>
  </si>
  <si>
    <t>Ⅸ-兴1</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</si>
  <si>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</si>
  <si>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</si>
  <si>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</si>
  <si>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</si>
  <si>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</si>
  <si>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</si>
  <si>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</si>
  <si>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</si>
  <si>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</si>
  <si>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</si>
  <si>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</si>
  <si>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</si>
  <si>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</si>
  <si>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</si>
  <si>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</si>
  <si>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</si>
  <si>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</si>
  <si>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</si>
  <si>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</si>
  <si>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</si>
  <si>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</si>
  <si>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</si>
  <si>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</si>
  <si>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</si>
  <si>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</si>
  <si>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</si>
  <si>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Ⅹ-门1</t>
  </si>
  <si>
    <t>Ⅹ-房1</t>
  </si>
  <si>
    <t>Ⅹ-房3</t>
  </si>
  <si>
    <t>Ⅹ-顺1</t>
  </si>
  <si>
    <t>Ⅹ-顺4</t>
  </si>
  <si>
    <t>Ⅹ-昌1</t>
  </si>
  <si>
    <t>Ⅹ-兴1</t>
  </si>
  <si>
    <t>Ⅹ-怀1</t>
  </si>
  <si>
    <t>Ⅹ-怀4</t>
  </si>
  <si>
    <t>Ⅹ-平1</t>
  </si>
  <si>
    <t>Ⅹ-平3</t>
  </si>
  <si>
    <t>Ⅹ-平4</t>
  </si>
  <si>
    <t>Ⅹ-密1</t>
  </si>
  <si>
    <t>Ⅹ-密2</t>
  </si>
  <si>
    <t>Ⅹ-密3</t>
  </si>
  <si>
    <t>Ⅹ-延1</t>
  </si>
  <si>
    <t>Ⅹ-延3</t>
  </si>
  <si>
    <t>Ⅹ-延4</t>
  </si>
  <si>
    <t>Ⅹ-亦1</t>
  </si>
  <si>
    <t>Ⅺ-门1</t>
  </si>
  <si>
    <t>Ⅺ-门斋</t>
  </si>
  <si>
    <t>Ⅺ-房1</t>
  </si>
  <si>
    <t>Ⅺ-顺1</t>
  </si>
  <si>
    <t>Ⅺ-顺2</t>
  </si>
  <si>
    <t>Ⅺ-昌1</t>
  </si>
  <si>
    <t>Ⅺ-昌3</t>
  </si>
  <si>
    <t>Ⅺ-怀1</t>
  </si>
  <si>
    <t>Ⅺ-平1</t>
  </si>
  <si>
    <t>Ⅺ-密1</t>
  </si>
  <si>
    <t>Ⅺ-延1</t>
  </si>
  <si>
    <t>Ⅺ-延3</t>
  </si>
  <si>
    <t>Ⅻ-门1</t>
  </si>
  <si>
    <t>Ⅻ-房1</t>
  </si>
  <si>
    <t>Ⅻ-昌1</t>
  </si>
  <si>
    <t>Ⅻ-怀1</t>
  </si>
  <si>
    <t>Ⅻ-平1</t>
  </si>
  <si>
    <t>Ⅻ-密1</t>
  </si>
  <si>
    <t>Ⅻ-延1</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</si>
  <si>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</si>
  <si>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</si>
  <si>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</si>
  <si>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</si>
  <si>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</si>
  <si>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公共服务</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</si>
  <si>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</si>
  <si>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</si>
  <si>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</si>
  <si>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</si>
  <si>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</si>
  <si>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</si>
  <si>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</si>
  <si>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</si>
  <si>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三级</t>
    <phoneticPr fontId="3" type="noConversion"/>
  </si>
  <si>
    <t>Ⅳ-01</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</si>
  <si>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</si>
  <si>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</si>
  <si>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</si>
  <si>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</si>
  <si>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</si>
  <si>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</si>
  <si>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</si>
  <si>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</si>
  <si>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Ⅴ-亦1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</si>
  <si>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</si>
  <si>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</si>
  <si>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</si>
  <si>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</si>
  <si>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</si>
  <si>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</si>
  <si>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</si>
  <si>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</si>
  <si>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</si>
  <si>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</si>
  <si>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</si>
  <si>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</si>
  <si>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</si>
  <si>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</si>
  <si>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</si>
  <si>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</si>
  <si>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</si>
  <si>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</si>
  <si>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</si>
  <si>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</si>
  <si>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</si>
  <si>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</si>
  <si>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</si>
  <si>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</si>
  <si>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</si>
  <si>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</si>
  <si>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</si>
  <si>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</si>
  <si>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</si>
  <si>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</si>
  <si>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</si>
  <si>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</si>
  <si>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</si>
  <si>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</si>
  <si>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</si>
  <si>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</si>
  <si>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</si>
  <si>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</si>
  <si>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</si>
  <si>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</si>
  <si>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</si>
  <si>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</si>
  <si>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</si>
  <si>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</si>
  <si>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</si>
  <si>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</si>
  <si>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t>Ⅶ-良乡开发区A</t>
    <phoneticPr fontId="3" type="noConversion"/>
  </si>
  <si>
    <t>Ⅶ-良乡开发区B</t>
    <phoneticPr fontId="3" type="noConversion"/>
  </si>
  <si>
    <t>Ⅶ-良乡开发区C</t>
    <phoneticPr fontId="3" type="noConversion"/>
  </si>
  <si>
    <t>Ⅶ-林河开发区</t>
    <phoneticPr fontId="3" type="noConversion"/>
  </si>
  <si>
    <t>Ⅶ-空港北区A</t>
    <phoneticPr fontId="3" type="noConversion"/>
  </si>
  <si>
    <t>Ⅶ-昌平园北Ⅰ</t>
    <phoneticPr fontId="3" type="noConversion"/>
  </si>
  <si>
    <t>Ⅶ-BDA南</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</si>
  <si>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</si>
  <si>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</si>
  <si>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</si>
  <si>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</si>
  <si>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</si>
  <si>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</si>
  <si>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</si>
  <si>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</si>
  <si>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</si>
  <si>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</si>
  <si>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</si>
  <si>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</si>
  <si>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</si>
  <si>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</si>
  <si>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</si>
  <si>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</si>
  <si>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</si>
  <si>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</si>
  <si>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</si>
  <si>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</si>
  <si>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</si>
  <si>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</si>
  <si>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</si>
  <si>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</si>
  <si>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</si>
  <si>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</si>
  <si>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</si>
  <si>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</si>
  <si>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</si>
  <si>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</si>
  <si>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</si>
  <si>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</si>
  <si>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</si>
  <si>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</si>
  <si>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</si>
  <si>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</si>
  <si>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</si>
  <si>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</si>
  <si>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</si>
  <si>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</si>
  <si>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</si>
  <si>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</si>
  <si>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</si>
  <si>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</si>
  <si>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</si>
  <si>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</si>
  <si>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</si>
  <si>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</si>
  <si>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</si>
  <si>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</si>
  <si>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</si>
  <si>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</si>
  <si>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</si>
  <si>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</si>
  <si>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</si>
  <si>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</si>
  <si>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</si>
  <si>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</si>
  <si>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</si>
  <si>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</si>
  <si>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</si>
  <si>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</si>
  <si>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</si>
  <si>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</si>
  <si>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</si>
  <si>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</si>
  <si>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</si>
  <si>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</si>
  <si>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</si>
  <si>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</si>
  <si>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</si>
  <si>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</si>
  <si>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</si>
  <si>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</si>
  <si>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</si>
  <si>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</si>
  <si>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十二级</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</si>
  <si>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</si>
  <si>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</si>
  <si>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</si>
  <si>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</si>
  <si>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</si>
  <si>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用途</t>
  </si>
  <si>
    <t>居住</t>
  </si>
  <si>
    <t>北京市级别基准地价表（楼面地价）</t>
    <phoneticPr fontId="224" type="noConversion"/>
  </si>
  <si>
    <t>（一）北京市级别基准地价表</t>
    <phoneticPr fontId="224" type="noConversion"/>
  </si>
  <si>
    <t xml:space="preserve">基准期日：2021年１月１日                        </t>
    <phoneticPr fontId="224" type="noConversion"/>
  </si>
  <si>
    <t>单位：元／平方米</t>
    <phoneticPr fontId="224" type="noConversion"/>
  </si>
  <si>
    <t>公共服务</t>
    <phoneticPr fontId="224" type="noConversion"/>
  </si>
  <si>
    <t>（2）</t>
    <phoneticPr fontId="3" type="noConversion"/>
  </si>
  <si>
    <t>（3）</t>
    <phoneticPr fontId="3"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</si>
  <si>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</si>
  <si>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</si>
  <si>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</si>
  <si>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3" type="noConversion"/>
  </si>
  <si>
    <r>
      <rPr>
        <sz val="10"/>
        <rFont val="宋体"/>
        <family val="3"/>
        <charset val="134"/>
      </rPr>
      <t>需根据项目情况调整公式修正项</t>
    </r>
    <phoneticPr fontId="3" type="noConversion"/>
  </si>
  <si>
    <r>
      <rPr>
        <sz val="10"/>
        <color indexed="8"/>
        <rFont val="宋体"/>
        <family val="3"/>
        <charset val="134"/>
      </rPr>
      <t>轨道交通站点周边</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</si>
  <si>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</si>
  <si>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3"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</si>
  <si>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</si>
  <si>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</si>
  <si>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</si>
  <si>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</si>
  <si>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</si>
  <si>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</si>
  <si>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</si>
  <si>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</si>
  <si>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</si>
  <si>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</si>
  <si>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t>楼面熟地价=适用的基准地价×用途修正系数×期日修正系数×年期修正系数×（容积率修正系数或楼层修正系数）×因素修正系数</t>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</si>
  <si>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</si>
  <si>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</si>
  <si>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r>
      <t>6</t>
    </r>
    <r>
      <rPr>
        <sz val="10"/>
        <color theme="1"/>
        <rFont val="宋体"/>
        <family val="3"/>
        <charset val="134"/>
      </rPr>
      <t>层及以上</t>
    </r>
    <phoneticPr fontId="121" type="noConversion"/>
  </si>
  <si>
    <t>城市规划及区域土地利用方向</t>
    <phoneticPr fontId="3" type="noConversion"/>
  </si>
  <si>
    <t>公共服务</t>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</si>
  <si>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</si>
  <si>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</si>
  <si>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</si>
  <si>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</si>
  <si>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1"/>
        <rFont val="宋体"/>
        <family val="3"/>
        <charset val="134"/>
      </rPr>
      <t>临街道路状况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</si>
  <si>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</si>
  <si>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</si>
  <si>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t>公共服务</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</si>
  <si>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</si>
  <si>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</si>
  <si>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</si>
  <si>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</si>
  <si>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</si>
  <si>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等级</t>
    </r>
    <phoneticPr fontId="3" type="noConversion"/>
  </si>
  <si>
    <t>6层及以上</t>
    <phoneticPr fontId="121"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</si>
  <si>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</si>
  <si>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</si>
  <si>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</si>
  <si>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</si>
  <si>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公共服务</t>
    <phoneticPr fontId="121"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</si>
  <si>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</si>
  <si>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</si>
  <si>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</si>
  <si>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</si>
  <si>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</si>
  <si>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t>按租金收入计税</t>
  </si>
  <si>
    <t>2022-3</t>
    <phoneticPr fontId="3" type="noConversion"/>
  </si>
  <si>
    <t>2022-2</t>
    <phoneticPr fontId="3" type="noConversion"/>
  </si>
  <si>
    <t>2022-3</t>
    <phoneticPr fontId="3" type="noConversion"/>
  </si>
  <si>
    <t>中心城区：城六区，对应北京市地价动态监测结果的国家级样点和市级样点中办公（市区）</t>
    <phoneticPr fontId="231" type="noConversion"/>
  </si>
  <si>
    <r>
      <t>非中心城区：除城六区外其余十一区，对应北京市地价动态监测结果的市级样点，即</t>
    </r>
    <r>
      <rPr>
        <sz val="10"/>
        <rFont val="楷体_GB2312"/>
        <family val="3"/>
        <charset val="134"/>
      </rPr>
      <t>规划新城</t>
    </r>
    <phoneticPr fontId="231" type="noConversion"/>
  </si>
  <si>
    <t>2022-4</t>
    <phoneticPr fontId="3" type="noConversion"/>
  </si>
  <si>
    <t>2022-4</t>
    <phoneticPr fontId="3" type="noConversion"/>
  </si>
  <si>
    <t>2023-1</t>
    <phoneticPr fontId="3" type="noConversion"/>
  </si>
  <si>
    <t>2023-1</t>
    <phoneticPr fontId="3" type="noConversion"/>
  </si>
  <si>
    <t>2023-2</t>
    <phoneticPr fontId="3" type="noConversion"/>
  </si>
  <si>
    <t>2023-2</t>
    <phoneticPr fontId="3" type="noConversion"/>
  </si>
  <si>
    <t>2024-2</t>
    <phoneticPr fontId="3" type="noConversion"/>
  </si>
  <si>
    <t>2023-3</t>
    <phoneticPr fontId="3" type="noConversion"/>
  </si>
  <si>
    <t>2024-1</t>
    <phoneticPr fontId="3" type="noConversion"/>
  </si>
  <si>
    <t>2023-4</t>
    <phoneticPr fontId="3" type="noConversion"/>
  </si>
  <si>
    <t>2024-1</t>
    <phoneticPr fontId="3" type="noConversion"/>
  </si>
  <si>
    <t>2023-4</t>
    <phoneticPr fontId="3" type="noConversion"/>
  </si>
  <si>
    <t>2024-3</t>
    <phoneticPr fontId="3" type="noConversion"/>
  </si>
  <si>
    <t>2024-3</t>
    <phoneticPr fontId="3" type="noConversion"/>
  </si>
  <si>
    <t>中心城区</t>
  </si>
  <si>
    <t>地上</t>
  </si>
  <si>
    <t>用途类型</t>
  </si>
  <si>
    <t>工业</t>
    <phoneticPr fontId="7" type="noConversion"/>
  </si>
  <si>
    <t>宗地容积率</t>
  </si>
  <si>
    <t>是</t>
  </si>
  <si>
    <t>不临65条商业街</t>
  </si>
  <si>
    <t>与级别开发程度一致</t>
  </si>
  <si>
    <t>好</t>
  </si>
  <si>
    <t>一般</t>
  </si>
  <si>
    <t>较差</t>
  </si>
  <si>
    <t>较好</t>
  </si>
  <si>
    <t>地块名称</t>
  </si>
  <si>
    <t>区县</t>
  </si>
  <si>
    <t>板块</t>
  </si>
  <si>
    <t>公告编号</t>
  </si>
  <si>
    <t>地块编号</t>
  </si>
  <si>
    <t>土地位置</t>
  </si>
  <si>
    <t>建设用地面积(㎡)</t>
  </si>
  <si>
    <t>规划建筑面积(㎡)</t>
  </si>
  <si>
    <t>用地性质</t>
  </si>
  <si>
    <t>详细规划</t>
  </si>
  <si>
    <t>出让年限(年)</t>
  </si>
  <si>
    <t>容积率上限</t>
  </si>
  <si>
    <t>出让方式</t>
  </si>
  <si>
    <t>公告时间</t>
  </si>
  <si>
    <t>起始时间</t>
  </si>
  <si>
    <t>截止时间</t>
  </si>
  <si>
    <t>成交时间</t>
  </si>
  <si>
    <t>交易状态</t>
  </si>
  <si>
    <t>受让单位</t>
  </si>
  <si>
    <t>拿地企业</t>
  </si>
  <si>
    <t>企业性质</t>
  </si>
  <si>
    <t>是否城投企业</t>
  </si>
  <si>
    <t>起始价(万元)</t>
  </si>
  <si>
    <t>保证金(万元)</t>
  </si>
  <si>
    <t>成交价(万元)</t>
  </si>
  <si>
    <t>推出每亩价(万元/亩)</t>
  </si>
  <si>
    <t>成交每亩价(万元/亩)</t>
  </si>
  <si>
    <t>推出楼面价(元/㎡)</t>
  </si>
  <si>
    <t>成交楼面价(元/㎡)</t>
  </si>
  <si>
    <t>溢价率(%)</t>
  </si>
  <si>
    <t>修正后楼面价</t>
    <phoneticPr fontId="224" type="noConversion"/>
  </si>
  <si>
    <t>大兴区</t>
  </si>
  <si>
    <t>路南区</t>
  </si>
  <si>
    <t>京开国土挂[2024] 02号</t>
  </si>
  <si>
    <t>京开国土挂[2024]02号</t>
  </si>
  <si>
    <t>亦庄新城YZ00-0606街区0549地块</t>
  </si>
  <si>
    <t>小于等于1.5</t>
  </si>
  <si>
    <t>挂牌</t>
  </si>
  <si>
    <t>已成交</t>
  </si>
  <si>
    <t>北京电控集成电路制造有限责任公司</t>
  </si>
  <si>
    <t>北京国有资本运营管理</t>
  </si>
  <si>
    <t>地方国有企业</t>
  </si>
  <si>
    <t>城投企业</t>
  </si>
  <si>
    <t>亦庄新城YZ00-0702街区N43M1-2地块 工业项目</t>
  </si>
  <si>
    <t>京开国土挂[2024] 01号</t>
  </si>
  <si>
    <t>京开国土挂[2024]01号</t>
  </si>
  <si>
    <t>亦庄新城YZ00-0702街区N43M1-2地块</t>
  </si>
  <si>
    <t>一类工业 用地 (M1)</t>
  </si>
  <si>
    <t>小于等于1</t>
  </si>
  <si>
    <t>北京时代动力电池有限公司</t>
  </si>
  <si>
    <t>北汽蓝谷,北京市国有资产经营,宁德时代,北京汽车集团有限公司,小米科技,北京能源集团</t>
  </si>
  <si>
    <t>地方国有企业，地方国有企业，民营企业，民营企业，民营企业，地方国有企业</t>
  </si>
  <si>
    <t>--，城投企业，--，--，--，城投企业</t>
  </si>
  <si>
    <t>亦庄新城0606街区YZ00-0606-0036地块工业项目</t>
  </si>
  <si>
    <t>马驹桥南</t>
  </si>
  <si>
    <t>京开国土挂[2023]10号</t>
  </si>
  <si>
    <t>亦庄新城0606街区YZ00-0606-0036地块</t>
  </si>
  <si>
    <t>20年</t>
  </si>
  <si>
    <t>高频(北京)科技股份有限公司</t>
  </si>
  <si>
    <t>亦庄新城YZ00-0106街区15M1地块工业项目</t>
  </si>
  <si>
    <t>亦庄核心区北部</t>
  </si>
  <si>
    <t>京开国土挂[2023]14号</t>
  </si>
  <si>
    <t>亦庄新城YZ00-0106街区15M1地块</t>
  </si>
  <si>
    <t>一类工业用地 (M1)</t>
  </si>
  <si>
    <t>≤2.0</t>
  </si>
  <si>
    <t>艾美疫苗股份有限公司</t>
  </si>
  <si>
    <t>亦庄新城YZ00-0606街区0549地块工业项目</t>
    <phoneticPr fontId="224" type="noConversion"/>
  </si>
  <si>
    <t>正常</t>
  </si>
  <si>
    <t>七通</t>
  </si>
  <si>
    <t>六</t>
    <phoneticPr fontId="224" type="noConversion"/>
  </si>
  <si>
    <t>七</t>
    <phoneticPr fontId="224" type="noConversion"/>
  </si>
  <si>
    <t>六通</t>
  </si>
  <si>
    <t>六级</t>
    <phoneticPr fontId="28" type="noConversion"/>
  </si>
  <si>
    <t>七级</t>
    <phoneticPr fontId="28" type="noConversion"/>
  </si>
  <si>
    <t>八级</t>
    <phoneticPr fontId="28" type="noConversion"/>
  </si>
  <si>
    <t>六级</t>
    <phoneticPr fontId="21" type="noConversion"/>
  </si>
  <si>
    <t>基准地价</t>
  </si>
  <si>
    <t>序号1</t>
  </si>
  <si>
    <t>年份</t>
  </si>
  <si>
    <t>期次</t>
  </si>
  <si>
    <t>序号2</t>
  </si>
  <si>
    <t>项目名称</t>
  </si>
  <si>
    <t>开发主体</t>
  </si>
  <si>
    <t>项目类型</t>
  </si>
  <si>
    <t>主要规划用途</t>
  </si>
  <si>
    <t>市政条件</t>
  </si>
  <si>
    <t>土地面积（公顷）</t>
  </si>
  <si>
    <t>建筑规模  （万平方米）</t>
  </si>
  <si>
    <t>土地开发成本   
（万元）</t>
  </si>
  <si>
    <t>土地开发成本构成情况</t>
  </si>
  <si>
    <t>备注</t>
  </si>
  <si>
    <t>总用地面积（公顷）</t>
  </si>
  <si>
    <t>建设用地面积（公顷）</t>
  </si>
  <si>
    <t>成本</t>
    <phoneticPr fontId="224" type="noConversion"/>
  </si>
  <si>
    <t>地面价</t>
    <phoneticPr fontId="224" type="noConversion"/>
  </si>
  <si>
    <t>通州</t>
  </si>
  <si>
    <t>公开出让</t>
  </si>
  <si>
    <t>北京新城基业投资发展有限公司</t>
  </si>
  <si>
    <t>一级开发</t>
  </si>
  <si>
    <t>商业金融用地</t>
  </si>
  <si>
    <t>临时三通一平（通临水，通临电，通临路）；
已全部完成</t>
  </si>
  <si>
    <t>经通州区政府审核，通州区彩虹之门土地一级开发项目土地开发成本为37164.44万元，其中，前期费用480.4万元，征地补偿费17752.22万元，拆迁补偿费11021.72万元，征地、拆迁不可预见费76.21万元，市政基础设施建设费133.66万元，其他费用183.34万元，财务费用956.85万元，利润2383.25万元，两税两费1928.24万元，审计费、委托入市交易费、地价评估费143.05万元。</t>
  </si>
  <si>
    <t>本次审核地块征地材料已上报市政府，拆迁工作基本完成</t>
  </si>
  <si>
    <t>通州区高楼金重点村土地一级开发项目B地块</t>
  </si>
  <si>
    <t>通州区分中心</t>
  </si>
  <si>
    <t>临时三通一平（通临水，通临电，通临路）；
以上工作由通州区分中心负责于二级竞得人竣工验收前完成</t>
  </si>
  <si>
    <t>一、经通州区政府审核，通州区高楼金重点村整治土地一级开发项目土地开发成本为311111.00万元，其中，前期费用728.93 万元，征地补偿费79786.03 万元，拆迁补偿费181014.03 万元，征地、拆迁不可预见费3843.98 万元，市政基础设施建设费587.81 万元，其他费用555.84 万元，财务费用39900.00万元，管理费4264.27 万元，审计费、委托入市交易费、地价评估费 430.11 万元；
二、本次审核的通州区高楼金重点村土地一级开发项目B地块土地开发成本为 80185.16 万元。</t>
  </si>
  <si>
    <t>本次审核地块已签订征地协议，拆迁工作基本完成</t>
  </si>
  <si>
    <t>北京通州文化旅游区项目（北京国际旅游度假区核心区部分地块）</t>
  </si>
  <si>
    <t>市中心、通州区分中心</t>
  </si>
  <si>
    <t>主题公园、停车场</t>
  </si>
  <si>
    <t>一、经通州区政府审核，北京通州文化旅游区项目土地开发成本为3567247.57 万元，其中，前期费用12093.04万元，征地补偿费 674342.30万元，拆迁补偿费2215661.86万元，征地、拆迁不可预见费147218.98万元，市政基础设施建设费    11,020.16万元，其他费用7618.43万元，财务费用431776.44万元，管理费61479.83万元，审计费、委托入市交易费、地价评估费6036.54万元。
二、本次审核的通州文化旅游区项目（北京国际旅游度假区核心区部分地块）土地开发成本为475099.3万元</t>
  </si>
  <si>
    <t>北京市通州区西集综合配套区C、D、F地块一级开发项目</t>
  </si>
  <si>
    <t>R2二类居住用地、F1住宅混合公建用地、R53托幼用地、C2商业金融用地、C24社区综合服务用地</t>
  </si>
  <si>
    <t>七通一平（通路、通上水（自来水、中水）、通下水（雨水、污水）、通电(管沟和电缆)、通热力、通燃气、通讯(电信和有线电视），以上工作由通州区分中心责于二级竞得人竣工验收前完成</t>
  </si>
  <si>
    <t>一、经通州区政府审核，通州区西集综合配套区C、D、F地块土地开发成本为60839.75万元，其中，前期费用677万元，征地补偿及相关税费8460.05万元，拆迁补偿及相关费用30733.30万元，市政基础设施建设费10391.77万元，其他费用276.63万元，财务费用7251.27万元，利润及管理费2842.38万元，审计费76万元，委托入市交易费113.54万元，地价评估费17.81万元。
二、本次审核地块的土地开发总成本为60839.75万元，其中，C地块土地开发成本38646.05万元，D地块土地开发成本22193.70万元，F地块不承担土地开发成本。</t>
  </si>
  <si>
    <t>通州区宋庄文化创意产业集聚区土地一级开发项目A1、A2、A3地块</t>
  </si>
  <si>
    <t>F3其它类多功能、S3社会停车场库用地</t>
  </si>
  <si>
    <t>七通一平（通路、通上水（自来水、中水）、通下水（雨水、污水）、通电（管沟、电缆）、通讯（电信、有线电视）、通燃气、通热力），以上工作由通州区分中心负责于二级竞得人竣工验收前完成。</t>
  </si>
  <si>
    <t>一、经通州区政府审核，通州区宋庄文化创意产业集聚区A、B、C地块土地一级开发项目土地开发成本为373802.37万元，其中，前期费用1779.46万元，征地补偿及相关税费46144.18万元，拆迁补偿及相关费用224408.82万元，市政基础设施建设费10577.58万元，其他费用1990.54万元，财务费用50378.42万元，管理费5698.01万元，审计费、委托入市交易费、地价评估费538.53万元，安置房亏损32286.82万元。
二、本次审核A地块土地开发成本为158987.98万元，其中，A1地块土地一级开发成本为58580.74万元、A2地块土地一级开发成本为52826.19万元、A3地块土地一级开发成本为47581.05万元。</t>
  </si>
  <si>
    <t>本次审核地块已取得征地结案；已完成拆迁工作。</t>
  </si>
  <si>
    <t>北京云海腾飞铸造有限责任公司（宋庄铸造厂）</t>
  </si>
  <si>
    <t>企业利用自有用地建设保障房</t>
  </si>
  <si>
    <t>二类居住用地、基础教育用地</t>
  </si>
  <si>
    <t>本次审核地块拆除工作全部完成。</t>
  </si>
  <si>
    <t>第二期</t>
  </si>
  <si>
    <t>通州区0204街区静水园土地一级开发项目A2地块</t>
  </si>
  <si>
    <t>北京静水园房地产开发有限公司</t>
  </si>
  <si>
    <t>居住、商业</t>
  </si>
  <si>
    <t xml:space="preserve">
临时三通一平（通施工临时用水、通施工临时用电、通可供施工车辆通行的道路，场地基本平整），已全部完成。
</t>
  </si>
  <si>
    <r>
      <rPr>
        <sz val="10"/>
        <rFont val="宋体"/>
        <family val="3"/>
        <charset val="134"/>
        <scheme val="minor"/>
      </rPr>
      <t>一、经通州区政府审核，静水园</t>
    </r>
    <r>
      <rPr>
        <sz val="10"/>
        <rFont val="宋体"/>
        <family val="3"/>
        <charset val="134"/>
      </rPr>
      <t>A2、A3地块项目土地开发成本为270308.49万元，其中，前期费用 771.92万元，征地补偿及相关税费46952.95 万元，拆迁补偿费及相关税136511.68万元，市政基础设施建设费11502.65万元，其他费用8480.68万元，财务费用34587.11万元，利润 16337.59万元，两税两费14866.96万元，审计费、委托入市交易费296.95万元。
二、本次审核通州新城0204街区静水园A2地块的土地开发总成本为139708.23万元。</t>
    </r>
  </si>
  <si>
    <t>本次审核地块征地拆迁工作已完成。</t>
  </si>
  <si>
    <t>北京市土地整理储备中心通州区分中心</t>
  </si>
  <si>
    <t>二类居住用地、商业综合服务用地</t>
  </si>
  <si>
    <t>市政建设程度为项目红线范围内城市支路的六通（通路、通上水（自来水、中水）、通下水（雨水、污水）、通电（管沟、电缆）、通燃气、通热力）和场地自然平整，以上工作由北京市土地整理储备中心通州区分中心负责于二级竣工验收前完成。</t>
  </si>
  <si>
    <t xml:space="preserve">
28860.6
</t>
  </si>
  <si>
    <t>一、经通州区政府审核，西集综合配套区CDF地块土地开发成本为67667.45万元，其中，前期费用720.37万元，征地补偿及相关税费8460.05万元，拆迁补偿费及相关税费34586.22万元，市政基础设施建设费10237.62万元，其他费用461.43万元，财务费用9872.73万元，利润/管理费3156.53万元，审计费64.97万元，委托入市交易费89.72万元，土地入市评估费17.81万元。
二、扣除已收回成本38646.05万元，以及C地块内托幼和文化设施用地分摊成本160.8万元，剩余地块土地开发成本28860.6万元。
三、本次审核的地块为西集D地块，土地开发成本为28860.6万元。</t>
  </si>
  <si>
    <t>本次审核地块已取得征地批复、征地结案，拆迁工作已全部完成。</t>
  </si>
  <si>
    <t>通州区</t>
  </si>
  <si>
    <t>通州区永顺镇0401街区46号地块（西马庄收储）供地项目</t>
  </si>
  <si>
    <t>收储</t>
  </si>
  <si>
    <t>商业用地</t>
  </si>
  <si>
    <t xml:space="preserve"> 
市政建设程度为临时三通（通施工临时用水、通施工临时用电、通可供施工车辆通行的道路）和场地自然平整，由北京市土地整理储备中心负责于项目入市前完成。
</t>
  </si>
  <si>
    <t>一、经通州区政府审核，通州新城0401街区46号地块国有土地收储项目土地收储成本为8299.32万元，其中前期费用69.17万元，土地收购补偿款7973.46万元，其他费用11.39万元，收储评估费6.10万元，不可预见费239.20万元。
二、本次审核的通州新城0401街区46号地块国有土地收储项目地块土地收储成本为8299.32万元。</t>
  </si>
  <si>
    <t>该项目不涉及征地，地上除临时看护用房外（可随时拆除）均已完成地上物拆除</t>
  </si>
  <si>
    <t>不动产收益法</t>
  </si>
  <si>
    <t>押一</t>
  </si>
  <si>
    <t>钢</t>
  </si>
  <si>
    <t>成新度</t>
  </si>
  <si>
    <t>1.市场比较法</t>
  </si>
  <si>
    <t>案例情况统计表</t>
  </si>
  <si>
    <t>六级</t>
    <phoneticPr fontId="224" type="noConversion"/>
  </si>
  <si>
    <t>五级</t>
    <phoneticPr fontId="224" type="noConversion"/>
  </si>
  <si>
    <t>案例名称</t>
  </si>
  <si>
    <t>北京金通资产经营管理公司</t>
    <phoneticPr fontId="224" type="noConversion"/>
  </si>
  <si>
    <t>北方智能微机电集团有限公司</t>
  </si>
  <si>
    <t>北京市通州区农业机械公司</t>
  </si>
  <si>
    <t>位置</t>
    <phoneticPr fontId="224" type="noConversion"/>
  </si>
  <si>
    <t>通州区张家湾镇张辛庄村</t>
    <phoneticPr fontId="224" type="noConversion"/>
  </si>
  <si>
    <t>通州区永顺镇小圣庙村北</t>
  </si>
  <si>
    <t>数据来源</t>
  </si>
  <si>
    <t>通州区房屋征收事务中心</t>
  </si>
  <si>
    <t>交易日期</t>
    <phoneticPr fontId="224" type="noConversion"/>
  </si>
  <si>
    <t>交易方式</t>
    <phoneticPr fontId="224" type="noConversion"/>
  </si>
  <si>
    <t>收回</t>
    <phoneticPr fontId="224" type="noConversion"/>
  </si>
  <si>
    <t>收回</t>
  </si>
  <si>
    <t>土地使用权类型</t>
  </si>
  <si>
    <t>划拨</t>
  </si>
  <si>
    <t>土地用途</t>
    <phoneticPr fontId="224" type="noConversion"/>
  </si>
  <si>
    <t>土地剩余使用年限(年)</t>
    <phoneticPr fontId="224" type="noConversion"/>
  </si>
  <si>
    <t>无期限</t>
  </si>
  <si>
    <t>宗地面积(m)</t>
  </si>
  <si>
    <t>楼面交易价格(元/m)</t>
    <phoneticPr fontId="224" type="noConversion"/>
  </si>
  <si>
    <t>设定容积率</t>
    <phoneticPr fontId="224" type="noConversion"/>
  </si>
  <si>
    <t>地面交易价格(元/m)</t>
  </si>
  <si>
    <t>地面交易价格(万元/亩)</t>
  </si>
  <si>
    <t>市场比较法最终价格(元/m)</t>
  </si>
  <si>
    <t>市场比较法最终价格(万元/亩)</t>
  </si>
  <si>
    <r>
      <t xml:space="preserve">
临时三通一平（通施工临时用水、通施工临时用电、通可供施工车辆通行的道路，场地基本平整），以上工作由</t>
    </r>
    <r>
      <rPr>
        <sz val="11"/>
        <color rgb="FFFF0000"/>
        <rFont val="宋体"/>
        <family val="3"/>
        <charset val="134"/>
      </rPr>
      <t>宋庄铸造厂（北京云海腾飞铸造有限责任公司）负责于项目入市前完成。</t>
    </r>
  </si>
  <si>
    <r>
      <t xml:space="preserve">   经北京京港房地产估价有限公司评估，宋庄铸造厂（北京云海腾飞铸造有限责任公司）利用自有用地建设限价房项目企业搬迁补偿费为</t>
    </r>
    <r>
      <rPr>
        <sz val="10"/>
        <color rgb="FFFF0000"/>
        <rFont val="宋体"/>
        <family val="3"/>
        <charset val="134"/>
      </rPr>
      <t>23843.20万元，其中，前期费用293.49万元，拆迁补偿费用23549.71万元。</t>
    </r>
  </si>
  <si>
    <t>通州区彩虹之门土地一级开发项目</t>
    <phoneticPr fontId="224" type="noConversion"/>
  </si>
  <si>
    <t>北京云海腾飞铸造有限责任公司（宋庄铸造厂）利用自有用地建设限价房项目</t>
    <phoneticPr fontId="224" type="noConversion"/>
  </si>
  <si>
    <t>西集镇综合配套区CDF一级开发项目D地块</t>
    <phoneticPr fontId="224" type="noConversion"/>
  </si>
  <si>
    <t>四级</t>
    <phoneticPr fontId="28" type="noConversion"/>
  </si>
  <si>
    <t>五级</t>
    <phoneticPr fontId="28" type="noConversion"/>
  </si>
  <si>
    <t>三通</t>
  </si>
  <si>
    <t>规则</t>
    <phoneticPr fontId="28" type="noConversion"/>
  </si>
  <si>
    <t>较规则</t>
  </si>
  <si>
    <t>较规则</t>
    <phoneticPr fontId="28" type="noConversion"/>
  </si>
  <si>
    <t>成本逼近法</t>
  </si>
  <si>
    <t>序号</t>
    <phoneticPr fontId="224" type="noConversion"/>
  </si>
  <si>
    <t>项目位置</t>
    <phoneticPr fontId="224" type="noConversion"/>
  </si>
  <si>
    <t>项目土地面积</t>
    <phoneticPr fontId="224" type="noConversion"/>
  </si>
  <si>
    <t xml:space="preserve">土地开发成本   </t>
  </si>
  <si>
    <t>财务费用占总成本比例</t>
    <phoneticPr fontId="224" type="noConversion"/>
  </si>
  <si>
    <t>审定日期</t>
    <phoneticPr fontId="224" type="noConversion"/>
  </si>
  <si>
    <t>单价</t>
    <phoneticPr fontId="224" type="noConversion"/>
  </si>
  <si>
    <t>征地补偿及相关税费</t>
  </si>
  <si>
    <t>收购补偿费、房屋征收（拆迁）补偿费及相关费用</t>
  </si>
  <si>
    <t>顺义区</t>
    <phoneticPr fontId="224" type="noConversion"/>
  </si>
  <si>
    <t>顺义区薛大人庄村剩余1、2号地块</t>
  </si>
  <si>
    <t>顺义区M15号线后沙峪站ABC地块</t>
    <phoneticPr fontId="224" type="noConversion"/>
  </si>
  <si>
    <t>四通</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</si>
</sst>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0_ ;[Red]\-0\ "/>
    <numFmt numFmtId="193" formatCode="yyyy/m/d;@"/>
    <numFmt numFmtId="194" formatCode="0.0000_);[Red]\(0.0000\)"/>
    <numFmt numFmtId="195" formatCode="[DBNum1][$-804]yyyy&quot;年&quot;m&quot;月&quot;d&quot;日&quot;;@"/>
  </numFmts>
  <fonts count="30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b/>
      <sz val="12"/>
      <color rgb="FFFF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8"/>
      <color theme="1"/>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sz val="10"/>
      <color indexed="10"/>
      <name val="宋体"/>
      <family val="3"/>
      <charset val="134"/>
    </font>
    <font>
      <sz val="10"/>
      <color theme="9" tint="-0.249977111117893"/>
      <name val="宋体"/>
      <family val="3"/>
      <charset val="134"/>
    </font>
    <font>
      <sz val="10"/>
      <name val="楷体_GB2312"/>
      <family val="2"/>
      <charset val="134"/>
    </font>
    <font>
      <b/>
      <sz val="16"/>
      <color indexed="81"/>
      <name val="宋体"/>
      <family val="3"/>
      <charset val="134"/>
    </font>
    <font>
      <sz val="12"/>
      <color rgb="FFFF0000"/>
      <name val="宋体"/>
      <family val="2"/>
      <scheme val="minor"/>
    </font>
    <font>
      <b/>
      <sz val="11"/>
      <name val="宋体"/>
      <family val="3"/>
      <charset val="134"/>
      <scheme val="minor"/>
    </font>
    <font>
      <b/>
      <sz val="10"/>
      <name val="宋体"/>
      <family val="3"/>
      <charset val="134"/>
      <scheme val="minor"/>
    </font>
    <font>
      <sz val="11"/>
      <name val="宋体"/>
      <family val="3"/>
      <charset val="134"/>
      <scheme val="minor"/>
    </font>
    <font>
      <sz val="10"/>
      <name val="宋体"/>
      <family val="3"/>
      <charset val="134"/>
      <scheme val="minor"/>
    </font>
  </fonts>
  <fills count="25">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8" tint="0.79998168889431442"/>
        <bgColor indexed="64"/>
      </patternFill>
    </fill>
  </fills>
  <borders count="17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141" fillId="0" borderId="0">
      <alignment vertical="center"/>
    </xf>
    <xf numFmtId="0" fontId="141" fillId="0" borderId="0">
      <alignment vertical="center"/>
    </xf>
    <xf numFmtId="0" fontId="141" fillId="0" borderId="0">
      <alignment vertical="center"/>
    </xf>
    <xf numFmtId="0" fontId="141" fillId="0" borderId="0"/>
    <xf numFmtId="0" fontId="141" fillId="0" borderId="0">
      <alignment vertical="center"/>
    </xf>
    <xf numFmtId="0" fontId="32" fillId="0" borderId="0"/>
    <xf numFmtId="0" fontId="141" fillId="0" borderId="0">
      <alignment vertical="center"/>
    </xf>
    <xf numFmtId="0" fontId="141" fillId="0" borderId="0"/>
    <xf numFmtId="0" fontId="141" fillId="0" borderId="0">
      <alignment vertical="center"/>
    </xf>
    <xf numFmtId="0" fontId="2" fillId="0" borderId="0">
      <alignment vertical="center"/>
    </xf>
    <xf numFmtId="9" fontId="32" fillId="0" borderId="0" applyFont="0" applyFill="0" applyBorder="0" applyAlignment="0" applyProtection="0">
      <alignment vertical="center"/>
    </xf>
    <xf numFmtId="0" fontId="141" fillId="0" borderId="0">
      <alignment vertical="center"/>
    </xf>
    <xf numFmtId="0" fontId="1" fillId="0" borderId="0">
      <alignment vertical="center"/>
    </xf>
    <xf numFmtId="0" fontId="250" fillId="0" borderId="0"/>
    <xf numFmtId="0" fontId="1" fillId="0" borderId="0">
      <alignment vertical="center"/>
    </xf>
    <xf numFmtId="9" fontId="279" fillId="0" borderId="0" applyFont="0" applyFill="0" applyBorder="0" applyAlignment="0" applyProtection="0">
      <alignment vertical="center"/>
    </xf>
    <xf numFmtId="195" fontId="141" fillId="0" borderId="0">
      <alignment vertical="center"/>
    </xf>
    <xf numFmtId="0" fontId="141" fillId="0" borderId="0">
      <alignment vertical="center"/>
    </xf>
  </cellStyleXfs>
  <cellXfs count="3775">
    <xf numFmtId="0" fontId="0" fillId="0" borderId="0" xfId="0">
      <alignment vertical="center"/>
    </xf>
    <xf numFmtId="0" fontId="17" fillId="5" borderId="1" xfId="0" applyFont="1" applyFill="1" applyBorder="1" applyAlignment="1">
      <alignment horizontal="center" vertical="center" wrapText="1"/>
    </xf>
    <xf numFmtId="0" fontId="0" fillId="0" borderId="0" xfId="0" applyAlignment="1">
      <alignment vertical="center" wrapText="1"/>
    </xf>
    <xf numFmtId="0" fontId="145" fillId="5" borderId="3" xfId="0" applyFont="1" applyFill="1" applyBorder="1" applyAlignment="1">
      <alignment horizontal="center" vertical="center" wrapText="1"/>
    </xf>
    <xf numFmtId="0" fontId="145" fillId="5" borderId="0" xfId="0" applyFont="1" applyFill="1" applyAlignment="1">
      <alignment horizontal="center" vertical="center" wrapText="1"/>
    </xf>
    <xf numFmtId="0" fontId="70" fillId="5" borderId="0" xfId="0" applyFont="1" applyFill="1" applyAlignment="1">
      <alignment horizontal="center" vertical="center" wrapText="1"/>
    </xf>
    <xf numFmtId="0" fontId="145" fillId="0" borderId="2" xfId="0" applyFont="1" applyBorder="1" applyAlignment="1" applyProtection="1">
      <alignment horizontal="center" vertical="center"/>
      <protection locked="0"/>
    </xf>
    <xf numFmtId="0" fontId="145" fillId="5" borderId="0" xfId="0" applyFont="1" applyFill="1" applyAlignment="1">
      <alignment horizontal="center" vertical="center"/>
    </xf>
    <xf numFmtId="0" fontId="145" fillId="0" borderId="0" xfId="0" applyFont="1" applyAlignment="1" applyProtection="1">
      <alignment horizontal="center" vertical="center"/>
      <protection locked="0"/>
    </xf>
    <xf numFmtId="0" fontId="145" fillId="5" borderId="0" xfId="0" applyFont="1" applyFill="1">
      <alignment vertical="center"/>
    </xf>
    <xf numFmtId="0" fontId="72" fillId="0" borderId="2" xfId="0" applyFont="1" applyBorder="1" applyAlignment="1" applyProtection="1">
      <alignment horizontal="center" vertical="center" wrapText="1"/>
      <protection locked="0"/>
    </xf>
    <xf numFmtId="0" fontId="146" fillId="5" borderId="0" xfId="0" applyFont="1" applyFill="1" applyAlignment="1">
      <alignment horizontal="left" vertical="center"/>
    </xf>
    <xf numFmtId="0" fontId="67" fillId="5" borderId="0" xfId="0" applyFont="1" applyFill="1" applyAlignment="1">
      <alignment horizontal="center" vertical="center" wrapText="1"/>
    </xf>
    <xf numFmtId="0" fontId="67" fillId="0" borderId="0" xfId="0" applyFont="1" applyAlignment="1" applyProtection="1">
      <alignment horizontal="center" vertical="center" wrapText="1"/>
      <protection locked="0"/>
    </xf>
    <xf numFmtId="0" fontId="72" fillId="5" borderId="2" xfId="0" applyFont="1" applyFill="1" applyBorder="1" applyAlignment="1">
      <alignment horizontal="center" vertical="center" wrapText="1"/>
    </xf>
    <xf numFmtId="0" fontId="72" fillId="0" borderId="0" xfId="0" applyFont="1" applyAlignment="1" applyProtection="1">
      <alignment horizontal="center" vertical="center" wrapText="1"/>
      <protection locked="0"/>
    </xf>
    <xf numFmtId="0" fontId="147" fillId="5" borderId="0" xfId="0" applyFont="1" applyFill="1" applyAlignment="1">
      <alignment horizontal="left" vertical="center"/>
    </xf>
    <xf numFmtId="0" fontId="72" fillId="5" borderId="4" xfId="0" applyFont="1" applyFill="1" applyBorder="1" applyAlignment="1">
      <alignment horizontal="center" vertical="center" wrapText="1"/>
    </xf>
    <xf numFmtId="180" fontId="72" fillId="0" borderId="2" xfId="0" applyNumberFormat="1" applyFont="1" applyBorder="1" applyAlignment="1" applyProtection="1">
      <alignment horizontal="center" vertical="center" wrapText="1"/>
      <protection locked="0"/>
    </xf>
    <xf numFmtId="180" fontId="148" fillId="5" borderId="2" xfId="0" applyNumberFormat="1" applyFont="1" applyFill="1" applyBorder="1" applyAlignment="1">
      <alignment horizontal="center" vertical="center" wrapText="1"/>
    </xf>
    <xf numFmtId="0" fontId="72" fillId="2" borderId="2" xfId="0" applyFont="1" applyFill="1" applyBorder="1" applyAlignment="1" applyProtection="1">
      <alignment horizontal="center" vertical="center" wrapText="1"/>
      <protection locked="0"/>
    </xf>
    <xf numFmtId="0" fontId="72" fillId="3" borderId="5" xfId="0" applyFont="1" applyFill="1" applyBorder="1" applyAlignment="1" applyProtection="1">
      <alignment horizontal="center" vertical="center" wrapText="1"/>
      <protection locked="0"/>
    </xf>
    <xf numFmtId="0" fontId="72" fillId="5" borderId="5" xfId="0" applyFont="1" applyFill="1" applyBorder="1" applyAlignment="1">
      <alignment horizontal="left" vertical="center"/>
    </xf>
    <xf numFmtId="177" fontId="72" fillId="5" borderId="2" xfId="0" applyNumberFormat="1" applyFont="1" applyFill="1" applyBorder="1" applyAlignment="1">
      <alignment horizontal="center" vertical="center" wrapText="1"/>
    </xf>
    <xf numFmtId="0" fontId="72" fillId="5" borderId="1" xfId="0" applyFont="1" applyFill="1" applyBorder="1" applyAlignment="1">
      <alignment horizontal="center" vertical="center" wrapText="1"/>
    </xf>
    <xf numFmtId="177" fontId="72" fillId="5" borderId="6" xfId="0" applyNumberFormat="1" applyFont="1" applyFill="1" applyBorder="1" applyAlignment="1">
      <alignment horizontal="center" vertical="center" wrapText="1"/>
    </xf>
    <xf numFmtId="177" fontId="72" fillId="5" borderId="7" xfId="0" applyNumberFormat="1" applyFont="1" applyFill="1" applyBorder="1" applyAlignment="1">
      <alignment horizontal="center" vertical="center" wrapText="1"/>
    </xf>
    <xf numFmtId="177" fontId="72" fillId="5" borderId="8" xfId="0" applyNumberFormat="1" applyFont="1" applyFill="1" applyBorder="1" applyAlignment="1">
      <alignment horizontal="center" vertical="center" wrapText="1"/>
    </xf>
    <xf numFmtId="177" fontId="72" fillId="5" borderId="9" xfId="0" applyNumberFormat="1" applyFont="1" applyFill="1" applyBorder="1" applyAlignment="1">
      <alignment horizontal="center" vertical="center" wrapText="1"/>
    </xf>
    <xf numFmtId="177" fontId="72" fillId="5" borderId="10" xfId="0" applyNumberFormat="1" applyFont="1" applyFill="1" applyBorder="1" applyAlignment="1">
      <alignment horizontal="center" vertical="center" wrapText="1"/>
    </xf>
    <xf numFmtId="177" fontId="72" fillId="5" borderId="5" xfId="0" applyNumberFormat="1" applyFont="1" applyFill="1" applyBorder="1" applyAlignment="1">
      <alignment horizontal="center" vertical="center" wrapText="1"/>
    </xf>
    <xf numFmtId="177" fontId="72" fillId="5" borderId="11" xfId="0" applyNumberFormat="1" applyFont="1" applyFill="1" applyBorder="1" applyAlignment="1">
      <alignment horizontal="center" vertical="center" wrapText="1"/>
    </xf>
    <xf numFmtId="177" fontId="72" fillId="5" borderId="12" xfId="0" applyNumberFormat="1" applyFont="1" applyFill="1" applyBorder="1" applyAlignment="1">
      <alignment horizontal="center" vertical="center" wrapText="1"/>
    </xf>
    <xf numFmtId="177" fontId="72" fillId="0" borderId="0" xfId="0" applyNumberFormat="1" applyFont="1" applyAlignment="1" applyProtection="1">
      <alignment horizontal="center" vertical="center" wrapText="1"/>
      <protection locked="0"/>
    </xf>
    <xf numFmtId="0" fontId="72" fillId="5" borderId="13" xfId="0" applyFont="1" applyFill="1" applyBorder="1" applyAlignment="1">
      <alignment horizontal="center" vertical="center" wrapText="1"/>
    </xf>
    <xf numFmtId="0" fontId="72" fillId="5" borderId="4" xfId="0" applyFont="1" applyFill="1" applyBorder="1" applyAlignment="1">
      <alignment horizontal="left" vertical="center"/>
    </xf>
    <xf numFmtId="0" fontId="72" fillId="5" borderId="14" xfId="0" applyFont="1" applyFill="1" applyBorder="1" applyAlignment="1">
      <alignment horizontal="center" vertical="center" wrapText="1"/>
    </xf>
    <xf numFmtId="0" fontId="72" fillId="5" borderId="10" xfId="0" applyFont="1" applyFill="1" applyBorder="1" applyAlignment="1">
      <alignment horizontal="center" vertical="center" wrapText="1"/>
    </xf>
    <xf numFmtId="0" fontId="72" fillId="5" borderId="0" xfId="0" applyFont="1" applyFill="1" applyAlignment="1">
      <alignment horizontal="center" vertical="center" wrapText="1"/>
    </xf>
    <xf numFmtId="0" fontId="72" fillId="5" borderId="14" xfId="0" applyFont="1" applyFill="1" applyBorder="1" applyAlignment="1">
      <alignment horizontal="center" vertical="center"/>
    </xf>
    <xf numFmtId="0" fontId="72" fillId="5" borderId="15" xfId="0" applyFont="1" applyFill="1" applyBorder="1" applyAlignment="1">
      <alignment horizontal="center" vertical="center" wrapText="1"/>
    </xf>
    <xf numFmtId="0" fontId="72" fillId="5" borderId="13" xfId="0" applyFont="1" applyFill="1" applyBorder="1" applyAlignment="1">
      <alignment horizontal="center" vertical="center"/>
    </xf>
    <xf numFmtId="0" fontId="72" fillId="5" borderId="4" xfId="0" applyFont="1" applyFill="1" applyBorder="1" applyAlignment="1">
      <alignment horizontal="center" vertical="center"/>
    </xf>
    <xf numFmtId="180" fontId="72" fillId="5" borderId="5" xfId="0" applyNumberFormat="1" applyFont="1" applyFill="1" applyBorder="1" applyAlignment="1">
      <alignment horizontal="left" vertical="center"/>
    </xf>
    <xf numFmtId="0" fontId="75" fillId="5" borderId="8" xfId="0" applyFont="1" applyFill="1" applyBorder="1" applyAlignment="1">
      <alignment horizontal="center" vertical="center"/>
    </xf>
    <xf numFmtId="180" fontId="72" fillId="5" borderId="8" xfId="0" applyNumberFormat="1" applyFont="1" applyFill="1" applyBorder="1" applyAlignment="1">
      <alignment horizontal="center" vertical="center"/>
    </xf>
    <xf numFmtId="180" fontId="72" fillId="5" borderId="9" xfId="0" applyNumberFormat="1" applyFont="1" applyFill="1" applyBorder="1" applyAlignment="1">
      <alignment horizontal="center" vertical="center"/>
    </xf>
    <xf numFmtId="0" fontId="72" fillId="5" borderId="8" xfId="0" applyFont="1" applyFill="1" applyBorder="1" applyAlignment="1">
      <alignment horizontal="left" vertical="center"/>
    </xf>
    <xf numFmtId="0" fontId="75" fillId="5" borderId="14" xfId="0" applyFont="1" applyFill="1" applyBorder="1" applyAlignment="1">
      <alignment horizontal="center" vertical="center"/>
    </xf>
    <xf numFmtId="0" fontId="72" fillId="5" borderId="2" xfId="0" applyFont="1" applyFill="1" applyBorder="1" applyAlignment="1">
      <alignment horizontal="center" vertical="center"/>
    </xf>
    <xf numFmtId="0" fontId="72" fillId="5" borderId="10" xfId="0" applyFont="1" applyFill="1" applyBorder="1" applyAlignment="1">
      <alignment horizontal="center" vertical="center"/>
    </xf>
    <xf numFmtId="0" fontId="72" fillId="5" borderId="3" xfId="0" applyFont="1" applyFill="1" applyBorder="1" applyAlignment="1">
      <alignment horizontal="center" vertical="center"/>
    </xf>
    <xf numFmtId="0" fontId="72" fillId="5" borderId="16" xfId="0" applyFont="1" applyFill="1" applyBorder="1" applyAlignment="1">
      <alignment horizontal="center" vertical="center"/>
    </xf>
    <xf numFmtId="0" fontId="72" fillId="0" borderId="0" xfId="0" applyFont="1" applyAlignment="1" applyProtection="1">
      <alignment horizontal="center" vertical="center"/>
      <protection locked="0"/>
    </xf>
    <xf numFmtId="180" fontId="72" fillId="5" borderId="0" xfId="0" applyNumberFormat="1" applyFont="1" applyFill="1" applyAlignment="1">
      <alignment horizontal="center" vertical="center"/>
    </xf>
    <xf numFmtId="0" fontId="72" fillId="2" borderId="17" xfId="0" applyFont="1" applyFill="1" applyBorder="1" applyAlignment="1" applyProtection="1">
      <alignment horizontal="left" vertical="center"/>
      <protection locked="0"/>
    </xf>
    <xf numFmtId="0" fontId="75" fillId="5" borderId="8" xfId="0" applyFont="1" applyFill="1" applyBorder="1" applyAlignment="1">
      <alignment horizontal="left" vertical="center"/>
    </xf>
    <xf numFmtId="0" fontId="72" fillId="5" borderId="9" xfId="0" applyFont="1" applyFill="1" applyBorder="1" applyAlignment="1">
      <alignment horizontal="left" vertical="center"/>
    </xf>
    <xf numFmtId="0" fontId="72" fillId="5" borderId="18" xfId="0" applyFont="1" applyFill="1" applyBorder="1" applyAlignment="1">
      <alignment horizontal="center" vertical="center"/>
    </xf>
    <xf numFmtId="180" fontId="72" fillId="5" borderId="17" xfId="0" applyNumberFormat="1" applyFont="1" applyFill="1" applyBorder="1" applyAlignment="1">
      <alignment horizontal="center" vertical="center"/>
    </xf>
    <xf numFmtId="0" fontId="75" fillId="5" borderId="19" xfId="0" applyFont="1" applyFill="1" applyBorder="1" applyAlignment="1">
      <alignment horizontal="center" vertical="center"/>
    </xf>
    <xf numFmtId="180" fontId="72" fillId="5" borderId="20" xfId="0" applyNumberFormat="1" applyFont="1" applyFill="1" applyBorder="1" applyAlignment="1">
      <alignment horizontal="center" vertical="center"/>
    </xf>
    <xf numFmtId="0" fontId="72" fillId="2" borderId="5" xfId="0" applyFont="1" applyFill="1" applyBorder="1" applyAlignment="1" applyProtection="1">
      <alignment horizontal="left" vertical="center"/>
      <protection locked="0"/>
    </xf>
    <xf numFmtId="180" fontId="72" fillId="5" borderId="18" xfId="0" applyNumberFormat="1" applyFont="1" applyFill="1" applyBorder="1" applyAlignment="1">
      <alignment horizontal="center" vertical="center"/>
    </xf>
    <xf numFmtId="0" fontId="72" fillId="5" borderId="20" xfId="0" applyFont="1" applyFill="1" applyBorder="1" applyAlignment="1">
      <alignment horizontal="center" vertical="center"/>
    </xf>
    <xf numFmtId="0" fontId="72" fillId="5" borderId="21" xfId="0" applyFont="1" applyFill="1" applyBorder="1" applyAlignment="1">
      <alignment horizontal="center" vertical="center"/>
    </xf>
    <xf numFmtId="0" fontId="72" fillId="2" borderId="8" xfId="0" applyFont="1" applyFill="1" applyBorder="1" applyAlignment="1" applyProtection="1">
      <alignment horizontal="left" vertical="center"/>
      <protection locked="0"/>
    </xf>
    <xf numFmtId="0" fontId="75" fillId="5" borderId="9" xfId="0" applyFont="1" applyFill="1" applyBorder="1" applyAlignment="1">
      <alignment horizontal="left" vertical="center"/>
    </xf>
    <xf numFmtId="0" fontId="72" fillId="5" borderId="17" xfId="0" applyFont="1" applyFill="1" applyBorder="1" applyAlignment="1">
      <alignment horizontal="center" vertical="center" wrapText="1"/>
    </xf>
    <xf numFmtId="0" fontId="72" fillId="5" borderId="21" xfId="0" applyFont="1" applyFill="1" applyBorder="1" applyAlignment="1">
      <alignment horizontal="center" vertical="center" wrapText="1"/>
    </xf>
    <xf numFmtId="180" fontId="72" fillId="5" borderId="20" xfId="0" applyNumberFormat="1" applyFont="1" applyFill="1" applyBorder="1" applyAlignment="1">
      <alignment horizontal="center" vertical="center" wrapText="1"/>
    </xf>
    <xf numFmtId="180" fontId="72" fillId="5" borderId="21" xfId="0" applyNumberFormat="1" applyFont="1" applyFill="1" applyBorder="1" applyAlignment="1">
      <alignment horizontal="center" vertical="center" wrapText="1"/>
    </xf>
    <xf numFmtId="180" fontId="72" fillId="5" borderId="17" xfId="0" applyNumberFormat="1" applyFont="1" applyFill="1" applyBorder="1" applyAlignment="1">
      <alignment horizontal="center" vertical="center" wrapText="1"/>
    </xf>
    <xf numFmtId="0" fontId="72" fillId="5" borderId="3" xfId="0" applyFont="1" applyFill="1" applyBorder="1" applyAlignment="1">
      <alignment horizontal="center" vertical="center" wrapText="1"/>
    </xf>
    <xf numFmtId="0" fontId="72" fillId="5" borderId="18" xfId="0" applyFont="1" applyFill="1" applyBorder="1" applyAlignment="1">
      <alignment horizontal="center" vertical="center" wrapText="1"/>
    </xf>
    <xf numFmtId="180" fontId="72" fillId="5" borderId="2" xfId="0" applyNumberFormat="1" applyFont="1" applyFill="1" applyBorder="1" applyAlignment="1">
      <alignment horizontal="center" vertical="center"/>
    </xf>
    <xf numFmtId="177" fontId="72" fillId="0" borderId="21" xfId="0" applyNumberFormat="1" applyFont="1" applyBorder="1" applyAlignment="1" applyProtection="1">
      <alignment horizontal="center" vertical="center" wrapText="1"/>
      <protection locked="0"/>
    </xf>
    <xf numFmtId="177" fontId="72" fillId="5" borderId="21" xfId="0" applyNumberFormat="1" applyFont="1" applyFill="1" applyBorder="1" applyAlignment="1">
      <alignment horizontal="center" vertical="center" wrapText="1"/>
    </xf>
    <xf numFmtId="177" fontId="72" fillId="0" borderId="2" xfId="0" applyNumberFormat="1" applyFont="1" applyBorder="1" applyAlignment="1" applyProtection="1">
      <alignment vertical="center" wrapText="1"/>
      <protection locked="0"/>
    </xf>
    <xf numFmtId="0" fontId="67" fillId="0" borderId="2" xfId="0" applyFont="1" applyBorder="1" applyAlignment="1" applyProtection="1">
      <alignment horizontal="center" vertical="center" wrapText="1"/>
      <protection locked="0"/>
    </xf>
    <xf numFmtId="0" fontId="67" fillId="0" borderId="21" xfId="0" applyFont="1" applyBorder="1" applyAlignment="1" applyProtection="1">
      <alignment horizontal="center" vertical="center" wrapText="1"/>
      <protection locked="0"/>
    </xf>
    <xf numFmtId="177" fontId="67" fillId="5" borderId="2" xfId="0" applyNumberFormat="1" applyFont="1" applyFill="1" applyBorder="1" applyAlignment="1">
      <alignment horizontal="center" vertical="center" wrapText="1"/>
    </xf>
    <xf numFmtId="177" fontId="67" fillId="0" borderId="21" xfId="0" applyNumberFormat="1" applyFont="1" applyBorder="1" applyAlignment="1" applyProtection="1">
      <alignment horizontal="center" vertical="center" wrapText="1"/>
      <protection locked="0"/>
    </xf>
    <xf numFmtId="177" fontId="67" fillId="5" borderId="21" xfId="0" applyNumberFormat="1" applyFont="1" applyFill="1" applyBorder="1" applyAlignment="1">
      <alignment horizontal="center" vertical="center" wrapText="1"/>
    </xf>
    <xf numFmtId="177" fontId="67" fillId="5" borderId="10" xfId="0" applyNumberFormat="1" applyFont="1" applyFill="1" applyBorder="1" applyAlignment="1">
      <alignment horizontal="center" vertical="center" wrapText="1"/>
    </xf>
    <xf numFmtId="177" fontId="67" fillId="0" borderId="2" xfId="0" applyNumberFormat="1" applyFont="1" applyBorder="1" applyAlignment="1" applyProtection="1">
      <alignment vertical="center" wrapText="1"/>
      <protection locked="0"/>
    </xf>
    <xf numFmtId="177" fontId="67" fillId="0" borderId="2" xfId="0" applyNumberFormat="1" applyFont="1" applyBorder="1" applyAlignment="1" applyProtection="1">
      <alignment horizontal="center" vertical="center" wrapText="1"/>
      <protection locked="0"/>
    </xf>
    <xf numFmtId="0" fontId="67" fillId="0" borderId="17" xfId="0" applyFont="1" applyBorder="1" applyAlignment="1" applyProtection="1">
      <alignment horizontal="center" vertical="center" wrapText="1"/>
      <protection locked="0"/>
    </xf>
    <xf numFmtId="0" fontId="67" fillId="5" borderId="9" xfId="0" applyFont="1" applyFill="1" applyBorder="1" applyAlignment="1">
      <alignment horizontal="center" vertical="center" wrapText="1"/>
    </xf>
    <xf numFmtId="177" fontId="67" fillId="5" borderId="12" xfId="0" applyNumberFormat="1" applyFont="1" applyFill="1" applyBorder="1" applyAlignment="1">
      <alignment horizontal="center" vertical="center" wrapText="1"/>
    </xf>
    <xf numFmtId="0" fontId="67" fillId="0" borderId="2" xfId="0" applyFont="1" applyBorder="1" applyAlignment="1" applyProtection="1">
      <alignment vertical="center" wrapText="1"/>
      <protection locked="0"/>
    </xf>
    <xf numFmtId="0" fontId="67" fillId="0" borderId="5" xfId="0" applyFont="1" applyBorder="1" applyAlignment="1" applyProtection="1">
      <alignment horizontal="center" vertical="center" wrapText="1"/>
      <protection locked="0"/>
    </xf>
    <xf numFmtId="177" fontId="67" fillId="0" borderId="0" xfId="0" applyNumberFormat="1" applyFont="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0" fontId="76" fillId="0" borderId="0" xfId="0" applyFont="1" applyAlignment="1" applyProtection="1">
      <alignment horizontal="center" vertical="center"/>
      <protection locked="0"/>
    </xf>
    <xf numFmtId="0" fontId="146" fillId="5" borderId="0" xfId="0" applyFont="1" applyFill="1">
      <alignment vertical="center"/>
    </xf>
    <xf numFmtId="0" fontId="67" fillId="5" borderId="0" xfId="0" applyFont="1" applyFill="1">
      <alignment vertical="center"/>
    </xf>
    <xf numFmtId="177" fontId="79" fillId="5" borderId="2" xfId="2" applyNumberFormat="1" applyFont="1" applyFill="1" applyBorder="1" applyAlignment="1">
      <alignment horizontal="center" vertical="center"/>
    </xf>
    <xf numFmtId="0" fontId="71" fillId="5" borderId="10" xfId="0" applyFont="1" applyFill="1" applyBorder="1">
      <alignment vertical="center"/>
    </xf>
    <xf numFmtId="0" fontId="71" fillId="5" borderId="6" xfId="0" applyFont="1" applyFill="1" applyBorder="1" applyAlignment="1">
      <alignment horizontal="center" vertical="center"/>
    </xf>
    <xf numFmtId="177" fontId="79" fillId="5" borderId="7" xfId="2" applyNumberFormat="1" applyFont="1" applyFill="1" applyBorder="1" applyAlignment="1">
      <alignment horizontal="center" vertical="center"/>
    </xf>
    <xf numFmtId="0" fontId="67" fillId="5" borderId="22" xfId="0" applyFont="1" applyFill="1" applyBorder="1">
      <alignment vertical="center"/>
    </xf>
    <xf numFmtId="0" fontId="67" fillId="5" borderId="2" xfId="0" applyFont="1" applyFill="1" applyBorder="1">
      <alignment vertical="center"/>
    </xf>
    <xf numFmtId="177" fontId="67" fillId="5" borderId="12" xfId="0" applyNumberFormat="1" applyFont="1" applyFill="1" applyBorder="1">
      <alignment vertical="center"/>
    </xf>
    <xf numFmtId="0" fontId="67" fillId="5" borderId="23" xfId="0" applyFont="1" applyFill="1" applyBorder="1">
      <alignment vertical="center"/>
    </xf>
    <xf numFmtId="177" fontId="71" fillId="5" borderId="7" xfId="2" applyNumberFormat="1" applyFont="1" applyFill="1" applyBorder="1" applyAlignment="1">
      <alignment horizontal="center" vertical="center"/>
    </xf>
    <xf numFmtId="0" fontId="67" fillId="5" borderId="10" xfId="0" applyFont="1" applyFill="1" applyBorder="1">
      <alignment vertical="center"/>
    </xf>
    <xf numFmtId="0" fontId="67" fillId="5" borderId="12" xfId="0" applyFont="1" applyFill="1" applyBorder="1">
      <alignment vertical="center"/>
    </xf>
    <xf numFmtId="0" fontId="67" fillId="5" borderId="24" xfId="0" applyFont="1" applyFill="1" applyBorder="1">
      <alignment vertical="center"/>
    </xf>
    <xf numFmtId="0" fontId="67" fillId="5" borderId="3" xfId="0" applyFont="1" applyFill="1" applyBorder="1">
      <alignment vertical="center"/>
    </xf>
    <xf numFmtId="0" fontId="67" fillId="0" borderId="12" xfId="0" applyFont="1" applyBorder="1" applyProtection="1">
      <alignment vertical="center"/>
      <protection locked="0"/>
    </xf>
    <xf numFmtId="0" fontId="67" fillId="5" borderId="25" xfId="0" applyFont="1" applyFill="1" applyBorder="1">
      <alignment vertical="center"/>
    </xf>
    <xf numFmtId="0" fontId="67" fillId="5" borderId="26" xfId="0" applyFont="1" applyFill="1" applyBorder="1">
      <alignment vertical="center"/>
    </xf>
    <xf numFmtId="0" fontId="67" fillId="5" borderId="27" xfId="0" applyFont="1" applyFill="1" applyBorder="1">
      <alignment vertical="center"/>
    </xf>
    <xf numFmtId="0" fontId="67" fillId="5" borderId="28" xfId="0" applyFont="1" applyFill="1" applyBorder="1">
      <alignment vertical="center"/>
    </xf>
    <xf numFmtId="177" fontId="79" fillId="5" borderId="29" xfId="2" applyNumberFormat="1" applyFont="1" applyFill="1" applyBorder="1" applyAlignment="1">
      <alignment horizontal="center" vertical="center"/>
    </xf>
    <xf numFmtId="177" fontId="79" fillId="5" borderId="30" xfId="2" applyNumberFormat="1" applyFont="1" applyFill="1" applyBorder="1" applyAlignment="1">
      <alignment horizontal="center" vertical="center"/>
    </xf>
    <xf numFmtId="0" fontId="71" fillId="5" borderId="5" xfId="0" applyFont="1" applyFill="1" applyBorder="1" applyAlignment="1">
      <alignment horizontal="left" vertical="center"/>
    </xf>
    <xf numFmtId="0" fontId="67" fillId="5" borderId="9" xfId="0" applyFont="1" applyFill="1" applyBorder="1" applyAlignment="1">
      <alignment horizontal="left" vertical="center"/>
    </xf>
    <xf numFmtId="0" fontId="67" fillId="5" borderId="21" xfId="0" applyFont="1" applyFill="1" applyBorder="1">
      <alignment vertical="center"/>
    </xf>
    <xf numFmtId="177" fontId="80" fillId="5" borderId="2" xfId="2" applyNumberFormat="1" applyFont="1" applyFill="1" applyBorder="1" applyAlignment="1">
      <alignment horizontal="center" vertical="center"/>
    </xf>
    <xf numFmtId="0" fontId="67" fillId="5" borderId="20" xfId="0" applyFont="1" applyFill="1" applyBorder="1" applyAlignment="1">
      <alignment horizontal="center" vertical="center"/>
    </xf>
    <xf numFmtId="180" fontId="67" fillId="5" borderId="2" xfId="0" applyNumberFormat="1" applyFont="1" applyFill="1" applyBorder="1" applyAlignment="1">
      <alignment horizontal="center" vertical="center"/>
    </xf>
    <xf numFmtId="0" fontId="67" fillId="5" borderId="31" xfId="0" applyFont="1" applyFill="1" applyBorder="1">
      <alignment vertical="center"/>
    </xf>
    <xf numFmtId="177" fontId="67" fillId="5" borderId="2" xfId="0" applyNumberFormat="1" applyFont="1" applyFill="1" applyBorder="1">
      <alignment vertical="center"/>
    </xf>
    <xf numFmtId="0" fontId="67" fillId="5" borderId="9" xfId="0" applyFont="1" applyFill="1" applyBorder="1">
      <alignment vertical="center"/>
    </xf>
    <xf numFmtId="0" fontId="72" fillId="0" borderId="2"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178" fontId="67" fillId="0" borderId="9" xfId="2" applyNumberFormat="1" applyFont="1" applyBorder="1" applyProtection="1">
      <alignment vertical="center"/>
      <protection locked="0"/>
    </xf>
    <xf numFmtId="177" fontId="67" fillId="5" borderId="2" xfId="0" applyNumberFormat="1" applyFont="1" applyFill="1" applyBorder="1" applyAlignment="1">
      <alignment horizontal="center" vertical="center"/>
    </xf>
    <xf numFmtId="0" fontId="67" fillId="5" borderId="16" xfId="0" applyFont="1" applyFill="1" applyBorder="1">
      <alignment vertical="center"/>
    </xf>
    <xf numFmtId="0" fontId="67" fillId="5" borderId="32" xfId="0" applyFont="1" applyFill="1" applyBorder="1" applyAlignment="1">
      <alignment horizontal="left" vertical="center"/>
    </xf>
    <xf numFmtId="0" fontId="146" fillId="5" borderId="0" xfId="0" applyFont="1" applyFill="1" applyAlignment="1">
      <alignment vertical="center" wrapText="1"/>
    </xf>
    <xf numFmtId="0" fontId="71" fillId="5" borderId="33" xfId="0" applyFont="1" applyFill="1" applyBorder="1" applyAlignment="1">
      <alignment vertical="center" wrapText="1"/>
    </xf>
    <xf numFmtId="0" fontId="71" fillId="5" borderId="35" xfId="0" applyFont="1" applyFill="1" applyBorder="1" applyAlignment="1">
      <alignment vertical="center" wrapText="1"/>
    </xf>
    <xf numFmtId="0" fontId="67" fillId="5" borderId="4" xfId="0" applyFont="1" applyFill="1" applyBorder="1" applyAlignment="1">
      <alignment horizontal="center" vertical="center"/>
    </xf>
    <xf numFmtId="0" fontId="67" fillId="5" borderId="36" xfId="0" applyFont="1" applyFill="1" applyBorder="1">
      <alignment vertical="center"/>
    </xf>
    <xf numFmtId="0" fontId="67" fillId="5" borderId="37" xfId="0" applyFont="1" applyFill="1" applyBorder="1">
      <alignment vertical="center"/>
    </xf>
    <xf numFmtId="0" fontId="67" fillId="5" borderId="38" xfId="0" applyFont="1" applyFill="1" applyBorder="1">
      <alignment vertical="center"/>
    </xf>
    <xf numFmtId="0" fontId="67" fillId="5" borderId="39" xfId="0" applyFont="1" applyFill="1" applyBorder="1">
      <alignment vertical="center"/>
    </xf>
    <xf numFmtId="0" fontId="67" fillId="5" borderId="6" xfId="2" applyFont="1" applyFill="1" applyBorder="1" applyAlignment="1">
      <alignment vertical="center" wrapText="1"/>
    </xf>
    <xf numFmtId="0" fontId="67" fillId="5" borderId="29" xfId="2" applyFont="1" applyFill="1" applyBorder="1" applyAlignment="1">
      <alignment vertical="center" wrapText="1"/>
    </xf>
    <xf numFmtId="181" fontId="80" fillId="5" borderId="1" xfId="2" applyNumberFormat="1" applyFont="1" applyFill="1" applyBorder="1" applyAlignment="1">
      <alignment horizontal="center" vertical="center" wrapText="1"/>
    </xf>
    <xf numFmtId="0" fontId="67" fillId="5" borderId="6" xfId="0" applyFont="1" applyFill="1" applyBorder="1" applyAlignment="1">
      <alignment horizontal="center" vertical="center" wrapText="1"/>
    </xf>
    <xf numFmtId="180" fontId="67" fillId="5" borderId="6" xfId="0" applyNumberFormat="1" applyFont="1" applyFill="1" applyBorder="1" applyAlignment="1">
      <alignment horizontal="center" vertical="center" wrapText="1"/>
    </xf>
    <xf numFmtId="0" fontId="145" fillId="5" borderId="7" xfId="0" applyFont="1" applyFill="1" applyBorder="1" applyAlignment="1">
      <alignment horizontal="center" vertical="center" wrapText="1"/>
    </xf>
    <xf numFmtId="178" fontId="67" fillId="5" borderId="1" xfId="2" applyNumberFormat="1" applyFont="1" applyFill="1" applyBorder="1" applyAlignment="1">
      <alignment horizontal="center" vertical="center" wrapText="1"/>
    </xf>
    <xf numFmtId="0" fontId="67" fillId="5" borderId="6" xfId="2" applyFont="1" applyFill="1" applyBorder="1" applyAlignment="1">
      <alignment horizontal="center" vertical="center" wrapText="1"/>
    </xf>
    <xf numFmtId="180" fontId="67" fillId="5" borderId="6" xfId="2" applyNumberFormat="1" applyFont="1" applyFill="1" applyBorder="1" applyAlignment="1">
      <alignment horizontal="center" vertical="center" wrapText="1"/>
    </xf>
    <xf numFmtId="0" fontId="67" fillId="5" borderId="29" xfId="2" applyFont="1" applyFill="1" applyBorder="1" applyAlignment="1">
      <alignment horizontal="center" vertical="center" wrapText="1"/>
    </xf>
    <xf numFmtId="0" fontId="67" fillId="5" borderId="40" xfId="0" applyFont="1" applyFill="1" applyBorder="1" applyAlignment="1">
      <alignment horizontal="center" vertical="center" wrapText="1"/>
    </xf>
    <xf numFmtId="0" fontId="67" fillId="5" borderId="1" xfId="2" applyFont="1" applyFill="1" applyBorder="1" applyAlignment="1">
      <alignment horizontal="center" vertical="center" wrapText="1"/>
    </xf>
    <xf numFmtId="0" fontId="67" fillId="5" borderId="41" xfId="2" applyFont="1" applyFill="1" applyBorder="1" applyAlignment="1">
      <alignment horizontal="center" vertical="center" wrapText="1"/>
    </xf>
    <xf numFmtId="0" fontId="67" fillId="5" borderId="1" xfId="0" applyFont="1" applyFill="1" applyBorder="1" applyAlignment="1">
      <alignment horizontal="center" vertical="center" wrapText="1"/>
    </xf>
    <xf numFmtId="0" fontId="67" fillId="5" borderId="7" xfId="0" applyFont="1" applyFill="1" applyBorder="1" applyAlignment="1">
      <alignment horizontal="center" vertical="center" wrapText="1"/>
    </xf>
    <xf numFmtId="0" fontId="67" fillId="5" borderId="42" xfId="0" applyFont="1" applyFill="1" applyBorder="1" applyAlignment="1">
      <alignment horizontal="center" vertical="center" wrapText="1"/>
    </xf>
    <xf numFmtId="0" fontId="67" fillId="5" borderId="29" xfId="0" applyFont="1" applyFill="1" applyBorder="1" applyAlignment="1">
      <alignment horizontal="center" vertical="center" wrapText="1"/>
    </xf>
    <xf numFmtId="178" fontId="67" fillId="2" borderId="5" xfId="2" applyNumberFormat="1" applyFont="1" applyFill="1" applyBorder="1" applyProtection="1">
      <alignment vertical="center"/>
      <protection locked="0"/>
    </xf>
    <xf numFmtId="180" fontId="80" fillId="5" borderId="2" xfId="2" applyNumberFormat="1" applyFont="1" applyFill="1" applyBorder="1" applyAlignment="1">
      <alignment horizontal="center" vertical="center"/>
    </xf>
    <xf numFmtId="181" fontId="80" fillId="5" borderId="2" xfId="2" applyNumberFormat="1" applyFont="1" applyFill="1" applyBorder="1" applyAlignment="1">
      <alignment horizontal="center" vertical="center"/>
    </xf>
    <xf numFmtId="182" fontId="67" fillId="0" borderId="2" xfId="0" applyNumberFormat="1" applyFont="1" applyBorder="1" applyAlignment="1" applyProtection="1">
      <alignment horizontal="center" vertical="center"/>
      <protection locked="0"/>
    </xf>
    <xf numFmtId="0" fontId="67" fillId="5" borderId="2" xfId="2" applyFont="1" applyFill="1" applyBorder="1" applyAlignment="1">
      <alignment horizontal="center" vertical="center"/>
    </xf>
    <xf numFmtId="0" fontId="67" fillId="5" borderId="5" xfId="0" applyFont="1" applyFill="1" applyBorder="1" applyAlignment="1">
      <alignment horizontal="center" vertical="center"/>
    </xf>
    <xf numFmtId="180" fontId="67" fillId="5" borderId="11" xfId="2" applyNumberFormat="1" applyFont="1" applyFill="1" applyBorder="1" applyAlignment="1">
      <alignment horizontal="center" vertical="center"/>
    </xf>
    <xf numFmtId="0" fontId="67" fillId="0" borderId="11" xfId="0" applyFont="1" applyBorder="1" applyProtection="1">
      <alignment vertical="center"/>
      <protection locked="0"/>
    </xf>
    <xf numFmtId="182" fontId="67" fillId="0" borderId="2" xfId="0" applyNumberFormat="1" applyFont="1" applyBorder="1" applyProtection="1">
      <alignment vertical="center"/>
      <protection locked="0"/>
    </xf>
    <xf numFmtId="182" fontId="67" fillId="0" borderId="12" xfId="0" applyNumberFormat="1" applyFont="1" applyBorder="1" applyProtection="1">
      <alignment vertical="center"/>
      <protection locked="0"/>
    </xf>
    <xf numFmtId="0" fontId="67" fillId="0" borderId="9" xfId="0" applyFont="1" applyBorder="1" applyProtection="1">
      <alignment vertical="center"/>
      <protection locked="0"/>
    </xf>
    <xf numFmtId="182" fontId="67" fillId="0" borderId="5" xfId="0" applyNumberFormat="1" applyFont="1" applyBorder="1" applyProtection="1">
      <alignment vertical="center"/>
      <protection locked="0"/>
    </xf>
    <xf numFmtId="0" fontId="67" fillId="0" borderId="11" xfId="0" applyFont="1" applyBorder="1" applyAlignment="1" applyProtection="1">
      <alignment horizontal="center" vertical="center"/>
      <protection locked="0"/>
    </xf>
    <xf numFmtId="0" fontId="67" fillId="0" borderId="12" xfId="0" applyFont="1" applyBorder="1" applyAlignment="1" applyProtection="1">
      <alignment horizontal="center" vertical="center"/>
      <protection locked="0"/>
    </xf>
    <xf numFmtId="0" fontId="67" fillId="6" borderId="9" xfId="0" applyFont="1" applyFill="1" applyBorder="1" applyAlignment="1" applyProtection="1">
      <alignment horizontal="center" vertical="center"/>
      <protection locked="0"/>
    </xf>
    <xf numFmtId="10" fontId="67" fillId="0" borderId="2" xfId="0" applyNumberFormat="1" applyFont="1" applyBorder="1" applyAlignment="1" applyProtection="1">
      <alignment horizontal="center" vertical="center"/>
      <protection locked="0"/>
    </xf>
    <xf numFmtId="183" fontId="67" fillId="0" borderId="2" xfId="0" applyNumberFormat="1"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9" fontId="67" fillId="0" borderId="5" xfId="0" applyNumberFormat="1" applyFont="1" applyBorder="1" applyAlignment="1" applyProtection="1">
      <alignment horizontal="center" vertical="center"/>
      <protection locked="0"/>
    </xf>
    <xf numFmtId="178" fontId="67" fillId="0" borderId="2" xfId="2" applyNumberFormat="1" applyFont="1" applyBorder="1" applyAlignment="1" applyProtection="1">
      <alignment horizontal="center" vertical="center"/>
      <protection locked="0"/>
    </xf>
    <xf numFmtId="10" fontId="67" fillId="0" borderId="2" xfId="2" applyNumberFormat="1" applyFont="1" applyBorder="1" applyAlignment="1" applyProtection="1">
      <alignment horizontal="center" vertical="center"/>
      <protection locked="0"/>
    </xf>
    <xf numFmtId="0" fontId="67" fillId="0" borderId="9" xfId="0" applyFont="1" applyBorder="1" applyAlignment="1" applyProtection="1">
      <alignment horizontal="center" vertical="center"/>
      <protection locked="0"/>
    </xf>
    <xf numFmtId="0" fontId="71" fillId="5" borderId="43" xfId="2" applyFont="1" applyFill="1" applyBorder="1" applyAlignment="1">
      <alignment vertical="center" wrapText="1"/>
    </xf>
    <xf numFmtId="0" fontId="71" fillId="5" borderId="44" xfId="2" applyFont="1" applyFill="1" applyBorder="1">
      <alignment vertical="center"/>
    </xf>
    <xf numFmtId="0" fontId="71" fillId="5" borderId="45" xfId="2" applyFont="1" applyFill="1" applyBorder="1">
      <alignment vertical="center"/>
    </xf>
    <xf numFmtId="0" fontId="71" fillId="5" borderId="43" xfId="2" applyFont="1" applyFill="1" applyBorder="1">
      <alignment vertical="center"/>
    </xf>
    <xf numFmtId="0" fontId="71" fillId="5" borderId="44" xfId="2" applyFont="1" applyFill="1" applyBorder="1" applyAlignment="1">
      <alignment horizontal="center" vertical="center"/>
    </xf>
    <xf numFmtId="182" fontId="71" fillId="5" borderId="44" xfId="2" applyNumberFormat="1" applyFont="1" applyFill="1" applyBorder="1">
      <alignment vertical="center"/>
    </xf>
    <xf numFmtId="0" fontId="71" fillId="5" borderId="46" xfId="2" applyFont="1" applyFill="1" applyBorder="1">
      <alignment vertical="center"/>
    </xf>
    <xf numFmtId="177" fontId="67" fillId="5" borderId="43" xfId="0" applyNumberFormat="1" applyFont="1" applyFill="1" applyBorder="1" applyAlignment="1">
      <alignment horizontal="center" vertical="center"/>
    </xf>
    <xf numFmtId="0" fontId="67" fillId="5" borderId="44" xfId="2" applyFont="1" applyFill="1" applyBorder="1" applyAlignment="1">
      <alignment horizontal="center" vertical="center"/>
    </xf>
    <xf numFmtId="10" fontId="67" fillId="5" borderId="44" xfId="2" applyNumberFormat="1" applyFont="1" applyFill="1" applyBorder="1" applyAlignment="1">
      <alignment horizontal="center" vertical="center"/>
    </xf>
    <xf numFmtId="9" fontId="67" fillId="5" borderId="45" xfId="0" applyNumberFormat="1" applyFont="1" applyFill="1" applyBorder="1" applyAlignment="1">
      <alignment horizontal="center" vertical="center"/>
    </xf>
    <xf numFmtId="180" fontId="67" fillId="5" borderId="47" xfId="2" applyNumberFormat="1" applyFont="1" applyFill="1" applyBorder="1" applyAlignment="1">
      <alignment horizontal="center" vertical="center"/>
    </xf>
    <xf numFmtId="0" fontId="67" fillId="5" borderId="48" xfId="2" applyFont="1" applyFill="1" applyBorder="1" applyAlignment="1">
      <alignment horizontal="center" vertical="center"/>
    </xf>
    <xf numFmtId="0" fontId="67" fillId="5" borderId="43" xfId="0" applyFont="1" applyFill="1" applyBorder="1">
      <alignment vertical="center"/>
    </xf>
    <xf numFmtId="0" fontId="67" fillId="5" borderId="44" xfId="0" applyFont="1" applyFill="1" applyBorder="1">
      <alignment vertical="center"/>
    </xf>
    <xf numFmtId="0" fontId="67" fillId="5" borderId="46" xfId="0" applyFont="1" applyFill="1" applyBorder="1">
      <alignment vertical="center"/>
    </xf>
    <xf numFmtId="0" fontId="67" fillId="5" borderId="47" xfId="0" applyFont="1" applyFill="1" applyBorder="1">
      <alignment vertical="center"/>
    </xf>
    <xf numFmtId="0" fontId="67" fillId="5" borderId="45" xfId="0" applyFont="1" applyFill="1" applyBorder="1">
      <alignment vertical="center"/>
    </xf>
    <xf numFmtId="0" fontId="81" fillId="0" borderId="0" xfId="0" applyFont="1" applyAlignment="1" applyProtection="1">
      <alignment vertical="center" wrapText="1"/>
      <protection locked="0"/>
    </xf>
    <xf numFmtId="177" fontId="80" fillId="5" borderId="1" xfId="2" applyNumberFormat="1" applyFont="1" applyFill="1" applyBorder="1" applyAlignment="1">
      <alignment vertical="center" wrapText="1"/>
    </xf>
    <xf numFmtId="177" fontId="80" fillId="0" borderId="7" xfId="2" applyNumberFormat="1" applyFont="1" applyBorder="1" applyAlignment="1" applyProtection="1">
      <alignment horizontal="center" vertical="center"/>
      <protection locked="0"/>
    </xf>
    <xf numFmtId="177" fontId="80" fillId="5" borderId="11" xfId="2" applyNumberFormat="1" applyFont="1" applyFill="1" applyBorder="1" applyAlignment="1">
      <alignment vertical="center" wrapText="1"/>
    </xf>
    <xf numFmtId="177" fontId="67" fillId="0" borderId="12" xfId="2" applyNumberFormat="1" applyFont="1" applyBorder="1" applyAlignment="1" applyProtection="1">
      <alignment horizontal="center" vertical="center"/>
      <protection locked="0"/>
    </xf>
    <xf numFmtId="177" fontId="67" fillId="5" borderId="11" xfId="2" applyNumberFormat="1" applyFont="1" applyFill="1" applyBorder="1" applyAlignment="1">
      <alignment vertical="center" wrapText="1"/>
    </xf>
    <xf numFmtId="177" fontId="80" fillId="5" borderId="12" xfId="2" applyNumberFormat="1" applyFont="1" applyFill="1" applyBorder="1" applyAlignment="1">
      <alignment horizontal="center" vertical="center"/>
    </xf>
    <xf numFmtId="177" fontId="80" fillId="5" borderId="43" xfId="2" applyNumberFormat="1" applyFont="1" applyFill="1" applyBorder="1" applyAlignment="1">
      <alignment vertical="center" wrapText="1"/>
    </xf>
    <xf numFmtId="177" fontId="80" fillId="5" borderId="46" xfId="2" applyNumberFormat="1" applyFont="1" applyFill="1" applyBorder="1" applyAlignment="1">
      <alignment horizontal="center" vertical="center"/>
    </xf>
    <xf numFmtId="0" fontId="67" fillId="5" borderId="49" xfId="0" applyFont="1" applyFill="1" applyBorder="1" applyAlignment="1">
      <alignment horizontal="center" vertical="center"/>
    </xf>
    <xf numFmtId="0" fontId="67" fillId="5" borderId="1" xfId="0" applyFont="1" applyFill="1" applyBorder="1" applyAlignment="1">
      <alignment vertical="center" wrapText="1"/>
    </xf>
    <xf numFmtId="0" fontId="82" fillId="0" borderId="7" xfId="2" applyFont="1" applyBorder="1" applyAlignment="1" applyProtection="1">
      <alignment horizontal="center" vertical="center"/>
      <protection locked="0"/>
    </xf>
    <xf numFmtId="0" fontId="67" fillId="5" borderId="11" xfId="0" applyFont="1" applyFill="1" applyBorder="1" applyAlignment="1">
      <alignment vertical="center" wrapText="1"/>
    </xf>
    <xf numFmtId="0" fontId="82" fillId="0" borderId="12" xfId="2" applyFont="1" applyBorder="1" applyAlignment="1" applyProtection="1">
      <alignment horizontal="center" vertical="center"/>
      <protection locked="0"/>
    </xf>
    <xf numFmtId="0" fontId="80" fillId="5" borderId="12" xfId="2" applyFont="1" applyFill="1" applyBorder="1" applyAlignment="1">
      <alignment horizontal="center" vertical="center"/>
    </xf>
    <xf numFmtId="0" fontId="67" fillId="5" borderId="43" xfId="0" applyFont="1" applyFill="1" applyBorder="1" applyAlignment="1">
      <alignment vertical="center" wrapText="1"/>
    </xf>
    <xf numFmtId="0" fontId="82" fillId="0" borderId="46" xfId="2" applyFont="1" applyBorder="1" applyAlignment="1" applyProtection="1">
      <alignment horizontal="center" vertical="center"/>
      <protection locked="0"/>
    </xf>
    <xf numFmtId="182" fontId="72" fillId="0" borderId="12" xfId="0" applyNumberFormat="1" applyFont="1" applyBorder="1" applyAlignment="1" applyProtection="1">
      <alignment horizontal="center" vertical="center"/>
      <protection locked="0"/>
    </xf>
    <xf numFmtId="182" fontId="72" fillId="0" borderId="46" xfId="0" applyNumberFormat="1" applyFont="1" applyBorder="1" applyAlignment="1" applyProtection="1">
      <alignment horizontal="center" vertical="center"/>
      <protection locked="0"/>
    </xf>
    <xf numFmtId="0" fontId="67" fillId="5" borderId="50" xfId="0" applyFont="1" applyFill="1" applyBorder="1" applyAlignment="1">
      <alignment vertical="center" wrapText="1"/>
    </xf>
    <xf numFmtId="182" fontId="72" fillId="0" borderId="51" xfId="0" applyNumberFormat="1" applyFont="1" applyBorder="1" applyAlignment="1" applyProtection="1">
      <alignment horizontal="center" vertical="center"/>
      <protection locked="0"/>
    </xf>
    <xf numFmtId="0" fontId="67" fillId="5" borderId="22" xfId="0" applyFont="1" applyFill="1" applyBorder="1" applyAlignment="1">
      <alignment vertical="center" wrapText="1"/>
    </xf>
    <xf numFmtId="10" fontId="67" fillId="5" borderId="7" xfId="0" applyNumberFormat="1" applyFont="1" applyFill="1" applyBorder="1" applyAlignment="1">
      <alignment horizontal="center" vertical="center"/>
    </xf>
    <xf numFmtId="0" fontId="67" fillId="5" borderId="22" xfId="0" applyFont="1" applyFill="1" applyBorder="1" applyAlignment="1">
      <alignment horizontal="right" vertical="center" wrapText="1"/>
    </xf>
    <xf numFmtId="10" fontId="67" fillId="0" borderId="25" xfId="0" applyNumberFormat="1" applyFont="1" applyBorder="1" applyAlignment="1" applyProtection="1">
      <alignment horizontal="center" vertical="center"/>
      <protection locked="0"/>
    </xf>
    <xf numFmtId="183" fontId="67" fillId="5" borderId="25" xfId="0" applyNumberFormat="1" applyFont="1" applyFill="1" applyBorder="1" applyAlignment="1">
      <alignment horizontal="center" vertical="center"/>
    </xf>
    <xf numFmtId="10" fontId="67" fillId="2" borderId="25" xfId="0" applyNumberFormat="1" applyFont="1" applyFill="1" applyBorder="1" applyAlignment="1" applyProtection="1">
      <alignment horizontal="center" vertical="center"/>
      <protection locked="0"/>
    </xf>
    <xf numFmtId="0" fontId="67" fillId="5" borderId="43" xfId="0" applyFont="1" applyFill="1" applyBorder="1" applyAlignment="1">
      <alignment horizontal="right" vertical="center" wrapText="1"/>
    </xf>
    <xf numFmtId="10" fontId="67" fillId="0" borderId="46" xfId="0" applyNumberFormat="1" applyFont="1" applyBorder="1" applyAlignment="1" applyProtection="1">
      <alignment horizontal="center" vertical="center"/>
      <protection locked="0"/>
    </xf>
    <xf numFmtId="0" fontId="67" fillId="5" borderId="24" xfId="0" applyFont="1" applyFill="1" applyBorder="1" applyAlignment="1">
      <alignment vertical="center" wrapText="1"/>
    </xf>
    <xf numFmtId="10" fontId="67" fillId="0" borderId="52" xfId="0" applyNumberFormat="1" applyFont="1" applyBorder="1" applyAlignment="1" applyProtection="1">
      <alignment horizontal="center" vertical="center"/>
      <protection locked="0"/>
    </xf>
    <xf numFmtId="0" fontId="67" fillId="5" borderId="53" xfId="0" applyFont="1" applyFill="1" applyBorder="1" applyAlignment="1">
      <alignment vertical="center" wrapText="1"/>
    </xf>
    <xf numFmtId="10" fontId="67" fillId="5" borderId="41" xfId="0" applyNumberFormat="1" applyFont="1" applyFill="1" applyBorder="1" applyAlignment="1">
      <alignment horizontal="center" vertical="center"/>
    </xf>
    <xf numFmtId="10" fontId="67" fillId="5" borderId="46" xfId="0" applyNumberFormat="1" applyFont="1" applyFill="1" applyBorder="1" applyAlignment="1">
      <alignment horizontal="center" vertical="center"/>
    </xf>
    <xf numFmtId="179" fontId="67" fillId="5" borderId="41" xfId="0" applyNumberFormat="1" applyFont="1" applyFill="1" applyBorder="1" applyAlignment="1">
      <alignment horizontal="center" vertical="center"/>
    </xf>
    <xf numFmtId="0" fontId="67" fillId="2" borderId="12" xfId="0" applyFont="1" applyFill="1" applyBorder="1" applyAlignment="1" applyProtection="1">
      <alignment horizontal="center" vertical="center"/>
      <protection locked="0"/>
    </xf>
    <xf numFmtId="0" fontId="67" fillId="0" borderId="46" xfId="0" applyFont="1" applyBorder="1" applyProtection="1">
      <alignment vertical="center"/>
      <protection locked="0"/>
    </xf>
    <xf numFmtId="0" fontId="72" fillId="0" borderId="0" xfId="0" applyFont="1" applyAlignment="1" applyProtection="1">
      <alignment vertical="center" wrapText="1"/>
      <protection locked="0"/>
    </xf>
    <xf numFmtId="0" fontId="67" fillId="5" borderId="12" xfId="0" applyFont="1" applyFill="1" applyBorder="1" applyAlignment="1">
      <alignment horizontal="center" vertical="center" wrapText="1"/>
    </xf>
    <xf numFmtId="0" fontId="67" fillId="5" borderId="46" xfId="0" applyFont="1" applyFill="1" applyBorder="1" applyAlignment="1">
      <alignment horizontal="center" vertical="center" wrapText="1"/>
    </xf>
    <xf numFmtId="0" fontId="72" fillId="0" borderId="0" xfId="0" applyFont="1" applyProtection="1">
      <alignment vertical="center"/>
      <protection locked="0"/>
    </xf>
    <xf numFmtId="0" fontId="67" fillId="5" borderId="10" xfId="0" applyFont="1" applyFill="1" applyBorder="1" applyAlignment="1">
      <alignment vertical="center" wrapText="1"/>
    </xf>
    <xf numFmtId="0" fontId="67" fillId="5" borderId="10" xfId="0" applyFont="1" applyFill="1" applyBorder="1" applyAlignment="1">
      <alignment horizontal="center" vertical="center" wrapText="1"/>
    </xf>
    <xf numFmtId="0" fontId="145" fillId="2" borderId="10" xfId="0" applyFont="1" applyFill="1" applyBorder="1" applyAlignment="1" applyProtection="1">
      <alignment horizontal="center" vertical="center"/>
      <protection locked="0"/>
    </xf>
    <xf numFmtId="0" fontId="72" fillId="5" borderId="5" xfId="0" applyFont="1" applyFill="1" applyBorder="1">
      <alignment vertical="center"/>
    </xf>
    <xf numFmtId="0" fontId="72" fillId="5" borderId="8" xfId="0" applyFont="1" applyFill="1" applyBorder="1" applyAlignment="1">
      <alignment vertical="center" wrapText="1"/>
    </xf>
    <xf numFmtId="0" fontId="72" fillId="5" borderId="9" xfId="0" applyFont="1" applyFill="1" applyBorder="1" applyAlignment="1">
      <alignment vertical="center" wrapText="1"/>
    </xf>
    <xf numFmtId="0" fontId="71" fillId="5" borderId="5" xfId="0" applyFont="1" applyFill="1" applyBorder="1" applyAlignment="1">
      <alignment horizontal="right" vertical="center"/>
    </xf>
    <xf numFmtId="0" fontId="67" fillId="5" borderId="21" xfId="0" applyFont="1" applyFill="1" applyBorder="1" applyAlignment="1">
      <alignment horizontal="center" vertical="center"/>
    </xf>
    <xf numFmtId="0" fontId="71" fillId="5" borderId="13" xfId="0" applyFont="1" applyFill="1" applyBorder="1" applyAlignment="1">
      <alignment horizontal="right" vertical="center"/>
    </xf>
    <xf numFmtId="180" fontId="67" fillId="5" borderId="10" xfId="0" applyNumberFormat="1" applyFont="1" applyFill="1" applyBorder="1" applyAlignment="1">
      <alignment horizontal="center" vertical="center"/>
    </xf>
    <xf numFmtId="0" fontId="71" fillId="5" borderId="26" xfId="0" applyFont="1" applyFill="1" applyBorder="1">
      <alignment vertical="center"/>
    </xf>
    <xf numFmtId="0" fontId="67" fillId="5" borderId="6" xfId="0" applyFont="1" applyFill="1" applyBorder="1">
      <alignment vertical="center"/>
    </xf>
    <xf numFmtId="0" fontId="145" fillId="5" borderId="6" xfId="0" applyFont="1" applyFill="1" applyBorder="1" applyAlignment="1">
      <alignment horizontal="center" vertical="center"/>
    </xf>
    <xf numFmtId="0" fontId="145" fillId="5" borderId="29" xfId="0" applyFont="1" applyFill="1" applyBorder="1" applyAlignment="1">
      <alignment horizontal="center" vertical="center"/>
    </xf>
    <xf numFmtId="0" fontId="67" fillId="5" borderId="40" xfId="0" applyFont="1" applyFill="1" applyBorder="1" applyAlignment="1">
      <alignment horizontal="right" vertical="center"/>
    </xf>
    <xf numFmtId="0" fontId="72" fillId="5" borderId="39" xfId="0" applyFont="1" applyFill="1" applyBorder="1">
      <alignment vertical="center"/>
    </xf>
    <xf numFmtId="0" fontId="71" fillId="5" borderId="31" xfId="0" applyFont="1" applyFill="1" applyBorder="1">
      <alignment vertical="center"/>
    </xf>
    <xf numFmtId="0" fontId="145" fillId="5" borderId="2" xfId="0" applyFont="1" applyFill="1" applyBorder="1" applyAlignment="1">
      <alignment horizontal="center" vertical="center"/>
    </xf>
    <xf numFmtId="0" fontId="145" fillId="5" borderId="5" xfId="0" applyFont="1" applyFill="1" applyBorder="1" applyAlignment="1">
      <alignment horizontal="center" vertical="center"/>
    </xf>
    <xf numFmtId="0" fontId="67" fillId="5" borderId="5" xfId="0" applyFont="1" applyFill="1" applyBorder="1" applyAlignment="1">
      <alignment horizontal="right" vertical="center"/>
    </xf>
    <xf numFmtId="0" fontId="72" fillId="5" borderId="16" xfId="0" applyFont="1" applyFill="1" applyBorder="1">
      <alignment vertical="center"/>
    </xf>
    <xf numFmtId="0" fontId="67" fillId="5" borderId="10" xfId="0" applyFont="1" applyFill="1" applyBorder="1" applyAlignment="1">
      <alignment horizontal="center" vertical="center"/>
    </xf>
    <xf numFmtId="0" fontId="67" fillId="5" borderId="8" xfId="0" applyFont="1" applyFill="1" applyBorder="1" applyAlignment="1">
      <alignment horizontal="right" vertical="center"/>
    </xf>
    <xf numFmtId="182" fontId="84" fillId="5" borderId="8" xfId="0" applyNumberFormat="1" applyFont="1" applyFill="1" applyBorder="1" applyAlignment="1">
      <alignment horizontal="center" vertical="center"/>
    </xf>
    <xf numFmtId="0" fontId="71" fillId="5" borderId="54" xfId="0" applyFont="1" applyFill="1" applyBorder="1">
      <alignment vertical="center"/>
    </xf>
    <xf numFmtId="0" fontId="67" fillId="5" borderId="55" xfId="0" applyFont="1" applyFill="1" applyBorder="1">
      <alignment vertical="center"/>
    </xf>
    <xf numFmtId="0" fontId="72" fillId="5" borderId="56" xfId="0" applyFont="1" applyFill="1" applyBorder="1" applyAlignment="1">
      <alignment horizontal="right" vertical="center"/>
    </xf>
    <xf numFmtId="0" fontId="72" fillId="5" borderId="48" xfId="0" applyFont="1" applyFill="1" applyBorder="1" applyAlignment="1">
      <alignment horizontal="left" vertical="center"/>
    </xf>
    <xf numFmtId="0" fontId="67" fillId="5" borderId="29" xfId="0" applyFont="1" applyFill="1" applyBorder="1" applyAlignment="1">
      <alignment horizontal="right" vertical="center"/>
    </xf>
    <xf numFmtId="0" fontId="67" fillId="5" borderId="57" xfId="0" applyFont="1" applyFill="1" applyBorder="1" applyAlignment="1">
      <alignment horizontal="center" vertical="center"/>
    </xf>
    <xf numFmtId="0" fontId="67" fillId="5" borderId="17" xfId="0" applyFont="1" applyFill="1" applyBorder="1" applyAlignment="1">
      <alignment horizontal="right" vertical="center"/>
    </xf>
    <xf numFmtId="0" fontId="67" fillId="5" borderId="16" xfId="0" applyFont="1" applyFill="1" applyBorder="1" applyAlignment="1">
      <alignment horizontal="center" vertical="center"/>
    </xf>
    <xf numFmtId="0" fontId="149" fillId="0" borderId="11" xfId="0" applyFont="1" applyBorder="1" applyAlignment="1" applyProtection="1">
      <alignment horizontal="center" vertical="center"/>
      <protection locked="0"/>
    </xf>
    <xf numFmtId="0" fontId="149" fillId="0" borderId="2" xfId="0" applyFont="1" applyBorder="1" applyAlignment="1" applyProtection="1">
      <alignment horizontal="center" vertical="center"/>
      <protection locked="0"/>
    </xf>
    <xf numFmtId="0" fontId="149" fillId="0" borderId="12" xfId="0" applyFont="1" applyBorder="1" applyAlignment="1" applyProtection="1">
      <alignment horizontal="center" vertical="center"/>
      <protection locked="0"/>
    </xf>
    <xf numFmtId="0" fontId="67" fillId="5" borderId="42" xfId="0" applyFont="1" applyFill="1" applyBorder="1" applyAlignment="1">
      <alignment horizontal="left" vertical="center"/>
    </xf>
    <xf numFmtId="0" fontId="71" fillId="0" borderId="7" xfId="0" applyFont="1" applyBorder="1" applyAlignment="1" applyProtection="1">
      <alignment horizontal="center" vertical="center"/>
      <protection locked="0"/>
    </xf>
    <xf numFmtId="0" fontId="85" fillId="5" borderId="31" xfId="0" applyFont="1" applyFill="1" applyBorder="1">
      <alignment vertical="center"/>
    </xf>
    <xf numFmtId="0" fontId="71" fillId="0" borderId="12" xfId="0" applyFont="1" applyBorder="1" applyAlignment="1" applyProtection="1">
      <alignment horizontal="center" vertical="center"/>
      <protection locked="0"/>
    </xf>
    <xf numFmtId="0" fontId="86" fillId="5" borderId="31" xfId="0" applyFont="1" applyFill="1" applyBorder="1" applyAlignment="1">
      <alignment horizontal="right" vertical="center"/>
    </xf>
    <xf numFmtId="0" fontId="67" fillId="5" borderId="47" xfId="0" applyFont="1" applyFill="1" applyBorder="1" applyAlignment="1">
      <alignment horizontal="left" vertical="center"/>
    </xf>
    <xf numFmtId="0" fontId="72" fillId="5" borderId="14" xfId="0" applyFont="1" applyFill="1" applyBorder="1" applyAlignment="1">
      <alignment horizontal="right" vertical="center"/>
    </xf>
    <xf numFmtId="0" fontId="71" fillId="5" borderId="35" xfId="0" applyFont="1" applyFill="1" applyBorder="1">
      <alignment vertical="center"/>
    </xf>
    <xf numFmtId="0" fontId="149" fillId="0" borderId="1" xfId="0" applyFont="1" applyBorder="1" applyAlignment="1" applyProtection="1">
      <alignment horizontal="center" vertical="center"/>
      <protection locked="0"/>
    </xf>
    <xf numFmtId="0" fontId="149" fillId="0" borderId="6" xfId="0" applyFont="1" applyBorder="1" applyAlignment="1" applyProtection="1">
      <alignment horizontal="center" vertical="center"/>
      <protection locked="0"/>
    </xf>
    <xf numFmtId="0" fontId="149" fillId="0" borderId="7" xfId="0" applyFont="1" applyBorder="1" applyAlignment="1" applyProtection="1">
      <alignment horizontal="center" vertical="center"/>
      <protection locked="0"/>
    </xf>
    <xf numFmtId="0" fontId="149" fillId="0" borderId="43" xfId="0" applyFont="1" applyBorder="1" applyAlignment="1" applyProtection="1">
      <alignment horizontal="center" vertical="center"/>
      <protection locked="0"/>
    </xf>
    <xf numFmtId="0" fontId="149" fillId="0" borderId="44" xfId="0" applyFont="1" applyBorder="1" applyAlignment="1" applyProtection="1">
      <alignment horizontal="center" vertical="center"/>
      <protection locked="0"/>
    </xf>
    <xf numFmtId="0" fontId="149" fillId="0" borderId="46" xfId="0" applyFont="1" applyBorder="1" applyAlignment="1" applyProtection="1">
      <alignment horizontal="center" vertical="center"/>
      <protection locked="0"/>
    </xf>
    <xf numFmtId="0" fontId="72" fillId="5" borderId="0" xfId="0" applyFont="1" applyFill="1">
      <alignment vertical="center"/>
    </xf>
    <xf numFmtId="0" fontId="66" fillId="5" borderId="26" xfId="0" applyFont="1" applyFill="1" applyBorder="1" applyAlignment="1">
      <alignment horizontal="center" vertical="center"/>
    </xf>
    <xf numFmtId="0" fontId="66" fillId="5" borderId="58" xfId="0" applyFont="1" applyFill="1" applyBorder="1" applyAlignment="1">
      <alignment horizontal="center" vertical="center"/>
    </xf>
    <xf numFmtId="0" fontId="150" fillId="5" borderId="40" xfId="0" applyFont="1" applyFill="1" applyBorder="1" applyAlignment="1">
      <alignment horizontal="center" vertical="center" wrapText="1"/>
    </xf>
    <xf numFmtId="0" fontId="66" fillId="5" borderId="6" xfId="0" applyFont="1" applyFill="1" applyBorder="1" applyAlignment="1">
      <alignment horizontal="center" vertical="center"/>
    </xf>
    <xf numFmtId="0" fontId="66" fillId="5" borderId="7" xfId="0" applyFont="1" applyFill="1" applyBorder="1" applyAlignment="1">
      <alignment horizontal="center" vertical="center"/>
    </xf>
    <xf numFmtId="0" fontId="81" fillId="5" borderId="2" xfId="0" applyFont="1" applyFill="1" applyBorder="1" applyAlignment="1">
      <alignment horizontal="right" vertical="center"/>
    </xf>
    <xf numFmtId="0" fontId="81" fillId="5" borderId="12" xfId="0" applyFont="1" applyFill="1" applyBorder="1" applyAlignment="1">
      <alignment horizontal="right" vertical="center"/>
    </xf>
    <xf numFmtId="0" fontId="149" fillId="5" borderId="0" xfId="0" applyFont="1" applyFill="1" applyAlignment="1">
      <alignment horizontal="center" vertical="center"/>
    </xf>
    <xf numFmtId="0" fontId="71" fillId="5" borderId="45" xfId="0" applyFont="1" applyFill="1" applyBorder="1" applyAlignment="1">
      <alignment horizontal="right" vertical="center"/>
    </xf>
    <xf numFmtId="0" fontId="151" fillId="0" borderId="13" xfId="0" applyFont="1" applyBorder="1" applyAlignment="1">
      <alignment horizontal="left" vertical="center"/>
    </xf>
    <xf numFmtId="0" fontId="90" fillId="6" borderId="0" xfId="0" applyFont="1" applyFill="1" applyAlignment="1" applyProtection="1">
      <alignment horizontal="left" vertical="center" wrapText="1"/>
      <protection locked="0"/>
    </xf>
    <xf numFmtId="0" fontId="72" fillId="0" borderId="14" xfId="0" applyFont="1" applyBorder="1" applyAlignment="1" applyProtection="1">
      <alignment horizontal="center" vertical="center" wrapText="1"/>
      <protection locked="0"/>
    </xf>
    <xf numFmtId="0" fontId="72" fillId="0" borderId="14" xfId="0" applyFont="1" applyBorder="1" applyAlignment="1" applyProtection="1">
      <alignment horizontal="center" vertical="center"/>
      <protection locked="0"/>
    </xf>
    <xf numFmtId="0" fontId="72" fillId="0" borderId="32" xfId="0" applyFont="1" applyBorder="1" applyProtection="1">
      <alignment vertical="center"/>
      <protection locked="0"/>
    </xf>
    <xf numFmtId="0" fontId="72" fillId="0" borderId="13" xfId="0" applyFont="1" applyBorder="1" applyAlignment="1" applyProtection="1">
      <alignment horizontal="left" vertical="center" wrapText="1"/>
      <protection locked="0"/>
    </xf>
    <xf numFmtId="0" fontId="72" fillId="0" borderId="0" xfId="0" applyFont="1" applyAlignment="1" applyProtection="1">
      <alignment horizontal="left" vertical="center" wrapText="1"/>
      <protection locked="0"/>
    </xf>
    <xf numFmtId="0" fontId="72" fillId="0" borderId="18" xfId="0" applyFont="1" applyBorder="1" applyProtection="1">
      <alignment vertical="center"/>
      <protection locked="0"/>
    </xf>
    <xf numFmtId="0" fontId="72" fillId="0" borderId="17" xfId="0" applyFont="1" applyBorder="1" applyAlignment="1" applyProtection="1">
      <alignment horizontal="left" vertical="center" wrapText="1"/>
      <protection locked="0"/>
    </xf>
    <xf numFmtId="0" fontId="72" fillId="0" borderId="19" xfId="0" applyFont="1" applyBorder="1" applyAlignment="1" applyProtection="1">
      <alignment horizontal="left" vertical="center" wrapText="1"/>
      <protection locked="0"/>
    </xf>
    <xf numFmtId="0" fontId="72" fillId="0" borderId="19" xfId="0" applyFont="1" applyBorder="1" applyAlignment="1" applyProtection="1">
      <alignment horizontal="center" vertical="center" wrapText="1"/>
      <protection locked="0"/>
    </xf>
    <xf numFmtId="0" fontId="72" fillId="0" borderId="19" xfId="0" applyFont="1" applyBorder="1" applyAlignment="1" applyProtection="1">
      <alignment horizontal="center" vertical="center"/>
      <protection locked="0"/>
    </xf>
    <xf numFmtId="0" fontId="72" fillId="0" borderId="20" xfId="0" applyFont="1" applyBorder="1" applyProtection="1">
      <alignment vertical="center"/>
      <protection locked="0"/>
    </xf>
    <xf numFmtId="0" fontId="81" fillId="0" borderId="19" xfId="0" applyFont="1" applyBorder="1" applyAlignment="1" applyProtection="1">
      <alignment horizontal="left" vertical="center"/>
      <protection locked="0"/>
    </xf>
    <xf numFmtId="0" fontId="72" fillId="0" borderId="19" xfId="0" applyFont="1" applyBorder="1" applyProtection="1">
      <alignment vertical="center"/>
      <protection locked="0"/>
    </xf>
    <xf numFmtId="0" fontId="72" fillId="0" borderId="19" xfId="0" applyFont="1" applyBorder="1" applyAlignment="1" applyProtection="1">
      <alignment horizontal="right" vertical="center"/>
      <protection locked="0"/>
    </xf>
    <xf numFmtId="0" fontId="81" fillId="0" borderId="0" xfId="0" applyFont="1" applyAlignment="1" applyProtection="1">
      <alignment horizontal="left" vertical="center"/>
      <protection locked="0"/>
    </xf>
    <xf numFmtId="2" fontId="72" fillId="0" borderId="0" xfId="0" applyNumberFormat="1" applyFont="1" applyAlignment="1" applyProtection="1">
      <alignment vertical="center" wrapText="1"/>
      <protection locked="0"/>
    </xf>
    <xf numFmtId="0" fontId="72" fillId="5" borderId="10" xfId="0" applyFont="1" applyFill="1" applyBorder="1">
      <alignment vertical="center"/>
    </xf>
    <xf numFmtId="9" fontId="72" fillId="6" borderId="14" xfId="0" applyNumberFormat="1" applyFont="1" applyFill="1" applyBorder="1" applyAlignment="1" applyProtection="1">
      <alignment horizontal="center" vertical="center"/>
      <protection locked="0"/>
    </xf>
    <xf numFmtId="0" fontId="72" fillId="5" borderId="32" xfId="0" applyFont="1" applyFill="1" applyBorder="1">
      <alignment vertical="center"/>
    </xf>
    <xf numFmtId="0" fontId="81" fillId="5" borderId="31" xfId="0" applyFont="1" applyFill="1" applyBorder="1" applyAlignment="1">
      <alignment horizontal="left" vertical="center" wrapText="1"/>
    </xf>
    <xf numFmtId="0" fontId="81" fillId="5" borderId="19" xfId="0" applyFont="1" applyFill="1" applyBorder="1" applyAlignment="1">
      <alignment horizontal="left" vertical="center" wrapText="1"/>
    </xf>
    <xf numFmtId="0" fontId="81" fillId="5" borderId="20" xfId="0" applyFont="1" applyFill="1" applyBorder="1" applyAlignment="1">
      <alignment horizontal="left" vertical="center" wrapText="1"/>
    </xf>
    <xf numFmtId="0" fontId="72" fillId="5" borderId="17" xfId="0" applyFont="1" applyFill="1" applyBorder="1" applyAlignment="1">
      <alignment horizontal="center" vertical="center"/>
    </xf>
    <xf numFmtId="0" fontId="81" fillId="5" borderId="2" xfId="0" applyFont="1" applyFill="1" applyBorder="1" applyAlignment="1">
      <alignment horizontal="left" vertical="center" wrapText="1"/>
    </xf>
    <xf numFmtId="9" fontId="72" fillId="5" borderId="12" xfId="0" applyNumberFormat="1" applyFont="1" applyFill="1" applyBorder="1" applyAlignment="1">
      <alignment horizontal="center" vertical="center"/>
    </xf>
    <xf numFmtId="10" fontId="72" fillId="5" borderId="21" xfId="0" applyNumberFormat="1" applyFont="1" applyFill="1" applyBorder="1" applyAlignment="1">
      <alignment horizontal="center" vertical="center"/>
    </xf>
    <xf numFmtId="0" fontId="75" fillId="0" borderId="12" xfId="0" applyFont="1" applyBorder="1" applyAlignment="1" applyProtection="1">
      <alignment vertical="center" wrapText="1"/>
      <protection locked="0"/>
    </xf>
    <xf numFmtId="0" fontId="72" fillId="5" borderId="22" xfId="0" applyFont="1" applyFill="1" applyBorder="1" applyAlignment="1">
      <alignment horizontal="right" vertical="center" wrapText="1"/>
    </xf>
    <xf numFmtId="0" fontId="72" fillId="5" borderId="4" xfId="0" applyFont="1" applyFill="1" applyBorder="1">
      <alignment vertical="center"/>
    </xf>
    <xf numFmtId="0" fontId="72" fillId="5" borderId="24" xfId="0" applyFont="1" applyFill="1" applyBorder="1" applyAlignment="1">
      <alignment horizontal="right" vertical="center" wrapText="1"/>
    </xf>
    <xf numFmtId="0" fontId="72" fillId="5" borderId="13" xfId="0" applyFont="1" applyFill="1" applyBorder="1">
      <alignment vertical="center"/>
    </xf>
    <xf numFmtId="0" fontId="72" fillId="5" borderId="18" xfId="0" applyFont="1" applyFill="1" applyBorder="1">
      <alignment vertical="center"/>
    </xf>
    <xf numFmtId="0" fontId="72" fillId="5" borderId="50" xfId="0" applyFont="1" applyFill="1" applyBorder="1" applyAlignment="1">
      <alignment horizontal="right" vertical="center" wrapText="1"/>
    </xf>
    <xf numFmtId="0" fontId="72" fillId="5" borderId="17" xfId="0" applyFont="1" applyFill="1" applyBorder="1">
      <alignment vertical="center"/>
    </xf>
    <xf numFmtId="0" fontId="72" fillId="5" borderId="11" xfId="0" applyFont="1" applyFill="1" applyBorder="1" applyAlignment="1">
      <alignment horizontal="right" vertical="center" wrapText="1"/>
    </xf>
    <xf numFmtId="10" fontId="72" fillId="5" borderId="2" xfId="0" applyNumberFormat="1" applyFont="1" applyFill="1" applyBorder="1" applyAlignment="1">
      <alignment horizontal="center" vertical="center"/>
    </xf>
    <xf numFmtId="0" fontId="72" fillId="5" borderId="12" xfId="0" applyFont="1" applyFill="1" applyBorder="1">
      <alignment vertical="center"/>
    </xf>
    <xf numFmtId="0" fontId="72" fillId="5" borderId="5" xfId="0" applyFont="1" applyFill="1" applyBorder="1" applyAlignment="1">
      <alignment horizontal="right" vertical="center"/>
    </xf>
    <xf numFmtId="0" fontId="72" fillId="2" borderId="9" xfId="0" applyFont="1" applyFill="1" applyBorder="1" applyAlignment="1" applyProtection="1">
      <alignment horizontal="center" vertical="center" wrapText="1"/>
      <protection locked="0"/>
    </xf>
    <xf numFmtId="0" fontId="72" fillId="5" borderId="4" xfId="0" applyFont="1" applyFill="1" applyBorder="1" applyAlignment="1">
      <alignment horizontal="right" vertical="center"/>
    </xf>
    <xf numFmtId="0" fontId="72" fillId="5" borderId="2" xfId="0" applyFont="1" applyFill="1" applyBorder="1">
      <alignment vertical="center"/>
    </xf>
    <xf numFmtId="0" fontId="72" fillId="5" borderId="7" xfId="0" applyFont="1" applyFill="1" applyBorder="1" applyAlignment="1">
      <alignment horizontal="left" vertical="center" wrapText="1"/>
    </xf>
    <xf numFmtId="0" fontId="91" fillId="5" borderId="21" xfId="0" applyFont="1" applyFill="1" applyBorder="1" applyAlignment="1">
      <alignment horizontal="left" vertical="center" wrapText="1"/>
    </xf>
    <xf numFmtId="178" fontId="91" fillId="5" borderId="21" xfId="0" applyNumberFormat="1" applyFont="1" applyFill="1" applyBorder="1" applyAlignment="1">
      <alignment horizontal="center" vertical="center" wrapText="1"/>
    </xf>
    <xf numFmtId="0" fontId="91" fillId="5" borderId="21" xfId="0" applyFont="1" applyFill="1" applyBorder="1" applyAlignment="1">
      <alignment horizontal="center" vertical="center" wrapText="1"/>
    </xf>
    <xf numFmtId="0" fontId="72" fillId="5" borderId="51" xfId="0" applyFont="1" applyFill="1" applyBorder="1" applyAlignment="1">
      <alignment horizontal="left" vertical="center" wrapText="1"/>
    </xf>
    <xf numFmtId="49" fontId="72" fillId="5" borderId="11" xfId="0" applyNumberFormat="1" applyFont="1" applyFill="1" applyBorder="1" applyAlignment="1">
      <alignment horizontal="left" vertical="center" wrapText="1"/>
    </xf>
    <xf numFmtId="0" fontId="82" fillId="5" borderId="2" xfId="0" applyFont="1" applyFill="1" applyBorder="1" applyAlignment="1">
      <alignment horizontal="left" vertical="center" wrapText="1"/>
    </xf>
    <xf numFmtId="178" fontId="82" fillId="5" borderId="2" xfId="0" applyNumberFormat="1" applyFont="1" applyFill="1" applyBorder="1" applyAlignment="1">
      <alignment horizontal="center" vertical="center" wrapText="1"/>
    </xf>
    <xf numFmtId="0" fontId="82" fillId="5" borderId="2" xfId="0" applyFont="1" applyFill="1" applyBorder="1" applyAlignment="1">
      <alignment horizontal="center" vertical="center" wrapText="1"/>
    </xf>
    <xf numFmtId="0" fontId="72" fillId="5" borderId="12" xfId="0" applyFont="1" applyFill="1" applyBorder="1" applyAlignment="1">
      <alignment horizontal="left" vertical="center" wrapText="1"/>
    </xf>
    <xf numFmtId="178" fontId="82" fillId="0" borderId="2" xfId="0" applyNumberFormat="1" applyFont="1" applyBorder="1" applyAlignment="1" applyProtection="1">
      <alignment horizontal="center" vertical="center" wrapText="1"/>
      <protection locked="0"/>
    </xf>
    <xf numFmtId="49" fontId="81" fillId="5" borderId="11" xfId="0" applyNumberFormat="1" applyFont="1" applyFill="1" applyBorder="1" applyAlignment="1">
      <alignment horizontal="left" vertical="center" wrapText="1"/>
    </xf>
    <xf numFmtId="0" fontId="91" fillId="5" borderId="2" xfId="0" applyFont="1" applyFill="1" applyBorder="1" applyAlignment="1">
      <alignment horizontal="left" vertical="center" wrapText="1"/>
    </xf>
    <xf numFmtId="0" fontId="91" fillId="0" borderId="2" xfId="0" applyFont="1" applyBorder="1" applyAlignment="1" applyProtection="1">
      <alignment horizontal="center" vertical="center" wrapText="1"/>
      <protection locked="0"/>
    </xf>
    <xf numFmtId="0" fontId="91" fillId="5" borderId="2" xfId="0" applyFont="1" applyFill="1" applyBorder="1" applyAlignment="1">
      <alignment horizontal="center" vertical="center" wrapText="1"/>
    </xf>
    <xf numFmtId="178" fontId="91" fillId="5" borderId="2" xfId="0" applyNumberFormat="1" applyFont="1" applyFill="1" applyBorder="1" applyAlignment="1">
      <alignment horizontal="center" vertical="center" wrapText="1"/>
    </xf>
    <xf numFmtId="49" fontId="81" fillId="5" borderId="43" xfId="0" applyNumberFormat="1" applyFont="1" applyFill="1" applyBorder="1" applyAlignment="1">
      <alignment horizontal="left" vertical="center" wrapText="1"/>
    </xf>
    <xf numFmtId="0" fontId="91" fillId="5" borderId="44" xfId="0" applyFont="1" applyFill="1" applyBorder="1" applyAlignment="1">
      <alignment horizontal="left" vertical="center" wrapText="1"/>
    </xf>
    <xf numFmtId="178" fontId="91" fillId="5" borderId="44" xfId="0" applyNumberFormat="1" applyFont="1" applyFill="1" applyBorder="1" applyAlignment="1">
      <alignment horizontal="center" vertical="center" wrapText="1"/>
    </xf>
    <xf numFmtId="10" fontId="82" fillId="5" borderId="44" xfId="0" applyNumberFormat="1" applyFont="1" applyFill="1" applyBorder="1" applyAlignment="1">
      <alignment horizontal="center" vertical="center" wrapText="1"/>
    </xf>
    <xf numFmtId="0" fontId="72" fillId="5" borderId="46" xfId="0" applyFont="1" applyFill="1" applyBorder="1" applyAlignment="1">
      <alignment horizontal="left" vertical="center"/>
    </xf>
    <xf numFmtId="0" fontId="72" fillId="5" borderId="29" xfId="0" applyFont="1" applyFill="1" applyBorder="1" applyAlignment="1">
      <alignment horizontal="left" vertical="center" wrapText="1"/>
    </xf>
    <xf numFmtId="0" fontId="72" fillId="5" borderId="30" xfId="0" applyFont="1" applyFill="1" applyBorder="1" applyAlignment="1">
      <alignment horizontal="left" vertical="center" wrapText="1"/>
    </xf>
    <xf numFmtId="0" fontId="67" fillId="5" borderId="57" xfId="4" applyFont="1" applyFill="1" applyBorder="1" applyAlignment="1">
      <alignment horizontal="left" vertical="center" wrapText="1"/>
    </xf>
    <xf numFmtId="0" fontId="67" fillId="5" borderId="16" xfId="4" applyFont="1" applyFill="1" applyBorder="1" applyAlignment="1">
      <alignment horizontal="left" vertical="center" wrapText="1"/>
    </xf>
    <xf numFmtId="49" fontId="72" fillId="5" borderId="11" xfId="0" applyNumberFormat="1" applyFont="1" applyFill="1" applyBorder="1" applyAlignment="1">
      <alignment vertical="center" wrapText="1"/>
    </xf>
    <xf numFmtId="0" fontId="82" fillId="0" borderId="2" xfId="0" applyFont="1" applyBorder="1" applyAlignment="1" applyProtection="1">
      <alignment horizontal="center" vertical="center" wrapText="1"/>
      <protection locked="0"/>
    </xf>
    <xf numFmtId="0" fontId="67" fillId="5" borderId="2" xfId="4" applyFont="1" applyFill="1" applyBorder="1" applyAlignment="1">
      <alignment horizontal="left" vertical="center" wrapText="1"/>
    </xf>
    <xf numFmtId="0" fontId="67" fillId="2" borderId="2" xfId="4" applyFont="1" applyFill="1" applyBorder="1" applyAlignment="1" applyProtection="1">
      <alignment horizontal="center" vertical="center" wrapText="1"/>
      <protection locked="0"/>
    </xf>
    <xf numFmtId="178" fontId="82" fillId="0" borderId="12" xfId="0" applyNumberFormat="1" applyFont="1" applyBorder="1" applyAlignment="1" applyProtection="1">
      <alignment horizontal="center" vertical="center" wrapText="1"/>
      <protection locked="0"/>
    </xf>
    <xf numFmtId="0" fontId="82" fillId="5" borderId="21" xfId="0" applyFont="1" applyFill="1" applyBorder="1" applyAlignment="1">
      <alignment horizontal="left" vertical="center" wrapText="1"/>
    </xf>
    <xf numFmtId="9" fontId="67" fillId="5" borderId="0" xfId="0" applyNumberFormat="1" applyFont="1" applyFill="1" applyAlignment="1">
      <alignment horizontal="center" vertical="center"/>
    </xf>
    <xf numFmtId="10" fontId="82" fillId="5" borderId="2" xfId="0" applyNumberFormat="1" applyFont="1" applyFill="1" applyBorder="1" applyAlignment="1">
      <alignment horizontal="center" vertical="center" wrapText="1"/>
    </xf>
    <xf numFmtId="0" fontId="67" fillId="5" borderId="8" xfId="0" applyFont="1" applyFill="1" applyBorder="1" applyAlignment="1">
      <alignment horizontal="left" vertical="center"/>
    </xf>
    <xf numFmtId="0" fontId="72" fillId="2" borderId="8" xfId="0" applyFont="1" applyFill="1" applyBorder="1" applyAlignment="1" applyProtection="1">
      <alignment horizontal="left" vertical="center" wrapText="1"/>
      <protection locked="0"/>
    </xf>
    <xf numFmtId="190" fontId="82" fillId="5" borderId="2" xfId="0" applyNumberFormat="1" applyFont="1" applyFill="1" applyBorder="1" applyAlignment="1">
      <alignment horizontal="center" vertical="center" wrapText="1"/>
    </xf>
    <xf numFmtId="10" fontId="81" fillId="5" borderId="5" xfId="0" applyNumberFormat="1" applyFont="1" applyFill="1" applyBorder="1" applyAlignment="1">
      <alignment horizontal="center" vertical="center" wrapText="1"/>
    </xf>
    <xf numFmtId="182" fontId="91" fillId="5" borderId="2" xfId="0" applyNumberFormat="1" applyFont="1" applyFill="1" applyBorder="1" applyAlignment="1">
      <alignment horizontal="center" vertical="center" wrapText="1"/>
    </xf>
    <xf numFmtId="0" fontId="81" fillId="5" borderId="44" xfId="0" applyFont="1" applyFill="1" applyBorder="1" applyAlignment="1">
      <alignment horizontal="center" vertical="center" wrapText="1"/>
    </xf>
    <xf numFmtId="0" fontId="82" fillId="5" borderId="44" xfId="0" applyFont="1" applyFill="1" applyBorder="1" applyAlignment="1">
      <alignment horizontal="center" vertical="center" wrapText="1"/>
    </xf>
    <xf numFmtId="0" fontId="72" fillId="5" borderId="45" xfId="0" applyFont="1" applyFill="1" applyBorder="1" applyAlignment="1">
      <alignment horizontal="left" vertical="center"/>
    </xf>
    <xf numFmtId="0" fontId="72" fillId="5" borderId="56" xfId="0" applyFont="1" applyFill="1" applyBorder="1" applyAlignment="1">
      <alignment horizontal="left" vertical="center" wrapText="1"/>
    </xf>
    <xf numFmtId="0" fontId="67" fillId="5" borderId="48" xfId="4" applyFont="1" applyFill="1" applyBorder="1" applyAlignment="1">
      <alignment horizontal="left" vertical="center" wrapText="1"/>
    </xf>
    <xf numFmtId="0" fontId="72" fillId="5" borderId="57" xfId="4" applyFont="1" applyFill="1" applyBorder="1" applyAlignment="1">
      <alignment horizontal="left" vertical="center" wrapText="1"/>
    </xf>
    <xf numFmtId="0" fontId="72" fillId="5" borderId="16" xfId="4" applyFont="1" applyFill="1" applyBorder="1" applyAlignment="1">
      <alignment horizontal="left" vertical="center" wrapText="1"/>
    </xf>
    <xf numFmtId="0" fontId="82" fillId="5" borderId="5" xfId="0" applyFont="1" applyFill="1" applyBorder="1" applyAlignment="1">
      <alignment horizontal="center" vertical="center" wrapText="1"/>
    </xf>
    <xf numFmtId="190" fontId="82" fillId="0" borderId="2" xfId="0" applyNumberFormat="1" applyFont="1" applyBorder="1" applyAlignment="1" applyProtection="1">
      <alignment horizontal="center" vertical="center" wrapText="1"/>
      <protection locked="0"/>
    </xf>
    <xf numFmtId="10" fontId="72" fillId="5" borderId="5" xfId="0" applyNumberFormat="1" applyFont="1" applyFill="1" applyBorder="1" applyAlignment="1">
      <alignment horizontal="left" vertical="center"/>
    </xf>
    <xf numFmtId="0" fontId="92" fillId="5" borderId="0" xfId="0" applyFont="1" applyFill="1" applyAlignment="1">
      <alignment horizontal="left" vertical="center"/>
    </xf>
    <xf numFmtId="10" fontId="72" fillId="2" borderId="16" xfId="0" applyNumberFormat="1" applyFont="1" applyFill="1" applyBorder="1" applyAlignment="1" applyProtection="1">
      <alignment horizontal="left" vertical="center" wrapText="1"/>
      <protection locked="0"/>
    </xf>
    <xf numFmtId="0" fontId="72" fillId="5" borderId="48" xfId="4" applyFont="1" applyFill="1" applyBorder="1" applyAlignment="1">
      <alignment horizontal="left" vertical="center" wrapText="1"/>
    </xf>
    <xf numFmtId="0" fontId="147" fillId="5" borderId="59" xfId="2" applyFont="1" applyFill="1" applyBorder="1">
      <alignment vertical="center"/>
    </xf>
    <xf numFmtId="0" fontId="66" fillId="5" borderId="0" xfId="2" applyFont="1" applyFill="1">
      <alignment vertical="center"/>
    </xf>
    <xf numFmtId="0" fontId="93" fillId="5" borderId="2" xfId="2" applyFont="1" applyFill="1" applyBorder="1">
      <alignment vertical="center"/>
    </xf>
    <xf numFmtId="178" fontId="93" fillId="5" borderId="2" xfId="2" applyNumberFormat="1" applyFont="1" applyFill="1" applyBorder="1" applyAlignment="1">
      <alignment horizontal="right" vertical="center"/>
    </xf>
    <xf numFmtId="0" fontId="93" fillId="5" borderId="10" xfId="2" applyFont="1" applyFill="1" applyBorder="1" applyAlignment="1">
      <alignment horizontal="right" vertical="center"/>
    </xf>
    <xf numFmtId="0" fontId="79" fillId="5" borderId="10" xfId="0" applyFont="1" applyFill="1" applyBorder="1">
      <alignment vertical="center"/>
    </xf>
    <xf numFmtId="0" fontId="93" fillId="5" borderId="2" xfId="0" applyFont="1" applyFill="1" applyBorder="1">
      <alignment vertical="center"/>
    </xf>
    <xf numFmtId="0" fontId="94" fillId="5" borderId="0" xfId="0" applyFont="1" applyFill="1" applyAlignment="1">
      <alignment horizontal="center" vertical="center"/>
    </xf>
    <xf numFmtId="0" fontId="93" fillId="5" borderId="0" xfId="2" applyFont="1" applyFill="1">
      <alignment vertical="center"/>
    </xf>
    <xf numFmtId="0" fontId="93" fillId="5" borderId="4" xfId="0" applyFont="1" applyFill="1" applyBorder="1">
      <alignment vertical="center"/>
    </xf>
    <xf numFmtId="0" fontId="150" fillId="5" borderId="32" xfId="0" applyFont="1" applyFill="1" applyBorder="1" applyAlignment="1">
      <alignment horizontal="left" vertical="center"/>
    </xf>
    <xf numFmtId="0" fontId="66" fillId="5" borderId="59" xfId="0" applyFont="1" applyFill="1" applyBorder="1" applyAlignment="1"/>
    <xf numFmtId="0" fontId="66" fillId="5" borderId="30" xfId="0" applyFont="1" applyFill="1" applyBorder="1" applyAlignment="1"/>
    <xf numFmtId="0" fontId="71" fillId="5" borderId="11" xfId="0" applyFont="1" applyFill="1" applyBorder="1" applyAlignment="1">
      <alignment horizontal="center"/>
    </xf>
    <xf numFmtId="0" fontId="71" fillId="5" borderId="4" xfId="0" applyFont="1" applyFill="1" applyBorder="1" applyAlignment="1"/>
    <xf numFmtId="185" fontId="72" fillId="6" borderId="2" xfId="0" applyNumberFormat="1" applyFont="1" applyFill="1" applyBorder="1" applyAlignment="1" applyProtection="1">
      <alignment horizontal="center" vertical="center" wrapText="1"/>
      <protection locked="0"/>
    </xf>
    <xf numFmtId="185" fontId="72" fillId="6" borderId="12" xfId="0" applyNumberFormat="1" applyFont="1" applyFill="1" applyBorder="1" applyAlignment="1" applyProtection="1">
      <alignment horizontal="center" vertical="center" wrapText="1"/>
      <protection locked="0"/>
    </xf>
    <xf numFmtId="0" fontId="72" fillId="5" borderId="5" xfId="0" applyFont="1" applyFill="1" applyBorder="1" applyAlignment="1"/>
    <xf numFmtId="185" fontId="72" fillId="0" borderId="2" xfId="0" applyNumberFormat="1" applyFont="1" applyBorder="1" applyAlignment="1" applyProtection="1">
      <alignment horizontal="center"/>
      <protection locked="0"/>
    </xf>
    <xf numFmtId="185" fontId="72" fillId="0" borderId="12" xfId="0" applyNumberFormat="1" applyFont="1" applyBorder="1" applyAlignment="1" applyProtection="1">
      <alignment horizontal="center"/>
      <protection locked="0"/>
    </xf>
    <xf numFmtId="177" fontId="148" fillId="5" borderId="2" xfId="0" applyNumberFormat="1" applyFont="1" applyFill="1" applyBorder="1" applyAlignment="1">
      <alignment horizontal="center" vertical="center"/>
    </xf>
    <xf numFmtId="177" fontId="148" fillId="5" borderId="12" xfId="0" applyNumberFormat="1" applyFont="1" applyFill="1" applyBorder="1" applyAlignment="1">
      <alignment horizontal="center" vertical="center"/>
    </xf>
    <xf numFmtId="0" fontId="71" fillId="5" borderId="5" xfId="0" applyFont="1" applyFill="1" applyBorder="1" applyAlignment="1"/>
    <xf numFmtId="185" fontId="71" fillId="5" borderId="2" xfId="0" applyNumberFormat="1" applyFont="1" applyFill="1" applyBorder="1" applyAlignment="1">
      <alignment horizontal="center"/>
    </xf>
    <xf numFmtId="0" fontId="71" fillId="5" borderId="2" xfId="0" applyFont="1" applyFill="1" applyBorder="1" applyAlignment="1">
      <alignment horizontal="center"/>
    </xf>
    <xf numFmtId="0" fontId="71" fillId="5" borderId="8" xfId="0" applyFont="1" applyFill="1" applyBorder="1" applyAlignment="1"/>
    <xf numFmtId="0" fontId="71" fillId="5" borderId="16" xfId="0" applyFont="1" applyFill="1" applyBorder="1" applyAlignment="1"/>
    <xf numFmtId="0" fontId="72" fillId="5" borderId="5" xfId="2" applyFont="1" applyFill="1" applyBorder="1" applyAlignment="1"/>
    <xf numFmtId="178" fontId="72" fillId="5" borderId="2" xfId="0" applyNumberFormat="1" applyFont="1" applyFill="1" applyBorder="1" applyAlignment="1">
      <alignment horizontal="center" vertical="center"/>
    </xf>
    <xf numFmtId="180" fontId="72" fillId="5" borderId="2" xfId="2" applyNumberFormat="1" applyFont="1" applyFill="1" applyBorder="1" applyAlignment="1">
      <alignment horizontal="center"/>
    </xf>
    <xf numFmtId="182" fontId="72" fillId="5" borderId="2" xfId="2" applyNumberFormat="1" applyFont="1" applyFill="1" applyBorder="1" applyAlignment="1">
      <alignment horizontal="center"/>
    </xf>
    <xf numFmtId="9" fontId="72" fillId="5" borderId="2" xfId="2" applyNumberFormat="1" applyFont="1" applyFill="1" applyBorder="1" applyAlignment="1">
      <alignment horizontal="center"/>
    </xf>
    <xf numFmtId="178" fontId="72" fillId="5" borderId="2" xfId="2" applyNumberFormat="1" applyFont="1" applyFill="1" applyBorder="1" applyAlignment="1">
      <alignment horizontal="center"/>
    </xf>
    <xf numFmtId="178" fontId="72" fillId="5" borderId="2" xfId="2" applyNumberFormat="1" applyFont="1" applyFill="1" applyBorder="1" applyAlignment="1"/>
    <xf numFmtId="10" fontId="72" fillId="5" borderId="2" xfId="2" applyNumberFormat="1" applyFont="1" applyFill="1" applyBorder="1" applyAlignment="1">
      <alignment horizontal="center"/>
    </xf>
    <xf numFmtId="0" fontId="72" fillId="5" borderId="8" xfId="0" applyFont="1" applyFill="1" applyBorder="1" applyAlignment="1"/>
    <xf numFmtId="0" fontId="72" fillId="5" borderId="16" xfId="0" applyFont="1" applyFill="1" applyBorder="1" applyAlignment="1"/>
    <xf numFmtId="0" fontId="71" fillId="5" borderId="5" xfId="2" applyFont="1" applyFill="1" applyBorder="1" applyAlignment="1"/>
    <xf numFmtId="178" fontId="71" fillId="5" borderId="2" xfId="2" applyNumberFormat="1" applyFont="1" applyFill="1" applyBorder="1" applyAlignment="1">
      <alignment horizontal="center"/>
    </xf>
    <xf numFmtId="0" fontId="71" fillId="5" borderId="2" xfId="2" applyFont="1" applyFill="1" applyBorder="1" applyAlignment="1"/>
    <xf numFmtId="178" fontId="71" fillId="5" borderId="2" xfId="2" applyNumberFormat="1" applyFont="1" applyFill="1" applyBorder="1" applyAlignment="1"/>
    <xf numFmtId="0" fontId="67" fillId="5" borderId="5" xfId="0" applyFont="1" applyFill="1" applyBorder="1" applyAlignment="1"/>
    <xf numFmtId="0" fontId="67" fillId="5" borderId="8" xfId="0" applyFont="1" applyFill="1" applyBorder="1" applyAlignment="1"/>
    <xf numFmtId="0" fontId="67" fillId="5" borderId="16" xfId="0" applyFont="1" applyFill="1" applyBorder="1" applyAlignment="1"/>
    <xf numFmtId="10" fontId="71" fillId="5" borderId="2" xfId="2" applyNumberFormat="1" applyFont="1" applyFill="1" applyBorder="1" applyAlignment="1">
      <alignment horizontal="center"/>
    </xf>
    <xf numFmtId="0" fontId="71" fillId="5" borderId="2" xfId="0" applyFont="1" applyFill="1" applyBorder="1" applyAlignment="1">
      <alignment horizontal="right" vertical="center"/>
    </xf>
    <xf numFmtId="178" fontId="71" fillId="5" borderId="2" xfId="2" applyNumberFormat="1" applyFont="1" applyFill="1" applyBorder="1">
      <alignment vertical="center"/>
    </xf>
    <xf numFmtId="178" fontId="71" fillId="5" borderId="8" xfId="2" applyNumberFormat="1" applyFont="1" applyFill="1" applyBorder="1">
      <alignment vertical="center"/>
    </xf>
    <xf numFmtId="178" fontId="71" fillId="5" borderId="0" xfId="0" applyNumberFormat="1" applyFont="1" applyFill="1" applyAlignment="1">
      <alignment horizontal="center"/>
    </xf>
    <xf numFmtId="10" fontId="71" fillId="5" borderId="10" xfId="0" applyNumberFormat="1" applyFont="1" applyFill="1" applyBorder="1" applyAlignment="1">
      <alignment horizontal="center" vertical="center"/>
    </xf>
    <xf numFmtId="186" fontId="72" fillId="5" borderId="2" xfId="0" applyNumberFormat="1" applyFont="1" applyFill="1" applyBorder="1" applyAlignment="1">
      <alignment horizontal="center" vertical="center"/>
    </xf>
    <xf numFmtId="178" fontId="72" fillId="5" borderId="8" xfId="2" applyNumberFormat="1" applyFont="1" applyFill="1" applyBorder="1">
      <alignment vertical="center"/>
    </xf>
    <xf numFmtId="10" fontId="72" fillId="5" borderId="10" xfId="0" applyNumberFormat="1" applyFont="1" applyFill="1" applyBorder="1" applyAlignment="1">
      <alignment horizontal="center" vertical="center"/>
    </xf>
    <xf numFmtId="178" fontId="72" fillId="5" borderId="2" xfId="2" applyNumberFormat="1" applyFont="1" applyFill="1" applyBorder="1">
      <alignment vertical="center"/>
    </xf>
    <xf numFmtId="0" fontId="71" fillId="5" borderId="2" xfId="2" applyFont="1" applyFill="1" applyBorder="1" applyAlignment="1">
      <alignment horizontal="left"/>
    </xf>
    <xf numFmtId="186" fontId="71" fillId="5" borderId="2" xfId="0" applyNumberFormat="1" applyFont="1" applyFill="1" applyBorder="1" applyAlignment="1">
      <alignment horizontal="right" vertical="center"/>
    </xf>
    <xf numFmtId="178" fontId="71" fillId="5" borderId="9" xfId="0" applyNumberFormat="1" applyFont="1" applyFill="1" applyBorder="1" applyAlignment="1">
      <alignment horizontal="center" vertical="center" wrapText="1"/>
    </xf>
    <xf numFmtId="10" fontId="71" fillId="5" borderId="2" xfId="0" applyNumberFormat="1" applyFont="1" applyFill="1" applyBorder="1" applyAlignment="1">
      <alignment horizontal="center" vertical="center" wrapText="1"/>
    </xf>
    <xf numFmtId="10" fontId="72" fillId="5" borderId="2" xfId="0" applyNumberFormat="1" applyFont="1" applyFill="1" applyBorder="1" applyAlignment="1">
      <alignment horizontal="center" vertical="center" wrapText="1"/>
    </xf>
    <xf numFmtId="186" fontId="152" fillId="5" borderId="2" xfId="0" applyNumberFormat="1" applyFont="1" applyFill="1" applyBorder="1" applyAlignment="1">
      <alignment horizontal="center" vertical="center"/>
    </xf>
    <xf numFmtId="178" fontId="152" fillId="5" borderId="8" xfId="2" applyNumberFormat="1" applyFont="1" applyFill="1" applyBorder="1">
      <alignment vertical="center"/>
    </xf>
    <xf numFmtId="10" fontId="152" fillId="5" borderId="10" xfId="0" applyNumberFormat="1" applyFont="1" applyFill="1" applyBorder="1" applyAlignment="1">
      <alignment horizontal="center" vertical="center"/>
    </xf>
    <xf numFmtId="0" fontId="147" fillId="5" borderId="4" xfId="0" applyFont="1" applyFill="1" applyBorder="1">
      <alignment vertical="center"/>
    </xf>
    <xf numFmtId="0" fontId="97" fillId="5" borderId="14" xfId="0" applyFont="1" applyFill="1" applyBorder="1" applyAlignment="1">
      <alignment horizontal="right" vertical="center"/>
    </xf>
    <xf numFmtId="0" fontId="97" fillId="5" borderId="0" xfId="0" applyFont="1" applyFill="1" applyAlignment="1">
      <alignment horizontal="center" vertical="center"/>
    </xf>
    <xf numFmtId="0" fontId="64" fillId="5" borderId="14" xfId="0" applyFont="1" applyFill="1" applyBorder="1">
      <alignment vertical="center"/>
    </xf>
    <xf numFmtId="0" fontId="97" fillId="5" borderId="14" xfId="0" applyFont="1" applyFill="1" applyBorder="1">
      <alignment vertical="center"/>
    </xf>
    <xf numFmtId="188" fontId="97" fillId="5" borderId="14" xfId="0" applyNumberFormat="1" applyFont="1" applyFill="1" applyBorder="1" applyAlignment="1">
      <alignment horizontal="center" vertical="center"/>
    </xf>
    <xf numFmtId="178" fontId="93" fillId="5" borderId="2" xfId="0" applyNumberFormat="1" applyFont="1" applyFill="1" applyBorder="1" applyAlignment="1">
      <alignment horizontal="right" vertical="center"/>
    </xf>
    <xf numFmtId="0" fontId="93" fillId="5" borderId="10" xfId="2" applyFont="1" applyFill="1" applyBorder="1">
      <alignment vertical="center"/>
    </xf>
    <xf numFmtId="185" fontId="93" fillId="5" borderId="10" xfId="0" applyNumberFormat="1" applyFont="1" applyFill="1" applyBorder="1" applyAlignment="1">
      <alignment horizontal="right" vertical="center"/>
    </xf>
    <xf numFmtId="0" fontId="93" fillId="5" borderId="10" xfId="0" applyFont="1" applyFill="1" applyBorder="1">
      <alignment vertical="center"/>
    </xf>
    <xf numFmtId="0" fontId="79" fillId="5" borderId="26" xfId="0" applyFont="1" applyFill="1" applyBorder="1" applyAlignment="1">
      <alignment vertical="center" wrapText="1"/>
    </xf>
    <xf numFmtId="0" fontId="79" fillId="5" borderId="28" xfId="0" applyFont="1" applyFill="1" applyBorder="1" applyAlignment="1">
      <alignment vertical="center" wrapText="1"/>
    </xf>
    <xf numFmtId="188" fontId="67" fillId="5" borderId="9" xfId="0" applyNumberFormat="1" applyFont="1" applyFill="1" applyBorder="1" applyAlignment="1">
      <alignment horizontal="center" vertical="center" wrapText="1"/>
    </xf>
    <xf numFmtId="0" fontId="79" fillId="5" borderId="31" xfId="0" applyFont="1" applyFill="1" applyBorder="1" applyAlignment="1">
      <alignment vertical="center" wrapText="1"/>
    </xf>
    <xf numFmtId="0" fontId="79" fillId="5" borderId="0" xfId="0" applyFont="1" applyFill="1" applyAlignment="1">
      <alignment vertical="center" wrapText="1"/>
    </xf>
    <xf numFmtId="0" fontId="79" fillId="5" borderId="54" xfId="0" applyFont="1" applyFill="1" applyBorder="1" applyAlignment="1">
      <alignment vertical="center" wrapText="1"/>
    </xf>
    <xf numFmtId="0" fontId="79" fillId="5" borderId="61" xfId="0" applyFont="1" applyFill="1" applyBorder="1" applyAlignment="1">
      <alignment vertical="center" wrapText="1"/>
    </xf>
    <xf numFmtId="184" fontId="67" fillId="5" borderId="33" xfId="0" applyNumberFormat="1" applyFont="1" applyFill="1" applyBorder="1" applyAlignment="1">
      <alignment horizontal="center" vertical="center" wrapText="1"/>
    </xf>
    <xf numFmtId="0" fontId="67" fillId="5" borderId="34" xfId="0" applyFont="1" applyFill="1" applyBorder="1" applyAlignment="1">
      <alignment horizontal="center" vertical="center" wrapText="1"/>
    </xf>
    <xf numFmtId="184" fontId="67" fillId="0" borderId="62" xfId="0" applyNumberFormat="1" applyFont="1" applyBorder="1" applyAlignment="1" applyProtection="1">
      <alignment horizontal="center" vertical="center" wrapText="1"/>
      <protection locked="0"/>
    </xf>
    <xf numFmtId="0" fontId="67" fillId="5" borderId="49" xfId="0" applyFont="1" applyFill="1" applyBorder="1" applyAlignment="1">
      <alignment horizontal="center" vertical="center" wrapText="1"/>
    </xf>
    <xf numFmtId="184" fontId="67" fillId="0" borderId="33" xfId="0" applyNumberFormat="1" applyFont="1" applyBorder="1" applyAlignment="1" applyProtection="1">
      <alignment horizontal="center" vertical="center" wrapText="1"/>
      <protection locked="0"/>
    </xf>
    <xf numFmtId="49" fontId="67" fillId="2" borderId="33" xfId="0" applyNumberFormat="1" applyFont="1" applyFill="1" applyBorder="1" applyAlignment="1" applyProtection="1">
      <alignment horizontal="center" vertical="center" wrapText="1"/>
      <protection locked="0"/>
    </xf>
    <xf numFmtId="0" fontId="67" fillId="2" borderId="59" xfId="0" applyFont="1" applyFill="1" applyBorder="1" applyAlignment="1" applyProtection="1">
      <alignment horizontal="center" vertical="center" wrapText="1"/>
      <protection locked="0"/>
    </xf>
    <xf numFmtId="0" fontId="67" fillId="5" borderId="5" xfId="0" applyFont="1" applyFill="1" applyBorder="1" applyAlignment="1">
      <alignment horizontal="center" vertical="center" wrapText="1"/>
    </xf>
    <xf numFmtId="0" fontId="67" fillId="0" borderId="50" xfId="0" applyFont="1" applyBorder="1" applyAlignment="1" applyProtection="1">
      <alignment horizontal="center" vertical="center" wrapText="1"/>
      <protection locked="0"/>
    </xf>
    <xf numFmtId="49" fontId="67" fillId="0" borderId="50" xfId="0" applyNumberFormat="1" applyFont="1" applyBorder="1" applyAlignment="1" applyProtection="1">
      <alignment horizontal="center" vertical="center" wrapText="1"/>
      <protection locked="0"/>
    </xf>
    <xf numFmtId="49" fontId="67" fillId="0" borderId="20" xfId="0" applyNumberFormat="1" applyFont="1" applyBorder="1" applyAlignment="1" applyProtection="1">
      <alignment horizontal="center" vertical="center" wrapText="1"/>
      <protection locked="0"/>
    </xf>
    <xf numFmtId="0" fontId="95" fillId="5" borderId="9" xfId="0" applyFont="1" applyFill="1" applyBorder="1" applyAlignment="1">
      <alignment horizontal="center" vertical="center" wrapText="1"/>
    </xf>
    <xf numFmtId="0" fontId="79" fillId="5" borderId="24" xfId="0" applyFont="1" applyFill="1" applyBorder="1" applyAlignment="1">
      <alignment vertical="center" wrapText="1"/>
    </xf>
    <xf numFmtId="0" fontId="67" fillId="0" borderId="11" xfId="0" applyFont="1" applyBorder="1" applyAlignment="1" applyProtection="1">
      <alignment horizontal="center" vertical="center" wrapText="1"/>
      <protection locked="0"/>
    </xf>
    <xf numFmtId="0" fontId="67" fillId="0" borderId="9" xfId="0" applyFont="1" applyBorder="1" applyAlignment="1" applyProtection="1">
      <alignment horizontal="center" vertical="center" wrapText="1"/>
      <protection locked="0"/>
    </xf>
    <xf numFmtId="0" fontId="95" fillId="0" borderId="9" xfId="0" applyFont="1" applyBorder="1" applyAlignment="1" applyProtection="1">
      <alignment horizontal="center" vertical="center" wrapText="1"/>
      <protection locked="0"/>
    </xf>
    <xf numFmtId="0" fontId="71" fillId="5" borderId="24" xfId="0" applyFont="1" applyFill="1" applyBorder="1" applyAlignment="1">
      <alignment vertical="center" wrapText="1"/>
    </xf>
    <xf numFmtId="0" fontId="67" fillId="0" borderId="4" xfId="0" applyFont="1" applyBorder="1" applyAlignment="1" applyProtection="1">
      <alignment horizontal="center" vertical="center" wrapText="1"/>
      <protection locked="0"/>
    </xf>
    <xf numFmtId="0" fontId="67" fillId="5" borderId="63" xfId="0" applyFont="1" applyFill="1" applyBorder="1" applyAlignment="1">
      <alignment horizontal="center" vertical="center" wrapText="1"/>
    </xf>
    <xf numFmtId="0" fontId="80" fillId="0" borderId="64" xfId="0" applyFont="1" applyBorder="1" applyAlignment="1" applyProtection="1">
      <alignment horizontal="center" vertical="center" wrapText="1"/>
      <protection locked="0"/>
    </xf>
    <xf numFmtId="0" fontId="80" fillId="5" borderId="12" xfId="0" applyFont="1" applyFill="1" applyBorder="1" applyAlignment="1">
      <alignment horizontal="center" vertical="center" wrapText="1"/>
    </xf>
    <xf numFmtId="0" fontId="80" fillId="0" borderId="2" xfId="0" applyFont="1" applyBorder="1" applyAlignment="1" applyProtection="1">
      <alignment horizontal="center" vertical="center" wrapText="1"/>
      <protection locked="0"/>
    </xf>
    <xf numFmtId="0" fontId="80" fillId="0" borderId="11" xfId="0" applyFont="1" applyBorder="1" applyAlignment="1" applyProtection="1">
      <alignment horizontal="center" vertical="center" wrapText="1"/>
      <protection locked="0"/>
    </xf>
    <xf numFmtId="0" fontId="79" fillId="5" borderId="23" xfId="0" applyFont="1" applyFill="1" applyBorder="1" applyAlignment="1">
      <alignment vertical="center" wrapText="1"/>
    </xf>
    <xf numFmtId="0" fontId="67" fillId="0" borderId="45" xfId="0" applyFont="1" applyBorder="1" applyAlignment="1" applyProtection="1">
      <alignment horizontal="center" vertical="center" wrapText="1"/>
      <protection locked="0"/>
    </xf>
    <xf numFmtId="0" fontId="80" fillId="0" borderId="60" xfId="0" applyFont="1" applyBorder="1" applyAlignment="1" applyProtection="1">
      <alignment horizontal="center" vertical="center" wrapText="1"/>
      <protection locked="0"/>
    </xf>
    <xf numFmtId="0" fontId="80" fillId="5" borderId="46" xfId="0" applyFont="1" applyFill="1" applyBorder="1" applyAlignment="1">
      <alignment horizontal="center" vertical="center" wrapText="1"/>
    </xf>
    <xf numFmtId="0" fontId="67" fillId="5" borderId="41" xfId="0" applyFont="1" applyFill="1" applyBorder="1" applyAlignment="1">
      <alignment horizontal="center" vertical="center" wrapText="1"/>
    </xf>
    <xf numFmtId="49" fontId="80" fillId="5" borderId="58" xfId="0" applyNumberFormat="1" applyFont="1" applyFill="1" applyBorder="1" applyAlignment="1">
      <alignment horizontal="center" vertical="center" wrapText="1"/>
    </xf>
    <xf numFmtId="0" fontId="80" fillId="5" borderId="41" xfId="0" applyFont="1" applyFill="1" applyBorder="1" applyAlignment="1">
      <alignment horizontal="center" vertical="center" wrapText="1"/>
    </xf>
    <xf numFmtId="49" fontId="80" fillId="0" borderId="58" xfId="0" applyNumberFormat="1" applyFont="1" applyBorder="1" applyAlignment="1" applyProtection="1">
      <alignment horizontal="center" vertical="center" wrapText="1"/>
      <protection locked="0"/>
    </xf>
    <xf numFmtId="0" fontId="80" fillId="5" borderId="40" xfId="0" applyFont="1" applyFill="1" applyBorder="1" applyAlignment="1">
      <alignment horizontal="center" vertical="center" wrapText="1"/>
    </xf>
    <xf numFmtId="49" fontId="80" fillId="0" borderId="53" xfId="0" applyNumberFormat="1" applyFont="1" applyBorder="1" applyAlignment="1" applyProtection="1">
      <alignment horizontal="center" vertical="center" wrapText="1"/>
      <protection locked="0"/>
    </xf>
    <xf numFmtId="0" fontId="80" fillId="5" borderId="65" xfId="0" applyFont="1" applyFill="1" applyBorder="1" applyAlignment="1">
      <alignment horizontal="center" vertical="center"/>
    </xf>
    <xf numFmtId="0" fontId="80" fillId="2" borderId="20" xfId="0" applyFont="1" applyFill="1" applyBorder="1" applyAlignment="1" applyProtection="1">
      <alignment horizontal="center" vertical="center" wrapText="1"/>
      <protection locked="0"/>
    </xf>
    <xf numFmtId="0" fontId="80" fillId="5" borderId="51" xfId="0" applyFont="1" applyFill="1" applyBorder="1" applyAlignment="1">
      <alignment horizontal="center" vertical="center" wrapText="1"/>
    </xf>
    <xf numFmtId="49" fontId="80" fillId="2" borderId="20" xfId="0" applyNumberFormat="1" applyFont="1" applyFill="1" applyBorder="1" applyAlignment="1" applyProtection="1">
      <alignment horizontal="center" vertical="center" wrapText="1"/>
      <protection locked="0"/>
    </xf>
    <xf numFmtId="0" fontId="80" fillId="5" borderId="17" xfId="0" applyFont="1" applyFill="1" applyBorder="1" applyAlignment="1">
      <alignment horizontal="center" vertical="center" wrapText="1"/>
    </xf>
    <xf numFmtId="49" fontId="80" fillId="2" borderId="50" xfId="0" applyNumberFormat="1" applyFont="1" applyFill="1" applyBorder="1" applyAlignment="1" applyProtection="1">
      <alignment horizontal="center" vertical="center" wrapText="1"/>
      <protection locked="0"/>
    </xf>
    <xf numFmtId="0" fontId="80" fillId="5" borderId="52" xfId="0" applyFont="1" applyFill="1" applyBorder="1" applyAlignment="1">
      <alignment horizontal="center" vertical="center" wrapText="1"/>
    </xf>
    <xf numFmtId="0" fontId="67" fillId="5" borderId="25" xfId="0" applyFont="1" applyFill="1" applyBorder="1" applyAlignment="1">
      <alignment horizontal="center" vertical="center" wrapText="1"/>
    </xf>
    <xf numFmtId="49" fontId="80" fillId="5" borderId="32" xfId="0" applyNumberFormat="1" applyFont="1" applyFill="1" applyBorder="1" applyAlignment="1">
      <alignment horizontal="center" vertical="center" wrapText="1"/>
    </xf>
    <xf numFmtId="49" fontId="80" fillId="0" borderId="18" xfId="0" applyNumberFormat="1" applyFont="1" applyBorder="1" applyAlignment="1" applyProtection="1">
      <alignment horizontal="center" vertical="center" wrapText="1"/>
      <protection locked="0"/>
    </xf>
    <xf numFmtId="0" fontId="80" fillId="5" borderId="13" xfId="0" applyFont="1" applyFill="1" applyBorder="1" applyAlignment="1">
      <alignment horizontal="center" vertical="center" wrapText="1"/>
    </xf>
    <xf numFmtId="49" fontId="80" fillId="0" borderId="24" xfId="0" applyNumberFormat="1" applyFont="1" applyBorder="1" applyAlignment="1" applyProtection="1">
      <alignment horizontal="center" vertical="center" wrapText="1"/>
      <protection locked="0"/>
    </xf>
    <xf numFmtId="0" fontId="80" fillId="5" borderId="25" xfId="0" applyFont="1" applyFill="1" applyBorder="1" applyAlignment="1">
      <alignment horizontal="center" vertical="center" wrapText="1"/>
    </xf>
    <xf numFmtId="0" fontId="67" fillId="5" borderId="51" xfId="0" applyFont="1" applyFill="1" applyBorder="1" applyAlignment="1">
      <alignment horizontal="center" vertical="center" wrapText="1"/>
    </xf>
    <xf numFmtId="0" fontId="80" fillId="2" borderId="18" xfId="0" applyFont="1" applyFill="1" applyBorder="1" applyAlignment="1" applyProtection="1">
      <alignment horizontal="center" vertical="center" wrapText="1"/>
      <protection locked="0"/>
    </xf>
    <xf numFmtId="49" fontId="80" fillId="2" borderId="18" xfId="0" applyNumberFormat="1" applyFont="1" applyFill="1" applyBorder="1" applyAlignment="1" applyProtection="1">
      <alignment horizontal="center" vertical="center" wrapText="1"/>
      <protection locked="0"/>
    </xf>
    <xf numFmtId="49" fontId="80" fillId="2" borderId="24" xfId="0" applyNumberFormat="1" applyFont="1" applyFill="1" applyBorder="1" applyAlignment="1" applyProtection="1">
      <alignment horizontal="center" vertical="center" wrapText="1"/>
      <protection locked="0"/>
    </xf>
    <xf numFmtId="49" fontId="80" fillId="0" borderId="32" xfId="0" applyNumberFormat="1" applyFont="1" applyBorder="1" applyAlignment="1" applyProtection="1">
      <alignment horizontal="center" vertical="center" wrapText="1"/>
      <protection locked="0"/>
    </xf>
    <xf numFmtId="0" fontId="80" fillId="5" borderId="4" xfId="0" applyFont="1" applyFill="1" applyBorder="1" applyAlignment="1">
      <alignment horizontal="center" vertical="center" wrapText="1"/>
    </xf>
    <xf numFmtId="49" fontId="80" fillId="0" borderId="22" xfId="0" applyNumberFormat="1" applyFont="1" applyBorder="1" applyAlignment="1" applyProtection="1">
      <alignment horizontal="center" vertical="center" wrapText="1"/>
      <protection locked="0"/>
    </xf>
    <xf numFmtId="0" fontId="80" fillId="5" borderId="32" xfId="0" applyFont="1" applyFill="1" applyBorder="1" applyAlignment="1">
      <alignment horizontal="center" vertical="center" wrapText="1"/>
    </xf>
    <xf numFmtId="0" fontId="80" fillId="2" borderId="11" xfId="0" applyFont="1" applyFill="1" applyBorder="1" applyAlignment="1" applyProtection="1">
      <alignment horizontal="center" vertical="center" wrapText="1"/>
      <protection locked="0"/>
    </xf>
    <xf numFmtId="0" fontId="80" fillId="5" borderId="5" xfId="0" applyFont="1" applyFill="1" applyBorder="1" applyAlignment="1">
      <alignment horizontal="center" vertical="center" wrapText="1"/>
    </xf>
    <xf numFmtId="0" fontId="80" fillId="2" borderId="50" xfId="0" applyFont="1" applyFill="1" applyBorder="1" applyAlignment="1" applyProtection="1">
      <alignment horizontal="center" vertical="center" wrapText="1"/>
      <protection locked="0"/>
    </xf>
    <xf numFmtId="0" fontId="71" fillId="5" borderId="31" xfId="0" applyFont="1" applyFill="1" applyBorder="1" applyAlignment="1">
      <alignment vertical="center" wrapText="1"/>
    </xf>
    <xf numFmtId="0" fontId="67" fillId="5" borderId="52" xfId="0" applyFont="1" applyFill="1" applyBorder="1" applyAlignment="1">
      <alignment horizontal="center" vertical="center" wrapText="1"/>
    </xf>
    <xf numFmtId="0" fontId="67" fillId="2" borderId="19" xfId="0" applyFont="1" applyFill="1" applyBorder="1" applyAlignment="1" applyProtection="1">
      <alignment horizontal="center" vertical="center" wrapText="1"/>
      <protection locked="0"/>
    </xf>
    <xf numFmtId="0" fontId="80" fillId="2" borderId="8" xfId="0" applyFont="1" applyFill="1" applyBorder="1" applyAlignment="1" applyProtection="1">
      <alignment horizontal="center" vertical="center" wrapText="1"/>
      <protection locked="0"/>
    </xf>
    <xf numFmtId="0" fontId="102" fillId="5" borderId="9" xfId="0" applyFont="1" applyFill="1" applyBorder="1" applyAlignment="1">
      <alignment horizontal="center" vertical="center" wrapText="1"/>
    </xf>
    <xf numFmtId="0" fontId="80" fillId="2" borderId="64" xfId="0" applyFont="1" applyFill="1" applyBorder="1" applyAlignment="1" applyProtection="1">
      <alignment horizontal="center" vertical="center" wrapText="1"/>
      <protection locked="0"/>
    </xf>
    <xf numFmtId="0" fontId="102" fillId="0" borderId="9" xfId="0" applyFont="1" applyBorder="1" applyAlignment="1" applyProtection="1">
      <alignment horizontal="center" vertical="center" wrapText="1"/>
      <protection locked="0"/>
    </xf>
    <xf numFmtId="0" fontId="67" fillId="0" borderId="12" xfId="0" applyFont="1" applyBorder="1" applyAlignment="1" applyProtection="1">
      <alignment horizontal="center" vertical="center" wrapText="1"/>
      <protection locked="0"/>
    </xf>
    <xf numFmtId="0" fontId="80" fillId="0" borderId="9" xfId="0" applyFont="1" applyBorder="1" applyAlignment="1" applyProtection="1">
      <alignment horizontal="center" vertical="center" wrapText="1"/>
      <protection locked="0"/>
    </xf>
    <xf numFmtId="0" fontId="80" fillId="5" borderId="31" xfId="0" applyFont="1" applyFill="1" applyBorder="1" applyAlignment="1">
      <alignment horizontal="center" vertical="center"/>
    </xf>
    <xf numFmtId="0" fontId="80" fillId="0" borderId="12" xfId="0" applyFont="1" applyBorder="1" applyAlignment="1" applyProtection="1">
      <alignment horizontal="center" vertical="center"/>
      <protection locked="0"/>
    </xf>
    <xf numFmtId="0" fontId="96" fillId="5" borderId="54" xfId="0" applyFont="1" applyFill="1" applyBorder="1" applyAlignment="1">
      <alignment vertical="center" textRotation="255" wrapText="1"/>
    </xf>
    <xf numFmtId="0" fontId="76" fillId="0" borderId="46" xfId="0" applyFont="1" applyBorder="1" applyAlignment="1" applyProtection="1">
      <alignment horizontal="center" vertical="center"/>
      <protection locked="0"/>
    </xf>
    <xf numFmtId="0" fontId="80" fillId="0" borderId="32" xfId="0" applyFont="1" applyBorder="1" applyAlignment="1" applyProtection="1">
      <alignment horizontal="center" vertical="center" wrapText="1"/>
      <protection locked="0"/>
    </xf>
    <xf numFmtId="0" fontId="80" fillId="0" borderId="10" xfId="0" applyFont="1" applyBorder="1" applyAlignment="1" applyProtection="1">
      <alignment horizontal="center" vertical="center" wrapText="1"/>
      <protection locked="0"/>
    </xf>
    <xf numFmtId="0" fontId="80" fillId="0" borderId="43" xfId="0" applyFont="1" applyBorder="1" applyAlignment="1" applyProtection="1">
      <alignment horizontal="center" vertical="center" wrapText="1"/>
      <protection locked="0"/>
    </xf>
    <xf numFmtId="0" fontId="79" fillId="5" borderId="24" xfId="0" applyFont="1" applyFill="1" applyBorder="1" applyAlignment="1">
      <alignment vertical="center" textRotation="255" wrapText="1"/>
    </xf>
    <xf numFmtId="0" fontId="67" fillId="5" borderId="17" xfId="0" applyFont="1" applyFill="1" applyBorder="1" applyAlignment="1">
      <alignment horizontal="center" vertical="center" wrapText="1"/>
    </xf>
    <xf numFmtId="0" fontId="80" fillId="0" borderId="1" xfId="0" applyFont="1" applyBorder="1" applyAlignment="1" applyProtection="1">
      <alignment horizontal="center" vertical="center" wrapText="1"/>
      <protection locked="0"/>
    </xf>
    <xf numFmtId="0" fontId="80" fillId="5" borderId="7" xfId="0" applyFont="1" applyFill="1" applyBorder="1" applyAlignment="1">
      <alignment horizontal="center" vertical="center" wrapText="1"/>
    </xf>
    <xf numFmtId="0" fontId="80" fillId="0" borderId="6" xfId="0" applyFont="1" applyBorder="1" applyAlignment="1" applyProtection="1">
      <alignment horizontal="center" vertical="center" wrapText="1"/>
      <protection locked="0"/>
    </xf>
    <xf numFmtId="49" fontId="80" fillId="2" borderId="11" xfId="0" applyNumberFormat="1" applyFont="1" applyFill="1" applyBorder="1" applyAlignment="1" applyProtection="1">
      <alignment horizontal="center" vertical="center" wrapText="1"/>
      <protection locked="0"/>
    </xf>
    <xf numFmtId="0" fontId="71" fillId="5" borderId="24" xfId="0" applyFont="1" applyFill="1" applyBorder="1" applyAlignment="1">
      <alignment vertical="center" textRotation="255" wrapText="1"/>
    </xf>
    <xf numFmtId="9" fontId="67" fillId="2" borderId="64" xfId="0" applyNumberFormat="1" applyFont="1" applyFill="1" applyBorder="1" applyAlignment="1" applyProtection="1">
      <alignment horizontal="center" vertical="center" wrapText="1"/>
      <protection locked="0"/>
    </xf>
    <xf numFmtId="0" fontId="80" fillId="0" borderId="5" xfId="0" applyFont="1" applyBorder="1" applyAlignment="1" applyProtection="1">
      <alignment horizontal="center" vertical="center"/>
      <protection locked="0"/>
    </xf>
    <xf numFmtId="0" fontId="96" fillId="5" borderId="24" xfId="0" applyFont="1" applyFill="1" applyBorder="1" applyAlignment="1">
      <alignment vertical="center" textRotation="255" wrapText="1"/>
    </xf>
    <xf numFmtId="0" fontId="76" fillId="0" borderId="60" xfId="0" applyFont="1" applyBorder="1" applyAlignment="1" applyProtection="1">
      <alignment horizontal="center" vertical="center" wrapText="1"/>
      <protection locked="0"/>
    </xf>
    <xf numFmtId="0" fontId="76" fillId="5" borderId="46" xfId="0" applyFont="1" applyFill="1" applyBorder="1" applyAlignment="1">
      <alignment horizontal="center" vertical="center" wrapText="1"/>
    </xf>
    <xf numFmtId="0" fontId="103" fillId="5" borderId="9" xfId="0" applyFont="1" applyFill="1" applyBorder="1" applyAlignment="1">
      <alignment horizontal="center" vertical="center" wrapText="1"/>
    </xf>
    <xf numFmtId="49" fontId="79" fillId="5" borderId="59" xfId="0" applyNumberFormat="1" applyFont="1" applyFill="1" applyBorder="1">
      <alignment vertical="center"/>
    </xf>
    <xf numFmtId="49" fontId="79" fillId="2" borderId="7" xfId="0" applyNumberFormat="1" applyFont="1" applyFill="1" applyBorder="1" applyProtection="1">
      <alignment vertical="center"/>
      <protection locked="0"/>
    </xf>
    <xf numFmtId="0" fontId="79" fillId="5" borderId="30" xfId="0" applyFont="1" applyFill="1" applyBorder="1" applyAlignment="1">
      <alignment horizontal="right" vertical="center" wrapText="1"/>
    </xf>
    <xf numFmtId="0" fontId="79" fillId="5" borderId="57" xfId="0" applyFont="1" applyFill="1" applyBorder="1" applyAlignment="1">
      <alignment vertical="center" wrapText="1"/>
    </xf>
    <xf numFmtId="0" fontId="104" fillId="3" borderId="30" xfId="0" applyFont="1" applyFill="1" applyBorder="1" applyAlignment="1" applyProtection="1">
      <alignment vertical="center" wrapText="1"/>
      <protection locked="0"/>
    </xf>
    <xf numFmtId="0" fontId="104" fillId="5" borderId="30" xfId="0" applyFont="1" applyFill="1" applyBorder="1" applyAlignment="1">
      <alignment vertical="center" wrapText="1"/>
    </xf>
    <xf numFmtId="0" fontId="104" fillId="3" borderId="59" xfId="0" applyFont="1" applyFill="1" applyBorder="1" applyAlignment="1" applyProtection="1">
      <alignment vertical="center" wrapText="1"/>
      <protection locked="0"/>
    </xf>
    <xf numFmtId="0" fontId="104" fillId="5" borderId="57" xfId="0" applyFont="1" applyFill="1" applyBorder="1" applyAlignment="1">
      <alignment vertical="center" wrapText="1"/>
    </xf>
    <xf numFmtId="49" fontId="79" fillId="5" borderId="60" xfId="0" applyNumberFormat="1" applyFont="1" applyFill="1" applyBorder="1">
      <alignment vertical="center"/>
    </xf>
    <xf numFmtId="49" fontId="79" fillId="5" borderId="48" xfId="0" applyNumberFormat="1" applyFont="1" applyFill="1" applyBorder="1">
      <alignment vertical="center"/>
    </xf>
    <xf numFmtId="185" fontId="79" fillId="5" borderId="56" xfId="0" applyNumberFormat="1" applyFont="1" applyFill="1" applyBorder="1" applyAlignment="1">
      <alignment vertical="center" wrapText="1"/>
    </xf>
    <xf numFmtId="185" fontId="79" fillId="5" borderId="60" xfId="0" applyNumberFormat="1" applyFont="1" applyFill="1" applyBorder="1" applyAlignment="1">
      <alignment vertical="center" wrapText="1"/>
    </xf>
    <xf numFmtId="49" fontId="79" fillId="0" borderId="54" xfId="0" applyNumberFormat="1" applyFont="1" applyBorder="1" applyProtection="1">
      <alignment vertical="center"/>
      <protection locked="0"/>
    </xf>
    <xf numFmtId="49" fontId="79" fillId="0" borderId="66" xfId="0" applyNumberFormat="1" applyFont="1" applyBorder="1" applyProtection="1">
      <alignment vertical="center"/>
      <protection locked="0"/>
    </xf>
    <xf numFmtId="185" fontId="79" fillId="5" borderId="61" xfId="0" applyNumberFormat="1" applyFont="1" applyFill="1" applyBorder="1" applyAlignment="1">
      <alignment vertical="center" wrapText="1"/>
    </xf>
    <xf numFmtId="0" fontId="79" fillId="5" borderId="2" xfId="0" applyFont="1" applyFill="1" applyBorder="1" applyAlignment="1">
      <alignment horizontal="left" vertical="center"/>
    </xf>
    <xf numFmtId="0" fontId="79" fillId="5" borderId="2" xfId="0" applyFont="1" applyFill="1" applyBorder="1" applyAlignment="1">
      <alignment horizontal="center" vertical="center" wrapText="1"/>
    </xf>
    <xf numFmtId="182" fontId="80" fillId="5" borderId="5" xfId="0" applyNumberFormat="1" applyFont="1" applyFill="1" applyBorder="1" applyAlignment="1">
      <alignment horizontal="center" vertical="center"/>
    </xf>
    <xf numFmtId="182" fontId="80" fillId="5" borderId="9" xfId="0" applyNumberFormat="1" applyFont="1" applyFill="1" applyBorder="1">
      <alignment vertical="center"/>
    </xf>
    <xf numFmtId="0" fontId="79" fillId="5" borderId="9" xfId="0" applyFont="1" applyFill="1" applyBorder="1" applyAlignment="1">
      <alignment horizontal="center" vertical="center" wrapText="1"/>
    </xf>
    <xf numFmtId="14" fontId="80" fillId="5" borderId="1" xfId="0" applyNumberFormat="1" applyFont="1" applyFill="1" applyBorder="1" applyAlignment="1">
      <alignment horizontal="left" vertical="center"/>
    </xf>
    <xf numFmtId="177" fontId="80" fillId="5" borderId="6" xfId="0" applyNumberFormat="1" applyFont="1" applyFill="1" applyBorder="1" applyAlignment="1">
      <alignment horizontal="center" vertical="center"/>
    </xf>
    <xf numFmtId="0" fontId="80" fillId="5" borderId="6" xfId="0" applyFont="1" applyFill="1" applyBorder="1" applyAlignment="1">
      <alignment horizontal="center" vertical="center"/>
    </xf>
    <xf numFmtId="0" fontId="80" fillId="5" borderId="7" xfId="0" applyFont="1" applyFill="1" applyBorder="1" applyAlignment="1">
      <alignment horizontal="center" vertical="center"/>
    </xf>
    <xf numFmtId="0" fontId="82" fillId="5" borderId="11" xfId="0" applyFont="1" applyFill="1" applyBorder="1" applyAlignment="1"/>
    <xf numFmtId="185" fontId="82" fillId="5" borderId="2" xfId="2" applyNumberFormat="1" applyFont="1" applyFill="1" applyBorder="1" applyAlignment="1">
      <alignment horizontal="center"/>
    </xf>
    <xf numFmtId="0" fontId="82" fillId="5" borderId="2" xfId="0" applyFont="1" applyFill="1" applyBorder="1" applyAlignment="1">
      <alignment horizontal="center"/>
    </xf>
    <xf numFmtId="178" fontId="82" fillId="5" borderId="12" xfId="2" applyNumberFormat="1" applyFont="1" applyFill="1" applyBorder="1" applyAlignment="1">
      <alignment horizontal="center"/>
    </xf>
    <xf numFmtId="0" fontId="82" fillId="5" borderId="11" xfId="2" applyFont="1" applyFill="1" applyBorder="1" applyAlignment="1"/>
    <xf numFmtId="0" fontId="82" fillId="5" borderId="2" xfId="2" applyFont="1" applyFill="1" applyBorder="1" applyAlignment="1">
      <alignment horizontal="center"/>
    </xf>
    <xf numFmtId="180" fontId="82" fillId="0" borderId="2" xfId="2" applyNumberFormat="1" applyFont="1" applyBorder="1" applyAlignment="1" applyProtection="1">
      <alignment horizontal="center"/>
      <protection locked="0"/>
    </xf>
    <xf numFmtId="0" fontId="72" fillId="5" borderId="12" xfId="0" applyFont="1" applyFill="1" applyBorder="1" applyAlignment="1">
      <alignment horizontal="center" vertical="center"/>
    </xf>
    <xf numFmtId="180" fontId="82" fillId="5" borderId="2" xfId="2" applyNumberFormat="1" applyFont="1" applyFill="1" applyBorder="1" applyAlignment="1">
      <alignment horizontal="center"/>
    </xf>
    <xf numFmtId="0" fontId="91" fillId="5" borderId="43" xfId="2" applyFont="1" applyFill="1" applyBorder="1" applyAlignment="1"/>
    <xf numFmtId="0" fontId="82" fillId="5" borderId="44" xfId="0" applyFont="1" applyFill="1" applyBorder="1" applyAlignment="1">
      <alignment horizontal="center"/>
    </xf>
    <xf numFmtId="178" fontId="91" fillId="5" borderId="46" xfId="0" applyNumberFormat="1" applyFont="1" applyFill="1" applyBorder="1" applyAlignment="1">
      <alignment horizontal="center"/>
    </xf>
    <xf numFmtId="0" fontId="71" fillId="5" borderId="26" xfId="0" applyFont="1" applyFill="1" applyBorder="1" applyAlignment="1">
      <alignment vertical="center" wrapText="1"/>
    </xf>
    <xf numFmtId="0" fontId="71" fillId="5" borderId="58" xfId="0" applyFont="1" applyFill="1" applyBorder="1" applyAlignment="1">
      <alignment vertical="center" wrapText="1"/>
    </xf>
    <xf numFmtId="0" fontId="71" fillId="5" borderId="18" xfId="0" applyFont="1" applyFill="1" applyBorder="1" applyAlignment="1">
      <alignment vertical="center" wrapText="1"/>
    </xf>
    <xf numFmtId="0" fontId="67" fillId="5" borderId="32" xfId="0" applyFont="1" applyFill="1" applyBorder="1" applyAlignment="1">
      <alignment horizontal="center" vertical="center" wrapText="1"/>
    </xf>
    <xf numFmtId="0" fontId="67" fillId="0" borderId="10" xfId="0" applyFont="1" applyBorder="1" applyAlignment="1" applyProtection="1">
      <alignment horizontal="center" vertical="center" wrapText="1"/>
      <protection locked="0"/>
    </xf>
    <xf numFmtId="0" fontId="67" fillId="0" borderId="25" xfId="0" applyFont="1" applyBorder="1" applyAlignment="1" applyProtection="1">
      <alignment horizontal="center" vertical="center" wrapText="1"/>
      <protection locked="0"/>
    </xf>
    <xf numFmtId="0" fontId="71" fillId="5" borderId="67" xfId="0" applyFont="1" applyFill="1" applyBorder="1" applyAlignment="1">
      <alignment vertical="center" wrapText="1"/>
    </xf>
    <xf numFmtId="0" fontId="67" fillId="0" borderId="67" xfId="0" applyFont="1" applyBorder="1" applyAlignment="1" applyProtection="1">
      <alignment horizontal="center" vertical="center" wrapText="1"/>
      <protection locked="0"/>
    </xf>
    <xf numFmtId="0" fontId="67" fillId="0" borderId="55" xfId="0" applyFont="1" applyBorder="1" applyAlignment="1" applyProtection="1">
      <alignment horizontal="center" vertical="center" wrapText="1"/>
      <protection locked="0"/>
    </xf>
    <xf numFmtId="0" fontId="67" fillId="0" borderId="68" xfId="0" applyFont="1" applyBorder="1" applyAlignment="1" applyProtection="1">
      <alignment horizontal="center" vertical="center" wrapText="1"/>
      <protection locked="0"/>
    </xf>
    <xf numFmtId="0" fontId="67" fillId="0" borderId="69" xfId="0" applyFont="1" applyBorder="1" applyAlignment="1" applyProtection="1">
      <alignment horizontal="center" vertical="center" wrapText="1"/>
      <protection locked="0"/>
    </xf>
    <xf numFmtId="0" fontId="71" fillId="5" borderId="13" xfId="0" applyFont="1" applyFill="1" applyBorder="1" applyAlignment="1">
      <alignment vertical="center" wrapText="1"/>
    </xf>
    <xf numFmtId="0" fontId="67" fillId="5" borderId="20" xfId="0" applyFont="1" applyFill="1" applyBorder="1" applyAlignment="1">
      <alignment horizontal="center" vertical="center" wrapText="1"/>
    </xf>
    <xf numFmtId="0" fontId="67" fillId="0" borderId="21" xfId="0" applyFont="1" applyBorder="1" applyAlignment="1" applyProtection="1">
      <alignment horizontal="left" vertical="center" wrapText="1"/>
      <protection locked="0"/>
    </xf>
    <xf numFmtId="0" fontId="67" fillId="0" borderId="51" xfId="0" applyFont="1" applyBorder="1" applyAlignment="1" applyProtection="1">
      <alignment horizontal="center" vertical="center" wrapText="1"/>
      <protection locked="0"/>
    </xf>
    <xf numFmtId="0" fontId="79" fillId="5" borderId="53" xfId="0" applyFont="1" applyFill="1" applyBorder="1" applyAlignment="1">
      <alignment vertical="center" wrapText="1"/>
    </xf>
    <xf numFmtId="0" fontId="67" fillId="5" borderId="27" xfId="0" applyFont="1" applyFill="1" applyBorder="1" applyAlignment="1">
      <alignment horizontal="center" vertical="center" wrapText="1"/>
    </xf>
    <xf numFmtId="0" fontId="101" fillId="0" borderId="6" xfId="0" applyFont="1" applyBorder="1" applyAlignment="1" applyProtection="1">
      <alignment horizontal="center" vertical="center" wrapText="1"/>
      <protection locked="0"/>
    </xf>
    <xf numFmtId="0" fontId="101" fillId="0" borderId="6" xfId="0" applyFont="1" applyBorder="1" applyAlignment="1" applyProtection="1">
      <alignment horizontal="left" vertical="center" wrapText="1"/>
      <protection locked="0"/>
    </xf>
    <xf numFmtId="0" fontId="101" fillId="0" borderId="7" xfId="0" applyFont="1" applyBorder="1" applyAlignment="1" applyProtection="1">
      <alignment horizontal="center" vertical="center" wrapText="1"/>
      <protection locked="0"/>
    </xf>
    <xf numFmtId="0" fontId="76" fillId="5" borderId="70" xfId="0" applyFont="1" applyFill="1" applyBorder="1" applyAlignment="1">
      <alignment horizontal="center" vertical="center" wrapText="1"/>
    </xf>
    <xf numFmtId="0" fontId="80" fillId="0" borderId="71" xfId="0" applyFont="1" applyBorder="1" applyAlignment="1" applyProtection="1">
      <alignment horizontal="center" vertical="center" wrapText="1"/>
      <protection locked="0"/>
    </xf>
    <xf numFmtId="0" fontId="80" fillId="0" borderId="72" xfId="0" applyFont="1" applyBorder="1" applyAlignment="1" applyProtection="1">
      <alignment horizontal="center" vertical="center" wrapText="1"/>
      <protection locked="0"/>
    </xf>
    <xf numFmtId="0" fontId="67" fillId="5" borderId="73" xfId="0" applyFont="1" applyFill="1" applyBorder="1" applyAlignment="1">
      <alignment horizontal="center" vertical="center" wrapText="1"/>
    </xf>
    <xf numFmtId="0" fontId="80" fillId="5" borderId="74" xfId="0" applyFont="1" applyFill="1" applyBorder="1" applyAlignment="1">
      <alignment horizontal="center" vertical="center" wrapText="1"/>
    </xf>
    <xf numFmtId="0" fontId="101" fillId="5" borderId="74" xfId="0" applyFont="1" applyFill="1" applyBorder="1" applyAlignment="1">
      <alignment horizontal="center" vertical="center" wrapText="1"/>
    </xf>
    <xf numFmtId="0" fontId="101" fillId="5" borderId="74" xfId="0" applyFont="1" applyFill="1" applyBorder="1" applyAlignment="1">
      <alignment horizontal="left" vertical="center" wrapText="1"/>
    </xf>
    <xf numFmtId="0" fontId="101" fillId="5" borderId="75" xfId="0" applyFont="1" applyFill="1" applyBorder="1" applyAlignment="1">
      <alignment horizontal="center" vertical="center" wrapText="1"/>
    </xf>
    <xf numFmtId="0" fontId="67" fillId="5" borderId="70" xfId="0" applyFont="1" applyFill="1" applyBorder="1" applyAlignment="1">
      <alignment horizontal="center" vertical="center" wrapText="1"/>
    </xf>
    <xf numFmtId="0" fontId="80" fillId="5" borderId="71" xfId="0" applyFont="1" applyFill="1" applyBorder="1" applyAlignment="1">
      <alignment horizontal="center" vertical="center" wrapText="1"/>
    </xf>
    <xf numFmtId="0" fontId="80" fillId="5" borderId="72" xfId="0" applyFont="1" applyFill="1" applyBorder="1" applyAlignment="1">
      <alignment horizontal="center" vertical="center" wrapText="1"/>
    </xf>
    <xf numFmtId="0" fontId="67" fillId="5" borderId="3" xfId="0" applyFont="1" applyFill="1" applyBorder="1" applyAlignment="1">
      <alignment horizontal="center" vertical="center" wrapText="1"/>
    </xf>
    <xf numFmtId="0" fontId="80" fillId="5" borderId="21" xfId="0" applyFont="1" applyFill="1" applyBorder="1" applyAlignment="1">
      <alignment horizontal="center" vertical="center" wrapText="1"/>
    </xf>
    <xf numFmtId="0" fontId="76" fillId="5" borderId="3" xfId="0" applyFont="1" applyFill="1" applyBorder="1" applyAlignment="1">
      <alignment horizontal="center" vertical="center" wrapText="1"/>
    </xf>
    <xf numFmtId="0" fontId="101" fillId="0" borderId="2" xfId="0" applyFont="1" applyBorder="1" applyAlignment="1" applyProtection="1">
      <alignment horizontal="center" vertical="center" wrapText="1"/>
      <protection locked="0"/>
    </xf>
    <xf numFmtId="0" fontId="101" fillId="0" borderId="2" xfId="0" applyFont="1" applyBorder="1" applyAlignment="1" applyProtection="1">
      <alignment horizontal="left" vertical="center" wrapText="1"/>
      <protection locked="0"/>
    </xf>
    <xf numFmtId="0" fontId="101" fillId="0" borderId="12" xfId="0" applyFont="1" applyBorder="1" applyAlignment="1" applyProtection="1">
      <alignment horizontal="center" vertical="center" wrapText="1"/>
      <protection locked="0"/>
    </xf>
    <xf numFmtId="0" fontId="96" fillId="5" borderId="24" xfId="0" applyFont="1" applyFill="1" applyBorder="1" applyAlignment="1">
      <alignment vertical="center" wrapText="1"/>
    </xf>
    <xf numFmtId="0" fontId="67" fillId="0" borderId="74" xfId="0" applyFont="1" applyBorder="1" applyAlignment="1" applyProtection="1">
      <alignment horizontal="center" vertical="center" wrapText="1"/>
      <protection locked="0"/>
    </xf>
    <xf numFmtId="0" fontId="76" fillId="0" borderId="74" xfId="0" applyFont="1" applyBorder="1" applyAlignment="1" applyProtection="1">
      <alignment horizontal="center" vertical="center" wrapText="1"/>
      <protection locked="0"/>
    </xf>
    <xf numFmtId="0" fontId="76" fillId="0" borderId="74" xfId="0" applyFont="1" applyBorder="1" applyAlignment="1" applyProtection="1">
      <alignment horizontal="left" vertical="center" wrapText="1"/>
      <protection locked="0"/>
    </xf>
    <xf numFmtId="0" fontId="76" fillId="0" borderId="75" xfId="0" applyFont="1" applyBorder="1" applyAlignment="1" applyProtection="1">
      <alignment horizontal="center" vertical="center" wrapText="1"/>
      <protection locked="0"/>
    </xf>
    <xf numFmtId="0" fontId="67" fillId="0" borderId="71" xfId="0" applyFont="1" applyBorder="1" applyAlignment="1" applyProtection="1">
      <alignment horizontal="center" vertical="center" wrapText="1"/>
      <protection locked="0"/>
    </xf>
    <xf numFmtId="0" fontId="76" fillId="0" borderId="71" xfId="0" applyFont="1" applyBorder="1" applyAlignment="1" applyProtection="1">
      <alignment horizontal="center" vertical="center" wrapText="1"/>
      <protection locked="0"/>
    </xf>
    <xf numFmtId="0" fontId="76" fillId="0" borderId="72" xfId="0" applyFont="1" applyBorder="1" applyAlignment="1" applyProtection="1">
      <alignment horizontal="center" vertical="center" wrapText="1"/>
      <protection locked="0"/>
    </xf>
    <xf numFmtId="0" fontId="76" fillId="0" borderId="21" xfId="0" applyFont="1" applyBorder="1" applyAlignment="1" applyProtection="1">
      <alignment horizontal="center" vertical="center" wrapText="1"/>
      <protection locked="0"/>
    </xf>
    <xf numFmtId="0" fontId="76" fillId="0" borderId="21" xfId="0" applyFont="1" applyBorder="1" applyAlignment="1" applyProtection="1">
      <alignment horizontal="left" vertical="center" wrapText="1"/>
      <protection locked="0"/>
    </xf>
    <xf numFmtId="0" fontId="76" fillId="0" borderId="51" xfId="0" applyFont="1" applyBorder="1" applyAlignment="1" applyProtection="1">
      <alignment horizontal="center" vertical="center" wrapText="1"/>
      <protection locked="0"/>
    </xf>
    <xf numFmtId="0" fontId="96" fillId="5" borderId="23" xfId="0" applyFont="1" applyFill="1" applyBorder="1" applyAlignment="1">
      <alignment vertical="center" wrapText="1"/>
    </xf>
    <xf numFmtId="0" fontId="67" fillId="5" borderId="55" xfId="0" applyFont="1" applyFill="1" applyBorder="1" applyAlignment="1">
      <alignment horizontal="center" vertical="center" wrapText="1"/>
    </xf>
    <xf numFmtId="0" fontId="67" fillId="0" borderId="44" xfId="0" applyFont="1" applyBorder="1" applyAlignment="1" applyProtection="1">
      <alignment horizontal="center" vertical="center" wrapText="1"/>
      <protection locked="0"/>
    </xf>
    <xf numFmtId="0" fontId="76" fillId="0" borderId="44" xfId="0" applyFont="1" applyBorder="1" applyAlignment="1" applyProtection="1">
      <alignment horizontal="center" vertical="center" wrapText="1"/>
      <protection locked="0"/>
    </xf>
    <xf numFmtId="0" fontId="76" fillId="0" borderId="46" xfId="0" applyFont="1" applyBorder="1" applyAlignment="1" applyProtection="1">
      <alignment horizontal="center" vertical="center" wrapText="1"/>
      <protection locked="0"/>
    </xf>
    <xf numFmtId="0" fontId="80" fillId="5" borderId="6" xfId="0" applyFont="1" applyFill="1" applyBorder="1" applyAlignment="1">
      <alignment horizontal="center" vertical="center" wrapText="1"/>
    </xf>
    <xf numFmtId="0" fontId="101" fillId="5" borderId="6" xfId="0" applyFont="1" applyFill="1" applyBorder="1" applyAlignment="1">
      <alignment horizontal="center" vertical="center" wrapText="1"/>
    </xf>
    <xf numFmtId="0" fontId="101" fillId="5" borderId="6" xfId="0" applyFont="1" applyFill="1" applyBorder="1" applyAlignment="1">
      <alignment horizontal="left" vertical="center" wrapText="1"/>
    </xf>
    <xf numFmtId="0" fontId="101" fillId="5" borderId="7" xfId="0" applyFont="1" applyFill="1" applyBorder="1" applyAlignment="1">
      <alignment horizontal="center" vertical="center" wrapText="1"/>
    </xf>
    <xf numFmtId="0" fontId="67" fillId="5" borderId="74" xfId="0" applyFont="1" applyFill="1" applyBorder="1" applyAlignment="1">
      <alignment horizontal="center" vertical="center" wrapText="1"/>
    </xf>
    <xf numFmtId="0" fontId="67" fillId="5" borderId="74" xfId="0" applyFont="1" applyFill="1" applyBorder="1" applyAlignment="1">
      <alignment horizontal="left" vertical="center" wrapText="1"/>
    </xf>
    <xf numFmtId="0" fontId="67" fillId="5" borderId="75" xfId="0" applyFont="1" applyFill="1" applyBorder="1" applyAlignment="1">
      <alignment horizontal="center" vertical="center" wrapText="1"/>
    </xf>
    <xf numFmtId="0" fontId="67" fillId="5" borderId="71" xfId="0" applyFont="1" applyFill="1" applyBorder="1" applyAlignment="1">
      <alignment horizontal="center" vertical="center" wrapText="1"/>
    </xf>
    <xf numFmtId="0" fontId="76" fillId="5" borderId="74" xfId="0" applyFont="1" applyFill="1" applyBorder="1" applyAlignment="1">
      <alignment horizontal="center" vertical="center" wrapText="1"/>
    </xf>
    <xf numFmtId="0" fontId="76" fillId="5" borderId="74" xfId="0" applyFont="1" applyFill="1" applyBorder="1" applyAlignment="1">
      <alignment horizontal="left" vertical="center" wrapText="1"/>
    </xf>
    <xf numFmtId="0" fontId="76" fillId="5" borderId="75" xfId="0" applyFont="1" applyFill="1" applyBorder="1" applyAlignment="1">
      <alignment horizontal="center" vertical="center" wrapText="1"/>
    </xf>
    <xf numFmtId="0" fontId="76" fillId="5" borderId="71" xfId="0" applyFont="1" applyFill="1" applyBorder="1" applyAlignment="1">
      <alignment horizontal="center" vertical="center" wrapText="1"/>
    </xf>
    <xf numFmtId="0" fontId="76" fillId="5" borderId="72" xfId="0" applyFont="1" applyFill="1" applyBorder="1" applyAlignment="1">
      <alignment horizontal="center" vertical="center" wrapText="1"/>
    </xf>
    <xf numFmtId="0" fontId="80" fillId="0" borderId="74" xfId="0" applyFont="1" applyBorder="1" applyAlignment="1" applyProtection="1">
      <alignment horizontal="center" vertical="center" wrapText="1"/>
      <protection locked="0"/>
    </xf>
    <xf numFmtId="0" fontId="101" fillId="0" borderId="74" xfId="0" applyFont="1" applyBorder="1" applyAlignment="1" applyProtection="1">
      <alignment horizontal="center" vertical="center" wrapText="1"/>
      <protection locked="0"/>
    </xf>
    <xf numFmtId="0" fontId="101" fillId="0" borderId="74" xfId="0" applyFont="1" applyBorder="1" applyAlignment="1" applyProtection="1">
      <alignment horizontal="left" vertical="center" wrapText="1"/>
      <protection locked="0"/>
    </xf>
    <xf numFmtId="0" fontId="101" fillId="0" borderId="75" xfId="0" applyFont="1" applyBorder="1" applyAlignment="1" applyProtection="1">
      <alignment horizontal="center" vertical="center" wrapText="1"/>
      <protection locked="0"/>
    </xf>
    <xf numFmtId="0" fontId="80" fillId="0" borderId="21" xfId="0" applyFont="1" applyBorder="1" applyAlignment="1" applyProtection="1">
      <alignment horizontal="center" vertical="center" wrapText="1"/>
      <protection locked="0"/>
    </xf>
    <xf numFmtId="0" fontId="101" fillId="0" borderId="21" xfId="0" applyFont="1" applyBorder="1" applyAlignment="1" applyProtection="1">
      <alignment horizontal="center" vertical="center" wrapText="1"/>
      <protection locked="0"/>
    </xf>
    <xf numFmtId="0" fontId="101" fillId="0" borderId="21" xfId="0" applyFont="1" applyBorder="1" applyAlignment="1" applyProtection="1">
      <alignment horizontal="left" vertical="center" wrapText="1"/>
      <protection locked="0"/>
    </xf>
    <xf numFmtId="0" fontId="101" fillId="0" borderId="51" xfId="0" applyFont="1" applyBorder="1" applyAlignment="1" applyProtection="1">
      <alignment horizontal="center" vertical="center" wrapText="1"/>
      <protection locked="0"/>
    </xf>
    <xf numFmtId="0" fontId="80" fillId="0" borderId="44" xfId="0" applyFont="1" applyBorder="1" applyAlignment="1" applyProtection="1">
      <alignment horizontal="center" vertical="center" wrapText="1"/>
      <protection locked="0"/>
    </xf>
    <xf numFmtId="0" fontId="80" fillId="0" borderId="46" xfId="0" applyFont="1" applyBorder="1" applyAlignment="1" applyProtection="1">
      <alignment horizontal="center" vertical="center" wrapText="1"/>
      <protection locked="0"/>
    </xf>
    <xf numFmtId="0" fontId="67" fillId="5" borderId="13" xfId="0" applyFont="1" applyFill="1" applyBorder="1" applyAlignment="1">
      <alignment horizontal="center" vertical="center"/>
    </xf>
    <xf numFmtId="0" fontId="76" fillId="0" borderId="2" xfId="0" applyFont="1" applyBorder="1" applyAlignment="1" applyProtection="1">
      <alignment horizontal="center" vertical="center" wrapText="1"/>
      <protection locked="0"/>
    </xf>
    <xf numFmtId="0" fontId="76" fillId="0" borderId="2" xfId="0" applyFont="1" applyBorder="1" applyAlignment="1" applyProtection="1">
      <alignment horizontal="left" vertical="center" wrapText="1"/>
      <protection locked="0"/>
    </xf>
    <xf numFmtId="0" fontId="76" fillId="0" borderId="12" xfId="0" applyFont="1" applyBorder="1" applyAlignment="1" applyProtection="1">
      <alignment horizontal="center" vertical="center" wrapText="1"/>
      <protection locked="0"/>
    </xf>
    <xf numFmtId="0" fontId="80" fillId="0" borderId="25" xfId="0" applyFont="1" applyBorder="1" applyAlignment="1" applyProtection="1">
      <alignment horizontal="center" vertical="center" wrapText="1"/>
      <protection locked="0"/>
    </xf>
    <xf numFmtId="0" fontId="76" fillId="5" borderId="55" xfId="0" applyFont="1" applyFill="1" applyBorder="1" applyAlignment="1">
      <alignment horizontal="center" vertical="center" wrapText="1"/>
    </xf>
    <xf numFmtId="0" fontId="107" fillId="5" borderId="14" xfId="0" applyFont="1" applyFill="1" applyBorder="1">
      <alignment vertical="center"/>
    </xf>
    <xf numFmtId="0" fontId="108" fillId="5" borderId="0" xfId="0" applyFont="1" applyFill="1" applyAlignment="1">
      <alignment horizontal="center" vertical="center"/>
    </xf>
    <xf numFmtId="188" fontId="107" fillId="5" borderId="14" xfId="0" applyNumberFormat="1" applyFont="1" applyFill="1" applyBorder="1" applyAlignment="1">
      <alignment horizontal="center" vertical="center"/>
    </xf>
    <xf numFmtId="0" fontId="67" fillId="5" borderId="4" xfId="0" applyFont="1" applyFill="1" applyBorder="1" applyAlignment="1">
      <alignment horizontal="center" vertical="center" wrapText="1"/>
    </xf>
    <xf numFmtId="0" fontId="80" fillId="0" borderId="47" xfId="0" applyFont="1" applyBorder="1" applyAlignment="1" applyProtection="1">
      <alignment horizontal="center" vertical="center" wrapText="1"/>
      <protection locked="0"/>
    </xf>
    <xf numFmtId="0" fontId="93" fillId="5" borderId="30" xfId="2" applyFont="1" applyFill="1" applyBorder="1">
      <alignment vertical="center"/>
    </xf>
    <xf numFmtId="0" fontId="91" fillId="5" borderId="1" xfId="2" applyFont="1" applyFill="1" applyBorder="1" applyAlignment="1">
      <alignment horizontal="left" vertical="center"/>
    </xf>
    <xf numFmtId="0" fontId="91" fillId="5" borderId="29" xfId="2" applyFont="1" applyFill="1" applyBorder="1">
      <alignment vertical="center"/>
    </xf>
    <xf numFmtId="178" fontId="91" fillId="5" borderId="6" xfId="2" applyNumberFormat="1" applyFont="1" applyFill="1" applyBorder="1" applyAlignment="1">
      <alignment horizontal="center" vertical="center"/>
    </xf>
    <xf numFmtId="0" fontId="91" fillId="5" borderId="6" xfId="2" applyFont="1" applyFill="1" applyBorder="1" applyAlignment="1">
      <alignment horizontal="center" vertical="center"/>
    </xf>
    <xf numFmtId="0" fontId="91" fillId="5" borderId="5" xfId="2" applyFont="1" applyFill="1" applyBorder="1">
      <alignment vertical="center"/>
    </xf>
    <xf numFmtId="178" fontId="91" fillId="5" borderId="2" xfId="2" applyNumberFormat="1" applyFont="1" applyFill="1" applyBorder="1" applyAlignment="1">
      <alignment horizontal="center" vertical="center"/>
    </xf>
    <xf numFmtId="0" fontId="91" fillId="5" borderId="2" xfId="2" applyFont="1" applyFill="1" applyBorder="1" applyAlignment="1">
      <alignment horizontal="center" vertical="center"/>
    </xf>
    <xf numFmtId="0" fontId="91" fillId="5" borderId="12" xfId="2" applyFont="1" applyFill="1" applyBorder="1" applyAlignment="1">
      <alignment horizontal="left" vertical="center"/>
    </xf>
    <xf numFmtId="0" fontId="82" fillId="5" borderId="5" xfId="2" applyFont="1" applyFill="1" applyBorder="1">
      <alignment vertical="center"/>
    </xf>
    <xf numFmtId="178" fontId="82" fillId="5" borderId="2" xfId="2" applyNumberFormat="1" applyFont="1" applyFill="1" applyBorder="1" applyAlignment="1">
      <alignment horizontal="center" vertical="center"/>
    </xf>
    <xf numFmtId="178" fontId="82" fillId="5" borderId="2" xfId="2" applyNumberFormat="1" applyFont="1" applyFill="1" applyBorder="1">
      <alignment vertical="center"/>
    </xf>
    <xf numFmtId="10" fontId="82" fillId="5" borderId="2" xfId="2" applyNumberFormat="1" applyFont="1" applyFill="1" applyBorder="1" applyAlignment="1">
      <alignment horizontal="center" vertical="center"/>
    </xf>
    <xf numFmtId="0" fontId="109" fillId="5" borderId="5" xfId="2" applyFont="1" applyFill="1" applyBorder="1">
      <alignment vertical="center"/>
    </xf>
    <xf numFmtId="178" fontId="109" fillId="5" borderId="2" xfId="2" applyNumberFormat="1" applyFont="1" applyFill="1" applyBorder="1" applyAlignment="1">
      <alignment horizontal="center" vertical="center"/>
    </xf>
    <xf numFmtId="0" fontId="82" fillId="5" borderId="12" xfId="2" applyFont="1" applyFill="1" applyBorder="1" applyAlignment="1">
      <alignment vertical="center" wrapText="1"/>
    </xf>
    <xf numFmtId="180" fontId="91" fillId="5" borderId="2" xfId="2" applyNumberFormat="1" applyFont="1" applyFill="1" applyBorder="1" applyAlignment="1">
      <alignment horizontal="center" vertical="center"/>
    </xf>
    <xf numFmtId="9" fontId="91" fillId="5" borderId="5" xfId="2" applyNumberFormat="1" applyFont="1" applyFill="1" applyBorder="1" applyAlignment="1">
      <alignment horizontal="center" vertical="center"/>
    </xf>
    <xf numFmtId="0" fontId="91" fillId="5" borderId="2" xfId="0" applyFont="1" applyFill="1" applyBorder="1" applyAlignment="1">
      <alignment horizontal="right" vertical="center"/>
    </xf>
    <xf numFmtId="0" fontId="91" fillId="5" borderId="2" xfId="0" applyFont="1" applyFill="1" applyBorder="1" applyAlignment="1">
      <alignment horizontal="left" vertical="center"/>
    </xf>
    <xf numFmtId="10" fontId="91" fillId="5" borderId="5" xfId="2" applyNumberFormat="1" applyFont="1" applyFill="1" applyBorder="1" applyAlignment="1">
      <alignment horizontal="center" vertical="center"/>
    </xf>
    <xf numFmtId="0" fontId="91" fillId="5" borderId="12" xfId="0" applyFont="1" applyFill="1" applyBorder="1" applyAlignment="1">
      <alignment vertical="center" wrapText="1"/>
    </xf>
    <xf numFmtId="0" fontId="91" fillId="5" borderId="5" xfId="2" applyFont="1" applyFill="1" applyBorder="1" applyAlignment="1">
      <alignment horizontal="center" vertical="center"/>
    </xf>
    <xf numFmtId="0" fontId="91" fillId="5" borderId="45" xfId="2" applyFont="1" applyFill="1" applyBorder="1">
      <alignment vertical="center"/>
    </xf>
    <xf numFmtId="178" fontId="91" fillId="5" borderId="44" xfId="2" applyNumberFormat="1" applyFont="1" applyFill="1" applyBorder="1" applyAlignment="1">
      <alignment horizontal="center" vertical="center"/>
    </xf>
    <xf numFmtId="180" fontId="91" fillId="5" borderId="44" xfId="2" applyNumberFormat="1" applyFont="1" applyFill="1" applyBorder="1" applyAlignment="1">
      <alignment horizontal="center" vertical="center"/>
    </xf>
    <xf numFmtId="9" fontId="91" fillId="5" borderId="45" xfId="2" applyNumberFormat="1" applyFont="1" applyFill="1" applyBorder="1" applyAlignment="1">
      <alignment horizontal="center" vertical="center"/>
    </xf>
    <xf numFmtId="0" fontId="91" fillId="5" borderId="46" xfId="0" applyFont="1" applyFill="1" applyBorder="1" applyAlignment="1">
      <alignment vertical="center" wrapText="1"/>
    </xf>
    <xf numFmtId="49" fontId="98" fillId="5" borderId="19" xfId="0" applyNumberFormat="1" applyFont="1" applyFill="1" applyBorder="1" applyAlignment="1"/>
    <xf numFmtId="49" fontId="97" fillId="2" borderId="35" xfId="0" applyNumberFormat="1" applyFont="1" applyFill="1" applyBorder="1" applyAlignment="1" applyProtection="1">
      <alignment horizontal="left"/>
      <protection locked="0"/>
    </xf>
    <xf numFmtId="178" fontId="97" fillId="5" borderId="19" xfId="0" applyNumberFormat="1" applyFont="1" applyFill="1" applyBorder="1" applyAlignment="1"/>
    <xf numFmtId="0" fontId="66" fillId="5" borderId="2" xfId="0" applyFont="1" applyFill="1" applyBorder="1" applyAlignment="1">
      <alignment horizontal="center" vertical="center"/>
    </xf>
    <xf numFmtId="49" fontId="97" fillId="5" borderId="0" xfId="0" applyNumberFormat="1" applyFont="1" applyFill="1" applyAlignment="1">
      <alignment horizontal="center"/>
    </xf>
    <xf numFmtId="49" fontId="72" fillId="5" borderId="1" xfId="0" applyNumberFormat="1" applyFont="1" applyFill="1" applyBorder="1" applyAlignment="1">
      <alignment horizontal="center" vertical="center"/>
    </xf>
    <xf numFmtId="0" fontId="72" fillId="5" borderId="6" xfId="0" applyFont="1" applyFill="1" applyBorder="1" applyAlignment="1">
      <alignment horizontal="center" vertical="center"/>
    </xf>
    <xf numFmtId="0" fontId="72" fillId="5" borderId="29" xfId="0" applyFont="1" applyFill="1" applyBorder="1" applyAlignment="1">
      <alignment horizontal="right" vertical="center"/>
    </xf>
    <xf numFmtId="0" fontId="72" fillId="5" borderId="57" xfId="0" applyFont="1" applyFill="1" applyBorder="1" applyAlignment="1">
      <alignment horizontal="center" vertical="center"/>
    </xf>
    <xf numFmtId="49" fontId="81" fillId="5" borderId="22" xfId="0" applyNumberFormat="1" applyFont="1" applyFill="1" applyBorder="1">
      <alignment vertical="center"/>
    </xf>
    <xf numFmtId="0" fontId="81" fillId="5" borderId="10" xfId="0" applyFont="1" applyFill="1" applyBorder="1" applyAlignment="1">
      <alignment vertical="center" wrapText="1"/>
    </xf>
    <xf numFmtId="0" fontId="81" fillId="5" borderId="10" xfId="0" applyFont="1" applyFill="1" applyBorder="1" applyAlignment="1">
      <alignment horizontal="center" vertical="center"/>
    </xf>
    <xf numFmtId="0" fontId="72" fillId="5" borderId="2" xfId="0" applyFont="1" applyFill="1" applyBorder="1" applyAlignment="1">
      <alignment horizontal="left" vertical="center"/>
    </xf>
    <xf numFmtId="0" fontId="81" fillId="5" borderId="12" xfId="0" applyFont="1" applyFill="1" applyBorder="1" applyAlignment="1">
      <alignment horizontal="center" vertical="center"/>
    </xf>
    <xf numFmtId="49" fontId="81" fillId="5" borderId="24" xfId="0" applyNumberFormat="1" applyFont="1" applyFill="1" applyBorder="1">
      <alignment vertical="center"/>
    </xf>
    <xf numFmtId="0" fontId="81" fillId="5" borderId="3" xfId="0" applyFont="1" applyFill="1" applyBorder="1" applyAlignment="1">
      <alignment vertical="center" wrapText="1"/>
    </xf>
    <xf numFmtId="0" fontId="81" fillId="5" borderId="3" xfId="0" applyFont="1" applyFill="1" applyBorder="1" applyAlignment="1">
      <alignment horizontal="center" vertical="center"/>
    </xf>
    <xf numFmtId="0" fontId="72" fillId="5" borderId="3" xfId="0" applyFont="1" applyFill="1" applyBorder="1">
      <alignment vertical="center"/>
    </xf>
    <xf numFmtId="49" fontId="81" fillId="5" borderId="50" xfId="0" applyNumberFormat="1" applyFont="1" applyFill="1" applyBorder="1">
      <alignment vertical="center"/>
    </xf>
    <xf numFmtId="0" fontId="81" fillId="5" borderId="21" xfId="0" applyFont="1" applyFill="1" applyBorder="1" applyAlignment="1">
      <alignment vertical="center" wrapText="1"/>
    </xf>
    <xf numFmtId="0" fontId="81" fillId="5" borderId="21" xfId="0" applyFont="1" applyFill="1" applyBorder="1" applyAlignment="1">
      <alignment horizontal="center" vertical="center"/>
    </xf>
    <xf numFmtId="0" fontId="72" fillId="5" borderId="21" xfId="0" applyFont="1" applyFill="1" applyBorder="1">
      <alignment vertical="center"/>
    </xf>
    <xf numFmtId="182" fontId="81" fillId="5" borderId="12" xfId="0" applyNumberFormat="1" applyFont="1" applyFill="1" applyBorder="1" applyAlignment="1">
      <alignment horizontal="center" vertical="center"/>
    </xf>
    <xf numFmtId="0" fontId="72" fillId="5" borderId="10" xfId="0" applyFont="1" applyFill="1" applyBorder="1" applyAlignment="1">
      <alignment horizontal="left" vertical="center"/>
    </xf>
    <xf numFmtId="182" fontId="81" fillId="5" borderId="25" xfId="0" applyNumberFormat="1" applyFont="1" applyFill="1" applyBorder="1" applyAlignment="1">
      <alignment horizontal="center" vertical="center"/>
    </xf>
    <xf numFmtId="49" fontId="81" fillId="5" borderId="11" xfId="0" applyNumberFormat="1" applyFont="1" applyFill="1" applyBorder="1" applyAlignment="1">
      <alignment horizontal="left" vertical="center"/>
    </xf>
    <xf numFmtId="0" fontId="81" fillId="5" borderId="2" xfId="0" applyFont="1" applyFill="1" applyBorder="1" applyAlignment="1">
      <alignment horizontal="left" vertical="center"/>
    </xf>
    <xf numFmtId="0" fontId="81" fillId="5" borderId="2" xfId="0" applyFont="1" applyFill="1" applyBorder="1" applyAlignment="1">
      <alignment horizontal="center" vertical="center"/>
    </xf>
    <xf numFmtId="182" fontId="72" fillId="5" borderId="25" xfId="0" applyNumberFormat="1" applyFont="1" applyFill="1" applyBorder="1" applyAlignment="1">
      <alignment horizontal="center" vertical="center"/>
    </xf>
    <xf numFmtId="0" fontId="95" fillId="5" borderId="8" xfId="0" applyFont="1" applyFill="1" applyBorder="1">
      <alignment vertical="center"/>
    </xf>
    <xf numFmtId="0" fontId="95" fillId="5" borderId="16" xfId="0" applyFont="1" applyFill="1" applyBorder="1">
      <alignment vertical="center"/>
    </xf>
    <xf numFmtId="49" fontId="72" fillId="5" borderId="11" xfId="0" applyNumberFormat="1" applyFont="1" applyFill="1" applyBorder="1" applyAlignment="1">
      <alignment horizontal="left" vertical="center"/>
    </xf>
    <xf numFmtId="0" fontId="148" fillId="5" borderId="5" xfId="0" applyFont="1" applyFill="1" applyBorder="1" applyAlignment="1">
      <alignment horizontal="center" vertical="center"/>
    </xf>
    <xf numFmtId="180" fontId="81" fillId="5" borderId="16" xfId="0" applyNumberFormat="1" applyFont="1" applyFill="1" applyBorder="1" applyAlignment="1">
      <alignment horizontal="center" vertical="center"/>
    </xf>
    <xf numFmtId="0" fontId="72" fillId="5" borderId="21" xfId="0" applyFont="1" applyFill="1" applyBorder="1" applyAlignment="1">
      <alignment horizontal="left" vertical="center"/>
    </xf>
    <xf numFmtId="182" fontId="72" fillId="5" borderId="51" xfId="0" applyNumberFormat="1" applyFont="1" applyFill="1" applyBorder="1" applyAlignment="1">
      <alignment horizontal="center" vertical="center"/>
    </xf>
    <xf numFmtId="182" fontId="81" fillId="5" borderId="10" xfId="0" applyNumberFormat="1" applyFont="1" applyFill="1" applyBorder="1" applyAlignment="1">
      <alignment horizontal="center" vertical="center"/>
    </xf>
    <xf numFmtId="182" fontId="72" fillId="5" borderId="12" xfId="0" applyNumberFormat="1" applyFont="1" applyFill="1" applyBorder="1" applyAlignment="1">
      <alignment horizontal="center" vertical="center"/>
    </xf>
    <xf numFmtId="0" fontId="72" fillId="2" borderId="2" xfId="0" applyFont="1" applyFill="1" applyBorder="1" applyAlignment="1" applyProtection="1">
      <alignment horizontal="left" vertical="center" wrapText="1"/>
      <protection locked="0"/>
    </xf>
    <xf numFmtId="0" fontId="72" fillId="5" borderId="2" xfId="0" applyFont="1" applyFill="1" applyBorder="1" applyAlignment="1">
      <alignment vertical="center" wrapText="1"/>
    </xf>
    <xf numFmtId="49" fontId="72" fillId="5" borderId="22" xfId="0" applyNumberFormat="1" applyFont="1" applyFill="1" applyBorder="1">
      <alignment vertical="center"/>
    </xf>
    <xf numFmtId="0" fontId="72" fillId="5" borderId="10" xfId="0" applyFont="1" applyFill="1" applyBorder="1" applyAlignment="1">
      <alignment horizontal="left" vertical="center" wrapText="1"/>
    </xf>
    <xf numFmtId="49" fontId="72" fillId="5" borderId="50" xfId="0" applyNumberFormat="1" applyFont="1" applyFill="1" applyBorder="1">
      <alignment vertical="center"/>
    </xf>
    <xf numFmtId="0" fontId="72" fillId="5" borderId="21" xfId="0" applyFont="1" applyFill="1" applyBorder="1" applyAlignment="1">
      <alignment horizontal="left" vertical="center" wrapText="1"/>
    </xf>
    <xf numFmtId="10" fontId="81" fillId="5" borderId="12" xfId="0" applyNumberFormat="1" applyFont="1" applyFill="1" applyBorder="1" applyAlignment="1">
      <alignment horizontal="center" vertical="center"/>
    </xf>
    <xf numFmtId="183" fontId="81" fillId="5" borderId="12" xfId="0" applyNumberFormat="1" applyFont="1" applyFill="1" applyBorder="1" applyAlignment="1">
      <alignment horizontal="center" vertical="center"/>
    </xf>
    <xf numFmtId="10" fontId="72" fillId="5" borderId="12" xfId="0" applyNumberFormat="1" applyFont="1" applyFill="1" applyBorder="1" applyAlignment="1">
      <alignment horizontal="center" vertical="center"/>
    </xf>
    <xf numFmtId="0" fontId="72" fillId="5" borderId="16" xfId="0" applyFont="1" applyFill="1" applyBorder="1" applyAlignment="1">
      <alignment horizontal="center" vertical="center" wrapText="1"/>
    </xf>
    <xf numFmtId="0" fontId="72" fillId="5" borderId="3" xfId="0" applyFont="1" applyFill="1" applyBorder="1" applyAlignment="1">
      <alignment horizontal="left" vertical="center" wrapText="1"/>
    </xf>
    <xf numFmtId="180" fontId="81" fillId="5" borderId="12" xfId="0" applyNumberFormat="1" applyFont="1" applyFill="1" applyBorder="1" applyAlignment="1">
      <alignment horizontal="center" vertical="center"/>
    </xf>
    <xf numFmtId="49" fontId="81" fillId="5" borderId="43" xfId="0" applyNumberFormat="1" applyFont="1" applyFill="1" applyBorder="1" applyAlignment="1">
      <alignment horizontal="left" vertical="center"/>
    </xf>
    <xf numFmtId="0" fontId="81" fillId="5" borderId="44" xfId="0" applyFont="1" applyFill="1" applyBorder="1" applyAlignment="1">
      <alignment horizontal="left" vertical="center"/>
    </xf>
    <xf numFmtId="0" fontId="81" fillId="5" borderId="44" xfId="0" applyFont="1" applyFill="1" applyBorder="1" applyAlignment="1">
      <alignment horizontal="center" vertical="center"/>
    </xf>
    <xf numFmtId="0" fontId="72" fillId="5" borderId="44" xfId="0" applyFont="1" applyFill="1" applyBorder="1">
      <alignment vertical="center"/>
    </xf>
    <xf numFmtId="0" fontId="72" fillId="5" borderId="44" xfId="0" applyFont="1" applyFill="1" applyBorder="1" applyAlignment="1">
      <alignment horizontal="left" vertical="center"/>
    </xf>
    <xf numFmtId="180" fontId="81" fillId="5" borderId="46" xfId="0" applyNumberFormat="1" applyFont="1" applyFill="1" applyBorder="1" applyAlignment="1">
      <alignment horizontal="center" vertical="center"/>
    </xf>
    <xf numFmtId="0" fontId="81" fillId="5" borderId="9" xfId="0" applyFont="1" applyFill="1" applyBorder="1" applyAlignment="1">
      <alignment horizontal="center" vertical="center"/>
    </xf>
    <xf numFmtId="182" fontId="81" fillId="5" borderId="51" xfId="0" applyNumberFormat="1" applyFont="1" applyFill="1" applyBorder="1" applyAlignment="1">
      <alignment horizontal="center" vertical="center"/>
    </xf>
    <xf numFmtId="49" fontId="72" fillId="5" borderId="23" xfId="0" applyNumberFormat="1" applyFont="1" applyFill="1" applyBorder="1" applyAlignment="1">
      <alignment horizontal="left" vertical="center"/>
    </xf>
    <xf numFmtId="49" fontId="97" fillId="5" borderId="19" xfId="0" applyNumberFormat="1" applyFont="1" applyFill="1" applyBorder="1" applyAlignment="1"/>
    <xf numFmtId="0" fontId="93" fillId="5" borderId="44" xfId="2" applyFont="1" applyFill="1" applyBorder="1">
      <alignment vertical="center"/>
    </xf>
    <xf numFmtId="0" fontId="66" fillId="5" borderId="44" xfId="0" applyFont="1" applyFill="1" applyBorder="1" applyAlignment="1">
      <alignment horizontal="center" vertical="center"/>
    </xf>
    <xf numFmtId="0" fontId="67" fillId="5" borderId="2" xfId="0" applyFont="1" applyFill="1" applyBorder="1" applyAlignment="1"/>
    <xf numFmtId="0" fontId="67" fillId="5" borderId="2" xfId="0" applyFont="1" applyFill="1" applyBorder="1" applyAlignment="1">
      <alignment horizontal="center"/>
    </xf>
    <xf numFmtId="0" fontId="82" fillId="5" borderId="2" xfId="0" applyFont="1" applyFill="1" applyBorder="1" applyAlignment="1">
      <alignment horizontal="left"/>
    </xf>
    <xf numFmtId="185" fontId="82" fillId="5" borderId="2" xfId="0" applyNumberFormat="1" applyFont="1" applyFill="1" applyBorder="1" applyAlignment="1">
      <alignment horizontal="center"/>
    </xf>
    <xf numFmtId="0" fontId="82" fillId="5" borderId="2" xfId="0" applyFont="1" applyFill="1" applyBorder="1" applyAlignment="1">
      <alignment vertical="center" wrapText="1"/>
    </xf>
    <xf numFmtId="182" fontId="81" fillId="5" borderId="2" xfId="0" applyNumberFormat="1" applyFont="1" applyFill="1" applyBorder="1" applyAlignment="1">
      <alignment horizontal="center" vertical="center"/>
    </xf>
    <xf numFmtId="0" fontId="153" fillId="5" borderId="2" xfId="0" applyFont="1" applyFill="1" applyBorder="1" applyAlignment="1">
      <alignment horizontal="left"/>
    </xf>
    <xf numFmtId="0" fontId="153" fillId="5" borderId="2" xfId="0" applyFont="1" applyFill="1" applyBorder="1" applyAlignment="1">
      <alignment horizontal="center"/>
    </xf>
    <xf numFmtId="0" fontId="113" fillId="5" borderId="2" xfId="0" applyFont="1" applyFill="1" applyBorder="1" applyAlignment="1">
      <alignment horizontal="left"/>
    </xf>
    <xf numFmtId="0" fontId="113" fillId="5" borderId="2" xfId="0" applyFont="1" applyFill="1" applyBorder="1" applyAlignment="1">
      <alignment horizontal="center"/>
    </xf>
    <xf numFmtId="182" fontId="82" fillId="5" borderId="2" xfId="0" applyNumberFormat="1" applyFont="1" applyFill="1" applyBorder="1" applyAlignment="1">
      <alignment horizontal="center"/>
    </xf>
    <xf numFmtId="0" fontId="102" fillId="5" borderId="2" xfId="0" applyFont="1" applyFill="1" applyBorder="1" applyAlignment="1">
      <alignment horizontal="center" vertical="center"/>
    </xf>
    <xf numFmtId="0" fontId="72" fillId="5" borderId="2" xfId="0" applyFont="1" applyFill="1" applyBorder="1" applyAlignment="1"/>
    <xf numFmtId="182" fontId="72" fillId="5" borderId="2" xfId="0" applyNumberFormat="1" applyFont="1" applyFill="1" applyBorder="1" applyAlignment="1">
      <alignment horizontal="center"/>
    </xf>
    <xf numFmtId="0" fontId="97" fillId="2" borderId="14" xfId="0" applyFont="1" applyFill="1" applyBorder="1" applyProtection="1">
      <alignment vertical="center"/>
      <protection locked="0"/>
    </xf>
    <xf numFmtId="0" fontId="93" fillId="5" borderId="2" xfId="0" applyFont="1" applyFill="1" applyBorder="1" applyAlignment="1">
      <alignment horizontal="right" vertical="center"/>
    </xf>
    <xf numFmtId="0" fontId="93" fillId="5" borderId="10" xfId="0" applyFont="1" applyFill="1" applyBorder="1" applyAlignment="1">
      <alignment horizontal="right" vertical="center"/>
    </xf>
    <xf numFmtId="0" fontId="93" fillId="5" borderId="10" xfId="0" applyFont="1" applyFill="1" applyBorder="1" applyAlignment="1">
      <alignment horizontal="center" vertical="center"/>
    </xf>
    <xf numFmtId="188" fontId="67" fillId="5" borderId="57" xfId="0" applyNumberFormat="1" applyFont="1" applyFill="1" applyBorder="1" applyAlignment="1">
      <alignment horizontal="center" vertical="center" wrapText="1"/>
    </xf>
    <xf numFmtId="188" fontId="67" fillId="5" borderId="16" xfId="0" applyNumberFormat="1" applyFont="1" applyFill="1" applyBorder="1" applyAlignment="1">
      <alignment horizontal="center" vertical="center" wrapText="1"/>
    </xf>
    <xf numFmtId="0" fontId="67" fillId="5" borderId="16" xfId="0" applyFont="1" applyFill="1" applyBorder="1" applyAlignment="1">
      <alignment horizontal="center" vertical="center" wrapText="1"/>
    </xf>
    <xf numFmtId="49" fontId="67" fillId="2" borderId="62" xfId="0" applyNumberFormat="1" applyFont="1" applyFill="1" applyBorder="1" applyAlignment="1" applyProtection="1">
      <alignment horizontal="center" vertical="center" wrapText="1"/>
      <protection locked="0"/>
    </xf>
    <xf numFmtId="0" fontId="67" fillId="0" borderId="59" xfId="0" applyFont="1" applyBorder="1" applyAlignment="1" applyProtection="1">
      <alignment horizontal="center" vertical="center" wrapText="1"/>
      <protection locked="0"/>
    </xf>
    <xf numFmtId="49" fontId="67" fillId="2" borderId="42" xfId="0" applyNumberFormat="1" applyFont="1" applyFill="1" applyBorder="1" applyAlignment="1" applyProtection="1">
      <alignment horizontal="center" vertical="center" wrapText="1"/>
      <protection locked="0"/>
    </xf>
    <xf numFmtId="49" fontId="67" fillId="2" borderId="1" xfId="0" applyNumberFormat="1" applyFont="1" applyFill="1" applyBorder="1" applyAlignment="1" applyProtection="1">
      <alignment horizontal="center" vertical="center" wrapText="1"/>
      <protection locked="0"/>
    </xf>
    <xf numFmtId="0" fontId="102" fillId="0" borderId="16" xfId="0" applyFont="1" applyBorder="1" applyAlignment="1" applyProtection="1">
      <alignment horizontal="center" vertical="center" wrapText="1"/>
      <protection locked="0"/>
    </xf>
    <xf numFmtId="0" fontId="102" fillId="5" borderId="16" xfId="0" applyFont="1" applyFill="1" applyBorder="1" applyAlignment="1">
      <alignment horizontal="center" vertical="center" wrapText="1"/>
    </xf>
    <xf numFmtId="0" fontId="80" fillId="5" borderId="45" xfId="0" applyFont="1" applyFill="1" applyBorder="1" applyAlignment="1">
      <alignment horizontal="center" vertical="center" wrapText="1"/>
    </xf>
    <xf numFmtId="49" fontId="80" fillId="5" borderId="53" xfId="0" applyNumberFormat="1" applyFont="1" applyFill="1" applyBorder="1" applyAlignment="1">
      <alignment horizontal="center" vertical="center" wrapText="1"/>
    </xf>
    <xf numFmtId="0" fontId="102" fillId="0" borderId="76" xfId="0" applyFont="1" applyBorder="1" applyAlignment="1" applyProtection="1">
      <alignment horizontal="center" vertical="center" wrapText="1"/>
      <protection locked="0"/>
    </xf>
    <xf numFmtId="0" fontId="80" fillId="5" borderId="0" xfId="0" applyFont="1" applyFill="1" applyAlignment="1">
      <alignment horizontal="center" vertical="center"/>
    </xf>
    <xf numFmtId="0" fontId="102" fillId="5" borderId="77" xfId="0" applyFont="1" applyFill="1" applyBorder="1" applyAlignment="1">
      <alignment horizontal="center" vertical="center" wrapText="1"/>
    </xf>
    <xf numFmtId="0" fontId="80" fillId="5" borderId="22" xfId="0" applyFont="1" applyFill="1" applyBorder="1" applyAlignment="1">
      <alignment horizontal="center" vertical="center" wrapText="1"/>
    </xf>
    <xf numFmtId="0" fontId="80" fillId="2" borderId="24" xfId="0" applyFont="1" applyFill="1" applyBorder="1" applyAlignment="1" applyProtection="1">
      <alignment horizontal="center" vertical="center" wrapText="1"/>
      <protection locked="0"/>
    </xf>
    <xf numFmtId="49" fontId="80" fillId="2" borderId="9" xfId="0" applyNumberFormat="1" applyFont="1" applyFill="1" applyBorder="1" applyAlignment="1" applyProtection="1">
      <alignment horizontal="center" vertical="center" wrapText="1"/>
      <protection locked="0"/>
    </xf>
    <xf numFmtId="0" fontId="80" fillId="2" borderId="1" xfId="0" applyFont="1" applyFill="1" applyBorder="1" applyAlignment="1" applyProtection="1">
      <alignment horizontal="center" vertical="center" wrapText="1"/>
      <protection locked="0"/>
    </xf>
    <xf numFmtId="0" fontId="80" fillId="2" borderId="42" xfId="0" applyFont="1" applyFill="1" applyBorder="1" applyAlignment="1" applyProtection="1">
      <alignment horizontal="center" vertical="center" wrapText="1"/>
      <protection locked="0"/>
    </xf>
    <xf numFmtId="0" fontId="67" fillId="0" borderId="64" xfId="0" applyFont="1" applyBorder="1" applyAlignment="1" applyProtection="1">
      <alignment horizontal="center" vertical="center" wrapText="1"/>
      <protection locked="0"/>
    </xf>
    <xf numFmtId="0" fontId="80" fillId="2" borderId="9" xfId="0" applyFont="1" applyFill="1" applyBorder="1" applyAlignment="1" applyProtection="1">
      <alignment horizontal="center" vertical="center" wrapText="1"/>
      <protection locked="0"/>
    </xf>
    <xf numFmtId="9" fontId="67" fillId="0" borderId="64" xfId="0" applyNumberFormat="1" applyFont="1" applyBorder="1" applyAlignment="1" applyProtection="1">
      <alignment horizontal="center" vertical="center" wrapText="1"/>
      <protection locked="0"/>
    </xf>
    <xf numFmtId="9" fontId="67" fillId="0" borderId="9" xfId="0" applyNumberFormat="1" applyFont="1" applyBorder="1" applyAlignment="1" applyProtection="1">
      <alignment horizontal="center" vertical="center" wrapText="1"/>
      <protection locked="0"/>
    </xf>
    <xf numFmtId="9" fontId="67" fillId="0" borderId="11" xfId="0" applyNumberFormat="1" applyFont="1" applyBorder="1" applyAlignment="1" applyProtection="1">
      <alignment horizontal="center" vertical="center" wrapText="1"/>
      <protection locked="0"/>
    </xf>
    <xf numFmtId="0" fontId="79" fillId="5" borderId="23" xfId="0" applyFont="1" applyFill="1" applyBorder="1" applyAlignment="1">
      <alignment vertical="center" textRotation="255" wrapText="1"/>
    </xf>
    <xf numFmtId="49" fontId="79" fillId="5" borderId="30" xfId="0" applyNumberFormat="1" applyFont="1" applyFill="1" applyBorder="1">
      <alignment vertical="center"/>
    </xf>
    <xf numFmtId="49" fontId="79" fillId="5" borderId="56" xfId="0" applyNumberFormat="1" applyFont="1" applyFill="1" applyBorder="1">
      <alignment vertical="center"/>
    </xf>
    <xf numFmtId="0" fontId="67" fillId="0" borderId="32" xfId="0" applyFont="1" applyBorder="1" applyAlignment="1" applyProtection="1">
      <alignment horizontal="center" vertical="center" wrapText="1"/>
      <protection locked="0"/>
    </xf>
    <xf numFmtId="0" fontId="67" fillId="0" borderId="74" xfId="0" applyFont="1" applyBorder="1" applyAlignment="1" applyProtection="1">
      <alignment horizontal="left" vertical="center" wrapText="1"/>
      <protection locked="0"/>
    </xf>
    <xf numFmtId="0" fontId="67" fillId="0" borderId="75" xfId="0" applyFont="1" applyBorder="1" applyAlignment="1" applyProtection="1">
      <alignment horizontal="center" vertical="center" wrapText="1"/>
      <protection locked="0"/>
    </xf>
    <xf numFmtId="0" fontId="67" fillId="0" borderId="78" xfId="0" applyFont="1" applyBorder="1" applyAlignment="1" applyProtection="1">
      <alignment horizontal="center" vertical="center"/>
      <protection locked="0"/>
    </xf>
    <xf numFmtId="0" fontId="67" fillId="5" borderId="2" xfId="0" applyFont="1" applyFill="1" applyBorder="1" applyAlignment="1">
      <alignment horizontal="center" vertical="center" wrapText="1"/>
    </xf>
    <xf numFmtId="0" fontId="76" fillId="5" borderId="2" xfId="0" applyFont="1" applyFill="1" applyBorder="1" applyAlignment="1">
      <alignment horizontal="center" vertical="center" wrapText="1"/>
    </xf>
    <xf numFmtId="0" fontId="76" fillId="5" borderId="2" xfId="0" applyFont="1" applyFill="1" applyBorder="1" applyAlignment="1">
      <alignment horizontal="left" vertical="center" wrapText="1"/>
    </xf>
    <xf numFmtId="0" fontId="76" fillId="5" borderId="12" xfId="0" applyFont="1" applyFill="1" applyBorder="1" applyAlignment="1">
      <alignment horizontal="center" vertical="center" wrapText="1"/>
    </xf>
    <xf numFmtId="0" fontId="102" fillId="0" borderId="22" xfId="0" applyFont="1" applyBorder="1" applyAlignment="1" applyProtection="1">
      <alignment horizontal="center" vertical="center" wrapText="1"/>
      <protection locked="0"/>
    </xf>
    <xf numFmtId="0" fontId="102" fillId="5" borderId="50" xfId="0" applyFont="1" applyFill="1" applyBorder="1" applyAlignment="1">
      <alignment horizontal="center" vertical="center" wrapText="1"/>
    </xf>
    <xf numFmtId="49" fontId="80" fillId="5" borderId="22" xfId="0" applyNumberFormat="1" applyFont="1" applyFill="1" applyBorder="1" applyAlignment="1">
      <alignment horizontal="center" vertical="center" wrapText="1"/>
    </xf>
    <xf numFmtId="0" fontId="67" fillId="2" borderId="50" xfId="0" applyFont="1" applyFill="1" applyBorder="1" applyAlignment="1" applyProtection="1">
      <alignment horizontal="center" vertical="center" wrapText="1"/>
      <protection locked="0"/>
    </xf>
    <xf numFmtId="17" fontId="76" fillId="0" borderId="64" xfId="0" applyNumberFormat="1" applyFont="1" applyBorder="1" applyAlignment="1" applyProtection="1">
      <alignment horizontal="center" vertical="center" wrapText="1"/>
      <protection locked="0"/>
    </xf>
    <xf numFmtId="0" fontId="76" fillId="0" borderId="64" xfId="0" applyFont="1" applyBorder="1" applyAlignment="1" applyProtection="1">
      <alignment horizontal="center" vertical="center" wrapText="1"/>
      <protection locked="0"/>
    </xf>
    <xf numFmtId="0" fontId="80" fillId="0" borderId="3" xfId="0" applyFont="1" applyBorder="1" applyAlignment="1" applyProtection="1">
      <alignment horizontal="center" vertical="center" wrapText="1"/>
      <protection locked="0"/>
    </xf>
    <xf numFmtId="0" fontId="101" fillId="0" borderId="3" xfId="0" applyFont="1" applyBorder="1" applyAlignment="1" applyProtection="1">
      <alignment horizontal="center" vertical="center" wrapText="1"/>
      <protection locked="0"/>
    </xf>
    <xf numFmtId="0" fontId="101" fillId="0" borderId="3" xfId="0" applyFont="1" applyBorder="1" applyAlignment="1" applyProtection="1">
      <alignment horizontal="left" vertical="center" wrapText="1"/>
      <protection locked="0"/>
    </xf>
    <xf numFmtId="0" fontId="101" fillId="0" borderId="52" xfId="0" applyFont="1" applyBorder="1" applyAlignment="1" applyProtection="1">
      <alignment horizontal="center" vertical="center" wrapText="1"/>
      <protection locked="0"/>
    </xf>
    <xf numFmtId="0" fontId="145" fillId="0" borderId="74" xfId="0" applyFont="1" applyBorder="1" applyAlignment="1" applyProtection="1">
      <alignment horizontal="center" vertical="center" wrapText="1"/>
      <protection locked="0"/>
    </xf>
    <xf numFmtId="0" fontId="67" fillId="0" borderId="20" xfId="0" applyFont="1" applyBorder="1" applyAlignment="1" applyProtection="1">
      <alignment horizontal="center" vertical="center" wrapText="1"/>
      <protection locked="0"/>
    </xf>
    <xf numFmtId="0" fontId="67" fillId="0" borderId="23" xfId="0" applyFont="1" applyBorder="1" applyAlignment="1" applyProtection="1">
      <alignment horizontal="center" vertical="center" wrapText="1"/>
      <protection locked="0"/>
    </xf>
    <xf numFmtId="0" fontId="80" fillId="0" borderId="8" xfId="0" applyFont="1" applyBorder="1" applyAlignment="1" applyProtection="1">
      <alignment horizontal="center" vertical="center" wrapText="1"/>
      <protection locked="0"/>
    </xf>
    <xf numFmtId="0" fontId="67" fillId="2" borderId="20" xfId="0" applyFont="1" applyFill="1" applyBorder="1" applyAlignment="1" applyProtection="1">
      <alignment horizontal="center" vertical="center" wrapText="1"/>
      <protection locked="0"/>
    </xf>
    <xf numFmtId="0" fontId="67" fillId="0" borderId="46" xfId="0" applyFont="1" applyBorder="1" applyAlignment="1" applyProtection="1">
      <alignment horizontal="center" vertical="center" wrapText="1"/>
      <protection locked="0"/>
    </xf>
    <xf numFmtId="0" fontId="80" fillId="0" borderId="56" xfId="0" applyFont="1" applyBorder="1" applyAlignment="1" applyProtection="1">
      <alignment horizontal="center" vertical="center" wrapText="1"/>
      <protection locked="0"/>
    </xf>
    <xf numFmtId="0" fontId="80" fillId="5" borderId="73" xfId="0" applyFont="1" applyFill="1" applyBorder="1" applyAlignment="1">
      <alignment horizontal="center" vertical="center" wrapText="1"/>
    </xf>
    <xf numFmtId="0" fontId="80" fillId="0" borderId="74" xfId="0" applyFont="1" applyBorder="1" applyAlignment="1" applyProtection="1">
      <alignment horizontal="left" vertical="center" wrapText="1"/>
      <protection locked="0"/>
    </xf>
    <xf numFmtId="0" fontId="80" fillId="0" borderId="75" xfId="0" applyFont="1" applyBorder="1" applyAlignment="1" applyProtection="1">
      <alignment horizontal="center" vertical="center" wrapText="1"/>
      <protection locked="0"/>
    </xf>
    <xf numFmtId="0" fontId="67" fillId="0" borderId="8" xfId="0" applyFont="1" applyBorder="1" applyAlignment="1" applyProtection="1">
      <alignment horizontal="center" vertical="center" wrapText="1"/>
      <protection locked="0"/>
    </xf>
    <xf numFmtId="0" fontId="80" fillId="5" borderId="53" xfId="0" applyFont="1" applyFill="1" applyBorder="1" applyAlignment="1">
      <alignment horizontal="center" vertical="center" wrapText="1"/>
    </xf>
    <xf numFmtId="0" fontId="67" fillId="5" borderId="13" xfId="0" applyFont="1" applyFill="1" applyBorder="1" applyAlignment="1">
      <alignment horizontal="center" vertical="center" wrapText="1"/>
    </xf>
    <xf numFmtId="0" fontId="97" fillId="2" borderId="14" xfId="0" applyFont="1" applyFill="1" applyBorder="1" applyAlignment="1" applyProtection="1">
      <alignment horizontal="right" vertical="center"/>
      <protection locked="0"/>
    </xf>
    <xf numFmtId="0" fontId="80" fillId="5" borderId="52" xfId="0" applyFont="1" applyFill="1" applyBorder="1" applyAlignment="1">
      <alignment horizontal="center" vertical="center"/>
    </xf>
    <xf numFmtId="0" fontId="67" fillId="5" borderId="69" xfId="0" applyFont="1" applyFill="1" applyBorder="1" applyAlignment="1">
      <alignment horizontal="center" vertical="center" wrapText="1"/>
    </xf>
    <xf numFmtId="0" fontId="67" fillId="5" borderId="68" xfId="0" applyFont="1" applyFill="1" applyBorder="1" applyAlignment="1">
      <alignment horizontal="center" vertical="center" wrapText="1"/>
    </xf>
    <xf numFmtId="0" fontId="80" fillId="5" borderId="50" xfId="0" applyFont="1" applyFill="1" applyBorder="1" applyAlignment="1">
      <alignment horizontal="center" vertical="center" wrapText="1"/>
    </xf>
    <xf numFmtId="0" fontId="96" fillId="5" borderId="31" xfId="0" applyFont="1" applyFill="1" applyBorder="1" applyAlignment="1">
      <alignment vertical="center" textRotation="255" wrapText="1"/>
    </xf>
    <xf numFmtId="49" fontId="67" fillId="0" borderId="64" xfId="0" applyNumberFormat="1" applyFont="1" applyBorder="1" applyAlignment="1" applyProtection="1">
      <alignment horizontal="center" vertical="center" wrapText="1"/>
      <protection locked="0"/>
    </xf>
    <xf numFmtId="0" fontId="79" fillId="5" borderId="31" xfId="0" applyFont="1" applyFill="1" applyBorder="1" applyAlignment="1">
      <alignment vertical="center" textRotation="255" wrapText="1"/>
    </xf>
    <xf numFmtId="0" fontId="67" fillId="2" borderId="64" xfId="0" applyFont="1" applyFill="1" applyBorder="1" applyAlignment="1" applyProtection="1">
      <alignment horizontal="center" vertical="center" wrapText="1"/>
      <protection locked="0"/>
    </xf>
    <xf numFmtId="0" fontId="71" fillId="5" borderId="31" xfId="0" applyFont="1" applyFill="1" applyBorder="1" applyAlignment="1">
      <alignment vertical="center" textRotation="255" wrapText="1"/>
    </xf>
    <xf numFmtId="0" fontId="79" fillId="5" borderId="54" xfId="0" applyFont="1" applyFill="1" applyBorder="1" applyAlignment="1">
      <alignment vertical="center" textRotation="255" wrapText="1"/>
    </xf>
    <xf numFmtId="0" fontId="80" fillId="5" borderId="3" xfId="0" applyFont="1" applyFill="1" applyBorder="1" applyAlignment="1">
      <alignment horizontal="center" vertical="center" wrapText="1"/>
    </xf>
    <xf numFmtId="49" fontId="80" fillId="0" borderId="6" xfId="0" applyNumberFormat="1" applyFont="1" applyBorder="1" applyAlignment="1" applyProtection="1">
      <alignment horizontal="center" vertical="center" wrapText="1"/>
      <protection locked="0"/>
    </xf>
    <xf numFmtId="49" fontId="101" fillId="0" borderId="6" xfId="0" applyNumberFormat="1" applyFont="1" applyBorder="1" applyAlignment="1" applyProtection="1">
      <alignment horizontal="center" vertical="center" wrapText="1"/>
      <protection locked="0"/>
    </xf>
    <xf numFmtId="49" fontId="101" fillId="0" borderId="6" xfId="0" applyNumberFormat="1" applyFont="1" applyBorder="1" applyAlignment="1" applyProtection="1">
      <alignment horizontal="left" vertical="center" wrapText="1"/>
      <protection locked="0"/>
    </xf>
    <xf numFmtId="49" fontId="101" fillId="0" borderId="7" xfId="0" applyNumberFormat="1" applyFont="1" applyBorder="1" applyAlignment="1" applyProtection="1">
      <alignment horizontal="center" vertical="center" wrapText="1"/>
      <protection locked="0"/>
    </xf>
    <xf numFmtId="0" fontId="80" fillId="0" borderId="81" xfId="0" applyFont="1" applyBorder="1" applyAlignment="1" applyProtection="1">
      <alignment horizontal="center" vertical="center" wrapText="1"/>
      <protection locked="0"/>
    </xf>
    <xf numFmtId="0" fontId="80" fillId="5" borderId="29" xfId="0" applyFont="1" applyFill="1" applyBorder="1" applyAlignment="1">
      <alignment horizontal="center" vertical="center" wrapText="1"/>
    </xf>
    <xf numFmtId="0" fontId="67" fillId="0" borderId="60" xfId="0" applyFont="1" applyBorder="1" applyAlignment="1" applyProtection="1">
      <alignment horizontal="center" vertical="center" wrapText="1"/>
      <protection locked="0"/>
    </xf>
    <xf numFmtId="0" fontId="101" fillId="5" borderId="3" xfId="0" applyFont="1" applyFill="1" applyBorder="1" applyAlignment="1">
      <alignment horizontal="center" vertical="center" wrapText="1"/>
    </xf>
    <xf numFmtId="0" fontId="101" fillId="5" borderId="3" xfId="0" applyFont="1" applyFill="1" applyBorder="1" applyAlignment="1">
      <alignment horizontal="left" vertical="center" wrapText="1"/>
    </xf>
    <xf numFmtId="0" fontId="101" fillId="5" borderId="52" xfId="0" applyFont="1" applyFill="1" applyBorder="1" applyAlignment="1">
      <alignment horizontal="center" vertical="center" wrapText="1"/>
    </xf>
    <xf numFmtId="0" fontId="72" fillId="5" borderId="0" xfId="0" applyFont="1" applyFill="1" applyAlignment="1">
      <alignment horizontal="center" vertical="center"/>
    </xf>
    <xf numFmtId="0" fontId="72" fillId="5" borderId="6" xfId="0" applyFont="1" applyFill="1" applyBorder="1" applyAlignment="1">
      <alignment horizontal="center" vertical="center" wrapText="1"/>
    </xf>
    <xf numFmtId="0" fontId="72" fillId="5" borderId="39" xfId="0" applyFont="1" applyFill="1" applyBorder="1" applyAlignment="1">
      <alignment horizontal="center" vertical="center" wrapText="1"/>
    </xf>
    <xf numFmtId="0" fontId="72" fillId="5" borderId="31" xfId="0" applyFont="1" applyFill="1" applyBorder="1" applyAlignment="1">
      <alignment horizontal="center" vertical="center"/>
    </xf>
    <xf numFmtId="0" fontId="72" fillId="0" borderId="11" xfId="0" applyFont="1" applyBorder="1" applyAlignment="1" applyProtection="1">
      <alignment horizontal="center" vertical="center" wrapText="1"/>
      <protection locked="0"/>
    </xf>
    <xf numFmtId="0" fontId="75" fillId="0" borderId="2" xfId="0" applyFont="1" applyBorder="1" applyAlignment="1" applyProtection="1">
      <alignment horizontal="center" vertical="center" wrapText="1"/>
      <protection locked="0"/>
    </xf>
    <xf numFmtId="0" fontId="75" fillId="0" borderId="2" xfId="0" applyFont="1" applyBorder="1" applyAlignment="1" applyProtection="1">
      <alignment horizontal="left" vertical="center" wrapText="1"/>
      <protection locked="0"/>
    </xf>
    <xf numFmtId="0" fontId="75" fillId="5" borderId="15" xfId="0" applyFont="1" applyFill="1" applyBorder="1" applyAlignment="1">
      <alignment horizontal="center" vertical="center" wrapText="1"/>
    </xf>
    <xf numFmtId="0" fontId="72" fillId="0" borderId="65" xfId="0" applyFont="1" applyBorder="1" applyAlignment="1" applyProtection="1">
      <alignment horizontal="center" vertical="center" wrapText="1"/>
      <protection locked="0"/>
    </xf>
    <xf numFmtId="0" fontId="66" fillId="5" borderId="2" xfId="0" applyFont="1" applyFill="1" applyBorder="1">
      <alignment vertical="center"/>
    </xf>
    <xf numFmtId="0" fontId="113" fillId="0" borderId="2" xfId="0" applyFont="1" applyBorder="1" applyAlignment="1" applyProtection="1">
      <alignment horizontal="center" vertical="center"/>
      <protection locked="0"/>
    </xf>
    <xf numFmtId="0" fontId="113" fillId="5" borderId="2" xfId="0" applyFont="1" applyFill="1" applyBorder="1" applyAlignment="1">
      <alignment horizontal="center" vertical="center"/>
    </xf>
    <xf numFmtId="0" fontId="113" fillId="2" borderId="2" xfId="0" applyFont="1" applyFill="1" applyBorder="1" applyAlignment="1" applyProtection="1">
      <alignment horizontal="center" vertical="center"/>
      <protection locked="0"/>
    </xf>
    <xf numFmtId="0" fontId="72" fillId="0" borderId="2" xfId="0" applyFont="1" applyBorder="1" applyProtection="1">
      <alignment vertical="center"/>
      <protection locked="0"/>
    </xf>
    <xf numFmtId="0" fontId="78" fillId="5" borderId="9" xfId="0" applyFont="1" applyFill="1" applyBorder="1" applyAlignment="1">
      <alignment horizontal="center" vertical="center" wrapText="1"/>
    </xf>
    <xf numFmtId="0" fontId="48" fillId="5" borderId="18" xfId="0" applyFont="1" applyFill="1" applyBorder="1" applyAlignment="1">
      <alignment horizontal="center" vertical="center" wrapText="1"/>
    </xf>
    <xf numFmtId="0" fontId="71" fillId="5" borderId="59" xfId="0" applyFont="1" applyFill="1" applyBorder="1" applyAlignment="1">
      <alignment horizontal="left" vertical="center"/>
    </xf>
    <xf numFmtId="0" fontId="67" fillId="5" borderId="57" xfId="0" applyFont="1" applyFill="1" applyBorder="1" applyAlignment="1">
      <alignment horizontal="left" vertical="center"/>
    </xf>
    <xf numFmtId="0" fontId="71" fillId="5" borderId="81" xfId="0" applyFont="1" applyFill="1" applyBorder="1" applyAlignment="1">
      <alignment horizontal="right" vertical="center"/>
    </xf>
    <xf numFmtId="180" fontId="71" fillId="2" borderId="12" xfId="0" applyNumberFormat="1" applyFont="1" applyFill="1" applyBorder="1" applyAlignment="1" applyProtection="1">
      <alignment horizontal="center" vertical="center"/>
      <protection locked="0"/>
    </xf>
    <xf numFmtId="0" fontId="67" fillId="5" borderId="11" xfId="0" applyFont="1" applyFill="1" applyBorder="1" applyAlignment="1">
      <alignment horizontal="center" vertical="center"/>
    </xf>
    <xf numFmtId="180" fontId="67" fillId="5" borderId="12" xfId="0" applyNumberFormat="1" applyFont="1" applyFill="1" applyBorder="1" applyAlignment="1">
      <alignment horizontal="center" vertical="center"/>
    </xf>
    <xf numFmtId="0" fontId="67" fillId="5" borderId="11" xfId="0" applyFont="1" applyFill="1" applyBorder="1">
      <alignment vertical="center"/>
    </xf>
    <xf numFmtId="177" fontId="67" fillId="5" borderId="43" xfId="0" applyNumberFormat="1" applyFont="1" applyFill="1" applyBorder="1">
      <alignment vertical="center"/>
    </xf>
    <xf numFmtId="177" fontId="67" fillId="5" borderId="69" xfId="0" applyNumberFormat="1" applyFont="1" applyFill="1" applyBorder="1">
      <alignment vertical="center"/>
    </xf>
    <xf numFmtId="0" fontId="67" fillId="5" borderId="82" xfId="0" applyFont="1" applyFill="1" applyBorder="1" applyAlignment="1">
      <alignment horizontal="center" vertical="center"/>
    </xf>
    <xf numFmtId="0" fontId="82" fillId="0" borderId="51" xfId="2" applyFont="1" applyBorder="1" applyAlignment="1" applyProtection="1">
      <alignment horizontal="center" vertical="center"/>
      <protection locked="0"/>
    </xf>
    <xf numFmtId="0" fontId="67" fillId="5" borderId="22" xfId="0" applyFont="1" applyFill="1" applyBorder="1" applyAlignment="1">
      <alignment horizontal="left" vertical="center" wrapText="1"/>
    </xf>
    <xf numFmtId="0" fontId="72" fillId="6" borderId="37" xfId="0" applyFont="1" applyFill="1" applyBorder="1" applyProtection="1">
      <alignment vertical="center"/>
      <protection locked="0"/>
    </xf>
    <xf numFmtId="0" fontId="67" fillId="0" borderId="38" xfId="0" applyFont="1" applyBorder="1" applyProtection="1">
      <alignment vertical="center"/>
      <protection locked="0"/>
    </xf>
    <xf numFmtId="0" fontId="71" fillId="0" borderId="44" xfId="0" applyFont="1" applyBorder="1" applyAlignment="1" applyProtection="1">
      <alignment horizontal="center" vertical="center"/>
      <protection locked="0"/>
    </xf>
    <xf numFmtId="0" fontId="154" fillId="0" borderId="12" xfId="0" applyFont="1" applyBorder="1" applyAlignment="1" applyProtection="1">
      <alignment vertical="center" wrapText="1"/>
      <protection locked="0"/>
    </xf>
    <xf numFmtId="0" fontId="154" fillId="0" borderId="46" xfId="0" applyFont="1" applyBorder="1" applyAlignment="1" applyProtection="1">
      <alignment vertical="center" wrapText="1"/>
      <protection locked="0"/>
    </xf>
    <xf numFmtId="10" fontId="72" fillId="5" borderId="5" xfId="0" applyNumberFormat="1" applyFont="1" applyFill="1" applyBorder="1" applyAlignment="1">
      <alignment horizontal="left" vertical="center" wrapText="1"/>
    </xf>
    <xf numFmtId="10" fontId="72" fillId="5" borderId="8" xfId="0" applyNumberFormat="1" applyFont="1" applyFill="1" applyBorder="1" applyAlignment="1">
      <alignment horizontal="left" vertical="center" wrapText="1"/>
    </xf>
    <xf numFmtId="10" fontId="72" fillId="5" borderId="16" xfId="0" applyNumberFormat="1" applyFont="1" applyFill="1" applyBorder="1" applyAlignment="1">
      <alignment horizontal="left" vertical="center" wrapText="1"/>
    </xf>
    <xf numFmtId="0" fontId="72" fillId="5" borderId="5" xfId="0" applyFont="1" applyFill="1" applyBorder="1" applyAlignment="1">
      <alignment horizontal="center" vertical="center" wrapText="1"/>
    </xf>
    <xf numFmtId="0" fontId="72" fillId="5" borderId="8" xfId="0" applyFont="1" applyFill="1" applyBorder="1" applyAlignment="1">
      <alignment horizontal="center" vertical="center" wrapText="1"/>
    </xf>
    <xf numFmtId="0" fontId="72" fillId="5" borderId="8" xfId="0" applyFont="1" applyFill="1" applyBorder="1" applyAlignment="1">
      <alignment horizontal="left" vertical="center" wrapText="1"/>
    </xf>
    <xf numFmtId="0" fontId="72" fillId="5" borderId="5" xfId="0" applyFont="1" applyFill="1" applyBorder="1" applyAlignment="1">
      <alignment horizontal="left" vertical="center" wrapText="1"/>
    </xf>
    <xf numFmtId="0" fontId="72" fillId="5" borderId="2" xfId="0" applyFont="1" applyFill="1" applyBorder="1" applyAlignment="1">
      <alignment horizontal="left" vertical="center" wrapText="1"/>
    </xf>
    <xf numFmtId="0" fontId="91" fillId="5" borderId="6" xfId="0" applyFont="1" applyFill="1" applyBorder="1" applyAlignment="1">
      <alignment horizontal="center" vertical="center" wrapText="1"/>
    </xf>
    <xf numFmtId="0" fontId="72" fillId="5" borderId="19" xfId="0" applyFont="1" applyFill="1" applyBorder="1" applyAlignment="1">
      <alignment horizontal="center" vertical="center"/>
    </xf>
    <xf numFmtId="0" fontId="72" fillId="5" borderId="9" xfId="0" applyFont="1" applyFill="1" applyBorder="1" applyAlignment="1">
      <alignment horizontal="center" vertical="center" wrapText="1"/>
    </xf>
    <xf numFmtId="0" fontId="72" fillId="5" borderId="25" xfId="0" applyFont="1" applyFill="1" applyBorder="1" applyAlignment="1">
      <alignment horizontal="center" vertical="center"/>
    </xf>
    <xf numFmtId="0" fontId="72" fillId="5" borderId="51" xfId="0" applyFont="1" applyFill="1" applyBorder="1" applyAlignment="1">
      <alignment horizontal="center" vertical="center"/>
    </xf>
    <xf numFmtId="0" fontId="72" fillId="5" borderId="16" xfId="0" applyFont="1" applyFill="1" applyBorder="1" applyAlignment="1">
      <alignment horizontal="left" vertical="center" wrapText="1"/>
    </xf>
    <xf numFmtId="0" fontId="72" fillId="5" borderId="5" xfId="0" applyFont="1" applyFill="1" applyBorder="1" applyAlignment="1">
      <alignment horizontal="center" vertical="center"/>
    </xf>
    <xf numFmtId="0" fontId="72" fillId="5" borderId="8" xfId="0" applyFont="1" applyFill="1" applyBorder="1" applyAlignment="1">
      <alignment horizontal="center" vertical="center"/>
    </xf>
    <xf numFmtId="0" fontId="72" fillId="5" borderId="9" xfId="0" applyFont="1" applyFill="1" applyBorder="1" applyAlignment="1">
      <alignment horizontal="center" vertical="center"/>
    </xf>
    <xf numFmtId="0" fontId="155" fillId="5" borderId="0" xfId="0" applyFont="1" applyFill="1" applyAlignment="1">
      <alignment horizontal="center" vertical="center" wrapText="1"/>
    </xf>
    <xf numFmtId="0" fontId="156" fillId="5" borderId="0" xfId="0" applyFont="1" applyFill="1" applyAlignment="1">
      <alignment horizontal="center" vertical="center"/>
    </xf>
    <xf numFmtId="0" fontId="67" fillId="5" borderId="21" xfId="0" applyFont="1" applyFill="1" applyBorder="1" applyAlignment="1">
      <alignment horizontal="center" vertical="center" wrapText="1"/>
    </xf>
    <xf numFmtId="0" fontId="95" fillId="0" borderId="11" xfId="0" applyFont="1" applyBorder="1" applyAlignment="1" applyProtection="1">
      <alignment horizontal="center" vertical="center" wrapText="1"/>
      <protection locked="0"/>
    </xf>
    <xf numFmtId="0" fontId="44" fillId="0" borderId="19" xfId="5" applyFont="1" applyBorder="1">
      <alignment vertical="center"/>
    </xf>
    <xf numFmtId="0" fontId="141" fillId="0" borderId="0" xfId="5">
      <alignment vertical="center"/>
    </xf>
    <xf numFmtId="180" fontId="39" fillId="5" borderId="2" xfId="5" applyNumberFormat="1" applyFont="1" applyFill="1" applyBorder="1" applyAlignment="1">
      <alignment horizontal="center" vertical="center"/>
    </xf>
    <xf numFmtId="0" fontId="39" fillId="5" borderId="2" xfId="5" applyFont="1" applyFill="1" applyBorder="1" applyAlignment="1">
      <alignment horizontal="center" vertical="center"/>
    </xf>
    <xf numFmtId="0" fontId="39" fillId="5" borderId="2" xfId="5" applyFont="1" applyFill="1" applyBorder="1" applyAlignment="1">
      <alignment horizontal="center" vertical="center" wrapText="1"/>
    </xf>
    <xf numFmtId="0" fontId="39" fillId="5" borderId="3" xfId="5" applyFont="1" applyFill="1" applyBorder="1" applyAlignment="1">
      <alignment horizontal="center" vertical="center"/>
    </xf>
    <xf numFmtId="0" fontId="82" fillId="5" borderId="3" xfId="5" applyFont="1" applyFill="1" applyBorder="1" applyAlignment="1">
      <alignment horizontal="center" vertical="center" wrapText="1"/>
    </xf>
    <xf numFmtId="0" fontId="82" fillId="5" borderId="27" xfId="5" applyFont="1" applyFill="1" applyBorder="1" applyAlignment="1">
      <alignment horizontal="center" vertical="center" wrapText="1"/>
    </xf>
    <xf numFmtId="0" fontId="154" fillId="5" borderId="28" xfId="5" applyFont="1" applyFill="1" applyBorder="1" applyAlignment="1">
      <alignment horizontal="center" vertical="center" wrapText="1"/>
    </xf>
    <xf numFmtId="0" fontId="122" fillId="5" borderId="2" xfId="5" applyFont="1" applyFill="1" applyBorder="1" applyAlignment="1">
      <alignment horizontal="center" vertical="center" wrapText="1"/>
    </xf>
    <xf numFmtId="0" fontId="157" fillId="5" borderId="2" xfId="5" applyFont="1" applyFill="1" applyBorder="1" applyAlignment="1">
      <alignment horizontal="center" vertical="center"/>
    </xf>
    <xf numFmtId="0" fontId="158" fillId="5" borderId="2" xfId="5" applyFont="1" applyFill="1" applyBorder="1" applyAlignment="1">
      <alignment horizontal="center" vertical="center"/>
    </xf>
    <xf numFmtId="0" fontId="82" fillId="5" borderId="26" xfId="5" applyFont="1" applyFill="1" applyBorder="1" applyAlignment="1">
      <alignment vertical="center" wrapText="1"/>
    </xf>
    <xf numFmtId="0" fontId="39" fillId="5" borderId="6" xfId="5" applyFont="1" applyFill="1" applyBorder="1" applyAlignment="1">
      <alignment horizontal="center" vertical="center"/>
    </xf>
    <xf numFmtId="0" fontId="39" fillId="5" borderId="21" xfId="5" applyFont="1" applyFill="1" applyBorder="1" applyAlignment="1">
      <alignment horizontal="center" vertical="center"/>
    </xf>
    <xf numFmtId="0" fontId="39" fillId="5" borderId="21" xfId="5" applyFont="1" applyFill="1" applyBorder="1" applyAlignment="1">
      <alignment horizontal="center" vertical="center" wrapText="1"/>
    </xf>
    <xf numFmtId="0" fontId="39" fillId="5" borderId="27" xfId="5" applyFont="1" applyFill="1" applyBorder="1" applyAlignment="1">
      <alignment horizontal="center" vertical="center"/>
    </xf>
    <xf numFmtId="0" fontId="39" fillId="5" borderId="41" xfId="5" applyFont="1" applyFill="1" applyBorder="1" applyAlignment="1">
      <alignment horizontal="center" vertical="center"/>
    </xf>
    <xf numFmtId="180" fontId="39" fillId="5" borderId="2" xfId="5" applyNumberFormat="1" applyFont="1" applyFill="1" applyBorder="1" applyAlignment="1">
      <alignment horizontal="center" vertical="center" wrapText="1"/>
    </xf>
    <xf numFmtId="180" fontId="141" fillId="0" borderId="0" xfId="5" applyNumberFormat="1">
      <alignment vertical="center"/>
    </xf>
    <xf numFmtId="0" fontId="93" fillId="5" borderId="10" xfId="3" applyFont="1" applyFill="1" applyBorder="1" applyAlignment="1">
      <alignment horizontal="right" vertical="center"/>
    </xf>
    <xf numFmtId="180" fontId="80" fillId="5" borderId="2" xfId="3" applyNumberFormat="1" applyFont="1" applyFill="1" applyBorder="1" applyAlignment="1">
      <alignment horizontal="center" vertical="center" wrapText="1"/>
    </xf>
    <xf numFmtId="178" fontId="80" fillId="0" borderId="2" xfId="3" applyNumberFormat="1" applyFont="1" applyBorder="1" applyAlignment="1" applyProtection="1">
      <alignment horizontal="center" vertical="center" wrapText="1"/>
      <protection locked="0"/>
    </xf>
    <xf numFmtId="0" fontId="79" fillId="5" borderId="14" xfId="3" applyFont="1" applyFill="1" applyBorder="1" applyAlignment="1">
      <alignment horizontal="center" vertical="center"/>
    </xf>
    <xf numFmtId="9" fontId="82" fillId="5" borderId="2" xfId="3" applyNumberFormat="1" applyFont="1" applyFill="1" applyBorder="1" applyAlignment="1">
      <alignment horizontal="center" vertical="center" wrapText="1"/>
    </xf>
    <xf numFmtId="0" fontId="82" fillId="5" borderId="2" xfId="3" applyFont="1" applyFill="1" applyBorder="1" applyAlignment="1">
      <alignment horizontal="center" vertical="center" wrapText="1"/>
    </xf>
    <xf numFmtId="0" fontId="82" fillId="5" borderId="44" xfId="3" applyFont="1" applyFill="1" applyBorder="1" applyAlignment="1">
      <alignment horizontal="center" vertical="center" wrapText="1"/>
    </xf>
    <xf numFmtId="0" fontId="91" fillId="5" borderId="6" xfId="3" applyFont="1" applyFill="1" applyBorder="1" applyAlignment="1">
      <alignment horizontal="center" vertical="center" wrapText="1"/>
    </xf>
    <xf numFmtId="186" fontId="79" fillId="5" borderId="83" xfId="3" applyNumberFormat="1" applyFont="1" applyFill="1" applyBorder="1" applyAlignment="1">
      <alignment horizontal="center" vertical="center" wrapText="1"/>
    </xf>
    <xf numFmtId="14" fontId="80" fillId="5" borderId="83" xfId="3" applyNumberFormat="1" applyFont="1" applyFill="1" applyBorder="1" applyAlignment="1">
      <alignment horizontal="center" vertical="center" wrapText="1"/>
    </xf>
    <xf numFmtId="14" fontId="80" fillId="5" borderId="37" xfId="3" applyNumberFormat="1" applyFont="1" applyFill="1" applyBorder="1" applyAlignment="1">
      <alignment horizontal="center" vertical="center" wrapText="1"/>
    </xf>
    <xf numFmtId="0" fontId="80" fillId="5" borderId="2" xfId="3" applyFont="1" applyFill="1" applyBorder="1" applyAlignment="1">
      <alignment horizontal="center" vertical="center" wrapText="1"/>
    </xf>
    <xf numFmtId="0" fontId="79" fillId="5" borderId="21" xfId="3" applyFont="1" applyFill="1" applyBorder="1" applyAlignment="1">
      <alignment horizontal="center" vertical="center" wrapText="1"/>
    </xf>
    <xf numFmtId="186" fontId="79" fillId="5" borderId="10" xfId="3" applyNumberFormat="1" applyFont="1" applyFill="1" applyBorder="1" applyAlignment="1">
      <alignment horizontal="center" vertical="center" wrapText="1"/>
    </xf>
    <xf numFmtId="0" fontId="91" fillId="5" borderId="2" xfId="3" applyFont="1" applyFill="1" applyBorder="1" applyAlignment="1">
      <alignment horizontal="center" vertical="center" wrapText="1"/>
    </xf>
    <xf numFmtId="0" fontId="91" fillId="5" borderId="3" xfId="3" applyFont="1" applyFill="1" applyBorder="1" applyAlignment="1">
      <alignment horizontal="center" vertical="center" wrapText="1"/>
    </xf>
    <xf numFmtId="0" fontId="91" fillId="5" borderId="44" xfId="3" applyFont="1" applyFill="1" applyBorder="1" applyAlignment="1">
      <alignment horizontal="center" vertical="center" wrapText="1"/>
    </xf>
    <xf numFmtId="0" fontId="141" fillId="5" borderId="0" xfId="3" applyFill="1">
      <alignment vertical="center"/>
    </xf>
    <xf numFmtId="0" fontId="160" fillId="5" borderId="11" xfId="3" applyFont="1" applyFill="1" applyBorder="1" applyAlignment="1">
      <alignment horizontal="center" vertical="center" wrapText="1"/>
    </xf>
    <xf numFmtId="0" fontId="160" fillId="5" borderId="2" xfId="3" applyFont="1" applyFill="1" applyBorder="1" applyAlignment="1">
      <alignment horizontal="center" vertical="center" wrapText="1"/>
    </xf>
    <xf numFmtId="0" fontId="141" fillId="5" borderId="31" xfId="3" applyFill="1" applyBorder="1">
      <alignment vertical="center"/>
    </xf>
    <xf numFmtId="0" fontId="142" fillId="5" borderId="0" xfId="3" applyFont="1" applyFill="1">
      <alignment vertical="center"/>
    </xf>
    <xf numFmtId="0" fontId="141" fillId="5" borderId="27" xfId="3" applyFill="1" applyBorder="1" applyAlignment="1">
      <alignment horizontal="center" vertical="center"/>
    </xf>
    <xf numFmtId="0" fontId="141" fillId="5" borderId="41" xfId="3" applyFill="1" applyBorder="1" applyAlignment="1">
      <alignment horizontal="center" vertical="center"/>
    </xf>
    <xf numFmtId="0" fontId="142" fillId="5" borderId="31" xfId="3" applyFont="1" applyFill="1" applyBorder="1">
      <alignment vertical="center"/>
    </xf>
    <xf numFmtId="0" fontId="143" fillId="5" borderId="1" xfId="3" applyFont="1" applyFill="1" applyBorder="1" applyAlignment="1">
      <alignment horizontal="center" vertical="center"/>
    </xf>
    <xf numFmtId="0" fontId="143" fillId="5" borderId="29" xfId="3" applyFont="1" applyFill="1" applyBorder="1">
      <alignment vertical="center"/>
    </xf>
    <xf numFmtId="0" fontId="143" fillId="5" borderId="11" xfId="3" applyFont="1" applyFill="1" applyBorder="1" applyAlignment="1">
      <alignment horizontal="center" vertical="center"/>
    </xf>
    <xf numFmtId="0" fontId="143" fillId="5" borderId="5" xfId="3" applyFont="1" applyFill="1" applyBorder="1">
      <alignment vertical="center"/>
    </xf>
    <xf numFmtId="0" fontId="143" fillId="5" borderId="43" xfId="3" applyFont="1" applyFill="1" applyBorder="1" applyAlignment="1">
      <alignment horizontal="center" vertical="center"/>
    </xf>
    <xf numFmtId="0" fontId="143" fillId="5" borderId="45" xfId="3" applyFont="1" applyFill="1" applyBorder="1">
      <alignment vertical="center"/>
    </xf>
    <xf numFmtId="0" fontId="163" fillId="5" borderId="0" xfId="3" applyFont="1" applyFill="1">
      <alignment vertical="center"/>
    </xf>
    <xf numFmtId="0" fontId="164" fillId="5" borderId="0" xfId="3" applyFont="1" applyFill="1">
      <alignment vertical="center"/>
    </xf>
    <xf numFmtId="0" fontId="141" fillId="5" borderId="0" xfId="3" applyFill="1" applyAlignment="1">
      <alignment horizontal="center" vertical="center"/>
    </xf>
    <xf numFmtId="0" fontId="141" fillId="5" borderId="53" xfId="3" applyFill="1" applyBorder="1" applyAlignment="1">
      <alignment horizontal="right" vertical="center"/>
    </xf>
    <xf numFmtId="0" fontId="160" fillId="5" borderId="1" xfId="3" applyFont="1" applyFill="1" applyBorder="1" applyAlignment="1">
      <alignment horizontal="center" vertical="center" wrapText="1"/>
    </xf>
    <xf numFmtId="0" fontId="160" fillId="5" borderId="22" xfId="3" applyFont="1" applyFill="1" applyBorder="1" applyAlignment="1">
      <alignment horizontal="center" vertical="center" wrapText="1"/>
    </xf>
    <xf numFmtId="0" fontId="141" fillId="5" borderId="2" xfId="3" applyFill="1" applyBorder="1" applyAlignment="1">
      <alignment horizontal="center" vertical="center"/>
    </xf>
    <xf numFmtId="0" fontId="165" fillId="5" borderId="19" xfId="3" applyFont="1" applyFill="1" applyBorder="1">
      <alignment vertical="center"/>
    </xf>
    <xf numFmtId="0" fontId="165" fillId="5" borderId="0" xfId="3" applyFont="1" applyFill="1">
      <alignment vertical="center"/>
    </xf>
    <xf numFmtId="0" fontId="160" fillId="5" borderId="9" xfId="3" applyFont="1" applyFill="1" applyBorder="1" applyAlignment="1">
      <alignment horizontal="center" vertical="center" wrapText="1"/>
    </xf>
    <xf numFmtId="0" fontId="160" fillId="5" borderId="0" xfId="3" applyFont="1" applyFill="1" applyAlignment="1">
      <alignment horizontal="center" vertical="center" wrapText="1"/>
    </xf>
    <xf numFmtId="0" fontId="160" fillId="5" borderId="0" xfId="3" applyFont="1" applyFill="1">
      <alignment vertical="center"/>
    </xf>
    <xf numFmtId="0" fontId="160" fillId="5" borderId="0" xfId="3" applyFont="1" applyFill="1" applyAlignment="1">
      <alignment horizontal="center" vertical="center"/>
    </xf>
    <xf numFmtId="0" fontId="160" fillId="5" borderId="17" xfId="3" applyFont="1" applyFill="1" applyBorder="1" applyAlignment="1">
      <alignment vertical="center" wrapText="1"/>
    </xf>
    <xf numFmtId="0" fontId="160" fillId="5" borderId="21" xfId="3" applyFont="1" applyFill="1" applyBorder="1" applyAlignment="1">
      <alignment vertical="center" wrapText="1"/>
    </xf>
    <xf numFmtId="0" fontId="160" fillId="5" borderId="20" xfId="3" applyFont="1" applyFill="1" applyBorder="1" applyAlignment="1">
      <alignment vertical="center" wrapText="1"/>
    </xf>
    <xf numFmtId="9" fontId="160" fillId="5" borderId="2" xfId="3" applyNumberFormat="1" applyFont="1" applyFill="1" applyBorder="1" applyAlignment="1">
      <alignment horizontal="center" vertical="center"/>
    </xf>
    <xf numFmtId="0" fontId="160" fillId="5" borderId="5" xfId="3" applyFont="1" applyFill="1" applyBorder="1">
      <alignment vertical="center"/>
    </xf>
    <xf numFmtId="0" fontId="160" fillId="5" borderId="8" xfId="3" applyFont="1" applyFill="1" applyBorder="1">
      <alignment vertical="center"/>
    </xf>
    <xf numFmtId="0" fontId="160" fillId="5" borderId="9" xfId="3" applyFont="1" applyFill="1" applyBorder="1">
      <alignment vertical="center"/>
    </xf>
    <xf numFmtId="185" fontId="160" fillId="5" borderId="2" xfId="3" applyNumberFormat="1" applyFont="1" applyFill="1" applyBorder="1" applyAlignment="1">
      <alignment horizontal="center" vertical="center"/>
    </xf>
    <xf numFmtId="186" fontId="160" fillId="5" borderId="2" xfId="3" applyNumberFormat="1" applyFont="1" applyFill="1" applyBorder="1" applyAlignment="1">
      <alignment horizontal="center" vertical="center"/>
    </xf>
    <xf numFmtId="178" fontId="166" fillId="5" borderId="2" xfId="3" applyNumberFormat="1" applyFont="1" applyFill="1" applyBorder="1" applyAlignment="1">
      <alignment horizontal="center" vertical="center"/>
    </xf>
    <xf numFmtId="186" fontId="166" fillId="5" borderId="2" xfId="3" applyNumberFormat="1" applyFont="1" applyFill="1" applyBorder="1" applyAlignment="1">
      <alignment horizontal="center" vertical="center" wrapText="1"/>
    </xf>
    <xf numFmtId="0" fontId="48" fillId="0" borderId="2" xfId="0" applyFont="1" applyBorder="1" applyAlignment="1" applyProtection="1">
      <alignment horizontal="center" vertical="center"/>
      <protection locked="0"/>
    </xf>
    <xf numFmtId="0" fontId="67" fillId="5" borderId="2" xfId="0" applyFont="1" applyFill="1" applyBorder="1" applyAlignment="1">
      <alignment horizontal="center" vertical="center"/>
    </xf>
    <xf numFmtId="0" fontId="160" fillId="5" borderId="21" xfId="3" applyFont="1" applyFill="1" applyBorder="1" applyAlignment="1">
      <alignment horizontal="center" vertical="center"/>
    </xf>
    <xf numFmtId="0" fontId="160" fillId="5" borderId="10" xfId="3" applyFont="1" applyFill="1" applyBorder="1" applyAlignment="1">
      <alignment horizontal="center" vertical="center" wrapText="1"/>
    </xf>
    <xf numFmtId="0" fontId="160" fillId="5" borderId="2" xfId="3" applyFont="1" applyFill="1" applyBorder="1" applyAlignment="1">
      <alignment horizontal="center" vertical="center"/>
    </xf>
    <xf numFmtId="0" fontId="165" fillId="5" borderId="0" xfId="3" applyFont="1" applyFill="1" applyAlignment="1">
      <alignment horizontal="center" vertical="center"/>
    </xf>
    <xf numFmtId="0" fontId="17" fillId="5" borderId="5" xfId="0" applyFont="1" applyFill="1" applyBorder="1">
      <alignment vertical="center"/>
    </xf>
    <xf numFmtId="0" fontId="17" fillId="5" borderId="9" xfId="0" applyFont="1" applyFill="1" applyBorder="1">
      <alignment vertical="center"/>
    </xf>
    <xf numFmtId="0" fontId="80" fillId="5" borderId="21" xfId="3" applyFont="1" applyFill="1" applyBorder="1" applyAlignment="1">
      <alignment horizontal="center" vertical="center" wrapText="1"/>
    </xf>
    <xf numFmtId="0" fontId="146" fillId="0" borderId="0" xfId="0" applyFont="1">
      <alignment vertical="center"/>
    </xf>
    <xf numFmtId="0" fontId="167" fillId="0" borderId="0" xfId="0" applyFont="1">
      <alignment vertical="center"/>
    </xf>
    <xf numFmtId="0" fontId="66" fillId="0" borderId="2" xfId="0" applyFont="1" applyBorder="1" applyAlignment="1">
      <alignment horizontal="center" vertical="center" wrapText="1"/>
    </xf>
    <xf numFmtId="0" fontId="145" fillId="0" borderId="0" xfId="0" applyFont="1">
      <alignment vertical="center"/>
    </xf>
    <xf numFmtId="0" fontId="145" fillId="0" borderId="0" xfId="0" applyFont="1" applyAlignment="1">
      <alignment horizontal="left" vertical="center"/>
    </xf>
    <xf numFmtId="0" fontId="66" fillId="0" borderId="0" xfId="0" applyFont="1">
      <alignment vertical="center"/>
    </xf>
    <xf numFmtId="0" fontId="66" fillId="2" borderId="2" xfId="0" applyFont="1" applyFill="1" applyBorder="1" applyAlignment="1">
      <alignment horizontal="center" vertical="center" wrapText="1"/>
    </xf>
    <xf numFmtId="0" fontId="66" fillId="5" borderId="2" xfId="0" applyFont="1" applyFill="1" applyBorder="1" applyAlignment="1">
      <alignment horizontal="center" vertical="center" wrapText="1"/>
    </xf>
    <xf numFmtId="0" fontId="68" fillId="4" borderId="2" xfId="0" applyFont="1" applyFill="1" applyBorder="1" applyAlignment="1">
      <alignment horizontal="center" vertical="center"/>
    </xf>
    <xf numFmtId="0" fontId="69" fillId="0" borderId="2" xfId="0" applyFont="1" applyBorder="1" applyAlignment="1">
      <alignment horizontal="center" vertical="center"/>
    </xf>
    <xf numFmtId="0" fontId="48" fillId="0" borderId="0" xfId="0" applyFont="1">
      <alignment vertical="center"/>
    </xf>
    <xf numFmtId="0" fontId="150" fillId="0" borderId="2" xfId="0" applyFont="1" applyBorder="1" applyAlignment="1">
      <alignment horizontal="center" vertical="center"/>
    </xf>
    <xf numFmtId="0" fontId="145" fillId="0" borderId="2" xfId="0" applyFont="1" applyBorder="1" applyAlignment="1">
      <alignment horizontal="left" vertical="center"/>
    </xf>
    <xf numFmtId="0" fontId="145" fillId="7" borderId="5" xfId="0" applyFont="1" applyFill="1" applyBorder="1">
      <alignment vertical="center"/>
    </xf>
    <xf numFmtId="0" fontId="145" fillId="0" borderId="8" xfId="0" applyFont="1" applyBorder="1">
      <alignment vertical="center"/>
    </xf>
    <xf numFmtId="0" fontId="145" fillId="0" borderId="9" xfId="0" applyFont="1" applyBorder="1">
      <alignment vertical="center"/>
    </xf>
    <xf numFmtId="0" fontId="48" fillId="0" borderId="2" xfId="0" applyFont="1" applyBorder="1" applyAlignment="1">
      <alignment horizontal="left" vertical="center"/>
    </xf>
    <xf numFmtId="0" fontId="168" fillId="0" borderId="0" xfId="0" applyFont="1">
      <alignment vertical="center"/>
    </xf>
    <xf numFmtId="0" fontId="67" fillId="0" borderId="0" xfId="0" applyFont="1" applyAlignment="1">
      <alignment horizontal="left" vertical="center"/>
    </xf>
    <xf numFmtId="0" fontId="70" fillId="0" borderId="0" xfId="0" applyFont="1" applyAlignment="1">
      <alignment horizontal="left" vertical="center"/>
    </xf>
    <xf numFmtId="177" fontId="67" fillId="0" borderId="0" xfId="0" applyNumberFormat="1" applyFont="1" applyAlignment="1">
      <alignment horizontal="left" vertical="center"/>
    </xf>
    <xf numFmtId="0" fontId="145" fillId="0" borderId="3" xfId="0" applyFont="1" applyBorder="1">
      <alignment vertical="center"/>
    </xf>
    <xf numFmtId="0" fontId="163" fillId="0" borderId="3" xfId="0" applyFont="1" applyBorder="1">
      <alignment vertical="center"/>
    </xf>
    <xf numFmtId="0" fontId="163" fillId="0" borderId="21" xfId="0" applyFont="1" applyBorder="1">
      <alignment vertical="center"/>
    </xf>
    <xf numFmtId="0" fontId="145" fillId="0" borderId="0" xfId="0" applyFont="1" applyAlignment="1">
      <alignment horizontal="center" vertical="center" wrapText="1"/>
    </xf>
    <xf numFmtId="0" fontId="145" fillId="0" borderId="0" xfId="0" applyFont="1" applyAlignment="1">
      <alignment horizontal="center" vertical="center"/>
    </xf>
    <xf numFmtId="0" fontId="72" fillId="5" borderId="2" xfId="0" applyFont="1" applyFill="1" applyBorder="1" applyAlignment="1" applyProtection="1">
      <alignment horizontal="center" vertical="center" wrapText="1"/>
      <protection locked="0"/>
    </xf>
    <xf numFmtId="0" fontId="72" fillId="5" borderId="5" xfId="0" applyFont="1" applyFill="1" applyBorder="1" applyAlignment="1" applyProtection="1">
      <alignment horizontal="left" vertical="center"/>
      <protection locked="0"/>
    </xf>
    <xf numFmtId="0" fontId="72" fillId="5" borderId="5" xfId="0" applyFont="1" applyFill="1" applyBorder="1" applyAlignment="1" applyProtection="1">
      <alignment horizontal="center" vertical="center"/>
      <protection locked="0"/>
    </xf>
    <xf numFmtId="0" fontId="72" fillId="5" borderId="9" xfId="0" applyFont="1" applyFill="1" applyBorder="1" applyAlignment="1" applyProtection="1">
      <alignment horizontal="left" vertical="center"/>
      <protection locked="0"/>
    </xf>
    <xf numFmtId="0" fontId="72" fillId="5" borderId="9" xfId="0" applyFont="1" applyFill="1" applyBorder="1" applyAlignment="1" applyProtection="1">
      <alignment horizontal="center" vertical="center"/>
      <protection locked="0"/>
    </xf>
    <xf numFmtId="0" fontId="72" fillId="5" borderId="17" xfId="0" applyFont="1" applyFill="1" applyBorder="1" applyAlignment="1" applyProtection="1">
      <alignment horizontal="center" vertical="center" wrapText="1"/>
      <protection locked="0"/>
    </xf>
    <xf numFmtId="0" fontId="72" fillId="5" borderId="21" xfId="0" applyFont="1" applyFill="1" applyBorder="1" applyAlignment="1" applyProtection="1">
      <alignment horizontal="center" vertical="center" wrapText="1"/>
      <protection locked="0"/>
    </xf>
    <xf numFmtId="0" fontId="75" fillId="5" borderId="17" xfId="0" applyFont="1" applyFill="1" applyBorder="1" applyAlignment="1">
      <alignment horizontal="left" vertical="center"/>
    </xf>
    <xf numFmtId="180" fontId="72" fillId="5" borderId="0" xfId="0" applyNumberFormat="1" applyFont="1" applyFill="1" applyAlignment="1">
      <alignment horizontal="center" vertical="center" wrapText="1"/>
    </xf>
    <xf numFmtId="180" fontId="75" fillId="5" borderId="0" xfId="0" applyNumberFormat="1" applyFont="1" applyFill="1" applyAlignment="1">
      <alignment horizontal="center" vertical="center" wrapText="1"/>
    </xf>
    <xf numFmtId="177" fontId="72" fillId="5" borderId="0" xfId="0" applyNumberFormat="1" applyFont="1" applyFill="1" applyAlignment="1">
      <alignment horizontal="center" vertical="center" wrapText="1"/>
    </xf>
    <xf numFmtId="0" fontId="67" fillId="5" borderId="5" xfId="0" applyFont="1" applyFill="1" applyBorder="1">
      <alignment vertical="center"/>
    </xf>
    <xf numFmtId="0" fontId="67" fillId="5" borderId="8" xfId="0" applyFont="1" applyFill="1" applyBorder="1">
      <alignment vertical="center"/>
    </xf>
    <xf numFmtId="0" fontId="71" fillId="5" borderId="9" xfId="0" applyFont="1" applyFill="1" applyBorder="1" applyAlignment="1">
      <alignment horizontal="center" vertical="center"/>
    </xf>
    <xf numFmtId="0" fontId="72" fillId="0" borderId="0" xfId="0" applyFont="1">
      <alignment vertical="center"/>
    </xf>
    <xf numFmtId="0" fontId="67" fillId="5" borderId="0" xfId="0" applyFont="1" applyFill="1" applyAlignment="1">
      <alignment horizontal="center" vertical="center"/>
    </xf>
    <xf numFmtId="0" fontId="67" fillId="0" borderId="0" xfId="0" applyFont="1">
      <alignment vertical="center"/>
    </xf>
    <xf numFmtId="0" fontId="67" fillId="5" borderId="0" xfId="0" applyFont="1" applyFill="1" applyAlignment="1">
      <alignment vertical="center" wrapText="1"/>
    </xf>
    <xf numFmtId="180" fontId="67" fillId="5" borderId="37" xfId="0" applyNumberFormat="1" applyFont="1" applyFill="1" applyBorder="1">
      <alignment vertical="center"/>
    </xf>
    <xf numFmtId="0" fontId="77" fillId="5" borderId="37" xfId="0" applyFont="1" applyFill="1" applyBorder="1">
      <alignment vertical="center"/>
    </xf>
    <xf numFmtId="0" fontId="67" fillId="5" borderId="36" xfId="0" applyFont="1" applyFill="1" applyBorder="1" applyAlignment="1">
      <alignment horizontal="center" vertical="center"/>
    </xf>
    <xf numFmtId="0" fontId="67" fillId="5" borderId="37" xfId="0" applyFont="1" applyFill="1" applyBorder="1" applyAlignment="1">
      <alignment horizontal="center" vertical="center"/>
    </xf>
    <xf numFmtId="0" fontId="67" fillId="0" borderId="0" xfId="0" applyFont="1" applyAlignment="1">
      <alignment vertical="center" wrapText="1"/>
    </xf>
    <xf numFmtId="0" fontId="145" fillId="5" borderId="12" xfId="0" applyFont="1" applyFill="1" applyBorder="1" applyAlignment="1">
      <alignment horizontal="center" vertical="center"/>
    </xf>
    <xf numFmtId="0" fontId="81" fillId="5" borderId="0" xfId="0" applyFont="1" applyFill="1" applyAlignment="1">
      <alignment vertical="center" wrapText="1"/>
    </xf>
    <xf numFmtId="0" fontId="72" fillId="0" borderId="0" xfId="0" applyFont="1" applyAlignment="1">
      <alignment vertical="center" wrapText="1"/>
    </xf>
    <xf numFmtId="180" fontId="72" fillId="0" borderId="0" xfId="0" applyNumberFormat="1" applyFont="1">
      <alignment vertical="center"/>
    </xf>
    <xf numFmtId="0" fontId="72" fillId="0" borderId="0" xfId="0" applyFont="1" applyAlignment="1">
      <alignment horizontal="center" vertical="center"/>
    </xf>
    <xf numFmtId="0" fontId="67" fillId="6" borderId="6" xfId="2" applyFont="1" applyFill="1" applyBorder="1" applyAlignment="1" applyProtection="1">
      <alignment horizontal="center" vertical="center" wrapText="1"/>
      <protection locked="0"/>
    </xf>
    <xf numFmtId="0" fontId="67" fillId="0" borderId="0" xfId="0" applyFont="1" applyAlignment="1">
      <alignment horizontal="center" vertical="center"/>
    </xf>
    <xf numFmtId="0" fontId="72" fillId="5" borderId="8" xfId="0" applyFont="1" applyFill="1" applyBorder="1">
      <alignment vertical="center"/>
    </xf>
    <xf numFmtId="0" fontId="167" fillId="5" borderId="59" xfId="0" applyFont="1" applyFill="1" applyBorder="1" applyAlignment="1">
      <alignment horizontal="left" vertical="center"/>
    </xf>
    <xf numFmtId="0" fontId="72" fillId="5" borderId="30" xfId="0" applyFont="1" applyFill="1" applyBorder="1">
      <alignment vertical="center"/>
    </xf>
    <xf numFmtId="0" fontId="72" fillId="5" borderId="57" xfId="0" applyFont="1" applyFill="1" applyBorder="1">
      <alignment vertical="center"/>
    </xf>
    <xf numFmtId="0" fontId="167" fillId="5" borderId="64" xfId="0" applyFont="1" applyFill="1" applyBorder="1" applyAlignment="1">
      <alignment horizontal="left" vertical="center"/>
    </xf>
    <xf numFmtId="0" fontId="72" fillId="5" borderId="38" xfId="0" applyFont="1" applyFill="1" applyBorder="1">
      <alignment vertical="center"/>
    </xf>
    <xf numFmtId="0" fontId="72" fillId="5" borderId="79" xfId="0" applyFont="1" applyFill="1" applyBorder="1">
      <alignment vertical="center"/>
    </xf>
    <xf numFmtId="0" fontId="167" fillId="5" borderId="54" xfId="0" applyFont="1" applyFill="1" applyBorder="1" applyAlignment="1">
      <alignment horizontal="left" vertical="center"/>
    </xf>
    <xf numFmtId="0" fontId="72" fillId="5" borderId="61" xfId="0" applyFont="1" applyFill="1" applyBorder="1">
      <alignment vertical="center"/>
    </xf>
    <xf numFmtId="0" fontId="72" fillId="5" borderId="66" xfId="0" applyFont="1" applyFill="1" applyBorder="1">
      <alignment vertical="center"/>
    </xf>
    <xf numFmtId="0" fontId="169" fillId="5" borderId="39" xfId="0" applyFont="1" applyFill="1" applyBorder="1" applyAlignment="1">
      <alignment horizontal="center" vertical="center" wrapText="1"/>
    </xf>
    <xf numFmtId="0" fontId="72" fillId="5" borderId="80" xfId="0" applyFont="1" applyFill="1" applyBorder="1">
      <alignment vertical="center"/>
    </xf>
    <xf numFmtId="0" fontId="169" fillId="5" borderId="65" xfId="0" applyFont="1" applyFill="1" applyBorder="1" applyAlignment="1">
      <alignment horizontal="center" vertical="center" wrapText="1"/>
    </xf>
    <xf numFmtId="0" fontId="145" fillId="5" borderId="66" xfId="0" applyFont="1" applyFill="1" applyBorder="1" applyAlignment="1">
      <alignment vertical="center" wrapText="1"/>
    </xf>
    <xf numFmtId="0" fontId="169" fillId="5" borderId="82" xfId="0" applyFont="1" applyFill="1" applyBorder="1" applyAlignment="1">
      <alignment horizontal="center" vertical="center" wrapText="1"/>
    </xf>
    <xf numFmtId="0" fontId="169" fillId="5" borderId="38" xfId="0" applyFont="1" applyFill="1" applyBorder="1" applyAlignment="1">
      <alignment horizontal="center" vertical="center" wrapText="1"/>
    </xf>
    <xf numFmtId="0" fontId="170" fillId="5" borderId="38" xfId="0" applyFont="1" applyFill="1" applyBorder="1" applyAlignment="1">
      <alignment horizontal="center" vertical="center" wrapText="1"/>
    </xf>
    <xf numFmtId="0" fontId="172" fillId="5" borderId="53" xfId="0" applyFont="1" applyFill="1" applyBorder="1" applyAlignment="1">
      <alignment horizontal="justify" vertical="center" wrapText="1"/>
    </xf>
    <xf numFmtId="0" fontId="172" fillId="5" borderId="27" xfId="0" applyFont="1" applyFill="1" applyBorder="1" applyAlignment="1">
      <alignment horizontal="center" vertical="center" wrapText="1"/>
    </xf>
    <xf numFmtId="0" fontId="173" fillId="5" borderId="11" xfId="0" applyFont="1" applyFill="1" applyBorder="1" applyAlignment="1">
      <alignment horizontal="center" vertical="center" wrapText="1"/>
    </xf>
    <xf numFmtId="0" fontId="173" fillId="5" borderId="2" xfId="0" applyFont="1" applyFill="1" applyBorder="1" applyAlignment="1">
      <alignment horizontal="center" vertical="center" wrapText="1"/>
    </xf>
    <xf numFmtId="180" fontId="167" fillId="5" borderId="2" xfId="0" applyNumberFormat="1" applyFont="1" applyFill="1" applyBorder="1" applyAlignment="1">
      <alignment horizontal="center" vertical="center" wrapText="1"/>
    </xf>
    <xf numFmtId="0" fontId="173" fillId="5" borderId="10" xfId="0" applyFont="1" applyFill="1" applyBorder="1" applyAlignment="1">
      <alignment horizontal="center" vertical="center" wrapText="1"/>
    </xf>
    <xf numFmtId="0" fontId="173" fillId="5" borderId="25" xfId="0" applyFont="1" applyFill="1" applyBorder="1" applyAlignment="1">
      <alignment horizontal="center" vertical="center" wrapText="1"/>
    </xf>
    <xf numFmtId="0" fontId="173" fillId="5" borderId="43" xfId="0" applyFont="1" applyFill="1" applyBorder="1" applyAlignment="1">
      <alignment horizontal="center" vertical="center" wrapText="1"/>
    </xf>
    <xf numFmtId="0" fontId="173" fillId="5" borderId="44" xfId="0" applyFont="1" applyFill="1" applyBorder="1" applyAlignment="1">
      <alignment horizontal="center" vertical="center" wrapText="1"/>
    </xf>
    <xf numFmtId="180" fontId="167" fillId="5" borderId="44" xfId="0" applyNumberFormat="1" applyFont="1" applyFill="1" applyBorder="1" applyAlignment="1">
      <alignment horizontal="center" vertical="center" wrapText="1"/>
    </xf>
    <xf numFmtId="0" fontId="72" fillId="5" borderId="55" xfId="0" applyFont="1" applyFill="1" applyBorder="1">
      <alignment vertical="center"/>
    </xf>
    <xf numFmtId="0" fontId="167" fillId="5" borderId="69" xfId="0" applyFont="1" applyFill="1" applyBorder="1" applyAlignment="1">
      <alignment horizontal="center" vertical="center" wrapText="1"/>
    </xf>
    <xf numFmtId="0" fontId="89" fillId="0" borderId="0" xfId="0" applyFont="1" applyAlignment="1">
      <alignment horizontal="left" vertical="center" wrapText="1"/>
    </xf>
    <xf numFmtId="0" fontId="83" fillId="5" borderId="0" xfId="0" applyFont="1" applyFill="1" applyAlignment="1">
      <alignment horizontal="left" vertical="center"/>
    </xf>
    <xf numFmtId="0" fontId="65" fillId="5" borderId="0" xfId="0" applyFont="1" applyFill="1">
      <alignment vertical="center"/>
    </xf>
    <xf numFmtId="0" fontId="65" fillId="5" borderId="0" xfId="0" applyFont="1" applyFill="1" applyAlignment="1">
      <alignment horizontal="center" vertical="center"/>
    </xf>
    <xf numFmtId="9" fontId="72" fillId="5" borderId="0" xfId="0" applyNumberFormat="1" applyFont="1" applyFill="1" applyAlignment="1">
      <alignment horizontal="center" vertical="center"/>
    </xf>
    <xf numFmtId="0" fontId="153" fillId="5" borderId="5" xfId="0" applyFont="1" applyFill="1" applyBorder="1" applyAlignment="1">
      <alignment horizontal="center" vertical="center" wrapText="1"/>
    </xf>
    <xf numFmtId="0" fontId="153" fillId="5" borderId="8" xfId="0" applyFont="1" applyFill="1" applyBorder="1" applyAlignment="1">
      <alignment horizontal="center" vertical="center" wrapText="1"/>
    </xf>
    <xf numFmtId="0" fontId="148" fillId="5" borderId="21" xfId="0" applyFont="1" applyFill="1" applyBorder="1" applyAlignment="1">
      <alignment horizontal="center" vertical="center" wrapText="1"/>
    </xf>
    <xf numFmtId="10" fontId="72" fillId="5" borderId="0" xfId="0" applyNumberFormat="1" applyFont="1" applyFill="1" applyAlignment="1">
      <alignment horizontal="center" vertical="center"/>
    </xf>
    <xf numFmtId="0" fontId="174" fillId="5" borderId="2" xfId="0" applyFont="1" applyFill="1" applyBorder="1" applyAlignment="1">
      <alignment horizontal="center" vertical="center" wrapText="1"/>
    </xf>
    <xf numFmtId="0" fontId="148" fillId="5" borderId="10" xfId="0" applyFont="1" applyFill="1" applyBorder="1" applyAlignment="1">
      <alignment horizontal="center" vertical="center" wrapText="1"/>
    </xf>
    <xf numFmtId="0" fontId="174" fillId="5" borderId="10" xfId="0" applyFont="1" applyFill="1" applyBorder="1" applyAlignment="1">
      <alignment horizontal="center" vertical="center" wrapText="1"/>
    </xf>
    <xf numFmtId="0" fontId="175" fillId="5" borderId="2" xfId="0" applyFont="1" applyFill="1" applyBorder="1" applyAlignment="1">
      <alignment horizontal="center" vertical="center" wrapText="1"/>
    </xf>
    <xf numFmtId="10" fontId="175" fillId="5" borderId="2" xfId="0" applyNumberFormat="1" applyFont="1" applyFill="1" applyBorder="1" applyAlignment="1">
      <alignment horizontal="center" vertical="center"/>
    </xf>
    <xf numFmtId="0" fontId="75" fillId="5" borderId="0" xfId="0" applyFont="1" applyFill="1">
      <alignment vertical="center"/>
    </xf>
    <xf numFmtId="9" fontId="175" fillId="5" borderId="2" xfId="0" applyNumberFormat="1" applyFont="1" applyFill="1" applyBorder="1" applyAlignment="1">
      <alignment horizontal="center" vertical="center"/>
    </xf>
    <xf numFmtId="0" fontId="175" fillId="5" borderId="10" xfId="0" applyFont="1" applyFill="1" applyBorder="1" applyAlignment="1">
      <alignment horizontal="center" vertical="center" wrapText="1"/>
    </xf>
    <xf numFmtId="9" fontId="175" fillId="5" borderId="10" xfId="0" applyNumberFormat="1" applyFont="1" applyFill="1" applyBorder="1" applyAlignment="1">
      <alignment horizontal="center" vertical="center"/>
    </xf>
    <xf numFmtId="0" fontId="175" fillId="5" borderId="5" xfId="0" applyFont="1" applyFill="1" applyBorder="1" applyAlignment="1">
      <alignment vertical="center" wrapText="1"/>
    </xf>
    <xf numFmtId="0" fontId="175" fillId="5" borderId="8" xfId="0" applyFont="1" applyFill="1" applyBorder="1" applyAlignment="1">
      <alignment horizontal="center" vertical="center" wrapText="1"/>
    </xf>
    <xf numFmtId="0" fontId="175" fillId="5" borderId="9" xfId="0" applyFont="1" applyFill="1" applyBorder="1" applyAlignment="1">
      <alignment vertical="center" wrapText="1"/>
    </xf>
    <xf numFmtId="0" fontId="72" fillId="5" borderId="0" xfId="0" applyFont="1" applyFill="1" applyAlignment="1">
      <alignment horizontal="left" vertical="center" wrapText="1"/>
    </xf>
    <xf numFmtId="0" fontId="175" fillId="5" borderId="84" xfId="0" applyFont="1" applyFill="1" applyBorder="1" applyAlignment="1">
      <alignment vertical="center" wrapText="1"/>
    </xf>
    <xf numFmtId="0" fontId="175" fillId="5" borderId="85" xfId="0" applyFont="1" applyFill="1" applyBorder="1" applyAlignment="1">
      <alignment horizontal="center" vertical="center" wrapText="1"/>
    </xf>
    <xf numFmtId="0" fontId="175" fillId="5" borderId="86" xfId="0" applyFont="1" applyFill="1" applyBorder="1" applyAlignment="1">
      <alignment vertical="center" wrapText="1"/>
    </xf>
    <xf numFmtId="49" fontId="81" fillId="5" borderId="31" xfId="0" applyNumberFormat="1" applyFont="1" applyFill="1" applyBorder="1" applyAlignment="1">
      <alignment horizontal="left" vertical="center" wrapText="1"/>
    </xf>
    <xf numFmtId="0" fontId="91" fillId="5" borderId="0" xfId="0" applyFont="1" applyFill="1" applyAlignment="1">
      <alignment horizontal="left" vertical="center" wrapText="1"/>
    </xf>
    <xf numFmtId="178" fontId="91" fillId="5" borderId="0" xfId="0" applyNumberFormat="1" applyFont="1" applyFill="1" applyAlignment="1">
      <alignment horizontal="center" vertical="center" wrapText="1"/>
    </xf>
    <xf numFmtId="10" fontId="82" fillId="5" borderId="0" xfId="0" applyNumberFormat="1" applyFont="1" applyFill="1" applyAlignment="1">
      <alignment horizontal="center" vertical="center" wrapText="1"/>
    </xf>
    <xf numFmtId="0" fontId="72" fillId="5" borderId="0" xfId="0" applyFont="1" applyFill="1" applyAlignment="1">
      <alignment horizontal="left" vertical="center"/>
    </xf>
    <xf numFmtId="0" fontId="72" fillId="5" borderId="0" xfId="4" applyFont="1" applyFill="1" applyAlignment="1">
      <alignment horizontal="left" vertical="center" wrapText="1"/>
    </xf>
    <xf numFmtId="0" fontId="145" fillId="5" borderId="0" xfId="4" applyFont="1" applyFill="1" applyAlignment="1">
      <alignment vertical="center" wrapText="1"/>
    </xf>
    <xf numFmtId="0" fontId="145" fillId="5" borderId="0" xfId="4" applyFont="1" applyFill="1"/>
    <xf numFmtId="0" fontId="145" fillId="5" borderId="0" xfId="0" applyFont="1" applyFill="1" applyAlignment="1">
      <alignment horizontal="left" vertical="center"/>
    </xf>
    <xf numFmtId="0" fontId="145" fillId="5" borderId="0" xfId="4" applyFont="1" applyFill="1" applyAlignment="1">
      <alignment horizontal="left"/>
    </xf>
    <xf numFmtId="0" fontId="67" fillId="6" borderId="2" xfId="0" applyFont="1" applyFill="1" applyBorder="1" applyProtection="1">
      <alignment vertical="center"/>
      <protection locked="0"/>
    </xf>
    <xf numFmtId="0" fontId="153" fillId="5" borderId="14" xfId="0" applyFont="1" applyFill="1" applyBorder="1" applyAlignment="1">
      <alignment horizontal="left" vertical="center" wrapText="1"/>
    </xf>
    <xf numFmtId="0" fontId="153" fillId="5" borderId="14" xfId="0" applyFont="1" applyFill="1" applyBorder="1" applyAlignment="1">
      <alignment horizontal="center" vertical="center" wrapText="1"/>
    </xf>
    <xf numFmtId="0" fontId="153" fillId="5" borderId="32" xfId="0" applyFont="1" applyFill="1" applyBorder="1" applyAlignment="1">
      <alignment horizontal="center" vertical="center" wrapText="1"/>
    </xf>
    <xf numFmtId="191" fontId="174" fillId="5" borderId="21" xfId="0" applyNumberFormat="1" applyFont="1" applyFill="1" applyBorder="1" applyAlignment="1">
      <alignment horizontal="center" vertical="center" wrapText="1"/>
    </xf>
    <xf numFmtId="0" fontId="91" fillId="5" borderId="2" xfId="2" applyFont="1" applyFill="1" applyBorder="1" applyAlignment="1">
      <alignment horizontal="left"/>
    </xf>
    <xf numFmtId="0" fontId="94" fillId="0" borderId="0" xfId="0" applyFont="1" applyAlignment="1">
      <alignment horizontal="center" vertical="center"/>
    </xf>
    <xf numFmtId="0" fontId="80" fillId="0" borderId="0" xfId="0" applyFont="1" applyAlignment="1">
      <alignment horizontal="center" vertical="center"/>
    </xf>
    <xf numFmtId="0" fontId="100" fillId="0" borderId="0" xfId="0" applyFont="1" applyAlignment="1">
      <alignment horizontal="center" vertical="center"/>
    </xf>
    <xf numFmtId="0" fontId="76" fillId="0" borderId="0" xfId="0" applyFont="1" applyAlignment="1">
      <alignment horizontal="center" vertical="center"/>
    </xf>
    <xf numFmtId="188" fontId="80" fillId="3" borderId="9" xfId="0" applyNumberFormat="1" applyFont="1" applyFill="1" applyBorder="1" applyAlignment="1">
      <alignment horizontal="center" vertical="center"/>
    </xf>
    <xf numFmtId="188" fontId="80" fillId="3" borderId="2" xfId="0" applyNumberFormat="1" applyFont="1" applyFill="1" applyBorder="1" applyAlignment="1">
      <alignment horizontal="center" vertical="center" wrapText="1"/>
    </xf>
    <xf numFmtId="188" fontId="80" fillId="0" borderId="0" xfId="0" applyNumberFormat="1" applyFont="1" applyAlignment="1">
      <alignment horizontal="center" vertical="center"/>
    </xf>
    <xf numFmtId="182" fontId="80" fillId="0" borderId="0" xfId="0" applyNumberFormat="1" applyFont="1" applyAlignment="1">
      <alignment horizontal="center" vertical="center"/>
    </xf>
    <xf numFmtId="0" fontId="101" fillId="0" borderId="0" xfId="0" applyFont="1" applyAlignment="1">
      <alignment horizontal="center" vertical="center"/>
    </xf>
    <xf numFmtId="0" fontId="105" fillId="0" borderId="0" xfId="0" applyFont="1" applyAlignment="1">
      <alignment horizontal="center" vertical="center"/>
    </xf>
    <xf numFmtId="49" fontId="67" fillId="0" borderId="0" xfId="0" applyNumberFormat="1" applyFont="1" applyAlignment="1">
      <alignment horizontal="center" vertical="center"/>
    </xf>
    <xf numFmtId="0" fontId="95" fillId="5" borderId="11" xfId="0" applyFont="1" applyFill="1" applyBorder="1" applyAlignment="1">
      <alignment horizontal="center" vertical="center" wrapText="1"/>
    </xf>
    <xf numFmtId="9" fontId="91" fillId="0" borderId="5" xfId="2" applyNumberFormat="1" applyFont="1" applyBorder="1" applyAlignment="1" applyProtection="1">
      <alignment horizontal="center" vertical="center"/>
      <protection locked="0"/>
    </xf>
    <xf numFmtId="0" fontId="94" fillId="5" borderId="0" xfId="0" applyFont="1" applyFill="1">
      <alignment vertical="center"/>
    </xf>
    <xf numFmtId="0" fontId="102" fillId="5" borderId="0" xfId="0" applyFont="1" applyFill="1">
      <alignment vertical="center"/>
    </xf>
    <xf numFmtId="0" fontId="93" fillId="5" borderId="21" xfId="0" applyFont="1" applyFill="1" applyBorder="1">
      <alignment vertical="center"/>
    </xf>
    <xf numFmtId="0" fontId="67" fillId="5" borderId="0" xfId="0" applyFont="1" applyFill="1" applyAlignment="1">
      <alignment horizontal="center"/>
    </xf>
    <xf numFmtId="0" fontId="67" fillId="5" borderId="0" xfId="0" applyFont="1" applyFill="1" applyAlignment="1"/>
    <xf numFmtId="0" fontId="67" fillId="5" borderId="65" xfId="0" applyFont="1" applyFill="1" applyBorder="1" applyAlignment="1"/>
    <xf numFmtId="0" fontId="67" fillId="5" borderId="10" xfId="0" applyFont="1" applyFill="1" applyBorder="1" applyAlignment="1"/>
    <xf numFmtId="0" fontId="67" fillId="5" borderId="5" xfId="0" applyFont="1" applyFill="1" applyBorder="1" applyAlignment="1">
      <alignment horizontal="center"/>
    </xf>
    <xf numFmtId="0" fontId="67" fillId="5" borderId="3" xfId="0" applyFont="1" applyFill="1" applyBorder="1" applyAlignment="1"/>
    <xf numFmtId="0" fontId="102" fillId="5" borderId="55" xfId="0" applyFont="1" applyFill="1" applyBorder="1">
      <alignment vertical="center"/>
    </xf>
    <xf numFmtId="0" fontId="67" fillId="5" borderId="55" xfId="0" applyFont="1" applyFill="1" applyBorder="1" applyAlignment="1">
      <alignment horizontal="center"/>
    </xf>
    <xf numFmtId="0" fontId="67" fillId="5" borderId="55" xfId="0" applyFont="1" applyFill="1" applyBorder="1" applyAlignment="1"/>
    <xf numFmtId="0" fontId="102" fillId="0" borderId="0" xfId="0" applyFont="1" applyAlignment="1">
      <alignment horizontal="center" vertical="center"/>
    </xf>
    <xf numFmtId="49" fontId="93" fillId="5" borderId="0" xfId="0" applyNumberFormat="1" applyFont="1" applyFill="1" applyAlignment="1">
      <alignment horizontal="center"/>
    </xf>
    <xf numFmtId="0" fontId="176" fillId="0" borderId="2" xfId="0" applyFont="1" applyBorder="1" applyAlignment="1" applyProtection="1">
      <alignment horizontal="center" vertical="center"/>
      <protection locked="0"/>
    </xf>
    <xf numFmtId="177" fontId="79" fillId="5" borderId="57" xfId="2" applyNumberFormat="1" applyFont="1" applyFill="1" applyBorder="1" applyAlignment="1">
      <alignment horizontal="center" vertical="center"/>
    </xf>
    <xf numFmtId="0" fontId="67" fillId="5" borderId="51" xfId="0" applyFont="1" applyFill="1" applyBorder="1" applyAlignment="1">
      <alignment horizontal="center" vertical="center"/>
    </xf>
    <xf numFmtId="0" fontId="67" fillId="5" borderId="54" xfId="0" applyFont="1" applyFill="1" applyBorder="1">
      <alignment vertical="center"/>
    </xf>
    <xf numFmtId="0" fontId="71" fillId="5" borderId="45" xfId="0" applyFont="1" applyFill="1" applyBorder="1">
      <alignment vertical="center"/>
    </xf>
    <xf numFmtId="180" fontId="71" fillId="5" borderId="47" xfId="0" applyNumberFormat="1" applyFont="1" applyFill="1" applyBorder="1">
      <alignment vertical="center"/>
    </xf>
    <xf numFmtId="180" fontId="71" fillId="5" borderId="44" xfId="0" applyNumberFormat="1" applyFont="1" applyFill="1" applyBorder="1">
      <alignment vertical="center"/>
    </xf>
    <xf numFmtId="180" fontId="71" fillId="5" borderId="46" xfId="0" applyNumberFormat="1" applyFont="1" applyFill="1" applyBorder="1">
      <alignment vertical="center"/>
    </xf>
    <xf numFmtId="49" fontId="48" fillId="0" borderId="50" xfId="0" applyNumberFormat="1" applyFont="1" applyBorder="1" applyAlignment="1" applyProtection="1">
      <alignment horizontal="center" vertical="center" wrapText="1"/>
      <protection locked="0"/>
    </xf>
    <xf numFmtId="0" fontId="48" fillId="0" borderId="74" xfId="0" applyFont="1" applyBorder="1" applyAlignment="1" applyProtection="1">
      <alignment horizontal="center" vertical="center" wrapText="1"/>
      <protection locked="0"/>
    </xf>
    <xf numFmtId="0" fontId="126" fillId="0" borderId="74" xfId="0" applyFont="1" applyBorder="1" applyAlignment="1" applyProtection="1">
      <alignment horizontal="center" vertical="center" wrapText="1"/>
      <protection locked="0"/>
    </xf>
    <xf numFmtId="0" fontId="82" fillId="0" borderId="25" xfId="2" applyFont="1" applyBorder="1" applyAlignment="1" applyProtection="1">
      <alignment horizontal="center" vertical="center"/>
      <protection locked="0"/>
    </xf>
    <xf numFmtId="0" fontId="53" fillId="5" borderId="10" xfId="2" applyFont="1" applyFill="1" applyBorder="1">
      <alignment vertical="center"/>
    </xf>
    <xf numFmtId="0" fontId="44" fillId="5" borderId="10" xfId="2" applyFont="1" applyFill="1" applyBorder="1">
      <alignment vertical="center"/>
    </xf>
    <xf numFmtId="0" fontId="71" fillId="5" borderId="2" xfId="0" applyFont="1" applyFill="1" applyBorder="1">
      <alignment vertical="center"/>
    </xf>
    <xf numFmtId="0" fontId="81" fillId="5" borderId="16" xfId="0" applyFont="1" applyFill="1" applyBorder="1">
      <alignment vertical="center"/>
    </xf>
    <xf numFmtId="0" fontId="71" fillId="5" borderId="3" xfId="0" applyFont="1" applyFill="1" applyBorder="1">
      <alignment vertical="center"/>
    </xf>
    <xf numFmtId="0" fontId="81" fillId="5" borderId="14" xfId="0" applyFont="1" applyFill="1" applyBorder="1" applyAlignment="1">
      <alignment horizontal="right" vertical="center"/>
    </xf>
    <xf numFmtId="0" fontId="81" fillId="5" borderId="15" xfId="0" applyFont="1" applyFill="1" applyBorder="1" applyAlignment="1">
      <alignment horizontal="left" vertical="center"/>
    </xf>
    <xf numFmtId="0" fontId="66" fillId="5" borderId="2" xfId="0" applyFont="1" applyFill="1" applyBorder="1" applyAlignment="1">
      <alignment horizontal="right" vertical="center"/>
    </xf>
    <xf numFmtId="0" fontId="177" fillId="5" borderId="66" xfId="0" applyFont="1" applyFill="1" applyBorder="1" applyAlignment="1">
      <alignment horizontal="center" vertical="center" wrapText="1"/>
    </xf>
    <xf numFmtId="0" fontId="155" fillId="0" borderId="2" xfId="1" applyFont="1" applyBorder="1" applyAlignment="1" applyProtection="1">
      <alignment horizontal="center" vertical="center" wrapText="1"/>
      <protection locked="0"/>
    </xf>
    <xf numFmtId="0" fontId="144" fillId="0" borderId="2" xfId="1" applyFont="1" applyBorder="1" applyAlignment="1" applyProtection="1">
      <alignment horizontal="center" vertical="center" wrapText="1"/>
      <protection locked="0"/>
    </xf>
    <xf numFmtId="0" fontId="128" fillId="0" borderId="2" xfId="1" applyFont="1" applyBorder="1" applyAlignment="1" applyProtection="1">
      <alignment horizontal="center" vertical="center" wrapText="1"/>
      <protection locked="0"/>
    </xf>
    <xf numFmtId="0" fontId="159" fillId="0" borderId="2" xfId="1" applyFont="1" applyBorder="1" applyAlignment="1" applyProtection="1">
      <alignment horizontal="center" vertical="center" wrapText="1"/>
      <protection locked="0"/>
    </xf>
    <xf numFmtId="0" fontId="178" fillId="5" borderId="59" xfId="3" applyFont="1" applyFill="1" applyBorder="1">
      <alignment vertical="center"/>
    </xf>
    <xf numFmtId="0" fontId="44" fillId="5" borderId="30" xfId="3" applyFont="1" applyFill="1" applyBorder="1">
      <alignment vertical="center"/>
    </xf>
    <xf numFmtId="0" fontId="39" fillId="5" borderId="0" xfId="3" applyFont="1" applyFill="1" applyAlignment="1">
      <alignment vertical="center" wrapText="1"/>
    </xf>
    <xf numFmtId="0" fontId="39" fillId="8" borderId="0" xfId="3" applyFont="1" applyFill="1" applyAlignment="1">
      <alignment vertical="center" wrapText="1"/>
    </xf>
    <xf numFmtId="0" fontId="39" fillId="8" borderId="0" xfId="3" applyFont="1" applyFill="1" applyAlignment="1">
      <alignment horizontal="center" vertical="center" wrapText="1"/>
    </xf>
    <xf numFmtId="0" fontId="39" fillId="0" borderId="0" xfId="3" applyFont="1" applyAlignment="1">
      <alignment horizontal="center" vertical="center" wrapText="1"/>
    </xf>
    <xf numFmtId="0" fontId="39" fillId="0" borderId="0" xfId="3" applyFont="1" applyAlignment="1">
      <alignment vertical="center" wrapText="1"/>
    </xf>
    <xf numFmtId="0" fontId="44" fillId="5" borderId="2" xfId="3" applyFont="1" applyFill="1" applyBorder="1">
      <alignment vertical="center"/>
    </xf>
    <xf numFmtId="0" fontId="44" fillId="5" borderId="5" xfId="3" applyFont="1" applyFill="1" applyBorder="1">
      <alignment vertical="center"/>
    </xf>
    <xf numFmtId="0" fontId="39" fillId="5" borderId="2" xfId="3" applyFont="1" applyFill="1" applyBorder="1" applyAlignment="1">
      <alignment horizontal="left" vertical="center" wrapText="1"/>
    </xf>
    <xf numFmtId="0" fontId="39" fillId="6" borderId="2" xfId="3" applyFont="1" applyFill="1" applyBorder="1" applyAlignment="1" applyProtection="1">
      <alignment horizontal="center" vertical="center" wrapText="1"/>
      <protection locked="0"/>
    </xf>
    <xf numFmtId="0" fontId="44" fillId="5" borderId="10" xfId="3" applyFont="1" applyFill="1" applyBorder="1">
      <alignment vertical="center"/>
    </xf>
    <xf numFmtId="0" fontId="39" fillId="6" borderId="2" xfId="3"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53" fillId="5" borderId="10" xfId="3" applyFont="1" applyFill="1" applyBorder="1" applyAlignment="1">
      <alignment horizontal="left" vertical="center" wrapText="1"/>
    </xf>
    <xf numFmtId="0" fontId="53" fillId="5" borderId="14" xfId="3" applyFont="1" applyFill="1" applyBorder="1" applyAlignment="1">
      <alignment vertical="center" wrapText="1"/>
    </xf>
    <xf numFmtId="0" fontId="54" fillId="5" borderId="14" xfId="3" applyFont="1" applyFill="1" applyBorder="1" applyAlignment="1">
      <alignment vertical="center" wrapText="1"/>
    </xf>
    <xf numFmtId="0" fontId="54" fillId="5" borderId="32" xfId="3" applyFont="1" applyFill="1" applyBorder="1" applyAlignment="1">
      <alignment vertical="center" wrapText="1"/>
    </xf>
    <xf numFmtId="0" fontId="54" fillId="8" borderId="0" xfId="3" applyFont="1" applyFill="1" applyAlignment="1">
      <alignment horizontal="center" vertical="center" wrapText="1"/>
    </xf>
    <xf numFmtId="0" fontId="54" fillId="0" borderId="0" xfId="3" applyFont="1" applyAlignment="1">
      <alignment horizontal="center" vertical="center" wrapText="1"/>
    </xf>
    <xf numFmtId="0" fontId="54" fillId="0" borderId="0" xfId="3" applyFont="1" applyAlignment="1">
      <alignment vertical="center" wrapText="1"/>
    </xf>
    <xf numFmtId="0" fontId="41" fillId="5" borderId="37" xfId="3" applyFont="1" applyFill="1" applyBorder="1" applyAlignment="1">
      <alignment horizontal="left" vertical="center" wrapText="1"/>
    </xf>
    <xf numFmtId="0" fontId="41" fillId="5" borderId="6" xfId="3" applyFont="1" applyFill="1" applyBorder="1" applyAlignment="1">
      <alignment horizontal="left" vertical="center" wrapText="1"/>
    </xf>
    <xf numFmtId="0" fontId="39" fillId="5" borderId="6" xfId="3" applyFont="1" applyFill="1" applyBorder="1" applyAlignment="1">
      <alignment horizontal="center" vertical="center" wrapText="1"/>
    </xf>
    <xf numFmtId="0" fontId="39" fillId="5" borderId="28" xfId="3" applyFont="1" applyFill="1" applyBorder="1" applyAlignment="1">
      <alignment vertical="center" wrapText="1"/>
    </xf>
    <xf numFmtId="0" fontId="39" fillId="5" borderId="39" xfId="3" applyFont="1" applyFill="1" applyBorder="1" applyAlignment="1">
      <alignment vertical="center" wrapText="1"/>
    </xf>
    <xf numFmtId="0" fontId="39" fillId="5" borderId="10" xfId="3" applyFont="1" applyFill="1" applyBorder="1" applyAlignment="1">
      <alignment horizontal="left" vertical="center" wrapText="1"/>
    </xf>
    <xf numFmtId="0" fontId="41" fillId="5" borderId="27" xfId="3" applyFont="1" applyFill="1" applyBorder="1" applyAlignment="1">
      <alignment horizontal="left" vertical="center" wrapText="1"/>
    </xf>
    <xf numFmtId="0" fontId="39" fillId="5" borderId="29" xfId="3" applyFont="1" applyFill="1" applyBorder="1">
      <alignment vertical="center"/>
    </xf>
    <xf numFmtId="0" fontId="39" fillId="5" borderId="30" xfId="3" applyFont="1" applyFill="1" applyBorder="1" applyAlignment="1">
      <alignment vertical="center" wrapText="1"/>
    </xf>
    <xf numFmtId="0" fontId="39" fillId="5" borderId="57" xfId="3" applyFont="1" applyFill="1" applyBorder="1" applyAlignment="1">
      <alignment vertical="center" wrapText="1"/>
    </xf>
    <xf numFmtId="0" fontId="161" fillId="5" borderId="10" xfId="3" applyFont="1" applyFill="1" applyBorder="1" applyAlignment="1">
      <alignment horizontal="left" vertical="center" wrapText="1"/>
    </xf>
    <xf numFmtId="0" fontId="161" fillId="5" borderId="9" xfId="3" applyFont="1" applyFill="1" applyBorder="1" applyAlignment="1">
      <alignment horizontal="center" vertical="center" wrapText="1"/>
    </xf>
    <xf numFmtId="0" fontId="161" fillId="5" borderId="21" xfId="3" applyFont="1" applyFill="1" applyBorder="1" applyAlignment="1">
      <alignment horizontal="left" vertical="center" wrapText="1"/>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lignment horizontal="center" vertical="center" wrapText="1"/>
    </xf>
    <xf numFmtId="9" fontId="39" fillId="5" borderId="43" xfId="3" applyNumberFormat="1" applyFont="1" applyFill="1" applyBorder="1" applyAlignment="1">
      <alignment horizontal="center" vertical="center" wrapText="1"/>
    </xf>
    <xf numFmtId="0" fontId="53" fillId="5" borderId="83" xfId="3" applyFont="1" applyFill="1" applyBorder="1" applyAlignment="1">
      <alignment horizontal="left" vertical="center" wrapText="1"/>
    </xf>
    <xf numFmtId="0" fontId="54" fillId="8" borderId="0" xfId="3" applyFont="1" applyFill="1" applyAlignment="1">
      <alignment vertical="center" wrapText="1"/>
    </xf>
    <xf numFmtId="10" fontId="39" fillId="8" borderId="0" xfId="3" applyNumberFormat="1" applyFont="1" applyFill="1" applyAlignment="1">
      <alignment horizontal="center" vertical="center" wrapText="1"/>
    </xf>
    <xf numFmtId="0" fontId="54" fillId="5" borderId="83" xfId="3" applyFont="1" applyFill="1" applyBorder="1" applyAlignment="1">
      <alignment horizontal="center" vertical="center" wrapText="1"/>
    </xf>
    <xf numFmtId="0" fontId="54" fillId="6" borderId="83" xfId="3" applyFont="1" applyFill="1" applyBorder="1" applyAlignment="1" applyProtection="1">
      <alignment horizontal="center" vertical="center" wrapText="1"/>
      <protection locked="0"/>
    </xf>
    <xf numFmtId="0" fontId="39" fillId="5" borderId="7" xfId="3" applyFont="1" applyFill="1" applyBorder="1" applyAlignment="1">
      <alignment horizontal="center" vertical="center" wrapText="1"/>
    </xf>
    <xf numFmtId="10" fontId="39" fillId="0" borderId="0" xfId="3" applyNumberFormat="1" applyFont="1" applyAlignment="1">
      <alignment horizontal="center" vertical="center" wrapText="1"/>
    </xf>
    <xf numFmtId="0" fontId="54" fillId="5" borderId="11" xfId="3" applyFont="1" applyFill="1" applyBorder="1" applyAlignment="1">
      <alignment horizontal="center" vertical="center" wrapText="1"/>
    </xf>
    <xf numFmtId="0" fontId="53" fillId="5" borderId="21" xfId="3" applyFont="1" applyFill="1" applyBorder="1" applyAlignment="1">
      <alignment horizontal="center" vertical="center" wrapText="1"/>
    </xf>
    <xf numFmtId="0" fontId="53" fillId="6" borderId="21" xfId="3" applyFont="1" applyFill="1" applyBorder="1" applyAlignment="1" applyProtection="1">
      <alignment horizontal="left" vertical="center" wrapText="1"/>
      <protection locked="0"/>
    </xf>
    <xf numFmtId="0" fontId="54" fillId="5" borderId="0" xfId="3" applyFont="1" applyFill="1" applyAlignment="1">
      <alignment vertical="center" wrapText="1"/>
    </xf>
    <xf numFmtId="0" fontId="54" fillId="5" borderId="21" xfId="3" applyFont="1" applyFill="1" applyBorder="1" applyAlignment="1">
      <alignment vertical="center" wrapText="1"/>
    </xf>
    <xf numFmtId="0" fontId="54" fillId="5" borderId="2" xfId="3" applyFont="1" applyFill="1" applyBorder="1" applyAlignment="1">
      <alignment horizontal="left" vertical="center" wrapText="1"/>
    </xf>
    <xf numFmtId="0" fontId="53" fillId="5" borderId="53" xfId="3" applyFont="1" applyFill="1" applyBorder="1" applyAlignment="1">
      <alignment horizontal="center" vertical="center" wrapText="1"/>
    </xf>
    <xf numFmtId="0" fontId="53" fillId="5" borderId="29" xfId="3" applyFont="1" applyFill="1" applyBorder="1" applyAlignment="1">
      <alignment horizontal="left" vertical="center" wrapText="1"/>
    </xf>
    <xf numFmtId="0" fontId="41" fillId="5" borderId="30" xfId="3" applyFont="1" applyFill="1" applyBorder="1" applyAlignment="1">
      <alignment horizontal="center" vertical="center" wrapText="1"/>
    </xf>
    <xf numFmtId="0" fontId="41" fillId="5" borderId="28" xfId="3" applyFont="1" applyFill="1" applyBorder="1" applyAlignment="1">
      <alignment vertical="center" wrapText="1"/>
    </xf>
    <xf numFmtId="0" fontId="53" fillId="5" borderId="24" xfId="3" applyFont="1" applyFill="1" applyBorder="1" applyAlignment="1">
      <alignment horizontal="center" vertical="center" wrapText="1"/>
    </xf>
    <xf numFmtId="0" fontId="39" fillId="5" borderId="13" xfId="3" applyFont="1" applyFill="1" applyBorder="1" applyAlignment="1">
      <alignment vertical="center" wrapText="1"/>
    </xf>
    <xf numFmtId="0" fontId="41" fillId="5" borderId="0" xfId="3" applyFont="1" applyFill="1" applyAlignment="1">
      <alignment vertical="center" wrapText="1"/>
    </xf>
    <xf numFmtId="0" fontId="39" fillId="5" borderId="65" xfId="3" applyFont="1" applyFill="1" applyBorder="1" applyAlignment="1">
      <alignment vertical="center" wrapText="1"/>
    </xf>
    <xf numFmtId="0" fontId="54" fillId="5" borderId="0" xfId="3" applyFont="1" applyFill="1" applyAlignment="1">
      <alignment horizontal="left" vertical="center" wrapText="1"/>
    </xf>
    <xf numFmtId="0" fontId="39" fillId="5" borderId="68" xfId="3" applyFont="1" applyFill="1" applyBorder="1" applyAlignment="1">
      <alignment vertical="center" wrapText="1"/>
    </xf>
    <xf numFmtId="0" fontId="39" fillId="5" borderId="61" xfId="3" applyFont="1" applyFill="1" applyBorder="1" applyAlignment="1">
      <alignment vertical="center" wrapText="1"/>
    </xf>
    <xf numFmtId="0" fontId="41" fillId="5" borderId="61" xfId="3" applyFont="1" applyFill="1" applyBorder="1" applyAlignment="1">
      <alignment vertical="center" wrapText="1"/>
    </xf>
    <xf numFmtId="0" fontId="39" fillId="5" borderId="66" xfId="3" applyFont="1" applyFill="1" applyBorder="1" applyAlignment="1">
      <alignment vertical="center" wrapText="1"/>
    </xf>
    <xf numFmtId="0" fontId="41" fillId="5" borderId="42" xfId="3" applyFont="1" applyFill="1" applyBorder="1" applyAlignment="1">
      <alignment vertical="center" wrapText="1"/>
    </xf>
    <xf numFmtId="0" fontId="53" fillId="5" borderId="6" xfId="3" applyFont="1" applyFill="1" applyBorder="1" applyAlignment="1">
      <alignment horizontal="center" vertical="center" wrapText="1"/>
    </xf>
    <xf numFmtId="0" fontId="53" fillId="5" borderId="29" xfId="3" applyFont="1" applyFill="1" applyBorder="1" applyAlignment="1">
      <alignment horizontal="center" vertical="center" wrapText="1"/>
    </xf>
    <xf numFmtId="0" fontId="41" fillId="5" borderId="29" xfId="3" applyFont="1" applyFill="1" applyBorder="1" applyAlignment="1">
      <alignment vertical="center" wrapText="1"/>
    </xf>
    <xf numFmtId="0" fontId="39" fillId="5" borderId="24" xfId="3" applyFont="1" applyFill="1" applyBorder="1" applyAlignment="1">
      <alignment horizontal="center" vertical="center" wrapText="1"/>
    </xf>
    <xf numFmtId="0" fontId="39" fillId="5" borderId="9" xfId="3" applyFont="1" applyFill="1" applyBorder="1" applyAlignment="1">
      <alignment horizontal="left" vertical="center" wrapText="1"/>
    </xf>
    <xf numFmtId="0" fontId="39" fillId="0" borderId="2" xfId="3" applyFont="1" applyBorder="1" applyAlignment="1" applyProtection="1">
      <alignment vertical="center" wrapText="1"/>
      <protection locked="0"/>
    </xf>
    <xf numFmtId="0" fontId="161" fillId="5" borderId="8" xfId="3" applyFont="1" applyFill="1" applyBorder="1">
      <alignment vertical="center"/>
    </xf>
    <xf numFmtId="0" fontId="161" fillId="5" borderId="16" xfId="3" applyFont="1" applyFill="1" applyBorder="1">
      <alignment vertical="center"/>
    </xf>
    <xf numFmtId="0" fontId="41" fillId="5" borderId="23" xfId="3" applyFont="1" applyFill="1" applyBorder="1" applyAlignment="1">
      <alignment vertical="center" wrapText="1"/>
    </xf>
    <xf numFmtId="0" fontId="39" fillId="5" borderId="47" xfId="3" applyFont="1" applyFill="1" applyBorder="1" applyAlignment="1">
      <alignment horizontal="left" vertical="center" wrapText="1"/>
    </xf>
    <xf numFmtId="0" fontId="39" fillId="0" borderId="44" xfId="3" applyFont="1" applyBorder="1" applyAlignment="1" applyProtection="1">
      <alignment vertical="center" wrapText="1"/>
      <protection locked="0"/>
    </xf>
    <xf numFmtId="0" fontId="39" fillId="5" borderId="56" xfId="3" applyFont="1" applyFill="1" applyBorder="1" applyAlignment="1">
      <alignment vertical="center" wrapText="1"/>
    </xf>
    <xf numFmtId="0" fontId="39" fillId="5" borderId="48" xfId="3" applyFont="1" applyFill="1" applyBorder="1" applyAlignment="1">
      <alignment vertical="center" wrapText="1"/>
    </xf>
    <xf numFmtId="0" fontId="41" fillId="5" borderId="53" xfId="3" applyFont="1" applyFill="1" applyBorder="1" applyAlignment="1">
      <alignment vertical="center" wrapText="1"/>
    </xf>
    <xf numFmtId="0" fontId="41" fillId="5" borderId="58" xfId="3" applyFont="1" applyFill="1" applyBorder="1" applyAlignment="1">
      <alignment horizontal="left" vertical="center" wrapText="1"/>
    </xf>
    <xf numFmtId="0" fontId="39" fillId="5" borderId="30" xfId="3" applyFont="1" applyFill="1" applyBorder="1">
      <alignment vertical="center"/>
    </xf>
    <xf numFmtId="0" fontId="39" fillId="5" borderId="42" xfId="3" applyFont="1" applyFill="1" applyBorder="1">
      <alignment vertical="center"/>
    </xf>
    <xf numFmtId="0" fontId="41" fillId="5" borderId="20" xfId="3" applyFont="1" applyFill="1" applyBorder="1" applyAlignment="1">
      <alignment vertical="center" wrapText="1"/>
    </xf>
    <xf numFmtId="0" fontId="53" fillId="5" borderId="9" xfId="3" applyFont="1" applyFill="1" applyBorder="1" applyAlignment="1">
      <alignment horizontal="center" vertical="center" wrapText="1"/>
    </xf>
    <xf numFmtId="0" fontId="53" fillId="5" borderId="2" xfId="3" applyFont="1" applyFill="1" applyBorder="1" applyAlignment="1">
      <alignment horizontal="center" vertical="center" wrapText="1"/>
    </xf>
    <xf numFmtId="0" fontId="39" fillId="5" borderId="2" xfId="3" applyFont="1" applyFill="1" applyBorder="1" applyAlignment="1">
      <alignment vertical="center" wrapText="1"/>
    </xf>
    <xf numFmtId="0" fontId="39" fillId="5" borderId="51" xfId="3" applyFont="1" applyFill="1" applyBorder="1">
      <alignment vertical="center"/>
    </xf>
    <xf numFmtId="0" fontId="41" fillId="5" borderId="24" xfId="3" applyFont="1" applyFill="1" applyBorder="1" applyAlignment="1">
      <alignment vertical="center" wrapText="1"/>
    </xf>
    <xf numFmtId="0" fontId="161" fillId="5" borderId="20" xfId="3" applyFont="1" applyFill="1" applyBorder="1" applyAlignment="1">
      <alignment horizontal="center" vertical="center" wrapText="1"/>
    </xf>
    <xf numFmtId="0" fontId="39" fillId="5" borderId="65" xfId="3" applyFont="1" applyFill="1" applyBorder="1" applyAlignment="1">
      <alignment horizontal="center" vertical="center" wrapText="1"/>
    </xf>
    <xf numFmtId="0" fontId="161" fillId="5" borderId="47" xfId="3" applyFont="1" applyFill="1" applyBorder="1" applyAlignment="1">
      <alignment horizontal="center" vertical="center" wrapText="1"/>
    </xf>
    <xf numFmtId="0" fontId="39" fillId="5" borderId="66" xfId="3" applyFont="1" applyFill="1" applyBorder="1" applyAlignment="1">
      <alignment horizontal="center" vertical="center" wrapText="1"/>
    </xf>
    <xf numFmtId="0" fontId="39" fillId="0" borderId="0" xfId="3" applyFont="1" applyAlignment="1">
      <alignment horizontal="left" vertical="center" wrapText="1"/>
    </xf>
    <xf numFmtId="0" fontId="82" fillId="5" borderId="0" xfId="3" applyFont="1" applyFill="1" applyAlignment="1">
      <alignment vertical="center" wrapText="1"/>
    </xf>
    <xf numFmtId="186" fontId="82" fillId="5" borderId="3" xfId="3" applyNumberFormat="1" applyFont="1" applyFill="1" applyBorder="1" applyAlignment="1">
      <alignment horizontal="center" vertical="center" wrapText="1"/>
    </xf>
    <xf numFmtId="186" fontId="82" fillId="5" borderId="13" xfId="3" applyNumberFormat="1" applyFont="1" applyFill="1" applyBorder="1" applyAlignment="1">
      <alignment horizontal="center" vertical="center" wrapText="1"/>
    </xf>
    <xf numFmtId="0" fontId="82" fillId="5" borderId="9" xfId="3" applyFont="1" applyFill="1" applyBorder="1" applyAlignment="1">
      <alignment vertical="center" wrapText="1"/>
    </xf>
    <xf numFmtId="0" fontId="80" fillId="5" borderId="2" xfId="3" applyFont="1" applyFill="1" applyBorder="1" applyAlignment="1">
      <alignment vertical="center" wrapText="1"/>
    </xf>
    <xf numFmtId="0" fontId="82" fillId="5" borderId="14" xfId="3" applyFont="1" applyFill="1" applyBorder="1">
      <alignment vertical="center"/>
    </xf>
    <xf numFmtId="0" fontId="80" fillId="5" borderId="10" xfId="3" applyFont="1" applyFill="1" applyBorder="1" applyAlignment="1">
      <alignment vertical="center" wrapText="1"/>
    </xf>
    <xf numFmtId="0" fontId="82" fillId="0" borderId="2" xfId="3" applyFont="1" applyBorder="1" applyAlignment="1" applyProtection="1">
      <alignment vertical="center" wrapText="1"/>
      <protection locked="0"/>
    </xf>
    <xf numFmtId="0" fontId="82" fillId="0" borderId="44" xfId="3" applyFont="1" applyBorder="1" applyAlignment="1" applyProtection="1">
      <alignment vertical="center" wrapText="1"/>
      <protection locked="0"/>
    </xf>
    <xf numFmtId="9" fontId="82" fillId="5" borderId="12" xfId="3" applyNumberFormat="1" applyFont="1" applyFill="1" applyBorder="1" applyAlignment="1">
      <alignment horizontal="center" vertical="center" wrapText="1"/>
    </xf>
    <xf numFmtId="10" fontId="82" fillId="5" borderId="44" xfId="3" applyNumberFormat="1" applyFont="1" applyFill="1" applyBorder="1" applyAlignment="1">
      <alignment horizontal="center" vertical="center" wrapText="1"/>
    </xf>
    <xf numFmtId="10" fontId="82" fillId="5" borderId="46" xfId="3" applyNumberFormat="1" applyFont="1" applyFill="1" applyBorder="1" applyAlignment="1">
      <alignment horizontal="center" vertical="center" wrapText="1"/>
    </xf>
    <xf numFmtId="10" fontId="80" fillId="0" borderId="9" xfId="3" applyNumberFormat="1" applyFont="1" applyBorder="1" applyAlignment="1" applyProtection="1">
      <alignment horizontal="center" vertical="center" wrapText="1"/>
      <protection locked="0"/>
    </xf>
    <xf numFmtId="0" fontId="82" fillId="5" borderId="26" xfId="3" applyFont="1" applyFill="1" applyBorder="1">
      <alignment vertical="center"/>
    </xf>
    <xf numFmtId="0" fontId="82" fillId="5" borderId="39" xfId="3" applyFont="1" applyFill="1" applyBorder="1" applyAlignment="1">
      <alignment vertical="center" wrapText="1"/>
    </xf>
    <xf numFmtId="9" fontId="82" fillId="5" borderId="12" xfId="3" applyNumberFormat="1" applyFont="1" applyFill="1" applyBorder="1" applyAlignment="1">
      <alignment horizontal="center" vertical="center"/>
    </xf>
    <xf numFmtId="0" fontId="82" fillId="5" borderId="43" xfId="3" applyFont="1" applyFill="1" applyBorder="1" applyAlignment="1">
      <alignment vertical="center" wrapText="1"/>
    </xf>
    <xf numFmtId="9" fontId="82" fillId="5" borderId="46" xfId="3" applyNumberFormat="1" applyFont="1" applyFill="1" applyBorder="1" applyAlignment="1">
      <alignment horizontal="center" vertical="center" wrapText="1"/>
    </xf>
    <xf numFmtId="0" fontId="163" fillId="5" borderId="0" xfId="0" applyFont="1" applyFill="1" applyAlignment="1">
      <alignment horizontal="center" vertical="center" wrapText="1"/>
    </xf>
    <xf numFmtId="0" fontId="163" fillId="5" borderId="0" xfId="0" applyFont="1" applyFill="1" applyAlignment="1" applyProtection="1">
      <alignment horizontal="center" vertical="center"/>
      <protection locked="0"/>
    </xf>
    <xf numFmtId="0" fontId="48" fillId="5" borderId="0" xfId="0" applyFont="1" applyFill="1" applyAlignment="1" applyProtection="1">
      <alignment horizontal="center" vertical="center"/>
      <protection locked="0"/>
    </xf>
    <xf numFmtId="0" fontId="145" fillId="5" borderId="0" xfId="0" applyFont="1" applyFill="1" applyAlignment="1" applyProtection="1">
      <alignment horizontal="center" vertical="center"/>
      <protection locked="0"/>
    </xf>
    <xf numFmtId="0" fontId="155" fillId="5" borderId="2" xfId="0" applyFont="1" applyFill="1" applyBorder="1" applyAlignment="1">
      <alignment horizontal="center" vertical="center"/>
    </xf>
    <xf numFmtId="0" fontId="148" fillId="5" borderId="2" xfId="0" applyFont="1" applyFill="1" applyBorder="1" applyAlignment="1">
      <alignment horizontal="center" vertical="center"/>
    </xf>
    <xf numFmtId="0" fontId="148" fillId="0" borderId="2" xfId="0" applyFont="1" applyBorder="1" applyAlignment="1" applyProtection="1">
      <alignment horizontal="center" vertical="center"/>
      <protection locked="0"/>
    </xf>
    <xf numFmtId="0" fontId="20" fillId="6" borderId="6" xfId="0" applyFont="1" applyFill="1" applyBorder="1" applyAlignment="1" applyProtection="1">
      <alignment horizontal="center" vertical="center"/>
      <protection locked="0"/>
    </xf>
    <xf numFmtId="0" fontId="153" fillId="5" borderId="0" xfId="0" applyFont="1" applyFill="1" applyAlignment="1">
      <alignment horizontal="left" vertical="center"/>
    </xf>
    <xf numFmtId="0" fontId="80" fillId="5" borderId="3" xfId="0" applyFont="1" applyFill="1" applyBorder="1" applyAlignment="1">
      <alignment horizontal="center" vertical="center"/>
    </xf>
    <xf numFmtId="187" fontId="67" fillId="5" borderId="5" xfId="0" applyNumberFormat="1" applyFont="1" applyFill="1" applyBorder="1" applyAlignment="1">
      <alignment horizontal="center" vertical="center"/>
    </xf>
    <xf numFmtId="49" fontId="67" fillId="5" borderId="9" xfId="0" applyNumberFormat="1" applyFont="1" applyFill="1" applyBorder="1" applyAlignment="1">
      <alignment horizontal="center" vertical="center"/>
    </xf>
    <xf numFmtId="0" fontId="67" fillId="5" borderId="3" xfId="0" applyFont="1" applyFill="1" applyBorder="1" applyAlignment="1">
      <alignment horizontal="center" vertical="center"/>
    </xf>
    <xf numFmtId="0" fontId="80" fillId="5" borderId="2" xfId="0" applyFont="1" applyFill="1" applyBorder="1" applyAlignment="1">
      <alignment horizontal="center" vertical="center" wrapText="1"/>
    </xf>
    <xf numFmtId="187" fontId="80" fillId="5" borderId="5" xfId="0" applyNumberFormat="1" applyFont="1" applyFill="1" applyBorder="1" applyAlignment="1">
      <alignment horizontal="center" vertical="center"/>
    </xf>
    <xf numFmtId="49" fontId="80" fillId="5" borderId="9" xfId="0" applyNumberFormat="1" applyFont="1" applyFill="1" applyBorder="1" applyAlignment="1">
      <alignment horizontal="center" vertical="center"/>
    </xf>
    <xf numFmtId="0" fontId="80" fillId="5" borderId="2" xfId="0" applyFont="1" applyFill="1" applyBorder="1" applyAlignment="1">
      <alignment horizontal="center" vertical="center"/>
    </xf>
    <xf numFmtId="187" fontId="76" fillId="5" borderId="5" xfId="0" applyNumberFormat="1" applyFont="1" applyFill="1" applyBorder="1" applyAlignment="1">
      <alignment horizontal="center" vertical="center"/>
    </xf>
    <xf numFmtId="49" fontId="76" fillId="5" borderId="9" xfId="0" applyNumberFormat="1" applyFont="1" applyFill="1" applyBorder="1" applyAlignment="1">
      <alignment horizontal="center" vertical="center"/>
    </xf>
    <xf numFmtId="0" fontId="76" fillId="5" borderId="3" xfId="0" applyFont="1" applyFill="1" applyBorder="1" applyAlignment="1">
      <alignment horizontal="center" vertical="center"/>
    </xf>
    <xf numFmtId="0" fontId="76" fillId="5" borderId="2" xfId="0" applyFont="1" applyFill="1" applyBorder="1" applyAlignment="1">
      <alignment horizontal="center" vertical="center"/>
    </xf>
    <xf numFmtId="0" fontId="80" fillId="5" borderId="21" xfId="0" applyFont="1" applyFill="1" applyBorder="1" applyAlignment="1">
      <alignment vertical="center" textRotation="255" wrapText="1"/>
    </xf>
    <xf numFmtId="182" fontId="80" fillId="5" borderId="0" xfId="0" applyNumberFormat="1" applyFont="1" applyFill="1" applyAlignment="1"/>
    <xf numFmtId="0" fontId="80" fillId="5" borderId="0" xfId="0" applyFont="1" applyFill="1" applyAlignment="1"/>
    <xf numFmtId="0" fontId="106" fillId="5" borderId="0" xfId="0" applyFont="1" applyFill="1" applyAlignment="1"/>
    <xf numFmtId="0" fontId="80" fillId="5" borderId="0" xfId="0" applyFont="1" applyFill="1" applyAlignment="1">
      <alignment horizontal="center"/>
    </xf>
    <xf numFmtId="188" fontId="80" fillId="5" borderId="0" xfId="0" applyNumberFormat="1" applyFont="1" applyFill="1" applyAlignment="1">
      <alignment horizontal="center"/>
    </xf>
    <xf numFmtId="0" fontId="80" fillId="8" borderId="0" xfId="0" applyFont="1" applyFill="1" applyAlignment="1">
      <alignment horizontal="center" vertical="center"/>
    </xf>
    <xf numFmtId="188" fontId="80" fillId="8" borderId="0" xfId="0" applyNumberFormat="1" applyFont="1" applyFill="1" applyAlignment="1">
      <alignment horizontal="center" vertical="center"/>
    </xf>
    <xf numFmtId="182" fontId="80" fillId="8" borderId="0" xfId="0" applyNumberFormat="1" applyFont="1" applyFill="1" applyAlignment="1">
      <alignment horizontal="center" vertical="center"/>
    </xf>
    <xf numFmtId="178" fontId="93" fillId="5" borderId="0" xfId="0" applyNumberFormat="1" applyFont="1" applyFill="1" applyAlignment="1"/>
    <xf numFmtId="49" fontId="93" fillId="5" borderId="0" xfId="0" applyNumberFormat="1" applyFont="1" applyFill="1" applyAlignment="1">
      <alignment horizontal="left"/>
    </xf>
    <xf numFmtId="0" fontId="112" fillId="5" borderId="0" xfId="0" applyFont="1" applyFill="1">
      <alignment vertical="center"/>
    </xf>
    <xf numFmtId="0" fontId="39" fillId="5" borderId="1" xfId="3" applyFont="1" applyFill="1" applyBorder="1" applyAlignment="1">
      <alignment horizontal="center" vertical="center" wrapText="1"/>
    </xf>
    <xf numFmtId="0" fontId="160" fillId="5" borderId="14" xfId="3" applyFont="1" applyFill="1" applyBorder="1">
      <alignment vertical="center"/>
    </xf>
    <xf numFmtId="0" fontId="98" fillId="5" borderId="14" xfId="0" applyFont="1" applyFill="1" applyBorder="1">
      <alignment vertical="center"/>
    </xf>
    <xf numFmtId="0" fontId="93" fillId="5" borderId="0" xfId="0" applyFont="1" applyFill="1" applyAlignment="1">
      <alignment horizontal="center" vertical="center"/>
    </xf>
    <xf numFmtId="0" fontId="102" fillId="5" borderId="0" xfId="0" applyFont="1" applyFill="1" applyAlignment="1">
      <alignment horizontal="center" vertical="center"/>
    </xf>
    <xf numFmtId="188" fontId="80" fillId="5" borderId="16" xfId="0" applyNumberFormat="1" applyFont="1" applyFill="1" applyBorder="1" applyAlignment="1">
      <alignment horizontal="center" vertical="center"/>
    </xf>
    <xf numFmtId="188" fontId="80" fillId="5" borderId="46" xfId="0" applyNumberFormat="1" applyFont="1" applyFill="1" applyBorder="1" applyAlignment="1">
      <alignment horizontal="center" vertical="center" wrapText="1"/>
    </xf>
    <xf numFmtId="0" fontId="80" fillId="0" borderId="71" xfId="0" applyFont="1" applyBorder="1" applyAlignment="1">
      <alignment horizontal="center" vertical="center" wrapText="1"/>
    </xf>
    <xf numFmtId="0" fontId="80" fillId="0" borderId="72" xfId="0" applyFont="1" applyBorder="1" applyAlignment="1">
      <alignment horizontal="center" vertical="center" wrapText="1"/>
    </xf>
    <xf numFmtId="188" fontId="80" fillId="5" borderId="9" xfId="0" applyNumberFormat="1" applyFont="1" applyFill="1" applyBorder="1" applyAlignment="1">
      <alignment horizontal="center" vertical="center"/>
    </xf>
    <xf numFmtId="188" fontId="80" fillId="5" borderId="2" xfId="0" applyNumberFormat="1" applyFont="1" applyFill="1" applyBorder="1" applyAlignment="1">
      <alignment horizontal="center" vertical="center" wrapText="1"/>
    </xf>
    <xf numFmtId="0" fontId="72" fillId="0" borderId="0" xfId="0" applyFont="1" applyAlignment="1">
      <alignment horizontal="center" vertical="center" wrapText="1"/>
    </xf>
    <xf numFmtId="0" fontId="113" fillId="0" borderId="0" xfId="0" applyFont="1">
      <alignment vertical="center"/>
    </xf>
    <xf numFmtId="49" fontId="130" fillId="5" borderId="11" xfId="0" applyNumberFormat="1" applyFont="1" applyFill="1" applyBorder="1" applyAlignment="1">
      <alignment vertical="center" wrapText="1"/>
    </xf>
    <xf numFmtId="49" fontId="130" fillId="5" borderId="43" xfId="0" applyNumberFormat="1" applyFont="1" applyFill="1" applyBorder="1" applyAlignment="1">
      <alignment vertical="center" wrapText="1"/>
    </xf>
    <xf numFmtId="49" fontId="78" fillId="5" borderId="11" xfId="0" applyNumberFormat="1" applyFont="1" applyFill="1" applyBorder="1" applyAlignment="1">
      <alignment vertical="center" wrapText="1"/>
    </xf>
    <xf numFmtId="0" fontId="66" fillId="5" borderId="87" xfId="0" applyFont="1" applyFill="1" applyBorder="1" applyAlignment="1"/>
    <xf numFmtId="0" fontId="66" fillId="5" borderId="19" xfId="0" applyFont="1" applyFill="1" applyBorder="1" applyAlignment="1"/>
    <xf numFmtId="0" fontId="66" fillId="5" borderId="63" xfId="0" applyFont="1" applyFill="1" applyBorder="1" applyAlignment="1"/>
    <xf numFmtId="185" fontId="71" fillId="5" borderId="29" xfId="0" applyNumberFormat="1" applyFont="1" applyFill="1" applyBorder="1" applyAlignment="1">
      <alignment horizontal="center"/>
    </xf>
    <xf numFmtId="0" fontId="72" fillId="5" borderId="45" xfId="0" applyFont="1" applyFill="1" applyBorder="1" applyAlignment="1"/>
    <xf numFmtId="185" fontId="148" fillId="0" borderId="44" xfId="0" applyNumberFormat="1" applyFont="1" applyBorder="1" applyAlignment="1" applyProtection="1">
      <alignment horizontal="center"/>
      <protection locked="0"/>
    </xf>
    <xf numFmtId="185" fontId="72" fillId="0" borderId="44" xfId="0" applyNumberFormat="1" applyFont="1" applyBorder="1" applyAlignment="1" applyProtection="1">
      <alignment horizontal="center"/>
      <protection locked="0"/>
    </xf>
    <xf numFmtId="185" fontId="72" fillId="0" borderId="46" xfId="0" applyNumberFormat="1" applyFont="1" applyBorder="1" applyAlignment="1" applyProtection="1">
      <alignment horizontal="center"/>
      <protection locked="0"/>
    </xf>
    <xf numFmtId="178" fontId="72" fillId="5" borderId="44" xfId="0" applyNumberFormat="1" applyFont="1" applyFill="1" applyBorder="1" applyAlignment="1">
      <alignment horizontal="center" vertical="center" wrapText="1"/>
    </xf>
    <xf numFmtId="186" fontId="72" fillId="5" borderId="44" xfId="0" applyNumberFormat="1" applyFont="1" applyFill="1" applyBorder="1" applyAlignment="1">
      <alignment horizontal="center" vertical="center"/>
    </xf>
    <xf numFmtId="10" fontId="72" fillId="5" borderId="44" xfId="0" applyNumberFormat="1" applyFont="1" applyFill="1" applyBorder="1" applyAlignment="1">
      <alignment horizontal="center" vertical="center" wrapText="1"/>
    </xf>
    <xf numFmtId="49" fontId="72" fillId="5" borderId="11" xfId="0" applyNumberFormat="1" applyFont="1" applyFill="1" applyBorder="1" applyAlignment="1">
      <alignment horizontal="left"/>
    </xf>
    <xf numFmtId="49" fontId="72" fillId="5" borderId="43" xfId="0" applyNumberFormat="1" applyFont="1" applyFill="1" applyBorder="1" applyAlignment="1">
      <alignment horizontal="left"/>
    </xf>
    <xf numFmtId="49" fontId="72" fillId="5" borderId="11" xfId="2" applyNumberFormat="1" applyFont="1" applyFill="1" applyBorder="1" applyAlignment="1">
      <alignment horizontal="left"/>
    </xf>
    <xf numFmtId="49" fontId="71" fillId="5" borderId="11" xfId="2" applyNumberFormat="1" applyFont="1" applyFill="1" applyBorder="1" applyAlignment="1">
      <alignment horizontal="left"/>
    </xf>
    <xf numFmtId="49" fontId="71" fillId="5" borderId="11" xfId="0" applyNumberFormat="1" applyFont="1" applyFill="1" applyBorder="1" applyAlignment="1">
      <alignment horizontal="left" vertical="center" wrapText="1"/>
    </xf>
    <xf numFmtId="49" fontId="72" fillId="5" borderId="43" xfId="0" applyNumberFormat="1" applyFont="1" applyFill="1" applyBorder="1" applyAlignment="1">
      <alignment horizontal="left" vertical="center" wrapText="1"/>
    </xf>
    <xf numFmtId="49" fontId="131" fillId="5" borderId="10" xfId="0" applyNumberFormat="1" applyFont="1" applyFill="1" applyBorder="1" applyAlignment="1">
      <alignment horizontal="left" vertical="center" wrapText="1"/>
    </xf>
    <xf numFmtId="49" fontId="131" fillId="5" borderId="33" xfId="0" applyNumberFormat="1" applyFont="1" applyFill="1" applyBorder="1" applyAlignment="1">
      <alignment horizontal="left" vertical="center" wrapText="1"/>
    </xf>
    <xf numFmtId="49" fontId="131" fillId="5" borderId="53" xfId="0" applyNumberFormat="1" applyFont="1" applyFill="1" applyBorder="1" applyAlignment="1">
      <alignment horizontal="left" vertical="center" wrapText="1"/>
    </xf>
    <xf numFmtId="49" fontId="131" fillId="5" borderId="1" xfId="0" applyNumberFormat="1" applyFont="1" applyFill="1" applyBorder="1" applyAlignment="1">
      <alignment horizontal="left" vertical="center" wrapText="1"/>
    </xf>
    <xf numFmtId="49" fontId="20" fillId="5" borderId="22" xfId="0" applyNumberFormat="1" applyFont="1" applyFill="1" applyBorder="1" applyAlignment="1">
      <alignment horizontal="center" vertical="center" wrapText="1"/>
    </xf>
    <xf numFmtId="49" fontId="93" fillId="5" borderId="2" xfId="2" applyNumberFormat="1" applyFont="1" applyFill="1" applyBorder="1">
      <alignment vertical="center"/>
    </xf>
    <xf numFmtId="49" fontId="53" fillId="5" borderId="2" xfId="2" applyNumberFormat="1" applyFont="1" applyFill="1" applyBorder="1">
      <alignment vertical="center"/>
    </xf>
    <xf numFmtId="49" fontId="79" fillId="5" borderId="3" xfId="0" applyNumberFormat="1" applyFont="1" applyFill="1" applyBorder="1">
      <alignment vertical="center"/>
    </xf>
    <xf numFmtId="49" fontId="93" fillId="5" borderId="0" xfId="2" applyNumberFormat="1" applyFont="1" applyFill="1">
      <alignment vertical="center"/>
    </xf>
    <xf numFmtId="49" fontId="72" fillId="5" borderId="11" xfId="0" applyNumberFormat="1" applyFont="1" applyFill="1" applyBorder="1" applyAlignment="1">
      <alignment horizontal="right" vertical="center"/>
    </xf>
    <xf numFmtId="49" fontId="72" fillId="5" borderId="11" xfId="0" applyNumberFormat="1" applyFont="1" applyFill="1" applyBorder="1" applyAlignment="1">
      <alignment horizontal="center" vertical="center"/>
    </xf>
    <xf numFmtId="49" fontId="78" fillId="5" borderId="11" xfId="0" applyNumberFormat="1" applyFont="1" applyFill="1" applyBorder="1" applyAlignment="1">
      <alignment horizontal="center" vertical="center"/>
    </xf>
    <xf numFmtId="49" fontId="72" fillId="5" borderId="22" xfId="0" applyNumberFormat="1" applyFont="1" applyFill="1" applyBorder="1" applyAlignment="1">
      <alignment horizontal="right" vertical="center"/>
    </xf>
    <xf numFmtId="0" fontId="39" fillId="5" borderId="2" xfId="3" applyFont="1" applyFill="1" applyBorder="1" applyAlignment="1">
      <alignment horizontal="center" vertical="center" wrapText="1"/>
    </xf>
    <xf numFmtId="0" fontId="181" fillId="0" borderId="0" xfId="7" applyFont="1">
      <alignment vertical="center"/>
    </xf>
    <xf numFmtId="0" fontId="141" fillId="0" borderId="0" xfId="7">
      <alignment vertical="center"/>
    </xf>
    <xf numFmtId="0" fontId="181" fillId="0" borderId="0" xfId="7" applyFont="1" applyAlignment="1">
      <alignment vertical="top" wrapText="1"/>
    </xf>
    <xf numFmtId="0" fontId="74" fillId="5" borderId="33" xfId="0" applyFont="1" applyFill="1" applyBorder="1" applyAlignment="1">
      <alignment vertical="center" wrapText="1"/>
    </xf>
    <xf numFmtId="0" fontId="74" fillId="5" borderId="0" xfId="0" applyFont="1" applyFill="1" applyAlignment="1">
      <alignment vertical="center" wrapText="1"/>
    </xf>
    <xf numFmtId="0" fontId="74" fillId="5" borderId="2" xfId="0" applyFont="1" applyFill="1" applyBorder="1" applyAlignment="1">
      <alignment horizontal="left" vertical="center"/>
    </xf>
    <xf numFmtId="14" fontId="74" fillId="0" borderId="10" xfId="0" applyNumberFormat="1" applyFont="1" applyBorder="1" applyAlignment="1" applyProtection="1">
      <alignment horizontal="left" vertical="center"/>
      <protection locked="0"/>
    </xf>
    <xf numFmtId="0" fontId="74" fillId="5" borderId="10" xfId="0" applyFont="1" applyFill="1" applyBorder="1" applyAlignment="1">
      <alignment vertical="center" wrapText="1"/>
    </xf>
    <xf numFmtId="0" fontId="74" fillId="5" borderId="71" xfId="0" applyFont="1" applyFill="1" applyBorder="1" applyAlignment="1">
      <alignment horizontal="left" vertical="center"/>
    </xf>
    <xf numFmtId="0" fontId="74" fillId="5" borderId="17" xfId="0" applyFont="1" applyFill="1" applyBorder="1" applyAlignment="1">
      <alignment vertical="center" wrapText="1"/>
    </xf>
    <xf numFmtId="0" fontId="74" fillId="8" borderId="19" xfId="0" applyFont="1" applyFill="1" applyBorder="1" applyAlignment="1">
      <alignment vertical="center" wrapText="1"/>
    </xf>
    <xf numFmtId="0" fontId="74" fillId="8" borderId="20" xfId="0" applyFont="1" applyFill="1" applyBorder="1" applyAlignment="1">
      <alignment vertical="center" wrapText="1"/>
    </xf>
    <xf numFmtId="0" fontId="74" fillId="8" borderId="32" xfId="0" applyFont="1" applyFill="1" applyBorder="1" applyAlignment="1">
      <alignment vertical="center" wrapText="1"/>
    </xf>
    <xf numFmtId="0" fontId="74" fillId="5" borderId="4" xfId="0" applyFont="1" applyFill="1" applyBorder="1" applyAlignment="1">
      <alignment vertical="center" wrapText="1"/>
    </xf>
    <xf numFmtId="0" fontId="74" fillId="6" borderId="5" xfId="0" applyFont="1" applyFill="1" applyBorder="1" applyAlignment="1" applyProtection="1">
      <alignment horizontal="left" vertical="center" wrapText="1"/>
      <protection locked="0"/>
    </xf>
    <xf numFmtId="0" fontId="74" fillId="6" borderId="8" xfId="0" applyFont="1" applyFill="1" applyBorder="1" applyAlignment="1">
      <alignment vertical="center" wrapText="1"/>
    </xf>
    <xf numFmtId="0" fontId="74" fillId="6" borderId="9" xfId="0" applyFont="1" applyFill="1" applyBorder="1" applyAlignment="1">
      <alignment vertical="center" wrapText="1"/>
    </xf>
    <xf numFmtId="0" fontId="74" fillId="6" borderId="84" xfId="0" applyFont="1" applyFill="1" applyBorder="1" applyAlignment="1" applyProtection="1">
      <alignment horizontal="left" vertical="center"/>
      <protection locked="0"/>
    </xf>
    <xf numFmtId="0" fontId="74" fillId="6" borderId="85" xfId="0" applyFont="1" applyFill="1" applyBorder="1" applyAlignment="1">
      <alignment vertical="center" wrapText="1"/>
    </xf>
    <xf numFmtId="0" fontId="74" fillId="8" borderId="19" xfId="0" applyFont="1" applyFill="1" applyBorder="1" applyAlignment="1" applyProtection="1">
      <alignment vertical="center" wrapText="1"/>
      <protection locked="0"/>
    </xf>
    <xf numFmtId="49" fontId="74" fillId="5" borderId="21" xfId="0" applyNumberFormat="1" applyFont="1" applyFill="1" applyBorder="1" applyAlignment="1">
      <alignment horizontal="left" vertical="center" wrapText="1"/>
    </xf>
    <xf numFmtId="49" fontId="182" fillId="0" borderId="17" xfId="0" applyNumberFormat="1" applyFont="1" applyBorder="1" applyAlignment="1" applyProtection="1">
      <alignment horizontal="left" vertical="center"/>
      <protection locked="0"/>
    </xf>
    <xf numFmtId="0" fontId="74" fillId="8" borderId="8" xfId="0" applyFont="1" applyFill="1" applyBorder="1" applyAlignment="1" applyProtection="1">
      <alignment vertical="center" wrapText="1"/>
      <protection locked="0"/>
    </xf>
    <xf numFmtId="178" fontId="74" fillId="6" borderId="2" xfId="2" applyNumberFormat="1" applyFont="1" applyFill="1" applyBorder="1" applyAlignment="1" applyProtection="1">
      <alignment horizontal="center" vertical="center"/>
      <protection locked="0"/>
    </xf>
    <xf numFmtId="180" fontId="74" fillId="5" borderId="2" xfId="0" applyNumberFormat="1" applyFont="1" applyFill="1" applyBorder="1" applyAlignment="1">
      <alignment horizontal="center" vertical="center" wrapText="1"/>
    </xf>
    <xf numFmtId="0" fontId="74" fillId="5" borderId="2" xfId="0" applyFont="1" applyFill="1" applyBorder="1" applyAlignment="1">
      <alignment horizontal="center" vertical="center" wrapText="1"/>
    </xf>
    <xf numFmtId="0" fontId="74" fillId="5" borderId="2" xfId="0" applyFont="1" applyFill="1" applyBorder="1" applyAlignment="1">
      <alignment horizontal="left" vertical="center" wrapText="1"/>
    </xf>
    <xf numFmtId="0" fontId="136" fillId="6" borderId="2" xfId="0" applyFont="1" applyFill="1" applyBorder="1" applyAlignment="1" applyProtection="1">
      <alignment horizontal="center" vertical="center" wrapText="1"/>
      <protection locked="0"/>
    </xf>
    <xf numFmtId="0" fontId="74" fillId="0" borderId="0" xfId="0" applyFont="1" applyAlignment="1">
      <alignment vertical="center" wrapText="1"/>
    </xf>
    <xf numFmtId="0" fontId="74" fillId="0" borderId="0" xfId="0" applyFont="1" applyAlignment="1">
      <alignment horizontal="center" vertical="center" wrapText="1"/>
    </xf>
    <xf numFmtId="0" fontId="74" fillId="5" borderId="0" xfId="0" applyFont="1" applyFill="1" applyAlignment="1">
      <alignment horizontal="center" vertical="center" wrapText="1"/>
    </xf>
    <xf numFmtId="0" fontId="74" fillId="0" borderId="2" xfId="0" applyFont="1" applyBorder="1" applyAlignment="1">
      <alignment vertical="center" wrapText="1"/>
    </xf>
    <xf numFmtId="0" fontId="74" fillId="5" borderId="5" xfId="0" applyFont="1" applyFill="1" applyBorder="1">
      <alignment vertical="center"/>
    </xf>
    <xf numFmtId="0" fontId="74" fillId="2" borderId="32" xfId="0" applyFont="1" applyFill="1" applyBorder="1" applyAlignment="1" applyProtection="1">
      <alignment horizontal="left" vertical="center" wrapText="1"/>
      <protection locked="0"/>
    </xf>
    <xf numFmtId="0" fontId="74" fillId="5" borderId="2" xfId="0" applyFont="1" applyFill="1" applyBorder="1" applyAlignment="1">
      <alignment vertical="center" wrapText="1"/>
    </xf>
    <xf numFmtId="0" fontId="74" fillId="5" borderId="3" xfId="0" applyFont="1" applyFill="1" applyBorder="1">
      <alignment vertical="center"/>
    </xf>
    <xf numFmtId="0" fontId="74" fillId="6" borderId="3" xfId="0" applyFont="1" applyFill="1" applyBorder="1" applyAlignment="1" applyProtection="1">
      <alignment horizontal="center" vertical="center" wrapText="1"/>
      <protection locked="0"/>
    </xf>
    <xf numFmtId="0" fontId="74" fillId="5" borderId="55" xfId="0" applyFont="1" applyFill="1" applyBorder="1" applyAlignment="1">
      <alignment horizontal="center" vertical="center" wrapText="1"/>
    </xf>
    <xf numFmtId="0" fontId="74" fillId="6" borderId="55" xfId="0" applyFont="1" applyFill="1" applyBorder="1" applyAlignment="1" applyProtection="1">
      <alignment horizontal="center" vertical="center" wrapText="1"/>
      <protection locked="0"/>
    </xf>
    <xf numFmtId="0" fontId="183" fillId="5" borderId="55" xfId="0" applyFont="1" applyFill="1" applyBorder="1" applyAlignment="1">
      <alignment vertical="center" wrapText="1"/>
    </xf>
    <xf numFmtId="0" fontId="74" fillId="6" borderId="69" xfId="0" applyFont="1" applyFill="1" applyBorder="1" applyAlignment="1" applyProtection="1">
      <alignment horizontal="center" vertical="center" wrapText="1"/>
      <protection locked="0"/>
    </xf>
    <xf numFmtId="0" fontId="74" fillId="5" borderId="35" xfId="0" applyFont="1" applyFill="1" applyBorder="1">
      <alignment vertical="center"/>
    </xf>
    <xf numFmtId="0" fontId="74" fillId="6" borderId="12" xfId="0" applyFont="1" applyFill="1" applyBorder="1" applyAlignment="1" applyProtection="1">
      <alignment horizontal="center" vertical="center" wrapText="1"/>
      <protection locked="0"/>
    </xf>
    <xf numFmtId="0" fontId="182" fillId="0" borderId="11" xfId="0" applyFont="1" applyBorder="1" applyAlignment="1" applyProtection="1">
      <alignment vertical="center" wrapText="1"/>
      <protection locked="0"/>
    </xf>
    <xf numFmtId="0" fontId="74" fillId="6" borderId="5" xfId="0" applyFont="1" applyFill="1" applyBorder="1" applyAlignment="1" applyProtection="1">
      <alignment horizontal="center" vertical="center" wrapText="1"/>
      <protection locked="0"/>
    </xf>
    <xf numFmtId="0" fontId="74" fillId="0" borderId="89" xfId="0" applyFont="1" applyBorder="1" applyAlignment="1" applyProtection="1">
      <alignment vertical="center" wrapText="1"/>
      <protection locked="0"/>
    </xf>
    <xf numFmtId="184" fontId="182" fillId="0" borderId="12" xfId="0" applyNumberFormat="1" applyFont="1" applyBorder="1" applyAlignment="1" applyProtection="1">
      <alignment horizontal="left" vertical="center" shrinkToFit="1"/>
      <protection locked="0"/>
    </xf>
    <xf numFmtId="184" fontId="182" fillId="0" borderId="57" xfId="0" applyNumberFormat="1" applyFont="1" applyBorder="1" applyAlignment="1" applyProtection="1">
      <alignment horizontal="left" vertical="center" shrinkToFit="1"/>
      <protection locked="0"/>
    </xf>
    <xf numFmtId="0" fontId="182" fillId="0" borderId="12" xfId="0" applyFont="1" applyBorder="1" applyAlignment="1" applyProtection="1">
      <alignment horizontal="left" vertical="center" wrapText="1"/>
      <protection locked="0"/>
    </xf>
    <xf numFmtId="0" fontId="182" fillId="0" borderId="16" xfId="0" applyFont="1" applyBorder="1" applyAlignment="1" applyProtection="1">
      <alignment horizontal="left" vertical="center" wrapText="1"/>
      <protection locked="0"/>
    </xf>
    <xf numFmtId="0" fontId="182" fillId="0" borderId="72" xfId="0" applyFont="1" applyBorder="1" applyAlignment="1" applyProtection="1">
      <alignment horizontal="left" vertical="center" wrapText="1"/>
      <protection locked="0"/>
    </xf>
    <xf numFmtId="0" fontId="182" fillId="0" borderId="90" xfId="0" applyFont="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0" borderId="21" xfId="0" applyFont="1" applyBorder="1" applyAlignment="1" applyProtection="1">
      <alignment horizontal="left" vertical="center" wrapText="1"/>
      <protection locked="0"/>
    </xf>
    <xf numFmtId="0" fontId="74" fillId="2" borderId="5" xfId="0" applyFont="1" applyFill="1" applyBorder="1" applyProtection="1">
      <alignment vertical="center"/>
      <protection locked="0"/>
    </xf>
    <xf numFmtId="0" fontId="74" fillId="6" borderId="2" xfId="0" applyFont="1" applyFill="1" applyBorder="1" applyAlignment="1" applyProtection="1">
      <alignment vertical="center" wrapText="1"/>
      <protection locked="0"/>
    </xf>
    <xf numFmtId="49" fontId="74" fillId="5" borderId="0" xfId="0" applyNumberFormat="1" applyFont="1" applyFill="1" applyAlignment="1">
      <alignment horizontal="center" vertical="center" wrapText="1"/>
    </xf>
    <xf numFmtId="0" fontId="74" fillId="5" borderId="5" xfId="0" applyFont="1" applyFill="1" applyBorder="1" applyAlignment="1">
      <alignment vertical="center" wrapText="1"/>
    </xf>
    <xf numFmtId="14" fontId="74" fillId="0" borderId="17" xfId="0" applyNumberFormat="1" applyFont="1" applyBorder="1" applyAlignment="1" applyProtection="1">
      <alignment vertical="center" wrapText="1"/>
      <protection locked="0"/>
    </xf>
    <xf numFmtId="0" fontId="74" fillId="5" borderId="20" xfId="0" applyFont="1" applyFill="1" applyBorder="1" applyAlignment="1">
      <alignment vertical="center" wrapText="1"/>
    </xf>
    <xf numFmtId="0" fontId="74" fillId="5" borderId="18" xfId="0" applyFont="1" applyFill="1" applyBorder="1">
      <alignment vertical="center"/>
    </xf>
    <xf numFmtId="0" fontId="74" fillId="5" borderId="8" xfId="0" applyFont="1" applyFill="1" applyBorder="1">
      <alignment vertical="center"/>
    </xf>
    <xf numFmtId="0" fontId="74" fillId="5" borderId="9" xfId="0" applyFont="1" applyFill="1" applyBorder="1" applyAlignment="1">
      <alignment vertical="center" wrapText="1"/>
    </xf>
    <xf numFmtId="0" fontId="74" fillId="0" borderId="2" xfId="0" applyFont="1" applyBorder="1" applyAlignment="1">
      <alignment horizontal="center" vertical="center" wrapText="1"/>
    </xf>
    <xf numFmtId="0" fontId="74" fillId="5" borderId="9" xfId="0" applyFont="1" applyFill="1" applyBorder="1" applyAlignment="1">
      <alignment horizontal="center" vertical="center" wrapText="1"/>
    </xf>
    <xf numFmtId="0" fontId="74" fillId="5" borderId="2" xfId="0" applyFont="1" applyFill="1" applyBorder="1">
      <alignment vertical="center"/>
    </xf>
    <xf numFmtId="0" fontId="74" fillId="0" borderId="2" xfId="0" applyFont="1" applyBorder="1">
      <alignment vertical="center"/>
    </xf>
    <xf numFmtId="0" fontId="74" fillId="5" borderId="3" xfId="0" applyFont="1" applyFill="1" applyBorder="1" applyAlignment="1">
      <alignment vertical="center" wrapText="1"/>
    </xf>
    <xf numFmtId="0" fontId="74" fillId="0" borderId="2" xfId="0" applyFont="1" applyBorder="1" applyAlignment="1" applyProtection="1">
      <alignment horizontal="center" vertical="center" wrapText="1"/>
      <protection locked="0"/>
    </xf>
    <xf numFmtId="49" fontId="74" fillId="6" borderId="2" xfId="0" applyNumberFormat="1" applyFont="1" applyFill="1" applyBorder="1" applyAlignment="1" applyProtection="1">
      <alignment horizontal="center" vertical="center" wrapText="1"/>
      <protection locked="0"/>
    </xf>
    <xf numFmtId="0" fontId="43" fillId="5" borderId="5" xfId="0" applyFont="1" applyFill="1" applyBorder="1">
      <alignment vertical="center"/>
    </xf>
    <xf numFmtId="0" fontId="74" fillId="5" borderId="8" xfId="0" applyFont="1" applyFill="1" applyBorder="1" applyAlignment="1">
      <alignment vertical="center" wrapText="1"/>
    </xf>
    <xf numFmtId="0" fontId="74" fillId="0" borderId="19" xfId="0" applyFont="1" applyBorder="1" applyAlignment="1">
      <alignment vertical="center" wrapText="1"/>
    </xf>
    <xf numFmtId="0" fontId="74" fillId="8" borderId="19" xfId="0" applyFont="1" applyFill="1" applyBorder="1" applyAlignment="1">
      <alignment horizontal="center" vertical="center" wrapText="1"/>
    </xf>
    <xf numFmtId="0" fontId="74" fillId="6" borderId="86" xfId="0" applyFont="1" applyFill="1" applyBorder="1" applyAlignment="1">
      <alignment vertical="center" wrapText="1"/>
    </xf>
    <xf numFmtId="0" fontId="74" fillId="6" borderId="9" xfId="0" applyFont="1" applyFill="1" applyBorder="1" applyAlignment="1" applyProtection="1">
      <alignment horizontal="center" vertical="center" wrapText="1"/>
      <protection locked="0"/>
    </xf>
    <xf numFmtId="0" fontId="74" fillId="6" borderId="9" xfId="0" applyFont="1" applyFill="1" applyBorder="1" applyAlignment="1" applyProtection="1">
      <alignment horizontal="center" vertical="center" wrapText="1" shrinkToFit="1"/>
      <protection locked="0"/>
    </xf>
    <xf numFmtId="0" fontId="74" fillId="5" borderId="10" xfId="0" applyFont="1" applyFill="1" applyBorder="1" applyAlignment="1">
      <alignment horizontal="right" vertical="center" wrapText="1"/>
    </xf>
    <xf numFmtId="0" fontId="74" fillId="5" borderId="3" xfId="0" applyFont="1" applyFill="1" applyBorder="1" applyAlignment="1">
      <alignment horizontal="right" vertical="center" wrapText="1"/>
    </xf>
    <xf numFmtId="0" fontId="74" fillId="5" borderId="21" xfId="0" applyFont="1" applyFill="1" applyBorder="1" applyAlignment="1">
      <alignment horizontal="right" vertical="center" wrapText="1"/>
    </xf>
    <xf numFmtId="0" fontId="74" fillId="5" borderId="9" xfId="0" applyFont="1" applyFill="1" applyBorder="1" applyAlignment="1">
      <alignment horizontal="right" vertical="center" wrapText="1"/>
    </xf>
    <xf numFmtId="0" fontId="74" fillId="5" borderId="86" xfId="0" applyFont="1" applyFill="1" applyBorder="1" applyAlignment="1">
      <alignment horizontal="right" vertical="center" wrapText="1"/>
    </xf>
    <xf numFmtId="0" fontId="74" fillId="5" borderId="22" xfId="0" applyFont="1" applyFill="1" applyBorder="1" applyAlignment="1">
      <alignment horizontal="right" vertical="center" wrapText="1"/>
    </xf>
    <xf numFmtId="0" fontId="74" fillId="5" borderId="24" xfId="0" applyFont="1" applyFill="1" applyBorder="1" applyAlignment="1">
      <alignment horizontal="left" vertical="center" wrapText="1"/>
    </xf>
    <xf numFmtId="0" fontId="74" fillId="5" borderId="92" xfId="0" applyFont="1" applyFill="1" applyBorder="1" applyAlignment="1">
      <alignment horizontal="left" vertical="center" wrapText="1"/>
    </xf>
    <xf numFmtId="180" fontId="74" fillId="5" borderId="10" xfId="0" applyNumberFormat="1" applyFont="1" applyFill="1" applyBorder="1" applyAlignment="1">
      <alignment horizontal="center" vertical="center" wrapText="1"/>
    </xf>
    <xf numFmtId="0" fontId="74" fillId="5" borderId="21" xfId="0" applyFont="1" applyFill="1" applyBorder="1" applyAlignment="1">
      <alignment horizontal="center" vertical="center" wrapText="1"/>
    </xf>
    <xf numFmtId="0" fontId="74" fillId="5" borderId="21" xfId="0" applyFont="1" applyFill="1" applyBorder="1" applyAlignment="1">
      <alignment horizontal="left" vertical="center" wrapText="1"/>
    </xf>
    <xf numFmtId="0" fontId="74" fillId="8" borderId="8" xfId="0" applyFont="1" applyFill="1" applyBorder="1" applyAlignment="1">
      <alignment vertical="center" wrapText="1"/>
    </xf>
    <xf numFmtId="0" fontId="74" fillId="8" borderId="9" xfId="0" applyFont="1" applyFill="1" applyBorder="1" applyAlignment="1">
      <alignment vertical="center" wrapText="1"/>
    </xf>
    <xf numFmtId="0" fontId="74" fillId="5" borderId="3" xfId="0" applyFont="1" applyFill="1" applyBorder="1" applyAlignment="1">
      <alignment horizontal="left" vertical="center"/>
    </xf>
    <xf numFmtId="0" fontId="74" fillId="5" borderId="21" xfId="0" applyFont="1" applyFill="1" applyBorder="1" applyAlignment="1">
      <alignment horizontal="left" vertical="center"/>
    </xf>
    <xf numFmtId="0" fontId="74" fillId="5" borderId="10" xfId="0" applyFont="1" applyFill="1" applyBorder="1" applyAlignment="1">
      <alignment horizontal="left" vertical="center" wrapText="1"/>
    </xf>
    <xf numFmtId="49" fontId="74" fillId="5" borderId="2" xfId="0" applyNumberFormat="1" applyFont="1" applyFill="1" applyBorder="1" applyAlignment="1">
      <alignment horizontal="center" vertical="center" wrapText="1"/>
    </xf>
    <xf numFmtId="0" fontId="161" fillId="5" borderId="0" xfId="0" applyFont="1" applyFill="1" applyAlignment="1">
      <alignment horizontal="left" vertical="center"/>
    </xf>
    <xf numFmtId="0" fontId="161" fillId="5" borderId="0" xfId="0" applyFont="1" applyFill="1">
      <alignment vertical="center"/>
    </xf>
    <xf numFmtId="0" fontId="161" fillId="5" borderId="0" xfId="0" applyFont="1" applyFill="1" applyAlignment="1">
      <alignment horizontal="center" vertical="center"/>
    </xf>
    <xf numFmtId="0" fontId="163" fillId="0" borderId="0" xfId="0" applyFont="1" applyAlignment="1">
      <alignment horizontal="center" vertical="center"/>
    </xf>
    <xf numFmtId="49" fontId="74" fillId="5" borderId="5" xfId="0" applyNumberFormat="1" applyFont="1" applyFill="1" applyBorder="1" applyAlignment="1">
      <alignment horizontal="center" vertical="center" wrapText="1"/>
    </xf>
    <xf numFmtId="0" fontId="74" fillId="5" borderId="5" xfId="0" applyFont="1" applyFill="1" applyBorder="1" applyAlignment="1">
      <alignment horizontal="left" vertical="center" wrapText="1"/>
    </xf>
    <xf numFmtId="0" fontId="184" fillId="5" borderId="0" xfId="0" applyFont="1" applyFill="1">
      <alignment vertical="center"/>
    </xf>
    <xf numFmtId="0" fontId="11" fillId="5" borderId="0" xfId="0" applyFont="1" applyFill="1">
      <alignment vertical="center"/>
    </xf>
    <xf numFmtId="0" fontId="185" fillId="0" borderId="0" xfId="0" applyFont="1" applyAlignment="1">
      <alignment horizontal="center" vertical="center"/>
    </xf>
    <xf numFmtId="0" fontId="156" fillId="0" borderId="0" xfId="0" applyFont="1">
      <alignment vertical="center"/>
    </xf>
    <xf numFmtId="184" fontId="186" fillId="0" borderId="0" xfId="0" applyNumberFormat="1" applyFont="1" applyAlignment="1">
      <alignment horizontal="left" vertical="center"/>
    </xf>
    <xf numFmtId="0" fontId="156" fillId="0" borderId="0" xfId="0" applyFont="1" applyAlignment="1">
      <alignment vertical="center" wrapText="1"/>
    </xf>
    <xf numFmtId="0" fontId="156" fillId="0" borderId="0" xfId="0" applyFont="1" applyAlignment="1">
      <alignment vertical="center" wrapText="1" shrinkToFit="1"/>
    </xf>
    <xf numFmtId="0" fontId="74" fillId="5" borderId="4" xfId="0" applyFont="1" applyFill="1" applyBorder="1">
      <alignment vertical="center"/>
    </xf>
    <xf numFmtId="0" fontId="74" fillId="5" borderId="5" xfId="0" applyFont="1" applyFill="1" applyBorder="1" applyAlignment="1">
      <alignment horizontal="right" vertical="center" wrapText="1"/>
    </xf>
    <xf numFmtId="0" fontId="74" fillId="5" borderId="8" xfId="0" applyFont="1" applyFill="1" applyBorder="1" applyAlignment="1">
      <alignment horizontal="right" vertical="center" wrapText="1"/>
    </xf>
    <xf numFmtId="0" fontId="74" fillId="5" borderId="9" xfId="0" applyFont="1" applyFill="1" applyBorder="1" applyAlignment="1">
      <alignment horizontal="right" vertical="center"/>
    </xf>
    <xf numFmtId="0" fontId="74" fillId="8" borderId="5" xfId="0" applyFont="1" applyFill="1" applyBorder="1" applyProtection="1">
      <alignment vertical="center"/>
      <protection locked="0"/>
    </xf>
    <xf numFmtId="0" fontId="74" fillId="6" borderId="2" xfId="0" applyFont="1" applyFill="1" applyBorder="1" applyAlignment="1" applyProtection="1">
      <alignment horizontal="center" vertical="center"/>
      <protection locked="0"/>
    </xf>
    <xf numFmtId="179" fontId="74" fillId="5" borderId="0" xfId="0" applyNumberFormat="1" applyFont="1" applyFill="1" applyAlignment="1">
      <alignment vertical="center" wrapText="1"/>
    </xf>
    <xf numFmtId="0" fontId="74" fillId="6" borderId="2" xfId="0" applyFont="1" applyFill="1" applyBorder="1" applyAlignment="1" applyProtection="1">
      <alignment horizontal="center" vertical="center" wrapText="1"/>
      <protection locked="0"/>
    </xf>
    <xf numFmtId="0" fontId="186" fillId="0" borderId="0" xfId="0" applyFont="1" applyAlignment="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7" fillId="0" borderId="0" xfId="0" applyFont="1" applyAlignment="1">
      <alignment horizontal="left" vertical="center"/>
    </xf>
    <xf numFmtId="0" fontId="188" fillId="0" borderId="0" xfId="0" applyFont="1" applyAlignment="1" applyProtection="1">
      <alignment horizontal="left" vertical="center" wrapText="1"/>
      <protection locked="0"/>
    </xf>
    <xf numFmtId="0" fontId="189" fillId="0" borderId="0" xfId="0" applyFont="1" applyAlignment="1">
      <alignment horizontal="left" vertical="center"/>
    </xf>
    <xf numFmtId="0" fontId="156" fillId="0" borderId="0" xfId="0" applyFont="1" applyAlignment="1">
      <alignment horizontal="left" vertical="center"/>
    </xf>
    <xf numFmtId="0" fontId="186" fillId="0" borderId="0" xfId="0" applyFont="1" applyAlignment="1" applyProtection="1">
      <alignment horizontal="left" vertical="center"/>
      <protection locked="0"/>
    </xf>
    <xf numFmtId="0" fontId="190" fillId="0" borderId="0" xfId="0" applyFont="1" applyAlignment="1">
      <alignment horizontal="right" vertical="center" wrapText="1"/>
    </xf>
    <xf numFmtId="0" fontId="190" fillId="0" borderId="0" xfId="0" applyFont="1" applyAlignment="1">
      <alignment vertical="center" wrapText="1"/>
    </xf>
    <xf numFmtId="0" fontId="71" fillId="5" borderId="4" xfId="0" applyFont="1" applyFill="1" applyBorder="1" applyAlignment="1">
      <alignment horizontal="right" vertical="center"/>
    </xf>
    <xf numFmtId="0" fontId="18" fillId="5" borderId="2" xfId="0" applyFont="1" applyFill="1" applyBorder="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1" fillId="0" borderId="0" xfId="0" applyFont="1">
      <alignment vertical="center"/>
    </xf>
    <xf numFmtId="0" fontId="192" fillId="0" borderId="0" xfId="0" applyFont="1">
      <alignment vertical="center"/>
    </xf>
    <xf numFmtId="0" fontId="191" fillId="0" borderId="0" xfId="0" applyFont="1" applyAlignment="1">
      <alignment horizontal="right" vertical="center"/>
    </xf>
    <xf numFmtId="0" fontId="191" fillId="0" borderId="2" xfId="0" applyFont="1" applyBorder="1" applyAlignment="1">
      <alignment horizontal="center" vertical="center" wrapText="1"/>
    </xf>
    <xf numFmtId="0" fontId="193"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1" fillId="0" borderId="0" xfId="0" applyFont="1" applyAlignment="1">
      <alignment horizontal="left" vertical="center"/>
    </xf>
    <xf numFmtId="0" fontId="192" fillId="0" borderId="0" xfId="0" applyFont="1" applyAlignment="1">
      <alignment vertical="center" wrapText="1"/>
    </xf>
    <xf numFmtId="0" fontId="17" fillId="5" borderId="29" xfId="0" applyFont="1" applyFill="1" applyBorder="1" applyAlignment="1">
      <alignment horizontal="center" vertical="center" wrapText="1"/>
    </xf>
    <xf numFmtId="0" fontId="17" fillId="5" borderId="6" xfId="0" applyFont="1" applyFill="1" applyBorder="1" applyAlignment="1">
      <alignment horizontal="center" vertical="center" wrapText="1"/>
    </xf>
    <xf numFmtId="0" fontId="81" fillId="5" borderId="17" xfId="0" applyFont="1" applyFill="1" applyBorder="1" applyAlignment="1">
      <alignment horizontal="center" vertical="center"/>
    </xf>
    <xf numFmtId="0" fontId="72" fillId="5" borderId="27" xfId="0" applyFont="1" applyFill="1" applyBorder="1" applyAlignment="1">
      <alignment horizontal="center" vertical="center"/>
    </xf>
    <xf numFmtId="0" fontId="72" fillId="5" borderId="17" xfId="0" applyFont="1" applyFill="1" applyBorder="1" applyAlignment="1">
      <alignment horizontal="left" vertical="center"/>
    </xf>
    <xf numFmtId="0" fontId="72" fillId="5" borderId="20" xfId="0" applyFont="1" applyFill="1" applyBorder="1">
      <alignment vertical="center"/>
    </xf>
    <xf numFmtId="0" fontId="81" fillId="5" borderId="32" xfId="0" applyFont="1" applyFill="1" applyBorder="1" applyAlignment="1">
      <alignment horizontal="center" vertical="center"/>
    </xf>
    <xf numFmtId="0" fontId="81" fillId="5" borderId="18" xfId="0" applyFont="1" applyFill="1" applyBorder="1" applyAlignment="1">
      <alignment horizontal="center" vertical="center"/>
    </xf>
    <xf numFmtId="0" fontId="81" fillId="5" borderId="21" xfId="0" applyFont="1" applyFill="1" applyBorder="1" applyAlignment="1">
      <alignment horizontal="left" vertical="center"/>
    </xf>
    <xf numFmtId="49" fontId="72" fillId="5" borderId="53" xfId="0" applyNumberFormat="1" applyFont="1" applyFill="1" applyBorder="1" applyAlignment="1">
      <alignment horizontal="center" vertical="center"/>
    </xf>
    <xf numFmtId="49" fontId="81" fillId="5" borderId="50" xfId="0" applyNumberFormat="1" applyFont="1" applyFill="1" applyBorder="1" applyAlignment="1">
      <alignment horizontal="left" vertical="center"/>
    </xf>
    <xf numFmtId="49" fontId="72" fillId="5" borderId="22" xfId="0" applyNumberFormat="1" applyFont="1" applyFill="1" applyBorder="1" applyAlignment="1">
      <alignment horizontal="left" vertical="center"/>
    </xf>
    <xf numFmtId="49" fontId="72" fillId="5" borderId="50" xfId="0" applyNumberFormat="1" applyFont="1" applyFill="1" applyBorder="1" applyAlignment="1">
      <alignment horizontal="left" vertical="center"/>
    </xf>
    <xf numFmtId="49" fontId="72" fillId="5" borderId="10" xfId="0" applyNumberFormat="1" applyFont="1" applyFill="1" applyBorder="1" applyAlignment="1">
      <alignment horizontal="left" vertical="center"/>
    </xf>
    <xf numFmtId="49" fontId="72" fillId="5" borderId="21" xfId="0" applyNumberFormat="1" applyFont="1" applyFill="1" applyBorder="1">
      <alignment vertical="center"/>
    </xf>
    <xf numFmtId="0" fontId="72" fillId="5" borderId="3" xfId="0" applyFont="1" applyFill="1" applyBorder="1" applyAlignment="1">
      <alignment horizontal="left" vertical="center"/>
    </xf>
    <xf numFmtId="0" fontId="74" fillId="5" borderId="9" xfId="0" applyFont="1" applyFill="1" applyBorder="1">
      <alignment vertical="center"/>
    </xf>
    <xf numFmtId="0" fontId="74" fillId="2" borderId="9" xfId="0" applyFont="1" applyFill="1" applyBorder="1">
      <alignment vertical="center"/>
    </xf>
    <xf numFmtId="0" fontId="74" fillId="0" borderId="5" xfId="0" applyFont="1" applyBorder="1" applyAlignment="1">
      <alignment horizontal="center" vertical="center" wrapText="1"/>
    </xf>
    <xf numFmtId="49" fontId="74" fillId="0" borderId="5" xfId="0" applyNumberFormat="1" applyFont="1" applyBorder="1" applyAlignment="1">
      <alignment vertical="center" wrapText="1"/>
    </xf>
    <xf numFmtId="0" fontId="74" fillId="0" borderId="0" xfId="0" applyFont="1" applyProtection="1">
      <alignment vertical="center"/>
      <protection locked="0"/>
    </xf>
    <xf numFmtId="0" fontId="74" fillId="6" borderId="71" xfId="0" applyFont="1" applyFill="1" applyBorder="1" applyAlignment="1" applyProtection="1">
      <alignment vertical="center" wrapText="1"/>
      <protection locked="0"/>
    </xf>
    <xf numFmtId="0" fontId="74" fillId="6" borderId="5" xfId="0" applyFont="1" applyFill="1" applyBorder="1" applyAlignment="1" applyProtection="1">
      <alignment vertical="center" wrapText="1"/>
      <protection locked="0"/>
    </xf>
    <xf numFmtId="0" fontId="74" fillId="6" borderId="8" xfId="0" applyFont="1" applyFill="1" applyBorder="1" applyAlignment="1" applyProtection="1">
      <alignment horizontal="center" vertical="center" wrapText="1"/>
      <protection locked="0"/>
    </xf>
    <xf numFmtId="0" fontId="74" fillId="5" borderId="71" xfId="0" applyFont="1" applyFill="1" applyBorder="1" applyAlignment="1">
      <alignment vertical="center" wrapText="1"/>
    </xf>
    <xf numFmtId="49" fontId="53" fillId="5" borderId="59" xfId="0" applyNumberFormat="1" applyFont="1" applyFill="1" applyBorder="1">
      <alignment vertical="center"/>
    </xf>
    <xf numFmtId="49" fontId="53" fillId="6" borderId="30" xfId="0" applyNumberFormat="1" applyFont="1" applyFill="1" applyBorder="1" applyProtection="1">
      <alignment vertical="center"/>
      <protection locked="0"/>
    </xf>
    <xf numFmtId="0" fontId="44" fillId="5" borderId="10" xfId="0" applyFont="1" applyFill="1" applyBorder="1" applyAlignment="1">
      <alignment horizontal="center" vertical="center"/>
    </xf>
    <xf numFmtId="0" fontId="148" fillId="5" borderId="2" xfId="3" applyFont="1" applyFill="1" applyBorder="1" applyAlignment="1">
      <alignment horizontal="center" vertical="center"/>
    </xf>
    <xf numFmtId="0" fontId="161" fillId="5" borderId="2" xfId="0" applyFont="1" applyFill="1" applyBorder="1" applyAlignment="1">
      <alignment horizontal="center" vertical="center" wrapText="1"/>
    </xf>
    <xf numFmtId="0" fontId="161" fillId="5" borderId="10" xfId="0" applyFont="1" applyFill="1" applyBorder="1" applyAlignment="1">
      <alignment horizontal="center" vertical="center" wrapText="1"/>
    </xf>
    <xf numFmtId="0" fontId="145" fillId="5" borderId="1" xfId="0" applyFont="1" applyFill="1" applyBorder="1" applyAlignment="1">
      <alignment horizontal="center" vertical="center"/>
    </xf>
    <xf numFmtId="0" fontId="145" fillId="5" borderId="29" xfId="0" applyFont="1" applyFill="1" applyBorder="1">
      <alignment vertical="center"/>
    </xf>
    <xf numFmtId="10" fontId="82" fillId="5" borderId="7" xfId="3" applyNumberFormat="1" applyFont="1" applyFill="1" applyBorder="1" applyAlignment="1">
      <alignment vertical="center" wrapText="1"/>
    </xf>
    <xf numFmtId="0" fontId="145" fillId="5" borderId="11" xfId="0" applyFont="1" applyFill="1" applyBorder="1" applyAlignment="1">
      <alignment horizontal="center" vertical="center"/>
    </xf>
    <xf numFmtId="0" fontId="145" fillId="5" borderId="5" xfId="0" applyFont="1" applyFill="1" applyBorder="1">
      <alignment vertical="center"/>
    </xf>
    <xf numFmtId="10" fontId="82" fillId="5" borderId="12" xfId="3" applyNumberFormat="1" applyFont="1" applyFill="1" applyBorder="1" applyAlignment="1">
      <alignment vertical="center" wrapText="1"/>
    </xf>
    <xf numFmtId="0" fontId="145" fillId="5" borderId="43" xfId="0" applyFont="1" applyFill="1" applyBorder="1" applyAlignment="1">
      <alignment horizontal="center" vertical="center"/>
    </xf>
    <xf numFmtId="0" fontId="145" fillId="5" borderId="45" xfId="0" applyFont="1" applyFill="1" applyBorder="1">
      <alignment vertical="center"/>
    </xf>
    <xf numFmtId="10" fontId="82" fillId="5" borderId="46" xfId="3" applyNumberFormat="1" applyFont="1" applyFill="1" applyBorder="1" applyAlignment="1">
      <alignment vertical="center" wrapText="1"/>
    </xf>
    <xf numFmtId="0" fontId="44" fillId="5" borderId="5" xfId="3" applyFont="1" applyFill="1" applyBorder="1" applyAlignment="1">
      <alignment vertical="center" wrapText="1"/>
    </xf>
    <xf numFmtId="0" fontId="44" fillId="5" borderId="8" xfId="3" applyFont="1" applyFill="1" applyBorder="1" applyAlignment="1">
      <alignment vertical="center" wrapText="1"/>
    </xf>
    <xf numFmtId="0" fontId="44" fillId="5" borderId="9" xfId="3" applyFont="1" applyFill="1" applyBorder="1" applyAlignment="1">
      <alignment vertical="center" wrapText="1"/>
    </xf>
    <xf numFmtId="0" fontId="44" fillId="5" borderId="2" xfId="3" applyFont="1" applyFill="1" applyBorder="1" applyAlignment="1">
      <alignment vertical="center" wrapText="1"/>
    </xf>
    <xf numFmtId="0" fontId="48" fillId="5" borderId="5" xfId="0" applyFont="1" applyFill="1" applyBorder="1" applyAlignment="1">
      <alignment horizontal="center" vertical="center" wrapText="1"/>
    </xf>
    <xf numFmtId="0" fontId="48" fillId="5" borderId="73" xfId="0" applyFont="1" applyFill="1" applyBorder="1" applyAlignment="1">
      <alignment horizontal="center" vertical="center" wrapText="1"/>
    </xf>
    <xf numFmtId="0" fontId="102" fillId="5" borderId="50" xfId="0" applyFont="1" applyFill="1" applyBorder="1" applyAlignment="1">
      <alignment horizontal="center" vertical="center"/>
    </xf>
    <xf numFmtId="0" fontId="102" fillId="0" borderId="21" xfId="0" applyFont="1" applyBorder="1" applyAlignment="1" applyProtection="1">
      <alignment horizontal="center" vertical="center"/>
      <protection locked="0"/>
    </xf>
    <xf numFmtId="0" fontId="102" fillId="0" borderId="17" xfId="0" applyFont="1" applyBorder="1" applyAlignment="1" applyProtection="1">
      <alignment horizontal="center" vertical="center"/>
      <protection locked="0"/>
    </xf>
    <xf numFmtId="0" fontId="102" fillId="0" borderId="93" xfId="0" applyFont="1" applyBorder="1" applyAlignment="1" applyProtection="1">
      <alignment horizontal="center" vertical="center"/>
      <protection locked="0"/>
    </xf>
    <xf numFmtId="0" fontId="102" fillId="0" borderId="51" xfId="0" applyFont="1" applyBorder="1" applyAlignment="1" applyProtection="1">
      <alignment horizontal="center" vertical="center"/>
      <protection locked="0"/>
    </xf>
    <xf numFmtId="186" fontId="102" fillId="5" borderId="51" xfId="0" applyNumberFormat="1" applyFont="1" applyFill="1" applyBorder="1" applyAlignment="1">
      <alignment horizontal="center" vertical="center"/>
    </xf>
    <xf numFmtId="0" fontId="102" fillId="5" borderId="11" xfId="0" applyFont="1" applyFill="1" applyBorder="1" applyAlignment="1">
      <alignment horizontal="center" vertical="center"/>
    </xf>
    <xf numFmtId="0" fontId="102" fillId="0" borderId="2" xfId="0" applyFont="1" applyBorder="1" applyAlignment="1" applyProtection="1">
      <alignment horizontal="center" vertical="center"/>
      <protection locked="0"/>
    </xf>
    <xf numFmtId="0" fontId="102" fillId="0" borderId="5" xfId="0" applyFont="1" applyBorder="1" applyAlignment="1" applyProtection="1">
      <alignment horizontal="center" vertical="center"/>
      <protection locked="0"/>
    </xf>
    <xf numFmtId="0" fontId="102" fillId="0" borderId="94" xfId="0" applyFont="1" applyBorder="1" applyAlignment="1" applyProtection="1">
      <alignment horizontal="center" vertical="center"/>
      <protection locked="0"/>
    </xf>
    <xf numFmtId="0" fontId="102" fillId="0" borderId="12" xfId="0" applyFont="1" applyBorder="1" applyAlignment="1" applyProtection="1">
      <alignment horizontal="center" vertical="center"/>
      <protection locked="0"/>
    </xf>
    <xf numFmtId="0" fontId="102" fillId="5" borderId="12" xfId="0" applyFont="1" applyFill="1" applyBorder="1" applyAlignment="1">
      <alignment horizontal="center" vertical="center"/>
    </xf>
    <xf numFmtId="179" fontId="102" fillId="5" borderId="12" xfId="0" applyNumberFormat="1" applyFont="1" applyFill="1" applyBorder="1" applyAlignment="1">
      <alignment horizontal="center" vertical="center"/>
    </xf>
    <xf numFmtId="179" fontId="102" fillId="0" borderId="12" xfId="0" applyNumberFormat="1" applyFont="1" applyBorder="1" applyAlignment="1" applyProtection="1">
      <alignment horizontal="center" vertical="center"/>
      <protection locked="0"/>
    </xf>
    <xf numFmtId="0" fontId="145" fillId="0" borderId="94" xfId="0" applyFont="1" applyBorder="1" applyAlignment="1" applyProtection="1">
      <alignment horizontal="center" vertical="center"/>
      <protection locked="0"/>
    </xf>
    <xf numFmtId="0" fontId="102" fillId="5" borderId="44" xfId="0" applyFont="1" applyFill="1" applyBorder="1" applyAlignment="1">
      <alignment horizontal="center" vertical="center"/>
    </xf>
    <xf numFmtId="0" fontId="102" fillId="0" borderId="44" xfId="0" applyFont="1" applyBorder="1" applyAlignment="1" applyProtection="1">
      <alignment horizontal="center" vertical="center"/>
      <protection locked="0"/>
    </xf>
    <xf numFmtId="179" fontId="102" fillId="5" borderId="46" xfId="0" applyNumberFormat="1" applyFont="1" applyFill="1" applyBorder="1" applyAlignment="1">
      <alignment horizontal="center" vertical="center"/>
    </xf>
    <xf numFmtId="0" fontId="179" fillId="0" borderId="0" xfId="0" applyFont="1" applyAlignment="1" applyProtection="1">
      <alignment horizontal="left" vertical="center"/>
      <protection locked="0"/>
    </xf>
    <xf numFmtId="0" fontId="54" fillId="0" borderId="0" xfId="0" applyFont="1" applyAlignment="1" applyProtection="1">
      <alignment horizontal="center" vertical="center"/>
      <protection locked="0"/>
    </xf>
    <xf numFmtId="188" fontId="54" fillId="0" borderId="0" xfId="0" applyNumberFormat="1" applyFont="1" applyAlignment="1" applyProtection="1">
      <alignment horizontal="center" vertical="center"/>
      <protection locked="0"/>
    </xf>
    <xf numFmtId="0" fontId="156" fillId="5" borderId="26" xfId="0" applyFont="1" applyFill="1" applyBorder="1" applyAlignment="1">
      <alignment horizontal="center" vertical="center"/>
    </xf>
    <xf numFmtId="0" fontId="136" fillId="5" borderId="28" xfId="0" applyFont="1" applyFill="1" applyBorder="1" applyAlignment="1">
      <alignment horizontal="center" vertical="center"/>
    </xf>
    <xf numFmtId="0" fontId="54" fillId="5" borderId="28" xfId="0" applyFont="1" applyFill="1" applyBorder="1" applyAlignment="1">
      <alignment horizontal="center" vertical="center"/>
    </xf>
    <xf numFmtId="0" fontId="54" fillId="5" borderId="39" xfId="0" applyFont="1" applyFill="1" applyBorder="1" applyAlignment="1">
      <alignment horizontal="center" vertical="center"/>
    </xf>
    <xf numFmtId="0" fontId="156" fillId="5" borderId="28" xfId="0" applyFont="1" applyFill="1" applyBorder="1" applyAlignment="1">
      <alignment horizontal="center" vertical="center"/>
    </xf>
    <xf numFmtId="0" fontId="136" fillId="5" borderId="39" xfId="0" applyFont="1" applyFill="1" applyBorder="1" applyAlignment="1">
      <alignment horizontal="center" vertical="center"/>
    </xf>
    <xf numFmtId="0" fontId="136" fillId="5" borderId="87" xfId="0" applyFont="1" applyFill="1" applyBorder="1">
      <alignment vertical="center"/>
    </xf>
    <xf numFmtId="0" fontId="156" fillId="5" borderId="2" xfId="0" applyFont="1" applyFill="1" applyBorder="1" applyAlignment="1">
      <alignment horizontal="center" vertical="center"/>
    </xf>
    <xf numFmtId="0" fontId="156" fillId="5" borderId="5" xfId="0" applyFont="1" applyFill="1" applyBorder="1" applyAlignment="1">
      <alignment horizontal="center" vertical="center"/>
    </xf>
    <xf numFmtId="0" fontId="156" fillId="5" borderId="94" xfId="0" applyFont="1" applyFill="1" applyBorder="1" applyAlignment="1">
      <alignment horizontal="center" vertical="center"/>
    </xf>
    <xf numFmtId="0" fontId="156" fillId="5" borderId="12" xfId="0" applyFont="1" applyFill="1" applyBorder="1" applyAlignment="1">
      <alignment horizontal="center" vertical="center"/>
    </xf>
    <xf numFmtId="0" fontId="136" fillId="5" borderId="19" xfId="0" applyFont="1" applyFill="1" applyBorder="1" applyAlignment="1">
      <alignment horizontal="center" vertical="center"/>
    </xf>
    <xf numFmtId="0" fontId="156" fillId="0" borderId="21" xfId="0" applyFont="1" applyBorder="1" applyAlignment="1" applyProtection="1">
      <alignment horizontal="center" vertical="center"/>
      <protection locked="0"/>
    </xf>
    <xf numFmtId="0" fontId="156" fillId="5" borderId="20" xfId="0" applyFont="1" applyFill="1" applyBorder="1" applyAlignment="1">
      <alignment horizontal="center" vertical="center"/>
    </xf>
    <xf numFmtId="0" fontId="136" fillId="0" borderId="2" xfId="0" applyFont="1" applyBorder="1" applyAlignment="1" applyProtection="1">
      <alignment horizontal="center" vertical="center"/>
      <protection locked="0"/>
    </xf>
    <xf numFmtId="0" fontId="156" fillId="5" borderId="9" xfId="0" applyFont="1" applyFill="1" applyBorder="1" applyAlignment="1">
      <alignment horizontal="center" vertical="center"/>
    </xf>
    <xf numFmtId="0" fontId="156" fillId="0" borderId="2" xfId="0" applyFont="1" applyBorder="1" applyAlignment="1" applyProtection="1">
      <alignment horizontal="center" vertical="center"/>
      <protection locked="0"/>
    </xf>
    <xf numFmtId="0" fontId="156" fillId="5" borderId="43" xfId="0" applyFont="1" applyFill="1" applyBorder="1" applyAlignment="1">
      <alignment horizontal="center" vertical="center"/>
    </xf>
    <xf numFmtId="0" fontId="136" fillId="5" borderId="61" xfId="0" applyFont="1" applyFill="1" applyBorder="1" applyAlignment="1">
      <alignment horizontal="center" vertical="center"/>
    </xf>
    <xf numFmtId="0" fontId="136" fillId="5" borderId="95" xfId="0" applyFont="1" applyFill="1" applyBorder="1" applyAlignment="1">
      <alignment horizontal="left" vertical="center"/>
    </xf>
    <xf numFmtId="0" fontId="54" fillId="5" borderId="61" xfId="0" applyFont="1" applyFill="1" applyBorder="1" applyAlignment="1">
      <alignment horizontal="center" vertical="center"/>
    </xf>
    <xf numFmtId="0" fontId="54" fillId="5" borderId="66" xfId="0" applyFont="1" applyFill="1" applyBorder="1" applyAlignment="1">
      <alignment horizontal="center" vertical="center"/>
    </xf>
    <xf numFmtId="0" fontId="156" fillId="5" borderId="47" xfId="0" applyFont="1" applyFill="1" applyBorder="1" applyAlignment="1">
      <alignment horizontal="center" vertical="center"/>
    </xf>
    <xf numFmtId="10" fontId="11" fillId="6" borderId="16" xfId="0" applyNumberFormat="1" applyFont="1" applyFill="1" applyBorder="1" applyAlignment="1" applyProtection="1">
      <alignment horizontal="left" vertical="center" wrapText="1"/>
      <protection locked="0"/>
    </xf>
    <xf numFmtId="0" fontId="155" fillId="0" borderId="11" xfId="0" applyFont="1" applyBorder="1" applyProtection="1">
      <alignment vertical="center"/>
      <protection locked="0"/>
    </xf>
    <xf numFmtId="0" fontId="191" fillId="0" borderId="2" xfId="0" applyFont="1" applyBorder="1" applyAlignment="1">
      <alignment horizontal="left" vertical="center" wrapText="1"/>
    </xf>
    <xf numFmtId="0" fontId="105" fillId="5" borderId="2" xfId="0" applyFont="1" applyFill="1" applyBorder="1" applyAlignment="1">
      <alignment horizontal="center" vertical="center"/>
    </xf>
    <xf numFmtId="0" fontId="196" fillId="5" borderId="11" xfId="0" applyFont="1" applyFill="1" applyBorder="1" applyAlignment="1">
      <alignment horizontal="center" vertical="center"/>
    </xf>
    <xf numFmtId="0" fontId="105" fillId="6" borderId="11" xfId="0" applyFont="1" applyFill="1" applyBorder="1" applyAlignment="1" applyProtection="1">
      <alignment horizontal="center" vertical="center"/>
      <protection locked="0"/>
    </xf>
    <xf numFmtId="0" fontId="196" fillId="5" borderId="43" xfId="0" applyFont="1" applyFill="1" applyBorder="1" applyAlignment="1">
      <alignment horizontal="center" vertical="center"/>
    </xf>
    <xf numFmtId="49" fontId="105" fillId="5" borderId="2" xfId="0" applyNumberFormat="1" applyFont="1" applyFill="1" applyBorder="1" applyAlignment="1">
      <alignment horizontal="center" vertical="center"/>
    </xf>
    <xf numFmtId="49" fontId="105" fillId="5" borderId="44" xfId="0" applyNumberFormat="1" applyFont="1" applyFill="1" applyBorder="1" applyAlignment="1">
      <alignment horizontal="center" vertical="center"/>
    </xf>
    <xf numFmtId="178" fontId="82" fillId="5" borderId="5" xfId="2" applyNumberFormat="1" applyFont="1" applyFill="1" applyBorder="1" applyAlignment="1">
      <alignment horizontal="center"/>
    </xf>
    <xf numFmtId="0" fontId="80" fillId="5" borderId="29" xfId="0" applyFont="1" applyFill="1" applyBorder="1" applyAlignment="1">
      <alignment horizontal="center" vertical="center"/>
    </xf>
    <xf numFmtId="0" fontId="155" fillId="5" borderId="9" xfId="0" applyFont="1" applyFill="1" applyBorder="1" applyAlignment="1">
      <alignment horizontal="center" vertical="center"/>
    </xf>
    <xf numFmtId="0" fontId="148" fillId="5" borderId="9" xfId="0" applyFont="1" applyFill="1" applyBorder="1" applyAlignment="1">
      <alignment horizontal="center" vertical="center"/>
    </xf>
    <xf numFmtId="0" fontId="148" fillId="5" borderId="12" xfId="0" applyFont="1" applyFill="1" applyBorder="1" applyAlignment="1">
      <alignment horizontal="center" vertical="center"/>
    </xf>
    <xf numFmtId="49" fontId="148" fillId="5" borderId="12" xfId="0" applyNumberFormat="1" applyFont="1" applyFill="1" applyBorder="1" applyAlignment="1">
      <alignment horizontal="center" vertical="center"/>
    </xf>
    <xf numFmtId="0" fontId="148" fillId="5" borderId="11" xfId="0" applyFont="1" applyFill="1" applyBorder="1" applyAlignment="1">
      <alignment horizontal="center" vertical="center"/>
    </xf>
    <xf numFmtId="0" fontId="148" fillId="5" borderId="43" xfId="0" applyFont="1" applyFill="1" applyBorder="1" applyAlignment="1">
      <alignment horizontal="center" vertical="center"/>
    </xf>
    <xf numFmtId="49" fontId="148" fillId="5" borderId="46" xfId="0" applyNumberFormat="1" applyFont="1" applyFill="1" applyBorder="1" applyAlignment="1">
      <alignment horizontal="center" vertical="center"/>
    </xf>
    <xf numFmtId="0" fontId="197" fillId="0" borderId="0" xfId="0" applyFont="1" applyAlignment="1" applyProtection="1">
      <alignment horizontal="left" vertical="center"/>
      <protection locked="0"/>
    </xf>
    <xf numFmtId="0" fontId="72" fillId="0" borderId="50" xfId="0" applyFont="1" applyBorder="1" applyAlignment="1" applyProtection="1">
      <alignment horizontal="center" vertical="center" wrapText="1"/>
      <protection locked="0"/>
    </xf>
    <xf numFmtId="0" fontId="72" fillId="0" borderId="21" xfId="0" applyFont="1" applyBorder="1" applyAlignment="1" applyProtection="1">
      <alignment horizontal="center" vertical="center" wrapText="1"/>
      <protection locked="0"/>
    </xf>
    <xf numFmtId="0" fontId="72" fillId="0" borderId="21" xfId="0" applyFont="1" applyBorder="1" applyAlignment="1" applyProtection="1">
      <alignment horizontal="left" vertical="center" wrapText="1"/>
      <protection locked="0"/>
    </xf>
    <xf numFmtId="0" fontId="72" fillId="5" borderId="96" xfId="0" applyFont="1" applyFill="1" applyBorder="1" applyAlignment="1">
      <alignment horizontal="center" vertical="center" wrapText="1"/>
    </xf>
    <xf numFmtId="0" fontId="72" fillId="0" borderId="97" xfId="0" applyFont="1" applyBorder="1" applyAlignment="1" applyProtection="1">
      <alignment horizontal="center" vertical="center" wrapText="1"/>
      <protection locked="0"/>
    </xf>
    <xf numFmtId="0" fontId="82" fillId="0" borderId="98" xfId="0" applyFont="1" applyBorder="1" applyAlignment="1" applyProtection="1">
      <alignment horizontal="center" vertical="center" wrapText="1"/>
      <protection locked="0"/>
    </xf>
    <xf numFmtId="0" fontId="82" fillId="5" borderId="99" xfId="0" applyFont="1" applyFill="1" applyBorder="1" applyAlignment="1">
      <alignment horizontal="center" vertical="center" wrapText="1"/>
    </xf>
    <xf numFmtId="0" fontId="72" fillId="5" borderId="97" xfId="0" applyFont="1" applyFill="1" applyBorder="1" applyAlignment="1">
      <alignment horizontal="center" vertical="center" wrapText="1"/>
    </xf>
    <xf numFmtId="0" fontId="82" fillId="5" borderId="98" xfId="0" applyFont="1" applyFill="1" applyBorder="1" applyAlignment="1">
      <alignment horizontal="center" vertical="center" wrapText="1"/>
    </xf>
    <xf numFmtId="0" fontId="82" fillId="0" borderId="0" xfId="0" applyFont="1" applyAlignment="1" applyProtection="1">
      <alignment horizontal="center" vertical="center"/>
      <protection locked="0"/>
    </xf>
    <xf numFmtId="0" fontId="75" fillId="0" borderId="0" xfId="0" applyFont="1" applyAlignment="1" applyProtection="1">
      <alignment horizontal="center" vertical="center"/>
      <protection locked="0"/>
    </xf>
    <xf numFmtId="0" fontId="113" fillId="0" borderId="0" xfId="0" applyFont="1" applyProtection="1">
      <alignment vertical="center"/>
      <protection locked="0"/>
    </xf>
    <xf numFmtId="0" fontId="71" fillId="5" borderId="2" xfId="0" applyFont="1" applyFill="1" applyBorder="1" applyAlignment="1">
      <alignment horizontal="center" vertical="center"/>
    </xf>
    <xf numFmtId="0" fontId="148" fillId="5" borderId="2" xfId="0" applyFont="1" applyFill="1" applyBorder="1" applyAlignment="1">
      <alignment horizontal="center" vertical="center" wrapText="1"/>
    </xf>
    <xf numFmtId="0" fontId="67" fillId="5" borderId="0" xfId="0" applyFont="1" applyFill="1" applyProtection="1">
      <alignment vertical="center"/>
      <protection locked="0"/>
    </xf>
    <xf numFmtId="0" fontId="67" fillId="0" borderId="0" xfId="0" applyFont="1" applyProtection="1">
      <alignment vertical="center"/>
      <protection locked="0"/>
    </xf>
    <xf numFmtId="177" fontId="67" fillId="0" borderId="0" xfId="0" applyNumberFormat="1" applyFont="1" applyProtection="1">
      <alignment vertical="center"/>
      <protection locked="0"/>
    </xf>
    <xf numFmtId="0" fontId="72" fillId="5" borderId="0" xfId="0" applyFont="1" applyFill="1" applyProtection="1">
      <alignment vertical="center"/>
      <protection locked="0"/>
    </xf>
    <xf numFmtId="180" fontId="72" fillId="5" borderId="0" xfId="0" applyNumberFormat="1" applyFont="1" applyFill="1" applyProtection="1">
      <alignment vertical="center"/>
      <protection locked="0"/>
    </xf>
    <xf numFmtId="0" fontId="72" fillId="5" borderId="0" xfId="0" applyFont="1" applyFill="1" applyAlignment="1" applyProtection="1">
      <alignment horizontal="center" vertical="center"/>
      <protection locked="0"/>
    </xf>
    <xf numFmtId="180" fontId="67" fillId="5" borderId="0" xfId="0" applyNumberFormat="1" applyFont="1" applyFill="1" applyProtection="1">
      <alignment vertical="center"/>
      <protection locked="0"/>
    </xf>
    <xf numFmtId="0" fontId="67" fillId="5" borderId="0" xfId="0" applyFont="1" applyFill="1" applyAlignment="1" applyProtection="1">
      <alignment horizontal="center" vertical="center"/>
      <protection locked="0"/>
    </xf>
    <xf numFmtId="180" fontId="72" fillId="0" borderId="0" xfId="0" applyNumberFormat="1" applyFont="1" applyProtection="1">
      <alignment vertical="center"/>
      <protection locked="0"/>
    </xf>
    <xf numFmtId="0" fontId="67" fillId="0" borderId="0" xfId="0" applyFont="1" applyAlignment="1" applyProtection="1">
      <alignment vertical="center" wrapText="1"/>
      <protection locked="0"/>
    </xf>
    <xf numFmtId="0" fontId="149" fillId="5" borderId="0" xfId="0" applyFont="1" applyFill="1" applyAlignment="1" applyProtection="1">
      <alignment horizontal="center" vertical="center"/>
      <protection locked="0"/>
    </xf>
    <xf numFmtId="0" fontId="154" fillId="5" borderId="0" xfId="0" applyFont="1" applyFill="1" applyAlignment="1" applyProtection="1">
      <alignment horizontal="center" vertical="center"/>
      <protection locked="0"/>
    </xf>
    <xf numFmtId="0" fontId="154" fillId="5" borderId="0" xfId="0" applyFont="1" applyFill="1" applyProtection="1">
      <alignment vertical="center"/>
      <protection locked="0"/>
    </xf>
    <xf numFmtId="0" fontId="65" fillId="5" borderId="0" xfId="0" applyFont="1" applyFill="1" applyAlignment="1" applyProtection="1">
      <alignment horizontal="center" vertical="center"/>
      <protection locked="0"/>
    </xf>
    <xf numFmtId="0" fontId="145" fillId="5" borderId="0" xfId="0" applyFont="1" applyFill="1" applyProtection="1">
      <alignment vertical="center"/>
      <protection locked="0"/>
    </xf>
    <xf numFmtId="9" fontId="72" fillId="5" borderId="0" xfId="0" applyNumberFormat="1" applyFont="1" applyFill="1" applyAlignment="1" applyProtection="1">
      <alignment horizontal="center" vertical="center"/>
      <protection locked="0"/>
    </xf>
    <xf numFmtId="10" fontId="72" fillId="5" borderId="0" xfId="0" applyNumberFormat="1" applyFont="1" applyFill="1" applyAlignment="1" applyProtection="1">
      <alignment horizontal="center" vertical="center"/>
      <protection locked="0"/>
    </xf>
    <xf numFmtId="0" fontId="72" fillId="5" borderId="0" xfId="4" applyFont="1" applyFill="1" applyAlignment="1" applyProtection="1">
      <alignment horizontal="left" vertical="center" wrapText="1"/>
      <protection locked="0"/>
    </xf>
    <xf numFmtId="0" fontId="145" fillId="0" borderId="0" xfId="0" applyFont="1" applyProtection="1">
      <alignment vertical="center"/>
      <protection locked="0"/>
    </xf>
    <xf numFmtId="0" fontId="145" fillId="5" borderId="0" xfId="4" applyFont="1" applyFill="1" applyAlignment="1" applyProtection="1">
      <alignment vertical="center" wrapText="1"/>
      <protection locked="0"/>
    </xf>
    <xf numFmtId="0" fontId="145" fillId="5" borderId="0" xfId="4" applyFont="1" applyFill="1" applyProtection="1">
      <protection locked="0"/>
    </xf>
    <xf numFmtId="0" fontId="72" fillId="8" borderId="0" xfId="0" applyFont="1" applyFill="1" applyProtection="1">
      <alignment vertical="center"/>
      <protection locked="0"/>
    </xf>
    <xf numFmtId="0" fontId="72" fillId="8" borderId="0" xfId="0" applyFont="1" applyFill="1" applyAlignment="1" applyProtection="1">
      <alignment horizontal="right" vertical="center"/>
      <protection locked="0"/>
    </xf>
    <xf numFmtId="0" fontId="81" fillId="8" borderId="0" xfId="0" applyFont="1" applyFill="1" applyAlignment="1" applyProtection="1">
      <alignment horizontal="left" vertical="center"/>
      <protection locked="0"/>
    </xf>
    <xf numFmtId="2" fontId="72" fillId="8" borderId="0" xfId="0" applyNumberFormat="1" applyFont="1" applyFill="1" applyAlignment="1" applyProtection="1">
      <alignment vertical="center" wrapText="1"/>
      <protection locked="0"/>
    </xf>
    <xf numFmtId="0" fontId="81" fillId="8" borderId="0" xfId="0" applyFont="1" applyFill="1" applyAlignment="1" applyProtection="1">
      <alignment vertical="center" wrapText="1"/>
      <protection locked="0"/>
    </xf>
    <xf numFmtId="0" fontId="72" fillId="8" borderId="0" xfId="0" applyFont="1" applyFill="1" applyAlignment="1" applyProtection="1">
      <alignment vertical="center" wrapText="1"/>
      <protection locked="0"/>
    </xf>
    <xf numFmtId="0" fontId="172" fillId="6" borderId="27" xfId="0" applyFont="1" applyFill="1" applyBorder="1" applyAlignment="1">
      <alignment horizontal="center" vertical="center" wrapText="1"/>
    </xf>
    <xf numFmtId="0" fontId="172" fillId="6" borderId="6" xfId="0" applyFont="1" applyFill="1" applyBorder="1" applyAlignment="1">
      <alignment horizontal="justify" vertical="center" wrapText="1"/>
    </xf>
    <xf numFmtId="0" fontId="172" fillId="6" borderId="7" xfId="0" applyFont="1" applyFill="1" applyBorder="1" applyAlignment="1">
      <alignment horizontal="justify" vertical="center" wrapText="1"/>
    </xf>
    <xf numFmtId="0" fontId="94" fillId="5" borderId="0" xfId="0" applyFont="1" applyFill="1" applyProtection="1">
      <alignment vertical="center"/>
      <protection locked="0"/>
    </xf>
    <xf numFmtId="49" fontId="97" fillId="5" borderId="0" xfId="0" applyNumberFormat="1" applyFont="1" applyFill="1" applyAlignment="1" applyProtection="1">
      <alignment horizontal="center"/>
      <protection locked="0"/>
    </xf>
    <xf numFmtId="49" fontId="97" fillId="5" borderId="0" xfId="0" applyNumberFormat="1" applyFont="1" applyFill="1" applyAlignment="1" applyProtection="1">
      <alignment horizontal="left"/>
      <protection locked="0"/>
    </xf>
    <xf numFmtId="0" fontId="94" fillId="8" borderId="0" xfId="0" applyFont="1" applyFill="1" applyProtection="1">
      <alignment vertical="center"/>
      <protection locked="0"/>
    </xf>
    <xf numFmtId="0" fontId="94" fillId="0" borderId="0" xfId="0" applyFont="1" applyProtection="1">
      <alignment vertical="center"/>
      <protection locked="0"/>
    </xf>
    <xf numFmtId="0" fontId="102" fillId="5" borderId="0" xfId="0" applyFont="1" applyFill="1" applyProtection="1">
      <alignment vertical="center"/>
      <protection locked="0"/>
    </xf>
    <xf numFmtId="49" fontId="93" fillId="5" borderId="0" xfId="0" applyNumberFormat="1" applyFont="1" applyFill="1" applyAlignment="1" applyProtection="1">
      <protection locked="0"/>
    </xf>
    <xf numFmtId="49" fontId="93" fillId="5" borderId="0" xfId="0" applyNumberFormat="1" applyFont="1" applyFill="1" applyAlignment="1" applyProtection="1">
      <alignment horizontal="center"/>
      <protection locked="0"/>
    </xf>
    <xf numFmtId="49" fontId="93" fillId="5" borderId="0" xfId="0" applyNumberFormat="1" applyFont="1" applyFill="1" applyAlignment="1" applyProtection="1">
      <alignment horizontal="left"/>
      <protection locked="0"/>
    </xf>
    <xf numFmtId="0" fontId="102" fillId="8" borderId="0" xfId="0" applyFont="1" applyFill="1" applyProtection="1">
      <alignment vertical="center"/>
      <protection locked="0"/>
    </xf>
    <xf numFmtId="0" fontId="102" fillId="0" borderId="0" xfId="0" applyFont="1" applyProtection="1">
      <alignment vertical="center"/>
      <protection locked="0"/>
    </xf>
    <xf numFmtId="0" fontId="94" fillId="5" borderId="0" xfId="0" applyFont="1" applyFill="1" applyAlignment="1" applyProtection="1">
      <alignment horizontal="center" vertical="center"/>
      <protection locked="0"/>
    </xf>
    <xf numFmtId="0" fontId="112" fillId="8" borderId="0" xfId="0" applyFont="1" applyFill="1" applyProtection="1">
      <alignment vertical="center"/>
      <protection locked="0"/>
    </xf>
    <xf numFmtId="0" fontId="112" fillId="0" borderId="0" xfId="0" applyFont="1" applyProtection="1">
      <alignment vertical="center"/>
      <protection locked="0"/>
    </xf>
    <xf numFmtId="49" fontId="91" fillId="5" borderId="0" xfId="0" applyNumberFormat="1" applyFont="1" applyFill="1" applyAlignment="1" applyProtection="1">
      <alignment horizontal="left" vertical="center"/>
      <protection locked="0"/>
    </xf>
    <xf numFmtId="0" fontId="91" fillId="5" borderId="0" xfId="0" applyFont="1" applyFill="1" applyAlignment="1" applyProtection="1">
      <alignment horizontal="left" vertical="center"/>
      <protection locked="0"/>
    </xf>
    <xf numFmtId="0" fontId="113" fillId="5" borderId="0" xfId="0" applyFont="1" applyFill="1" applyAlignment="1" applyProtection="1">
      <alignment horizontal="center" vertical="center"/>
      <protection locked="0"/>
    </xf>
    <xf numFmtId="0" fontId="82" fillId="5" borderId="0" xfId="0" applyFont="1" applyFill="1" applyAlignment="1" applyProtection="1">
      <alignment horizontal="left" vertical="center"/>
      <protection locked="0"/>
    </xf>
    <xf numFmtId="180" fontId="113" fillId="5" borderId="0" xfId="0" applyNumberFormat="1" applyFont="1" applyFill="1" applyAlignment="1" applyProtection="1">
      <alignment horizontal="center" vertical="center"/>
      <protection locked="0"/>
    </xf>
    <xf numFmtId="49" fontId="114" fillId="5" borderId="0" xfId="0" applyNumberFormat="1" applyFont="1" applyFill="1" applyAlignment="1" applyProtection="1">
      <alignment horizontal="left" vertical="center"/>
      <protection locked="0"/>
    </xf>
    <xf numFmtId="0" fontId="114" fillId="5" borderId="0" xfId="0" applyFont="1" applyFill="1" applyAlignment="1" applyProtection="1">
      <alignment horizontal="left" vertical="center"/>
      <protection locked="0"/>
    </xf>
    <xf numFmtId="0" fontId="115" fillId="5" borderId="0" xfId="0" applyFont="1" applyFill="1" applyAlignment="1" applyProtection="1">
      <alignment horizontal="center" vertical="center"/>
      <protection locked="0"/>
    </xf>
    <xf numFmtId="0" fontId="116" fillId="5" borderId="0" xfId="0" applyFont="1" applyFill="1" applyProtection="1">
      <alignment vertical="center"/>
      <protection locked="0"/>
    </xf>
    <xf numFmtId="0" fontId="117" fillId="5" borderId="0" xfId="0" applyFont="1" applyFill="1" applyAlignment="1" applyProtection="1">
      <alignment horizontal="left" vertical="center"/>
      <protection locked="0"/>
    </xf>
    <xf numFmtId="180" fontId="115" fillId="5" borderId="0" xfId="0" applyNumberFormat="1" applyFont="1" applyFill="1" applyAlignment="1" applyProtection="1">
      <alignment horizontal="center" vertical="center"/>
      <protection locked="0"/>
    </xf>
    <xf numFmtId="0" fontId="145" fillId="5" borderId="0" xfId="0" applyFont="1" applyFill="1" applyAlignment="1" applyProtection="1">
      <protection locked="0"/>
    </xf>
    <xf numFmtId="0" fontId="145" fillId="5" borderId="0" xfId="0" applyFont="1" applyFill="1" applyAlignment="1" applyProtection="1">
      <alignment horizontal="left"/>
      <protection locked="0"/>
    </xf>
    <xf numFmtId="0" fontId="71" fillId="5" borderId="0" xfId="0" applyFont="1" applyFill="1" applyAlignment="1" applyProtection="1">
      <protection locked="0"/>
    </xf>
    <xf numFmtId="0" fontId="71" fillId="5" borderId="0" xfId="0" applyFont="1" applyFill="1" applyAlignment="1" applyProtection="1">
      <alignment horizontal="left"/>
      <protection locked="0"/>
    </xf>
    <xf numFmtId="0" fontId="72" fillId="5" borderId="0" xfId="0" applyFont="1" applyFill="1" applyAlignment="1" applyProtection="1">
      <alignment horizontal="left" vertical="center"/>
      <protection locked="0"/>
    </xf>
    <xf numFmtId="0" fontId="102" fillId="5" borderId="0" xfId="0" applyFont="1" applyFill="1" applyAlignment="1" applyProtection="1">
      <alignment horizontal="left" vertical="center"/>
      <protection locked="0"/>
    </xf>
    <xf numFmtId="49" fontId="67" fillId="8" borderId="0" xfId="0" applyNumberFormat="1" applyFont="1" applyFill="1" applyAlignment="1" applyProtection="1">
      <protection locked="0"/>
    </xf>
    <xf numFmtId="0" fontId="67" fillId="8" borderId="0" xfId="0" applyFont="1" applyFill="1" applyAlignment="1" applyProtection="1">
      <protection locked="0"/>
    </xf>
    <xf numFmtId="0" fontId="102" fillId="8" borderId="0" xfId="0" applyFont="1" applyFill="1" applyAlignment="1" applyProtection="1">
      <alignment horizontal="left" vertical="center"/>
      <protection locked="0"/>
    </xf>
    <xf numFmtId="176" fontId="67" fillId="8" borderId="0" xfId="0" applyNumberFormat="1" applyFont="1" applyFill="1" applyAlignment="1" applyProtection="1">
      <alignment horizontal="center"/>
      <protection locked="0"/>
    </xf>
    <xf numFmtId="0" fontId="82" fillId="8" borderId="0" xfId="0" applyFont="1" applyFill="1" applyAlignment="1" applyProtection="1">
      <alignment horizontal="left" vertical="center"/>
      <protection locked="0"/>
    </xf>
    <xf numFmtId="180" fontId="82" fillId="8" borderId="0" xfId="0" applyNumberFormat="1" applyFont="1" applyFill="1" applyAlignment="1" applyProtection="1">
      <alignment horizontal="center" vertical="center"/>
      <protection locked="0"/>
    </xf>
    <xf numFmtId="0" fontId="82" fillId="8" borderId="0" xfId="0" applyFont="1" applyFill="1" applyAlignment="1" applyProtection="1">
      <alignment vertical="center" wrapText="1"/>
      <protection locked="0"/>
    </xf>
    <xf numFmtId="10" fontId="82" fillId="8" borderId="0" xfId="0" applyNumberFormat="1" applyFont="1" applyFill="1" applyAlignment="1" applyProtection="1">
      <alignment horizontal="center"/>
      <protection locked="0"/>
    </xf>
    <xf numFmtId="49" fontId="91" fillId="8" borderId="0" xfId="0" applyNumberFormat="1" applyFont="1" applyFill="1" applyAlignment="1" applyProtection="1">
      <alignment horizontal="left" vertical="center"/>
      <protection locked="0"/>
    </xf>
    <xf numFmtId="0" fontId="113" fillId="8" borderId="0" xfId="0" applyFont="1" applyFill="1" applyAlignment="1" applyProtection="1">
      <alignment horizontal="center"/>
      <protection locked="0"/>
    </xf>
    <xf numFmtId="49" fontId="102" fillId="8" borderId="0" xfId="0" applyNumberFormat="1" applyFont="1" applyFill="1" applyProtection="1">
      <alignment vertical="center"/>
      <protection locked="0"/>
    </xf>
    <xf numFmtId="0" fontId="102" fillId="8" borderId="0" xfId="0" applyFont="1" applyFill="1" applyAlignment="1" applyProtection="1">
      <alignment horizontal="center" vertical="center"/>
      <protection locked="0"/>
    </xf>
    <xf numFmtId="49" fontId="102" fillId="0" borderId="0" xfId="0" applyNumberFormat="1" applyFont="1" applyProtection="1">
      <alignment vertical="center"/>
      <protection locked="0"/>
    </xf>
    <xf numFmtId="0" fontId="102" fillId="0" borderId="0" xfId="0" applyFont="1" applyAlignment="1" applyProtection="1">
      <alignment horizontal="center" vertical="center"/>
      <protection locked="0"/>
    </xf>
    <xf numFmtId="0" fontId="102" fillId="0" borderId="0" xfId="0" applyFont="1" applyAlignment="1" applyProtection="1">
      <alignment horizontal="left" vertical="center"/>
      <protection locked="0"/>
    </xf>
    <xf numFmtId="0" fontId="93" fillId="5" borderId="2" xfId="2" applyFont="1" applyFill="1" applyBorder="1" applyProtection="1">
      <alignment vertical="center"/>
      <protection locked="0"/>
    </xf>
    <xf numFmtId="0" fontId="67" fillId="8" borderId="0" xfId="0" applyFont="1" applyFill="1" applyAlignment="1" applyProtection="1">
      <alignment horizontal="center"/>
      <protection locked="0"/>
    </xf>
    <xf numFmtId="0" fontId="147" fillId="5" borderId="59" xfId="2" applyFont="1" applyFill="1" applyBorder="1" applyProtection="1">
      <alignment vertical="center"/>
      <protection locked="0"/>
    </xf>
    <xf numFmtId="0" fontId="66" fillId="5" borderId="0" xfId="2" applyFont="1" applyFill="1" applyProtection="1">
      <alignment vertical="center"/>
      <protection locked="0"/>
    </xf>
    <xf numFmtId="178" fontId="93" fillId="5" borderId="2" xfId="2" applyNumberFormat="1" applyFont="1" applyFill="1" applyBorder="1" applyAlignment="1" applyProtection="1">
      <alignment horizontal="right" vertical="center"/>
      <protection locked="0"/>
    </xf>
    <xf numFmtId="0" fontId="53" fillId="5" borderId="10" xfId="2" applyFont="1" applyFill="1" applyBorder="1" applyProtection="1">
      <alignment vertical="center"/>
      <protection locked="0"/>
    </xf>
    <xf numFmtId="0" fontId="93" fillId="5" borderId="10" xfId="2" applyFont="1" applyFill="1" applyBorder="1" applyAlignment="1" applyProtection="1">
      <alignment horizontal="right" vertical="center"/>
      <protection locked="0"/>
    </xf>
    <xf numFmtId="0" fontId="93" fillId="5" borderId="0" xfId="2" applyFont="1" applyFill="1" applyProtection="1">
      <alignment vertical="center"/>
      <protection locked="0"/>
    </xf>
    <xf numFmtId="0" fontId="66" fillId="5" borderId="30" xfId="0" applyFont="1" applyFill="1" applyBorder="1" applyAlignment="1" applyProtection="1">
      <protection locked="0"/>
    </xf>
    <xf numFmtId="0" fontId="66" fillId="5" borderId="57" xfId="0" applyFont="1" applyFill="1" applyBorder="1" applyAlignment="1" applyProtection="1">
      <protection locked="0"/>
    </xf>
    <xf numFmtId="0" fontId="95" fillId="8" borderId="0" xfId="0" applyFont="1" applyFill="1" applyAlignment="1" applyProtection="1">
      <protection locked="0"/>
    </xf>
    <xf numFmtId="0" fontId="71" fillId="8" borderId="0" xfId="0" applyFont="1" applyFill="1" applyAlignment="1" applyProtection="1">
      <protection locked="0"/>
    </xf>
    <xf numFmtId="0" fontId="71" fillId="0" borderId="0" xfId="0" applyFont="1" applyAlignment="1" applyProtection="1">
      <protection locked="0"/>
    </xf>
    <xf numFmtId="0" fontId="72" fillId="8" borderId="0" xfId="0" applyFont="1" applyFill="1" applyAlignment="1" applyProtection="1">
      <protection locked="0"/>
    </xf>
    <xf numFmtId="0" fontId="72" fillId="0" borderId="0" xfId="0" applyFont="1" applyAlignment="1" applyProtection="1">
      <protection locked="0"/>
    </xf>
    <xf numFmtId="0" fontId="76" fillId="8" borderId="0" xfId="0" applyFont="1" applyFill="1" applyProtection="1">
      <alignment vertical="center"/>
      <protection locked="0"/>
    </xf>
    <xf numFmtId="0" fontId="76" fillId="0" borderId="0" xfId="0" applyFont="1" applyProtection="1">
      <alignment vertical="center"/>
      <protection locked="0"/>
    </xf>
    <xf numFmtId="0" fontId="76" fillId="8" borderId="0" xfId="0" applyFont="1" applyFill="1" applyAlignment="1" applyProtection="1">
      <protection locked="0"/>
    </xf>
    <xf numFmtId="0" fontId="96" fillId="8" borderId="0" xfId="0" applyFont="1" applyFill="1" applyProtection="1">
      <alignment vertical="center"/>
      <protection locked="0"/>
    </xf>
    <xf numFmtId="0" fontId="75" fillId="8" borderId="0" xfId="0" applyFont="1" applyFill="1" applyAlignment="1" applyProtection="1">
      <protection locked="0"/>
    </xf>
    <xf numFmtId="0" fontId="96" fillId="8" borderId="0" xfId="0" applyFont="1" applyFill="1" applyAlignment="1" applyProtection="1">
      <protection locked="0"/>
    </xf>
    <xf numFmtId="0" fontId="76"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72" fillId="3" borderId="0" xfId="0" applyFont="1" applyFill="1" applyAlignment="1" applyProtection="1">
      <alignment horizontal="center"/>
      <protection locked="0"/>
    </xf>
    <xf numFmtId="185" fontId="72" fillId="3" borderId="0" xfId="0" applyNumberFormat="1" applyFont="1" applyFill="1" applyAlignment="1" applyProtection="1">
      <alignment horizontal="center"/>
      <protection locked="0"/>
    </xf>
    <xf numFmtId="0" fontId="96" fillId="8" borderId="0" xfId="0" applyFont="1" applyFill="1" applyAlignment="1" applyProtection="1">
      <alignment vertical="center" wrapText="1"/>
      <protection locked="0"/>
    </xf>
    <xf numFmtId="0" fontId="93" fillId="5" borderId="0" xfId="0" applyFont="1" applyFill="1" applyProtection="1">
      <alignment vertical="center"/>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188" fontId="97" fillId="5" borderId="0" xfId="0" applyNumberFormat="1" applyFont="1" applyFill="1" applyAlignment="1" applyProtection="1">
      <alignment horizontal="center" vertical="center"/>
      <protection locked="0"/>
    </xf>
    <xf numFmtId="182" fontId="97" fillId="5" borderId="0" xfId="0" applyNumberFormat="1" applyFont="1" applyFill="1" applyProtection="1">
      <alignment vertical="center"/>
      <protection locked="0"/>
    </xf>
    <xf numFmtId="0" fontId="97" fillId="5" borderId="0" xfId="0" applyFont="1" applyFill="1" applyAlignment="1" applyProtection="1">
      <alignment horizontal="center" vertical="center"/>
      <protection locked="0"/>
    </xf>
    <xf numFmtId="182" fontId="67" fillId="5" borderId="0" xfId="0" applyNumberFormat="1" applyFont="1" applyFill="1" applyAlignment="1" applyProtection="1">
      <alignment vertical="center" wrapText="1"/>
      <protection locked="0"/>
    </xf>
    <xf numFmtId="0" fontId="80" fillId="5" borderId="0" xfId="0" applyFont="1" applyFill="1" applyAlignment="1" applyProtection="1">
      <alignment horizontal="center" vertical="center"/>
      <protection locked="0"/>
    </xf>
    <xf numFmtId="182" fontId="67" fillId="5" borderId="0" xfId="0" applyNumberFormat="1" applyFont="1" applyFill="1" applyAlignment="1" applyProtection="1">
      <alignment horizontal="center" vertical="center" wrapText="1"/>
      <protection locked="0"/>
    </xf>
    <xf numFmtId="0" fontId="67" fillId="5" borderId="18" xfId="0" applyFont="1" applyFill="1" applyBorder="1" applyAlignment="1" applyProtection="1">
      <alignment horizontal="center" vertical="center"/>
      <protection locked="0"/>
    </xf>
    <xf numFmtId="182" fontId="100" fillId="5" borderId="0" xfId="0" applyNumberFormat="1" applyFont="1" applyFill="1" applyAlignment="1" applyProtection="1">
      <alignment horizontal="center" vertical="center" wrapText="1"/>
      <protection locked="0"/>
    </xf>
    <xf numFmtId="0" fontId="100" fillId="5" borderId="18" xfId="0" applyFont="1" applyFill="1" applyBorder="1" applyAlignment="1" applyProtection="1">
      <alignment horizontal="center" vertical="center"/>
      <protection locked="0"/>
    </xf>
    <xf numFmtId="182" fontId="76" fillId="5" borderId="0" xfId="0" applyNumberFormat="1" applyFont="1" applyFill="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101" fillId="5" borderId="0" xfId="0" applyNumberFormat="1" applyFont="1" applyFill="1" applyAlignment="1" applyProtection="1">
      <alignment horizontal="center" vertical="center" wrapText="1"/>
      <protection locked="0"/>
    </xf>
    <xf numFmtId="0" fontId="76" fillId="5" borderId="18" xfId="0" applyFont="1" applyFill="1" applyBorder="1" applyAlignment="1" applyProtection="1">
      <alignment horizontal="center" vertical="center"/>
      <protection locked="0"/>
    </xf>
    <xf numFmtId="182" fontId="80" fillId="5" borderId="0" xfId="0" applyNumberFormat="1" applyFont="1" applyFill="1" applyAlignment="1" applyProtection="1">
      <alignment vertical="center" wrapText="1"/>
      <protection locked="0"/>
    </xf>
    <xf numFmtId="0" fontId="101" fillId="5" borderId="0" xfId="0" applyFont="1" applyFill="1" applyAlignment="1" applyProtection="1">
      <alignment horizontal="center" vertical="center"/>
      <protection locked="0"/>
    </xf>
    <xf numFmtId="14" fontId="80" fillId="5" borderId="0" xfId="0" applyNumberFormat="1" applyFont="1" applyFill="1" applyAlignment="1" applyProtection="1">
      <alignment horizontal="center" vertical="center"/>
      <protection locked="0"/>
    </xf>
    <xf numFmtId="188" fontId="80" fillId="5" borderId="0" xfId="0" applyNumberFormat="1" applyFont="1" applyFill="1" applyAlignment="1" applyProtection="1">
      <alignment horizontal="center" vertical="center"/>
      <protection locked="0"/>
    </xf>
    <xf numFmtId="182" fontId="80" fillId="5" borderId="0" xfId="0" applyNumberFormat="1" applyFont="1" applyFill="1" applyAlignment="1" applyProtection="1">
      <alignment horizontal="center" vertical="center"/>
      <protection locked="0"/>
    </xf>
    <xf numFmtId="177" fontId="80" fillId="5" borderId="0" xfId="0" applyNumberFormat="1" applyFont="1" applyFill="1" applyAlignment="1" applyProtection="1">
      <alignment horizontal="center" vertical="center"/>
      <protection locked="0"/>
    </xf>
    <xf numFmtId="188" fontId="101" fillId="5" borderId="0" xfId="0" applyNumberFormat="1" applyFont="1" applyFill="1" applyAlignment="1" applyProtection="1">
      <alignment horizontal="center" vertical="center"/>
      <protection locked="0"/>
    </xf>
    <xf numFmtId="182" fontId="101" fillId="5" borderId="0" xfId="0" applyNumberFormat="1" applyFont="1" applyFill="1" applyAlignment="1" applyProtection="1">
      <alignment horizontal="center" vertical="center"/>
      <protection locked="0"/>
    </xf>
    <xf numFmtId="0" fontId="198" fillId="5" borderId="0" xfId="0" applyFont="1" applyFill="1" applyAlignment="1" applyProtection="1">
      <alignment horizontal="left" vertical="center"/>
      <protection locked="0"/>
    </xf>
    <xf numFmtId="0" fontId="105" fillId="5" borderId="0" xfId="0" applyFont="1" applyFill="1" applyAlignment="1" applyProtection="1">
      <alignment horizontal="center" vertical="center"/>
      <protection locked="0"/>
    </xf>
    <xf numFmtId="0" fontId="82" fillId="5" borderId="0" xfId="0" applyFont="1" applyFill="1" applyAlignment="1" applyProtection="1">
      <protection locked="0"/>
    </xf>
    <xf numFmtId="0" fontId="80" fillId="5" borderId="0" xfId="0" applyFont="1" applyFill="1" applyAlignment="1" applyProtection="1">
      <protection locked="0"/>
    </xf>
    <xf numFmtId="9" fontId="67" fillId="5" borderId="0" xfId="0" applyNumberFormat="1" applyFont="1" applyFill="1" applyAlignment="1" applyProtection="1">
      <alignment horizontal="center" vertical="center" wrapText="1"/>
      <protection locked="0"/>
    </xf>
    <xf numFmtId="49" fontId="67" fillId="5" borderId="0" xfId="0" applyNumberFormat="1" applyFont="1" applyFill="1" applyAlignment="1" applyProtection="1">
      <alignment horizontal="center" vertical="center" wrapText="1"/>
      <protection locked="0"/>
    </xf>
    <xf numFmtId="49" fontId="67" fillId="5" borderId="0" xfId="0" applyNumberFormat="1" applyFont="1" applyFill="1" applyAlignment="1" applyProtection="1">
      <alignment horizontal="center" vertical="center"/>
      <protection locked="0"/>
    </xf>
    <xf numFmtId="0" fontId="67" fillId="5" borderId="0" xfId="0" applyFont="1" applyFill="1" applyAlignment="1" applyProtection="1">
      <alignment horizontal="center" vertical="center" wrapText="1"/>
      <protection locked="0"/>
    </xf>
    <xf numFmtId="0" fontId="101" fillId="5" borderId="0" xfId="0" applyFont="1" applyFill="1" applyAlignment="1" applyProtection="1">
      <alignment horizontal="center" vertical="center" wrapText="1"/>
      <protection locked="0"/>
    </xf>
    <xf numFmtId="0" fontId="80" fillId="5" borderId="0" xfId="0" applyFont="1" applyFill="1" applyAlignment="1" applyProtection="1">
      <alignment horizontal="center" vertical="center" wrapText="1"/>
      <protection locked="0"/>
    </xf>
    <xf numFmtId="0" fontId="76" fillId="5" borderId="0" xfId="0" applyFont="1" applyFill="1" applyAlignment="1" applyProtection="1">
      <alignment horizontal="center" vertical="center" wrapText="1"/>
      <protection locked="0"/>
    </xf>
    <xf numFmtId="9" fontId="76" fillId="5" borderId="0" xfId="0" applyNumberFormat="1" applyFont="1" applyFill="1" applyAlignment="1" applyProtection="1">
      <alignment horizontal="center" vertical="center" wrapText="1"/>
      <protection locked="0"/>
    </xf>
    <xf numFmtId="0" fontId="76" fillId="5" borderId="0" xfId="0" applyFont="1" applyFill="1" applyAlignment="1" applyProtection="1">
      <alignment horizontal="center" vertical="center"/>
      <protection locked="0"/>
    </xf>
    <xf numFmtId="9" fontId="76" fillId="5" borderId="0" xfId="0" applyNumberFormat="1" applyFont="1" applyFill="1" applyAlignment="1" applyProtection="1">
      <alignment horizontal="center" vertical="center"/>
      <protection locked="0"/>
    </xf>
    <xf numFmtId="0" fontId="76" fillId="5" borderId="0" xfId="0" applyFont="1" applyFill="1" applyAlignment="1" applyProtection="1">
      <alignment vertical="center" wrapText="1"/>
      <protection locked="0"/>
    </xf>
    <xf numFmtId="0" fontId="67" fillId="5" borderId="0" xfId="0" applyFont="1" applyFill="1" applyAlignment="1" applyProtection="1">
      <alignment vertical="center" wrapText="1"/>
      <protection locked="0"/>
    </xf>
    <xf numFmtId="0" fontId="80" fillId="8" borderId="0" xfId="0" applyFont="1" applyFill="1" applyAlignment="1" applyProtection="1">
      <alignment horizontal="center" vertical="center"/>
      <protection locked="0"/>
    </xf>
    <xf numFmtId="188" fontId="80" fillId="8" borderId="0" xfId="0" applyNumberFormat="1" applyFont="1" applyFill="1" applyAlignment="1" applyProtection="1">
      <alignment horizontal="center" vertical="center"/>
      <protection locked="0"/>
    </xf>
    <xf numFmtId="182" fontId="80" fillId="8" borderId="0" xfId="0" applyNumberFormat="1" applyFont="1" applyFill="1" applyAlignment="1" applyProtection="1">
      <alignment horizontal="center" vertical="center"/>
      <protection locked="0"/>
    </xf>
    <xf numFmtId="0" fontId="100" fillId="5" borderId="0" xfId="0" applyFont="1" applyFill="1" applyAlignment="1" applyProtection="1">
      <alignment horizontal="center" vertical="center"/>
      <protection locked="0"/>
    </xf>
    <xf numFmtId="0" fontId="80" fillId="0" borderId="0" xfId="0" applyFont="1" applyAlignment="1" applyProtection="1">
      <alignment horizontal="center" vertical="center"/>
      <protection locked="0"/>
    </xf>
    <xf numFmtId="188" fontId="80" fillId="0" borderId="0" xfId="0" applyNumberFormat="1" applyFont="1" applyAlignment="1" applyProtection="1">
      <alignment horizontal="center" vertical="center"/>
      <protection locked="0"/>
    </xf>
    <xf numFmtId="182" fontId="80" fillId="0" borderId="0" xfId="0" applyNumberFormat="1" applyFont="1" applyAlignment="1" applyProtection="1">
      <alignment horizontal="center" vertical="center"/>
      <protection locked="0"/>
    </xf>
    <xf numFmtId="0" fontId="93" fillId="5" borderId="28" xfId="2" applyFont="1" applyFill="1" applyBorder="1" applyProtection="1">
      <alignment vertical="center"/>
      <protection locked="0"/>
    </xf>
    <xf numFmtId="0" fontId="91" fillId="8" borderId="0" xfId="0" applyFont="1" applyFill="1" applyProtection="1">
      <alignment vertical="center"/>
      <protection locked="0"/>
    </xf>
    <xf numFmtId="0" fontId="91" fillId="0" borderId="0" xfId="0" applyFont="1" applyProtection="1">
      <alignment vertical="center"/>
      <protection locked="0"/>
    </xf>
    <xf numFmtId="0" fontId="82" fillId="3" borderId="0" xfId="0" applyFont="1" applyFill="1" applyAlignment="1" applyProtection="1">
      <alignment horizontal="left" vertical="center"/>
      <protection locked="0"/>
    </xf>
    <xf numFmtId="0" fontId="82" fillId="3" borderId="0" xfId="0" applyFont="1" applyFill="1" applyProtection="1">
      <alignment vertical="center"/>
      <protection locked="0"/>
    </xf>
    <xf numFmtId="0" fontId="82" fillId="3" borderId="0" xfId="0" applyFont="1" applyFill="1" applyAlignment="1" applyProtection="1">
      <alignment horizontal="center" vertical="center"/>
      <protection locked="0"/>
    </xf>
    <xf numFmtId="0" fontId="82" fillId="8" borderId="0" xfId="0" applyFont="1" applyFill="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4" fillId="5" borderId="0" xfId="3" applyFont="1" applyFill="1" applyAlignment="1" applyProtection="1">
      <alignment horizontal="center" vertical="center" wrapText="1"/>
      <protection locked="0"/>
    </xf>
    <xf numFmtId="0" fontId="82" fillId="5" borderId="0" xfId="3" applyFont="1" applyFill="1" applyAlignment="1" applyProtection="1">
      <alignment vertical="center" wrapText="1"/>
      <protection locked="0"/>
    </xf>
    <xf numFmtId="0" fontId="82" fillId="5" borderId="0" xfId="3" applyFont="1" applyFill="1" applyAlignment="1" applyProtection="1">
      <alignment horizontal="center" vertical="center" wrapText="1"/>
      <protection locked="0"/>
    </xf>
    <xf numFmtId="10" fontId="82" fillId="5" borderId="0" xfId="3" applyNumberFormat="1" applyFont="1" applyFill="1" applyAlignment="1" applyProtection="1">
      <alignment horizontal="center" vertical="center" wrapText="1"/>
      <protection locked="0"/>
    </xf>
    <xf numFmtId="0" fontId="80"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69" fillId="5" borderId="0" xfId="0" applyFont="1" applyFill="1" applyProtection="1">
      <alignment vertical="center"/>
      <protection locked="0"/>
    </xf>
    <xf numFmtId="188" fontId="93" fillId="5" borderId="0" xfId="0" applyNumberFormat="1" applyFont="1" applyFill="1" applyAlignment="1" applyProtection="1">
      <alignment horizontal="center" vertical="center"/>
      <protection locked="0"/>
    </xf>
    <xf numFmtId="182" fontId="93" fillId="5" borderId="0" xfId="0" applyNumberFormat="1" applyFont="1" applyFill="1" applyProtection="1">
      <alignment vertical="center"/>
      <protection locked="0"/>
    </xf>
    <xf numFmtId="0" fontId="93" fillId="5" borderId="0" xfId="0" applyFont="1" applyFill="1" applyAlignment="1" applyProtection="1">
      <alignment horizontal="center" vertical="center"/>
      <protection locked="0"/>
    </xf>
    <xf numFmtId="9" fontId="80" fillId="5" borderId="0" xfId="0" applyNumberFormat="1" applyFont="1" applyFill="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0" fontId="80" fillId="5" borderId="13" xfId="0" applyFont="1" applyFill="1" applyBorder="1" applyAlignment="1" applyProtection="1">
      <protection locked="0"/>
    </xf>
    <xf numFmtId="49" fontId="67" fillId="5" borderId="13" xfId="0" applyNumberFormat="1" applyFont="1" applyFill="1" applyBorder="1" applyAlignment="1" applyProtection="1">
      <alignment horizontal="center" vertical="center"/>
      <protection locked="0"/>
    </xf>
    <xf numFmtId="9" fontId="67" fillId="5" borderId="13" xfId="0" applyNumberFormat="1" applyFont="1" applyFill="1" applyBorder="1" applyAlignment="1" applyProtection="1">
      <alignment horizontal="center" vertical="center" wrapText="1"/>
      <protection locked="0"/>
    </xf>
    <xf numFmtId="0" fontId="145" fillId="5" borderId="13" xfId="0" applyFont="1" applyFill="1" applyBorder="1" applyProtection="1">
      <alignment vertical="center"/>
      <protection locked="0"/>
    </xf>
    <xf numFmtId="0" fontId="67"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protection locked="0"/>
    </xf>
    <xf numFmtId="0" fontId="76" fillId="5" borderId="13" xfId="0" applyFont="1" applyFill="1" applyBorder="1" applyAlignment="1" applyProtection="1">
      <alignment vertical="center" wrapText="1"/>
      <protection locked="0"/>
    </xf>
    <xf numFmtId="0" fontId="67" fillId="5" borderId="13" xfId="0" applyFont="1" applyFill="1" applyBorder="1" applyAlignment="1" applyProtection="1">
      <alignment vertical="center" wrapText="1"/>
      <protection locked="0"/>
    </xf>
    <xf numFmtId="0" fontId="80" fillId="5" borderId="13" xfId="0" applyFont="1" applyFill="1" applyBorder="1" applyAlignment="1" applyProtection="1">
      <alignment horizontal="center" vertical="center" wrapText="1"/>
      <protection locked="0"/>
    </xf>
    <xf numFmtId="0" fontId="80" fillId="0" borderId="13" xfId="0" applyFont="1" applyBorder="1" applyAlignment="1" applyProtection="1">
      <alignment horizontal="center" vertical="center"/>
      <protection locked="0"/>
    </xf>
    <xf numFmtId="0" fontId="80" fillId="0" borderId="13" xfId="0" applyFont="1" applyBorder="1" applyAlignment="1">
      <alignment horizontal="center" vertical="center"/>
    </xf>
    <xf numFmtId="0" fontId="80" fillId="5" borderId="0" xfId="0" applyFont="1" applyFill="1" applyAlignment="1" applyProtection="1">
      <alignment horizontal="center"/>
      <protection locked="0"/>
    </xf>
    <xf numFmtId="188" fontId="80" fillId="5" borderId="0" xfId="0" applyNumberFormat="1" applyFont="1" applyFill="1" applyAlignment="1" applyProtection="1">
      <alignment horizontal="center"/>
      <protection locked="0"/>
    </xf>
    <xf numFmtId="182" fontId="80" fillId="5" borderId="0" xfId="0" applyNumberFormat="1" applyFont="1" applyFill="1" applyAlignment="1" applyProtection="1">
      <protection locked="0"/>
    </xf>
    <xf numFmtId="0" fontId="140" fillId="5" borderId="28"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protection locked="0"/>
    </xf>
    <xf numFmtId="9" fontId="105" fillId="6" borderId="2" xfId="0" applyNumberFormat="1" applyFont="1" applyFill="1" applyBorder="1" applyAlignment="1" applyProtection="1">
      <alignment horizontal="center" vertical="center"/>
      <protection locked="0"/>
    </xf>
    <xf numFmtId="0" fontId="203" fillId="8" borderId="0" xfId="0" applyFont="1" applyFill="1" applyAlignment="1" applyProtection="1">
      <protection locked="0"/>
    </xf>
    <xf numFmtId="0" fontId="46" fillId="5" borderId="2" xfId="0" applyFont="1" applyFill="1" applyBorder="1" applyAlignment="1">
      <alignment horizontal="left" vertical="center"/>
    </xf>
    <xf numFmtId="0" fontId="42" fillId="5" borderId="10" xfId="0" applyFont="1" applyFill="1" applyBorder="1" applyAlignment="1">
      <alignment vertical="center" wrapText="1"/>
    </xf>
    <xf numFmtId="0" fontId="67" fillId="0" borderId="12" xfId="2" applyFont="1" applyBorder="1" applyAlignment="1" applyProtection="1">
      <alignment horizontal="center" vertical="center"/>
      <protection locked="0"/>
    </xf>
    <xf numFmtId="0" fontId="72" fillId="5" borderId="44" xfId="0" applyFont="1" applyFill="1" applyBorder="1" applyAlignment="1">
      <alignment horizontal="center" vertical="center"/>
    </xf>
    <xf numFmtId="0" fontId="91" fillId="5" borderId="4" xfId="0" applyFont="1" applyFill="1" applyBorder="1" applyAlignment="1" applyProtection="1">
      <alignment vertical="center" wrapText="1"/>
      <protection locked="0"/>
    </xf>
    <xf numFmtId="0" fontId="72" fillId="5" borderId="57" xfId="0" applyFont="1" applyFill="1" applyBorder="1" applyAlignment="1">
      <alignment horizontal="center" vertical="center" wrapText="1"/>
    </xf>
    <xf numFmtId="0" fontId="82" fillId="8" borderId="0" xfId="0" applyFont="1" applyFill="1" applyAlignment="1" applyProtection="1">
      <alignment horizontal="center" vertical="center"/>
      <protection locked="0"/>
    </xf>
    <xf numFmtId="0" fontId="113" fillId="5" borderId="13" xfId="0" applyFont="1" applyFill="1" applyBorder="1" applyAlignment="1" applyProtection="1">
      <alignment vertical="center" textRotation="255" wrapText="1"/>
      <protection locked="0"/>
    </xf>
    <xf numFmtId="0" fontId="75" fillId="0" borderId="5" xfId="0" applyFont="1" applyBorder="1" applyAlignment="1" applyProtection="1">
      <alignment horizontal="center" vertical="center" wrapText="1"/>
      <protection locked="0"/>
    </xf>
    <xf numFmtId="0" fontId="72" fillId="0" borderId="5"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113" fillId="5" borderId="13" xfId="0" applyFont="1" applyFill="1" applyBorder="1" applyAlignment="1" applyProtection="1">
      <alignment vertical="center" wrapText="1"/>
      <protection locked="0"/>
    </xf>
    <xf numFmtId="0" fontId="72" fillId="5" borderId="31" xfId="0" applyFont="1" applyFill="1" applyBorder="1" applyAlignment="1">
      <alignment horizontal="center" vertical="center" wrapText="1"/>
    </xf>
    <xf numFmtId="0" fontId="72" fillId="0" borderId="22" xfId="0" applyFont="1" applyBorder="1" applyAlignment="1" applyProtection="1">
      <alignment horizontal="center" vertical="center" wrapText="1"/>
      <protection locked="0"/>
    </xf>
    <xf numFmtId="0" fontId="82" fillId="0" borderId="10" xfId="0" applyFont="1" applyBorder="1" applyAlignment="1" applyProtection="1">
      <alignment horizontal="center" vertical="center" wrapText="1"/>
      <protection locked="0"/>
    </xf>
    <xf numFmtId="0" fontId="82" fillId="0" borderId="4" xfId="0" applyFont="1" applyBorder="1" applyAlignment="1" applyProtection="1">
      <alignment horizontal="center" vertical="center" wrapText="1"/>
      <protection locked="0"/>
    </xf>
    <xf numFmtId="0" fontId="72" fillId="0" borderId="4" xfId="0" applyFont="1" applyBorder="1" applyAlignment="1" applyProtection="1">
      <alignment horizontal="center" vertical="center" wrapText="1"/>
      <protection locked="0"/>
    </xf>
    <xf numFmtId="0" fontId="82" fillId="0" borderId="15" xfId="0" applyFont="1" applyBorder="1" applyAlignment="1" applyProtection="1">
      <alignment horizontal="center" vertical="center" wrapText="1"/>
      <protection locked="0"/>
    </xf>
    <xf numFmtId="0" fontId="82" fillId="5" borderId="65" xfId="0" applyFont="1" applyFill="1" applyBorder="1" applyAlignment="1">
      <alignment horizontal="center" vertical="center" wrapText="1"/>
    </xf>
    <xf numFmtId="0" fontId="81" fillId="5" borderId="13" xfId="0" applyFont="1" applyFill="1" applyBorder="1" applyAlignment="1" applyProtection="1">
      <alignment vertical="center" wrapText="1"/>
      <protection locked="0"/>
    </xf>
    <xf numFmtId="0" fontId="72" fillId="0" borderId="106" xfId="0" applyFont="1" applyBorder="1" applyAlignment="1" applyProtection="1">
      <alignment horizontal="center" vertical="center" wrapText="1"/>
      <protection locked="0"/>
    </xf>
    <xf numFmtId="0" fontId="72" fillId="0" borderId="107" xfId="0" applyFont="1" applyBorder="1" applyAlignment="1" applyProtection="1">
      <alignment horizontal="center" vertical="center" wrapText="1"/>
      <protection locked="0"/>
    </xf>
    <xf numFmtId="0" fontId="72" fillId="0" borderId="107" xfId="0" applyFont="1" applyBorder="1" applyAlignment="1" applyProtection="1">
      <alignment horizontal="left" vertical="center" wrapText="1"/>
      <protection locked="0"/>
    </xf>
    <xf numFmtId="0" fontId="72" fillId="0" borderId="108" xfId="0" applyFont="1" applyBorder="1" applyAlignment="1" applyProtection="1">
      <alignment horizontal="center" vertical="center" wrapText="1"/>
      <protection locked="0"/>
    </xf>
    <xf numFmtId="0" fontId="72" fillId="0" borderId="109" xfId="0" applyFont="1" applyBorder="1" applyAlignment="1" applyProtection="1">
      <alignment horizontal="center" vertical="center" wrapText="1"/>
      <protection locked="0"/>
    </xf>
    <xf numFmtId="0" fontId="72" fillId="0" borderId="110" xfId="0" applyFont="1" applyBorder="1" applyAlignment="1" applyProtection="1">
      <alignment horizontal="center" vertical="center" wrapText="1"/>
      <protection locked="0"/>
    </xf>
    <xf numFmtId="0" fontId="72" fillId="8" borderId="0" xfId="0" applyFont="1" applyFill="1" applyAlignment="1" applyProtection="1">
      <alignment horizontal="center" vertical="center"/>
      <protection locked="0"/>
    </xf>
    <xf numFmtId="0" fontId="72" fillId="0" borderId="17" xfId="0" applyFont="1" applyBorder="1" applyAlignment="1" applyProtection="1">
      <alignment horizontal="center" vertical="center" wrapText="1"/>
      <protection locked="0"/>
    </xf>
    <xf numFmtId="0" fontId="72" fillId="0" borderId="13" xfId="0" applyFont="1" applyBorder="1" applyAlignment="1" applyProtection="1">
      <alignment horizontal="center" vertical="center"/>
      <protection locked="0"/>
    </xf>
    <xf numFmtId="0" fontId="72" fillId="0" borderId="3" xfId="0" applyFont="1" applyBorder="1" applyAlignment="1" applyProtection="1">
      <alignment horizontal="center" vertical="center" wrapText="1"/>
      <protection locked="0"/>
    </xf>
    <xf numFmtId="9" fontId="72" fillId="0" borderId="3" xfId="0" applyNumberFormat="1" applyFont="1" applyBorder="1" applyAlignment="1" applyProtection="1">
      <alignment horizontal="center" vertical="center" wrapText="1"/>
      <protection locked="0"/>
    </xf>
    <xf numFmtId="0" fontId="72" fillId="0" borderId="3" xfId="0" applyFont="1" applyBorder="1" applyAlignment="1" applyProtection="1">
      <alignment horizontal="center" vertical="center"/>
      <protection locked="0"/>
    </xf>
    <xf numFmtId="0" fontId="72" fillId="0" borderId="65" xfId="0" applyFont="1" applyBorder="1" applyAlignment="1" applyProtection="1">
      <alignment horizontal="center" vertical="center"/>
      <protection locked="0"/>
    </xf>
    <xf numFmtId="0" fontId="72" fillId="5" borderId="22" xfId="0" applyFont="1" applyFill="1" applyBorder="1" applyAlignment="1">
      <alignment horizontal="center" vertical="center" wrapText="1"/>
    </xf>
    <xf numFmtId="0" fontId="82" fillId="5" borderId="10" xfId="0" applyFont="1" applyFill="1" applyBorder="1" applyAlignment="1">
      <alignment horizontal="center" vertical="center" wrapText="1"/>
    </xf>
    <xf numFmtId="0" fontId="72" fillId="0" borderId="113" xfId="0" applyFont="1" applyBorder="1" applyAlignment="1" applyProtection="1">
      <alignment horizontal="center" vertical="center"/>
      <protection locked="0"/>
    </xf>
    <xf numFmtId="0" fontId="72" fillId="0" borderId="114" xfId="0" applyFont="1" applyBorder="1" applyAlignment="1" applyProtection="1">
      <alignment horizontal="center" vertical="center" wrapText="1"/>
      <protection locked="0"/>
    </xf>
    <xf numFmtId="9" fontId="72" fillId="0" borderId="114" xfId="0" applyNumberFormat="1" applyFont="1" applyBorder="1" applyAlignment="1" applyProtection="1">
      <alignment horizontal="center" vertical="center" wrapText="1"/>
      <protection locked="0"/>
    </xf>
    <xf numFmtId="0" fontId="72" fillId="0" borderId="114" xfId="0" applyFont="1" applyBorder="1" applyAlignment="1" applyProtection="1">
      <alignment horizontal="center" vertical="center"/>
      <protection locked="0"/>
    </xf>
    <xf numFmtId="0" fontId="72" fillId="0" borderId="110" xfId="0" applyFont="1" applyBorder="1" applyAlignment="1" applyProtection="1">
      <alignment horizontal="center" vertical="center"/>
      <protection locked="0"/>
    </xf>
    <xf numFmtId="0" fontId="72" fillId="5" borderId="110" xfId="0" applyFont="1" applyFill="1" applyBorder="1" applyAlignment="1">
      <alignment horizontal="center" vertical="center" wrapText="1"/>
    </xf>
    <xf numFmtId="0" fontId="82" fillId="0" borderId="111" xfId="0" applyFont="1" applyBorder="1" applyAlignment="1" applyProtection="1">
      <alignment horizontal="center" vertical="center" wrapText="1"/>
      <protection locked="0"/>
    </xf>
    <xf numFmtId="0" fontId="82" fillId="0" borderId="112" xfId="0" applyFont="1" applyBorder="1" applyAlignment="1" applyProtection="1">
      <alignment horizontal="center" vertical="center" wrapText="1"/>
      <protection locked="0"/>
    </xf>
    <xf numFmtId="0" fontId="130" fillId="5" borderId="115" xfId="0" applyFont="1" applyFill="1" applyBorder="1" applyAlignment="1">
      <alignment horizontal="center" vertical="center" wrapText="1"/>
    </xf>
    <xf numFmtId="0" fontId="11" fillId="10" borderId="26" xfId="0" applyFont="1" applyFill="1" applyBorder="1" applyAlignment="1">
      <alignment horizontal="center" vertical="center" wrapText="1"/>
    </xf>
    <xf numFmtId="0" fontId="72" fillId="10" borderId="1" xfId="0" applyFont="1" applyFill="1" applyBorder="1" applyAlignment="1" applyProtection="1">
      <alignment horizontal="center" vertical="center" wrapText="1"/>
      <protection locked="0"/>
    </xf>
    <xf numFmtId="0" fontId="72" fillId="10" borderId="6" xfId="0" applyFont="1" applyFill="1" applyBorder="1" applyAlignment="1" applyProtection="1">
      <alignment horizontal="center" vertical="center" wrapText="1"/>
      <protection locked="0"/>
    </xf>
    <xf numFmtId="0" fontId="72" fillId="10" borderId="6" xfId="0" applyFont="1" applyFill="1" applyBorder="1" applyAlignment="1" applyProtection="1">
      <alignment horizontal="left" vertical="center" wrapText="1"/>
      <protection locked="0"/>
    </xf>
    <xf numFmtId="0" fontId="72" fillId="10" borderId="29" xfId="0" applyFont="1" applyFill="1" applyBorder="1" applyAlignment="1" applyProtection="1">
      <alignment horizontal="center" vertical="center" wrapText="1"/>
      <protection locked="0"/>
    </xf>
    <xf numFmtId="0" fontId="72" fillId="10" borderId="40" xfId="0" applyFont="1" applyFill="1" applyBorder="1" applyAlignment="1" applyProtection="1">
      <alignment horizontal="center" vertical="center"/>
      <protection locked="0"/>
    </xf>
    <xf numFmtId="0" fontId="72" fillId="10" borderId="27" xfId="0" applyFont="1" applyFill="1" applyBorder="1" applyAlignment="1" applyProtection="1">
      <alignment horizontal="center" vertical="center" wrapText="1"/>
      <protection locked="0"/>
    </xf>
    <xf numFmtId="9"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protection locked="0"/>
    </xf>
    <xf numFmtId="0" fontId="72" fillId="10" borderId="39" xfId="0" applyFont="1" applyFill="1" applyBorder="1" applyAlignment="1" applyProtection="1">
      <alignment horizontal="center" vertical="center"/>
      <protection locked="0"/>
    </xf>
    <xf numFmtId="0" fontId="81" fillId="10" borderId="116" xfId="0" applyFont="1" applyFill="1" applyBorder="1" applyAlignment="1" applyProtection="1">
      <alignment vertical="center" wrapText="1"/>
      <protection locked="0"/>
    </xf>
    <xf numFmtId="0" fontId="72" fillId="10" borderId="54" xfId="0" applyFont="1" applyFill="1" applyBorder="1" applyAlignment="1">
      <alignment horizontal="center" vertical="center" wrapText="1"/>
    </xf>
    <xf numFmtId="0" fontId="72" fillId="10" borderId="43" xfId="0" applyFont="1" applyFill="1" applyBorder="1" applyAlignment="1" applyProtection="1">
      <alignment horizontal="center" vertical="center" wrapText="1"/>
      <protection locked="0"/>
    </xf>
    <xf numFmtId="0" fontId="82" fillId="10" borderId="44" xfId="0" applyFont="1" applyFill="1" applyBorder="1" applyAlignment="1" applyProtection="1">
      <alignment horizontal="center" vertical="center" wrapText="1"/>
      <protection locked="0"/>
    </xf>
    <xf numFmtId="0" fontId="82" fillId="10" borderId="45" xfId="0" applyFont="1" applyFill="1" applyBorder="1" applyAlignment="1" applyProtection="1">
      <alignment horizontal="center" vertical="center" wrapText="1"/>
      <protection locked="0"/>
    </xf>
    <xf numFmtId="0" fontId="82" fillId="10" borderId="48" xfId="0" applyFont="1" applyFill="1" applyBorder="1" applyAlignment="1" applyProtection="1">
      <alignment horizontal="center" vertical="center" wrapText="1"/>
      <protection locked="0"/>
    </xf>
    <xf numFmtId="0" fontId="48" fillId="5" borderId="28" xfId="0" applyFont="1" applyFill="1" applyBorder="1">
      <alignment vertical="center"/>
    </xf>
    <xf numFmtId="0" fontId="77" fillId="5" borderId="5" xfId="0" applyFont="1" applyFill="1" applyBorder="1">
      <alignment vertical="center"/>
    </xf>
    <xf numFmtId="0" fontId="77" fillId="5" borderId="2" xfId="0" applyFont="1" applyFill="1" applyBorder="1">
      <alignment vertical="center"/>
    </xf>
    <xf numFmtId="178" fontId="126" fillId="5" borderId="11" xfId="2" applyNumberFormat="1" applyFont="1" applyFill="1" applyBorder="1" applyAlignment="1">
      <alignment horizontal="left" vertical="center"/>
    </xf>
    <xf numFmtId="178" fontId="67" fillId="5" borderId="11" xfId="2" applyNumberFormat="1" applyFont="1" applyFill="1" applyBorder="1" applyAlignment="1">
      <alignment horizontal="left" vertical="center" wrapText="1"/>
    </xf>
    <xf numFmtId="0" fontId="17" fillId="5" borderId="1" xfId="2" applyFont="1" applyFill="1" applyBorder="1" applyAlignment="1">
      <alignment vertical="center" wrapText="1"/>
    </xf>
    <xf numFmtId="0" fontId="67" fillId="5" borderId="2" xfId="0" applyFont="1" applyFill="1" applyBorder="1" applyAlignment="1">
      <alignment horizontal="right" vertical="center" wrapText="1"/>
    </xf>
    <xf numFmtId="178" fontId="67" fillId="5" borderId="2" xfId="2" applyNumberFormat="1" applyFont="1" applyFill="1" applyBorder="1">
      <alignment vertical="center"/>
    </xf>
    <xf numFmtId="178" fontId="67" fillId="5" borderId="5" xfId="2" applyNumberFormat="1" applyFont="1" applyFill="1" applyBorder="1">
      <alignment vertical="center"/>
    </xf>
    <xf numFmtId="178" fontId="67" fillId="5" borderId="11" xfId="2" applyNumberFormat="1" applyFont="1" applyFill="1" applyBorder="1" applyAlignment="1">
      <alignment horizontal="center" vertical="center"/>
    </xf>
    <xf numFmtId="184" fontId="67" fillId="5" borderId="2" xfId="0" applyNumberFormat="1" applyFont="1" applyFill="1" applyBorder="1" applyAlignment="1">
      <alignment horizontal="center" vertical="center"/>
    </xf>
    <xf numFmtId="182" fontId="76" fillId="5" borderId="2" xfId="0" applyNumberFormat="1" applyFont="1" applyFill="1" applyBorder="1" applyAlignment="1">
      <alignment horizontal="center" vertical="center"/>
    </xf>
    <xf numFmtId="180" fontId="67" fillId="5" borderId="43" xfId="2" applyNumberFormat="1" applyFont="1" applyFill="1" applyBorder="1" applyAlignment="1">
      <alignment horizontal="center" vertical="center"/>
    </xf>
    <xf numFmtId="178" fontId="77" fillId="5" borderId="11" xfId="2" applyNumberFormat="1" applyFont="1" applyFill="1" applyBorder="1" applyAlignment="1">
      <alignment horizontal="left" vertical="center" wrapText="1"/>
    </xf>
    <xf numFmtId="0" fontId="48" fillId="5" borderId="9" xfId="0" applyFont="1" applyFill="1" applyBorder="1" applyAlignment="1">
      <alignment horizontal="left" vertical="center"/>
    </xf>
    <xf numFmtId="0" fontId="46" fillId="5" borderId="5" xfId="0" applyFont="1" applyFill="1" applyBorder="1" applyAlignment="1">
      <alignment horizontal="left" vertical="center"/>
    </xf>
    <xf numFmtId="0" fontId="78" fillId="5" borderId="9" xfId="0" applyFont="1" applyFill="1" applyBorder="1" applyAlignment="1">
      <alignment horizontal="center" vertical="center"/>
    </xf>
    <xf numFmtId="178" fontId="67" fillId="5" borderId="2" xfId="2" applyNumberFormat="1" applyFont="1" applyFill="1" applyBorder="1" applyAlignment="1">
      <alignment horizontal="center" vertical="center"/>
    </xf>
    <xf numFmtId="0" fontId="67" fillId="0" borderId="12" xfId="2" applyFont="1" applyBorder="1" applyAlignment="1">
      <alignment horizontal="center" vertical="center"/>
    </xf>
    <xf numFmtId="9" fontId="67" fillId="5" borderId="5" xfId="0" applyNumberFormat="1" applyFont="1" applyFill="1" applyBorder="1" applyAlignment="1">
      <alignment horizontal="center" vertical="center"/>
    </xf>
    <xf numFmtId="10" fontId="67" fillId="5" borderId="2" xfId="2" applyNumberFormat="1" applyFont="1" applyFill="1" applyBorder="1" applyAlignment="1">
      <alignment horizontal="center" vertical="center"/>
    </xf>
    <xf numFmtId="182" fontId="67" fillId="5" borderId="2" xfId="0" applyNumberFormat="1" applyFont="1" applyFill="1" applyBorder="1">
      <alignment vertical="center"/>
    </xf>
    <xf numFmtId="182" fontId="67" fillId="5" borderId="5" xfId="0" applyNumberFormat="1" applyFont="1" applyFill="1" applyBorder="1">
      <alignment vertical="center"/>
    </xf>
    <xf numFmtId="182" fontId="67" fillId="5" borderId="12" xfId="0" applyNumberFormat="1" applyFont="1" applyFill="1" applyBorder="1">
      <alignment vertical="center"/>
    </xf>
    <xf numFmtId="182" fontId="67" fillId="5" borderId="2" xfId="0" applyNumberFormat="1" applyFont="1" applyFill="1" applyBorder="1" applyAlignment="1">
      <alignment horizontal="center" vertical="center"/>
    </xf>
    <xf numFmtId="182" fontId="67" fillId="5" borderId="5" xfId="0" applyNumberFormat="1" applyFont="1" applyFill="1" applyBorder="1" applyAlignment="1">
      <alignment horizontal="center" vertical="center"/>
    </xf>
    <xf numFmtId="10" fontId="67" fillId="5" borderId="2" xfId="0" applyNumberFormat="1" applyFont="1" applyFill="1" applyBorder="1" applyAlignment="1">
      <alignment horizontal="center" vertical="center"/>
    </xf>
    <xf numFmtId="183" fontId="67" fillId="5" borderId="2" xfId="0" applyNumberFormat="1" applyFont="1" applyFill="1" applyBorder="1" applyAlignment="1">
      <alignment horizontal="center" vertical="center"/>
    </xf>
    <xf numFmtId="182" fontId="67" fillId="5" borderId="12" xfId="0" applyNumberFormat="1" applyFont="1" applyFill="1" applyBorder="1" applyAlignment="1">
      <alignment horizontal="center" vertical="center"/>
    </xf>
    <xf numFmtId="0" fontId="78" fillId="5" borderId="18" xfId="0" applyFont="1" applyFill="1" applyBorder="1" applyAlignment="1">
      <alignment horizontal="center" vertical="center"/>
    </xf>
    <xf numFmtId="0" fontId="72" fillId="5" borderId="20" xfId="0" applyFont="1" applyFill="1" applyBorder="1" applyAlignment="1" applyProtection="1">
      <alignment horizontal="left" vertical="center"/>
      <protection locked="0"/>
    </xf>
    <xf numFmtId="0" fontId="129" fillId="5" borderId="47" xfId="0" applyFont="1" applyFill="1" applyBorder="1">
      <alignment vertical="center"/>
    </xf>
    <xf numFmtId="0" fontId="48" fillId="5" borderId="2" xfId="0" applyFont="1" applyFill="1" applyBorder="1">
      <alignment vertical="center"/>
    </xf>
    <xf numFmtId="0" fontId="39" fillId="5" borderId="11" xfId="2" applyFont="1" applyFill="1" applyBorder="1" applyAlignment="1"/>
    <xf numFmtId="0" fontId="205" fillId="5" borderId="9" xfId="0" applyFont="1" applyFill="1" applyBorder="1" applyAlignment="1">
      <alignment horizontal="right" vertical="center"/>
    </xf>
    <xf numFmtId="0" fontId="206" fillId="5" borderId="5" xfId="0" applyFont="1" applyFill="1" applyBorder="1" applyAlignment="1">
      <alignment horizontal="left" vertical="center"/>
    </xf>
    <xf numFmtId="0" fontId="207" fillId="5" borderId="9" xfId="0" applyFont="1" applyFill="1" applyBorder="1" applyAlignment="1">
      <alignment horizontal="right" vertical="center"/>
    </xf>
    <xf numFmtId="0" fontId="78" fillId="5" borderId="9" xfId="0" applyFont="1" applyFill="1" applyBorder="1" applyAlignment="1">
      <alignment horizontal="right" vertical="center"/>
    </xf>
    <xf numFmtId="178" fontId="48" fillId="5" borderId="2" xfId="2" applyNumberFormat="1" applyFont="1" applyFill="1" applyBorder="1">
      <alignment vertical="center"/>
    </xf>
    <xf numFmtId="14" fontId="71" fillId="5" borderId="34" xfId="0" applyNumberFormat="1" applyFont="1" applyFill="1" applyBorder="1" applyAlignment="1">
      <alignment horizontal="center" vertical="center"/>
    </xf>
    <xf numFmtId="0" fontId="148" fillId="5" borderId="2" xfId="0" applyFont="1" applyFill="1" applyBorder="1" applyAlignment="1" applyProtection="1">
      <alignment horizontal="left" vertical="center" wrapText="1"/>
      <protection locked="0"/>
    </xf>
    <xf numFmtId="0" fontId="78" fillId="5" borderId="2" xfId="0" applyFont="1" applyFill="1" applyBorder="1" applyAlignment="1">
      <alignment horizontal="center" vertical="center" wrapText="1"/>
    </xf>
    <xf numFmtId="177" fontId="72" fillId="0" borderId="2" xfId="0" applyNumberFormat="1" applyFont="1" applyBorder="1" applyAlignment="1" applyProtection="1">
      <alignment horizontal="center" vertical="center" wrapText="1"/>
      <protection locked="0"/>
    </xf>
    <xf numFmtId="0" fontId="77" fillId="5" borderId="21" xfId="0" applyFont="1" applyFill="1" applyBorder="1">
      <alignment vertical="center"/>
    </xf>
    <xf numFmtId="0" fontId="145" fillId="0" borderId="2" xfId="0" applyFont="1" applyBorder="1" applyAlignment="1" applyProtection="1">
      <alignment horizontal="center" vertical="center" wrapText="1"/>
      <protection locked="0"/>
    </xf>
    <xf numFmtId="0" fontId="145" fillId="0" borderId="2" xfId="0" applyFont="1" applyBorder="1" applyAlignment="1" applyProtection="1">
      <alignment horizontal="left" vertical="center" wrapText="1"/>
      <protection locked="0"/>
    </xf>
    <xf numFmtId="0" fontId="145" fillId="0" borderId="12" xfId="0" applyFont="1" applyBorder="1" applyAlignment="1" applyProtection="1">
      <alignment horizontal="center" vertical="center" wrapText="1"/>
      <protection locked="0"/>
    </xf>
    <xf numFmtId="0" fontId="208" fillId="2" borderId="14" xfId="0" applyFont="1" applyFill="1" applyBorder="1" applyProtection="1">
      <alignment vertical="center"/>
      <protection locked="0"/>
    </xf>
    <xf numFmtId="182" fontId="81" fillId="0" borderId="12" xfId="0" applyNumberFormat="1" applyFont="1" applyBorder="1" applyAlignment="1" applyProtection="1">
      <alignment horizontal="center" vertical="center"/>
      <protection locked="0"/>
    </xf>
    <xf numFmtId="0" fontId="81" fillId="5" borderId="27" xfId="0" applyFont="1" applyFill="1" applyBorder="1" applyAlignment="1">
      <alignment horizontal="center" vertical="center"/>
    </xf>
    <xf numFmtId="0" fontId="72" fillId="5" borderId="27" xfId="0" applyFont="1" applyFill="1" applyBorder="1">
      <alignment vertical="center"/>
    </xf>
    <xf numFmtId="0" fontId="46" fillId="5" borderId="6" xfId="0" applyFont="1" applyFill="1" applyBorder="1" applyAlignment="1">
      <alignment horizontal="left" vertical="center"/>
    </xf>
    <xf numFmtId="0" fontId="81" fillId="0" borderId="7" xfId="0" applyFont="1" applyBorder="1" applyAlignment="1" applyProtection="1">
      <alignment horizontal="center" vertical="center"/>
      <protection locked="0"/>
    </xf>
    <xf numFmtId="0" fontId="209" fillId="8" borderId="36" xfId="0" applyFont="1" applyFill="1" applyBorder="1" applyProtection="1">
      <alignment vertical="center"/>
      <protection locked="0"/>
    </xf>
    <xf numFmtId="0" fontId="102" fillId="8" borderId="37" xfId="0" applyFont="1" applyFill="1" applyBorder="1" applyProtection="1">
      <alignment vertical="center"/>
      <protection locked="0"/>
    </xf>
    <xf numFmtId="0" fontId="102" fillId="8" borderId="38" xfId="0" applyFont="1" applyFill="1" applyBorder="1" applyAlignment="1" applyProtection="1">
      <alignment horizontal="left" vertical="center"/>
      <protection locked="0"/>
    </xf>
    <xf numFmtId="0" fontId="128" fillId="6" borderId="7" xfId="0" applyFont="1" applyFill="1" applyBorder="1" applyAlignment="1" applyProtection="1">
      <alignment horizontal="center" vertical="center"/>
      <protection locked="0"/>
    </xf>
    <xf numFmtId="0" fontId="144" fillId="6" borderId="12" xfId="0" applyFont="1" applyFill="1" applyBorder="1" applyAlignment="1" applyProtection="1">
      <alignment horizontal="center"/>
      <protection locked="0"/>
    </xf>
    <xf numFmtId="0" fontId="102" fillId="8" borderId="12" xfId="0" applyFont="1" applyFill="1" applyBorder="1" applyAlignment="1" applyProtection="1">
      <alignment horizontal="center" vertical="center"/>
      <protection locked="0"/>
    </xf>
    <xf numFmtId="10" fontId="102" fillId="0" borderId="46" xfId="0" applyNumberFormat="1" applyFont="1" applyBorder="1" applyAlignment="1" applyProtection="1">
      <alignment horizontal="center" vertical="center"/>
      <protection locked="0"/>
    </xf>
    <xf numFmtId="0" fontId="102" fillId="6" borderId="57" xfId="0" applyFont="1" applyFill="1" applyBorder="1" applyAlignment="1" applyProtection="1">
      <alignment horizontal="center" vertical="center"/>
      <protection locked="0"/>
    </xf>
    <xf numFmtId="49" fontId="32" fillId="5" borderId="0" xfId="0" applyNumberFormat="1" applyFont="1" applyFill="1" applyAlignment="1">
      <alignment horizontal="center"/>
    </xf>
    <xf numFmtId="0" fontId="102" fillId="5" borderId="0" xfId="0" applyFont="1" applyFill="1" applyAlignment="1">
      <alignment horizontal="center"/>
    </xf>
    <xf numFmtId="182" fontId="67"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94" fillId="8" borderId="0" xfId="0" applyFont="1" applyFill="1" applyAlignment="1" applyProtection="1">
      <alignment horizontal="center" vertical="center"/>
      <protection locked="0"/>
    </xf>
    <xf numFmtId="0" fontId="112" fillId="8" borderId="0" xfId="0" applyFont="1" applyFill="1" applyAlignment="1" applyProtection="1">
      <alignment horizontal="center" vertical="center"/>
      <protection locked="0"/>
    </xf>
    <xf numFmtId="0" fontId="211" fillId="5" borderId="0" xfId="0" applyFont="1" applyFill="1">
      <alignment vertical="center"/>
    </xf>
    <xf numFmtId="0" fontId="144" fillId="5" borderId="82" xfId="0" applyFont="1" applyFill="1" applyBorder="1" applyAlignment="1">
      <alignment vertical="center" wrapText="1"/>
    </xf>
    <xf numFmtId="0" fontId="144" fillId="5" borderId="38" xfId="0" applyFont="1" applyFill="1" applyBorder="1">
      <alignment vertical="center"/>
    </xf>
    <xf numFmtId="0" fontId="144" fillId="5" borderId="38" xfId="0" applyFont="1" applyFill="1" applyBorder="1" applyAlignment="1">
      <alignment horizontal="center" vertical="center" wrapText="1"/>
    </xf>
    <xf numFmtId="0" fontId="172" fillId="5" borderId="80" xfId="0" applyFont="1" applyFill="1" applyBorder="1" applyAlignment="1">
      <alignment vertical="center" wrapText="1"/>
    </xf>
    <xf numFmtId="0" fontId="144" fillId="5" borderId="66" xfId="0" applyFont="1" applyFill="1" applyBorder="1">
      <alignment vertical="center"/>
    </xf>
    <xf numFmtId="0" fontId="172" fillId="5" borderId="66" xfId="0" applyFont="1" applyFill="1" applyBorder="1" applyAlignment="1">
      <alignment horizontal="center" vertical="center" wrapText="1"/>
    </xf>
    <xf numFmtId="0" fontId="172" fillId="5" borderId="80" xfId="0" applyFont="1" applyFill="1" applyBorder="1" applyAlignment="1">
      <alignment horizontal="right" vertical="center" wrapText="1"/>
    </xf>
    <xf numFmtId="10" fontId="172" fillId="5" borderId="66" xfId="0" applyNumberFormat="1" applyFont="1" applyFill="1" applyBorder="1" applyAlignment="1">
      <alignment horizontal="center" vertical="center" wrapText="1"/>
    </xf>
    <xf numFmtId="0" fontId="172" fillId="5" borderId="66" xfId="0" applyFont="1" applyFill="1" applyBorder="1">
      <alignment vertical="center"/>
    </xf>
    <xf numFmtId="0" fontId="168" fillId="5" borderId="0" xfId="0" applyFont="1" applyFill="1">
      <alignment vertical="center"/>
    </xf>
    <xf numFmtId="192" fontId="172" fillId="5" borderId="66" xfId="0" applyNumberFormat="1" applyFont="1" applyFill="1" applyBorder="1" applyAlignment="1">
      <alignment horizontal="center" vertical="center" wrapText="1"/>
    </xf>
    <xf numFmtId="0" fontId="167" fillId="5" borderId="66" xfId="0" applyFont="1" applyFill="1" applyBorder="1">
      <alignment vertical="center"/>
    </xf>
    <xf numFmtId="0" fontId="216" fillId="5" borderId="66" xfId="0" applyFont="1" applyFill="1" applyBorder="1">
      <alignment vertical="center"/>
    </xf>
    <xf numFmtId="10" fontId="82" fillId="5" borderId="69" xfId="3" applyNumberFormat="1" applyFont="1" applyFill="1" applyBorder="1" applyAlignment="1">
      <alignment horizontal="center" vertical="center" wrapText="1"/>
    </xf>
    <xf numFmtId="0" fontId="160" fillId="5" borderId="0" xfId="3" applyFont="1" applyFill="1" applyAlignment="1">
      <alignment horizontal="left" vertical="center"/>
    </xf>
    <xf numFmtId="180" fontId="154" fillId="5" borderId="3" xfId="5" applyNumberFormat="1" applyFont="1" applyFill="1" applyBorder="1" applyAlignment="1">
      <alignment horizontal="center" vertical="center" wrapText="1"/>
    </xf>
    <xf numFmtId="0" fontId="93" fillId="5" borderId="2" xfId="3" applyFont="1" applyFill="1" applyBorder="1" applyAlignment="1">
      <alignment horizontal="right" vertical="center" wrapText="1"/>
    </xf>
    <xf numFmtId="0" fontId="74" fillId="5" borderId="13" xfId="0" applyFont="1" applyFill="1" applyBorder="1" applyAlignment="1">
      <alignment horizontal="left" vertical="center"/>
    </xf>
    <xf numFmtId="0" fontId="74" fillId="5" borderId="0" xfId="0" applyFont="1" applyFill="1">
      <alignment vertical="center"/>
    </xf>
    <xf numFmtId="0" fontId="174" fillId="0" borderId="5" xfId="0" applyFont="1" applyBorder="1" applyAlignment="1" applyProtection="1">
      <alignment horizontal="center" vertical="center" wrapText="1"/>
      <protection locked="0"/>
    </xf>
    <xf numFmtId="0" fontId="174" fillId="0" borderId="8" xfId="0" applyFont="1" applyBorder="1" applyAlignment="1" applyProtection="1">
      <alignment horizontal="center" vertical="center" wrapText="1"/>
      <protection locked="0"/>
    </xf>
    <xf numFmtId="0" fontId="174" fillId="0" borderId="9" xfId="0" applyFont="1" applyBorder="1" applyAlignment="1" applyProtection="1">
      <alignment horizontal="center" vertical="center" wrapText="1"/>
      <protection locked="0"/>
    </xf>
    <xf numFmtId="0" fontId="167" fillId="5" borderId="31" xfId="0" applyFont="1" applyFill="1" applyBorder="1" applyAlignment="1">
      <alignment horizontal="left" vertical="center"/>
    </xf>
    <xf numFmtId="0" fontId="72" fillId="5" borderId="8" xfId="0" applyFont="1" applyFill="1" applyBorder="1" applyProtection="1">
      <alignment vertical="center"/>
      <protection locked="0"/>
    </xf>
    <xf numFmtId="0" fontId="72" fillId="5" borderId="16" xfId="0" applyFont="1" applyFill="1" applyBorder="1" applyProtection="1">
      <alignment vertical="center"/>
      <protection locked="0"/>
    </xf>
    <xf numFmtId="0" fontId="72" fillId="5" borderId="65" xfId="0" applyFont="1" applyFill="1" applyBorder="1" applyProtection="1">
      <alignment vertical="center"/>
      <protection locked="0"/>
    </xf>
    <xf numFmtId="0" fontId="65" fillId="5" borderId="64" xfId="0" applyFont="1" applyFill="1" applyBorder="1" applyProtection="1">
      <alignment vertical="center"/>
      <protection locked="0"/>
    </xf>
    <xf numFmtId="49" fontId="91" fillId="5" borderId="11" xfId="2" applyNumberFormat="1" applyFont="1" applyFill="1" applyBorder="1" applyAlignment="1">
      <alignment horizontal="left" vertical="center"/>
    </xf>
    <xf numFmtId="49" fontId="91" fillId="5" borderId="11" xfId="0" applyNumberFormat="1" applyFont="1" applyFill="1" applyBorder="1" applyAlignment="1">
      <alignment horizontal="left" vertical="center"/>
    </xf>
    <xf numFmtId="49" fontId="91" fillId="5" borderId="43" xfId="2" applyNumberFormat="1" applyFont="1" applyFill="1" applyBorder="1" applyAlignment="1">
      <alignment horizontal="left" vertical="center"/>
    </xf>
    <xf numFmtId="0" fontId="56" fillId="5" borderId="5" xfId="2" applyFont="1" applyFill="1" applyBorder="1">
      <alignment vertical="center"/>
    </xf>
    <xf numFmtId="10" fontId="82" fillId="5" borderId="5" xfId="2" applyNumberFormat="1" applyFont="1" applyFill="1" applyBorder="1" applyAlignment="1">
      <alignment horizontal="center" vertical="center"/>
    </xf>
    <xf numFmtId="0" fontId="218" fillId="5" borderId="5" xfId="2" applyFont="1" applyFill="1" applyBorder="1">
      <alignment vertical="center"/>
    </xf>
    <xf numFmtId="49" fontId="217" fillId="5" borderId="11" xfId="2" applyNumberFormat="1" applyFont="1" applyFill="1" applyBorder="1" applyAlignment="1">
      <alignment horizontal="left" vertical="center"/>
    </xf>
    <xf numFmtId="0" fontId="123" fillId="5" borderId="12" xfId="2" applyFont="1" applyFill="1" applyBorder="1" applyAlignment="1">
      <alignment vertical="center" wrapText="1"/>
    </xf>
    <xf numFmtId="0" fontId="123" fillId="5" borderId="12" xfId="2" applyFont="1" applyFill="1" applyBorder="1" applyAlignment="1">
      <alignment horizontal="left" vertical="center"/>
    </xf>
    <xf numFmtId="0" fontId="41" fillId="6" borderId="12" xfId="2" applyFont="1" applyFill="1" applyBorder="1" applyProtection="1">
      <alignment vertical="center"/>
      <protection locked="0"/>
    </xf>
    <xf numFmtId="10" fontId="72" fillId="5" borderId="25" xfId="0" applyNumberFormat="1" applyFont="1" applyFill="1" applyBorder="1" applyAlignment="1">
      <alignment horizontal="center" vertical="center"/>
    </xf>
    <xf numFmtId="0" fontId="220" fillId="8" borderId="0" xfId="0" applyFont="1" applyFill="1" applyProtection="1">
      <alignment vertical="center"/>
      <protection locked="0"/>
    </xf>
    <xf numFmtId="0" fontId="17" fillId="5" borderId="22" xfId="0" applyFont="1" applyFill="1" applyBorder="1" applyAlignment="1">
      <alignment vertical="center" wrapText="1"/>
    </xf>
    <xf numFmtId="49" fontId="72" fillId="5" borderId="24" xfId="0" applyNumberFormat="1" applyFont="1" applyFill="1" applyBorder="1" applyAlignment="1">
      <alignment horizontal="center" vertical="center"/>
    </xf>
    <xf numFmtId="0" fontId="72" fillId="5" borderId="17" xfId="0" applyFont="1" applyFill="1" applyBorder="1" applyAlignment="1">
      <alignment horizontal="right" vertical="center"/>
    </xf>
    <xf numFmtId="0" fontId="72" fillId="5" borderId="63" xfId="0" applyFont="1" applyFill="1" applyBorder="1" applyAlignment="1">
      <alignment horizontal="center" vertical="center"/>
    </xf>
    <xf numFmtId="182" fontId="81" fillId="5" borderId="15" xfId="0" applyNumberFormat="1" applyFont="1" applyFill="1" applyBorder="1" applyAlignment="1">
      <alignment horizontal="center" vertical="center"/>
    </xf>
    <xf numFmtId="49" fontId="72" fillId="5" borderId="18" xfId="0" applyNumberFormat="1" applyFont="1" applyFill="1" applyBorder="1" applyAlignment="1">
      <alignment horizontal="left" vertical="center"/>
    </xf>
    <xf numFmtId="0" fontId="11" fillId="5" borderId="32" xfId="0" applyFont="1" applyFill="1" applyBorder="1" applyAlignment="1">
      <alignment vertical="center" wrapText="1"/>
    </xf>
    <xf numFmtId="0" fontId="222" fillId="5" borderId="2" xfId="0" applyFont="1" applyFill="1" applyBorder="1" applyAlignment="1">
      <alignment horizontal="right" vertical="center" wrapText="1"/>
    </xf>
    <xf numFmtId="0" fontId="122" fillId="5" borderId="10" xfId="0" applyFont="1" applyFill="1" applyBorder="1">
      <alignment vertical="center"/>
    </xf>
    <xf numFmtId="0" fontId="11" fillId="5" borderId="10" xfId="0" applyFont="1" applyFill="1" applyBorder="1">
      <alignment vertical="center"/>
    </xf>
    <xf numFmtId="0" fontId="11" fillId="5" borderId="10" xfId="0" applyFont="1" applyFill="1" applyBorder="1" applyAlignment="1">
      <alignment horizontal="left" vertical="center"/>
    </xf>
    <xf numFmtId="0" fontId="81" fillId="5" borderId="2" xfId="0" applyFont="1" applyFill="1" applyBorder="1" applyAlignment="1" applyProtection="1">
      <alignment horizontal="center" vertical="center"/>
      <protection locked="0"/>
    </xf>
    <xf numFmtId="49" fontId="72" fillId="5" borderId="3" xfId="0" applyNumberFormat="1" applyFont="1" applyFill="1" applyBorder="1" applyAlignment="1">
      <alignment horizontal="left" vertical="center"/>
    </xf>
    <xf numFmtId="0" fontId="11" fillId="5" borderId="32" xfId="0" applyFont="1" applyFill="1" applyBorder="1">
      <alignment vertical="center"/>
    </xf>
    <xf numFmtId="49" fontId="81" fillId="5" borderId="22" xfId="0" applyNumberFormat="1" applyFont="1" applyFill="1" applyBorder="1" applyAlignment="1">
      <alignment horizontal="left" vertical="center"/>
    </xf>
    <xf numFmtId="49" fontId="81" fillId="5" borderId="24" xfId="0" applyNumberFormat="1" applyFont="1" applyFill="1" applyBorder="1" applyAlignment="1">
      <alignment horizontal="left" vertical="center"/>
    </xf>
    <xf numFmtId="49" fontId="72" fillId="5" borderId="22" xfId="0" applyNumberFormat="1" applyFont="1" applyFill="1" applyBorder="1" applyAlignment="1">
      <alignment horizontal="center" vertical="center"/>
    </xf>
    <xf numFmtId="49" fontId="81" fillId="5" borderId="24" xfId="0" applyNumberFormat="1" applyFont="1" applyFill="1" applyBorder="1" applyAlignment="1">
      <alignment horizontal="center" vertical="center"/>
    </xf>
    <xf numFmtId="49" fontId="72" fillId="5" borderId="50" xfId="0" applyNumberFormat="1" applyFont="1" applyFill="1" applyBorder="1" applyAlignment="1">
      <alignment horizontal="right" vertical="center"/>
    </xf>
    <xf numFmtId="182" fontId="72" fillId="5" borderId="52" xfId="0" applyNumberFormat="1" applyFont="1" applyFill="1" applyBorder="1" applyAlignment="1">
      <alignment horizontal="center" vertical="center"/>
    </xf>
    <xf numFmtId="49" fontId="72" fillId="5" borderId="117" xfId="0" applyNumberFormat="1" applyFont="1" applyFill="1" applyBorder="1">
      <alignment vertical="center"/>
    </xf>
    <xf numFmtId="0" fontId="11" fillId="5" borderId="86" xfId="0" applyFont="1" applyFill="1" applyBorder="1" applyAlignment="1">
      <alignment vertical="center" wrapText="1"/>
    </xf>
    <xf numFmtId="0" fontId="81" fillId="0" borderId="71" xfId="0" applyFont="1" applyBorder="1" applyAlignment="1" applyProtection="1">
      <alignment horizontal="center" vertical="center"/>
      <protection locked="0"/>
    </xf>
    <xf numFmtId="0" fontId="72" fillId="5" borderId="71" xfId="0" applyFont="1" applyFill="1" applyBorder="1">
      <alignment vertical="center"/>
    </xf>
    <xf numFmtId="0" fontId="46" fillId="5" borderId="71" xfId="0" applyFont="1" applyFill="1" applyBorder="1" applyAlignment="1">
      <alignment horizontal="left" vertical="center"/>
    </xf>
    <xf numFmtId="182" fontId="81" fillId="5" borderId="72" xfId="0" applyNumberFormat="1" applyFont="1" applyFill="1" applyBorder="1" applyAlignment="1">
      <alignment horizontal="center" vertical="center"/>
    </xf>
    <xf numFmtId="49" fontId="78" fillId="5" borderId="117" xfId="0" applyNumberFormat="1" applyFont="1" applyFill="1" applyBorder="1" applyAlignment="1">
      <alignment horizontal="center" vertical="center"/>
    </xf>
    <xf numFmtId="0" fontId="72" fillId="5" borderId="71" xfId="0" applyFont="1" applyFill="1" applyBorder="1" applyAlignment="1">
      <alignment horizontal="center" vertical="center"/>
    </xf>
    <xf numFmtId="0" fontId="72" fillId="5" borderId="71" xfId="0" applyFont="1" applyFill="1" applyBorder="1" applyAlignment="1">
      <alignment horizontal="left" vertical="center" wrapText="1"/>
    </xf>
    <xf numFmtId="0" fontId="72" fillId="5" borderId="71" xfId="0" applyFont="1" applyFill="1" applyBorder="1" applyAlignment="1">
      <alignment horizontal="left" vertical="center"/>
    </xf>
    <xf numFmtId="182" fontId="72" fillId="5" borderId="72" xfId="0" applyNumberFormat="1" applyFont="1" applyFill="1" applyBorder="1" applyAlignment="1">
      <alignment horizontal="center" vertical="center"/>
    </xf>
    <xf numFmtId="0" fontId="72" fillId="5" borderId="17" xfId="0" applyFont="1" applyFill="1" applyBorder="1" applyAlignment="1">
      <alignment horizontal="left" vertical="center" wrapText="1"/>
    </xf>
    <xf numFmtId="0" fontId="72" fillId="5" borderId="19" xfId="0" applyFont="1" applyFill="1" applyBorder="1" applyAlignment="1">
      <alignment horizontal="center" vertical="center" wrapText="1"/>
    </xf>
    <xf numFmtId="0" fontId="72" fillId="5" borderId="63" xfId="0" applyFont="1" applyFill="1" applyBorder="1" applyAlignment="1">
      <alignment horizontal="center" vertical="center" wrapText="1"/>
    </xf>
    <xf numFmtId="49" fontId="72" fillId="5" borderId="117" xfId="0" applyNumberFormat="1" applyFont="1" applyFill="1" applyBorder="1" applyAlignment="1">
      <alignment horizontal="center" vertical="center"/>
    </xf>
    <xf numFmtId="0" fontId="95" fillId="5" borderId="19" xfId="0" applyFont="1" applyFill="1" applyBorder="1">
      <alignment vertical="center"/>
    </xf>
    <xf numFmtId="0" fontId="95" fillId="5" borderId="63" xfId="0" applyFont="1" applyFill="1" applyBorder="1">
      <alignment vertical="center"/>
    </xf>
    <xf numFmtId="182" fontId="81" fillId="5" borderId="90" xfId="0" applyNumberFormat="1" applyFont="1" applyFill="1" applyBorder="1" applyAlignment="1">
      <alignment horizontal="center" vertical="center"/>
    </xf>
    <xf numFmtId="182" fontId="81" fillId="5" borderId="71" xfId="0" applyNumberFormat="1" applyFont="1" applyFill="1" applyBorder="1" applyAlignment="1">
      <alignment horizontal="center" vertical="center"/>
    </xf>
    <xf numFmtId="0" fontId="72" fillId="5" borderId="84" xfId="0" applyFont="1" applyFill="1" applyBorder="1" applyAlignment="1">
      <alignment horizontal="left" vertical="center"/>
    </xf>
    <xf numFmtId="0" fontId="95" fillId="5" borderId="85" xfId="0" applyFont="1" applyFill="1" applyBorder="1">
      <alignment vertical="center"/>
    </xf>
    <xf numFmtId="0" fontId="95" fillId="5" borderId="90" xfId="0" applyFont="1" applyFill="1" applyBorder="1">
      <alignment vertical="center"/>
    </xf>
    <xf numFmtId="0" fontId="186" fillId="0" borderId="0" xfId="0" applyFont="1" applyAlignment="1">
      <alignment horizontal="left" vertical="top" wrapText="1"/>
    </xf>
    <xf numFmtId="49" fontId="72" fillId="5" borderId="117" xfId="0" applyNumberFormat="1" applyFont="1" applyFill="1" applyBorder="1" applyAlignment="1">
      <alignment horizontal="left" vertical="center"/>
    </xf>
    <xf numFmtId="49" fontId="72" fillId="5" borderId="81" xfId="0" applyNumberFormat="1" applyFont="1" applyFill="1" applyBorder="1" applyAlignment="1">
      <alignment horizontal="center" vertical="center"/>
    </xf>
    <xf numFmtId="49" fontId="81" fillId="5" borderId="87" xfId="0" applyNumberFormat="1" applyFont="1" applyFill="1" applyBorder="1" applyAlignment="1">
      <alignment horizontal="center" vertical="center"/>
    </xf>
    <xf numFmtId="0" fontId="11" fillId="5" borderId="118" xfId="0" applyFont="1" applyFill="1" applyBorder="1" applyAlignment="1">
      <alignment vertical="center" wrapText="1"/>
    </xf>
    <xf numFmtId="0" fontId="81" fillId="0" borderId="70" xfId="0" applyFont="1" applyBorder="1" applyAlignment="1" applyProtection="1">
      <alignment horizontal="center" vertical="center"/>
      <protection locked="0"/>
    </xf>
    <xf numFmtId="0" fontId="11" fillId="5" borderId="10" xfId="0" applyFont="1" applyFill="1" applyBorder="1" applyAlignment="1">
      <alignment vertical="center" wrapText="1"/>
    </xf>
    <xf numFmtId="0" fontId="45" fillId="5" borderId="26" xfId="0" applyFont="1" applyFill="1" applyBorder="1">
      <alignment vertical="center"/>
    </xf>
    <xf numFmtId="0" fontId="71" fillId="5" borderId="58" xfId="0" applyFont="1" applyFill="1" applyBorder="1">
      <alignment vertical="center"/>
    </xf>
    <xf numFmtId="0" fontId="46" fillId="5" borderId="2" xfId="0" applyFont="1" applyFill="1" applyBorder="1">
      <alignment vertical="center"/>
    </xf>
    <xf numFmtId="0" fontId="46" fillId="5" borderId="5" xfId="0" applyFont="1" applyFill="1" applyBorder="1">
      <alignment vertical="center"/>
    </xf>
    <xf numFmtId="0" fontId="91" fillId="5" borderId="2" xfId="0" applyFont="1" applyFill="1" applyBorder="1" applyAlignment="1">
      <alignment horizontal="center" vertical="center"/>
    </xf>
    <xf numFmtId="0" fontId="156" fillId="5" borderId="0" xfId="0" applyFont="1" applyFill="1" applyAlignment="1">
      <alignment horizontal="center" vertical="center" wrapText="1"/>
    </xf>
    <xf numFmtId="0" fontId="48" fillId="5" borderId="0" xfId="0" applyFont="1" applyFill="1" applyAlignment="1">
      <alignment horizontal="center" vertical="center" wrapText="1"/>
    </xf>
    <xf numFmtId="0" fontId="76" fillId="5" borderId="52" xfId="0" applyFont="1" applyFill="1" applyBorder="1" applyAlignment="1">
      <alignment horizontal="center" vertical="center" wrapText="1"/>
    </xf>
    <xf numFmtId="0" fontId="48" fillId="5" borderId="52" xfId="0" applyFont="1" applyFill="1" applyBorder="1" applyAlignment="1">
      <alignment horizontal="center" vertical="center" wrapText="1"/>
    </xf>
    <xf numFmtId="0" fontId="67" fillId="2" borderId="87" xfId="0" applyFont="1" applyFill="1" applyBorder="1" applyAlignment="1" applyProtection="1">
      <alignment horizontal="center" vertical="center" wrapText="1"/>
      <protection locked="0"/>
    </xf>
    <xf numFmtId="0" fontId="48" fillId="5" borderId="13" xfId="0" applyFont="1" applyFill="1" applyBorder="1" applyAlignment="1">
      <alignment horizontal="center" vertical="center" wrapText="1"/>
    </xf>
    <xf numFmtId="0" fontId="76" fillId="0" borderId="45" xfId="0" applyFont="1" applyBorder="1" applyAlignment="1" applyProtection="1">
      <alignment horizontal="center" vertical="center"/>
      <protection locked="0"/>
    </xf>
    <xf numFmtId="0" fontId="80" fillId="5" borderId="24" xfId="0" applyFont="1" applyFill="1" applyBorder="1" applyAlignment="1">
      <alignment horizontal="center" vertical="center" wrapText="1"/>
    </xf>
    <xf numFmtId="0" fontId="80" fillId="5" borderId="64" xfId="0" applyFont="1" applyFill="1" applyBorder="1" applyAlignment="1">
      <alignment horizontal="center" vertical="center" wrapText="1"/>
    </xf>
    <xf numFmtId="0" fontId="48" fillId="5" borderId="3" xfId="0" applyFont="1" applyFill="1" applyBorder="1" applyAlignment="1">
      <alignment horizontal="center" vertical="center" wrapText="1"/>
    </xf>
    <xf numFmtId="0" fontId="54" fillId="5" borderId="3" xfId="0" applyFont="1" applyFill="1" applyBorder="1" applyAlignment="1">
      <alignment horizontal="center" vertical="center" wrapText="1"/>
    </xf>
    <xf numFmtId="0" fontId="102" fillId="5" borderId="79" xfId="0" applyFont="1" applyFill="1" applyBorder="1" applyAlignment="1">
      <alignment horizontal="center" vertical="center" wrapText="1"/>
    </xf>
    <xf numFmtId="0" fontId="48" fillId="5" borderId="4" xfId="0" applyFont="1" applyFill="1" applyBorder="1" applyAlignment="1">
      <alignment horizontal="center" vertical="center" wrapText="1"/>
    </xf>
    <xf numFmtId="0" fontId="80" fillId="5" borderId="75" xfId="0" applyFont="1" applyFill="1" applyBorder="1" applyAlignment="1">
      <alignment horizontal="center" vertical="center" wrapText="1"/>
    </xf>
    <xf numFmtId="0" fontId="102" fillId="5" borderId="24" xfId="0" applyFont="1" applyFill="1" applyBorder="1" applyAlignment="1">
      <alignment horizontal="center" vertical="center" wrapText="1"/>
    </xf>
    <xf numFmtId="0" fontId="48" fillId="5" borderId="25" xfId="0" applyFont="1" applyFill="1" applyBorder="1" applyAlignment="1">
      <alignment horizontal="center" vertical="center" wrapText="1"/>
    </xf>
    <xf numFmtId="0" fontId="17" fillId="5" borderId="11" xfId="0" applyFont="1" applyFill="1" applyBorder="1" applyAlignment="1">
      <alignment horizontal="center" vertical="center"/>
    </xf>
    <xf numFmtId="0" fontId="17" fillId="5" borderId="2" xfId="0" applyFont="1" applyFill="1" applyBorder="1" applyAlignment="1">
      <alignment horizontal="left" vertical="center"/>
    </xf>
    <xf numFmtId="0" fontId="17" fillId="5" borderId="12" xfId="0" applyFont="1" applyFill="1" applyBorder="1" applyAlignment="1">
      <alignment horizontal="center"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lignment vertical="center"/>
    </xf>
    <xf numFmtId="0" fontId="71" fillId="5" borderId="43" xfId="0" applyFont="1" applyFill="1" applyBorder="1">
      <alignment vertical="center"/>
    </xf>
    <xf numFmtId="0" fontId="71" fillId="5" borderId="44" xfId="0" applyFont="1" applyFill="1" applyBorder="1">
      <alignment vertical="center"/>
    </xf>
    <xf numFmtId="0" fontId="71" fillId="5" borderId="46" xfId="0" applyFont="1" applyFill="1" applyBorder="1">
      <alignment vertical="center"/>
    </xf>
    <xf numFmtId="0" fontId="17" fillId="5" borderId="28" xfId="2" applyFont="1" applyFill="1" applyBorder="1" applyAlignment="1">
      <alignment horizontal="center" vertical="center" wrapText="1"/>
    </xf>
    <xf numFmtId="182" fontId="81" fillId="6" borderId="25" xfId="0" applyNumberFormat="1" applyFont="1" applyFill="1" applyBorder="1" applyAlignment="1" applyProtection="1">
      <alignment horizontal="center" vertical="center"/>
      <protection locked="0"/>
    </xf>
    <xf numFmtId="0" fontId="93" fillId="5" borderId="21" xfId="0" applyFont="1" applyFill="1" applyBorder="1" applyAlignment="1">
      <alignment horizontal="right" vertical="center"/>
    </xf>
    <xf numFmtId="0" fontId="97" fillId="5" borderId="5" xfId="0" applyFont="1" applyFill="1" applyBorder="1" applyAlignment="1">
      <alignment horizontal="right" vertical="center"/>
    </xf>
    <xf numFmtId="0" fontId="97" fillId="5" borderId="8" xfId="0" applyFont="1" applyFill="1" applyBorder="1" applyAlignment="1">
      <alignment horizontal="center" vertical="center"/>
    </xf>
    <xf numFmtId="0" fontId="97" fillId="2" borderId="8" xfId="0" applyFont="1" applyFill="1" applyBorder="1" applyProtection="1">
      <alignment vertical="center"/>
      <protection locked="0"/>
    </xf>
    <xf numFmtId="0" fontId="79" fillId="5" borderId="59" xfId="0" applyFont="1" applyFill="1" applyBorder="1" applyAlignment="1">
      <alignment horizontal="right" vertical="center" wrapText="1"/>
    </xf>
    <xf numFmtId="0" fontId="79" fillId="5" borderId="60" xfId="0" applyFont="1" applyFill="1" applyBorder="1" applyAlignment="1">
      <alignment vertical="center" wrapText="1"/>
    </xf>
    <xf numFmtId="0" fontId="79" fillId="5" borderId="56" xfId="0" applyFont="1" applyFill="1" applyBorder="1" applyAlignment="1">
      <alignment vertical="center" wrapText="1"/>
    </xf>
    <xf numFmtId="49" fontId="130" fillId="5" borderId="53" xfId="0" applyNumberFormat="1" applyFont="1" applyFill="1" applyBorder="1">
      <alignment vertical="center"/>
    </xf>
    <xf numFmtId="0" fontId="54" fillId="5" borderId="28" xfId="0" applyFont="1" applyFill="1" applyBorder="1" applyProtection="1">
      <alignment vertical="center"/>
      <protection locked="0"/>
    </xf>
    <xf numFmtId="0" fontId="74" fillId="5" borderId="10" xfId="0" applyFont="1" applyFill="1" applyBorder="1" applyAlignment="1">
      <alignment horizontal="left" vertical="center"/>
    </xf>
    <xf numFmtId="0" fontId="67" fillId="5" borderId="20" xfId="0" applyFont="1" applyFill="1" applyBorder="1" applyProtection="1">
      <alignment vertical="center"/>
      <protection locked="0"/>
    </xf>
    <xf numFmtId="0" fontId="191" fillId="0" borderId="2" xfId="0" applyFont="1" applyBorder="1" applyAlignment="1" applyProtection="1">
      <alignment horizontal="center" vertical="center" wrapText="1"/>
      <protection locked="0"/>
    </xf>
    <xf numFmtId="0" fontId="193" fillId="0" borderId="2" xfId="0" applyFont="1" applyBorder="1" applyAlignment="1" applyProtection="1">
      <alignment horizontal="center" vertical="center" wrapText="1"/>
      <protection locked="0"/>
    </xf>
    <xf numFmtId="0" fontId="74" fillId="5" borderId="1" xfId="0" applyFont="1" applyFill="1" applyBorder="1" applyAlignment="1">
      <alignment horizontal="right" vertical="center" wrapText="1"/>
    </xf>
    <xf numFmtId="0" fontId="74" fillId="5" borderId="11" xfId="0" applyFont="1" applyFill="1" applyBorder="1" applyAlignment="1">
      <alignment horizontal="right" vertical="center" wrapText="1"/>
    </xf>
    <xf numFmtId="0" fontId="74" fillId="5" borderId="92" xfId="0" applyFont="1" applyFill="1" applyBorder="1" applyAlignment="1">
      <alignment horizontal="right" vertical="center" wrapText="1"/>
    </xf>
    <xf numFmtId="10" fontId="82" fillId="5" borderId="12" xfId="3" applyNumberFormat="1" applyFont="1" applyFill="1" applyBorder="1" applyAlignment="1">
      <alignment horizontal="center" vertical="center" wrapText="1"/>
    </xf>
    <xf numFmtId="0" fontId="82" fillId="5" borderId="68" xfId="3" applyFont="1" applyFill="1" applyBorder="1" applyAlignment="1">
      <alignment horizontal="center" vertical="center" wrapText="1"/>
    </xf>
    <xf numFmtId="49" fontId="131" fillId="5" borderId="24" xfId="0" applyNumberFormat="1" applyFont="1" applyFill="1" applyBorder="1" applyAlignment="1">
      <alignment horizontal="left" vertical="center" wrapText="1"/>
    </xf>
    <xf numFmtId="0" fontId="53" fillId="5" borderId="55" xfId="3" applyFont="1" applyFill="1" applyBorder="1" applyAlignment="1">
      <alignment horizontal="left" vertical="center" wrapText="1"/>
    </xf>
    <xf numFmtId="186" fontId="79" fillId="5" borderId="55" xfId="3" applyNumberFormat="1" applyFont="1" applyFill="1" applyBorder="1" applyAlignment="1">
      <alignment horizontal="center" vertical="center" wrapText="1"/>
    </xf>
    <xf numFmtId="0" fontId="39" fillId="5" borderId="55" xfId="3" applyFont="1" applyFill="1" applyBorder="1" applyAlignment="1">
      <alignment horizontal="center" vertical="center" wrapText="1"/>
    </xf>
    <xf numFmtId="182" fontId="148" fillId="5" borderId="55" xfId="3" applyNumberFormat="1" applyFont="1" applyFill="1" applyBorder="1" applyAlignment="1">
      <alignment horizontal="center" vertical="center" wrapText="1"/>
    </xf>
    <xf numFmtId="0" fontId="82" fillId="5" borderId="69" xfId="3" applyFont="1" applyFill="1" applyBorder="1" applyAlignment="1">
      <alignment horizontal="center" vertical="center" wrapText="1"/>
    </xf>
    <xf numFmtId="10" fontId="80" fillId="5" borderId="83" xfId="3" applyNumberFormat="1" applyFont="1" applyFill="1" applyBorder="1" applyAlignment="1">
      <alignment horizontal="center" vertical="center" wrapText="1"/>
    </xf>
    <xf numFmtId="0" fontId="148" fillId="5" borderId="41" xfId="3" applyFont="1" applyFill="1" applyBorder="1" applyAlignment="1">
      <alignment horizontal="center" vertical="center" wrapText="1"/>
    </xf>
    <xf numFmtId="0" fontId="39" fillId="5" borderId="26" xfId="3" applyFont="1" applyFill="1" applyBorder="1" applyAlignment="1">
      <alignment horizontal="center" vertical="center" wrapText="1"/>
    </xf>
    <xf numFmtId="0" fontId="140" fillId="5" borderId="6" xfId="3" applyFont="1" applyFill="1" applyBorder="1" applyAlignment="1" applyProtection="1">
      <alignment vertical="center" wrapText="1"/>
      <protection locked="0"/>
    </xf>
    <xf numFmtId="0" fontId="140" fillId="5" borderId="39" xfId="3" applyFont="1" applyFill="1" applyBorder="1" applyProtection="1">
      <alignment vertical="center"/>
      <protection locked="0"/>
    </xf>
    <xf numFmtId="0" fontId="140" fillId="5" borderId="26" xfId="3" applyFont="1" applyFill="1" applyBorder="1" applyAlignment="1" applyProtection="1">
      <alignment horizontal="center" vertical="center" wrapText="1"/>
      <protection locked="0"/>
    </xf>
    <xf numFmtId="178" fontId="67" fillId="0" borderId="67" xfId="0" applyNumberFormat="1" applyFont="1" applyBorder="1" applyAlignment="1" applyProtection="1">
      <alignment horizontal="center" vertical="center" wrapText="1"/>
      <protection locked="0"/>
    </xf>
    <xf numFmtId="179" fontId="67" fillId="0" borderId="55" xfId="0" applyNumberFormat="1" applyFont="1" applyBorder="1" applyAlignment="1" applyProtection="1">
      <alignment horizontal="center" vertical="center" wrapText="1"/>
      <protection locked="0"/>
    </xf>
    <xf numFmtId="0" fontId="71" fillId="5" borderId="23" xfId="0" applyFont="1" applyFill="1" applyBorder="1">
      <alignment vertical="center"/>
    </xf>
    <xf numFmtId="0" fontId="45" fillId="5" borderId="11" xfId="0" applyFont="1" applyFill="1" applyBorder="1" applyAlignment="1">
      <alignment horizontal="center" vertical="center" wrapText="1"/>
    </xf>
    <xf numFmtId="14" fontId="80" fillId="5" borderId="0" xfId="0" applyNumberFormat="1" applyFont="1" applyFill="1" applyAlignment="1">
      <alignment horizontal="center" vertical="center"/>
    </xf>
    <xf numFmtId="177" fontId="80" fillId="5" borderId="0" xfId="0" applyNumberFormat="1" applyFont="1" applyFill="1" applyAlignment="1">
      <alignment horizontal="center" vertical="center"/>
    </xf>
    <xf numFmtId="189" fontId="67" fillId="5" borderId="42" xfId="0" applyNumberFormat="1" applyFont="1" applyFill="1" applyBorder="1" applyAlignment="1">
      <alignment horizontal="center" vertical="center" wrapText="1"/>
    </xf>
    <xf numFmtId="0" fontId="67" fillId="5" borderId="32" xfId="0" applyFont="1" applyFill="1" applyBorder="1" applyAlignment="1" applyProtection="1">
      <alignment horizontal="center" vertical="center" wrapText="1"/>
      <protection locked="0"/>
    </xf>
    <xf numFmtId="189" fontId="67" fillId="5" borderId="6" xfId="0" applyNumberFormat="1" applyFont="1" applyFill="1" applyBorder="1" applyAlignment="1">
      <alignment horizontal="center" vertical="center" wrapText="1"/>
    </xf>
    <xf numFmtId="0" fontId="136" fillId="5" borderId="21" xfId="3" applyFont="1" applyFill="1" applyBorder="1" applyAlignment="1" applyProtection="1">
      <alignment horizontal="center" vertical="center" wrapText="1"/>
      <protection locked="0"/>
    </xf>
    <xf numFmtId="0" fontId="71" fillId="6" borderId="2" xfId="0" applyFont="1" applyFill="1" applyBorder="1" applyAlignment="1" applyProtection="1">
      <alignment horizontal="center" vertical="center" wrapText="1"/>
      <protection locked="0"/>
    </xf>
    <xf numFmtId="0" fontId="97" fillId="6" borderId="2" xfId="0" applyFont="1" applyFill="1" applyBorder="1" applyAlignment="1" applyProtection="1">
      <alignment horizontal="center" vertical="center"/>
      <protection locked="0"/>
    </xf>
    <xf numFmtId="0" fontId="66" fillId="6" borderId="30" xfId="2" applyFont="1" applyFill="1" applyBorder="1" applyAlignment="1" applyProtection="1">
      <alignment horizontal="right" vertical="center"/>
      <protection locked="0"/>
    </xf>
    <xf numFmtId="0" fontId="72" fillId="0" borderId="8" xfId="0" applyFont="1" applyBorder="1" applyProtection="1">
      <alignment vertical="center"/>
      <protection locked="0"/>
    </xf>
    <xf numFmtId="0" fontId="130" fillId="5" borderId="8" xfId="0" applyFont="1" applyFill="1" applyBorder="1">
      <alignment vertical="center"/>
    </xf>
    <xf numFmtId="0" fontId="71" fillId="5" borderId="5" xfId="0" applyFont="1" applyFill="1" applyBorder="1">
      <alignment vertical="center"/>
    </xf>
    <xf numFmtId="0" fontId="71" fillId="5" borderId="8" xfId="0" applyFont="1" applyFill="1" applyBorder="1">
      <alignment vertical="center"/>
    </xf>
    <xf numFmtId="0" fontId="71" fillId="5" borderId="16" xfId="0" applyFont="1" applyFill="1" applyBorder="1">
      <alignment vertical="center"/>
    </xf>
    <xf numFmtId="0" fontId="72" fillId="5" borderId="16" xfId="0" applyFont="1" applyFill="1" applyBorder="1" applyAlignment="1">
      <alignment horizontal="left" vertical="center"/>
    </xf>
    <xf numFmtId="0" fontId="45" fillId="5" borderId="5" xfId="0" applyFont="1" applyFill="1" applyBorder="1">
      <alignment vertical="center"/>
    </xf>
    <xf numFmtId="178" fontId="72" fillId="5" borderId="5" xfId="0" applyNumberFormat="1" applyFont="1" applyFill="1" applyBorder="1">
      <alignment vertical="center"/>
    </xf>
    <xf numFmtId="0" fontId="72" fillId="5" borderId="45" xfId="0" applyFont="1" applyFill="1" applyBorder="1">
      <alignment vertical="center"/>
    </xf>
    <xf numFmtId="0" fontId="72" fillId="5" borderId="56" xfId="0" applyFont="1" applyFill="1" applyBorder="1">
      <alignment vertical="center"/>
    </xf>
    <xf numFmtId="0" fontId="72" fillId="5" borderId="48" xfId="0" applyFont="1" applyFill="1" applyBorder="1">
      <alignment vertical="center"/>
    </xf>
    <xf numFmtId="0" fontId="66" fillId="5" borderId="68" xfId="0" applyFont="1" applyFill="1" applyBorder="1">
      <alignment vertical="center"/>
    </xf>
    <xf numFmtId="0" fontId="71" fillId="5" borderId="61" xfId="0" applyFont="1" applyFill="1" applyBorder="1">
      <alignment vertical="center"/>
    </xf>
    <xf numFmtId="0" fontId="71" fillId="5" borderId="66" xfId="0" applyFont="1" applyFill="1" applyBorder="1">
      <alignment vertical="center"/>
    </xf>
    <xf numFmtId="0" fontId="66" fillId="5" borderId="59" xfId="0" applyFont="1" applyFill="1" applyBorder="1">
      <alignment vertical="center"/>
    </xf>
    <xf numFmtId="0" fontId="66" fillId="5" borderId="30" xfId="0" applyFont="1" applyFill="1" applyBorder="1">
      <alignment vertical="center"/>
    </xf>
    <xf numFmtId="185" fontId="71" fillId="5" borderId="29" xfId="0" applyNumberFormat="1" applyFont="1" applyFill="1" applyBorder="1" applyAlignment="1">
      <alignment horizontal="center" vertical="center"/>
    </xf>
    <xf numFmtId="0" fontId="66" fillId="5" borderId="57" xfId="0" applyFont="1" applyFill="1" applyBorder="1">
      <alignment vertical="center"/>
    </xf>
    <xf numFmtId="0" fontId="71" fillId="5" borderId="11" xfId="0" applyFont="1" applyFill="1" applyBorder="1" applyAlignment="1">
      <alignment horizontal="center" vertical="center"/>
    </xf>
    <xf numFmtId="0" fontId="71" fillId="5" borderId="4" xfId="0" applyFont="1" applyFill="1" applyBorder="1">
      <alignment vertical="center"/>
    </xf>
    <xf numFmtId="185" fontId="72" fillId="0" borderId="2" xfId="0" applyNumberFormat="1" applyFont="1" applyBorder="1" applyAlignment="1" applyProtection="1">
      <alignment horizontal="center" vertical="center"/>
      <protection locked="0"/>
    </xf>
    <xf numFmtId="185" fontId="72" fillId="0" borderId="12" xfId="0" applyNumberFormat="1" applyFont="1" applyBorder="1" applyAlignment="1" applyProtection="1">
      <alignment horizontal="center" vertical="center"/>
      <protection locked="0"/>
    </xf>
    <xf numFmtId="49" fontId="72" fillId="5" borderId="43" xfId="0" applyNumberFormat="1" applyFont="1" applyFill="1" applyBorder="1" applyAlignment="1">
      <alignment horizontal="left" vertical="center"/>
    </xf>
    <xf numFmtId="185" fontId="72" fillId="0" borderId="44" xfId="0" applyNumberFormat="1" applyFont="1" applyBorder="1" applyAlignment="1" applyProtection="1">
      <alignment horizontal="center" vertical="center"/>
      <protection locked="0"/>
    </xf>
    <xf numFmtId="185" fontId="72" fillId="0" borderId="46" xfId="0" applyNumberFormat="1" applyFont="1" applyBorder="1" applyAlignment="1" applyProtection="1">
      <alignment horizontal="center" vertical="center"/>
      <protection locked="0"/>
    </xf>
    <xf numFmtId="49" fontId="66" fillId="5" borderId="59" xfId="0" applyNumberFormat="1" applyFont="1" applyFill="1" applyBorder="1">
      <alignment vertical="center"/>
    </xf>
    <xf numFmtId="49" fontId="71" fillId="5" borderId="11" xfId="0" applyNumberFormat="1" applyFont="1" applyFill="1" applyBorder="1" applyAlignment="1">
      <alignment horizontal="center" vertical="center"/>
    </xf>
    <xf numFmtId="185" fontId="71" fillId="5" borderId="2" xfId="0" applyNumberFormat="1" applyFont="1" applyFill="1" applyBorder="1" applyAlignment="1">
      <alignment horizontal="center" vertical="center"/>
    </xf>
    <xf numFmtId="49" fontId="72" fillId="5" borderId="11" xfId="2" applyNumberFormat="1" applyFont="1" applyFill="1" applyBorder="1" applyAlignment="1">
      <alignment horizontal="left" vertical="center"/>
    </xf>
    <xf numFmtId="0" fontId="72" fillId="5" borderId="5" xfId="2" applyFont="1" applyFill="1" applyBorder="1">
      <alignment vertical="center"/>
    </xf>
    <xf numFmtId="180" fontId="72" fillId="5" borderId="2" xfId="2" applyNumberFormat="1" applyFont="1" applyFill="1" applyBorder="1" applyAlignment="1">
      <alignment horizontal="center" vertical="center"/>
    </xf>
    <xf numFmtId="182" fontId="72" fillId="5" borderId="2" xfId="2" applyNumberFormat="1" applyFont="1" applyFill="1" applyBorder="1" applyAlignment="1">
      <alignment horizontal="center" vertical="center"/>
    </xf>
    <xf numFmtId="9" fontId="72" fillId="5" borderId="2" xfId="2" applyNumberFormat="1" applyFont="1" applyFill="1" applyBorder="1" applyAlignment="1">
      <alignment horizontal="center" vertical="center"/>
    </xf>
    <xf numFmtId="178" fontId="72" fillId="5" borderId="2" xfId="2" applyNumberFormat="1" applyFont="1" applyFill="1" applyBorder="1" applyAlignment="1">
      <alignment horizontal="center" vertical="center"/>
    </xf>
    <xf numFmtId="10" fontId="72" fillId="5" borderId="2" xfId="2" applyNumberFormat="1" applyFont="1" applyFill="1" applyBorder="1" applyAlignment="1">
      <alignment horizontal="center" vertical="center"/>
    </xf>
    <xf numFmtId="49" fontId="71" fillId="5" borderId="11" xfId="2" applyNumberFormat="1" applyFont="1" applyFill="1" applyBorder="1" applyAlignment="1">
      <alignment horizontal="left" vertical="center"/>
    </xf>
    <xf numFmtId="0" fontId="71" fillId="5" borderId="5" xfId="2" applyFont="1" applyFill="1" applyBorder="1">
      <alignment vertical="center"/>
    </xf>
    <xf numFmtId="178" fontId="71" fillId="5" borderId="2" xfId="2" applyNumberFormat="1" applyFont="1" applyFill="1" applyBorder="1" applyAlignment="1">
      <alignment horizontal="center" vertical="center"/>
    </xf>
    <xf numFmtId="0" fontId="71" fillId="5" borderId="2" xfId="2" applyFont="1" applyFill="1" applyBorder="1">
      <alignment vertical="center"/>
    </xf>
    <xf numFmtId="180" fontId="71" fillId="5" borderId="2" xfId="2" applyNumberFormat="1" applyFont="1" applyFill="1" applyBorder="1" applyAlignment="1">
      <alignment horizontal="center" vertical="center"/>
    </xf>
    <xf numFmtId="9" fontId="71" fillId="5" borderId="2" xfId="2" applyNumberFormat="1" applyFont="1" applyFill="1" applyBorder="1" applyAlignment="1">
      <alignment horizontal="center" vertical="center"/>
    </xf>
    <xf numFmtId="10" fontId="71" fillId="5" borderId="2" xfId="2" applyNumberFormat="1" applyFont="1" applyFill="1" applyBorder="1" applyAlignment="1">
      <alignment horizontal="center" vertical="center"/>
    </xf>
    <xf numFmtId="178" fontId="71" fillId="5" borderId="0" xfId="0" applyNumberFormat="1" applyFont="1" applyFill="1" applyAlignment="1">
      <alignment horizontal="center" vertical="center"/>
    </xf>
    <xf numFmtId="0" fontId="72" fillId="5" borderId="2" xfId="2" applyFont="1" applyFill="1" applyBorder="1" applyAlignment="1">
      <alignment horizontal="left" vertical="center"/>
    </xf>
    <xf numFmtId="186" fontId="72" fillId="5" borderId="9" xfId="0" applyNumberFormat="1" applyFont="1" applyFill="1" applyBorder="1" applyAlignment="1">
      <alignment horizontal="center" vertical="center"/>
    </xf>
    <xf numFmtId="178" fontId="72" fillId="5" borderId="0" xfId="0" applyNumberFormat="1" applyFont="1" applyFill="1" applyAlignment="1">
      <alignment horizontal="center" vertical="center"/>
    </xf>
    <xf numFmtId="49" fontId="71" fillId="5" borderId="11" xfId="0" applyNumberFormat="1" applyFont="1" applyFill="1" applyBorder="1" applyAlignment="1">
      <alignment horizontal="left" vertical="center"/>
    </xf>
    <xf numFmtId="0" fontId="71" fillId="5" borderId="2" xfId="2" applyFont="1" applyFill="1" applyBorder="1" applyAlignment="1">
      <alignment horizontal="left" vertical="center"/>
    </xf>
    <xf numFmtId="0" fontId="72" fillId="5" borderId="5" xfId="2" applyFont="1" applyFill="1" applyBorder="1" applyAlignment="1">
      <alignment horizontal="left" vertical="center"/>
    </xf>
    <xf numFmtId="178" fontId="72" fillId="5" borderId="56" xfId="2" applyNumberFormat="1" applyFont="1" applyFill="1" applyBorder="1">
      <alignment vertical="center"/>
    </xf>
    <xf numFmtId="185" fontId="66" fillId="5" borderId="55" xfId="0" applyNumberFormat="1" applyFont="1" applyFill="1" applyBorder="1" applyAlignment="1">
      <alignment horizontal="center" vertical="center"/>
    </xf>
    <xf numFmtId="0" fontId="72" fillId="6" borderId="0" xfId="0" applyFont="1" applyFill="1" applyProtection="1">
      <alignment vertical="center"/>
      <protection locked="0"/>
    </xf>
    <xf numFmtId="49" fontId="191" fillId="0" borderId="2" xfId="0" applyNumberFormat="1" applyFont="1" applyBorder="1" applyAlignment="1" applyProtection="1">
      <alignment horizontal="center" vertical="center" wrapText="1"/>
      <protection locked="0"/>
    </xf>
    <xf numFmtId="0" fontId="190" fillId="0" borderId="0" xfId="0" applyFont="1" applyAlignment="1">
      <alignment horizontal="center" vertical="center" wrapText="1"/>
    </xf>
    <xf numFmtId="0" fontId="190" fillId="0" borderId="0" xfId="0" applyFont="1" applyAlignment="1">
      <alignment horizontal="right" vertical="center"/>
    </xf>
    <xf numFmtId="0" fontId="190" fillId="0" borderId="19" xfId="0" applyFont="1" applyBorder="1" applyAlignment="1">
      <alignment vertical="center" wrapText="1"/>
    </xf>
    <xf numFmtId="0" fontId="182" fillId="0" borderId="0" xfId="0" applyFont="1" applyAlignment="1">
      <alignment horizontal="center" vertical="center" wrapText="1"/>
    </xf>
    <xf numFmtId="191" fontId="135" fillId="0" borderId="0" xfId="0" applyNumberFormat="1" applyFont="1" applyAlignment="1" applyProtection="1">
      <alignment horizontal="right" vertical="center" shrinkToFit="1"/>
      <protection locked="0"/>
    </xf>
    <xf numFmtId="0" fontId="242" fillId="0" borderId="0" xfId="0" applyFont="1" applyAlignment="1" applyProtection="1">
      <alignment horizontal="left" vertical="center" wrapText="1"/>
      <protection locked="0"/>
    </xf>
    <xf numFmtId="0" fontId="242" fillId="0" borderId="0" xfId="0" applyFont="1" applyAlignment="1">
      <alignment horizontal="left" vertical="top" wrapText="1"/>
    </xf>
    <xf numFmtId="0" fontId="186" fillId="0" borderId="0" xfId="0" applyFont="1">
      <alignment vertical="center"/>
    </xf>
    <xf numFmtId="0" fontId="176" fillId="0" borderId="0" xfId="0" applyFont="1">
      <alignment vertical="center"/>
    </xf>
    <xf numFmtId="0" fontId="176" fillId="0" borderId="2" xfId="0" applyFont="1" applyBorder="1" applyAlignment="1">
      <alignment vertical="center" wrapText="1"/>
    </xf>
    <xf numFmtId="0" fontId="176" fillId="0" borderId="2" xfId="0" applyFont="1" applyBorder="1" applyAlignment="1">
      <alignment horizontal="left" vertical="center"/>
    </xf>
    <xf numFmtId="0" fontId="176" fillId="0" borderId="0" xfId="0" applyFont="1" applyProtection="1">
      <alignment vertical="center"/>
      <protection locked="0"/>
    </xf>
    <xf numFmtId="0" fontId="176" fillId="0" borderId="2" xfId="0" applyFont="1" applyBorder="1">
      <alignment vertical="center"/>
    </xf>
    <xf numFmtId="49" fontId="176" fillId="0" borderId="2" xfId="0" applyNumberFormat="1" applyFont="1" applyBorder="1" applyAlignment="1">
      <alignment horizontal="left" vertical="center"/>
    </xf>
    <xf numFmtId="0" fontId="176" fillId="0" borderId="0" xfId="0" applyFont="1" applyAlignment="1">
      <alignment vertical="center" wrapText="1"/>
    </xf>
    <xf numFmtId="0" fontId="176" fillId="0" borderId="0" xfId="0" applyFont="1" applyAlignment="1">
      <alignment horizontal="left" vertical="center"/>
    </xf>
    <xf numFmtId="0" fontId="176" fillId="0" borderId="21" xfId="0" applyFont="1" applyBorder="1" applyAlignment="1">
      <alignment vertical="center" wrapText="1"/>
    </xf>
    <xf numFmtId="0" fontId="176" fillId="0" borderId="21" xfId="0" applyFont="1" applyBorder="1" applyAlignment="1">
      <alignment horizontal="left" vertical="center"/>
    </xf>
    <xf numFmtId="0" fontId="176" fillId="0" borderId="71" xfId="0" applyFont="1" applyBorder="1" applyAlignment="1">
      <alignment horizontal="left" vertical="center" wrapText="1"/>
    </xf>
    <xf numFmtId="0" fontId="150" fillId="0" borderId="71" xfId="0" applyFont="1" applyBorder="1" applyAlignment="1" applyProtection="1">
      <alignment horizontal="left" vertical="center"/>
      <protection locked="0"/>
    </xf>
    <xf numFmtId="0" fontId="176" fillId="0" borderId="91" xfId="0" applyFont="1" applyBorder="1">
      <alignment vertical="center"/>
    </xf>
    <xf numFmtId="0" fontId="176" fillId="0" borderId="74" xfId="0" applyFont="1" applyBorder="1" applyAlignment="1">
      <alignment vertical="center" wrapText="1"/>
    </xf>
    <xf numFmtId="0" fontId="176" fillId="0" borderId="74" xfId="0" applyFont="1" applyBorder="1" applyAlignment="1">
      <alignment horizontal="left" vertical="center"/>
    </xf>
    <xf numFmtId="0" fontId="176" fillId="0" borderId="78" xfId="0" applyFont="1" applyBorder="1" applyProtection="1">
      <alignment vertical="center"/>
      <protection locked="0"/>
    </xf>
    <xf numFmtId="49" fontId="176" fillId="0" borderId="78" xfId="0" applyNumberFormat="1" applyFont="1" applyBorder="1" applyProtection="1">
      <alignment vertical="center"/>
      <protection locked="0"/>
    </xf>
    <xf numFmtId="184" fontId="176" fillId="0" borderId="78" xfId="0" applyNumberFormat="1" applyFont="1" applyBorder="1" applyProtection="1">
      <alignment vertical="center"/>
      <protection locked="0"/>
    </xf>
    <xf numFmtId="0" fontId="176" fillId="0" borderId="71" xfId="0" applyFont="1" applyBorder="1" applyAlignment="1">
      <alignment vertical="center" wrapText="1"/>
    </xf>
    <xf numFmtId="0" fontId="176" fillId="0" borderId="71" xfId="0" applyFont="1" applyBorder="1" applyAlignment="1">
      <alignment horizontal="left" vertical="center"/>
    </xf>
    <xf numFmtId="0" fontId="176" fillId="0" borderId="78" xfId="0" applyFont="1" applyBorder="1">
      <alignment vertical="center"/>
    </xf>
    <xf numFmtId="0" fontId="176" fillId="0" borderId="74" xfId="0" applyFont="1" applyBorder="1">
      <alignment vertical="center"/>
    </xf>
    <xf numFmtId="191" fontId="176" fillId="0" borderId="71" xfId="0" applyNumberFormat="1" applyFont="1" applyBorder="1" applyAlignment="1">
      <alignment horizontal="left" vertical="center"/>
    </xf>
    <xf numFmtId="0" fontId="243" fillId="5" borderId="53" xfId="0" applyFont="1" applyFill="1" applyBorder="1" applyAlignment="1">
      <alignment vertical="center" wrapText="1"/>
    </xf>
    <xf numFmtId="0" fontId="67" fillId="2" borderId="30" xfId="0" applyFont="1" applyFill="1" applyBorder="1" applyAlignment="1" applyProtection="1">
      <alignment horizontal="center" vertical="center" wrapText="1"/>
      <protection locked="0"/>
    </xf>
    <xf numFmtId="0" fontId="48" fillId="0" borderId="20" xfId="0" applyFont="1" applyBorder="1" applyAlignment="1" applyProtection="1">
      <alignment horizontal="center" vertical="center" wrapText="1"/>
      <protection locked="0"/>
    </xf>
    <xf numFmtId="0" fontId="243" fillId="5" borderId="24" xfId="0" applyFont="1" applyFill="1" applyBorder="1" applyAlignment="1">
      <alignment vertical="center" wrapText="1"/>
    </xf>
    <xf numFmtId="184" fontId="67" fillId="5" borderId="62" xfId="0" applyNumberFormat="1" applyFont="1" applyFill="1" applyBorder="1" applyAlignment="1">
      <alignment horizontal="center" vertical="center" wrapText="1"/>
    </xf>
    <xf numFmtId="0" fontId="71" fillId="5" borderId="59" xfId="0" applyFont="1" applyFill="1" applyBorder="1" applyAlignment="1">
      <alignment vertical="center" wrapText="1"/>
    </xf>
    <xf numFmtId="0" fontId="71" fillId="5" borderId="64" xfId="0" applyFont="1" applyFill="1" applyBorder="1" applyAlignment="1">
      <alignment vertical="center" wrapText="1"/>
    </xf>
    <xf numFmtId="0" fontId="71" fillId="5" borderId="87" xfId="0" applyFont="1" applyFill="1" applyBorder="1" applyAlignment="1">
      <alignment vertical="center" wrapText="1"/>
    </xf>
    <xf numFmtId="0" fontId="99" fillId="5" borderId="64" xfId="0" applyFont="1" applyFill="1" applyBorder="1" applyAlignment="1">
      <alignment vertical="center" wrapText="1"/>
    </xf>
    <xf numFmtId="0" fontId="79" fillId="5" borderId="64" xfId="0" applyFont="1" applyFill="1" applyBorder="1" applyAlignment="1">
      <alignment vertical="center" wrapText="1"/>
    </xf>
    <xf numFmtId="0" fontId="79" fillId="8" borderId="87" xfId="0" applyFont="1" applyFill="1" applyBorder="1" applyAlignment="1">
      <alignment vertical="center" wrapText="1"/>
    </xf>
    <xf numFmtId="0" fontId="79" fillId="8" borderId="54" xfId="0" applyFont="1" applyFill="1" applyBorder="1" applyAlignment="1">
      <alignment vertical="center" wrapText="1"/>
    </xf>
    <xf numFmtId="0" fontId="71" fillId="5" borderId="57" xfId="0" applyFont="1" applyFill="1" applyBorder="1" applyAlignment="1">
      <alignment horizontal="left" vertical="center" wrapText="1"/>
    </xf>
    <xf numFmtId="0" fontId="71" fillId="5" borderId="16" xfId="0" applyFont="1" applyFill="1" applyBorder="1" applyAlignment="1">
      <alignment horizontal="left" vertical="center" wrapText="1"/>
    </xf>
    <xf numFmtId="0" fontId="71" fillId="5" borderId="63" xfId="0" applyFont="1" applyFill="1" applyBorder="1" applyAlignment="1">
      <alignment horizontal="left" vertical="center" wrapText="1"/>
    </xf>
    <xf numFmtId="0" fontId="71" fillId="5" borderId="16" xfId="0" applyFont="1" applyFill="1" applyBorder="1" applyAlignment="1" applyProtection="1">
      <alignment horizontal="left" vertical="center" wrapText="1"/>
      <protection locked="0"/>
    </xf>
    <xf numFmtId="0" fontId="71" fillId="8" borderId="63" xfId="0" applyFont="1" applyFill="1" applyBorder="1" applyAlignment="1" applyProtection="1">
      <alignment horizontal="left" vertical="center" wrapText="1"/>
      <protection locked="0"/>
    </xf>
    <xf numFmtId="0" fontId="71" fillId="8" borderId="66" xfId="0" applyFont="1" applyFill="1" applyBorder="1" applyAlignment="1" applyProtection="1">
      <alignment horizontal="left" vertical="center" wrapText="1"/>
      <protection locked="0"/>
    </xf>
    <xf numFmtId="0" fontId="80" fillId="5" borderId="0" xfId="3" applyFont="1" applyFill="1" applyAlignment="1" applyProtection="1">
      <alignment horizontal="center" vertical="center" wrapText="1"/>
      <protection locked="0"/>
    </xf>
    <xf numFmtId="0" fontId="102" fillId="0" borderId="2" xfId="3" applyFont="1" applyBorder="1" applyAlignment="1" applyProtection="1">
      <alignment horizontal="center" vertical="center" wrapText="1"/>
      <protection locked="0"/>
    </xf>
    <xf numFmtId="0" fontId="82" fillId="5" borderId="2" xfId="3" applyFont="1" applyFill="1" applyBorder="1" applyAlignment="1" applyProtection="1">
      <alignment horizontal="center" vertical="center" wrapText="1"/>
      <protection locked="0"/>
    </xf>
    <xf numFmtId="180" fontId="82" fillId="5" borderId="2" xfId="3" applyNumberFormat="1" applyFont="1" applyFill="1" applyBorder="1" applyAlignment="1" applyProtection="1">
      <alignment horizontal="center" vertical="center" wrapText="1"/>
      <protection locked="0"/>
    </xf>
    <xf numFmtId="0" fontId="82" fillId="8" borderId="0" xfId="3" applyFont="1" applyFill="1" applyAlignment="1">
      <alignment horizontal="center" vertical="center" wrapText="1"/>
    </xf>
    <xf numFmtId="0" fontId="82" fillId="0" borderId="0" xfId="3" applyFont="1" applyAlignment="1">
      <alignment horizontal="center" vertical="center" wrapText="1"/>
    </xf>
    <xf numFmtId="185" fontId="148" fillId="5" borderId="2" xfId="3" applyNumberFormat="1" applyFont="1" applyFill="1" applyBorder="1" applyAlignment="1">
      <alignment horizontal="center" vertical="center"/>
    </xf>
    <xf numFmtId="178" fontId="154" fillId="5" borderId="2" xfId="3" applyNumberFormat="1" applyFont="1" applyFill="1" applyBorder="1" applyAlignment="1">
      <alignment horizontal="center" vertical="center"/>
    </xf>
    <xf numFmtId="186" fontId="154" fillId="5" borderId="2" xfId="3" applyNumberFormat="1" applyFont="1" applyFill="1" applyBorder="1" applyAlignment="1">
      <alignment horizontal="center" vertical="center" wrapText="1"/>
    </xf>
    <xf numFmtId="0" fontId="82" fillId="5" borderId="9" xfId="3" applyFont="1" applyFill="1" applyBorder="1" applyAlignment="1" applyProtection="1">
      <alignment horizontal="center" vertical="center" wrapText="1"/>
      <protection locked="0"/>
    </xf>
    <xf numFmtId="0" fontId="136" fillId="5" borderId="2" xfId="3" applyFont="1" applyFill="1" applyBorder="1" applyAlignment="1">
      <alignment horizontal="center" vertical="center" wrapText="1"/>
    </xf>
    <xf numFmtId="0" fontId="102" fillId="5" borderId="2" xfId="3" applyFont="1" applyFill="1" applyBorder="1" applyAlignment="1">
      <alignment horizontal="center" vertical="center" wrapText="1"/>
    </xf>
    <xf numFmtId="178" fontId="123" fillId="5" borderId="91" xfId="4" applyNumberFormat="1" applyFont="1" applyFill="1" applyBorder="1" applyAlignment="1">
      <alignment horizontal="center"/>
    </xf>
    <xf numFmtId="0" fontId="0" fillId="0" borderId="0" xfId="0" applyAlignment="1"/>
    <xf numFmtId="0" fontId="142" fillId="5" borderId="0" xfId="0" applyFont="1" applyFill="1" applyAlignment="1"/>
    <xf numFmtId="0" fontId="123" fillId="5" borderId="0" xfId="4" applyFont="1" applyFill="1"/>
    <xf numFmtId="0" fontId="123" fillId="5" borderId="1" xfId="4" applyFont="1" applyFill="1" applyBorder="1"/>
    <xf numFmtId="0" fontId="196" fillId="5" borderId="6" xfId="4" applyFont="1" applyFill="1" applyBorder="1" applyAlignment="1">
      <alignment horizontal="center" vertical="center" wrapText="1"/>
    </xf>
    <xf numFmtId="0" fontId="123" fillId="5" borderId="7" xfId="4" applyFont="1" applyFill="1" applyBorder="1" applyAlignment="1">
      <alignment horizontal="center"/>
    </xf>
    <xf numFmtId="0" fontId="196" fillId="5" borderId="1" xfId="4" applyFont="1" applyFill="1" applyBorder="1" applyAlignment="1">
      <alignment horizontal="center" vertical="center" wrapText="1"/>
    </xf>
    <xf numFmtId="0" fontId="123" fillId="5" borderId="6" xfId="4" applyFont="1" applyFill="1" applyBorder="1" applyAlignment="1">
      <alignment horizontal="center"/>
    </xf>
    <xf numFmtId="0" fontId="123" fillId="0" borderId="0" xfId="4" applyFont="1"/>
    <xf numFmtId="0" fontId="123" fillId="5" borderId="11" xfId="4" applyFont="1" applyFill="1" applyBorder="1"/>
    <xf numFmtId="0" fontId="196" fillId="5" borderId="2" xfId="4" applyFont="1" applyFill="1" applyBorder="1" applyAlignment="1">
      <alignment horizontal="center" vertical="center" wrapText="1"/>
    </xf>
    <xf numFmtId="0" fontId="123" fillId="5" borderId="12" xfId="4" applyFont="1" applyFill="1" applyBorder="1" applyAlignment="1">
      <alignment horizontal="center"/>
    </xf>
    <xf numFmtId="0" fontId="196" fillId="5" borderId="11" xfId="4" applyFont="1" applyFill="1" applyBorder="1" applyAlignment="1">
      <alignment horizontal="center" vertical="center" wrapText="1"/>
    </xf>
    <xf numFmtId="0" fontId="123" fillId="5" borderId="2" xfId="4" applyFont="1" applyFill="1" applyBorder="1" applyAlignment="1">
      <alignment horizontal="center"/>
    </xf>
    <xf numFmtId="0" fontId="123" fillId="5" borderId="43" xfId="4" applyFont="1" applyFill="1" applyBorder="1"/>
    <xf numFmtId="0" fontId="196" fillId="5" borderId="44" xfId="4" applyFont="1" applyFill="1" applyBorder="1" applyAlignment="1">
      <alignment horizontal="center" vertical="center" wrapText="1"/>
    </xf>
    <xf numFmtId="0" fontId="123" fillId="5" borderId="46" xfId="4" applyFont="1" applyFill="1" applyBorder="1" applyAlignment="1">
      <alignment horizontal="center"/>
    </xf>
    <xf numFmtId="0" fontId="196" fillId="5" borderId="43" xfId="4" applyFont="1" applyFill="1" applyBorder="1" applyAlignment="1">
      <alignment horizontal="center" vertical="center" wrapText="1"/>
    </xf>
    <xf numFmtId="0" fontId="123" fillId="5" borderId="44" xfId="4" applyFont="1" applyFill="1" applyBorder="1" applyAlignment="1">
      <alignment horizontal="center"/>
    </xf>
    <xf numFmtId="0" fontId="123" fillId="5" borderId="0" xfId="4" applyFont="1" applyFill="1" applyAlignment="1">
      <alignment horizontal="center"/>
    </xf>
    <xf numFmtId="0" fontId="123" fillId="5" borderId="0" xfId="4" applyFont="1" applyFill="1" applyAlignment="1">
      <alignment horizontal="right"/>
    </xf>
    <xf numFmtId="14" fontId="123" fillId="5" borderId="0" xfId="4" applyNumberFormat="1" applyFont="1" applyFill="1" applyAlignment="1">
      <alignment horizontal="center"/>
    </xf>
    <xf numFmtId="0" fontId="244" fillId="5" borderId="0" xfId="4" applyFont="1" applyFill="1" applyAlignment="1">
      <alignment horizontal="center"/>
    </xf>
    <xf numFmtId="0" fontId="245" fillId="5" borderId="0" xfId="4" applyFont="1" applyFill="1" applyAlignment="1">
      <alignment horizontal="left"/>
    </xf>
    <xf numFmtId="14" fontId="244" fillId="5" borderId="0" xfId="4" applyNumberFormat="1" applyFont="1" applyFill="1" applyAlignment="1">
      <alignment horizontal="center"/>
    </xf>
    <xf numFmtId="0" fontId="244" fillId="5" borderId="0" xfId="4" applyFont="1" applyFill="1"/>
    <xf numFmtId="0" fontId="244" fillId="0" borderId="0" xfId="4" applyFont="1"/>
    <xf numFmtId="0" fontId="244" fillId="0" borderId="0" xfId="0" applyFont="1" applyAlignment="1"/>
    <xf numFmtId="0" fontId="246" fillId="5" borderId="0" xfId="4" applyFont="1" applyFill="1"/>
    <xf numFmtId="0" fontId="247" fillId="5" borderId="0" xfId="4" applyFont="1" applyFill="1"/>
    <xf numFmtId="0" fontId="246" fillId="0" borderId="0" xfId="4" applyFont="1"/>
    <xf numFmtId="0" fontId="196" fillId="5" borderId="0" xfId="4" applyFont="1" applyFill="1"/>
    <xf numFmtId="0" fontId="226" fillId="5" borderId="10" xfId="4" applyFont="1" applyFill="1" applyBorder="1" applyAlignment="1">
      <alignment horizontal="center" vertical="center"/>
    </xf>
    <xf numFmtId="0" fontId="226" fillId="5" borderId="10" xfId="4" applyFont="1" applyFill="1" applyBorder="1" applyAlignment="1">
      <alignment vertical="center"/>
    </xf>
    <xf numFmtId="0" fontId="226" fillId="5" borderId="5" xfId="4" applyFont="1" applyFill="1" applyBorder="1" applyAlignment="1">
      <alignment vertical="center"/>
    </xf>
    <xf numFmtId="0" fontId="226" fillId="5" borderId="9" xfId="4" applyFont="1" applyFill="1" applyBorder="1" applyAlignment="1">
      <alignment vertical="center"/>
    </xf>
    <xf numFmtId="0" fontId="226" fillId="5" borderId="8" xfId="4" applyFont="1" applyFill="1" applyBorder="1" applyAlignment="1">
      <alignment vertical="center"/>
    </xf>
    <xf numFmtId="0" fontId="196" fillId="0" borderId="0" xfId="4" applyFont="1"/>
    <xf numFmtId="0" fontId="226" fillId="5" borderId="21" xfId="4" applyFont="1" applyFill="1" applyBorder="1" applyAlignment="1">
      <alignment horizontal="center" vertical="center" wrapText="1"/>
    </xf>
    <xf numFmtId="0" fontId="226" fillId="5" borderId="21" xfId="4" applyFont="1" applyFill="1" applyBorder="1" applyAlignment="1">
      <alignment vertical="center" wrapText="1"/>
    </xf>
    <xf numFmtId="0" fontId="123" fillId="5" borderId="2" xfId="4" applyFont="1" applyFill="1" applyBorder="1"/>
    <xf numFmtId="0" fontId="226" fillId="5" borderId="2" xfId="4" applyFont="1" applyFill="1" applyBorder="1" applyAlignment="1">
      <alignment horizontal="center" vertical="center" wrapText="1"/>
    </xf>
    <xf numFmtId="0" fontId="211" fillId="5" borderId="0" xfId="4" applyFont="1" applyFill="1" applyAlignment="1">
      <alignment vertical="center"/>
    </xf>
    <xf numFmtId="0" fontId="211" fillId="5" borderId="2" xfId="4" applyFont="1" applyFill="1" applyBorder="1" applyAlignment="1">
      <alignment horizontal="left" vertical="center" wrapText="1"/>
    </xf>
    <xf numFmtId="193" fontId="211" fillId="5" borderId="2" xfId="4" applyNumberFormat="1" applyFont="1" applyFill="1" applyBorder="1" applyAlignment="1">
      <alignment horizontal="center" vertical="center" wrapText="1"/>
    </xf>
    <xf numFmtId="0" fontId="211" fillId="5" borderId="2" xfId="4" applyFont="1" applyFill="1" applyBorder="1" applyAlignment="1">
      <alignment horizontal="center" vertical="center" wrapText="1"/>
    </xf>
    <xf numFmtId="14" fontId="211" fillId="5" borderId="2" xfId="4" applyNumberFormat="1" applyFont="1" applyFill="1" applyBorder="1" applyAlignment="1">
      <alignment horizontal="center" vertical="center" wrapText="1"/>
    </xf>
    <xf numFmtId="0" fontId="211" fillId="6" borderId="0" xfId="4" applyFont="1" applyFill="1" applyAlignment="1">
      <alignment vertical="center"/>
    </xf>
    <xf numFmtId="0" fontId="249" fillId="0" borderId="0" xfId="0" applyFont="1" applyAlignment="1"/>
    <xf numFmtId="0" fontId="123" fillId="5" borderId="2" xfId="4" applyFont="1" applyFill="1" applyBorder="1" applyAlignment="1">
      <alignment horizontal="center" wrapText="1"/>
    </xf>
    <xf numFmtId="14" fontId="123" fillId="5" borderId="2" xfId="4" applyNumberFormat="1" applyFont="1" applyFill="1" applyBorder="1" applyAlignment="1">
      <alignment horizontal="center" wrapText="1"/>
    </xf>
    <xf numFmtId="14" fontId="206" fillId="5" borderId="2" xfId="4" applyNumberFormat="1" applyFont="1" applyFill="1" applyBorder="1" applyAlignment="1">
      <alignment horizontal="center" wrapText="1"/>
    </xf>
    <xf numFmtId="0" fontId="123" fillId="5" borderId="0" xfId="4" applyFont="1" applyFill="1" applyAlignment="1">
      <alignment horizontal="center" wrapText="1"/>
    </xf>
    <xf numFmtId="14" fontId="123" fillId="5" borderId="0" xfId="4" applyNumberFormat="1" applyFont="1" applyFill="1" applyAlignment="1">
      <alignment horizontal="center" wrapText="1"/>
    </xf>
    <xf numFmtId="0" fontId="0" fillId="5" borderId="0" xfId="0" applyFill="1" applyAlignment="1"/>
    <xf numFmtId="0" fontId="0" fillId="5" borderId="91" xfId="0" applyFill="1" applyBorder="1" applyAlignment="1"/>
    <xf numFmtId="0" fontId="217" fillId="5" borderId="2" xfId="4" applyFont="1" applyFill="1" applyBorder="1" applyAlignment="1">
      <alignment horizontal="center"/>
    </xf>
    <xf numFmtId="0" fontId="217" fillId="5" borderId="21" xfId="4" applyFont="1" applyFill="1" applyBorder="1" applyAlignment="1">
      <alignment horizontal="center"/>
    </xf>
    <xf numFmtId="0" fontId="199" fillId="5" borderId="2" xfId="0" applyFont="1" applyFill="1" applyBorder="1" applyAlignment="1">
      <alignment horizontal="center"/>
    </xf>
    <xf numFmtId="10" fontId="220" fillId="5" borderId="2" xfId="4" applyNumberFormat="1" applyFont="1" applyFill="1" applyBorder="1" applyAlignment="1">
      <alignment horizontal="center"/>
    </xf>
    <xf numFmtId="14" fontId="220" fillId="5" borderId="2" xfId="4" applyNumberFormat="1" applyFont="1" applyFill="1" applyBorder="1" applyAlignment="1">
      <alignment horizontal="center"/>
    </xf>
    <xf numFmtId="0" fontId="220" fillId="5" borderId="21" xfId="4" applyFont="1" applyFill="1" applyBorder="1" applyAlignment="1">
      <alignment horizontal="center"/>
    </xf>
    <xf numFmtId="0" fontId="42" fillId="5" borderId="21" xfId="0" applyFont="1" applyFill="1" applyBorder="1" applyAlignment="1">
      <alignment horizontal="left" vertical="center" wrapText="1"/>
    </xf>
    <xf numFmtId="0" fontId="42" fillId="5" borderId="2" xfId="0" applyFont="1" applyFill="1" applyBorder="1" applyAlignment="1">
      <alignment horizontal="left" vertical="center" wrapText="1"/>
    </xf>
    <xf numFmtId="0" fontId="42" fillId="5" borderId="44" xfId="0" applyFont="1" applyFill="1" applyBorder="1" applyAlignment="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Border="1" applyProtection="1">
      <alignment vertical="center"/>
      <protection locked="0" hidden="1"/>
    </xf>
    <xf numFmtId="182" fontId="148" fillId="0" borderId="2" xfId="0" applyNumberFormat="1" applyFont="1" applyBorder="1" applyAlignment="1" applyProtection="1">
      <alignment horizontal="center" vertical="center"/>
      <protection locked="0"/>
    </xf>
    <xf numFmtId="178" fontId="72" fillId="0" borderId="2" xfId="2" applyNumberFormat="1" applyFont="1" applyBorder="1" applyAlignment="1" applyProtection="1">
      <alignment horizontal="center" vertical="center"/>
      <protection locked="0"/>
    </xf>
    <xf numFmtId="10" fontId="72" fillId="0" borderId="2" xfId="2" applyNumberFormat="1" applyFont="1" applyBorder="1" applyAlignment="1" applyProtection="1">
      <alignment horizontal="center" vertical="center"/>
      <protection locked="0"/>
    </xf>
    <xf numFmtId="9" fontId="72" fillId="0" borderId="5" xfId="0" applyNumberFormat="1" applyFont="1" applyBorder="1" applyAlignment="1" applyProtection="1">
      <alignment horizontal="center" vertical="center"/>
      <protection locked="0"/>
    </xf>
    <xf numFmtId="185" fontId="148" fillId="0" borderId="10" xfId="0" applyNumberFormat="1" applyFont="1" applyBorder="1" applyAlignment="1" applyProtection="1">
      <alignment horizontal="center" vertical="center"/>
      <protection locked="0"/>
    </xf>
    <xf numFmtId="0" fontId="45" fillId="5" borderId="2" xfId="2" applyFont="1" applyFill="1" applyBorder="1" applyAlignment="1">
      <alignment vertical="center" wrapText="1"/>
    </xf>
    <xf numFmtId="0" fontId="39" fillId="5" borderId="44" xfId="0" applyFont="1" applyFill="1" applyBorder="1">
      <alignment vertical="center"/>
    </xf>
    <xf numFmtId="49" fontId="129" fillId="5" borderId="11" xfId="0" applyNumberFormat="1" applyFont="1" applyFill="1" applyBorder="1" applyAlignment="1">
      <alignment horizontal="left" vertical="center" wrapText="1"/>
    </xf>
    <xf numFmtId="0" fontId="19" fillId="5" borderId="5" xfId="2" applyFont="1" applyFill="1" applyBorder="1">
      <alignment vertical="center"/>
    </xf>
    <xf numFmtId="0" fontId="19" fillId="5" borderId="2" xfId="2" applyFont="1" applyFill="1" applyBorder="1">
      <alignment vertical="center"/>
    </xf>
    <xf numFmtId="10" fontId="81" fillId="5" borderId="2" xfId="2" applyNumberFormat="1" applyFont="1" applyFill="1" applyBorder="1" applyAlignment="1">
      <alignment horizontal="center" vertical="center"/>
    </xf>
    <xf numFmtId="182" fontId="67" fillId="0" borderId="12" xfId="0" applyNumberFormat="1" applyFont="1" applyBorder="1" applyAlignment="1" applyProtection="1">
      <alignment horizontal="center" vertical="center"/>
      <protection locked="0"/>
    </xf>
    <xf numFmtId="0" fontId="20" fillId="5" borderId="1" xfId="0" applyFont="1" applyFill="1" applyBorder="1" applyAlignment="1">
      <alignment vertical="center" wrapText="1"/>
    </xf>
    <xf numFmtId="0" fontId="102" fillId="5" borderId="7" xfId="0" applyFont="1" applyFill="1" applyBorder="1" applyAlignment="1">
      <alignment horizontal="center" vertical="center" wrapText="1"/>
    </xf>
    <xf numFmtId="0" fontId="20" fillId="5" borderId="43" xfId="0" applyFont="1" applyFill="1" applyBorder="1" applyAlignment="1">
      <alignment vertical="center" wrapText="1"/>
    </xf>
    <xf numFmtId="0" fontId="251" fillId="0" borderId="2" xfId="14" applyFont="1" applyBorder="1" applyAlignment="1" applyProtection="1">
      <alignment horizontal="left" vertical="center" wrapText="1"/>
      <protection locked="0"/>
    </xf>
    <xf numFmtId="0" fontId="252" fillId="5" borderId="2" xfId="0" applyFont="1" applyFill="1" applyBorder="1" applyAlignment="1">
      <alignment horizontal="left" vertical="center" wrapText="1"/>
    </xf>
    <xf numFmtId="0" fontId="253" fillId="5" borderId="2" xfId="0" applyFont="1" applyFill="1" applyBorder="1" applyAlignment="1">
      <alignment vertical="center" wrapText="1"/>
    </xf>
    <xf numFmtId="182" fontId="72" fillId="5" borderId="0" xfId="0" applyNumberFormat="1" applyFont="1" applyFill="1">
      <alignment vertical="center"/>
    </xf>
    <xf numFmtId="0" fontId="11" fillId="5" borderId="0" xfId="0" applyFont="1" applyFill="1" applyProtection="1">
      <alignment vertical="center"/>
      <protection locked="0"/>
    </xf>
    <xf numFmtId="0" fontId="161" fillId="5" borderId="5" xfId="0" applyFont="1" applyFill="1" applyBorder="1" applyAlignment="1">
      <alignment horizontal="center" vertical="center" wrapText="1"/>
    </xf>
    <xf numFmtId="0" fontId="162" fillId="5" borderId="21" xfId="0" applyFont="1" applyFill="1" applyBorder="1" applyAlignment="1">
      <alignment horizontal="center" vertical="center" wrapText="1"/>
    </xf>
    <xf numFmtId="0" fontId="162" fillId="5" borderId="5" xfId="0" applyFont="1" applyFill="1" applyBorder="1" applyAlignment="1">
      <alignment horizontal="center" vertical="center" wrapText="1"/>
    </xf>
    <xf numFmtId="0" fontId="162" fillId="5" borderId="8" xfId="0" applyFont="1" applyFill="1" applyBorder="1" applyAlignment="1">
      <alignment horizontal="center" vertical="center" wrapText="1"/>
    </xf>
    <xf numFmtId="0" fontId="162" fillId="5" borderId="8" xfId="0" applyFont="1" applyFill="1" applyBorder="1" applyAlignment="1">
      <alignment horizontal="center" vertical="center"/>
    </xf>
    <xf numFmtId="0" fontId="162" fillId="5" borderId="9" xfId="0" applyFont="1" applyFill="1" applyBorder="1" applyAlignment="1">
      <alignment horizontal="center" vertical="center" wrapText="1"/>
    </xf>
    <xf numFmtId="0" fontId="158" fillId="5" borderId="2" xfId="0" applyFont="1" applyFill="1" applyBorder="1" applyAlignment="1">
      <alignment horizontal="center" vertical="center" wrapText="1"/>
    </xf>
    <xf numFmtId="182" fontId="72" fillId="5" borderId="0" xfId="0" applyNumberFormat="1" applyFont="1" applyFill="1" applyAlignment="1">
      <alignment horizontal="left" vertical="center"/>
    </xf>
    <xf numFmtId="0" fontId="74" fillId="5" borderId="150" xfId="0" applyFont="1" applyFill="1" applyBorder="1" applyAlignment="1">
      <alignment vertical="center" wrapText="1"/>
    </xf>
    <xf numFmtId="0" fontId="74" fillId="0" borderId="150" xfId="0" applyFont="1" applyBorder="1" applyAlignment="1">
      <alignment vertical="center" wrapText="1"/>
    </xf>
    <xf numFmtId="0" fontId="178" fillId="5" borderId="150" xfId="0" applyFont="1" applyFill="1" applyBorder="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1" fillId="6" borderId="5" xfId="0" applyFont="1" applyFill="1" applyBorder="1" applyProtection="1">
      <alignment vertical="center"/>
      <protection locked="0"/>
    </xf>
    <xf numFmtId="0" fontId="257" fillId="0" borderId="105" xfId="0" applyFont="1" applyBorder="1" applyAlignment="1" applyProtection="1">
      <alignment horizontal="center" vertical="center" wrapText="1"/>
      <protection locked="0"/>
    </xf>
    <xf numFmtId="0" fontId="257" fillId="5" borderId="31" xfId="0" applyFont="1" applyFill="1" applyBorder="1" applyAlignment="1">
      <alignment horizontal="center" vertical="center" wrapText="1"/>
    </xf>
    <xf numFmtId="0" fontId="257" fillId="0" borderId="31" xfId="0" applyFont="1" applyBorder="1" applyAlignment="1" applyProtection="1">
      <alignment horizontal="center" vertical="center" wrapText="1"/>
      <protection locked="0"/>
    </xf>
    <xf numFmtId="0" fontId="145" fillId="5" borderId="6" xfId="0" applyFont="1" applyFill="1" applyBorder="1" applyAlignment="1">
      <alignment horizontal="center" vertical="center" wrapText="1"/>
    </xf>
    <xf numFmtId="0" fontId="145" fillId="5" borderId="6" xfId="0" applyFont="1" applyFill="1" applyBorder="1" applyAlignment="1">
      <alignment horizontal="left" vertical="center" wrapText="1"/>
    </xf>
    <xf numFmtId="10" fontId="82" fillId="5" borderId="55" xfId="3" applyNumberFormat="1" applyFont="1" applyFill="1" applyBorder="1" applyAlignment="1">
      <alignment horizontal="center" vertical="center" wrapText="1"/>
    </xf>
    <xf numFmtId="178" fontId="154" fillId="0" borderId="2" xfId="3" applyNumberFormat="1" applyFont="1" applyBorder="1" applyAlignment="1" applyProtection="1">
      <alignment horizontal="center" vertical="center"/>
      <protection locked="0"/>
    </xf>
    <xf numFmtId="0" fontId="154" fillId="5" borderId="12" xfId="0" applyFont="1" applyFill="1" applyBorder="1" applyAlignment="1">
      <alignment horizontal="left" vertical="center"/>
    </xf>
    <xf numFmtId="182" fontId="102" fillId="5" borderId="6" xfId="0" applyNumberFormat="1" applyFont="1" applyFill="1" applyBorder="1" applyAlignment="1">
      <alignment horizontal="center" vertical="center"/>
    </xf>
    <xf numFmtId="182" fontId="102" fillId="5" borderId="5" xfId="0" applyNumberFormat="1" applyFont="1" applyFill="1" applyBorder="1" applyAlignment="1">
      <alignment horizontal="center" vertical="center"/>
    </xf>
    <xf numFmtId="0" fontId="141" fillId="5" borderId="2" xfId="0" applyFont="1" applyFill="1" applyBorder="1">
      <alignment vertical="center"/>
    </xf>
    <xf numFmtId="0" fontId="0" fillId="5" borderId="2" xfId="0" applyFill="1" applyBorder="1" applyAlignment="1">
      <alignment horizontal="center" vertical="center"/>
    </xf>
    <xf numFmtId="0" fontId="163" fillId="0" borderId="2" xfId="0" applyFont="1" applyBorder="1" applyAlignment="1" applyProtection="1">
      <alignment horizontal="center" vertical="center"/>
      <protection locked="0"/>
    </xf>
    <xf numFmtId="0" fontId="262" fillId="5" borderId="14" xfId="3" applyFont="1" applyFill="1" applyBorder="1" applyAlignment="1">
      <alignment horizontal="center" vertical="center"/>
    </xf>
    <xf numFmtId="0" fontId="102" fillId="5" borderId="0" xfId="0" applyFont="1" applyFill="1" applyAlignment="1" applyProtection="1">
      <alignment horizontal="center" vertical="center"/>
      <protection locked="0"/>
    </xf>
    <xf numFmtId="0" fontId="48" fillId="5" borderId="10" xfId="0" applyFont="1" applyFill="1" applyBorder="1" applyAlignment="1"/>
    <xf numFmtId="10" fontId="81" fillId="5" borderId="25" xfId="0" applyNumberFormat="1" applyFont="1" applyFill="1" applyBorder="1" applyAlignment="1">
      <alignment horizontal="center"/>
    </xf>
    <xf numFmtId="0" fontId="46" fillId="5" borderId="44" xfId="0" applyFont="1" applyFill="1" applyBorder="1" applyAlignment="1">
      <alignment horizontal="left" vertical="center"/>
    </xf>
    <xf numFmtId="0" fontId="94" fillId="6" borderId="0" xfId="0" applyFont="1" applyFill="1" applyProtection="1">
      <alignment vertical="center"/>
      <protection locked="0"/>
    </xf>
    <xf numFmtId="0" fontId="128" fillId="5" borderId="11" xfId="0" applyFont="1" applyFill="1" applyBorder="1">
      <alignment vertical="center"/>
    </xf>
    <xf numFmtId="0" fontId="149" fillId="0" borderId="43" xfId="0" applyFont="1" applyBorder="1" applyAlignment="1">
      <alignment horizontal="center" vertical="center"/>
    </xf>
    <xf numFmtId="0" fontId="18" fillId="6" borderId="21" xfId="0" applyFont="1" applyFill="1" applyBorder="1" applyAlignment="1" applyProtection="1">
      <alignment horizontal="left" vertical="center" wrapText="1"/>
      <protection locked="0"/>
    </xf>
    <xf numFmtId="0" fontId="128" fillId="5" borderId="1" xfId="0" applyFont="1" applyFill="1" applyBorder="1">
      <alignment vertical="center"/>
    </xf>
    <xf numFmtId="49" fontId="128" fillId="5" borderId="11" xfId="0" applyNumberFormat="1" applyFont="1" applyFill="1" applyBorder="1" applyAlignment="1">
      <alignment horizontal="left" vertical="center"/>
    </xf>
    <xf numFmtId="0" fontId="128" fillId="5" borderId="43" xfId="0" applyFont="1" applyFill="1" applyBorder="1">
      <alignment vertical="center"/>
    </xf>
    <xf numFmtId="0" fontId="128" fillId="5" borderId="33" xfId="0" applyFont="1" applyFill="1" applyBorder="1" applyAlignment="1">
      <alignment vertical="center" wrapText="1"/>
    </xf>
    <xf numFmtId="0" fontId="172" fillId="5" borderId="12" xfId="0" applyFont="1" applyFill="1" applyBorder="1" applyAlignment="1">
      <alignment horizontal="center"/>
    </xf>
    <xf numFmtId="0" fontId="128" fillId="5" borderId="1" xfId="0" applyFont="1" applyFill="1" applyBorder="1" applyAlignment="1">
      <alignment horizontal="left" vertical="center"/>
    </xf>
    <xf numFmtId="0" fontId="144" fillId="5" borderId="11" xfId="0" applyFont="1" applyFill="1" applyBorder="1" applyAlignment="1">
      <alignment horizontal="left"/>
    </xf>
    <xf numFmtId="0" fontId="155" fillId="5" borderId="11" xfId="0" applyFont="1" applyFill="1" applyBorder="1" applyAlignment="1">
      <alignment horizontal="left"/>
    </xf>
    <xf numFmtId="0" fontId="150" fillId="5" borderId="82" xfId="0" applyFont="1" applyFill="1" applyBorder="1" applyAlignment="1">
      <alignment horizontal="center" vertical="center"/>
    </xf>
    <xf numFmtId="0" fontId="102" fillId="5" borderId="7" xfId="0" applyFont="1" applyFill="1" applyBorder="1" applyAlignment="1">
      <alignment horizontal="center" vertical="center"/>
    </xf>
    <xf numFmtId="192" fontId="102" fillId="5" borderId="12" xfId="0" applyNumberFormat="1" applyFont="1" applyFill="1" applyBorder="1" applyAlignment="1">
      <alignment horizontal="center" vertical="center"/>
    </xf>
    <xf numFmtId="0" fontId="102" fillId="8" borderId="0" xfId="0" applyFont="1" applyFill="1">
      <alignment vertical="center"/>
    </xf>
    <xf numFmtId="0" fontId="102" fillId="8" borderId="0" xfId="0" applyFont="1" applyFill="1" applyAlignment="1">
      <alignment horizontal="left" vertical="center"/>
    </xf>
    <xf numFmtId="0" fontId="210" fillId="5" borderId="59" xfId="0" applyFont="1" applyFill="1" applyBorder="1" applyAlignment="1">
      <alignment horizontal="left" vertical="center" wrapText="1"/>
    </xf>
    <xf numFmtId="0" fontId="210" fillId="5" borderId="26" xfId="0" applyFont="1" applyFill="1" applyBorder="1" applyAlignment="1">
      <alignment horizontal="center" vertical="center"/>
    </xf>
    <xf numFmtId="0" fontId="128" fillId="5" borderId="50" xfId="0" applyFont="1" applyFill="1" applyBorder="1" applyAlignment="1">
      <alignment vertical="center" wrapText="1"/>
    </xf>
    <xf numFmtId="0" fontId="128" fillId="5" borderId="11" xfId="0" applyFont="1" applyFill="1" applyBorder="1" applyAlignment="1">
      <alignment vertical="center" wrapText="1"/>
    </xf>
    <xf numFmtId="0" fontId="102" fillId="5" borderId="5" xfId="0" applyFont="1" applyFill="1" applyBorder="1" applyAlignment="1">
      <alignment horizontal="center" vertical="center"/>
    </xf>
    <xf numFmtId="49" fontId="210" fillId="5" borderId="43" xfId="0" applyNumberFormat="1" applyFont="1" applyFill="1" applyBorder="1" applyAlignment="1">
      <alignment horizontal="left" vertical="center"/>
    </xf>
    <xf numFmtId="0" fontId="102" fillId="5" borderId="46" xfId="0" applyFont="1" applyFill="1" applyBorder="1" applyAlignment="1">
      <alignment horizontal="center" vertical="center"/>
    </xf>
    <xf numFmtId="0" fontId="210" fillId="5" borderId="43" xfId="0" applyFont="1" applyFill="1" applyBorder="1" applyAlignment="1">
      <alignment horizontal="center" vertical="center"/>
    </xf>
    <xf numFmtId="0" fontId="128" fillId="5" borderId="2" xfId="0" applyFont="1" applyFill="1" applyBorder="1" applyAlignment="1"/>
    <xf numFmtId="0" fontId="128" fillId="5" borderId="2" xfId="0" applyFont="1" applyFill="1" applyBorder="1" applyAlignment="1">
      <alignment horizontal="center"/>
    </xf>
    <xf numFmtId="0" fontId="128" fillId="5" borderId="2" xfId="0" applyFont="1" applyFill="1" applyBorder="1" applyAlignment="1">
      <alignment horizontal="center" vertical="center"/>
    </xf>
    <xf numFmtId="9" fontId="102" fillId="5" borderId="2" xfId="0" applyNumberFormat="1" applyFont="1" applyFill="1" applyBorder="1" applyAlignment="1">
      <alignment horizontal="center" vertical="center"/>
    </xf>
    <xf numFmtId="0" fontId="102" fillId="6" borderId="0" xfId="0" applyFont="1" applyFill="1" applyAlignment="1" applyProtection="1">
      <alignment horizontal="center" vertical="center"/>
      <protection locked="0"/>
    </xf>
    <xf numFmtId="0" fontId="165" fillId="0" borderId="0" xfId="7" applyFont="1" applyAlignment="1">
      <alignment horizontal="left" vertical="center"/>
    </xf>
    <xf numFmtId="0" fontId="160" fillId="0" borderId="0" xfId="7" applyFont="1" applyAlignment="1">
      <alignment horizontal="left" vertical="center"/>
    </xf>
    <xf numFmtId="182" fontId="148" fillId="5" borderId="2" xfId="0" applyNumberFormat="1" applyFont="1" applyFill="1" applyBorder="1" applyAlignment="1">
      <alignment horizontal="center" vertical="center" wrapText="1"/>
    </xf>
    <xf numFmtId="0" fontId="123" fillId="5" borderId="2" xfId="0" applyFont="1" applyFill="1" applyBorder="1" applyAlignment="1">
      <alignment vertical="center" wrapText="1"/>
    </xf>
    <xf numFmtId="0" fontId="39" fillId="5" borderId="0" xfId="3" applyFont="1" applyFill="1">
      <alignment vertical="center"/>
    </xf>
    <xf numFmtId="10" fontId="80" fillId="0" borderId="2" xfId="3" applyNumberFormat="1" applyFont="1" applyBorder="1" applyAlignment="1" applyProtection="1">
      <alignment horizontal="center" vertical="center" wrapText="1"/>
      <protection locked="0"/>
    </xf>
    <xf numFmtId="0" fontId="102" fillId="5" borderId="45" xfId="0" applyFont="1" applyFill="1" applyBorder="1" applyAlignment="1">
      <alignment horizontal="center" vertical="center" wrapText="1"/>
    </xf>
    <xf numFmtId="0" fontId="140" fillId="5" borderId="43" xfId="3" applyFont="1" applyFill="1" applyBorder="1" applyAlignment="1" applyProtection="1">
      <alignment horizontal="center" vertical="center" wrapText="1"/>
      <protection locked="0"/>
    </xf>
    <xf numFmtId="0" fontId="80" fillId="5" borderId="44" xfId="3" applyFont="1" applyFill="1" applyBorder="1" applyAlignment="1" applyProtection="1">
      <alignment vertical="center" wrapText="1"/>
      <protection locked="0"/>
    </xf>
    <xf numFmtId="0" fontId="54" fillId="5" borderId="65" xfId="3" applyFont="1" applyFill="1" applyBorder="1" applyAlignment="1">
      <alignment vertical="center" wrapText="1"/>
    </xf>
    <xf numFmtId="0" fontId="160" fillId="5" borderId="2" xfId="0" applyFont="1" applyFill="1" applyBorder="1" applyAlignment="1">
      <alignment horizontal="center" vertical="center" wrapText="1"/>
    </xf>
    <xf numFmtId="0" fontId="39" fillId="5" borderId="44" xfId="3" applyFont="1" applyFill="1" applyBorder="1" applyAlignment="1">
      <alignment horizontal="center" vertical="center" wrapText="1"/>
    </xf>
    <xf numFmtId="0" fontId="39" fillId="6" borderId="44" xfId="3" applyFont="1" applyFill="1" applyBorder="1" applyAlignment="1" applyProtection="1">
      <alignment horizontal="right" vertical="center" wrapText="1"/>
      <protection locked="0"/>
    </xf>
    <xf numFmtId="0" fontId="161" fillId="5" borderId="3" xfId="3" applyFont="1" applyFill="1" applyBorder="1" applyAlignment="1">
      <alignment horizontal="left" vertical="center" wrapText="1"/>
    </xf>
    <xf numFmtId="0" fontId="53" fillId="5" borderId="3" xfId="3" applyFont="1" applyFill="1" applyBorder="1" applyAlignment="1">
      <alignment horizontal="left" vertical="center" wrapText="1"/>
    </xf>
    <xf numFmtId="0" fontId="79" fillId="5" borderId="13" xfId="3" applyFont="1" applyFill="1" applyBorder="1" applyAlignment="1">
      <alignment horizontal="center" vertical="center" wrapText="1"/>
    </xf>
    <xf numFmtId="0" fontId="39" fillId="5" borderId="13" xfId="3" applyFont="1" applyFill="1" applyBorder="1">
      <alignment vertical="center"/>
    </xf>
    <xf numFmtId="0" fontId="53" fillId="5" borderId="0" xfId="3" applyFont="1" applyFill="1" applyAlignment="1">
      <alignment horizontal="center" vertical="center" wrapText="1"/>
    </xf>
    <xf numFmtId="0" fontId="39" fillId="6" borderId="7" xfId="3" applyFont="1" applyFill="1" applyBorder="1" applyAlignment="1" applyProtection="1">
      <alignment horizontal="center" vertical="center" wrapText="1"/>
      <protection locked="0"/>
    </xf>
    <xf numFmtId="0" fontId="39" fillId="5" borderId="44" xfId="3" applyFont="1" applyFill="1" applyBorder="1" applyAlignment="1">
      <alignment horizontal="left" vertical="center"/>
    </xf>
    <xf numFmtId="0" fontId="82" fillId="5" borderId="55" xfId="3" applyFont="1" applyFill="1" applyBorder="1" applyAlignment="1">
      <alignment horizontal="center" vertical="center" wrapText="1"/>
    </xf>
    <xf numFmtId="0" fontId="39" fillId="5" borderId="44" xfId="0" applyFont="1" applyFill="1" applyBorder="1" applyAlignment="1">
      <alignment horizontal="center" vertical="center" wrapText="1"/>
    </xf>
    <xf numFmtId="0" fontId="82" fillId="5" borderId="46" xfId="3" applyFont="1" applyFill="1" applyBorder="1" applyAlignment="1">
      <alignment horizontal="center" vertical="center" wrapText="1"/>
    </xf>
    <xf numFmtId="0" fontId="102" fillId="16" borderId="83" xfId="0" applyFont="1" applyFill="1" applyBorder="1" applyAlignment="1">
      <alignment horizontal="center" vertical="center"/>
    </xf>
    <xf numFmtId="0" fontId="163" fillId="5" borderId="0" xfId="0" applyFont="1" applyFill="1">
      <alignment vertical="center"/>
    </xf>
    <xf numFmtId="0" fontId="72" fillId="6" borderId="26" xfId="0" applyFont="1" applyFill="1" applyBorder="1" applyAlignment="1" applyProtection="1">
      <alignment horizontal="center" vertical="center" wrapText="1"/>
      <protection locked="0"/>
    </xf>
    <xf numFmtId="0" fontId="72" fillId="6" borderId="2" xfId="0" applyFont="1" applyFill="1" applyBorder="1" applyAlignment="1" applyProtection="1">
      <alignment horizontal="center" vertical="center" wrapText="1"/>
      <protection locked="0"/>
    </xf>
    <xf numFmtId="0" fontId="232" fillId="12" borderId="124" xfId="13" applyFont="1" applyFill="1" applyBorder="1" applyAlignment="1">
      <alignment horizontal="left" vertical="center" wrapText="1"/>
    </xf>
    <xf numFmtId="0" fontId="232" fillId="12" borderId="128" xfId="13" applyFont="1" applyFill="1" applyBorder="1" applyAlignment="1">
      <alignment horizontal="left" vertical="center" wrapText="1"/>
    </xf>
    <xf numFmtId="0" fontId="153" fillId="0" borderId="0" xfId="10" applyFont="1" applyAlignment="1">
      <alignment horizontal="left" vertical="center"/>
    </xf>
    <xf numFmtId="0" fontId="153" fillId="0" borderId="148" xfId="10" applyFont="1" applyBorder="1" applyAlignment="1">
      <alignment horizontal="left" vertical="center"/>
    </xf>
    <xf numFmtId="0" fontId="155" fillId="5" borderId="148" xfId="1" applyFont="1" applyFill="1" applyBorder="1" applyAlignment="1">
      <alignment horizontal="left" vertical="center"/>
    </xf>
    <xf numFmtId="0" fontId="17" fillId="5" borderId="148" xfId="1" applyFont="1" applyFill="1" applyBorder="1" applyAlignment="1">
      <alignment horizontal="left" vertical="center"/>
    </xf>
    <xf numFmtId="0" fontId="153" fillId="0" borderId="149" xfId="10" applyFont="1" applyBorder="1" applyAlignment="1">
      <alignment horizontal="left" vertical="center"/>
    </xf>
    <xf numFmtId="0" fontId="220" fillId="15" borderId="0" xfId="13" applyFont="1" applyFill="1" applyAlignment="1">
      <alignment horizontal="left" vertical="center"/>
    </xf>
    <xf numFmtId="0" fontId="145" fillId="15" borderId="0" xfId="1" applyFont="1" applyFill="1" applyAlignment="1">
      <alignment horizontal="left" vertical="center"/>
    </xf>
    <xf numFmtId="0" fontId="17" fillId="15" borderId="0" xfId="1" applyFont="1" applyFill="1" applyAlignment="1">
      <alignment horizontal="left" vertical="center"/>
    </xf>
    <xf numFmtId="0" fontId="153" fillId="15" borderId="122" xfId="10" applyFont="1" applyFill="1" applyBorder="1" applyAlignment="1">
      <alignment horizontal="left" vertical="center"/>
    </xf>
    <xf numFmtId="0" fontId="153" fillId="15" borderId="0" xfId="10" applyFont="1" applyFill="1" applyAlignment="1">
      <alignment horizontal="left" vertical="center"/>
    </xf>
    <xf numFmtId="0" fontId="234" fillId="15" borderId="0" xfId="13" applyFont="1" applyFill="1" applyAlignment="1" applyProtection="1">
      <alignment horizontal="left" vertical="center"/>
      <protection locked="0"/>
    </xf>
    <xf numFmtId="0" fontId="226" fillId="15" borderId="0" xfId="13" applyFont="1" applyFill="1" applyAlignment="1">
      <alignment horizontal="left" vertical="center"/>
    </xf>
    <xf numFmtId="0" fontId="148" fillId="15" borderId="0" xfId="10" applyFont="1" applyFill="1" applyAlignment="1">
      <alignment horizontal="left" vertical="center"/>
    </xf>
    <xf numFmtId="10" fontId="148" fillId="15" borderId="0" xfId="10" applyNumberFormat="1" applyFont="1" applyFill="1" applyAlignment="1">
      <alignment horizontal="left" vertical="center"/>
    </xf>
    <xf numFmtId="0" fontId="145" fillId="0" borderId="0" xfId="1" applyFont="1" applyAlignment="1">
      <alignment horizontal="left" vertical="center"/>
    </xf>
    <xf numFmtId="0" fontId="17" fillId="0" borderId="0" xfId="1" applyFont="1" applyAlignment="1">
      <alignment horizontal="left" vertical="center"/>
    </xf>
    <xf numFmtId="0" fontId="153" fillId="0" borderId="122" xfId="10" applyFont="1" applyBorder="1" applyAlignment="1">
      <alignment horizontal="left" vertical="center"/>
    </xf>
    <xf numFmtId="0" fontId="153" fillId="0" borderId="0" xfId="10" applyFont="1" applyAlignment="1" applyProtection="1">
      <alignment horizontal="left" vertical="center"/>
      <protection locked="0"/>
    </xf>
    <xf numFmtId="0" fontId="153" fillId="0" borderId="0" xfId="13" applyFont="1" applyAlignment="1">
      <alignment horizontal="left" vertical="center"/>
    </xf>
    <xf numFmtId="0" fontId="148" fillId="0" borderId="0" xfId="10" applyFont="1" applyAlignment="1">
      <alignment horizontal="left" vertical="center"/>
    </xf>
    <xf numFmtId="10" fontId="148" fillId="0" borderId="0" xfId="10" applyNumberFormat="1" applyFont="1" applyAlignment="1">
      <alignment horizontal="left" vertical="center"/>
    </xf>
    <xf numFmtId="49" fontId="82" fillId="5" borderId="2" xfId="10" applyNumberFormat="1" applyFont="1" applyFill="1" applyBorder="1" applyAlignment="1">
      <alignment horizontal="left" vertical="center" wrapText="1"/>
    </xf>
    <xf numFmtId="185" fontId="148" fillId="0" borderId="0" xfId="10" applyNumberFormat="1" applyFont="1" applyAlignment="1">
      <alignment horizontal="left" vertical="center"/>
    </xf>
    <xf numFmtId="0" fontId="232" fillId="12" borderId="124" xfId="10" applyFont="1" applyFill="1" applyBorder="1" applyAlignment="1">
      <alignment horizontal="left" vertical="center" wrapText="1"/>
    </xf>
    <xf numFmtId="10" fontId="148" fillId="0" borderId="122" xfId="10" applyNumberFormat="1" applyFont="1" applyBorder="1" applyAlignment="1">
      <alignment horizontal="left" vertical="center"/>
    </xf>
    <xf numFmtId="178" fontId="148" fillId="0" borderId="0" xfId="10" applyNumberFormat="1" applyFont="1" applyAlignment="1">
      <alignment horizontal="left" vertical="center"/>
    </xf>
    <xf numFmtId="10" fontId="148" fillId="0" borderId="126" xfId="10" applyNumberFormat="1" applyFont="1" applyBorder="1" applyAlignment="1">
      <alignment horizontal="left" vertical="center"/>
    </xf>
    <xf numFmtId="10" fontId="148" fillId="0" borderId="19" xfId="10" applyNumberFormat="1" applyFont="1" applyBorder="1" applyAlignment="1">
      <alignment horizontal="left" vertical="center"/>
    </xf>
    <xf numFmtId="0" fontId="234" fillId="13" borderId="0" xfId="10" applyFont="1" applyFill="1" applyAlignment="1">
      <alignment horizontal="left" vertical="center"/>
    </xf>
    <xf numFmtId="0" fontId="232" fillId="12" borderId="128" xfId="10" applyFont="1" applyFill="1" applyBorder="1" applyAlignment="1">
      <alignment horizontal="left" vertical="center" wrapText="1"/>
    </xf>
    <xf numFmtId="0" fontId="232" fillId="11" borderId="120" xfId="10" applyFont="1" applyFill="1" applyBorder="1" applyAlignment="1">
      <alignment horizontal="left" vertical="center" wrapText="1"/>
    </xf>
    <xf numFmtId="0" fontId="232" fillId="11" borderId="121" xfId="10" applyFont="1" applyFill="1" applyBorder="1" applyAlignment="1">
      <alignment horizontal="left" vertical="center" wrapText="1"/>
    </xf>
    <xf numFmtId="185" fontId="153" fillId="11" borderId="120" xfId="13" applyNumberFormat="1" applyFont="1" applyFill="1" applyBorder="1" applyAlignment="1">
      <alignment horizontal="left" vertical="center" wrapText="1"/>
    </xf>
    <xf numFmtId="185" fontId="153" fillId="11" borderId="127" xfId="13" applyNumberFormat="1" applyFont="1" applyFill="1" applyBorder="1" applyAlignment="1">
      <alignment horizontal="left" vertical="center" wrapText="1"/>
    </xf>
    <xf numFmtId="182" fontId="148" fillId="0" borderId="122" xfId="10" applyNumberFormat="1" applyFont="1" applyBorder="1" applyAlignment="1">
      <alignment horizontal="left" vertical="center"/>
    </xf>
    <xf numFmtId="182" fontId="148" fillId="0" borderId="0" xfId="10" applyNumberFormat="1" applyFont="1" applyAlignment="1">
      <alignment horizontal="left" vertical="center"/>
    </xf>
    <xf numFmtId="0" fontId="232" fillId="11" borderId="124" xfId="10" applyFont="1" applyFill="1" applyBorder="1" applyAlignment="1">
      <alignment horizontal="left" vertical="center" wrapText="1"/>
    </xf>
    <xf numFmtId="0" fontId="232" fillId="11" borderId="128" xfId="10" applyFont="1" applyFill="1" applyBorder="1" applyAlignment="1">
      <alignment horizontal="left" vertical="center" wrapText="1"/>
    </xf>
    <xf numFmtId="10" fontId="148" fillId="0" borderId="132" xfId="10" applyNumberFormat="1" applyFont="1" applyBorder="1" applyAlignment="1">
      <alignment horizontal="left" vertical="center"/>
    </xf>
    <xf numFmtId="10" fontId="148" fillId="0" borderId="14" xfId="10" applyNumberFormat="1" applyFont="1" applyBorder="1" applyAlignment="1">
      <alignment horizontal="left" vertical="center"/>
    </xf>
    <xf numFmtId="185" fontId="153" fillId="11" borderId="120" xfId="10" applyNumberFormat="1" applyFont="1" applyFill="1" applyBorder="1" applyAlignment="1">
      <alignment horizontal="left" vertical="center" wrapText="1"/>
    </xf>
    <xf numFmtId="185" fontId="153" fillId="11" borderId="127" xfId="10" applyNumberFormat="1" applyFont="1" applyFill="1" applyBorder="1" applyAlignment="1">
      <alignment horizontal="left" vertical="center" wrapText="1"/>
    </xf>
    <xf numFmtId="0" fontId="232" fillId="11" borderId="130" xfId="10" applyFont="1" applyFill="1" applyBorder="1" applyAlignment="1">
      <alignment horizontal="left" vertical="center" wrapText="1"/>
    </xf>
    <xf numFmtId="0" fontId="232" fillId="11" borderId="131" xfId="10" applyFont="1" applyFill="1" applyBorder="1" applyAlignment="1">
      <alignment horizontal="left" vertical="center" wrapText="1"/>
    </xf>
    <xf numFmtId="0" fontId="148" fillId="0" borderId="122" xfId="10" applyFont="1" applyBorder="1" applyAlignment="1">
      <alignment horizontal="left" vertical="center"/>
    </xf>
    <xf numFmtId="0" fontId="232" fillId="12" borderId="120" xfId="10" applyFont="1" applyFill="1" applyBorder="1" applyAlignment="1">
      <alignment horizontal="left" vertical="center" wrapText="1"/>
    </xf>
    <xf numFmtId="0" fontId="232" fillId="12" borderId="121" xfId="10" applyFont="1" applyFill="1" applyBorder="1" applyAlignment="1">
      <alignment horizontal="left" vertical="center" wrapText="1"/>
    </xf>
    <xf numFmtId="185" fontId="153" fillId="11" borderId="124" xfId="10" applyNumberFormat="1" applyFont="1" applyFill="1" applyBorder="1" applyAlignment="1">
      <alignment horizontal="left" vertical="center" wrapText="1"/>
    </xf>
    <xf numFmtId="185" fontId="153" fillId="11" borderId="133" xfId="10" applyNumberFormat="1" applyFont="1" applyFill="1" applyBorder="1" applyAlignment="1">
      <alignment horizontal="left" vertical="center" wrapText="1"/>
    </xf>
    <xf numFmtId="0" fontId="148" fillId="12" borderId="120" xfId="10" applyFont="1" applyFill="1" applyBorder="1" applyAlignment="1">
      <alignment horizontal="left" vertical="center" wrapText="1"/>
    </xf>
    <xf numFmtId="0" fontId="148" fillId="12" borderId="121" xfId="10" applyFont="1" applyFill="1" applyBorder="1" applyAlignment="1">
      <alignment horizontal="left" vertical="center" wrapText="1"/>
    </xf>
    <xf numFmtId="49" fontId="82" fillId="6" borderId="2" xfId="10" applyNumberFormat="1" applyFont="1" applyFill="1" applyBorder="1" applyAlignment="1">
      <alignment horizontal="left" vertical="center" wrapText="1"/>
    </xf>
    <xf numFmtId="185" fontId="148" fillId="6" borderId="0" xfId="10" applyNumberFormat="1" applyFont="1" applyFill="1" applyAlignment="1">
      <alignment horizontal="left" vertical="center"/>
    </xf>
    <xf numFmtId="0" fontId="148" fillId="6" borderId="124" xfId="10" applyFont="1" applyFill="1" applyBorder="1" applyAlignment="1">
      <alignment horizontal="left" vertical="center" wrapText="1"/>
    </xf>
    <xf numFmtId="0" fontId="148" fillId="6" borderId="128" xfId="10" applyFont="1" applyFill="1" applyBorder="1" applyAlignment="1">
      <alignment horizontal="left" vertical="center" wrapText="1"/>
    </xf>
    <xf numFmtId="0" fontId="148" fillId="6" borderId="0" xfId="10" applyFont="1" applyFill="1" applyAlignment="1">
      <alignment horizontal="left" vertical="center"/>
    </xf>
    <xf numFmtId="10" fontId="148" fillId="6" borderId="122" xfId="10" applyNumberFormat="1" applyFont="1" applyFill="1" applyBorder="1" applyAlignment="1">
      <alignment horizontal="left" vertical="center"/>
    </xf>
    <xf numFmtId="10" fontId="148" fillId="6" borderId="0" xfId="10" applyNumberFormat="1" applyFont="1" applyFill="1" applyAlignment="1">
      <alignment horizontal="left" vertical="center"/>
    </xf>
    <xf numFmtId="178" fontId="148" fillId="6" borderId="0" xfId="10" applyNumberFormat="1" applyFont="1" applyFill="1" applyAlignment="1">
      <alignment horizontal="left" vertical="center"/>
    </xf>
    <xf numFmtId="10" fontId="148" fillId="6" borderId="126" xfId="10" applyNumberFormat="1" applyFont="1" applyFill="1" applyBorder="1" applyAlignment="1">
      <alignment horizontal="left" vertical="center"/>
    </xf>
    <xf numFmtId="10" fontId="148" fillId="6" borderId="19" xfId="10" applyNumberFormat="1" applyFont="1" applyFill="1" applyBorder="1" applyAlignment="1">
      <alignment horizontal="left" vertical="center"/>
    </xf>
    <xf numFmtId="0" fontId="196" fillId="6" borderId="0" xfId="10" applyFont="1" applyFill="1" applyAlignment="1">
      <alignment horizontal="left" vertical="center"/>
    </xf>
    <xf numFmtId="0" fontId="148" fillId="11" borderId="130" xfId="10" applyFont="1" applyFill="1" applyBorder="1" applyAlignment="1">
      <alignment horizontal="left" vertical="center" wrapText="1"/>
    </xf>
    <xf numFmtId="0" fontId="148" fillId="11" borderId="131" xfId="10" applyFont="1" applyFill="1" applyBorder="1" applyAlignment="1">
      <alignment horizontal="left" vertical="center" wrapText="1"/>
    </xf>
    <xf numFmtId="14" fontId="148" fillId="0" borderId="0" xfId="10" applyNumberFormat="1" applyFont="1" applyAlignment="1">
      <alignment horizontal="left" vertical="center"/>
    </xf>
    <xf numFmtId="0" fontId="196" fillId="0" borderId="0" xfId="10" applyFont="1" applyAlignment="1">
      <alignment horizontal="left" vertical="center"/>
    </xf>
    <xf numFmtId="185" fontId="153" fillId="11" borderId="130" xfId="10" applyNumberFormat="1" applyFont="1" applyFill="1" applyBorder="1" applyAlignment="1">
      <alignment horizontal="left" vertical="center" wrapText="1"/>
    </xf>
    <xf numFmtId="185" fontId="153" fillId="11" borderId="134" xfId="10" applyNumberFormat="1" applyFont="1" applyFill="1" applyBorder="1" applyAlignment="1">
      <alignment horizontal="left" vertical="center" wrapText="1"/>
    </xf>
    <xf numFmtId="185" fontId="148" fillId="13" borderId="0" xfId="10" applyNumberFormat="1" applyFont="1" applyFill="1" applyAlignment="1">
      <alignment horizontal="left" vertical="center"/>
    </xf>
    <xf numFmtId="185" fontId="148" fillId="0" borderId="61" xfId="10" applyNumberFormat="1" applyFont="1" applyBorder="1" applyAlignment="1">
      <alignment horizontal="left" vertical="center"/>
    </xf>
    <xf numFmtId="0" fontId="232" fillId="12" borderId="135" xfId="10" applyFont="1" applyFill="1" applyBorder="1" applyAlignment="1">
      <alignment horizontal="left" vertical="center" wrapText="1"/>
    </xf>
    <xf numFmtId="0" fontId="232" fillId="12" borderId="136" xfId="10" applyFont="1" applyFill="1" applyBorder="1" applyAlignment="1">
      <alignment horizontal="left" vertical="center" wrapText="1"/>
    </xf>
    <xf numFmtId="0" fontId="148" fillId="0" borderId="61" xfId="10" applyFont="1" applyBorder="1" applyAlignment="1">
      <alignment horizontal="left" vertical="center"/>
    </xf>
    <xf numFmtId="10" fontId="148" fillId="0" borderId="137" xfId="10" applyNumberFormat="1" applyFont="1" applyBorder="1" applyAlignment="1">
      <alignment horizontal="left" vertical="center"/>
    </xf>
    <xf numFmtId="10" fontId="148" fillId="0" borderId="61" xfId="10" applyNumberFormat="1" applyFont="1" applyBorder="1" applyAlignment="1">
      <alignment horizontal="left" vertical="center"/>
    </xf>
    <xf numFmtId="178" fontId="148" fillId="0" borderId="61" xfId="10" applyNumberFormat="1" applyFont="1" applyBorder="1" applyAlignment="1">
      <alignment horizontal="left" vertical="center"/>
    </xf>
    <xf numFmtId="0" fontId="232" fillId="11" borderId="138" xfId="10" applyFont="1" applyFill="1" applyBorder="1" applyAlignment="1">
      <alignment horizontal="left" vertical="center" wrapText="1"/>
    </xf>
    <xf numFmtId="0" fontId="232" fillId="11" borderId="139" xfId="10" applyFont="1" applyFill="1" applyBorder="1" applyAlignment="1">
      <alignment horizontal="left" vertical="center" wrapText="1"/>
    </xf>
    <xf numFmtId="10" fontId="148" fillId="14" borderId="122" xfId="10" applyNumberFormat="1" applyFont="1" applyFill="1" applyBorder="1" applyAlignment="1">
      <alignment horizontal="left" vertical="center"/>
    </xf>
    <xf numFmtId="10" fontId="148" fillId="14" borderId="0" xfId="10" applyNumberFormat="1" applyFont="1" applyFill="1" applyAlignment="1">
      <alignment horizontal="left" vertical="center"/>
    </xf>
    <xf numFmtId="179" fontId="148" fillId="0" borderId="0" xfId="10" applyNumberFormat="1" applyFont="1" applyAlignment="1">
      <alignment horizontal="left" vertical="center"/>
    </xf>
    <xf numFmtId="10" fontId="148" fillId="14" borderId="126" xfId="10" applyNumberFormat="1" applyFont="1" applyFill="1" applyBorder="1" applyAlignment="1">
      <alignment horizontal="left" vertical="center"/>
    </xf>
    <xf numFmtId="10" fontId="148" fillId="14" borderId="19" xfId="10" applyNumberFormat="1" applyFont="1" applyFill="1" applyBorder="1" applyAlignment="1">
      <alignment horizontal="left" vertical="center"/>
    </xf>
    <xf numFmtId="10" fontId="148" fillId="14" borderId="137" xfId="10" applyNumberFormat="1" applyFont="1" applyFill="1" applyBorder="1" applyAlignment="1">
      <alignment horizontal="left" vertical="center"/>
    </xf>
    <xf numFmtId="10" fontId="148" fillId="14" borderId="61" xfId="10" applyNumberFormat="1" applyFont="1" applyFill="1" applyBorder="1" applyAlignment="1">
      <alignment horizontal="left" vertical="center"/>
    </xf>
    <xf numFmtId="179" fontId="148" fillId="0" borderId="61" xfId="10" applyNumberFormat="1" applyFont="1" applyBorder="1" applyAlignment="1">
      <alignment horizontal="left" vertical="center"/>
    </xf>
    <xf numFmtId="0" fontId="153" fillId="12" borderId="140" xfId="10" applyFont="1" applyFill="1" applyBorder="1" applyAlignment="1">
      <alignment horizontal="left" vertical="center" wrapText="1"/>
    </xf>
    <xf numFmtId="0" fontId="153" fillId="12" borderId="141" xfId="10" applyFont="1" applyFill="1" applyBorder="1" applyAlignment="1">
      <alignment horizontal="left" vertical="center" wrapText="1"/>
    </xf>
    <xf numFmtId="181" fontId="148" fillId="0" borderId="0" xfId="10" applyNumberFormat="1" applyFont="1" applyAlignment="1">
      <alignment horizontal="left" vertical="center"/>
    </xf>
    <xf numFmtId="181" fontId="148" fillId="0" borderId="122" xfId="10" applyNumberFormat="1" applyFont="1" applyBorder="1" applyAlignment="1">
      <alignment horizontal="left" vertical="center"/>
    </xf>
    <xf numFmtId="178" fontId="148" fillId="14" borderId="0" xfId="10" applyNumberFormat="1" applyFont="1" applyFill="1" applyAlignment="1">
      <alignment horizontal="left" vertical="center"/>
    </xf>
    <xf numFmtId="0" fontId="232" fillId="12" borderId="130" xfId="10" applyFont="1" applyFill="1" applyBorder="1" applyAlignment="1">
      <alignment horizontal="left" vertical="center" wrapText="1"/>
    </xf>
    <xf numFmtId="0" fontId="153" fillId="11" borderId="130" xfId="10" applyFont="1" applyFill="1" applyBorder="1" applyAlignment="1">
      <alignment horizontal="left" vertical="center" wrapText="1"/>
    </xf>
    <xf numFmtId="0" fontId="153" fillId="11" borderId="134" xfId="10" applyFont="1" applyFill="1" applyBorder="1" applyAlignment="1">
      <alignment horizontal="left" vertical="center" wrapText="1"/>
    </xf>
    <xf numFmtId="0" fontId="232" fillId="6" borderId="124" xfId="10" applyFont="1" applyFill="1" applyBorder="1" applyAlignment="1">
      <alignment horizontal="left" vertical="center" wrapText="1"/>
    </xf>
    <xf numFmtId="181" fontId="148" fillId="6" borderId="0" xfId="10" applyNumberFormat="1" applyFont="1" applyFill="1" applyAlignment="1">
      <alignment horizontal="left" vertical="center"/>
    </xf>
    <xf numFmtId="0" fontId="148" fillId="6" borderId="122" xfId="10" applyFont="1" applyFill="1" applyBorder="1" applyAlignment="1">
      <alignment horizontal="left" vertical="center"/>
    </xf>
    <xf numFmtId="179" fontId="148" fillId="6" borderId="0" xfId="10" applyNumberFormat="1" applyFont="1" applyFill="1" applyAlignment="1">
      <alignment horizontal="left" vertical="center"/>
    </xf>
    <xf numFmtId="0" fontId="153" fillId="11" borderId="142" xfId="10" applyFont="1" applyFill="1" applyBorder="1" applyAlignment="1">
      <alignment horizontal="left" vertical="center" wrapText="1"/>
    </xf>
    <xf numFmtId="0" fontId="153" fillId="11" borderId="143" xfId="10" applyFont="1" applyFill="1" applyBorder="1" applyAlignment="1">
      <alignment horizontal="left" vertical="center" wrapText="1"/>
    </xf>
    <xf numFmtId="0" fontId="153" fillId="11" borderId="144" xfId="10" applyFont="1" applyFill="1" applyBorder="1" applyAlignment="1">
      <alignment horizontal="left" vertical="center" wrapText="1"/>
    </xf>
    <xf numFmtId="0" fontId="206" fillId="0" borderId="0" xfId="10" applyFont="1" applyAlignment="1">
      <alignment horizontal="left" vertical="center"/>
    </xf>
    <xf numFmtId="0" fontId="154" fillId="0" borderId="0" xfId="10" applyFont="1" applyAlignment="1">
      <alignment horizontal="left" vertical="center"/>
    </xf>
    <xf numFmtId="0" fontId="154" fillId="0" borderId="122" xfId="10" applyFont="1" applyBorder="1" applyAlignment="1">
      <alignment horizontal="left" vertical="center"/>
    </xf>
    <xf numFmtId="181" fontId="154" fillId="0" borderId="0" xfId="10" applyNumberFormat="1" applyFont="1" applyAlignment="1">
      <alignment horizontal="left" vertical="center"/>
    </xf>
    <xf numFmtId="181" fontId="154" fillId="0" borderId="122" xfId="10" applyNumberFormat="1" applyFont="1" applyBorder="1" applyAlignment="1">
      <alignment horizontal="left" vertical="center"/>
    </xf>
    <xf numFmtId="0" fontId="232" fillId="12" borderId="145" xfId="10" applyFont="1" applyFill="1" applyBorder="1" applyAlignment="1">
      <alignment horizontal="left" vertical="center" wrapText="1"/>
    </xf>
    <xf numFmtId="0" fontId="232" fillId="11" borderId="146" xfId="10" applyFont="1" applyFill="1" applyBorder="1" applyAlignment="1">
      <alignment horizontal="left" vertical="center" wrapText="1"/>
    </xf>
    <xf numFmtId="0" fontId="232" fillId="12" borderId="146" xfId="10" applyFont="1" applyFill="1" applyBorder="1" applyAlignment="1">
      <alignment horizontal="left" vertical="center" wrapText="1"/>
    </xf>
    <xf numFmtId="0" fontId="232" fillId="11" borderId="147" xfId="10" applyFont="1" applyFill="1" applyBorder="1" applyAlignment="1">
      <alignment horizontal="left" vertical="center" wrapText="1"/>
    </xf>
    <xf numFmtId="0" fontId="74" fillId="17" borderId="10" xfId="0" applyFont="1" applyFill="1" applyBorder="1" applyAlignment="1">
      <alignment vertical="center" wrapText="1"/>
    </xf>
    <xf numFmtId="0" fontId="74" fillId="17" borderId="4" xfId="0" applyFont="1" applyFill="1" applyBorder="1" applyAlignment="1">
      <alignment vertical="center" wrapText="1"/>
    </xf>
    <xf numFmtId="0" fontId="74" fillId="17" borderId="84" xfId="0" applyFont="1" applyFill="1" applyBorder="1" applyAlignment="1">
      <alignment vertical="center" wrapText="1"/>
    </xf>
    <xf numFmtId="0" fontId="74" fillId="17" borderId="17" xfId="0" applyFont="1" applyFill="1" applyBorder="1" applyAlignment="1">
      <alignment horizontal="left" vertical="center"/>
    </xf>
    <xf numFmtId="0" fontId="74" fillId="17" borderId="5" xfId="0" applyFont="1" applyFill="1" applyBorder="1">
      <alignment vertical="center"/>
    </xf>
    <xf numFmtId="49" fontId="74" fillId="17" borderId="10" xfId="0" applyNumberFormat="1" applyFont="1" applyFill="1" applyBorder="1" applyAlignment="1">
      <alignment horizontal="left" vertical="center" wrapText="1"/>
    </xf>
    <xf numFmtId="0" fontId="74" fillId="17" borderId="19" xfId="0" applyFont="1" applyFill="1" applyBorder="1" applyAlignment="1">
      <alignment vertical="center" wrapText="1"/>
    </xf>
    <xf numFmtId="0" fontId="206" fillId="5" borderId="0" xfId="0" applyFont="1" applyFill="1" applyAlignment="1">
      <alignment horizontal="left" vertical="center"/>
    </xf>
    <xf numFmtId="0" fontId="71" fillId="5" borderId="21" xfId="0" applyFont="1" applyFill="1" applyBorder="1">
      <alignment vertical="center"/>
    </xf>
    <xf numFmtId="0" fontId="81" fillId="5" borderId="63" xfId="0" applyFont="1" applyFill="1" applyBorder="1">
      <alignment vertical="center"/>
    </xf>
    <xf numFmtId="0" fontId="78" fillId="16" borderId="0" xfId="0" applyFont="1" applyFill="1" applyAlignment="1">
      <alignment horizontal="left" vertical="center"/>
    </xf>
    <xf numFmtId="0" fontId="72" fillId="16" borderId="0" xfId="0" applyFont="1" applyFill="1" applyAlignment="1">
      <alignment horizontal="left" vertical="center"/>
    </xf>
    <xf numFmtId="10" fontId="72" fillId="16" borderId="0" xfId="0" applyNumberFormat="1" applyFont="1" applyFill="1" applyAlignment="1">
      <alignment horizontal="center" vertical="center"/>
    </xf>
    <xf numFmtId="0" fontId="78" fillId="16" borderId="0" xfId="0" applyFont="1" applyFill="1">
      <alignment vertical="center"/>
    </xf>
    <xf numFmtId="0" fontId="78" fillId="16" borderId="9" xfId="0" applyFont="1" applyFill="1" applyBorder="1" applyAlignment="1" applyProtection="1">
      <alignment horizontal="left" vertical="center" wrapText="1"/>
      <protection locked="0"/>
    </xf>
    <xf numFmtId="0" fontId="72" fillId="16" borderId="45" xfId="0" applyFont="1" applyFill="1" applyBorder="1" applyAlignment="1">
      <alignment horizontal="right" vertical="center"/>
    </xf>
    <xf numFmtId="0" fontId="72" fillId="16" borderId="44" xfId="0" applyFont="1" applyFill="1" applyBorder="1" applyAlignment="1">
      <alignment horizontal="center" vertical="center" wrapText="1"/>
    </xf>
    <xf numFmtId="10" fontId="72" fillId="16" borderId="44" xfId="0" applyNumberFormat="1" applyFont="1" applyFill="1" applyBorder="1" applyAlignment="1">
      <alignment horizontal="center" vertical="center"/>
    </xf>
    <xf numFmtId="0" fontId="91" fillId="16" borderId="48" xfId="0" applyFont="1" applyFill="1" applyBorder="1" applyAlignment="1" applyProtection="1">
      <alignment horizontal="left" vertical="center" wrapText="1"/>
      <protection locked="0"/>
    </xf>
    <xf numFmtId="182" fontId="79" fillId="16" borderId="48" xfId="0" applyNumberFormat="1" applyFont="1" applyFill="1" applyBorder="1" applyAlignment="1" applyProtection="1">
      <alignment horizontal="left" vertical="center" wrapText="1"/>
      <protection locked="0"/>
    </xf>
    <xf numFmtId="177" fontId="80" fillId="5" borderId="16" xfId="0" applyNumberFormat="1" applyFont="1" applyFill="1" applyBorder="1" applyAlignment="1">
      <alignment horizontal="left" vertical="center" wrapText="1"/>
    </xf>
    <xf numFmtId="0" fontId="91" fillId="16" borderId="2" xfId="3" applyFont="1" applyFill="1" applyBorder="1" applyAlignment="1">
      <alignment horizontal="center" vertical="center" wrapText="1"/>
    </xf>
    <xf numFmtId="182" fontId="72" fillId="16" borderId="16" xfId="0" applyNumberFormat="1" applyFont="1" applyFill="1" applyBorder="1" applyAlignment="1">
      <alignment horizontal="center" vertical="center" wrapText="1"/>
    </xf>
    <xf numFmtId="0" fontId="72" fillId="16" borderId="2" xfId="0" applyFont="1" applyFill="1" applyBorder="1" applyAlignment="1">
      <alignment horizontal="center" vertical="center"/>
    </xf>
    <xf numFmtId="0" fontId="74" fillId="0" borderId="2" xfId="0" applyFont="1" applyBorder="1" applyAlignment="1" applyProtection="1">
      <alignment vertical="center" wrapText="1"/>
      <protection locked="0"/>
    </xf>
    <xf numFmtId="0" fontId="118" fillId="5" borderId="0" xfId="0" applyFont="1" applyFill="1" applyAlignment="1" applyProtection="1">
      <alignment horizontal="left" vertical="center"/>
      <protection locked="0"/>
    </xf>
    <xf numFmtId="177" fontId="80" fillId="16" borderId="16" xfId="0" applyNumberFormat="1" applyFont="1" applyFill="1" applyBorder="1" applyAlignment="1">
      <alignment horizontal="left" vertical="center" wrapText="1"/>
    </xf>
    <xf numFmtId="0" fontId="74" fillId="18" borderId="21" xfId="0" applyFont="1" applyFill="1" applyBorder="1" applyAlignment="1">
      <alignment vertical="center" wrapText="1"/>
    </xf>
    <xf numFmtId="0" fontId="176" fillId="0" borderId="0" xfId="7" applyFont="1" applyAlignment="1">
      <alignment horizontal="left" vertical="center"/>
    </xf>
    <xf numFmtId="0" fontId="267" fillId="0" borderId="0" xfId="7" applyFont="1" applyAlignment="1">
      <alignment horizontal="left" vertical="center"/>
    </xf>
    <xf numFmtId="14" fontId="267" fillId="0" borderId="0" xfId="7" applyNumberFormat="1" applyFont="1" applyAlignment="1">
      <alignment horizontal="left" vertical="center"/>
    </xf>
    <xf numFmtId="0" fontId="268" fillId="0" borderId="0" xfId="7" applyFont="1" applyAlignment="1">
      <alignment horizontal="left" vertical="center"/>
    </xf>
    <xf numFmtId="0" fontId="269" fillId="0" borderId="10" xfId="7" applyFont="1" applyBorder="1" applyAlignment="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184" fontId="269" fillId="0" borderId="2" xfId="7" applyNumberFormat="1" applyFont="1" applyBorder="1" applyAlignment="1">
      <alignment horizontal="left" vertical="center"/>
    </xf>
    <xf numFmtId="191" fontId="269" fillId="0" borderId="5" xfId="7" applyNumberFormat="1" applyFont="1" applyBorder="1" applyAlignment="1">
      <alignment horizontal="left" vertical="center"/>
    </xf>
    <xf numFmtId="0" fontId="270" fillId="0" borderId="2" xfId="7" applyFont="1" applyBorder="1" applyAlignment="1">
      <alignment horizontal="left" vertical="center"/>
    </xf>
    <xf numFmtId="0" fontId="267" fillId="0" borderId="2" xfId="7" applyFont="1" applyBorder="1" applyAlignment="1">
      <alignment horizontal="left" vertical="center"/>
    </xf>
    <xf numFmtId="184" fontId="269" fillId="0" borderId="2" xfId="0" applyNumberFormat="1" applyFont="1" applyBorder="1" applyAlignment="1">
      <alignment horizontal="left" vertical="center"/>
    </xf>
    <xf numFmtId="14" fontId="176" fillId="0" borderId="0" xfId="7" applyNumberFormat="1" applyFont="1" applyAlignment="1">
      <alignment horizontal="left" vertical="center"/>
    </xf>
    <xf numFmtId="0" fontId="271" fillId="0" borderId="0" xfId="7" applyFont="1" applyAlignment="1">
      <alignment horizontal="left" vertical="center"/>
    </xf>
    <xf numFmtId="0" fontId="269" fillId="0" borderId="154" xfId="7" applyFont="1" applyBorder="1" applyAlignment="1">
      <alignment horizontal="left" vertical="center"/>
    </xf>
    <xf numFmtId="191" fontId="269" fillId="0" borderId="154" xfId="7" applyNumberFormat="1" applyFont="1" applyBorder="1" applyAlignment="1">
      <alignment horizontal="left" vertical="center"/>
    </xf>
    <xf numFmtId="184" fontId="269" fillId="0" borderId="5" xfId="7" applyNumberFormat="1" applyFont="1" applyBorder="1" applyAlignment="1">
      <alignment horizontal="left" vertical="center"/>
    </xf>
    <xf numFmtId="14" fontId="267" fillId="0" borderId="5" xfId="7" applyNumberFormat="1" applyFont="1" applyBorder="1" applyAlignment="1">
      <alignment horizontal="left" vertical="center"/>
    </xf>
    <xf numFmtId="0" fontId="267" fillId="0" borderId="154" xfId="7" applyFont="1" applyBorder="1" applyAlignment="1">
      <alignment horizontal="left" vertical="center"/>
    </xf>
    <xf numFmtId="14" fontId="176" fillId="0" borderId="156" xfId="7" applyNumberFormat="1" applyFont="1" applyBorder="1" applyAlignment="1">
      <alignment horizontal="left" vertical="center"/>
    </xf>
    <xf numFmtId="0" fontId="270" fillId="6" borderId="10" xfId="7" applyFont="1" applyFill="1" applyBorder="1" applyAlignment="1">
      <alignment horizontal="left" vertical="center"/>
    </xf>
    <xf numFmtId="0" fontId="270" fillId="6" borderId="155" xfId="7" applyFont="1" applyFill="1" applyBorder="1" applyAlignment="1">
      <alignment horizontal="left" vertical="center"/>
    </xf>
    <xf numFmtId="0" fontId="74" fillId="5" borderId="13" xfId="0" applyFont="1" applyFill="1" applyBorder="1" applyAlignment="1" applyProtection="1">
      <alignment horizontal="left" vertical="center"/>
      <protection locked="0"/>
    </xf>
    <xf numFmtId="49" fontId="74" fillId="5" borderId="0" xfId="0" applyNumberFormat="1" applyFont="1" applyFill="1" applyAlignment="1" applyProtection="1">
      <alignment horizontal="center" vertical="center" wrapText="1"/>
      <protection locked="0"/>
    </xf>
    <xf numFmtId="0" fontId="74" fillId="5" borderId="0" xfId="0" applyFont="1" applyFill="1" applyAlignment="1" applyProtection="1">
      <alignment vertical="center" wrapText="1"/>
      <protection locked="0"/>
    </xf>
    <xf numFmtId="0" fontId="74" fillId="5" borderId="0" xfId="0" applyFont="1" applyFill="1" applyAlignment="1" applyProtection="1">
      <alignment horizontal="center" vertical="center" wrapText="1"/>
      <protection locked="0"/>
    </xf>
    <xf numFmtId="0" fontId="74" fillId="0" borderId="0" xfId="0" applyFont="1" applyAlignment="1" applyProtection="1">
      <alignment vertical="center" wrapText="1"/>
      <protection locked="0"/>
    </xf>
    <xf numFmtId="49" fontId="74" fillId="5" borderId="13" xfId="0" applyNumberFormat="1" applyFont="1" applyFill="1" applyBorder="1" applyAlignment="1" applyProtection="1">
      <alignment horizontal="center" vertical="center" wrapText="1"/>
      <protection locked="0"/>
    </xf>
    <xf numFmtId="0" fontId="74" fillId="5" borderId="13" xfId="0" applyFont="1" applyFill="1" applyBorder="1" applyAlignment="1" applyProtection="1">
      <alignment horizontal="center" vertical="center" wrapText="1"/>
      <protection locked="0"/>
    </xf>
    <xf numFmtId="0" fontId="74" fillId="5" borderId="2" xfId="0" applyFont="1" applyFill="1" applyBorder="1" applyAlignment="1" applyProtection="1">
      <alignment vertical="center" wrapText="1"/>
      <protection locked="0"/>
    </xf>
    <xf numFmtId="0" fontId="74" fillId="5" borderId="13" xfId="0" applyFont="1" applyFill="1" applyBorder="1" applyAlignment="1" applyProtection="1">
      <alignment vertical="center" wrapText="1"/>
      <protection locked="0"/>
    </xf>
    <xf numFmtId="49" fontId="74" fillId="5" borderId="13" xfId="0" applyNumberFormat="1" applyFont="1" applyFill="1" applyBorder="1" applyAlignment="1" applyProtection="1">
      <alignment horizontal="left" vertical="center"/>
      <protection locked="0"/>
    </xf>
    <xf numFmtId="49" fontId="74" fillId="5" borderId="151" xfId="0" applyNumberFormat="1" applyFont="1" applyFill="1" applyBorder="1" applyAlignment="1" applyProtection="1">
      <alignment horizontal="center" vertical="center" wrapText="1"/>
      <protection locked="0"/>
    </xf>
    <xf numFmtId="49" fontId="74" fillId="5" borderId="150" xfId="0" applyNumberFormat="1" applyFont="1" applyFill="1" applyBorder="1" applyAlignment="1" applyProtection="1">
      <alignment horizontal="center" vertical="center" wrapText="1"/>
      <protection locked="0"/>
    </xf>
    <xf numFmtId="0" fontId="74" fillId="5" borderId="150" xfId="0" applyFont="1" applyFill="1" applyBorder="1" applyAlignment="1" applyProtection="1">
      <alignment vertical="center" wrapText="1"/>
      <protection locked="0"/>
    </xf>
    <xf numFmtId="0" fontId="74" fillId="5" borderId="150" xfId="0" applyFont="1" applyFill="1" applyBorder="1" applyAlignment="1" applyProtection="1">
      <alignment horizontal="center" vertical="center" wrapText="1"/>
      <protection locked="0"/>
    </xf>
    <xf numFmtId="0" fontId="74" fillId="0" borderId="150" xfId="0" applyFont="1" applyBorder="1" applyAlignment="1" applyProtection="1">
      <alignment vertical="center" wrapText="1"/>
      <protection locked="0"/>
    </xf>
    <xf numFmtId="49" fontId="74" fillId="5" borderId="2"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horizontal="center" vertical="center" wrapText="1"/>
      <protection locked="0"/>
    </xf>
    <xf numFmtId="49" fontId="74" fillId="0" borderId="2" xfId="0" applyNumberFormat="1" applyFont="1" applyBorder="1" applyAlignment="1" applyProtection="1">
      <alignment horizontal="center" vertical="center" wrapText="1"/>
      <protection locked="0"/>
    </xf>
    <xf numFmtId="49" fontId="74" fillId="0" borderId="13" xfId="0" applyNumberFormat="1" applyFont="1" applyBorder="1" applyAlignment="1" applyProtection="1">
      <alignment horizontal="center" vertical="center" wrapText="1"/>
      <protection locked="0"/>
    </xf>
    <xf numFmtId="49" fontId="74" fillId="0" borderId="0" xfId="0" applyNumberFormat="1" applyFont="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4" fillId="12" borderId="0" xfId="0" applyFont="1" applyFill="1" applyAlignment="1" applyProtection="1">
      <alignment vertical="center" wrapText="1"/>
      <protection locked="0"/>
    </xf>
    <xf numFmtId="0" fontId="74" fillId="12" borderId="0" xfId="0" applyFont="1" applyFill="1" applyAlignment="1" applyProtection="1">
      <alignment horizontal="center" vertical="center" wrapText="1"/>
      <protection locked="0"/>
    </xf>
    <xf numFmtId="0" fontId="74" fillId="12" borderId="150" xfId="0" applyFont="1" applyFill="1" applyBorder="1" applyAlignment="1" applyProtection="1">
      <alignment vertical="center" wrapText="1"/>
      <protection locked="0"/>
    </xf>
    <xf numFmtId="0" fontId="74" fillId="12" borderId="91" xfId="0" applyFont="1" applyFill="1" applyBorder="1" applyAlignment="1" applyProtection="1">
      <alignment vertical="center" wrapText="1"/>
      <protection locked="0"/>
    </xf>
    <xf numFmtId="0" fontId="74" fillId="12" borderId="91" xfId="0" applyFont="1" applyFill="1" applyBorder="1" applyAlignment="1" applyProtection="1">
      <alignment horizontal="center" vertical="center" wrapText="1"/>
      <protection locked="0"/>
    </xf>
    <xf numFmtId="0" fontId="74" fillId="12" borderId="65" xfId="0" applyFont="1" applyFill="1" applyBorder="1" applyAlignment="1" applyProtection="1">
      <alignment vertical="center" wrapText="1"/>
      <protection locked="0"/>
    </xf>
    <xf numFmtId="0" fontId="74" fillId="12" borderId="88" xfId="0" applyFont="1" applyFill="1" applyBorder="1" applyAlignment="1" applyProtection="1">
      <alignment vertical="center" wrapText="1"/>
      <protection locked="0"/>
    </xf>
    <xf numFmtId="0" fontId="67" fillId="12" borderId="0" xfId="0" applyFont="1" applyFill="1" applyProtection="1">
      <alignment vertical="center"/>
      <protection locked="0"/>
    </xf>
    <xf numFmtId="0" fontId="72" fillId="0" borderId="9" xfId="0" applyFont="1" applyBorder="1" applyProtection="1">
      <alignment vertical="center"/>
      <protection locked="0"/>
    </xf>
    <xf numFmtId="0" fontId="72" fillId="0" borderId="12" xfId="0" applyFont="1" applyBorder="1" applyProtection="1">
      <alignment vertical="center"/>
      <protection locked="0"/>
    </xf>
    <xf numFmtId="0" fontId="67" fillId="0" borderId="32" xfId="0" applyFont="1" applyBorder="1" applyProtection="1">
      <alignment vertical="center"/>
      <protection locked="0"/>
    </xf>
    <xf numFmtId="0" fontId="67" fillId="0" borderId="25" xfId="0" applyFont="1" applyBorder="1" applyProtection="1">
      <alignment vertical="center"/>
      <protection locked="0"/>
    </xf>
    <xf numFmtId="0" fontId="77" fillId="5" borderId="0" xfId="0" applyFont="1" applyFill="1" applyAlignment="1">
      <alignment vertical="center" wrapText="1"/>
    </xf>
    <xf numFmtId="0" fontId="72" fillId="12" borderId="0" xfId="0" applyFont="1" applyFill="1" applyProtection="1">
      <alignment vertical="center"/>
      <protection locked="0"/>
    </xf>
    <xf numFmtId="180" fontId="72" fillId="12" borderId="0" xfId="0" applyNumberFormat="1" applyFont="1" applyFill="1" applyProtection="1">
      <alignment vertical="center"/>
      <protection locked="0"/>
    </xf>
    <xf numFmtId="0" fontId="72" fillId="12" borderId="0" xfId="0" applyFont="1" applyFill="1" applyAlignment="1" applyProtection="1">
      <alignment horizontal="center" vertical="center"/>
      <protection locked="0"/>
    </xf>
    <xf numFmtId="180" fontId="67" fillId="12" borderId="0" xfId="0" applyNumberFormat="1" applyFont="1" applyFill="1" applyProtection="1">
      <alignment vertical="center"/>
      <protection locked="0"/>
    </xf>
    <xf numFmtId="0" fontId="67" fillId="12" borderId="34" xfId="0" applyFont="1" applyFill="1" applyBorder="1" applyAlignment="1" applyProtection="1">
      <alignment horizontal="center" vertical="center"/>
      <protection locked="0"/>
    </xf>
    <xf numFmtId="0" fontId="145" fillId="12" borderId="0" xfId="0" applyFont="1" applyFill="1" applyAlignment="1" applyProtection="1">
      <alignment horizontal="left" vertical="center"/>
      <protection locked="0"/>
    </xf>
    <xf numFmtId="180" fontId="67" fillId="12" borderId="0" xfId="0" applyNumberFormat="1" applyFont="1" applyFill="1" applyAlignment="1" applyProtection="1">
      <alignment horizontal="center" vertical="center"/>
      <protection locked="0"/>
    </xf>
    <xf numFmtId="0" fontId="67" fillId="12" borderId="0" xfId="0" applyFont="1" applyFill="1" applyAlignment="1" applyProtection="1">
      <alignment horizontal="center" vertical="center"/>
      <protection locked="0"/>
    </xf>
    <xf numFmtId="0" fontId="145" fillId="12" borderId="0" xfId="0" applyFont="1" applyFill="1" applyAlignment="1" applyProtection="1">
      <alignment horizontal="center" vertical="center"/>
      <protection locked="0"/>
    </xf>
    <xf numFmtId="0" fontId="148" fillId="12" borderId="0" xfId="0" applyFont="1" applyFill="1" applyProtection="1">
      <alignment vertical="center"/>
      <protection locked="0"/>
    </xf>
    <xf numFmtId="0" fontId="17" fillId="12" borderId="0" xfId="0" applyFont="1" applyFill="1" applyAlignment="1" applyProtection="1">
      <alignment horizontal="center" vertical="center"/>
      <protection locked="0"/>
    </xf>
    <xf numFmtId="180" fontId="17" fillId="12" borderId="0" xfId="0" applyNumberFormat="1" applyFont="1" applyFill="1" applyProtection="1">
      <alignment vertical="center"/>
      <protection locked="0"/>
    </xf>
    <xf numFmtId="0" fontId="67" fillId="12" borderId="0" xfId="0" applyFont="1" applyFill="1" applyAlignment="1" applyProtection="1">
      <alignment vertical="center" wrapText="1"/>
      <protection locked="0"/>
    </xf>
    <xf numFmtId="0" fontId="198" fillId="12" borderId="0" xfId="0" applyFont="1" applyFill="1">
      <alignment vertical="center"/>
    </xf>
    <xf numFmtId="0" fontId="197" fillId="12" borderId="0" xfId="0" applyFont="1" applyFill="1" applyAlignment="1">
      <alignment horizontal="left" vertical="center"/>
    </xf>
    <xf numFmtId="0" fontId="198" fillId="12" borderId="0" xfId="0" applyFont="1" applyFill="1" applyAlignment="1">
      <alignment horizontal="left" vertical="center"/>
    </xf>
    <xf numFmtId="0" fontId="154" fillId="12" borderId="0" xfId="0" applyFont="1" applyFill="1">
      <alignment vertical="center"/>
    </xf>
    <xf numFmtId="180" fontId="149" fillId="12" borderId="0" xfId="0" applyNumberFormat="1" applyFont="1" applyFill="1">
      <alignment vertical="center"/>
    </xf>
    <xf numFmtId="182" fontId="145" fillId="12" borderId="0" xfId="0" applyNumberFormat="1" applyFont="1" applyFill="1" applyAlignment="1">
      <alignment horizontal="center" vertical="center"/>
    </xf>
    <xf numFmtId="0" fontId="149" fillId="12" borderId="0" xfId="0" applyFont="1" applyFill="1" applyAlignment="1">
      <alignment horizontal="left" vertical="center"/>
    </xf>
    <xf numFmtId="0" fontId="254" fillId="12" borderId="0" xfId="0" applyFont="1" applyFill="1">
      <alignment vertical="center"/>
    </xf>
    <xf numFmtId="0" fontId="124" fillId="0" borderId="100" xfId="0" applyFont="1" applyBorder="1" applyAlignment="1" applyProtection="1">
      <alignment horizontal="left" vertical="center" wrapText="1"/>
      <protection locked="0"/>
    </xf>
    <xf numFmtId="0" fontId="124" fillId="0" borderId="101" xfId="0" applyFont="1" applyBorder="1" applyAlignment="1" applyProtection="1">
      <alignment horizontal="left" vertical="center" wrapText="1"/>
      <protection locked="0"/>
    </xf>
    <xf numFmtId="0" fontId="125" fillId="0" borderId="0" xfId="0" applyFont="1" applyAlignment="1" applyProtection="1">
      <alignment horizontal="left" vertical="center"/>
      <protection locked="0"/>
    </xf>
    <xf numFmtId="0" fontId="45" fillId="5" borderId="36" xfId="0" applyFont="1" applyFill="1" applyBorder="1" applyAlignment="1">
      <alignment horizontal="left" vertical="center" wrapText="1"/>
    </xf>
    <xf numFmtId="0" fontId="45" fillId="5" borderId="49" xfId="0" applyFont="1" applyFill="1" applyBorder="1" applyAlignment="1">
      <alignment horizontal="left" vertical="center" wrapText="1"/>
    </xf>
    <xf numFmtId="0" fontId="45" fillId="5" borderId="38" xfId="0" applyFont="1" applyFill="1" applyBorder="1" applyAlignment="1">
      <alignment horizontal="left" vertical="center"/>
    </xf>
    <xf numFmtId="0" fontId="45" fillId="5" borderId="0" xfId="0" applyFont="1" applyFill="1" applyAlignment="1">
      <alignment horizontal="left" vertical="center" wrapText="1"/>
    </xf>
    <xf numFmtId="0" fontId="48" fillId="5" borderId="37" xfId="0" applyFont="1" applyFill="1" applyBorder="1" applyAlignment="1">
      <alignment horizontal="left" vertical="center"/>
    </xf>
    <xf numFmtId="0" fontId="48" fillId="0" borderId="0" xfId="0" applyFont="1" applyAlignment="1" applyProtection="1">
      <alignment horizontal="left" vertical="center"/>
      <protection locked="0"/>
    </xf>
    <xf numFmtId="0" fontId="45" fillId="5" borderId="53" xfId="0" applyFont="1" applyFill="1" applyBorder="1" applyAlignment="1">
      <alignment horizontal="left" vertical="center" wrapText="1"/>
    </xf>
    <xf numFmtId="0" fontId="48" fillId="5" borderId="6" xfId="0" applyFont="1" applyFill="1" applyBorder="1" applyAlignment="1">
      <alignment horizontal="left" vertical="center" wrapText="1"/>
    </xf>
    <xf numFmtId="49" fontId="256" fillId="0" borderId="7" xfId="0" applyNumberFormat="1" applyFont="1" applyBorder="1" applyAlignment="1" applyProtection="1">
      <alignment horizontal="left" vertical="center" wrapText="1"/>
      <protection locked="0"/>
    </xf>
    <xf numFmtId="49" fontId="48" fillId="5" borderId="0" xfId="0" applyNumberFormat="1" applyFont="1" applyFill="1" applyAlignment="1" applyProtection="1">
      <alignment horizontal="left" vertical="center" wrapText="1"/>
      <protection locked="0"/>
    </xf>
    <xf numFmtId="0" fontId="45" fillId="5" borderId="24" xfId="0" applyFont="1" applyFill="1" applyBorder="1" applyAlignment="1">
      <alignment horizontal="left" vertical="center" wrapText="1"/>
    </xf>
    <xf numFmtId="0" fontId="48" fillId="5" borderId="20" xfId="0" applyFont="1" applyFill="1" applyBorder="1" applyAlignment="1">
      <alignment horizontal="left" vertical="center" wrapText="1"/>
    </xf>
    <xf numFmtId="0" fontId="256" fillId="0" borderId="51" xfId="0" applyFont="1" applyBorder="1" applyAlignment="1" applyProtection="1">
      <alignment horizontal="left" vertical="center" wrapText="1"/>
      <protection locked="0"/>
    </xf>
    <xf numFmtId="0" fontId="48" fillId="5" borderId="2" xfId="0" applyFont="1" applyFill="1" applyBorder="1" applyAlignment="1">
      <alignment horizontal="left" vertical="center" wrapText="1"/>
    </xf>
    <xf numFmtId="49" fontId="256" fillId="0" borderId="12" xfId="0" applyNumberFormat="1" applyFont="1" applyBorder="1" applyAlignment="1" applyProtection="1">
      <alignment horizontal="left" vertical="center" wrapText="1"/>
      <protection locked="0"/>
    </xf>
    <xf numFmtId="49" fontId="48" fillId="5" borderId="24" xfId="0" applyNumberFormat="1" applyFont="1" applyFill="1" applyBorder="1" applyAlignment="1">
      <alignment horizontal="left" vertical="center" wrapText="1"/>
    </xf>
    <xf numFmtId="0" fontId="48" fillId="5" borderId="9" xfId="0" applyFont="1" applyFill="1" applyBorder="1" applyAlignment="1">
      <alignment horizontal="left" vertical="center" wrapText="1"/>
    </xf>
    <xf numFmtId="0" fontId="256" fillId="0" borderId="12" xfId="0" applyFont="1" applyBorder="1" applyAlignment="1" applyProtection="1">
      <alignment horizontal="left" vertical="center" wrapText="1"/>
      <protection locked="0"/>
    </xf>
    <xf numFmtId="0" fontId="48" fillId="5" borderId="0" xfId="0" applyFont="1" applyFill="1" applyAlignment="1" applyProtection="1">
      <alignment horizontal="left" vertical="center" wrapText="1"/>
      <protection locked="0"/>
    </xf>
    <xf numFmtId="49" fontId="48" fillId="5" borderId="23" xfId="0" applyNumberFormat="1" applyFont="1" applyFill="1" applyBorder="1" applyAlignment="1">
      <alignment horizontal="left" vertical="center" wrapText="1"/>
    </xf>
    <xf numFmtId="0" fontId="48" fillId="5" borderId="47" xfId="0" applyFont="1" applyFill="1" applyBorder="1" applyAlignment="1">
      <alignment horizontal="left" vertical="center" wrapText="1"/>
    </xf>
    <xf numFmtId="0" fontId="256" fillId="0" borderId="46" xfId="0" applyFont="1" applyBorder="1" applyAlignment="1" applyProtection="1">
      <alignment horizontal="left" vertical="center" wrapText="1"/>
      <protection locked="0"/>
    </xf>
    <xf numFmtId="0" fontId="48" fillId="5" borderId="0" xfId="0" applyFont="1" applyFill="1" applyAlignment="1" applyProtection="1">
      <alignment horizontal="left" vertical="center"/>
      <protection locked="0"/>
    </xf>
    <xf numFmtId="0" fontId="45" fillId="5" borderId="23" xfId="0" applyFont="1" applyFill="1" applyBorder="1" applyAlignment="1">
      <alignment horizontal="left" vertical="center" wrapText="1"/>
    </xf>
    <xf numFmtId="0" fontId="48" fillId="5" borderId="44" xfId="0" applyFont="1" applyFill="1" applyBorder="1" applyAlignment="1">
      <alignment horizontal="left" vertical="center" wrapText="1"/>
    </xf>
    <xf numFmtId="0" fontId="256" fillId="0" borderId="46" xfId="0" applyFont="1" applyBorder="1" applyAlignment="1" applyProtection="1">
      <alignment horizontal="left" vertical="center"/>
      <protection locked="0"/>
    </xf>
    <xf numFmtId="0" fontId="48" fillId="0" borderId="0" xfId="0" applyFont="1" applyAlignment="1" applyProtection="1">
      <alignment horizontal="left" vertical="center" wrapText="1"/>
      <protection locked="0"/>
    </xf>
    <xf numFmtId="49" fontId="48" fillId="0" borderId="0" xfId="0" applyNumberFormat="1" applyFont="1" applyAlignment="1" applyProtection="1">
      <alignment horizontal="left" vertical="center" wrapText="1"/>
      <protection locked="0"/>
    </xf>
    <xf numFmtId="0" fontId="45" fillId="5" borderId="0" xfId="0" applyFont="1" applyFill="1" applyAlignment="1" applyProtection="1">
      <alignment horizontal="left" vertical="center" wrapText="1"/>
      <protection locked="0"/>
    </xf>
    <xf numFmtId="0" fontId="58" fillId="5" borderId="0" xfId="0" applyFont="1" applyFill="1" applyAlignment="1">
      <alignment horizontal="left" vertical="center"/>
    </xf>
    <xf numFmtId="0" fontId="124" fillId="0" borderId="0" xfId="0" applyFont="1" applyAlignment="1" applyProtection="1">
      <alignment horizontal="left" vertical="center" wrapText="1"/>
      <protection locked="0"/>
    </xf>
    <xf numFmtId="0" fontId="124" fillId="0" borderId="18" xfId="0" applyFont="1" applyBorder="1" applyAlignment="1" applyProtection="1">
      <alignment horizontal="left" vertical="center" wrapText="1"/>
      <protection locked="0"/>
    </xf>
    <xf numFmtId="0" fontId="125" fillId="0" borderId="0" xfId="0" applyFont="1" applyAlignment="1" applyProtection="1">
      <alignment horizontal="left" vertical="center" wrapText="1"/>
      <protection locked="0"/>
    </xf>
    <xf numFmtId="0" fontId="58" fillId="5" borderId="103" xfId="0" applyFont="1" applyFill="1" applyBorder="1" applyAlignment="1">
      <alignment horizontal="left" vertical="center"/>
    </xf>
    <xf numFmtId="0" fontId="45" fillId="5" borderId="26" xfId="0" applyFont="1" applyFill="1" applyBorder="1" applyAlignment="1">
      <alignment horizontal="left" vertical="center" wrapText="1"/>
    </xf>
    <xf numFmtId="0" fontId="45" fillId="5" borderId="39" xfId="0" applyFont="1" applyFill="1" applyBorder="1" applyAlignment="1">
      <alignment horizontal="left" vertical="center" wrapText="1"/>
    </xf>
    <xf numFmtId="0" fontId="45" fillId="5" borderId="82" xfId="0" applyFont="1" applyFill="1" applyBorder="1" applyAlignment="1">
      <alignment horizontal="left" vertical="center" wrapText="1"/>
    </xf>
    <xf numFmtId="0" fontId="45" fillId="5" borderId="35" xfId="0" applyFont="1" applyFill="1" applyBorder="1" applyAlignment="1">
      <alignment horizontal="left" vertical="center" wrapText="1"/>
    </xf>
    <xf numFmtId="0" fontId="48" fillId="5" borderId="1" xfId="0" applyFont="1" applyFill="1" applyBorder="1" applyAlignment="1">
      <alignment horizontal="left" vertical="center" wrapText="1"/>
    </xf>
    <xf numFmtId="49" fontId="48" fillId="5" borderId="41" xfId="0" applyNumberFormat="1" applyFont="1" applyFill="1" applyBorder="1" applyAlignment="1">
      <alignment horizontal="left" vertical="center" wrapText="1"/>
    </xf>
    <xf numFmtId="49" fontId="45" fillId="5" borderId="35" xfId="0" applyNumberFormat="1" applyFont="1" applyFill="1" applyBorder="1" applyAlignment="1">
      <alignment horizontal="left" vertical="center" wrapText="1"/>
    </xf>
    <xf numFmtId="0" fontId="48" fillId="5" borderId="7" xfId="0" applyFont="1" applyFill="1" applyBorder="1" applyAlignment="1">
      <alignment horizontal="left" vertical="center" wrapText="1"/>
    </xf>
    <xf numFmtId="0" fontId="45" fillId="5" borderId="79" xfId="0" applyFont="1" applyFill="1" applyBorder="1" applyAlignment="1">
      <alignment horizontal="left" vertical="center" wrapText="1"/>
    </xf>
    <xf numFmtId="0" fontId="48" fillId="5" borderId="50" xfId="0" applyFont="1" applyFill="1" applyBorder="1" applyAlignment="1">
      <alignment horizontal="left" vertical="center" wrapText="1"/>
    </xf>
    <xf numFmtId="49" fontId="48" fillId="5" borderId="12" xfId="0" applyNumberFormat="1" applyFont="1" applyFill="1" applyBorder="1" applyAlignment="1">
      <alignment horizontal="left" vertical="center" wrapText="1"/>
    </xf>
    <xf numFmtId="49" fontId="45" fillId="5" borderId="79" xfId="0" applyNumberFormat="1" applyFont="1" applyFill="1" applyBorder="1" applyAlignment="1">
      <alignment horizontal="left" vertical="center" wrapText="1"/>
    </xf>
    <xf numFmtId="0" fontId="48" fillId="5" borderId="11" xfId="0" applyFont="1" applyFill="1" applyBorder="1" applyAlignment="1">
      <alignment horizontal="left" vertical="center" wrapText="1"/>
    </xf>
    <xf numFmtId="0" fontId="48" fillId="5" borderId="12" xfId="0" applyFont="1" applyFill="1" applyBorder="1" applyAlignment="1">
      <alignment horizontal="left" vertical="center" wrapText="1"/>
    </xf>
    <xf numFmtId="0" fontId="67" fillId="0" borderId="12" xfId="0" applyFont="1" applyBorder="1" applyAlignment="1" applyProtection="1">
      <alignment horizontal="left" vertical="center" wrapText="1"/>
      <protection locked="0"/>
    </xf>
    <xf numFmtId="0" fontId="67" fillId="6" borderId="12" xfId="0" applyFont="1" applyFill="1" applyBorder="1" applyAlignment="1" applyProtection="1">
      <alignment horizontal="left" vertical="center" wrapText="1"/>
      <protection locked="0"/>
    </xf>
    <xf numFmtId="49" fontId="45" fillId="5" borderId="80" xfId="0" applyNumberFormat="1" applyFont="1" applyFill="1" applyBorder="1" applyAlignment="1">
      <alignment horizontal="left" vertical="center" wrapText="1"/>
    </xf>
    <xf numFmtId="0" fontId="48" fillId="5" borderId="43" xfId="0" applyFont="1" applyFill="1" applyBorder="1" applyAlignment="1">
      <alignment horizontal="left" vertical="center" wrapText="1"/>
    </xf>
    <xf numFmtId="0" fontId="45" fillId="5" borderId="80" xfId="0" applyFont="1" applyFill="1" applyBorder="1" applyAlignment="1">
      <alignment horizontal="left" vertical="center" wrapText="1"/>
    </xf>
    <xf numFmtId="0" fontId="48" fillId="5" borderId="46" xfId="0" applyFont="1" applyFill="1" applyBorder="1" applyAlignment="1">
      <alignment horizontal="left" vertical="center" wrapText="1"/>
    </xf>
    <xf numFmtId="0" fontId="251" fillId="5" borderId="2" xfId="14" applyFont="1" applyFill="1" applyBorder="1" applyAlignment="1">
      <alignment horizontal="left" vertical="center" wrapText="1"/>
    </xf>
    <xf numFmtId="0" fontId="0" fillId="0" borderId="0" xfId="0" applyAlignment="1" applyProtection="1">
      <alignment horizontal="left" vertical="center"/>
      <protection locked="0"/>
    </xf>
    <xf numFmtId="14" fontId="251" fillId="5" borderId="2" xfId="14" applyNumberFormat="1" applyFont="1" applyFill="1" applyBorder="1" applyAlignment="1">
      <alignment horizontal="left" vertical="center" wrapText="1"/>
    </xf>
    <xf numFmtId="0" fontId="250" fillId="5" borderId="2" xfId="14" applyFill="1" applyBorder="1" applyAlignment="1">
      <alignment horizontal="left" vertical="center"/>
    </xf>
    <xf numFmtId="0" fontId="251" fillId="5" borderId="10" xfId="14" applyFont="1" applyFill="1" applyBorder="1" applyAlignment="1">
      <alignment horizontal="left" vertical="center" wrapText="1"/>
    </xf>
    <xf numFmtId="0" fontId="141" fillId="0" borderId="2" xfId="14" applyFont="1" applyBorder="1" applyAlignment="1" applyProtection="1">
      <alignment horizontal="left" vertical="center"/>
      <protection locked="0"/>
    </xf>
    <xf numFmtId="0" fontId="251" fillId="0" borderId="10" xfId="14" applyFont="1" applyBorder="1" applyAlignment="1" applyProtection="1">
      <alignment horizontal="left" vertical="center" wrapText="1"/>
      <protection locked="0"/>
    </xf>
    <xf numFmtId="0" fontId="250" fillId="0" borderId="2" xfId="14" applyBorder="1" applyAlignment="1" applyProtection="1">
      <alignment horizontal="left" vertical="center"/>
      <protection locked="0"/>
    </xf>
    <xf numFmtId="0" fontId="251" fillId="12" borderId="0" xfId="14" applyFont="1" applyFill="1" applyAlignment="1" applyProtection="1">
      <alignment horizontal="left" vertical="center" wrapText="1"/>
      <protection locked="0"/>
    </xf>
    <xf numFmtId="0" fontId="0" fillId="12" borderId="0" xfId="0" applyFill="1" applyAlignment="1" applyProtection="1">
      <alignment horizontal="left" vertical="center"/>
      <protection locked="0"/>
    </xf>
    <xf numFmtId="0" fontId="95" fillId="0" borderId="0" xfId="0" applyFont="1" applyAlignment="1" applyProtection="1">
      <protection locked="0"/>
    </xf>
    <xf numFmtId="0" fontId="67" fillId="0" borderId="0" xfId="0" applyFont="1" applyAlignment="1" applyProtection="1">
      <protection locked="0"/>
    </xf>
    <xf numFmtId="0" fontId="76" fillId="0" borderId="0" xfId="0" applyFont="1" applyAlignment="1" applyProtection="1">
      <protection locked="0"/>
    </xf>
    <xf numFmtId="0" fontId="96" fillId="0" borderId="0" xfId="0" applyFont="1" applyProtection="1">
      <alignment vertical="center"/>
      <protection locked="0"/>
    </xf>
    <xf numFmtId="0" fontId="75" fillId="0" borderId="0" xfId="0" applyFont="1" applyAlignment="1" applyProtection="1">
      <protection locked="0"/>
    </xf>
    <xf numFmtId="0" fontId="96" fillId="0" borderId="0" xfId="0" applyFont="1" applyAlignment="1" applyProtection="1">
      <protection locked="0"/>
    </xf>
    <xf numFmtId="0" fontId="76" fillId="0" borderId="0" xfId="0" applyFont="1" applyAlignment="1" applyProtection="1">
      <alignment vertical="center" wrapText="1"/>
      <protection locked="0"/>
    </xf>
    <xf numFmtId="0" fontId="75" fillId="0" borderId="0" xfId="0" applyFont="1" applyAlignment="1" applyProtection="1">
      <alignment vertical="center" wrapText="1"/>
      <protection locked="0"/>
    </xf>
    <xf numFmtId="0" fontId="72" fillId="0" borderId="0" xfId="0" applyFont="1" applyAlignment="1" applyProtection="1">
      <alignment horizontal="center"/>
      <protection locked="0"/>
    </xf>
    <xf numFmtId="185" fontId="72" fillId="0" borderId="0" xfId="0" applyNumberFormat="1" applyFont="1" applyAlignment="1" applyProtection="1">
      <alignment horizontal="center"/>
      <protection locked="0"/>
    </xf>
    <xf numFmtId="0" fontId="96" fillId="0" borderId="0" xfId="0" applyFont="1" applyAlignment="1" applyProtection="1">
      <alignment vertical="center" wrapText="1"/>
      <protection locked="0"/>
    </xf>
    <xf numFmtId="0" fontId="76" fillId="5" borderId="0" xfId="0" applyFont="1" applyFill="1" applyAlignment="1"/>
    <xf numFmtId="0" fontId="96" fillId="5" borderId="0" xfId="0" applyFont="1" applyFill="1" applyAlignment="1"/>
    <xf numFmtId="182" fontId="97" fillId="5" borderId="14" xfId="0" applyNumberFormat="1" applyFont="1" applyFill="1" applyBorder="1" applyProtection="1">
      <alignment vertical="center"/>
      <protection locked="0"/>
    </xf>
    <xf numFmtId="0" fontId="97" fillId="5" borderId="14" xfId="0" applyFont="1" applyFill="1" applyBorder="1" applyAlignment="1" applyProtection="1">
      <alignment horizontal="center" vertical="center"/>
      <protection locked="0"/>
    </xf>
    <xf numFmtId="0" fontId="97" fillId="5" borderId="19" xfId="0" applyFont="1" applyFill="1" applyBorder="1" applyAlignment="1" applyProtection="1">
      <alignment horizontal="center" vertical="center"/>
      <protection locked="0"/>
    </xf>
    <xf numFmtId="0" fontId="80" fillId="12" borderId="0" xfId="0"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9" fontId="80" fillId="12" borderId="0" xfId="0" applyNumberFormat="1" applyFont="1" applyFill="1" applyAlignment="1" applyProtection="1">
      <alignment horizontal="center" vertical="center"/>
      <protection locked="0"/>
    </xf>
    <xf numFmtId="188" fontId="80" fillId="12" borderId="0" xfId="0" applyNumberFormat="1" applyFont="1" applyFill="1" applyAlignment="1" applyProtection="1">
      <alignment horizontal="center" vertical="center"/>
      <protection locked="0"/>
    </xf>
    <xf numFmtId="188" fontId="101" fillId="12" borderId="0" xfId="0" applyNumberFormat="1" applyFont="1" applyFill="1" applyAlignment="1" applyProtection="1">
      <alignment horizontal="center" vertical="center"/>
      <protection locked="0"/>
    </xf>
    <xf numFmtId="0" fontId="105" fillId="12" borderId="0" xfId="0" applyFont="1" applyFill="1" applyAlignment="1" applyProtection="1">
      <alignment horizontal="center" vertical="center"/>
      <protection locked="0"/>
    </xf>
    <xf numFmtId="0" fontId="93" fillId="12" borderId="0" xfId="0" applyFont="1" applyFill="1" applyProtection="1">
      <alignment vertical="center"/>
      <protection locked="0"/>
    </xf>
    <xf numFmtId="0" fontId="94" fillId="12" borderId="0" xfId="0" applyFont="1" applyFill="1" applyAlignment="1" applyProtection="1">
      <alignment horizontal="center" vertical="center"/>
      <protection locked="0"/>
    </xf>
    <xf numFmtId="0" fontId="97" fillId="12" borderId="0" xfId="0" applyFont="1" applyFill="1" applyProtection="1">
      <alignment vertical="center"/>
      <protection locked="0"/>
    </xf>
    <xf numFmtId="0" fontId="98" fillId="12" borderId="0" xfId="0" applyFont="1" applyFill="1" applyProtection="1">
      <alignment vertical="center"/>
      <protection locked="0"/>
    </xf>
    <xf numFmtId="188" fontId="97" fillId="12" borderId="0" xfId="0" applyNumberFormat="1" applyFont="1" applyFill="1" applyAlignment="1" applyProtection="1">
      <alignment horizontal="center" vertical="center"/>
      <protection locked="0"/>
    </xf>
    <xf numFmtId="0" fontId="54" fillId="12" borderId="0" xfId="0" applyFont="1" applyFill="1" applyAlignment="1" applyProtection="1">
      <alignment horizontal="center" vertical="center"/>
      <protection locked="0"/>
    </xf>
    <xf numFmtId="14" fontId="80" fillId="12" borderId="0" xfId="0" applyNumberFormat="1" applyFont="1" applyFill="1" applyAlignment="1" applyProtection="1">
      <alignment horizontal="center" vertical="center"/>
      <protection locked="0"/>
    </xf>
    <xf numFmtId="0" fontId="82" fillId="12" borderId="0" xfId="0" applyFont="1" applyFill="1" applyAlignment="1" applyProtection="1">
      <protection locked="0"/>
    </xf>
    <xf numFmtId="0" fontId="67" fillId="12" borderId="0" xfId="0" applyFont="1" applyFill="1" applyAlignment="1" applyProtection="1">
      <alignment horizontal="center" vertical="center" wrapText="1"/>
      <protection locked="0"/>
    </xf>
    <xf numFmtId="0" fontId="101" fillId="12" borderId="0" xfId="0" applyFont="1" applyFill="1" applyAlignment="1" applyProtection="1">
      <alignment horizontal="center" vertical="center" wrapText="1"/>
      <protection locked="0"/>
    </xf>
    <xf numFmtId="0" fontId="80" fillId="12" borderId="0" xfId="0" applyFont="1" applyFill="1" applyAlignment="1" applyProtection="1">
      <alignment horizontal="center" vertical="center" wrapText="1"/>
      <protection locked="0"/>
    </xf>
    <xf numFmtId="0" fontId="76" fillId="12" borderId="0" xfId="0" applyFont="1" applyFill="1" applyAlignment="1" applyProtection="1">
      <alignment horizontal="center" vertical="center" wrapText="1"/>
      <protection locked="0"/>
    </xf>
    <xf numFmtId="0" fontId="44" fillId="5" borderId="0" xfId="3" applyFont="1" applyFill="1" applyAlignment="1" applyProtection="1">
      <alignment vertical="center" wrapText="1"/>
      <protection locked="0"/>
    </xf>
    <xf numFmtId="0" fontId="54" fillId="5" borderId="0" xfId="3" applyFont="1" applyFill="1" applyAlignment="1" applyProtection="1">
      <alignment vertical="center" wrapText="1"/>
      <protection locked="0"/>
    </xf>
    <xf numFmtId="0" fontId="180" fillId="5" borderId="0" xfId="3" applyFont="1" applyFill="1" applyProtection="1">
      <alignment vertical="center"/>
      <protection locked="0"/>
    </xf>
    <xf numFmtId="0" fontId="54" fillId="5" borderId="0" xfId="3" applyFont="1" applyFill="1" applyProtection="1">
      <alignment vertical="center"/>
      <protection locked="0"/>
    </xf>
    <xf numFmtId="0" fontId="39" fillId="5" borderId="0" xfId="3" applyFont="1" applyFill="1" applyProtection="1">
      <alignment vertical="center"/>
      <protection locked="0"/>
    </xf>
    <xf numFmtId="0" fontId="161" fillId="5" borderId="0" xfId="3" applyFont="1" applyFill="1" applyProtection="1">
      <alignment vertical="center"/>
      <protection locked="0"/>
    </xf>
    <xf numFmtId="0" fontId="198" fillId="8" borderId="0" xfId="0" applyFont="1" applyFill="1">
      <alignment vertical="center"/>
    </xf>
    <xf numFmtId="0" fontId="149" fillId="8" borderId="0" xfId="0" applyFont="1" applyFill="1">
      <alignment vertical="center"/>
    </xf>
    <xf numFmtId="0" fontId="141" fillId="5" borderId="0" xfId="0" applyFont="1" applyFill="1" applyProtection="1">
      <alignment vertical="center"/>
      <protection locked="0"/>
    </xf>
    <xf numFmtId="0" fontId="141" fillId="0" borderId="0" xfId="0" applyFont="1" applyProtection="1">
      <alignment vertical="center"/>
      <protection locked="0"/>
    </xf>
    <xf numFmtId="0" fontId="141" fillId="0" borderId="0" xfId="0" applyFont="1">
      <alignment vertical="center"/>
    </xf>
    <xf numFmtId="0" fontId="141" fillId="12" borderId="0" xfId="0" applyFont="1" applyFill="1" applyProtection="1">
      <alignment vertical="center"/>
      <protection locked="0"/>
    </xf>
    <xf numFmtId="0" fontId="141" fillId="5" borderId="2" xfId="0" applyFont="1" applyFill="1" applyBorder="1" applyAlignment="1">
      <alignment horizontal="center" vertical="center"/>
    </xf>
    <xf numFmtId="49" fontId="266" fillId="5" borderId="59" xfId="0" applyNumberFormat="1" applyFont="1" applyFill="1" applyBorder="1" applyAlignment="1"/>
    <xf numFmtId="0" fontId="267" fillId="5" borderId="2" xfId="0" applyFont="1" applyFill="1" applyBorder="1">
      <alignment vertical="center"/>
    </xf>
    <xf numFmtId="0" fontId="267" fillId="12" borderId="0" xfId="0" applyFont="1" applyFill="1" applyProtection="1">
      <alignment vertical="center"/>
      <protection locked="0"/>
    </xf>
    <xf numFmtId="0" fontId="267" fillId="5" borderId="2" xfId="0" applyFont="1" applyFill="1" applyBorder="1" applyAlignment="1">
      <alignment horizontal="left" vertical="center" wrapText="1"/>
    </xf>
    <xf numFmtId="0" fontId="141" fillId="2" borderId="10" xfId="0" applyFont="1" applyFill="1" applyBorder="1" applyAlignment="1" applyProtection="1">
      <alignment horizontal="left" vertical="center"/>
      <protection locked="0"/>
    </xf>
    <xf numFmtId="0" fontId="141" fillId="2" borderId="2" xfId="0" applyFont="1" applyFill="1" applyBorder="1" applyAlignment="1" applyProtection="1">
      <alignment horizontal="left" vertical="center"/>
      <protection locked="0"/>
    </xf>
    <xf numFmtId="0" fontId="141" fillId="5" borderId="2" xfId="0" applyFont="1" applyFill="1" applyBorder="1" applyAlignment="1">
      <alignment horizontal="right" vertical="center"/>
    </xf>
    <xf numFmtId="49" fontId="273" fillId="5" borderId="0" xfId="0" applyNumberFormat="1" applyFont="1" applyFill="1" applyAlignment="1" applyProtection="1">
      <alignment horizontal="left" vertical="center"/>
      <protection locked="0"/>
    </xf>
    <xf numFmtId="178" fontId="97" fillId="5" borderId="19" xfId="0" applyNumberFormat="1" applyFont="1" applyFill="1" applyBorder="1" applyAlignment="1" applyProtection="1">
      <protection locked="0"/>
    </xf>
    <xf numFmtId="178" fontId="93" fillId="5" borderId="0" xfId="0" applyNumberFormat="1" applyFont="1" applyFill="1" applyAlignment="1" applyProtection="1">
      <protection locked="0"/>
    </xf>
    <xf numFmtId="0" fontId="112" fillId="5" borderId="0" xfId="0" applyFont="1" applyFill="1" applyProtection="1">
      <alignment vertical="center"/>
      <protection locked="0"/>
    </xf>
    <xf numFmtId="0" fontId="67" fillId="12" borderId="0" xfId="0" applyFont="1" applyFill="1" applyAlignment="1" applyProtection="1">
      <protection locked="0"/>
    </xf>
    <xf numFmtId="0" fontId="102" fillId="12" borderId="0" xfId="0" applyFont="1" applyFill="1" applyProtection="1">
      <alignment vertical="center"/>
      <protection locked="0"/>
    </xf>
    <xf numFmtId="49" fontId="93" fillId="12" borderId="0" xfId="0" applyNumberFormat="1" applyFont="1" applyFill="1" applyAlignment="1" applyProtection="1">
      <alignment horizontal="center"/>
      <protection locked="0"/>
    </xf>
    <xf numFmtId="49" fontId="93" fillId="12" borderId="0" xfId="0" applyNumberFormat="1" applyFont="1" applyFill="1" applyAlignment="1" applyProtection="1">
      <protection locked="0"/>
    </xf>
    <xf numFmtId="0" fontId="217" fillId="5" borderId="7" xfId="2" applyFont="1" applyFill="1" applyBorder="1" applyAlignment="1">
      <alignment horizontal="left" vertical="center"/>
    </xf>
    <xf numFmtId="0" fontId="93" fillId="12" borderId="0" xfId="2" applyFont="1" applyFill="1" applyProtection="1">
      <alignment vertical="center"/>
      <protection locked="0"/>
    </xf>
    <xf numFmtId="0" fontId="82" fillId="0" borderId="0" xfId="0" applyFont="1" applyAlignment="1" applyProtection="1">
      <alignment horizontal="left" vertical="center"/>
      <protection locked="0"/>
    </xf>
    <xf numFmtId="0" fontId="82" fillId="0" borderId="0" xfId="0" applyFont="1" applyProtection="1">
      <alignment vertical="center"/>
      <protection locked="0"/>
    </xf>
    <xf numFmtId="178" fontId="82" fillId="0" borderId="2" xfId="2" applyNumberFormat="1" applyFont="1" applyBorder="1" applyAlignment="1" applyProtection="1">
      <alignment horizontal="center" vertical="center"/>
      <protection locked="0"/>
    </xf>
    <xf numFmtId="0" fontId="82" fillId="0" borderId="2" xfId="2" applyFont="1" applyBorder="1" applyAlignment="1" applyProtection="1">
      <alignment horizontal="center" vertical="center"/>
      <protection locked="0"/>
    </xf>
    <xf numFmtId="178" fontId="109" fillId="0" borderId="2" xfId="2" applyNumberFormat="1" applyFont="1" applyBorder="1" applyAlignment="1" applyProtection="1">
      <alignment horizontal="center" vertical="center"/>
      <protection locked="0"/>
    </xf>
    <xf numFmtId="0" fontId="97" fillId="5" borderId="13" xfId="0" applyFont="1" applyFill="1" applyBorder="1" applyAlignment="1" applyProtection="1">
      <alignment horizontal="center" vertical="center"/>
      <protection locked="0"/>
    </xf>
    <xf numFmtId="10" fontId="81" fillId="16" borderId="5" xfId="0" applyNumberFormat="1" applyFont="1" applyFill="1" applyBorder="1" applyAlignment="1" applyProtection="1">
      <alignment horizontal="center" vertical="center" wrapText="1"/>
      <protection locked="0"/>
    </xf>
    <xf numFmtId="0" fontId="153" fillId="5" borderId="2" xfId="0" applyFont="1" applyFill="1" applyBorder="1" applyAlignment="1">
      <alignment horizontal="center" vertical="center"/>
    </xf>
    <xf numFmtId="0" fontId="153" fillId="2" borderId="2" xfId="0" applyFont="1" applyFill="1" applyBorder="1" applyAlignment="1" applyProtection="1">
      <alignment horizontal="center" vertical="center"/>
      <protection locked="0"/>
    </xf>
    <xf numFmtId="0" fontId="206"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4" fillId="0" borderId="11" xfId="0" applyNumberFormat="1" applyFont="1" applyBorder="1" applyProtection="1">
      <alignment vertical="center"/>
      <protection locked="0"/>
    </xf>
    <xf numFmtId="0" fontId="223" fillId="5" borderId="0" xfId="4" applyFont="1" applyFill="1" applyAlignment="1">
      <alignment vertical="center"/>
    </xf>
    <xf numFmtId="0" fontId="223" fillId="5" borderId="2" xfId="4" applyFont="1" applyFill="1" applyBorder="1" applyAlignment="1">
      <alignment horizontal="left" vertical="center" wrapText="1"/>
    </xf>
    <xf numFmtId="14" fontId="196" fillId="5" borderId="2" xfId="4" applyNumberFormat="1" applyFont="1" applyFill="1" applyBorder="1" applyAlignment="1">
      <alignment horizontal="center" wrapText="1"/>
    </xf>
    <xf numFmtId="0" fontId="196" fillId="5" borderId="2" xfId="4" applyFont="1" applyFill="1" applyBorder="1" applyAlignment="1">
      <alignment horizontal="center" wrapText="1"/>
    </xf>
    <xf numFmtId="180" fontId="274" fillId="5" borderId="2" xfId="4" applyNumberFormat="1" applyFont="1" applyFill="1" applyBorder="1" applyAlignment="1">
      <alignment horizontal="center"/>
    </xf>
    <xf numFmtId="0" fontId="141" fillId="0" borderId="0" xfId="0" applyFont="1" applyAlignment="1"/>
    <xf numFmtId="0" fontId="81" fillId="5" borderId="2" xfId="0" applyFont="1" applyFill="1" applyBorder="1" applyAlignment="1"/>
    <xf numFmtId="0" fontId="67" fillId="19" borderId="0" xfId="0" applyFont="1" applyFill="1" applyAlignment="1" applyProtection="1">
      <protection locked="0"/>
    </xf>
    <xf numFmtId="10" fontId="152" fillId="5" borderId="2" xfId="0" applyNumberFormat="1" applyFont="1" applyFill="1" applyBorder="1" applyAlignment="1">
      <alignment horizontal="center"/>
    </xf>
    <xf numFmtId="49" fontId="71" fillId="5" borderId="22" xfId="2" applyNumberFormat="1" applyFont="1" applyFill="1" applyBorder="1" applyAlignment="1">
      <alignment horizontal="left"/>
    </xf>
    <xf numFmtId="0" fontId="71" fillId="5" borderId="10" xfId="2" applyFont="1" applyFill="1" applyBorder="1" applyAlignment="1">
      <alignment horizontal="left"/>
    </xf>
    <xf numFmtId="185" fontId="81" fillId="5" borderId="10" xfId="0" applyNumberFormat="1" applyFont="1" applyFill="1" applyBorder="1" applyAlignment="1">
      <alignment horizontal="center"/>
    </xf>
    <xf numFmtId="186" fontId="152" fillId="5" borderId="10" xfId="0" applyNumberFormat="1" applyFont="1" applyFill="1" applyBorder="1" applyAlignment="1">
      <alignment horizontal="center" vertical="center"/>
    </xf>
    <xf numFmtId="178" fontId="152" fillId="5" borderId="14" xfId="2" applyNumberFormat="1" applyFont="1" applyFill="1" applyBorder="1">
      <alignment vertical="center"/>
    </xf>
    <xf numFmtId="0" fontId="71" fillId="5" borderId="14" xfId="0" applyFont="1" applyFill="1" applyBorder="1" applyAlignment="1"/>
    <xf numFmtId="0" fontId="71" fillId="5" borderId="15" xfId="0" applyFont="1" applyFill="1" applyBorder="1" applyAlignment="1"/>
    <xf numFmtId="185" fontId="81" fillId="5" borderId="83" xfId="0" applyNumberFormat="1" applyFont="1" applyFill="1" applyBorder="1" applyAlignment="1">
      <alignment horizontal="center"/>
    </xf>
    <xf numFmtId="186" fontId="152" fillId="5" borderId="83" xfId="0" applyNumberFormat="1" applyFont="1" applyFill="1" applyBorder="1" applyAlignment="1">
      <alignment horizontal="center" vertical="center"/>
    </xf>
    <xf numFmtId="178" fontId="152" fillId="5" borderId="37" xfId="2" applyNumberFormat="1" applyFont="1" applyFill="1" applyBorder="1">
      <alignment vertical="center"/>
    </xf>
    <xf numFmtId="10" fontId="152" fillId="5" borderId="83" xfId="0" applyNumberFormat="1" applyFont="1" applyFill="1" applyBorder="1" applyAlignment="1">
      <alignment horizontal="center" vertical="center"/>
    </xf>
    <xf numFmtId="0" fontId="71" fillId="5" borderId="37" xfId="0" applyFont="1" applyFill="1" applyBorder="1" applyAlignment="1"/>
    <xf numFmtId="0" fontId="71" fillId="5" borderId="38" xfId="0" applyFont="1" applyFill="1" applyBorder="1" applyAlignment="1"/>
    <xf numFmtId="10" fontId="71" fillId="5" borderId="83" xfId="0" applyNumberFormat="1" applyFont="1" applyFill="1" applyBorder="1" applyAlignment="1">
      <alignment horizontal="center"/>
    </xf>
    <xf numFmtId="0" fontId="71" fillId="5" borderId="49" xfId="0" applyFont="1" applyFill="1" applyBorder="1" applyAlignment="1"/>
    <xf numFmtId="185" fontId="81" fillId="5" borderId="55" xfId="0" applyNumberFormat="1" applyFont="1" applyFill="1" applyBorder="1" applyAlignment="1">
      <alignment horizontal="center"/>
    </xf>
    <xf numFmtId="0" fontId="71" fillId="5" borderId="61" xfId="0" applyFont="1" applyFill="1" applyBorder="1" applyAlignment="1"/>
    <xf numFmtId="0" fontId="45" fillId="5" borderId="68" xfId="0" applyFont="1" applyFill="1" applyBorder="1" applyAlignment="1"/>
    <xf numFmtId="0" fontId="71" fillId="5" borderId="66" xfId="0" applyFont="1" applyFill="1" applyBorder="1" applyAlignment="1"/>
    <xf numFmtId="0" fontId="152" fillId="5" borderId="83" xfId="0" applyFont="1" applyFill="1" applyBorder="1" applyAlignment="1">
      <alignment horizontal="center" vertical="center" wrapText="1"/>
    </xf>
    <xf numFmtId="0" fontId="152" fillId="5" borderId="83" xfId="0" applyFont="1" applyFill="1" applyBorder="1" applyAlignment="1">
      <alignment vertical="center" wrapText="1"/>
    </xf>
    <xf numFmtId="10" fontId="152" fillId="5" borderId="83" xfId="0" applyNumberFormat="1" applyFont="1" applyFill="1" applyBorder="1" applyAlignment="1">
      <alignment horizontal="center" vertical="center" wrapText="1"/>
    </xf>
    <xf numFmtId="0" fontId="152" fillId="5" borderId="37" xfId="0" applyFont="1" applyFill="1" applyBorder="1" applyAlignment="1">
      <alignment vertical="center" wrapText="1"/>
    </xf>
    <xf numFmtId="0" fontId="96" fillId="5" borderId="37" xfId="0" applyFont="1" applyFill="1" applyBorder="1" applyAlignment="1">
      <alignment vertical="center" wrapText="1"/>
    </xf>
    <xf numFmtId="0" fontId="96" fillId="5" borderId="38" xfId="0" applyFont="1" applyFill="1" applyBorder="1" applyAlignment="1">
      <alignment vertical="center" wrapText="1"/>
    </xf>
    <xf numFmtId="185" fontId="78" fillId="6" borderId="2" xfId="0" applyNumberFormat="1" applyFont="1" applyFill="1" applyBorder="1" applyAlignment="1" applyProtection="1">
      <alignment horizontal="center" vertical="center" wrapText="1"/>
      <protection locked="0"/>
    </xf>
    <xf numFmtId="49" fontId="208" fillId="5" borderId="19" xfId="6" applyNumberFormat="1" applyFont="1" applyFill="1" applyBorder="1"/>
    <xf numFmtId="0" fontId="94" fillId="5" borderId="0" xfId="6" applyFont="1" applyFill="1" applyAlignment="1">
      <alignment horizontal="center" vertical="center"/>
    </xf>
    <xf numFmtId="49" fontId="102" fillId="5" borderId="0" xfId="6" applyNumberFormat="1" applyFont="1" applyFill="1" applyAlignment="1">
      <alignment horizontal="center"/>
    </xf>
    <xf numFmtId="0" fontId="102" fillId="5" borderId="0" xfId="6" applyFont="1" applyFill="1" applyAlignment="1">
      <alignment horizontal="center"/>
    </xf>
    <xf numFmtId="0" fontId="102" fillId="0" borderId="0" xfId="6" applyFont="1" applyAlignment="1" applyProtection="1">
      <alignment horizontal="center"/>
      <protection locked="0"/>
    </xf>
    <xf numFmtId="0" fontId="3" fillId="0" borderId="0" xfId="6" applyFont="1" applyAlignment="1" applyProtection="1">
      <alignment horizontal="left"/>
      <protection locked="0"/>
    </xf>
    <xf numFmtId="0" fontId="276" fillId="0" borderId="0" xfId="6" applyFont="1" applyAlignment="1" applyProtection="1">
      <alignment horizontal="left"/>
      <protection locked="0"/>
    </xf>
    <xf numFmtId="0" fontId="91" fillId="6" borderId="26" xfId="6" applyFont="1" applyFill="1" applyBorder="1" applyAlignment="1" applyProtection="1">
      <alignment vertical="center"/>
      <protection locked="0"/>
    </xf>
    <xf numFmtId="0" fontId="91" fillId="6" borderId="28" xfId="6" applyFont="1" applyFill="1" applyBorder="1" applyAlignment="1" applyProtection="1">
      <alignment vertical="center"/>
      <protection locked="0"/>
    </xf>
    <xf numFmtId="0" fontId="91" fillId="6" borderId="39" xfId="6" applyFont="1" applyFill="1" applyBorder="1" applyAlignment="1" applyProtection="1">
      <alignment vertical="center"/>
      <protection locked="0"/>
    </xf>
    <xf numFmtId="0" fontId="82" fillId="0" borderId="0" xfId="6" applyFont="1" applyAlignment="1" applyProtection="1">
      <alignment horizontal="left" vertical="center"/>
      <protection locked="0"/>
    </xf>
    <xf numFmtId="0" fontId="3" fillId="0" borderId="0" xfId="6" applyFont="1" applyAlignment="1">
      <alignment horizontal="left"/>
    </xf>
    <xf numFmtId="0" fontId="91" fillId="5" borderId="2" xfId="2" applyFont="1" applyFill="1" applyBorder="1">
      <alignment vertical="center"/>
    </xf>
    <xf numFmtId="185" fontId="81" fillId="5" borderId="2" xfId="6" applyNumberFormat="1" applyFont="1" applyFill="1" applyBorder="1" applyAlignment="1">
      <alignment horizontal="right" vertical="center"/>
    </xf>
    <xf numFmtId="0" fontId="82" fillId="5" borderId="0" xfId="6" applyFont="1" applyFill="1" applyAlignment="1">
      <alignment vertical="center"/>
    </xf>
    <xf numFmtId="49" fontId="82" fillId="5" borderId="0" xfId="6" applyNumberFormat="1" applyFont="1" applyFill="1"/>
    <xf numFmtId="49" fontId="91" fillId="5" borderId="0" xfId="6" applyNumberFormat="1" applyFont="1" applyFill="1"/>
    <xf numFmtId="49" fontId="91" fillId="0" borderId="0" xfId="6" applyNumberFormat="1" applyFont="1" applyProtection="1">
      <protection locked="0"/>
    </xf>
    <xf numFmtId="0" fontId="123" fillId="0" borderId="0" xfId="6" applyFont="1" applyAlignment="1" applyProtection="1">
      <alignment horizontal="left"/>
      <protection locked="0"/>
    </xf>
    <xf numFmtId="0" fontId="82" fillId="0" borderId="0" xfId="6" applyFont="1" applyAlignment="1" applyProtection="1">
      <alignment horizontal="left"/>
      <protection locked="0"/>
    </xf>
    <xf numFmtId="0" fontId="91" fillId="0" borderId="2" xfId="6" applyFont="1" applyBorder="1" applyAlignment="1" applyProtection="1">
      <alignment horizontal="left" vertical="center"/>
      <protection locked="0"/>
    </xf>
    <xf numFmtId="0" fontId="91" fillId="0" borderId="12" xfId="6" applyFont="1" applyBorder="1" applyAlignment="1" applyProtection="1">
      <alignment horizontal="left" vertical="center"/>
      <protection locked="0"/>
    </xf>
    <xf numFmtId="0" fontId="91" fillId="5" borderId="12" xfId="6" applyFont="1" applyFill="1" applyBorder="1" applyAlignment="1" applyProtection="1">
      <alignment horizontal="left" vertical="center"/>
      <protection locked="0"/>
    </xf>
    <xf numFmtId="0" fontId="123" fillId="0" borderId="0" xfId="6" applyFont="1" applyAlignment="1">
      <alignment horizontal="left"/>
    </xf>
    <xf numFmtId="0" fontId="91" fillId="5" borderId="10" xfId="2" applyFont="1" applyFill="1" applyBorder="1">
      <alignment vertical="center"/>
    </xf>
    <xf numFmtId="0" fontId="81" fillId="5" borderId="10" xfId="6" applyFont="1" applyFill="1" applyBorder="1" applyAlignment="1">
      <alignment horizontal="right" vertical="center"/>
    </xf>
    <xf numFmtId="178" fontId="148" fillId="0" borderId="2" xfId="2" applyNumberFormat="1" applyFont="1" applyBorder="1" applyAlignment="1" applyProtection="1">
      <alignment horizontal="left" vertical="center"/>
      <protection locked="0" hidden="1"/>
    </xf>
    <xf numFmtId="178" fontId="148" fillId="0" borderId="12" xfId="2" applyNumberFormat="1" applyFont="1" applyBorder="1" applyAlignment="1" applyProtection="1">
      <alignment horizontal="left" vertical="center"/>
      <protection locked="0" hidden="1"/>
    </xf>
    <xf numFmtId="178" fontId="82" fillId="5" borderId="12" xfId="6" applyNumberFormat="1" applyFont="1" applyFill="1" applyBorder="1" applyAlignment="1" applyProtection="1">
      <alignment horizontal="left" vertical="center"/>
      <protection locked="0"/>
    </xf>
    <xf numFmtId="0" fontId="123" fillId="5" borderId="2" xfId="6" applyFont="1" applyFill="1" applyBorder="1" applyAlignment="1">
      <alignment vertical="center"/>
    </xf>
    <xf numFmtId="0" fontId="82" fillId="0" borderId="2" xfId="6" applyFont="1" applyBorder="1" applyAlignment="1" applyProtection="1">
      <alignment horizontal="left" vertical="center"/>
      <protection locked="0"/>
    </xf>
    <xf numFmtId="0" fontId="82" fillId="0" borderId="10" xfId="6" applyFont="1" applyBorder="1" applyAlignment="1" applyProtection="1">
      <alignment horizontal="left" vertical="center"/>
      <protection locked="0"/>
    </xf>
    <xf numFmtId="0" fontId="82" fillId="0" borderId="25" xfId="6" applyFont="1" applyBorder="1" applyAlignment="1" applyProtection="1">
      <alignment horizontal="left" vertical="center"/>
      <protection locked="0"/>
    </xf>
    <xf numFmtId="0" fontId="82" fillId="5" borderId="25" xfId="6" applyFont="1" applyFill="1" applyBorder="1" applyAlignment="1" applyProtection="1">
      <alignment horizontal="left" vertical="center"/>
      <protection locked="0"/>
    </xf>
    <xf numFmtId="0" fontId="217" fillId="5" borderId="0" xfId="2" applyFont="1" applyFill="1">
      <alignment vertical="center"/>
    </xf>
    <xf numFmtId="0" fontId="72" fillId="0" borderId="44" xfId="6" applyFont="1" applyBorder="1" applyAlignment="1" applyProtection="1">
      <alignment horizontal="left" vertical="center"/>
      <protection locked="0"/>
    </xf>
    <xf numFmtId="0" fontId="123" fillId="5" borderId="13" xfId="6" applyFont="1" applyFill="1" applyBorder="1" applyAlignment="1">
      <alignment vertical="center"/>
    </xf>
    <xf numFmtId="0" fontId="153" fillId="5" borderId="64" xfId="6" applyFont="1" applyFill="1" applyBorder="1" applyAlignment="1" applyProtection="1">
      <alignment vertical="center"/>
      <protection locked="0"/>
    </xf>
    <xf numFmtId="0" fontId="153" fillId="5" borderId="8" xfId="6" applyFont="1" applyFill="1" applyBorder="1" applyAlignment="1" applyProtection="1">
      <alignment vertical="center"/>
      <protection locked="0"/>
    </xf>
    <xf numFmtId="0" fontId="91" fillId="5" borderId="8" xfId="6" applyFont="1" applyFill="1" applyBorder="1" applyAlignment="1" applyProtection="1">
      <alignment vertical="center"/>
      <protection locked="0"/>
    </xf>
    <xf numFmtId="0" fontId="91" fillId="0" borderId="49" xfId="6" applyFont="1" applyBorder="1" applyAlignment="1" applyProtection="1">
      <alignment horizontal="left" vertical="center"/>
      <protection locked="0"/>
    </xf>
    <xf numFmtId="0" fontId="91" fillId="5" borderId="37" xfId="6" applyFont="1" applyFill="1" applyBorder="1" applyAlignment="1">
      <alignment vertical="center"/>
    </xf>
    <xf numFmtId="0" fontId="91" fillId="5" borderId="38" xfId="6" applyFont="1" applyFill="1" applyBorder="1" applyAlignment="1">
      <alignment vertical="center"/>
    </xf>
    <xf numFmtId="0" fontId="91" fillId="0" borderId="0" xfId="6" applyFont="1" applyAlignment="1" applyProtection="1">
      <alignment vertical="center"/>
      <protection locked="0"/>
    </xf>
    <xf numFmtId="0" fontId="82" fillId="5" borderId="5" xfId="6" applyFont="1" applyFill="1" applyBorder="1" applyAlignment="1" applyProtection="1">
      <alignment vertical="center"/>
      <protection locked="0"/>
    </xf>
    <xf numFmtId="0" fontId="82" fillId="5" borderId="2" xfId="6" applyFont="1" applyFill="1" applyBorder="1" applyAlignment="1" applyProtection="1">
      <alignment horizontal="left" vertical="center"/>
      <protection locked="0"/>
    </xf>
    <xf numFmtId="0" fontId="91" fillId="5" borderId="87" xfId="6" applyFont="1" applyFill="1" applyBorder="1" applyAlignment="1">
      <alignment horizontal="left" vertical="center"/>
    </xf>
    <xf numFmtId="0" fontId="91" fillId="5" borderId="19" xfId="6" applyFont="1" applyFill="1" applyBorder="1" applyAlignment="1">
      <alignment horizontal="left" vertical="center"/>
    </xf>
    <xf numFmtId="0" fontId="91" fillId="5" borderId="20" xfId="6" applyFont="1" applyFill="1" applyBorder="1" applyAlignment="1">
      <alignment horizontal="left" vertical="center"/>
    </xf>
    <xf numFmtId="185" fontId="91" fillId="5" borderId="17" xfId="6" applyNumberFormat="1" applyFont="1" applyFill="1" applyBorder="1" applyAlignment="1">
      <alignment horizontal="left" vertical="center"/>
    </xf>
    <xf numFmtId="10" fontId="91" fillId="5" borderId="19" xfId="6" applyNumberFormat="1" applyFont="1" applyFill="1" applyBorder="1" applyAlignment="1">
      <alignment horizontal="left" vertical="center"/>
    </xf>
    <xf numFmtId="185" fontId="91" fillId="5" borderId="63" xfId="6" applyNumberFormat="1" applyFont="1" applyFill="1" applyBorder="1" applyAlignment="1">
      <alignment horizontal="left" vertical="center"/>
    </xf>
    <xf numFmtId="185" fontId="91" fillId="0" borderId="0" xfId="6" applyNumberFormat="1" applyFont="1" applyAlignment="1" applyProtection="1">
      <alignment horizontal="left" vertical="center"/>
      <protection locked="0"/>
    </xf>
    <xf numFmtId="0" fontId="82" fillId="0" borderId="5" xfId="6" applyFont="1" applyBorder="1" applyAlignment="1" applyProtection="1">
      <alignment vertical="center"/>
      <protection locked="0"/>
    </xf>
    <xf numFmtId="0" fontId="148" fillId="0" borderId="2" xfId="6" applyFont="1" applyBorder="1" applyAlignment="1" applyProtection="1">
      <alignment horizontal="left" vertical="center"/>
      <protection locked="0"/>
    </xf>
    <xf numFmtId="9" fontId="82" fillId="0" borderId="2" xfId="6" applyNumberFormat="1" applyFont="1" applyBorder="1" applyAlignment="1" applyProtection="1">
      <alignment horizontal="left" vertical="center"/>
      <protection locked="0"/>
    </xf>
    <xf numFmtId="178" fontId="82" fillId="0" borderId="2" xfId="6" applyNumberFormat="1" applyFont="1" applyBorder="1" applyAlignment="1" applyProtection="1">
      <alignment horizontal="left" vertical="center"/>
      <protection locked="0"/>
    </xf>
    <xf numFmtId="0" fontId="82" fillId="0" borderId="12" xfId="6" applyFont="1" applyBorder="1" applyAlignment="1" applyProtection="1">
      <alignment horizontal="left" vertical="center"/>
      <protection locked="0"/>
    </xf>
    <xf numFmtId="0" fontId="91" fillId="5" borderId="11" xfId="6" applyFont="1" applyFill="1" applyBorder="1" applyAlignment="1">
      <alignment horizontal="left" vertical="center"/>
    </xf>
    <xf numFmtId="185" fontId="91" fillId="5" borderId="2" xfId="6" applyNumberFormat="1" applyFont="1" applyFill="1" applyBorder="1" applyAlignment="1">
      <alignment horizontal="left" vertical="center"/>
    </xf>
    <xf numFmtId="0" fontId="91" fillId="5" borderId="2" xfId="6" applyFont="1" applyFill="1" applyBorder="1" applyAlignment="1">
      <alignment horizontal="left" vertical="center"/>
    </xf>
    <xf numFmtId="0" fontId="91" fillId="5" borderId="12" xfId="6" applyFont="1" applyFill="1" applyBorder="1" applyAlignment="1">
      <alignment horizontal="left" vertical="center"/>
    </xf>
    <xf numFmtId="0" fontId="91" fillId="0" borderId="0" xfId="6" applyFont="1" applyAlignment="1" applyProtection="1">
      <alignment horizontal="left" vertical="center"/>
      <protection locked="0"/>
    </xf>
    <xf numFmtId="9" fontId="91" fillId="0" borderId="2" xfId="6" applyNumberFormat="1" applyFont="1" applyBorder="1" applyAlignment="1" applyProtection="1">
      <alignment horizontal="left" vertical="center"/>
      <protection locked="0"/>
    </xf>
    <xf numFmtId="0" fontId="91" fillId="5" borderId="12" xfId="6" applyFont="1" applyFill="1" applyBorder="1" applyAlignment="1">
      <alignment vertical="center"/>
    </xf>
    <xf numFmtId="182" fontId="91" fillId="5" borderId="2" xfId="6" applyNumberFormat="1" applyFont="1" applyFill="1" applyBorder="1" applyAlignment="1">
      <alignment horizontal="left" vertical="center"/>
    </xf>
    <xf numFmtId="49" fontId="82" fillId="5" borderId="11" xfId="6" applyNumberFormat="1" applyFont="1" applyFill="1" applyBorder="1" applyAlignment="1">
      <alignment horizontal="left" vertical="center"/>
    </xf>
    <xf numFmtId="185" fontId="82" fillId="5" borderId="2" xfId="6" applyNumberFormat="1" applyFont="1" applyFill="1" applyBorder="1" applyAlignment="1">
      <alignment horizontal="left" vertical="center"/>
    </xf>
    <xf numFmtId="182" fontId="82" fillId="5" borderId="2" xfId="6" applyNumberFormat="1" applyFont="1" applyFill="1" applyBorder="1" applyAlignment="1">
      <alignment horizontal="left" vertical="center"/>
    </xf>
    <xf numFmtId="0" fontId="82" fillId="5" borderId="5" xfId="6" applyFont="1" applyFill="1" applyBorder="1" applyAlignment="1">
      <alignment horizontal="left" vertical="center"/>
    </xf>
    <xf numFmtId="0" fontId="123" fillId="5" borderId="9" xfId="6" applyFont="1" applyFill="1" applyBorder="1" applyAlignment="1">
      <alignment horizontal="right" vertical="center"/>
    </xf>
    <xf numFmtId="177" fontId="82" fillId="0" borderId="2" xfId="6" applyNumberFormat="1" applyFont="1" applyBorder="1" applyAlignment="1" applyProtection="1">
      <alignment horizontal="left" vertical="center"/>
      <protection locked="0"/>
    </xf>
    <xf numFmtId="182" fontId="82" fillId="5" borderId="9" xfId="6" applyNumberFormat="1" applyFont="1" applyFill="1" applyBorder="1" applyAlignment="1">
      <alignment horizontal="right" vertical="center"/>
    </xf>
    <xf numFmtId="0" fontId="91" fillId="5" borderId="5" xfId="6" applyFont="1" applyFill="1" applyBorder="1" applyAlignment="1" applyProtection="1">
      <alignment vertical="center"/>
      <protection locked="0"/>
    </xf>
    <xf numFmtId="0" fontId="153" fillId="5" borderId="2" xfId="6" applyFont="1" applyFill="1" applyBorder="1" applyAlignment="1" applyProtection="1">
      <alignment horizontal="left" vertical="center"/>
      <protection locked="0"/>
    </xf>
    <xf numFmtId="9" fontId="91" fillId="5" borderId="2" xfId="6" applyNumberFormat="1" applyFont="1" applyFill="1" applyBorder="1" applyAlignment="1" applyProtection="1">
      <alignment horizontal="left" vertical="center"/>
      <protection locked="0"/>
    </xf>
    <xf numFmtId="178" fontId="91" fillId="5" borderId="2" xfId="6" applyNumberFormat="1" applyFont="1" applyFill="1" applyBorder="1" applyAlignment="1" applyProtection="1">
      <alignment horizontal="left" vertical="center"/>
      <protection locked="0"/>
    </xf>
    <xf numFmtId="178" fontId="82" fillId="0" borderId="12" xfId="6" applyNumberFormat="1" applyFont="1" applyBorder="1" applyAlignment="1" applyProtection="1">
      <alignment horizontal="left" vertical="center"/>
      <protection locked="0"/>
    </xf>
    <xf numFmtId="185" fontId="82" fillId="0" borderId="2" xfId="6" applyNumberFormat="1" applyFont="1" applyBorder="1" applyAlignment="1" applyProtection="1">
      <alignment horizontal="left" vertical="center"/>
      <protection locked="0"/>
    </xf>
    <xf numFmtId="182" fontId="82" fillId="0" borderId="2" xfId="6" applyNumberFormat="1" applyFont="1" applyBorder="1" applyAlignment="1" applyProtection="1">
      <alignment horizontal="left" vertical="center"/>
      <protection locked="0"/>
    </xf>
    <xf numFmtId="0" fontId="91" fillId="5" borderId="43" xfId="6" applyFont="1" applyFill="1" applyBorder="1" applyAlignment="1">
      <alignment horizontal="left" vertical="center"/>
    </xf>
    <xf numFmtId="185" fontId="91" fillId="5" borderId="44" xfId="6" applyNumberFormat="1" applyFont="1" applyFill="1" applyBorder="1" applyAlignment="1">
      <alignment horizontal="left" vertical="center"/>
    </xf>
    <xf numFmtId="182" fontId="91" fillId="0" borderId="44" xfId="6" applyNumberFormat="1" applyFont="1" applyBorder="1" applyAlignment="1" applyProtection="1">
      <alignment horizontal="left" vertical="center"/>
      <protection locked="0"/>
    </xf>
    <xf numFmtId="0" fontId="91" fillId="5" borderId="46" xfId="6" applyFont="1" applyFill="1" applyBorder="1" applyAlignment="1">
      <alignment vertical="center"/>
    </xf>
    <xf numFmtId="185" fontId="91" fillId="5" borderId="19" xfId="6" applyNumberFormat="1" applyFont="1" applyFill="1" applyBorder="1" applyAlignment="1">
      <alignment horizontal="left" vertical="center"/>
    </xf>
    <xf numFmtId="182" fontId="91" fillId="0" borderId="19" xfId="6" applyNumberFormat="1" applyFont="1" applyBorder="1" applyAlignment="1" applyProtection="1">
      <alignment horizontal="left" vertical="center"/>
      <protection locked="0"/>
    </xf>
    <xf numFmtId="0" fontId="91" fillId="5" borderId="65" xfId="6" applyFont="1" applyFill="1" applyBorder="1" applyAlignment="1">
      <alignment vertical="center"/>
    </xf>
    <xf numFmtId="0" fontId="91" fillId="5" borderId="36" xfId="6" applyFont="1" applyFill="1" applyBorder="1" applyAlignment="1">
      <alignment vertical="center"/>
    </xf>
    <xf numFmtId="178" fontId="82" fillId="6" borderId="2" xfId="6" applyNumberFormat="1" applyFont="1" applyFill="1" applyBorder="1" applyAlignment="1" applyProtection="1">
      <alignment horizontal="left" vertical="center"/>
      <protection locked="0"/>
    </xf>
    <xf numFmtId="0" fontId="153" fillId="5" borderId="12" xfId="6" applyFont="1" applyFill="1" applyBorder="1" applyAlignment="1" applyProtection="1">
      <alignment horizontal="left" vertical="center"/>
      <protection locked="0"/>
    </xf>
    <xf numFmtId="0" fontId="91" fillId="5" borderId="63" xfId="6" applyFont="1" applyFill="1" applyBorder="1" applyAlignment="1">
      <alignment horizontal="left" vertical="center"/>
    </xf>
    <xf numFmtId="0" fontId="148" fillId="0" borderId="2" xfId="6" applyFont="1" applyBorder="1" applyAlignment="1" applyProtection="1">
      <alignment horizontal="left" vertical="center" wrapText="1"/>
      <protection locked="0"/>
    </xf>
    <xf numFmtId="0" fontId="91" fillId="5" borderId="5" xfId="6" applyFont="1" applyFill="1" applyBorder="1" applyAlignment="1">
      <alignment horizontal="left" vertical="center"/>
    </xf>
    <xf numFmtId="0" fontId="91" fillId="5" borderId="157" xfId="6" applyFont="1" applyFill="1" applyBorder="1" applyAlignment="1">
      <alignment horizontal="left" vertical="center"/>
    </xf>
    <xf numFmtId="0" fontId="91" fillId="5" borderId="9" xfId="6" applyFont="1" applyFill="1" applyBorder="1" applyAlignment="1">
      <alignment horizontal="left" vertical="center"/>
    </xf>
    <xf numFmtId="0" fontId="148" fillId="0" borderId="12" xfId="6" applyFont="1" applyBorder="1" applyAlignment="1" applyProtection="1">
      <alignment horizontal="left" vertical="center"/>
      <protection locked="0"/>
    </xf>
    <xf numFmtId="0" fontId="277" fillId="0" borderId="5" xfId="6" applyFont="1" applyBorder="1" applyAlignment="1" applyProtection="1">
      <alignment horizontal="left" vertical="center"/>
      <protection locked="0"/>
    </xf>
    <xf numFmtId="0" fontId="277" fillId="0" borderId="157" xfId="6" applyFont="1" applyBorder="1" applyAlignment="1" applyProtection="1">
      <alignment horizontal="left" vertical="center"/>
      <protection locked="0"/>
    </xf>
    <xf numFmtId="0" fontId="277" fillId="0" borderId="9" xfId="6" applyFont="1" applyBorder="1" applyAlignment="1" applyProtection="1">
      <alignment horizontal="left" vertical="center"/>
      <protection locked="0"/>
    </xf>
    <xf numFmtId="0" fontId="82" fillId="5" borderId="64" xfId="6" applyFont="1" applyFill="1" applyBorder="1" applyAlignment="1">
      <alignment horizontal="left" vertical="center"/>
    </xf>
    <xf numFmtId="0" fontId="82" fillId="5" borderId="2" xfId="6" applyFont="1" applyFill="1" applyBorder="1" applyAlignment="1">
      <alignment horizontal="left" vertical="center"/>
    </xf>
    <xf numFmtId="185" fontId="82" fillId="5" borderId="5" xfId="6" applyNumberFormat="1" applyFont="1" applyFill="1" applyBorder="1" applyAlignment="1">
      <alignment horizontal="left" vertical="center"/>
    </xf>
    <xf numFmtId="185" fontId="82" fillId="5" borderId="157" xfId="6" applyNumberFormat="1" applyFont="1" applyFill="1" applyBorder="1" applyAlignment="1">
      <alignment horizontal="left" vertical="center"/>
    </xf>
    <xf numFmtId="185" fontId="82" fillId="5" borderId="9" xfId="6" applyNumberFormat="1" applyFont="1" applyFill="1" applyBorder="1" applyAlignment="1">
      <alignment horizontal="left" vertical="center"/>
    </xf>
    <xf numFmtId="0" fontId="82" fillId="5" borderId="12" xfId="6" applyFont="1" applyFill="1" applyBorder="1" applyAlignment="1">
      <alignment horizontal="left" vertical="center"/>
    </xf>
    <xf numFmtId="0" fontId="82" fillId="0" borderId="0" xfId="6" applyFont="1" applyAlignment="1" applyProtection="1">
      <alignment horizontal="right" vertical="center"/>
      <protection locked="0"/>
    </xf>
    <xf numFmtId="0" fontId="82" fillId="5" borderId="64" xfId="6" applyFont="1" applyFill="1" applyBorder="1" applyAlignment="1">
      <alignment horizontal="right" vertical="center"/>
    </xf>
    <xf numFmtId="0" fontId="82" fillId="5" borderId="2" xfId="6" applyFont="1" applyFill="1" applyBorder="1" applyAlignment="1">
      <alignment horizontal="right" vertical="center"/>
    </xf>
    <xf numFmtId="185" fontId="82" fillId="5" borderId="5" xfId="6" applyNumberFormat="1" applyFont="1" applyFill="1" applyBorder="1" applyAlignment="1">
      <alignment horizontal="right" vertical="center"/>
    </xf>
    <xf numFmtId="182" fontId="82" fillId="0" borderId="157" xfId="6" applyNumberFormat="1" applyFont="1" applyBorder="1" applyAlignment="1" applyProtection="1">
      <alignment horizontal="right" vertical="center"/>
      <protection locked="0"/>
    </xf>
    <xf numFmtId="182" fontId="82" fillId="0" borderId="9" xfId="6" applyNumberFormat="1" applyFont="1" applyBorder="1" applyAlignment="1" applyProtection="1">
      <alignment horizontal="right" vertical="center"/>
      <protection locked="0"/>
    </xf>
    <xf numFmtId="0" fontId="82" fillId="5" borderId="12" xfId="6" applyFont="1" applyFill="1" applyBorder="1" applyAlignment="1">
      <alignment horizontal="right" vertical="center"/>
    </xf>
    <xf numFmtId="0" fontId="91" fillId="5" borderId="11" xfId="6" applyFont="1" applyFill="1" applyBorder="1" applyAlignment="1" applyProtection="1">
      <alignment horizontal="left" vertical="center" wrapText="1"/>
      <protection locked="0"/>
    </xf>
    <xf numFmtId="0" fontId="91" fillId="5" borderId="5" xfId="6" applyFont="1" applyFill="1" applyBorder="1" applyAlignment="1" applyProtection="1">
      <alignment vertical="center" wrapText="1"/>
      <protection locked="0"/>
    </xf>
    <xf numFmtId="0" fontId="91" fillId="5" borderId="8" xfId="6" applyFont="1" applyFill="1" applyBorder="1" applyAlignment="1" applyProtection="1">
      <alignment vertical="center" wrapText="1"/>
      <protection locked="0"/>
    </xf>
    <xf numFmtId="0" fontId="91" fillId="5" borderId="9" xfId="6" applyFont="1" applyFill="1" applyBorder="1" applyAlignment="1" applyProtection="1">
      <alignment vertical="center" wrapText="1"/>
      <protection locked="0"/>
    </xf>
    <xf numFmtId="9" fontId="148" fillId="0" borderId="2" xfId="6" applyNumberFormat="1" applyFont="1" applyBorder="1" applyAlignment="1" applyProtection="1">
      <alignment horizontal="left" vertical="center"/>
      <protection locked="0"/>
    </xf>
    <xf numFmtId="0" fontId="82" fillId="0" borderId="0" xfId="6" applyFont="1" applyAlignment="1" applyProtection="1">
      <alignment horizontal="right"/>
      <protection locked="0"/>
    </xf>
    <xf numFmtId="0" fontId="123" fillId="0" borderId="0" xfId="6" applyFont="1" applyAlignment="1">
      <alignment horizontal="right"/>
    </xf>
    <xf numFmtId="0" fontId="153" fillId="5" borderId="4" xfId="6" applyFont="1" applyFill="1" applyBorder="1" applyAlignment="1" applyProtection="1">
      <alignment vertical="center"/>
      <protection locked="0"/>
    </xf>
    <xf numFmtId="0" fontId="153" fillId="5" borderId="14" xfId="6" applyFont="1" applyFill="1" applyBorder="1" applyAlignment="1" applyProtection="1">
      <alignment vertical="center"/>
      <protection locked="0"/>
    </xf>
    <xf numFmtId="0" fontId="153" fillId="5" borderId="32" xfId="6" applyFont="1" applyFill="1" applyBorder="1" applyAlignment="1" applyProtection="1">
      <alignment vertical="center"/>
      <protection locked="0"/>
    </xf>
    <xf numFmtId="0" fontId="148" fillId="5" borderId="2" xfId="6" applyFont="1" applyFill="1" applyBorder="1" applyAlignment="1" applyProtection="1">
      <alignment horizontal="left" vertical="center"/>
      <protection locked="0"/>
    </xf>
    <xf numFmtId="9" fontId="148" fillId="5" borderId="2" xfId="6" applyNumberFormat="1" applyFont="1" applyFill="1" applyBorder="1" applyAlignment="1" applyProtection="1">
      <alignment horizontal="left" vertical="center"/>
      <protection locked="0"/>
    </xf>
    <xf numFmtId="182" fontId="82" fillId="5" borderId="5" xfId="6" applyNumberFormat="1" applyFont="1" applyFill="1" applyBorder="1" applyAlignment="1">
      <alignment horizontal="right" vertical="center"/>
    </xf>
    <xf numFmtId="0" fontId="123" fillId="0" borderId="0" xfId="6" applyFont="1" applyAlignment="1" applyProtection="1">
      <alignment horizontal="right"/>
      <protection locked="0"/>
    </xf>
    <xf numFmtId="0" fontId="153" fillId="5" borderId="17" xfId="6" applyFont="1" applyFill="1" applyBorder="1" applyAlignment="1" applyProtection="1">
      <alignment vertical="center"/>
      <protection locked="0"/>
    </xf>
    <xf numFmtId="0" fontId="153" fillId="5" borderId="19" xfId="6" applyFont="1" applyFill="1" applyBorder="1" applyAlignment="1" applyProtection="1">
      <alignment vertical="center"/>
      <protection locked="0"/>
    </xf>
    <xf numFmtId="0" fontId="153" fillId="5" borderId="20" xfId="6" applyFont="1" applyFill="1" applyBorder="1" applyAlignment="1" applyProtection="1">
      <alignment vertical="center"/>
      <protection locked="0"/>
    </xf>
    <xf numFmtId="0" fontId="153" fillId="0" borderId="2" xfId="6" applyFont="1" applyBorder="1" applyAlignment="1" applyProtection="1">
      <alignment horizontal="left" vertical="center"/>
      <protection locked="0"/>
    </xf>
    <xf numFmtId="9" fontId="153" fillId="0" borderId="2" xfId="6" applyNumberFormat="1" applyFont="1" applyBorder="1" applyAlignment="1" applyProtection="1">
      <alignment horizontal="left" vertical="center"/>
      <protection locked="0"/>
    </xf>
    <xf numFmtId="0" fontId="217" fillId="5" borderId="23" xfId="6" applyFont="1" applyFill="1" applyBorder="1" applyAlignment="1" applyProtection="1">
      <alignment horizontal="left" vertical="center" wrapText="1"/>
      <protection locked="0"/>
    </xf>
    <xf numFmtId="0" fontId="226" fillId="5" borderId="55" xfId="6" applyFont="1" applyFill="1" applyBorder="1" applyAlignment="1" applyProtection="1">
      <alignment vertical="center"/>
      <protection locked="0"/>
    </xf>
    <xf numFmtId="0" fontId="123" fillId="5" borderId="55" xfId="6" applyFont="1" applyFill="1" applyBorder="1" applyAlignment="1" applyProtection="1">
      <alignment vertical="center"/>
      <protection locked="0"/>
    </xf>
    <xf numFmtId="0" fontId="32" fillId="0" borderId="55" xfId="6" applyBorder="1" applyAlignment="1" applyProtection="1">
      <alignment horizontal="left" vertical="center"/>
      <protection locked="0"/>
    </xf>
    <xf numFmtId="9" fontId="82" fillId="0" borderId="44" xfId="6" applyNumberFormat="1" applyFont="1" applyBorder="1" applyAlignment="1" applyProtection="1">
      <alignment horizontal="left" vertical="center"/>
      <protection locked="0"/>
    </xf>
    <xf numFmtId="182" fontId="148" fillId="0" borderId="44" xfId="6" applyNumberFormat="1" applyFont="1" applyBorder="1" applyAlignment="1" applyProtection="1">
      <alignment horizontal="left" vertical="center"/>
      <protection locked="0"/>
    </xf>
    <xf numFmtId="0" fontId="225" fillId="0" borderId="69" xfId="6" applyFont="1" applyBorder="1" applyAlignment="1" applyProtection="1">
      <alignment horizontal="left" vertical="center"/>
      <protection locked="0"/>
    </xf>
    <xf numFmtId="182" fontId="82" fillId="5" borderId="157" xfId="6" applyNumberFormat="1" applyFont="1" applyFill="1" applyBorder="1" applyAlignment="1">
      <alignment horizontal="right" vertical="center"/>
    </xf>
    <xf numFmtId="182" fontId="82" fillId="0" borderId="5" xfId="6" applyNumberFormat="1" applyFont="1" applyBorder="1" applyAlignment="1" applyProtection="1">
      <alignment horizontal="right" vertical="center"/>
      <protection locked="0"/>
    </xf>
    <xf numFmtId="0" fontId="91" fillId="5" borderId="2" xfId="6" applyFont="1" applyFill="1" applyBorder="1" applyAlignment="1" applyProtection="1">
      <alignment horizontal="left" vertical="center"/>
      <protection locked="0"/>
    </xf>
    <xf numFmtId="0" fontId="82" fillId="5" borderId="157" xfId="6" applyFont="1" applyFill="1" applyBorder="1" applyAlignment="1">
      <alignment horizontal="left" vertical="center"/>
    </xf>
    <xf numFmtId="0" fontId="82" fillId="5" borderId="9" xfId="6" applyFont="1" applyFill="1" applyBorder="1" applyAlignment="1">
      <alignment horizontal="left" vertical="center"/>
    </xf>
    <xf numFmtId="178" fontId="82" fillId="5" borderId="2" xfId="6" applyNumberFormat="1" applyFont="1" applyFill="1" applyBorder="1" applyAlignment="1" applyProtection="1">
      <alignment horizontal="left" vertical="center"/>
      <protection locked="0"/>
    </xf>
    <xf numFmtId="10" fontId="82" fillId="0" borderId="5" xfId="6" applyNumberFormat="1" applyFont="1" applyBorder="1" applyAlignment="1" applyProtection="1">
      <alignment horizontal="left" vertical="center"/>
      <protection locked="0"/>
    </xf>
    <xf numFmtId="10" fontId="82" fillId="0" borderId="157" xfId="6" applyNumberFormat="1" applyFont="1" applyBorder="1" applyAlignment="1" applyProtection="1">
      <alignment horizontal="left" vertical="center"/>
      <protection locked="0"/>
    </xf>
    <xf numFmtId="10" fontId="82" fillId="0" borderId="9" xfId="6" applyNumberFormat="1" applyFont="1" applyBorder="1" applyAlignment="1" applyProtection="1">
      <alignment horizontal="left" vertical="center"/>
      <protection locked="0"/>
    </xf>
    <xf numFmtId="0" fontId="82" fillId="5" borderId="10" xfId="6" applyFont="1" applyFill="1" applyBorder="1" applyAlignment="1" applyProtection="1">
      <alignment horizontal="left" vertical="center"/>
      <protection locked="0"/>
    </xf>
    <xf numFmtId="182" fontId="82" fillId="0" borderId="5" xfId="6" applyNumberFormat="1" applyFont="1" applyBorder="1" applyAlignment="1" applyProtection="1">
      <alignment horizontal="left" vertical="center"/>
      <protection locked="0"/>
    </xf>
    <xf numFmtId="182" fontId="82" fillId="0" borderId="157" xfId="6" applyNumberFormat="1" applyFont="1" applyBorder="1" applyAlignment="1" applyProtection="1">
      <alignment horizontal="left" vertical="center"/>
      <protection locked="0"/>
    </xf>
    <xf numFmtId="182" fontId="82" fillId="0" borderId="9" xfId="6" applyNumberFormat="1" applyFont="1" applyBorder="1" applyAlignment="1" applyProtection="1">
      <alignment horizontal="left" vertical="center"/>
      <protection locked="0"/>
    </xf>
    <xf numFmtId="177" fontId="82" fillId="0" borderId="0" xfId="6" applyNumberFormat="1" applyFont="1" applyAlignment="1" applyProtection="1">
      <alignment horizontal="left" vertical="center"/>
      <protection locked="0"/>
    </xf>
    <xf numFmtId="0" fontId="91" fillId="5" borderId="5" xfId="6" applyFont="1" applyFill="1" applyBorder="1" applyAlignment="1" applyProtection="1">
      <alignment horizontal="left" vertical="center"/>
      <protection locked="0"/>
    </xf>
    <xf numFmtId="0" fontId="82" fillId="5" borderId="44" xfId="6" applyFont="1" applyFill="1" applyBorder="1" applyAlignment="1">
      <alignment horizontal="left" vertical="center"/>
    </xf>
    <xf numFmtId="177" fontId="82" fillId="0" borderId="45" xfId="6" applyNumberFormat="1" applyFont="1" applyBorder="1" applyAlignment="1" applyProtection="1">
      <alignment horizontal="left" vertical="center"/>
      <protection locked="0"/>
    </xf>
    <xf numFmtId="177" fontId="82" fillId="0" borderId="158" xfId="6" applyNumberFormat="1" applyFont="1" applyBorder="1" applyAlignment="1" applyProtection="1">
      <alignment horizontal="left" vertical="center"/>
      <protection locked="0"/>
    </xf>
    <xf numFmtId="177" fontId="82" fillId="0" borderId="47" xfId="6" applyNumberFormat="1" applyFont="1" applyBorder="1" applyAlignment="1" applyProtection="1">
      <alignment horizontal="left" vertical="center"/>
      <protection locked="0"/>
    </xf>
    <xf numFmtId="177" fontId="82" fillId="5" borderId="12" xfId="6" applyNumberFormat="1" applyFont="1" applyFill="1" applyBorder="1" applyAlignment="1">
      <alignment horizontal="left" vertical="center"/>
    </xf>
    <xf numFmtId="0" fontId="82" fillId="5" borderId="11" xfId="6" applyFont="1" applyFill="1" applyBorder="1" applyAlignment="1">
      <alignment horizontal="left" vertical="center"/>
    </xf>
    <xf numFmtId="185" fontId="82" fillId="5" borderId="2" xfId="6" applyNumberFormat="1" applyFont="1" applyFill="1" applyBorder="1" applyAlignment="1">
      <alignment horizontal="left"/>
    </xf>
    <xf numFmtId="0" fontId="82" fillId="5" borderId="2" xfId="6" applyFont="1" applyFill="1" applyBorder="1" applyAlignment="1">
      <alignment horizontal="left"/>
    </xf>
    <xf numFmtId="0" fontId="82" fillId="5" borderId="12" xfId="6" applyFont="1" applyFill="1" applyBorder="1" applyAlignment="1">
      <alignment horizontal="left"/>
    </xf>
    <xf numFmtId="0" fontId="82" fillId="5" borderId="43" xfId="6" applyFont="1" applyFill="1" applyBorder="1" applyAlignment="1">
      <alignment horizontal="left" vertical="center"/>
    </xf>
    <xf numFmtId="185" fontId="82" fillId="5" borderId="44" xfId="6" applyNumberFormat="1" applyFont="1" applyFill="1" applyBorder="1" applyAlignment="1">
      <alignment horizontal="left" vertical="center"/>
    </xf>
    <xf numFmtId="0" fontId="82" fillId="5" borderId="44" xfId="6" applyFont="1" applyFill="1" applyBorder="1" applyAlignment="1">
      <alignment horizontal="left"/>
    </xf>
    <xf numFmtId="0" fontId="82" fillId="5" borderId="46" xfId="6" applyFont="1" applyFill="1" applyBorder="1" applyAlignment="1">
      <alignment horizontal="left" vertical="center"/>
    </xf>
    <xf numFmtId="0" fontId="276" fillId="0" borderId="0" xfId="6" applyFont="1" applyAlignment="1" applyProtection="1">
      <alignment horizontal="left" vertical="center"/>
      <protection locked="0"/>
    </xf>
    <xf numFmtId="0" fontId="276" fillId="0" borderId="0" xfId="6" applyFont="1" applyAlignment="1">
      <alignment horizontal="left"/>
    </xf>
    <xf numFmtId="0" fontId="217" fillId="5" borderId="55" xfId="6" applyFont="1" applyFill="1" applyBorder="1" applyAlignment="1" applyProtection="1">
      <alignment vertical="center"/>
      <protection locked="0"/>
    </xf>
    <xf numFmtId="0" fontId="0" fillId="5" borderId="1" xfId="0" applyFill="1" applyBorder="1" applyAlignment="1">
      <alignment horizontal="left" vertical="center"/>
    </xf>
    <xf numFmtId="179" fontId="0" fillId="5" borderId="6" xfId="0" applyNumberFormat="1" applyFill="1" applyBorder="1" applyAlignment="1">
      <alignment horizontal="left" vertical="center"/>
    </xf>
    <xf numFmtId="179" fontId="0" fillId="5" borderId="29" xfId="0" applyNumberFormat="1" applyFill="1" applyBorder="1" applyAlignment="1">
      <alignment horizontal="left" vertical="center"/>
    </xf>
    <xf numFmtId="179" fontId="0" fillId="5" borderId="7" xfId="0" applyNumberFormat="1" applyFill="1" applyBorder="1" applyAlignment="1">
      <alignment horizontal="left" vertical="center"/>
    </xf>
    <xf numFmtId="0" fontId="0" fillId="5" borderId="11" xfId="0" applyFill="1" applyBorder="1" applyAlignment="1">
      <alignment horizontal="left" vertical="center"/>
    </xf>
    <xf numFmtId="179" fontId="0" fillId="5" borderId="2" xfId="0" applyNumberFormat="1" applyFill="1" applyBorder="1" applyAlignment="1">
      <alignment horizontal="left" vertical="center"/>
    </xf>
    <xf numFmtId="179" fontId="0" fillId="5" borderId="5" xfId="0" applyNumberFormat="1" applyFill="1" applyBorder="1" applyAlignment="1">
      <alignment horizontal="left" vertical="center"/>
    </xf>
    <xf numFmtId="179" fontId="0" fillId="5" borderId="12" xfId="0" applyNumberFormat="1" applyFill="1" applyBorder="1" applyAlignment="1">
      <alignment horizontal="left" vertical="center"/>
    </xf>
    <xf numFmtId="0" fontId="141" fillId="5" borderId="11" xfId="0" applyFont="1" applyFill="1" applyBorder="1" applyAlignment="1">
      <alignment horizontal="left" vertical="center"/>
    </xf>
    <xf numFmtId="0" fontId="141" fillId="5" borderId="24" xfId="0" applyFont="1" applyFill="1" applyBorder="1" applyAlignment="1">
      <alignment horizontal="left" vertical="center"/>
    </xf>
    <xf numFmtId="179" fontId="0" fillId="5" borderId="13" xfId="0" applyNumberFormat="1" applyFill="1" applyBorder="1" applyAlignment="1">
      <alignment horizontal="left" vertical="center"/>
    </xf>
    <xf numFmtId="179" fontId="0" fillId="5" borderId="3" xfId="0" applyNumberFormat="1" applyFill="1" applyBorder="1" applyAlignment="1">
      <alignment horizontal="left" vertical="center"/>
    </xf>
    <xf numFmtId="179" fontId="0" fillId="5" borderId="52" xfId="0" applyNumberFormat="1" applyFill="1" applyBorder="1" applyAlignment="1">
      <alignment horizontal="left" vertical="center"/>
    </xf>
    <xf numFmtId="0" fontId="141" fillId="5" borderId="43" xfId="0" applyFont="1" applyFill="1" applyBorder="1" applyAlignment="1">
      <alignment horizontal="left" vertical="center"/>
    </xf>
    <xf numFmtId="179" fontId="0" fillId="5" borderId="45" xfId="0" applyNumberFormat="1" applyFill="1" applyBorder="1" applyAlignment="1">
      <alignment horizontal="left" vertical="center"/>
    </xf>
    <xf numFmtId="179" fontId="0" fillId="5" borderId="44" xfId="0" applyNumberFormat="1" applyFill="1" applyBorder="1" applyAlignment="1">
      <alignment horizontal="left" vertical="center"/>
    </xf>
    <xf numFmtId="179" fontId="0" fillId="5" borderId="46" xfId="0" applyNumberFormat="1" applyFill="1" applyBorder="1" applyAlignment="1">
      <alignment horizontal="left" vertical="center"/>
    </xf>
    <xf numFmtId="0" fontId="160" fillId="5" borderId="6" xfId="0" applyFont="1" applyFill="1" applyBorder="1" applyAlignment="1">
      <alignment horizontal="left" vertical="center" wrapText="1"/>
    </xf>
    <xf numFmtId="0" fontId="160" fillId="5" borderId="7" xfId="0" applyFont="1" applyFill="1" applyBorder="1" applyAlignment="1">
      <alignment horizontal="left" vertical="center" wrapText="1"/>
    </xf>
    <xf numFmtId="0" fontId="160" fillId="5" borderId="2" xfId="0" applyFont="1" applyFill="1" applyBorder="1" applyAlignment="1">
      <alignment horizontal="left" vertical="center" wrapText="1"/>
    </xf>
    <xf numFmtId="0" fontId="160" fillId="5" borderId="12" xfId="0" applyFont="1" applyFill="1" applyBorder="1" applyAlignment="1">
      <alignment horizontal="left" vertical="center" wrapText="1"/>
    </xf>
    <xf numFmtId="0" fontId="160" fillId="5" borderId="10" xfId="0" applyFont="1" applyFill="1" applyBorder="1" applyAlignment="1">
      <alignment horizontal="left" vertical="center" wrapText="1"/>
    </xf>
    <xf numFmtId="0" fontId="160" fillId="5" borderId="25" xfId="0" applyFont="1" applyFill="1" applyBorder="1" applyAlignment="1">
      <alignment horizontal="left" vertical="center" wrapText="1"/>
    </xf>
    <xf numFmtId="0" fontId="160" fillId="5" borderId="4" xfId="0" applyFont="1" applyFill="1" applyBorder="1" applyAlignment="1">
      <alignment horizontal="left" vertical="center" wrapText="1"/>
    </xf>
    <xf numFmtId="0" fontId="160" fillId="5" borderId="5" xfId="0" applyFont="1" applyFill="1" applyBorder="1" applyAlignment="1">
      <alignment horizontal="left" vertical="center" wrapText="1"/>
    </xf>
    <xf numFmtId="0" fontId="160" fillId="5" borderId="9" xfId="0" applyFont="1" applyFill="1" applyBorder="1" applyAlignment="1">
      <alignment horizontal="left" vertical="center" wrapText="1"/>
    </xf>
    <xf numFmtId="0" fontId="160" fillId="5" borderId="29" xfId="0" applyFont="1" applyFill="1" applyBorder="1" applyAlignment="1">
      <alignment horizontal="left" vertical="center"/>
    </xf>
    <xf numFmtId="0" fontId="160" fillId="5" borderId="42" xfId="0" applyFont="1" applyFill="1" applyBorder="1" applyAlignment="1">
      <alignment horizontal="left" vertical="center"/>
    </xf>
    <xf numFmtId="0" fontId="160" fillId="5" borderId="7" xfId="0" applyFont="1" applyFill="1" applyBorder="1" applyAlignment="1">
      <alignment horizontal="left" vertical="center"/>
    </xf>
    <xf numFmtId="0" fontId="160" fillId="5" borderId="0" xfId="0" applyFont="1" applyFill="1" applyAlignment="1">
      <alignment horizontal="left" vertical="center"/>
    </xf>
    <xf numFmtId="0" fontId="160" fillId="5" borderId="5" xfId="0" applyFont="1" applyFill="1" applyBorder="1" applyAlignment="1">
      <alignment horizontal="left" vertical="center"/>
    </xf>
    <xf numFmtId="0" fontId="160" fillId="5" borderId="9" xfId="0" applyFont="1" applyFill="1" applyBorder="1" applyAlignment="1">
      <alignment horizontal="left" vertical="center"/>
    </xf>
    <xf numFmtId="0" fontId="160" fillId="5" borderId="12" xfId="0" applyFont="1" applyFill="1" applyBorder="1" applyAlignment="1">
      <alignment horizontal="left" vertical="center"/>
    </xf>
    <xf numFmtId="0" fontId="160" fillId="5" borderId="45" xfId="0" applyFont="1" applyFill="1" applyBorder="1" applyAlignment="1">
      <alignment horizontal="left" vertical="center"/>
    </xf>
    <xf numFmtId="0" fontId="160" fillId="5" borderId="47" xfId="0" applyFont="1" applyFill="1" applyBorder="1" applyAlignment="1">
      <alignment horizontal="left" vertical="center"/>
    </xf>
    <xf numFmtId="0" fontId="160" fillId="5" borderId="46" xfId="0" applyFont="1" applyFill="1" applyBorder="1" applyAlignment="1">
      <alignment horizontal="left" vertical="center"/>
    </xf>
    <xf numFmtId="0" fontId="160" fillId="5" borderId="33" xfId="0" applyFont="1" applyFill="1" applyBorder="1" applyAlignment="1">
      <alignment horizontal="left" vertical="center"/>
    </xf>
    <xf numFmtId="0" fontId="160" fillId="5" borderId="83" xfId="0" applyFont="1" applyFill="1" applyBorder="1" applyAlignment="1">
      <alignment horizontal="left" vertical="center"/>
    </xf>
    <xf numFmtId="0" fontId="160" fillId="5" borderId="49" xfId="0" applyFont="1" applyFill="1" applyBorder="1" applyAlignment="1">
      <alignment horizontal="left" vertical="center"/>
    </xf>
    <xf numFmtId="0" fontId="160" fillId="5" borderId="62" xfId="0" applyFont="1" applyFill="1" applyBorder="1" applyAlignment="1">
      <alignment horizontal="left" vertical="center"/>
    </xf>
    <xf numFmtId="0" fontId="160" fillId="5" borderId="34" xfId="0" applyFont="1" applyFill="1" applyBorder="1" applyAlignment="1">
      <alignment horizontal="left" vertical="center"/>
    </xf>
    <xf numFmtId="0" fontId="160" fillId="5" borderId="2" xfId="0" applyFont="1" applyFill="1" applyBorder="1" applyAlignment="1">
      <alignment horizontal="left" vertical="center"/>
    </xf>
    <xf numFmtId="9" fontId="160" fillId="5" borderId="2" xfId="0" applyNumberFormat="1" applyFont="1" applyFill="1" applyBorder="1" applyAlignment="1">
      <alignment horizontal="left" vertical="center"/>
    </xf>
    <xf numFmtId="0" fontId="196" fillId="5" borderId="22" xfId="0" applyFont="1" applyFill="1" applyBorder="1">
      <alignment vertical="center"/>
    </xf>
    <xf numFmtId="0" fontId="196" fillId="5" borderId="24" xfId="0" applyFont="1" applyFill="1" applyBorder="1">
      <alignment vertical="center"/>
    </xf>
    <xf numFmtId="0" fontId="148" fillId="5" borderId="22" xfId="0" applyFont="1" applyFill="1" applyBorder="1">
      <alignment vertical="center"/>
    </xf>
    <xf numFmtId="0" fontId="148" fillId="5" borderId="24" xfId="0" applyFont="1" applyFill="1" applyBorder="1">
      <alignment vertical="center"/>
    </xf>
    <xf numFmtId="0" fontId="199" fillId="5" borderId="26" xfId="0" applyFont="1" applyFill="1" applyBorder="1" applyAlignment="1" applyProtection="1">
      <alignment horizontal="left" vertical="center"/>
      <protection locked="0"/>
    </xf>
    <xf numFmtId="0" fontId="0" fillId="5" borderId="28" xfId="0" applyFill="1" applyBorder="1" applyAlignment="1" applyProtection="1">
      <alignment horizontal="left" vertical="center"/>
      <protection locked="0"/>
    </xf>
    <xf numFmtId="0" fontId="0" fillId="5" borderId="39"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0" fillId="5" borderId="0" xfId="0" applyFill="1" applyAlignment="1" applyProtection="1">
      <alignment horizontal="left" vertical="center"/>
      <protection locked="0"/>
    </xf>
    <xf numFmtId="0" fontId="0" fillId="5" borderId="65" xfId="0" applyFill="1" applyBorder="1" applyAlignment="1" applyProtection="1">
      <alignment horizontal="left" vertical="center"/>
      <protection locked="0"/>
    </xf>
    <xf numFmtId="14" fontId="0" fillId="0" borderId="2" xfId="0" applyNumberFormat="1" applyBorder="1" applyAlignment="1" applyProtection="1">
      <alignment horizontal="left" vertical="center"/>
      <protection locked="0"/>
    </xf>
    <xf numFmtId="0" fontId="0" fillId="5" borderId="2" xfId="0" applyFill="1" applyBorder="1" applyAlignment="1" applyProtection="1">
      <alignment horizontal="left" vertical="center"/>
      <protection locked="0"/>
    </xf>
    <xf numFmtId="0" fontId="0" fillId="5" borderId="2" xfId="0" applyFill="1" applyBorder="1" applyAlignment="1">
      <alignment horizontal="left" vertical="center"/>
    </xf>
    <xf numFmtId="0" fontId="0" fillId="0" borderId="11" xfId="0" applyBorder="1" applyAlignment="1" applyProtection="1">
      <alignment horizontal="left" vertical="center"/>
      <protection locked="0"/>
    </xf>
    <xf numFmtId="194" fontId="0" fillId="5" borderId="2" xfId="0" applyNumberFormat="1" applyFill="1" applyBorder="1" applyAlignment="1">
      <alignment horizontal="left" vertical="center"/>
    </xf>
    <xf numFmtId="10" fontId="0" fillId="0" borderId="2" xfId="16" applyNumberFormat="1" applyFont="1" applyBorder="1" applyAlignment="1" applyProtection="1">
      <alignment horizontal="left" vertical="center"/>
      <protection locked="0"/>
    </xf>
    <xf numFmtId="0" fontId="0" fillId="5" borderId="12" xfId="0" applyFill="1" applyBorder="1" applyAlignment="1">
      <alignment horizontal="left" vertical="center"/>
    </xf>
    <xf numFmtId="0" fontId="0" fillId="0" borderId="2" xfId="0" applyBorder="1" applyAlignment="1" applyProtection="1">
      <alignment horizontal="left" vertical="center"/>
      <protection locked="0"/>
    </xf>
    <xf numFmtId="194" fontId="0" fillId="5" borderId="12" xfId="0" applyNumberFormat="1" applyFill="1" applyBorder="1" applyAlignment="1">
      <alignment horizontal="left" vertical="center"/>
    </xf>
    <xf numFmtId="0" fontId="0" fillId="5" borderId="43" xfId="0" applyFill="1" applyBorder="1" applyAlignment="1">
      <alignment horizontal="left" vertical="center"/>
    </xf>
    <xf numFmtId="0" fontId="0" fillId="5" borderId="44" xfId="0" applyFill="1" applyBorder="1" applyAlignment="1">
      <alignment horizontal="left" vertical="center"/>
    </xf>
    <xf numFmtId="0" fontId="0" fillId="5" borderId="61" xfId="0" applyFill="1" applyBorder="1" applyAlignment="1" applyProtection="1">
      <alignment horizontal="left" vertical="center"/>
      <protection locked="0"/>
    </xf>
    <xf numFmtId="0" fontId="0" fillId="5" borderId="66" xfId="0" applyFill="1" applyBorder="1" applyAlignment="1" applyProtection="1">
      <alignment horizontal="left" vertical="center"/>
      <protection locked="0"/>
    </xf>
    <xf numFmtId="0" fontId="199" fillId="5" borderId="26" xfId="0" applyFont="1" applyFill="1" applyBorder="1" applyAlignment="1">
      <alignment horizontal="left" vertical="center"/>
    </xf>
    <xf numFmtId="0" fontId="0" fillId="5" borderId="28" xfId="0" applyFill="1" applyBorder="1" applyAlignment="1">
      <alignment horizontal="left" vertical="center"/>
    </xf>
    <xf numFmtId="0" fontId="0" fillId="5" borderId="39" xfId="0" applyFill="1" applyBorder="1" applyAlignment="1">
      <alignment horizontal="left" vertical="center"/>
    </xf>
    <xf numFmtId="0" fontId="280" fillId="5" borderId="11" xfId="0" applyFont="1" applyFill="1" applyBorder="1" applyAlignment="1">
      <alignment horizontal="left" vertical="center"/>
    </xf>
    <xf numFmtId="0" fontId="280" fillId="5" borderId="2" xfId="0" applyFont="1" applyFill="1" applyBorder="1" applyAlignment="1">
      <alignment horizontal="left" vertical="center"/>
    </xf>
    <xf numFmtId="0" fontId="280" fillId="5" borderId="12" xfId="0" applyFont="1" applyFill="1" applyBorder="1" applyAlignment="1">
      <alignment horizontal="left" vertical="center"/>
    </xf>
    <xf numFmtId="0" fontId="280" fillId="0" borderId="2" xfId="0" applyFont="1" applyBorder="1" applyAlignment="1" applyProtection="1">
      <alignment horizontal="left" vertical="center"/>
      <protection locked="0"/>
    </xf>
    <xf numFmtId="9" fontId="280" fillId="0" borderId="2" xfId="0" applyNumberFormat="1" applyFont="1" applyBorder="1" applyAlignment="1" applyProtection="1">
      <alignment horizontal="left" vertical="center"/>
      <protection locked="0"/>
    </xf>
    <xf numFmtId="0" fontId="280" fillId="5" borderId="11"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protection locked="0"/>
    </xf>
    <xf numFmtId="0" fontId="280" fillId="5" borderId="0" xfId="0" applyFont="1" applyFill="1" applyAlignment="1" applyProtection="1">
      <alignment horizontal="left" vertical="center"/>
      <protection locked="0"/>
    </xf>
    <xf numFmtId="0" fontId="280" fillId="5" borderId="65" xfId="0" applyFont="1" applyFill="1" applyBorder="1" applyAlignment="1" applyProtection="1">
      <alignment horizontal="left" vertical="center"/>
      <protection locked="0"/>
    </xf>
    <xf numFmtId="0" fontId="280" fillId="5" borderId="31" xfId="0" applyFont="1" applyFill="1" applyBorder="1" applyAlignment="1">
      <alignment horizontal="left" vertical="center"/>
    </xf>
    <xf numFmtId="0" fontId="280" fillId="5" borderId="0" xfId="0" applyFont="1" applyFill="1" applyAlignment="1">
      <alignment horizontal="left" vertical="center"/>
    </xf>
    <xf numFmtId="0" fontId="280" fillId="5" borderId="65" xfId="0" applyFont="1" applyFill="1" applyBorder="1" applyAlignment="1">
      <alignment horizontal="left" vertical="center"/>
    </xf>
    <xf numFmtId="0" fontId="280" fillId="5" borderId="31" xfId="0" applyFont="1" applyFill="1" applyBorder="1" applyAlignment="1">
      <alignment horizontal="left"/>
    </xf>
    <xf numFmtId="0" fontId="280" fillId="5" borderId="0" xfId="0" applyFont="1" applyFill="1" applyAlignment="1">
      <alignment horizontal="left"/>
    </xf>
    <xf numFmtId="0" fontId="280" fillId="5" borderId="65" xfId="0" applyFont="1" applyFill="1" applyBorder="1" applyAlignment="1">
      <alignment horizontal="left"/>
    </xf>
    <xf numFmtId="0" fontId="280" fillId="5" borderId="11" xfId="0" applyFont="1" applyFill="1" applyBorder="1" applyAlignment="1">
      <alignment horizontal="left"/>
    </xf>
    <xf numFmtId="0" fontId="280" fillId="21" borderId="2" xfId="0" applyFont="1" applyFill="1" applyBorder="1" applyAlignment="1">
      <alignment horizontal="left"/>
    </xf>
    <xf numFmtId="0" fontId="280" fillId="5" borderId="2" xfId="0" applyFont="1" applyFill="1" applyBorder="1" applyAlignment="1">
      <alignment horizontal="left"/>
    </xf>
    <xf numFmtId="0" fontId="280" fillId="5" borderId="5" xfId="0" applyFont="1" applyFill="1" applyBorder="1" applyAlignment="1">
      <alignment horizontal="left"/>
    </xf>
    <xf numFmtId="0" fontId="280" fillId="5" borderId="8" xfId="0" applyFont="1" applyFill="1" applyBorder="1" applyAlignment="1">
      <alignment horizontal="left"/>
    </xf>
    <xf numFmtId="0" fontId="280" fillId="5" borderId="16" xfId="0" applyFont="1" applyFill="1" applyBorder="1" applyAlignment="1">
      <alignment horizontal="left"/>
    </xf>
    <xf numFmtId="9" fontId="280" fillId="5" borderId="2" xfId="0" applyNumberFormat="1" applyFont="1" applyFill="1" applyBorder="1" applyAlignment="1">
      <alignment horizontal="left"/>
    </xf>
    <xf numFmtId="0" fontId="280" fillId="5" borderId="43" xfId="0" applyFont="1" applyFill="1" applyBorder="1" applyAlignment="1">
      <alignment horizontal="left"/>
    </xf>
    <xf numFmtId="0" fontId="280" fillId="21" borderId="44" xfId="0" applyFont="1" applyFill="1" applyBorder="1" applyAlignment="1">
      <alignment horizontal="left"/>
    </xf>
    <xf numFmtId="0" fontId="280" fillId="5" borderId="44" xfId="0" applyFont="1" applyFill="1" applyBorder="1" applyAlignment="1">
      <alignment horizontal="left"/>
    </xf>
    <xf numFmtId="0" fontId="280" fillId="5" borderId="61" xfId="0" applyFont="1" applyFill="1" applyBorder="1" applyAlignment="1">
      <alignment horizontal="left"/>
    </xf>
    <xf numFmtId="0" fontId="280" fillId="5" borderId="66" xfId="0" applyFont="1" applyFill="1" applyBorder="1" applyAlignment="1">
      <alignment horizontal="left"/>
    </xf>
    <xf numFmtId="184" fontId="46" fillId="0" borderId="2" xfId="0" applyNumberFormat="1" applyFont="1" applyBorder="1" applyAlignment="1" applyProtection="1">
      <alignment horizontal="center" vertical="center"/>
      <protection locked="0"/>
    </xf>
    <xf numFmtId="0" fontId="74" fillId="6" borderId="10" xfId="0" applyFont="1" applyFill="1" applyBorder="1" applyAlignment="1" applyProtection="1">
      <alignment horizontal="left" vertical="center" wrapText="1"/>
      <protection locked="0"/>
    </xf>
    <xf numFmtId="0" fontId="163" fillId="5" borderId="0" xfId="0" applyFont="1" applyFill="1" applyAlignment="1">
      <alignment horizontal="center" vertical="center"/>
    </xf>
    <xf numFmtId="178" fontId="77" fillId="0" borderId="2" xfId="2" applyNumberFormat="1" applyFont="1" applyBorder="1" applyProtection="1">
      <alignment vertical="center"/>
      <protection locked="0"/>
    </xf>
    <xf numFmtId="177" fontId="282" fillId="0" borderId="0" xfId="5" applyNumberFormat="1" applyFont="1" applyAlignment="1">
      <alignment horizontal="left" vertical="center"/>
    </xf>
    <xf numFmtId="0" fontId="153" fillId="0" borderId="148" xfId="13" applyFont="1" applyBorder="1" applyAlignment="1">
      <alignment horizontal="left" vertical="center"/>
    </xf>
    <xf numFmtId="0" fontId="283" fillId="15" borderId="0" xfId="13" applyFont="1" applyFill="1" applyAlignment="1">
      <alignment horizontal="left" vertical="center"/>
    </xf>
    <xf numFmtId="0" fontId="82" fillId="5" borderId="2" xfId="13" applyFont="1" applyFill="1" applyBorder="1" applyAlignment="1">
      <alignment horizontal="left" vertical="center" wrapText="1"/>
    </xf>
    <xf numFmtId="0" fontId="91" fillId="22" borderId="2" xfId="13" applyFont="1" applyFill="1" applyBorder="1" applyAlignment="1">
      <alignment horizontal="left" vertical="center" wrapText="1"/>
    </xf>
    <xf numFmtId="0" fontId="82" fillId="16" borderId="159" xfId="13" applyFont="1" applyFill="1" applyBorder="1" applyAlignment="1">
      <alignment horizontal="left" vertical="center" wrapText="1"/>
    </xf>
    <xf numFmtId="0" fontId="230" fillId="0" borderId="0" xfId="13" applyFont="1">
      <alignment vertical="center"/>
    </xf>
    <xf numFmtId="0" fontId="153" fillId="0" borderId="0" xfId="13" applyFont="1">
      <alignment vertical="center"/>
    </xf>
    <xf numFmtId="0" fontId="153" fillId="23" borderId="0" xfId="13" applyFont="1" applyFill="1" applyAlignment="1">
      <alignment horizontal="left" vertical="center"/>
    </xf>
    <xf numFmtId="0" fontId="153" fillId="5" borderId="149" xfId="13" applyFont="1" applyFill="1" applyBorder="1" applyAlignment="1">
      <alignment horizontal="left" vertical="center"/>
    </xf>
    <xf numFmtId="0" fontId="153" fillId="5" borderId="148" xfId="13" applyFont="1" applyFill="1" applyBorder="1" applyAlignment="1">
      <alignment horizontal="left" vertical="center"/>
    </xf>
    <xf numFmtId="0" fontId="153" fillId="23" borderId="148" xfId="13" applyFont="1" applyFill="1" applyBorder="1" applyAlignment="1">
      <alignment horizontal="left" vertical="center"/>
    </xf>
    <xf numFmtId="0" fontId="277" fillId="15" borderId="122" xfId="13" applyFont="1" applyFill="1" applyBorder="1" applyAlignment="1">
      <alignment horizontal="left" vertical="center"/>
    </xf>
    <xf numFmtId="0" fontId="277" fillId="15" borderId="0" xfId="13" applyFont="1" applyFill="1" applyAlignment="1">
      <alignment horizontal="left" vertical="center"/>
    </xf>
    <xf numFmtId="0" fontId="277" fillId="23" borderId="0" xfId="13" applyFont="1" applyFill="1" applyAlignment="1">
      <alignment horizontal="left" vertical="center"/>
    </xf>
    <xf numFmtId="10" fontId="277" fillId="15" borderId="122" xfId="13" applyNumberFormat="1" applyFont="1" applyFill="1" applyBorder="1" applyAlignment="1">
      <alignment horizontal="left" vertical="center"/>
    </xf>
    <xf numFmtId="10" fontId="277" fillId="15" borderId="0" xfId="13" applyNumberFormat="1" applyFont="1" applyFill="1" applyAlignment="1">
      <alignment horizontal="left" vertical="center"/>
    </xf>
    <xf numFmtId="0" fontId="153" fillId="0" borderId="122" xfId="13" applyFont="1" applyBorder="1" applyAlignment="1">
      <alignment horizontal="left" vertical="center"/>
    </xf>
    <xf numFmtId="10" fontId="153" fillId="0" borderId="122" xfId="13" applyNumberFormat="1" applyFont="1" applyBorder="1" applyAlignment="1">
      <alignment horizontal="left" vertical="center"/>
    </xf>
    <xf numFmtId="10" fontId="153" fillId="0" borderId="0" xfId="13" applyNumberFormat="1" applyFont="1" applyAlignment="1">
      <alignment horizontal="left" vertical="center"/>
    </xf>
    <xf numFmtId="0" fontId="148" fillId="23" borderId="0" xfId="13" applyFont="1" applyFill="1" applyAlignment="1">
      <alignment horizontal="left" vertical="center"/>
    </xf>
    <xf numFmtId="10" fontId="148" fillId="0" borderId="122" xfId="13" applyNumberFormat="1" applyFont="1" applyBorder="1" applyAlignment="1">
      <alignment horizontal="left" vertical="center"/>
    </xf>
    <xf numFmtId="10" fontId="148" fillId="0" borderId="0" xfId="13" applyNumberFormat="1" applyFont="1" applyAlignment="1">
      <alignment horizontal="left" vertical="center"/>
    </xf>
    <xf numFmtId="0" fontId="153" fillId="22" borderId="0" xfId="13" applyFont="1" applyFill="1" applyAlignment="1">
      <alignment horizontal="left" vertical="center"/>
    </xf>
    <xf numFmtId="10" fontId="153" fillId="22" borderId="122" xfId="13" applyNumberFormat="1" applyFont="1" applyFill="1" applyBorder="1" applyAlignment="1">
      <alignment horizontal="left" vertical="center"/>
    </xf>
    <xf numFmtId="10" fontId="153" fillId="22" borderId="0" xfId="13" applyNumberFormat="1" applyFont="1" applyFill="1" applyAlignment="1">
      <alignment horizontal="left" vertical="center"/>
    </xf>
    <xf numFmtId="0" fontId="148" fillId="23" borderId="164" xfId="13" applyFont="1" applyFill="1" applyBorder="1" applyAlignment="1">
      <alignment horizontal="left" vertical="center"/>
    </xf>
    <xf numFmtId="10" fontId="148" fillId="16" borderId="165" xfId="13" applyNumberFormat="1" applyFont="1" applyFill="1" applyBorder="1" applyAlignment="1">
      <alignment horizontal="left" vertical="center"/>
    </xf>
    <xf numFmtId="10" fontId="148" fillId="16" borderId="164" xfId="13" applyNumberFormat="1" applyFont="1" applyFill="1" applyBorder="1" applyAlignment="1">
      <alignment horizontal="left" vertical="center"/>
    </xf>
    <xf numFmtId="0" fontId="257" fillId="15" borderId="0" xfId="13" applyFont="1" applyFill="1" applyAlignment="1">
      <alignment horizontal="left" vertical="center"/>
    </xf>
    <xf numFmtId="0" fontId="257" fillId="15" borderId="166" xfId="13" applyFont="1" applyFill="1" applyBorder="1" applyAlignment="1">
      <alignment horizontal="left" vertical="center"/>
    </xf>
    <xf numFmtId="0" fontId="148" fillId="0" borderId="0" xfId="13" applyFont="1" applyAlignment="1">
      <alignment horizontal="left" vertical="center"/>
    </xf>
    <xf numFmtId="0" fontId="148" fillId="0" borderId="166" xfId="13" applyFont="1" applyBorder="1" applyAlignment="1">
      <alignment horizontal="left" vertical="center"/>
    </xf>
    <xf numFmtId="0" fontId="148" fillId="0" borderId="167" xfId="13" applyFont="1" applyBorder="1" applyAlignment="1">
      <alignment horizontal="left" vertical="center"/>
    </xf>
    <xf numFmtId="0" fontId="148" fillId="0" borderId="168" xfId="13" applyFont="1" applyBorder="1" applyAlignment="1">
      <alignment horizontal="left" vertical="center"/>
    </xf>
    <xf numFmtId="0" fontId="148" fillId="16" borderId="164" xfId="13" applyFont="1" applyFill="1" applyBorder="1" applyAlignment="1">
      <alignment horizontal="left" vertical="center"/>
    </xf>
    <xf numFmtId="10" fontId="257" fillId="15" borderId="0" xfId="13" applyNumberFormat="1" applyFont="1" applyFill="1" applyAlignment="1">
      <alignment horizontal="left" vertical="center"/>
    </xf>
    <xf numFmtId="10" fontId="257" fillId="15" borderId="166" xfId="13" applyNumberFormat="1" applyFont="1" applyFill="1" applyBorder="1" applyAlignment="1">
      <alignment horizontal="left" vertical="center"/>
    </xf>
    <xf numFmtId="10" fontId="257" fillId="15" borderId="167" xfId="13" applyNumberFormat="1" applyFont="1" applyFill="1" applyBorder="1" applyAlignment="1">
      <alignment horizontal="left" vertical="center"/>
    </xf>
    <xf numFmtId="10" fontId="257" fillId="15" borderId="168" xfId="13" applyNumberFormat="1" applyFont="1" applyFill="1" applyBorder="1" applyAlignment="1">
      <alignment horizontal="left" vertical="center"/>
    </xf>
    <xf numFmtId="10" fontId="148" fillId="0" borderId="166" xfId="13" applyNumberFormat="1" applyFont="1" applyBorder="1" applyAlignment="1">
      <alignment horizontal="left" vertical="center"/>
    </xf>
    <xf numFmtId="10" fontId="148" fillId="0" borderId="167" xfId="13" applyNumberFormat="1" applyFont="1" applyBorder="1" applyAlignment="1">
      <alignment horizontal="left" vertical="center"/>
    </xf>
    <xf numFmtId="10" fontId="148" fillId="0" borderId="168" xfId="13" applyNumberFormat="1" applyFont="1" applyBorder="1" applyAlignment="1">
      <alignment horizontal="left" vertical="center"/>
    </xf>
    <xf numFmtId="10" fontId="153" fillId="22" borderId="166" xfId="13" applyNumberFormat="1" applyFont="1" applyFill="1" applyBorder="1" applyAlignment="1">
      <alignment horizontal="left" vertical="center"/>
    </xf>
    <xf numFmtId="10" fontId="153" fillId="22" borderId="167" xfId="13" applyNumberFormat="1" applyFont="1" applyFill="1" applyBorder="1" applyAlignment="1">
      <alignment horizontal="left" vertical="center"/>
    </xf>
    <xf numFmtId="10" fontId="153" fillId="22" borderId="168" xfId="13" applyNumberFormat="1" applyFont="1" applyFill="1" applyBorder="1" applyAlignment="1">
      <alignment horizontal="left" vertical="center"/>
    </xf>
    <xf numFmtId="10" fontId="148" fillId="16" borderId="169" xfId="13" applyNumberFormat="1" applyFont="1" applyFill="1" applyBorder="1" applyAlignment="1">
      <alignment horizontal="left" vertical="center"/>
    </xf>
    <xf numFmtId="10" fontId="148" fillId="16" borderId="170" xfId="13" applyNumberFormat="1" applyFont="1" applyFill="1" applyBorder="1" applyAlignment="1">
      <alignment horizontal="left" vertical="center"/>
    </xf>
    <xf numFmtId="10" fontId="148" fillId="16" borderId="171" xfId="13" applyNumberFormat="1" applyFont="1" applyFill="1" applyBorder="1" applyAlignment="1">
      <alignment horizontal="left" vertical="center"/>
    </xf>
    <xf numFmtId="14" fontId="0" fillId="5" borderId="0" xfId="0" applyNumberFormat="1" applyFill="1">
      <alignment vertical="center"/>
    </xf>
    <xf numFmtId="0" fontId="153" fillId="0" borderId="122" xfId="13" applyFont="1" applyBorder="1" applyAlignment="1" applyProtection="1">
      <alignment horizontal="left" vertical="center"/>
      <protection locked="0"/>
    </xf>
    <xf numFmtId="0" fontId="153" fillId="0" borderId="0" xfId="13" applyFont="1" applyAlignment="1" applyProtection="1">
      <alignment horizontal="left" vertical="center"/>
      <protection locked="0"/>
    </xf>
    <xf numFmtId="0" fontId="232" fillId="11" borderId="123" xfId="13" applyFont="1" applyFill="1" applyBorder="1" applyAlignment="1" applyProtection="1">
      <alignment horizontal="left" vertical="center" wrapText="1"/>
      <protection locked="0"/>
    </xf>
    <xf numFmtId="0" fontId="232" fillId="12" borderId="124" xfId="13" applyFont="1" applyFill="1" applyBorder="1" applyAlignment="1" applyProtection="1">
      <alignment horizontal="left" vertical="center" wrapText="1"/>
      <protection locked="0"/>
    </xf>
    <xf numFmtId="0" fontId="232" fillId="12" borderId="128" xfId="13" applyFont="1" applyFill="1" applyBorder="1" applyAlignment="1" applyProtection="1">
      <alignment horizontal="left" vertical="center" wrapText="1"/>
      <protection locked="0"/>
    </xf>
    <xf numFmtId="0" fontId="284" fillId="22" borderId="123" xfId="13" applyFont="1" applyFill="1" applyBorder="1" applyAlignment="1" applyProtection="1">
      <alignment horizontal="left" vertical="center" wrapText="1"/>
      <protection locked="0"/>
    </xf>
    <xf numFmtId="0" fontId="284" fillId="22" borderId="124" xfId="13" applyFont="1" applyFill="1" applyBorder="1" applyAlignment="1" applyProtection="1">
      <alignment horizontal="left" vertical="center" wrapText="1"/>
      <protection locked="0"/>
    </xf>
    <xf numFmtId="0" fontId="284" fillId="22" borderId="133" xfId="13" applyFont="1" applyFill="1" applyBorder="1" applyAlignment="1" applyProtection="1">
      <alignment horizontal="left" vertical="center" wrapText="1"/>
      <protection locked="0"/>
    </xf>
    <xf numFmtId="0" fontId="284" fillId="22" borderId="128" xfId="13" applyFont="1" applyFill="1" applyBorder="1" applyAlignment="1" applyProtection="1">
      <alignment horizontal="left" vertical="center" wrapText="1"/>
      <protection locked="0"/>
    </xf>
    <xf numFmtId="0" fontId="232" fillId="12" borderId="133" xfId="13" applyFont="1" applyFill="1" applyBorder="1" applyAlignment="1" applyProtection="1">
      <alignment horizontal="left" vertical="center" wrapText="1"/>
      <protection locked="0"/>
    </xf>
    <xf numFmtId="0" fontId="232" fillId="16" borderId="160" xfId="13" applyFont="1" applyFill="1" applyBorder="1" applyAlignment="1" applyProtection="1">
      <alignment horizontal="left" vertical="center" wrapText="1"/>
      <protection locked="0"/>
    </xf>
    <xf numFmtId="0" fontId="232" fillId="16" borderId="161" xfId="13" applyFont="1" applyFill="1" applyBorder="1" applyAlignment="1" applyProtection="1">
      <alignment horizontal="left" vertical="center" wrapText="1"/>
      <protection locked="0"/>
    </xf>
    <xf numFmtId="0" fontId="232" fillId="16" borderId="162" xfId="13" applyFont="1" applyFill="1" applyBorder="1" applyAlignment="1" applyProtection="1">
      <alignment horizontal="left" vertical="center" wrapText="1"/>
      <protection locked="0"/>
    </xf>
    <xf numFmtId="0" fontId="232" fillId="16" borderId="163" xfId="13" applyFont="1" applyFill="1" applyBorder="1" applyAlignment="1" applyProtection="1">
      <alignment horizontal="left" vertical="center" wrapText="1"/>
      <protection locked="0"/>
    </xf>
    <xf numFmtId="0" fontId="286" fillId="5" borderId="66" xfId="0" applyFont="1" applyFill="1" applyBorder="1" applyAlignment="1">
      <alignment horizontal="right" vertical="center"/>
    </xf>
    <xf numFmtId="0" fontId="287" fillId="5" borderId="28" xfId="0" applyFont="1" applyFill="1" applyBorder="1" applyAlignment="1">
      <alignment horizontal="left" vertical="center"/>
    </xf>
    <xf numFmtId="0" fontId="285" fillId="5" borderId="29" xfId="0" applyFont="1" applyFill="1" applyBorder="1" applyAlignment="1">
      <alignment horizontal="left" vertical="center"/>
    </xf>
    <xf numFmtId="0" fontId="285" fillId="5" borderId="44" xfId="0" applyFont="1" applyFill="1" applyBorder="1" applyAlignment="1">
      <alignment horizontal="left" vertical="center"/>
    </xf>
    <xf numFmtId="0" fontId="285" fillId="5" borderId="45" xfId="0" applyFont="1" applyFill="1" applyBorder="1" applyAlignment="1">
      <alignment horizontal="left" vertical="center"/>
    </xf>
    <xf numFmtId="0" fontId="286" fillId="5" borderId="61" xfId="0" applyFont="1" applyFill="1" applyBorder="1" applyAlignment="1">
      <alignment horizontal="left" vertical="center"/>
    </xf>
    <xf numFmtId="0" fontId="161" fillId="5" borderId="53" xfId="3" applyFont="1" applyFill="1" applyBorder="1" applyAlignment="1">
      <alignment horizontal="left" vertical="center" wrapText="1"/>
    </xf>
    <xf numFmtId="0" fontId="161" fillId="5" borderId="6" xfId="3" applyFont="1" applyFill="1" applyBorder="1" applyAlignment="1">
      <alignment horizontal="left" vertical="center" wrapText="1"/>
    </xf>
    <xf numFmtId="0" fontId="161" fillId="5" borderId="29" xfId="3" applyFont="1" applyFill="1" applyBorder="1" applyAlignment="1">
      <alignment horizontal="left" vertical="center" wrapText="1"/>
    </xf>
    <xf numFmtId="0" fontId="161" fillId="5" borderId="2" xfId="3" applyFont="1" applyFill="1" applyBorder="1" applyAlignment="1">
      <alignment horizontal="left" vertical="center" wrapText="1"/>
    </xf>
    <xf numFmtId="0" fontId="161" fillId="5" borderId="17" xfId="3" applyFont="1" applyFill="1" applyBorder="1" applyAlignment="1">
      <alignment horizontal="left" vertical="center" wrapText="1"/>
    </xf>
    <xf numFmtId="0" fontId="161" fillId="5" borderId="55" xfId="3" applyFont="1" applyFill="1" applyBorder="1" applyAlignment="1">
      <alignment horizontal="left" vertical="center" wrapText="1"/>
    </xf>
    <xf numFmtId="0" fontId="161" fillId="5" borderId="44" xfId="3" applyFont="1" applyFill="1" applyBorder="1" applyAlignment="1">
      <alignment horizontal="left" vertical="center" wrapText="1"/>
    </xf>
    <xf numFmtId="0" fontId="161" fillId="5" borderId="45" xfId="3" applyFont="1" applyFill="1" applyBorder="1" applyAlignment="1">
      <alignment horizontal="left" vertical="center" wrapText="1"/>
    </xf>
    <xf numFmtId="0" fontId="156" fillId="5" borderId="45" xfId="3" applyFont="1" applyFill="1" applyBorder="1" applyAlignment="1">
      <alignment horizontal="left" vertical="center"/>
    </xf>
    <xf numFmtId="0" fontId="161" fillId="5" borderId="5" xfId="3" applyFont="1" applyFill="1" applyBorder="1" applyAlignment="1">
      <alignment horizontal="left" vertical="center" wrapText="1"/>
    </xf>
    <xf numFmtId="0" fontId="156" fillId="5" borderId="5" xfId="3" applyFont="1" applyFill="1" applyBorder="1" applyAlignment="1">
      <alignment horizontal="left" vertical="center"/>
    </xf>
    <xf numFmtId="0" fontId="141" fillId="5" borderId="5" xfId="3" applyFill="1" applyBorder="1" applyAlignment="1">
      <alignment horizontal="left" vertical="center"/>
    </xf>
    <xf numFmtId="0" fontId="141" fillId="5" borderId="2" xfId="3" applyFill="1" applyBorder="1" applyAlignment="1">
      <alignment horizontal="left" vertical="center"/>
    </xf>
    <xf numFmtId="0" fontId="141" fillId="5" borderId="0" xfId="3" applyFill="1" applyAlignment="1">
      <alignment horizontal="left" vertical="center"/>
    </xf>
    <xf numFmtId="0" fontId="161" fillId="5" borderId="4" xfId="3" applyFont="1" applyFill="1" applyBorder="1" applyAlignment="1">
      <alignment horizontal="left" vertical="center" wrapText="1"/>
    </xf>
    <xf numFmtId="0" fontId="156" fillId="5" borderId="4" xfId="3" applyFont="1" applyFill="1" applyBorder="1" applyAlignment="1">
      <alignment horizontal="left" vertical="center"/>
    </xf>
    <xf numFmtId="0" fontId="161" fillId="5" borderId="12" xfId="3" applyFont="1" applyFill="1" applyBorder="1" applyAlignment="1">
      <alignment horizontal="left" vertical="center" wrapText="1"/>
    </xf>
    <xf numFmtId="0" fontId="161" fillId="5" borderId="24" xfId="3" applyFont="1" applyFill="1" applyBorder="1" applyAlignment="1">
      <alignment horizontal="left" vertical="center" wrapText="1"/>
    </xf>
    <xf numFmtId="0" fontId="161" fillId="5" borderId="43" xfId="3" applyFont="1" applyFill="1" applyBorder="1" applyAlignment="1">
      <alignment horizontal="left" vertical="center" wrapText="1"/>
    </xf>
    <xf numFmtId="0" fontId="161" fillId="5" borderId="46" xfId="3" applyFont="1" applyFill="1" applyBorder="1" applyAlignment="1">
      <alignment horizontal="left" vertical="center" wrapText="1"/>
    </xf>
    <xf numFmtId="0" fontId="141" fillId="5" borderId="17" xfId="3" applyFill="1" applyBorder="1" applyAlignment="1">
      <alignment horizontal="left" vertical="center"/>
    </xf>
    <xf numFmtId="0" fontId="141" fillId="5" borderId="4" xfId="3" applyFill="1" applyBorder="1" applyAlignment="1">
      <alignment horizontal="left" vertical="center"/>
    </xf>
    <xf numFmtId="0" fontId="141" fillId="5" borderId="46" xfId="3" applyFill="1" applyBorder="1" applyAlignment="1">
      <alignment horizontal="left" vertical="center"/>
    </xf>
    <xf numFmtId="0" fontId="161" fillId="5" borderId="11" xfId="3" applyFont="1" applyFill="1" applyBorder="1" applyAlignment="1">
      <alignment horizontal="left" vertical="center" wrapText="1"/>
    </xf>
    <xf numFmtId="0" fontId="141" fillId="5" borderId="12" xfId="3" applyFill="1" applyBorder="1" applyAlignment="1">
      <alignment horizontal="left" vertical="center"/>
    </xf>
    <xf numFmtId="0" fontId="161" fillId="5" borderId="13" xfId="3" applyFont="1" applyFill="1" applyBorder="1" applyAlignment="1">
      <alignment horizontal="left" vertical="center" wrapText="1"/>
    </xf>
    <xf numFmtId="0" fontId="141" fillId="5" borderId="44" xfId="3" applyFill="1" applyBorder="1" applyAlignment="1">
      <alignment horizontal="left" vertical="center"/>
    </xf>
    <xf numFmtId="0" fontId="141" fillId="5" borderId="10" xfId="3" applyFill="1" applyBorder="1" applyAlignment="1">
      <alignment horizontal="left" vertical="center"/>
    </xf>
    <xf numFmtId="0" fontId="141" fillId="5" borderId="1" xfId="3" applyFill="1" applyBorder="1" applyAlignment="1">
      <alignment horizontal="left" vertical="center"/>
    </xf>
    <xf numFmtId="0" fontId="141" fillId="5" borderId="6" xfId="3" applyFill="1" applyBorder="1" applyAlignment="1">
      <alignment horizontal="left" vertical="center"/>
    </xf>
    <xf numFmtId="0" fontId="141" fillId="5" borderId="7" xfId="3" applyFill="1" applyBorder="1" applyAlignment="1">
      <alignment horizontal="left" vertical="center"/>
    </xf>
    <xf numFmtId="0" fontId="141" fillId="5" borderId="11" xfId="3" applyFill="1" applyBorder="1" applyAlignment="1">
      <alignment horizontal="left" vertical="center"/>
    </xf>
    <xf numFmtId="0" fontId="141" fillId="5" borderId="43" xfId="3" applyFill="1" applyBorder="1" applyAlignment="1">
      <alignment horizontal="left" vertical="center"/>
    </xf>
    <xf numFmtId="0" fontId="141" fillId="5" borderId="22" xfId="3" applyFill="1" applyBorder="1" applyAlignment="1">
      <alignment horizontal="left" vertical="center"/>
    </xf>
    <xf numFmtId="0" fontId="141" fillId="5" borderId="25" xfId="3" applyFill="1" applyBorder="1" applyAlignment="1">
      <alignment horizontal="left" vertical="center"/>
    </xf>
    <xf numFmtId="0" fontId="141" fillId="5" borderId="53" xfId="3" applyFill="1" applyBorder="1" applyAlignment="1">
      <alignment horizontal="left" vertical="center"/>
    </xf>
    <xf numFmtId="0" fontId="141" fillId="5" borderId="27" xfId="3" applyFill="1" applyBorder="1" applyAlignment="1">
      <alignment horizontal="left" vertical="center"/>
    </xf>
    <xf numFmtId="0" fontId="141" fillId="5" borderId="41" xfId="3" applyFill="1" applyBorder="1" applyAlignment="1">
      <alignment horizontal="left" vertical="center"/>
    </xf>
    <xf numFmtId="0" fontId="141" fillId="5" borderId="31" xfId="3" applyFill="1" applyBorder="1" applyAlignment="1">
      <alignment horizontal="left" vertical="center"/>
    </xf>
    <xf numFmtId="0" fontId="161" fillId="5" borderId="9" xfId="3" applyFont="1" applyFill="1" applyBorder="1" applyAlignment="1">
      <alignment horizontal="left" vertical="center" wrapText="1"/>
    </xf>
    <xf numFmtId="0" fontId="161" fillId="5" borderId="20" xfId="3" applyFont="1" applyFill="1" applyBorder="1" applyAlignment="1">
      <alignment horizontal="left" vertical="center" wrapText="1"/>
    </xf>
    <xf numFmtId="0" fontId="206" fillId="5" borderId="13" xfId="0" applyFont="1" applyFill="1" applyBorder="1" applyAlignment="1">
      <alignment horizontal="left" vertical="center" wrapText="1"/>
    </xf>
    <xf numFmtId="0" fontId="0" fillId="5" borderId="0" xfId="0" applyFill="1" applyAlignment="1">
      <alignment horizontal="left" vertical="center"/>
    </xf>
    <xf numFmtId="0" fontId="195" fillId="5" borderId="0" xfId="0" applyFont="1" applyFill="1" applyAlignment="1">
      <alignment horizontal="left" vertical="center"/>
    </xf>
    <xf numFmtId="0" fontId="162" fillId="5" borderId="40" xfId="0" applyFont="1" applyFill="1" applyBorder="1" applyAlignment="1">
      <alignment horizontal="left" vertical="center"/>
    </xf>
    <xf numFmtId="0" fontId="162" fillId="5" borderId="53" xfId="0" applyFont="1" applyFill="1" applyBorder="1" applyAlignment="1">
      <alignment horizontal="left" vertical="center" wrapText="1"/>
    </xf>
    <xf numFmtId="0" fontId="162" fillId="5" borderId="10" xfId="0" applyFont="1" applyFill="1" applyBorder="1" applyAlignment="1">
      <alignment horizontal="left" vertical="center"/>
    </xf>
    <xf numFmtId="0" fontId="161" fillId="5" borderId="1" xfId="0" applyFont="1" applyFill="1" applyBorder="1" applyAlignment="1">
      <alignment horizontal="left" vertical="center" wrapText="1"/>
    </xf>
    <xf numFmtId="0" fontId="288" fillId="5" borderId="6" xfId="0" applyFont="1" applyFill="1" applyBorder="1" applyAlignment="1">
      <alignment horizontal="left" vertical="center" wrapText="1"/>
    </xf>
    <xf numFmtId="10" fontId="289" fillId="5" borderId="6" xfId="0" applyNumberFormat="1" applyFont="1" applyFill="1" applyBorder="1" applyAlignment="1">
      <alignment horizontal="left" vertical="center" wrapText="1"/>
    </xf>
    <xf numFmtId="10" fontId="289" fillId="5" borderId="7" xfId="0" applyNumberFormat="1" applyFont="1" applyFill="1" applyBorder="1" applyAlignment="1">
      <alignment horizontal="left" vertical="center" wrapText="1"/>
    </xf>
    <xf numFmtId="0" fontId="161" fillId="5" borderId="11" xfId="0" applyFont="1" applyFill="1" applyBorder="1" applyAlignment="1">
      <alignment horizontal="left" vertical="center" wrapText="1"/>
    </xf>
    <xf numFmtId="0" fontId="288" fillId="5" borderId="2" xfId="0" applyFont="1" applyFill="1" applyBorder="1" applyAlignment="1">
      <alignment horizontal="left" vertical="center" wrapText="1"/>
    </xf>
    <xf numFmtId="10" fontId="289" fillId="5" borderId="2" xfId="0" applyNumberFormat="1" applyFont="1" applyFill="1" applyBorder="1" applyAlignment="1">
      <alignment horizontal="left" vertical="center" wrapText="1"/>
    </xf>
    <xf numFmtId="10" fontId="289" fillId="5" borderId="12" xfId="0" applyNumberFormat="1" applyFont="1" applyFill="1" applyBorder="1" applyAlignment="1">
      <alignment horizontal="left" vertical="center" wrapText="1"/>
    </xf>
    <xf numFmtId="0" fontId="161" fillId="5" borderId="22" xfId="0" applyFont="1" applyFill="1" applyBorder="1" applyAlignment="1">
      <alignment horizontal="left" vertical="center" wrapText="1"/>
    </xf>
    <xf numFmtId="0" fontId="288" fillId="5" borderId="10" xfId="0" applyFont="1" applyFill="1" applyBorder="1" applyAlignment="1">
      <alignment horizontal="left" vertical="center" wrapText="1"/>
    </xf>
    <xf numFmtId="10" fontId="289" fillId="5" borderId="10" xfId="0" applyNumberFormat="1" applyFont="1" applyFill="1" applyBorder="1" applyAlignment="1">
      <alignment horizontal="left" vertical="center" wrapText="1"/>
    </xf>
    <xf numFmtId="10" fontId="0" fillId="5" borderId="10" xfId="0" applyNumberFormat="1" applyFill="1" applyBorder="1" applyAlignment="1">
      <alignment horizontal="left" vertical="center"/>
    </xf>
    <xf numFmtId="10" fontId="289" fillId="5" borderId="25" xfId="0" applyNumberFormat="1" applyFont="1" applyFill="1" applyBorder="1" applyAlignment="1">
      <alignment horizontal="left" vertical="center" wrapText="1"/>
    </xf>
    <xf numFmtId="0" fontId="290" fillId="5" borderId="2" xfId="0" applyFont="1" applyFill="1" applyBorder="1" applyAlignment="1">
      <alignment horizontal="left" vertical="center" wrapText="1"/>
    </xf>
    <xf numFmtId="0" fontId="290" fillId="5" borderId="10" xfId="0" applyFont="1" applyFill="1" applyBorder="1" applyAlignment="1">
      <alignment horizontal="left" vertical="center" wrapText="1"/>
    </xf>
    <xf numFmtId="0" fontId="288" fillId="5" borderId="1" xfId="0" applyFont="1" applyFill="1" applyBorder="1" applyAlignment="1">
      <alignment horizontal="left" vertical="center" wrapText="1"/>
    </xf>
    <xf numFmtId="0" fontId="288" fillId="5" borderId="11" xfId="0" applyFont="1" applyFill="1" applyBorder="1" applyAlignment="1">
      <alignment horizontal="left" vertical="center" wrapText="1"/>
    </xf>
    <xf numFmtId="10" fontId="0" fillId="5" borderId="2" xfId="0" applyNumberFormat="1" applyFill="1" applyBorder="1" applyAlignment="1">
      <alignment horizontal="left" vertical="center"/>
    </xf>
    <xf numFmtId="10" fontId="0" fillId="5" borderId="12" xfId="0" applyNumberFormat="1" applyFill="1" applyBorder="1" applyAlignment="1">
      <alignment horizontal="left" vertical="center"/>
    </xf>
    <xf numFmtId="0" fontId="288" fillId="5" borderId="22" xfId="0" applyFont="1" applyFill="1" applyBorder="1" applyAlignment="1">
      <alignment horizontal="left" vertical="center" wrapText="1"/>
    </xf>
    <xf numFmtId="10" fontId="148" fillId="5" borderId="10" xfId="0" applyNumberFormat="1" applyFont="1" applyFill="1" applyBorder="1" applyAlignment="1">
      <alignment horizontal="left" vertical="center" wrapText="1"/>
    </xf>
    <xf numFmtId="10" fontId="0" fillId="5" borderId="25" xfId="0" applyNumberFormat="1" applyFill="1" applyBorder="1" applyAlignment="1">
      <alignment horizontal="left" vertical="center"/>
    </xf>
    <xf numFmtId="10" fontId="148" fillId="5" borderId="2" xfId="0" applyNumberFormat="1" applyFont="1" applyFill="1" applyBorder="1" applyAlignment="1">
      <alignment horizontal="left" vertical="center" wrapText="1"/>
    </xf>
    <xf numFmtId="10" fontId="148" fillId="5" borderId="12" xfId="0" applyNumberFormat="1" applyFont="1" applyFill="1" applyBorder="1" applyAlignment="1">
      <alignment horizontal="left" vertical="center" wrapText="1"/>
    </xf>
    <xf numFmtId="10" fontId="148" fillId="5" borderId="25" xfId="0" applyNumberFormat="1" applyFont="1" applyFill="1" applyBorder="1" applyAlignment="1">
      <alignment horizontal="left" vertical="center" wrapText="1"/>
    </xf>
    <xf numFmtId="195" fontId="288" fillId="5" borderId="2" xfId="17" applyFont="1" applyFill="1" applyBorder="1" applyAlignment="1">
      <alignment horizontal="left" vertical="center" wrapText="1"/>
    </xf>
    <xf numFmtId="0" fontId="288" fillId="5" borderId="43" xfId="0" applyFont="1" applyFill="1" applyBorder="1" applyAlignment="1">
      <alignment horizontal="left" vertical="center" wrapText="1"/>
    </xf>
    <xf numFmtId="0" fontId="288" fillId="5" borderId="44" xfId="0" applyFont="1" applyFill="1" applyBorder="1" applyAlignment="1">
      <alignment horizontal="left" vertical="center" wrapText="1"/>
    </xf>
    <xf numFmtId="10" fontId="289" fillId="5" borderId="44" xfId="0" applyNumberFormat="1" applyFont="1" applyFill="1" applyBorder="1" applyAlignment="1">
      <alignment horizontal="left" vertical="center" wrapText="1"/>
    </xf>
    <xf numFmtId="10" fontId="289" fillId="5" borderId="46" xfId="0" applyNumberFormat="1" applyFont="1" applyFill="1" applyBorder="1" applyAlignment="1">
      <alignment horizontal="left" vertical="center" wrapText="1"/>
    </xf>
    <xf numFmtId="0" fontId="291" fillId="0" borderId="0" xfId="0" applyFont="1" applyAlignment="1">
      <alignment horizontal="left" vertical="center"/>
    </xf>
    <xf numFmtId="0" fontId="141" fillId="0" borderId="0" xfId="0" applyFont="1" applyAlignment="1">
      <alignment horizontal="right" vertical="center"/>
    </xf>
    <xf numFmtId="0" fontId="292" fillId="0" borderId="2" xfId="0" applyFont="1" applyBorder="1" applyAlignment="1">
      <alignment horizontal="left" vertical="center"/>
    </xf>
    <xf numFmtId="0" fontId="292" fillId="0" borderId="2" xfId="0" applyFont="1" applyBorder="1" applyAlignment="1">
      <alignment horizontal="left" vertical="center" wrapText="1"/>
    </xf>
    <xf numFmtId="0" fontId="293" fillId="0" borderId="2" xfId="0" applyFont="1" applyBorder="1" applyAlignment="1">
      <alignment horizontal="left" vertical="center"/>
    </xf>
    <xf numFmtId="0" fontId="294" fillId="0" borderId="2" xfId="0" applyFont="1" applyBorder="1" applyAlignment="1">
      <alignment horizontal="left" vertical="center" wrapText="1"/>
    </xf>
    <xf numFmtId="0" fontId="91" fillId="5" borderId="83" xfId="0" applyFont="1" applyFill="1" applyBorder="1" applyAlignment="1">
      <alignment horizontal="left" vertical="center" wrapText="1"/>
    </xf>
    <xf numFmtId="0" fontId="82" fillId="5" borderId="49" xfId="0" applyFont="1" applyFill="1" applyBorder="1" applyAlignment="1">
      <alignment horizontal="left" vertical="center" wrapText="1"/>
    </xf>
    <xf numFmtId="0" fontId="123" fillId="5" borderId="49" xfId="0" applyFont="1" applyFill="1" applyBorder="1" applyAlignment="1" applyProtection="1">
      <alignment horizontal="left" vertical="center"/>
      <protection locked="0"/>
    </xf>
    <xf numFmtId="0" fontId="82" fillId="5" borderId="37" xfId="0" applyFont="1" applyFill="1" applyBorder="1" applyAlignment="1" applyProtection="1">
      <alignment horizontal="left" vertical="center"/>
      <protection locked="0"/>
    </xf>
    <xf numFmtId="0" fontId="82" fillId="5" borderId="37" xfId="0" applyFont="1" applyFill="1" applyBorder="1" applyAlignment="1" applyProtection="1">
      <alignment horizontal="left" vertical="center" wrapText="1"/>
      <protection locked="0"/>
    </xf>
    <xf numFmtId="0" fontId="82" fillId="5" borderId="38" xfId="0" applyFont="1" applyFill="1" applyBorder="1" applyAlignment="1" applyProtection="1">
      <alignment horizontal="left" vertical="center" wrapText="1"/>
      <protection locked="0"/>
    </xf>
    <xf numFmtId="0" fontId="82" fillId="0" borderId="49" xfId="0" applyFont="1" applyBorder="1" applyAlignment="1" applyProtection="1">
      <alignment horizontal="left" vertical="center" wrapText="1"/>
      <protection locked="0"/>
    </xf>
    <xf numFmtId="0" fontId="82" fillId="0" borderId="10" xfId="0" applyFont="1" applyBorder="1" applyAlignment="1" applyProtection="1">
      <alignment horizontal="left" vertical="center" wrapText="1"/>
      <protection locked="0"/>
    </xf>
    <xf numFmtId="0" fontId="82" fillId="0" borderId="25" xfId="0" applyFont="1" applyBorder="1" applyAlignment="1" applyProtection="1">
      <alignment horizontal="left" vertical="center" wrapText="1"/>
      <protection locked="0"/>
    </xf>
    <xf numFmtId="0" fontId="80" fillId="5" borderId="0" xfId="0" applyFont="1" applyFill="1" applyAlignment="1">
      <alignment horizontal="left" vertical="center" wrapText="1"/>
    </xf>
    <xf numFmtId="0" fontId="82" fillId="5" borderId="0" xfId="0" applyFont="1" applyFill="1" applyAlignment="1">
      <alignment horizontal="left" vertical="center" wrapText="1"/>
    </xf>
    <xf numFmtId="0" fontId="154" fillId="5" borderId="19" xfId="0" applyFont="1" applyFill="1" applyBorder="1" applyAlignment="1">
      <alignment horizontal="left" vertical="center"/>
    </xf>
    <xf numFmtId="0" fontId="154" fillId="5" borderId="63" xfId="0" applyFont="1" applyFill="1" applyBorder="1" applyAlignment="1">
      <alignment horizontal="left" vertical="center"/>
    </xf>
    <xf numFmtId="49" fontId="132" fillId="5" borderId="33" xfId="0" applyNumberFormat="1" applyFont="1" applyFill="1" applyBorder="1" applyAlignment="1">
      <alignment horizontal="left" vertical="center" wrapText="1"/>
    </xf>
    <xf numFmtId="0" fontId="91" fillId="5" borderId="49" xfId="3" applyFont="1" applyFill="1" applyBorder="1" applyAlignment="1">
      <alignment horizontal="left" vertical="center"/>
    </xf>
    <xf numFmtId="0" fontId="180" fillId="5" borderId="49" xfId="3" applyFont="1" applyFill="1" applyBorder="1" applyAlignment="1">
      <alignment horizontal="left" vertical="center"/>
    </xf>
    <xf numFmtId="0" fontId="39" fillId="5" borderId="37" xfId="3" applyFont="1" applyFill="1" applyBorder="1" applyAlignment="1">
      <alignment horizontal="left" vertical="center" wrapText="1"/>
    </xf>
    <xf numFmtId="0" fontId="39" fillId="5" borderId="38" xfId="3" applyFont="1" applyFill="1" applyBorder="1" applyAlignment="1">
      <alignment horizontal="left" vertical="center" wrapText="1"/>
    </xf>
    <xf numFmtId="49" fontId="217" fillId="5" borderId="33" xfId="0" applyNumberFormat="1" applyFont="1" applyFill="1" applyBorder="1" applyAlignment="1">
      <alignment horizontal="left" vertical="center" wrapText="1"/>
    </xf>
    <xf numFmtId="0" fontId="91" fillId="5" borderId="29" xfId="3" applyFont="1" applyFill="1" applyBorder="1" applyAlignment="1">
      <alignment horizontal="left" vertical="center" wrapText="1"/>
    </xf>
    <xf numFmtId="0" fontId="39" fillId="5" borderId="6" xfId="3" applyFont="1" applyFill="1" applyBorder="1" applyAlignment="1">
      <alignment horizontal="left" vertical="center" wrapText="1"/>
    </xf>
    <xf numFmtId="0" fontId="82" fillId="0" borderId="6" xfId="3" applyFont="1" applyBorder="1" applyAlignment="1" applyProtection="1">
      <alignment horizontal="left" vertical="center" wrapText="1"/>
      <protection locked="0"/>
    </xf>
    <xf numFmtId="0" fontId="39" fillId="5" borderId="28" xfId="3" applyFont="1" applyFill="1" applyBorder="1" applyAlignment="1">
      <alignment horizontal="left" vertical="center" wrapText="1"/>
    </xf>
    <xf numFmtId="0" fontId="39" fillId="5" borderId="39" xfId="3" applyFont="1" applyFill="1" applyBorder="1" applyAlignment="1">
      <alignment horizontal="left" vertical="center" wrapText="1"/>
    </xf>
    <xf numFmtId="49" fontId="122" fillId="5" borderId="24" xfId="0" applyNumberFormat="1" applyFont="1" applyFill="1" applyBorder="1" applyAlignment="1">
      <alignment horizontal="left" vertical="center" wrapText="1"/>
    </xf>
    <xf numFmtId="0" fontId="82" fillId="6" borderId="2" xfId="3" applyFont="1" applyFill="1" applyBorder="1" applyAlignment="1" applyProtection="1">
      <alignment horizontal="left" vertical="center" wrapText="1"/>
      <protection locked="0"/>
    </xf>
    <xf numFmtId="0" fontId="82" fillId="5" borderId="21" xfId="3" applyFont="1" applyFill="1" applyBorder="1" applyAlignment="1">
      <alignment horizontal="left" vertical="center" wrapText="1"/>
    </xf>
    <xf numFmtId="0" fontId="82" fillId="5" borderId="17" xfId="3" applyFont="1" applyFill="1" applyBorder="1" applyAlignment="1">
      <alignment horizontal="left" vertical="center" wrapText="1"/>
    </xf>
    <xf numFmtId="0" fontId="39" fillId="5" borderId="5" xfId="3" applyFont="1" applyFill="1" applyBorder="1" applyAlignment="1">
      <alignment horizontal="left" vertical="center"/>
    </xf>
    <xf numFmtId="0" fontId="39" fillId="5" borderId="8" xfId="3" applyFont="1" applyFill="1" applyBorder="1" applyAlignment="1">
      <alignment horizontal="left" vertical="center" wrapText="1"/>
    </xf>
    <xf numFmtId="0" fontId="39" fillId="5" borderId="16" xfId="3" applyFont="1" applyFill="1" applyBorder="1" applyAlignment="1">
      <alignment horizontal="left" vertical="center" wrapText="1"/>
    </xf>
    <xf numFmtId="9" fontId="82" fillId="5" borderId="2" xfId="3" applyNumberFormat="1" applyFont="1" applyFill="1" applyBorder="1" applyAlignment="1">
      <alignment horizontal="left" vertical="center" wrapText="1"/>
    </xf>
    <xf numFmtId="0" fontId="82" fillId="5" borderId="2" xfId="3" applyFont="1" applyFill="1" applyBorder="1" applyAlignment="1">
      <alignment horizontal="left" vertical="center" wrapText="1"/>
    </xf>
    <xf numFmtId="0" fontId="82" fillId="5" borderId="10" xfId="3" applyFont="1" applyFill="1" applyBorder="1" applyAlignment="1">
      <alignment horizontal="left" vertical="center" wrapText="1"/>
    </xf>
    <xf numFmtId="0" fontId="39" fillId="5" borderId="4" xfId="3" applyFont="1" applyFill="1" applyBorder="1" applyAlignment="1">
      <alignment horizontal="left" vertical="center"/>
    </xf>
    <xf numFmtId="0" fontId="39" fillId="5" borderId="14" xfId="3" applyFont="1" applyFill="1" applyBorder="1" applyAlignment="1">
      <alignment horizontal="left" vertical="center" wrapText="1"/>
    </xf>
    <xf numFmtId="0" fontId="39" fillId="5" borderId="15" xfId="3" applyFont="1" applyFill="1" applyBorder="1" applyAlignment="1">
      <alignment horizontal="left" vertical="center" wrapText="1"/>
    </xf>
    <xf numFmtId="0" fontId="82" fillId="5" borderId="29" xfId="0" applyFont="1" applyFill="1" applyBorder="1" applyAlignment="1">
      <alignment horizontal="left" vertical="center"/>
    </xf>
    <xf numFmtId="0" fontId="39" fillId="5" borderId="30" xfId="3" applyFont="1" applyFill="1" applyBorder="1" applyAlignment="1">
      <alignment horizontal="left" vertical="center" wrapText="1"/>
    </xf>
    <xf numFmtId="0" fontId="39" fillId="5" borderId="57" xfId="3" applyFont="1" applyFill="1" applyBorder="1" applyAlignment="1">
      <alignment horizontal="left" vertical="center" wrapText="1"/>
    </xf>
    <xf numFmtId="49" fontId="155" fillId="5" borderId="24" xfId="0" applyNumberFormat="1" applyFont="1" applyFill="1" applyBorder="1" applyAlignment="1">
      <alignment horizontal="left" vertical="center" wrapText="1"/>
    </xf>
    <xf numFmtId="0" fontId="39" fillId="0" borderId="2" xfId="3" applyFont="1" applyBorder="1" applyAlignment="1" applyProtection="1">
      <alignment horizontal="left" vertical="center"/>
      <protection locked="0"/>
    </xf>
    <xf numFmtId="0" fontId="39" fillId="0" borderId="2" xfId="3" applyFont="1" applyBorder="1" applyAlignment="1" applyProtection="1">
      <alignment horizontal="left" vertical="center" wrapText="1"/>
      <protection locked="0"/>
    </xf>
    <xf numFmtId="0" fontId="161" fillId="6" borderId="9" xfId="3" applyFont="1" applyFill="1" applyBorder="1" applyAlignment="1" applyProtection="1">
      <alignment horizontal="left" vertical="center" wrapText="1"/>
      <protection locked="0"/>
    </xf>
    <xf numFmtId="0" fontId="161" fillId="6" borderId="2" xfId="3" applyFont="1" applyFill="1" applyBorder="1" applyAlignment="1" applyProtection="1">
      <alignment horizontal="left" vertical="center" wrapText="1"/>
      <protection locked="0"/>
    </xf>
    <xf numFmtId="0" fontId="161" fillId="6" borderId="21" xfId="3" applyFont="1" applyFill="1" applyBorder="1" applyAlignment="1" applyProtection="1">
      <alignment horizontal="left" vertical="center" wrapText="1"/>
      <protection locked="0"/>
    </xf>
    <xf numFmtId="49" fontId="155" fillId="5" borderId="23" xfId="0" applyNumberFormat="1" applyFont="1" applyFill="1" applyBorder="1" applyAlignment="1">
      <alignment horizontal="left" vertical="center" wrapText="1"/>
    </xf>
    <xf numFmtId="49" fontId="217" fillId="5" borderId="1" xfId="0" applyNumberFormat="1" applyFont="1" applyFill="1" applyBorder="1" applyAlignment="1">
      <alignment horizontal="center" vertical="center" wrapText="1"/>
    </xf>
    <xf numFmtId="0" fontId="217" fillId="5" borderId="6" xfId="0" applyFont="1" applyFill="1" applyBorder="1" applyAlignment="1">
      <alignment horizontal="left" vertical="center" wrapText="1"/>
    </xf>
    <xf numFmtId="0" fontId="123" fillId="5" borderId="6" xfId="0" applyFont="1" applyFill="1" applyBorder="1" applyAlignment="1" applyProtection="1">
      <alignment horizontal="left" vertical="center" wrapText="1"/>
      <protection locked="0"/>
    </xf>
    <xf numFmtId="0" fontId="123" fillId="5" borderId="2" xfId="0" applyFont="1" applyFill="1" applyBorder="1" applyAlignment="1">
      <alignment horizontal="left" vertical="center"/>
    </xf>
    <xf numFmtId="0" fontId="82" fillId="5" borderId="44" xfId="0" applyFont="1" applyFill="1" applyBorder="1" applyAlignment="1" applyProtection="1">
      <alignment horizontal="left" vertical="center" wrapText="1"/>
      <protection locked="0"/>
    </xf>
    <xf numFmtId="0" fontId="123" fillId="5" borderId="2" xfId="0" applyFont="1" applyFill="1" applyBorder="1" applyAlignment="1">
      <alignment horizontal="left" vertical="center" wrapText="1"/>
    </xf>
    <xf numFmtId="0" fontId="123" fillId="5" borderId="44"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left" vertical="center" wrapText="1"/>
      <protection locked="0"/>
    </xf>
    <xf numFmtId="0" fontId="82" fillId="0" borderId="2" xfId="0" applyFont="1" applyBorder="1" applyAlignment="1" applyProtection="1">
      <alignment horizontal="left" vertical="center" wrapText="1"/>
      <protection locked="0"/>
    </xf>
    <xf numFmtId="0" fontId="82" fillId="5" borderId="6" xfId="0" applyFont="1" applyFill="1" applyBorder="1" applyAlignment="1" applyProtection="1">
      <alignment horizontal="left" vertical="center" wrapText="1"/>
      <protection locked="0"/>
    </xf>
    <xf numFmtId="0" fontId="82" fillId="0" borderId="44" xfId="0" applyFont="1" applyBorder="1" applyAlignment="1" applyProtection="1">
      <alignment horizontal="left" vertical="center" wrapText="1"/>
      <protection locked="0"/>
    </xf>
    <xf numFmtId="0" fontId="80" fillId="6" borderId="38" xfId="3" applyFont="1" applyFill="1" applyBorder="1" applyAlignment="1" applyProtection="1">
      <alignment vertical="center" wrapText="1"/>
      <protection locked="0"/>
    </xf>
    <xf numFmtId="0" fontId="80" fillId="5" borderId="2" xfId="0" applyFont="1" applyFill="1" applyBorder="1" applyAlignment="1">
      <alignment horizontal="left" vertical="center" wrapText="1"/>
    </xf>
    <xf numFmtId="0" fontId="78" fillId="5" borderId="5" xfId="0" applyFont="1" applyFill="1" applyBorder="1">
      <alignment vertical="center"/>
    </xf>
    <xf numFmtId="0" fontId="82" fillId="5" borderId="44" xfId="0" applyFont="1" applyFill="1" applyBorder="1">
      <alignment vertical="center"/>
    </xf>
    <xf numFmtId="0" fontId="148" fillId="5" borderId="9" xfId="0" applyFont="1" applyFill="1" applyBorder="1" applyAlignment="1">
      <alignment horizontal="center" vertical="center" wrapText="1"/>
    </xf>
    <xf numFmtId="0" fontId="196" fillId="5" borderId="11" xfId="0" applyFont="1" applyFill="1" applyBorder="1" applyAlignment="1">
      <alignment horizontal="left" vertical="center" wrapText="1"/>
    </xf>
    <xf numFmtId="0" fontId="200" fillId="5" borderId="59" xfId="0" applyFont="1" applyFill="1" applyBorder="1" applyAlignment="1">
      <alignment horizontal="left" vertical="center"/>
    </xf>
    <xf numFmtId="0" fontId="148" fillId="5" borderId="2" xfId="0" applyFont="1" applyFill="1" applyBorder="1" applyAlignment="1">
      <alignment horizontal="left" vertical="center" wrapText="1"/>
    </xf>
    <xf numFmtId="0" fontId="154" fillId="5" borderId="2" xfId="0" applyFont="1" applyFill="1" applyBorder="1" applyAlignment="1">
      <alignment horizontal="left" vertical="center" wrapText="1"/>
    </xf>
    <xf numFmtId="0" fontId="148" fillId="0" borderId="2" xfId="0" applyFont="1" applyBorder="1" applyAlignment="1" applyProtection="1">
      <alignment horizontal="left" vertical="center" wrapText="1"/>
      <protection locked="0"/>
    </xf>
    <xf numFmtId="9" fontId="148" fillId="5" borderId="2" xfId="16" applyFont="1" applyFill="1" applyBorder="1" applyAlignment="1" applyProtection="1">
      <alignment horizontal="left" vertical="center" wrapText="1"/>
    </xf>
    <xf numFmtId="0" fontId="257" fillId="0" borderId="2" xfId="0" applyFont="1" applyBorder="1" applyAlignment="1" applyProtection="1">
      <alignment horizontal="left" vertical="center" wrapText="1"/>
      <protection locked="0"/>
    </xf>
    <xf numFmtId="9" fontId="148" fillId="5" borderId="44" xfId="16" applyFont="1" applyFill="1" applyBorder="1" applyAlignment="1" applyProtection="1">
      <alignment horizontal="left" vertical="center" wrapText="1"/>
    </xf>
    <xf numFmtId="0" fontId="199" fillId="5" borderId="0" xfId="3" applyFont="1" applyFill="1" applyAlignment="1">
      <alignment horizontal="left" vertical="center"/>
    </xf>
    <xf numFmtId="0" fontId="141" fillId="5" borderId="0" xfId="3" applyFill="1" applyAlignment="1">
      <alignment horizontal="left" vertical="center" wrapText="1"/>
    </xf>
    <xf numFmtId="0" fontId="155" fillId="5" borderId="0" xfId="3" applyFont="1" applyFill="1" applyAlignment="1">
      <alignment horizontal="left" vertical="center"/>
    </xf>
    <xf numFmtId="0" fontId="145" fillId="5" borderId="0" xfId="3" applyFont="1" applyFill="1" applyAlignment="1">
      <alignment horizontal="left" vertical="center"/>
    </xf>
    <xf numFmtId="0" fontId="39" fillId="8" borderId="0" xfId="3" applyFont="1" applyFill="1" applyAlignment="1">
      <alignment horizontal="left" vertical="center" wrapText="1"/>
    </xf>
    <xf numFmtId="0" fontId="199" fillId="5" borderId="59" xfId="3" applyFont="1" applyFill="1" applyBorder="1" applyAlignment="1">
      <alignment horizontal="left" vertical="center"/>
    </xf>
    <xf numFmtId="0" fontId="155" fillId="5" borderId="28" xfId="3" applyFont="1" applyFill="1" applyBorder="1" applyAlignment="1">
      <alignment horizontal="left" vertical="center"/>
    </xf>
    <xf numFmtId="0" fontId="200" fillId="5" borderId="30" xfId="3" applyFont="1" applyFill="1" applyBorder="1" applyAlignment="1">
      <alignment horizontal="left" vertical="center"/>
    </xf>
    <xf numFmtId="0" fontId="200" fillId="5" borderId="57" xfId="3" applyFont="1" applyFill="1" applyBorder="1" applyAlignment="1">
      <alignment horizontal="left" vertical="center"/>
    </xf>
    <xf numFmtId="0" fontId="160" fillId="5" borderId="11" xfId="3" applyFont="1" applyFill="1" applyBorder="1" applyAlignment="1">
      <alignment horizontal="left" vertical="center" wrapText="1"/>
    </xf>
    <xf numFmtId="0" fontId="160" fillId="5" borderId="2" xfId="3" applyFont="1" applyFill="1" applyBorder="1" applyAlignment="1">
      <alignment horizontal="left" vertical="center" wrapText="1"/>
    </xf>
    <xf numFmtId="0" fontId="159" fillId="5" borderId="2" xfId="3" applyFont="1" applyFill="1" applyBorder="1" applyAlignment="1">
      <alignment horizontal="left" vertical="center" wrapText="1"/>
    </xf>
    <xf numFmtId="0" fontId="148" fillId="5" borderId="2" xfId="3" applyFont="1" applyFill="1" applyBorder="1" applyAlignment="1">
      <alignment horizontal="left" vertical="center" wrapText="1"/>
    </xf>
    <xf numFmtId="0" fontId="82" fillId="5" borderId="12" xfId="3" applyFont="1" applyFill="1" applyBorder="1" applyAlignment="1">
      <alignment horizontal="left" vertical="center" wrapText="1"/>
    </xf>
    <xf numFmtId="0" fontId="206" fillId="5" borderId="2" xfId="0" applyFont="1" applyFill="1" applyBorder="1" applyAlignment="1">
      <alignment horizontal="left" vertical="center" wrapText="1"/>
    </xf>
    <xf numFmtId="0" fontId="67" fillId="5" borderId="2" xfId="3" applyFont="1" applyFill="1" applyBorder="1" applyAlignment="1">
      <alignment horizontal="left" vertical="center" wrapText="1"/>
    </xf>
    <xf numFmtId="49" fontId="160" fillId="5" borderId="2" xfId="3" applyNumberFormat="1" applyFont="1" applyFill="1" applyBorder="1" applyAlignment="1">
      <alignment horizontal="left" vertical="center" wrapText="1"/>
    </xf>
    <xf numFmtId="0" fontId="159" fillId="6" borderId="2" xfId="3" applyFont="1" applyFill="1" applyBorder="1" applyAlignment="1" applyProtection="1">
      <alignment horizontal="left" vertical="center" wrapText="1"/>
      <protection locked="0"/>
    </xf>
    <xf numFmtId="10" fontId="148" fillId="5" borderId="2" xfId="3" applyNumberFormat="1" applyFont="1" applyFill="1" applyBorder="1" applyAlignment="1">
      <alignment horizontal="left" vertical="center" wrapText="1"/>
    </xf>
    <xf numFmtId="10" fontId="82" fillId="5" borderId="25" xfId="3" applyNumberFormat="1" applyFont="1" applyFill="1" applyBorder="1" applyAlignment="1">
      <alignment horizontal="left" vertical="center" wrapText="1"/>
    </xf>
    <xf numFmtId="10" fontId="123" fillId="5" borderId="0" xfId="3" applyNumberFormat="1" applyFont="1" applyFill="1" applyAlignment="1">
      <alignment horizontal="left" vertical="center" wrapText="1"/>
    </xf>
    <xf numFmtId="10" fontId="145" fillId="0" borderId="2" xfId="3" applyNumberFormat="1" applyFont="1" applyBorder="1" applyAlignment="1" applyProtection="1">
      <alignment horizontal="left" vertical="center"/>
      <protection locked="0"/>
    </xf>
    <xf numFmtId="10" fontId="145" fillId="5" borderId="2" xfId="3" applyNumberFormat="1" applyFont="1" applyFill="1" applyBorder="1" applyAlignment="1">
      <alignment horizontal="left" vertical="center"/>
    </xf>
    <xf numFmtId="10" fontId="80" fillId="5" borderId="2" xfId="3" applyNumberFormat="1" applyFont="1" applyFill="1" applyBorder="1" applyAlignment="1">
      <alignment horizontal="left" vertical="center" wrapText="1"/>
    </xf>
    <xf numFmtId="10" fontId="82" fillId="5" borderId="52" xfId="3" applyNumberFormat="1" applyFont="1" applyFill="1" applyBorder="1" applyAlignment="1">
      <alignment horizontal="left" vertical="center" wrapText="1"/>
    </xf>
    <xf numFmtId="0" fontId="261" fillId="0" borderId="2" xfId="0" applyFont="1" applyBorder="1" applyAlignment="1" applyProtection="1">
      <alignment horizontal="left" vertical="center" wrapText="1"/>
      <protection locked="0"/>
    </xf>
    <xf numFmtId="0" fontId="261" fillId="0" borderId="10" xfId="0" applyFont="1" applyBorder="1" applyAlignment="1" applyProtection="1">
      <alignment horizontal="left" vertical="center" wrapText="1"/>
      <protection locked="0"/>
    </xf>
    <xf numFmtId="0" fontId="160" fillId="5" borderId="64" xfId="3" applyFont="1" applyFill="1" applyBorder="1" applyAlignment="1">
      <alignment horizontal="left" vertical="center" wrapText="1"/>
    </xf>
    <xf numFmtId="0" fontId="160" fillId="5" borderId="10" xfId="3" applyFont="1" applyFill="1" applyBorder="1" applyAlignment="1">
      <alignment horizontal="left" vertical="center" wrapText="1"/>
    </xf>
    <xf numFmtId="0" fontId="160" fillId="5" borderId="43" xfId="3" applyFont="1" applyFill="1" applyBorder="1" applyAlignment="1">
      <alignment horizontal="left" vertical="center" wrapText="1"/>
    </xf>
    <xf numFmtId="49" fontId="160" fillId="5" borderId="55" xfId="3" applyNumberFormat="1" applyFont="1" applyFill="1" applyBorder="1" applyAlignment="1">
      <alignment horizontal="left" vertical="center" wrapText="1"/>
    </xf>
    <xf numFmtId="10" fontId="82" fillId="5" borderId="69" xfId="3" applyNumberFormat="1" applyFont="1" applyFill="1" applyBorder="1" applyAlignment="1">
      <alignment horizontal="left" vertical="center" wrapText="1"/>
    </xf>
    <xf numFmtId="0" fontId="201" fillId="5" borderId="30" xfId="3" applyFont="1" applyFill="1" applyBorder="1" applyAlignment="1">
      <alignment horizontal="left" vertical="center"/>
    </xf>
    <xf numFmtId="49" fontId="160" fillId="5" borderId="44" xfId="3" applyNumberFormat="1" applyFont="1" applyFill="1" applyBorder="1" applyAlignment="1">
      <alignment horizontal="left" vertical="center" wrapText="1"/>
    </xf>
    <xf numFmtId="0" fontId="159" fillId="6" borderId="2" xfId="0" applyFont="1" applyFill="1" applyBorder="1" applyAlignment="1" applyProtection="1">
      <alignment horizontal="left" vertical="center" wrapText="1"/>
      <protection locked="0"/>
    </xf>
    <xf numFmtId="10" fontId="145" fillId="0" borderId="2" xfId="0" applyNumberFormat="1" applyFont="1" applyBorder="1" applyAlignment="1" applyProtection="1">
      <alignment horizontal="left" vertical="center"/>
      <protection locked="0"/>
    </xf>
    <xf numFmtId="10" fontId="145" fillId="5" borderId="2" xfId="0" applyNumberFormat="1" applyFont="1" applyFill="1" applyBorder="1" applyAlignment="1">
      <alignment horizontal="left" vertical="center"/>
    </xf>
    <xf numFmtId="0" fontId="39" fillId="0" borderId="0" xfId="3" applyFont="1" applyAlignment="1" applyProtection="1">
      <alignment horizontal="left" vertical="center" wrapText="1"/>
      <protection locked="0"/>
    </xf>
    <xf numFmtId="0" fontId="160" fillId="0" borderId="44" xfId="3" applyFont="1" applyBorder="1" applyAlignment="1" applyProtection="1">
      <alignment horizontal="left" vertical="center" wrapText="1"/>
      <protection locked="0"/>
    </xf>
    <xf numFmtId="0" fontId="160" fillId="5" borderId="44" xfId="3" applyFont="1" applyFill="1" applyBorder="1" applyAlignment="1">
      <alignment horizontal="left" vertical="center" wrapText="1"/>
    </xf>
    <xf numFmtId="0" fontId="159" fillId="6" borderId="0" xfId="3" applyFont="1" applyFill="1" applyAlignment="1" applyProtection="1">
      <alignment horizontal="left" vertical="center" wrapText="1"/>
      <protection locked="0"/>
    </xf>
    <xf numFmtId="10" fontId="148" fillId="5" borderId="0" xfId="3" applyNumberFormat="1" applyFont="1" applyFill="1" applyAlignment="1">
      <alignment horizontal="left" vertical="center" wrapText="1"/>
    </xf>
    <xf numFmtId="10" fontId="82" fillId="5" borderId="0" xfId="3" applyNumberFormat="1" applyFont="1" applyFill="1" applyAlignment="1">
      <alignment horizontal="left" vertical="center" wrapText="1"/>
    </xf>
    <xf numFmtId="10" fontId="145" fillId="0" borderId="0" xfId="3" applyNumberFormat="1" applyFont="1" applyAlignment="1" applyProtection="1">
      <alignment horizontal="left" vertical="center"/>
      <protection locked="0"/>
    </xf>
    <xf numFmtId="10" fontId="145" fillId="5" borderId="0" xfId="3" applyNumberFormat="1" applyFont="1" applyFill="1" applyAlignment="1">
      <alignment horizontal="left" vertical="center"/>
    </xf>
    <xf numFmtId="9" fontId="148" fillId="5" borderId="0" xfId="3" applyNumberFormat="1" applyFont="1" applyFill="1" applyAlignment="1">
      <alignment horizontal="left" vertical="center" wrapText="1"/>
    </xf>
    <xf numFmtId="10" fontId="80" fillId="5" borderId="0" xfId="3" applyNumberFormat="1" applyFont="1" applyFill="1" applyAlignment="1">
      <alignment horizontal="left" vertical="center" wrapText="1"/>
    </xf>
    <xf numFmtId="10" fontId="80" fillId="5" borderId="2" xfId="0" applyNumberFormat="1" applyFont="1" applyFill="1" applyBorder="1" applyAlignment="1">
      <alignment horizontal="left" vertical="center" wrapText="1"/>
    </xf>
    <xf numFmtId="0" fontId="196" fillId="5" borderId="2" xfId="0" applyFont="1" applyFill="1" applyBorder="1" applyAlignment="1">
      <alignment horizontal="left" vertical="center" wrapText="1"/>
    </xf>
    <xf numFmtId="0" fontId="206" fillId="5" borderId="0" xfId="0" applyFont="1" applyFill="1" applyAlignment="1">
      <alignment horizontal="left" vertical="center" wrapText="1"/>
    </xf>
    <xf numFmtId="10" fontId="82" fillId="5" borderId="2" xfId="3" applyNumberFormat="1" applyFont="1" applyFill="1" applyBorder="1" applyAlignment="1">
      <alignment horizontal="left" vertical="center" wrapText="1"/>
    </xf>
    <xf numFmtId="0" fontId="82" fillId="5" borderId="11" xfId="0" applyFont="1" applyFill="1" applyBorder="1" applyAlignment="1">
      <alignment horizontal="left" vertical="center" wrapText="1"/>
    </xf>
    <xf numFmtId="0" fontId="82" fillId="5" borderId="43" xfId="0" applyFont="1" applyFill="1" applyBorder="1" applyAlignment="1">
      <alignment horizontal="left" vertical="center" wrapText="1"/>
    </xf>
    <xf numFmtId="0" fontId="123" fillId="0" borderId="0" xfId="0" applyFont="1" applyAlignment="1">
      <alignment horizontal="left" vertical="center" wrapText="1"/>
    </xf>
    <xf numFmtId="0" fontId="154" fillId="5" borderId="12" xfId="0" applyFont="1" applyFill="1" applyBorder="1" applyAlignment="1">
      <alignment horizontal="left" vertical="center" wrapText="1"/>
    </xf>
    <xf numFmtId="0" fontId="154" fillId="5" borderId="44" xfId="0" applyFont="1" applyFill="1" applyBorder="1" applyAlignment="1">
      <alignment horizontal="left" vertical="center" wrapText="1"/>
    </xf>
    <xf numFmtId="0" fontId="154" fillId="5" borderId="46" xfId="0" applyFont="1" applyFill="1" applyBorder="1" applyAlignment="1">
      <alignment horizontal="left" vertical="center" wrapText="1"/>
    </xf>
    <xf numFmtId="0" fontId="123" fillId="8" borderId="0" xfId="0" applyFont="1" applyFill="1" applyAlignment="1">
      <alignment horizontal="left" vertical="center" wrapText="1"/>
    </xf>
    <xf numFmtId="0" fontId="82" fillId="8" borderId="0" xfId="0" applyFont="1" applyFill="1" applyAlignment="1">
      <alignment horizontal="left" vertical="center" wrapText="1"/>
    </xf>
    <xf numFmtId="0" fontId="82" fillId="8" borderId="0" xfId="0" applyFont="1" applyFill="1" applyAlignment="1" applyProtection="1">
      <alignment horizontal="left" vertical="center" wrapText="1"/>
      <protection locked="0"/>
    </xf>
    <xf numFmtId="0" fontId="123" fillId="8" borderId="0" xfId="0" applyFont="1" applyFill="1" applyAlignment="1" applyProtection="1">
      <alignment horizontal="left" vertical="center" wrapText="1"/>
      <protection locked="0"/>
    </xf>
    <xf numFmtId="10" fontId="82" fillId="8" borderId="0" xfId="0" applyNumberFormat="1" applyFont="1" applyFill="1" applyAlignment="1" applyProtection="1">
      <alignment horizontal="left" vertical="center" wrapText="1"/>
      <protection locked="0"/>
    </xf>
    <xf numFmtId="10" fontId="82" fillId="5" borderId="44" xfId="0" applyNumberFormat="1" applyFont="1" applyFill="1" applyBorder="1" applyAlignment="1">
      <alignment horizontal="left" vertical="center" wrapText="1"/>
    </xf>
    <xf numFmtId="0" fontId="82" fillId="5" borderId="11" xfId="0" applyFont="1" applyFill="1" applyBorder="1" applyAlignment="1">
      <alignment horizontal="left" vertical="center"/>
    </xf>
    <xf numFmtId="0" fontId="82" fillId="5" borderId="7" xfId="0" applyFont="1" applyFill="1" applyBorder="1" applyAlignment="1" applyProtection="1">
      <alignment horizontal="left" vertical="center" wrapText="1"/>
      <protection locked="0"/>
    </xf>
    <xf numFmtId="0" fontId="82" fillId="5" borderId="12" xfId="0" applyFont="1" applyFill="1" applyBorder="1" applyAlignment="1" applyProtection="1">
      <alignment horizontal="left" vertical="center" wrapText="1"/>
      <protection locked="0"/>
    </xf>
    <xf numFmtId="0" fontId="82" fillId="5" borderId="46" xfId="0" applyFont="1" applyFill="1" applyBorder="1" applyAlignment="1" applyProtection="1">
      <alignment horizontal="left" vertical="center" wrapText="1"/>
      <protection locked="0"/>
    </xf>
    <xf numFmtId="186" fontId="142" fillId="5" borderId="28" xfId="3" applyNumberFormat="1" applyFont="1" applyFill="1" applyBorder="1" applyAlignment="1">
      <alignment horizontal="left" vertical="center" wrapText="1"/>
    </xf>
    <xf numFmtId="0" fontId="148" fillId="5" borderId="0" xfId="0" applyFont="1" applyFill="1" applyAlignment="1">
      <alignment horizontal="left" vertical="center" wrapText="1"/>
    </xf>
    <xf numFmtId="0" fontId="160" fillId="5" borderId="0" xfId="3" applyFont="1" applyFill="1" applyAlignment="1">
      <alignment horizontal="left" vertical="center" wrapText="1"/>
    </xf>
    <xf numFmtId="10" fontId="145" fillId="0" borderId="0" xfId="0" applyNumberFormat="1" applyFont="1" applyAlignment="1" applyProtection="1">
      <alignment horizontal="left" vertical="center"/>
      <protection locked="0"/>
    </xf>
    <xf numFmtId="9" fontId="148" fillId="5" borderId="0" xfId="16" applyFont="1" applyFill="1" applyBorder="1" applyAlignment="1" applyProtection="1">
      <alignment horizontal="left" vertical="center" wrapText="1"/>
    </xf>
    <xf numFmtId="10" fontId="80" fillId="5" borderId="0" xfId="0" applyNumberFormat="1" applyFont="1" applyFill="1" applyAlignment="1">
      <alignment horizontal="left" vertical="center" wrapText="1"/>
    </xf>
    <xf numFmtId="49" fontId="81" fillId="5" borderId="33" xfId="0" applyNumberFormat="1" applyFont="1" applyFill="1" applyBorder="1">
      <alignment vertical="center"/>
    </xf>
    <xf numFmtId="0" fontId="81" fillId="5" borderId="83" xfId="0" applyFont="1" applyFill="1" applyBorder="1" applyAlignment="1">
      <alignment vertical="center" wrapText="1"/>
    </xf>
    <xf numFmtId="0" fontId="67" fillId="5" borderId="37" xfId="0" applyFont="1" applyFill="1" applyBorder="1" applyAlignment="1">
      <alignment horizontal="center"/>
    </xf>
    <xf numFmtId="0" fontId="67" fillId="12" borderId="37" xfId="0" applyFont="1" applyFill="1" applyBorder="1" applyAlignment="1" applyProtection="1">
      <protection locked="0"/>
    </xf>
    <xf numFmtId="0" fontId="67" fillId="12" borderId="38" xfId="0" applyFont="1" applyFill="1" applyBorder="1" applyAlignment="1" applyProtection="1">
      <protection locked="0"/>
    </xf>
    <xf numFmtId="49" fontId="67" fillId="0" borderId="11" xfId="0" applyNumberFormat="1" applyFont="1" applyBorder="1" applyAlignment="1" applyProtection="1">
      <alignment horizontal="center" vertical="center" wrapText="1"/>
      <protection locked="0"/>
    </xf>
    <xf numFmtId="49" fontId="67" fillId="0" borderId="9" xfId="0" applyNumberFormat="1" applyFont="1" applyBorder="1" applyAlignment="1" applyProtection="1">
      <alignment horizontal="center" vertical="center" wrapText="1"/>
      <protection locked="0"/>
    </xf>
    <xf numFmtId="0" fontId="297" fillId="0" borderId="0" xfId="13" applyFont="1">
      <alignment vertical="center"/>
    </xf>
    <xf numFmtId="49" fontId="82" fillId="5" borderId="2" xfId="13" applyNumberFormat="1" applyFont="1" applyFill="1" applyBorder="1" applyAlignment="1">
      <alignment horizontal="left" vertical="center" wrapText="1"/>
    </xf>
    <xf numFmtId="182" fontId="148" fillId="0" borderId="2" xfId="18" applyNumberFormat="1" applyFont="1" applyBorder="1" applyAlignment="1" applyProtection="1">
      <alignment horizontal="center" vertical="center"/>
      <protection locked="0"/>
    </xf>
    <xf numFmtId="182" fontId="67" fillId="0" borderId="2" xfId="18" applyNumberFormat="1" applyFont="1" applyBorder="1" applyAlignment="1" applyProtection="1">
      <alignment horizontal="center" vertical="center"/>
      <protection locked="0"/>
    </xf>
    <xf numFmtId="0" fontId="299" fillId="0" borderId="0" xfId="0" applyFont="1" applyAlignment="1"/>
    <xf numFmtId="14" fontId="268" fillId="0" borderId="0" xfId="0" applyNumberFormat="1" applyFont="1" applyAlignment="1"/>
    <xf numFmtId="0" fontId="268" fillId="0" borderId="0" xfId="0" applyFont="1" applyAlignment="1"/>
    <xf numFmtId="14" fontId="0" fillId="0" borderId="0" xfId="0" applyNumberFormat="1" applyAlignment="1"/>
    <xf numFmtId="0" fontId="140" fillId="0" borderId="6" xfId="0" applyFont="1" applyBorder="1" applyAlignment="1" applyProtection="1">
      <alignment horizontal="center" vertical="center" wrapText="1"/>
      <protection locked="0"/>
    </xf>
    <xf numFmtId="0" fontId="140" fillId="0" borderId="74" xfId="0" applyFont="1" applyBorder="1" applyAlignment="1" applyProtection="1">
      <alignment horizontal="center" vertical="center" wrapText="1"/>
      <protection locked="0"/>
    </xf>
    <xf numFmtId="0" fontId="77" fillId="0" borderId="46" xfId="0" applyFont="1" applyBorder="1" applyAlignment="1" applyProtection="1">
      <alignment horizontal="left" vertical="center" wrapText="1"/>
      <protection locked="0"/>
    </xf>
    <xf numFmtId="179" fontId="67" fillId="0" borderId="67" xfId="0" applyNumberFormat="1" applyFont="1" applyBorder="1" applyAlignment="1" applyProtection="1">
      <alignment horizontal="center" vertical="center" wrapText="1"/>
      <protection locked="0"/>
    </xf>
    <xf numFmtId="179" fontId="67" fillId="0" borderId="2" xfId="0" applyNumberFormat="1" applyFont="1" applyBorder="1" applyAlignment="1" applyProtection="1">
      <alignment horizontal="center" vertical="center" wrapText="1"/>
      <protection locked="0"/>
    </xf>
    <xf numFmtId="0" fontId="243" fillId="0" borderId="19" xfId="2" applyFont="1" applyBorder="1" applyAlignment="1">
      <alignment horizontal="center" vertical="center" wrapText="1"/>
    </xf>
    <xf numFmtId="0" fontId="0" fillId="0" borderId="2" xfId="0" applyBorder="1" applyAlignment="1">
      <alignment horizontal="center" vertical="center"/>
    </xf>
    <xf numFmtId="0" fontId="302" fillId="0" borderId="11" xfId="0" applyFont="1" applyBorder="1" applyAlignment="1">
      <alignment horizontal="center" vertical="center" wrapText="1"/>
    </xf>
    <xf numFmtId="185" fontId="302" fillId="0" borderId="2" xfId="0" applyNumberFormat="1" applyFont="1" applyBorder="1" applyAlignment="1">
      <alignment horizontal="center" vertical="center" wrapText="1"/>
    </xf>
    <xf numFmtId="0" fontId="302" fillId="0" borderId="2" xfId="0" applyFont="1" applyBorder="1" applyAlignment="1">
      <alignment horizontal="center" vertical="center" wrapText="1"/>
    </xf>
    <xf numFmtId="0" fontId="302" fillId="0" borderId="2" xfId="0" applyFont="1" applyBorder="1" applyAlignment="1">
      <alignment horizontal="left" vertical="center" wrapText="1"/>
    </xf>
    <xf numFmtId="177" fontId="302" fillId="0" borderId="2" xfId="0" applyNumberFormat="1" applyFont="1" applyBorder="1" applyAlignment="1">
      <alignment horizontal="center" vertical="center" wrapText="1"/>
    </xf>
    <xf numFmtId="177" fontId="303" fillId="0" borderId="2" xfId="0" applyNumberFormat="1" applyFont="1" applyBorder="1" applyAlignment="1">
      <alignment horizontal="left" vertical="center" wrapText="1"/>
    </xf>
    <xf numFmtId="185" fontId="302" fillId="0" borderId="2" xfId="0" applyNumberFormat="1" applyFont="1" applyBorder="1" applyAlignment="1">
      <alignment horizontal="left" vertical="center" wrapText="1"/>
    </xf>
    <xf numFmtId="0" fontId="302" fillId="0" borderId="2" xfId="0" applyFont="1" applyBorder="1" applyAlignment="1">
      <alignment horizontal="center" vertical="center"/>
    </xf>
    <xf numFmtId="0" fontId="302" fillId="0" borderId="2" xfId="0" applyFont="1" applyBorder="1" applyAlignment="1">
      <alignment horizontal="center" vertical="center" readingOrder="1"/>
    </xf>
    <xf numFmtId="177" fontId="302" fillId="0" borderId="2" xfId="0" applyNumberFormat="1" applyFont="1" applyBorder="1" applyAlignment="1">
      <alignment horizontal="left" vertical="center" wrapText="1"/>
    </xf>
    <xf numFmtId="185" fontId="302" fillId="0" borderId="2" xfId="0" applyNumberFormat="1" applyFont="1" applyBorder="1" applyAlignment="1">
      <alignment horizontal="center" vertical="center"/>
    </xf>
    <xf numFmtId="177" fontId="140" fillId="0" borderId="2" xfId="0" applyNumberFormat="1" applyFont="1" applyBorder="1" applyAlignment="1">
      <alignment horizontal="left" vertical="center" wrapText="1"/>
    </xf>
    <xf numFmtId="185" fontId="0" fillId="0" borderId="2" xfId="0" applyNumberFormat="1" applyBorder="1" applyAlignment="1">
      <alignment horizontal="center" vertical="center"/>
    </xf>
    <xf numFmtId="0" fontId="141" fillId="0" borderId="2" xfId="3" applyBorder="1" applyAlignment="1">
      <alignment horizontal="center" vertical="center" wrapText="1"/>
    </xf>
    <xf numFmtId="177" fontId="140" fillId="0" borderId="2" xfId="0" applyNumberFormat="1" applyFont="1" applyBorder="1" applyAlignment="1">
      <alignment horizontal="center" vertical="center" wrapText="1"/>
    </xf>
    <xf numFmtId="177" fontId="123" fillId="0" borderId="2" xfId="0" applyNumberFormat="1" applyFont="1" applyBorder="1" applyAlignment="1">
      <alignment horizontal="left" vertical="center" wrapText="1"/>
    </xf>
    <xf numFmtId="183" fontId="67" fillId="8" borderId="2" xfId="0" applyNumberFormat="1" applyFont="1" applyFill="1" applyBorder="1" applyAlignment="1" applyProtection="1">
      <alignment horizontal="center" vertical="center"/>
      <protection locked="0"/>
    </xf>
    <xf numFmtId="182" fontId="72" fillId="8" borderId="7" xfId="0" applyNumberFormat="1" applyFont="1" applyFill="1" applyBorder="1" applyAlignment="1" applyProtection="1">
      <alignment horizontal="center" vertical="center"/>
      <protection locked="0"/>
    </xf>
    <xf numFmtId="0" fontId="141" fillId="0" borderId="0" xfId="17" applyNumberFormat="1" applyAlignment="1">
      <alignment vertical="center" wrapText="1"/>
    </xf>
    <xf numFmtId="14" fontId="141" fillId="0" borderId="0" xfId="17" applyNumberFormat="1" applyAlignment="1">
      <alignment vertical="center" wrapText="1"/>
    </xf>
    <xf numFmtId="0" fontId="143" fillId="0" borderId="2" xfId="0" applyFont="1" applyBorder="1" applyAlignment="1">
      <alignment horizontal="center" vertical="center"/>
    </xf>
    <xf numFmtId="0" fontId="143" fillId="0" borderId="11" xfId="0" applyFont="1" applyBorder="1" applyAlignment="1">
      <alignment horizontal="center" vertical="center" wrapText="1"/>
    </xf>
    <xf numFmtId="185" fontId="143" fillId="0" borderId="2" xfId="0" applyNumberFormat="1" applyFont="1" applyBorder="1" applyAlignment="1">
      <alignment horizontal="center" vertical="center" wrapText="1"/>
    </xf>
    <xf numFmtId="0" fontId="143" fillId="0" borderId="2" xfId="0" applyFont="1" applyBorder="1" applyAlignment="1">
      <alignment horizontal="center" vertical="center" wrapText="1"/>
    </xf>
    <xf numFmtId="0" fontId="143" fillId="0" borderId="2" xfId="0" applyFont="1" applyBorder="1" applyAlignment="1">
      <alignment horizontal="left" vertical="center" wrapText="1"/>
    </xf>
    <xf numFmtId="177" fontId="143" fillId="0" borderId="2" xfId="0" applyNumberFormat="1" applyFont="1" applyBorder="1" applyAlignment="1">
      <alignment horizontal="center" vertical="center" wrapText="1"/>
    </xf>
    <xf numFmtId="177" fontId="166" fillId="0" borderId="2" xfId="0" applyNumberFormat="1" applyFont="1" applyBorder="1" applyAlignment="1">
      <alignment horizontal="left" vertical="center" wrapText="1"/>
    </xf>
    <xf numFmtId="0" fontId="143" fillId="0" borderId="0" xfId="0" applyFont="1">
      <alignment vertical="center"/>
    </xf>
    <xf numFmtId="0" fontId="143" fillId="0" borderId="2" xfId="0" applyFont="1" applyBorder="1" applyAlignment="1">
      <alignment horizontal="center" vertical="center" readingOrder="1"/>
    </xf>
    <xf numFmtId="180" fontId="143" fillId="0" borderId="2" xfId="0" applyNumberFormat="1" applyFont="1" applyBorder="1" applyAlignment="1">
      <alignment horizontal="center" vertical="center" readingOrder="1"/>
    </xf>
    <xf numFmtId="177" fontId="143" fillId="0" borderId="2" xfId="0" applyNumberFormat="1" applyFont="1" applyBorder="1" applyAlignment="1">
      <alignment horizontal="left" vertical="center" wrapText="1"/>
    </xf>
    <xf numFmtId="177" fontId="143" fillId="0" borderId="0" xfId="0" applyNumberFormat="1" applyFont="1">
      <alignment vertical="center"/>
    </xf>
    <xf numFmtId="180" fontId="82" fillId="0" borderId="2" xfId="2" applyNumberFormat="1" applyFont="1" applyBorder="1" applyAlignment="1" applyProtection="1">
      <alignment horizontal="center" vertical="center"/>
      <protection locked="0"/>
    </xf>
    <xf numFmtId="0" fontId="302" fillId="0" borderId="0" xfId="0" applyFont="1">
      <alignment vertical="center"/>
    </xf>
    <xf numFmtId="177" fontId="302" fillId="0" borderId="2" xfId="3" applyNumberFormat="1" applyFont="1" applyBorder="1" applyAlignment="1">
      <alignment horizontal="center" vertical="center" wrapText="1"/>
    </xf>
    <xf numFmtId="0" fontId="302" fillId="0" borderId="0" xfId="0" applyFont="1" applyAlignment="1"/>
    <xf numFmtId="0" fontId="181" fillId="0" borderId="0" xfId="7" applyFont="1" applyAlignment="1">
      <alignment horizontal="left" vertical="top" wrapText="1"/>
    </xf>
    <xf numFmtId="0" fontId="191" fillId="0" borderId="2" xfId="0" applyFont="1" applyBorder="1" applyAlignment="1">
      <alignment horizontal="center" vertical="center" wrapText="1"/>
    </xf>
    <xf numFmtId="0" fontId="202" fillId="0" borderId="5" xfId="0" applyFont="1" applyBorder="1" applyAlignment="1">
      <alignment horizontal="center" vertical="center" wrapText="1"/>
    </xf>
    <xf numFmtId="0" fontId="202" fillId="0" borderId="8" xfId="0" applyFont="1" applyBorder="1" applyAlignment="1">
      <alignment horizontal="center" vertical="center" wrapText="1"/>
    </xf>
    <xf numFmtId="0" fontId="202" fillId="0" borderId="9" xfId="0" applyFont="1" applyBorder="1" applyAlignment="1">
      <alignment horizontal="center" vertical="center" wrapText="1"/>
    </xf>
    <xf numFmtId="0" fontId="186" fillId="0" borderId="0" xfId="0" applyFont="1" applyAlignment="1">
      <alignment horizontal="center" vertical="center"/>
    </xf>
    <xf numFmtId="0" fontId="228"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protection locked="0"/>
    </xf>
    <xf numFmtId="0" fontId="190" fillId="0" borderId="0" xfId="0" applyFont="1" applyAlignment="1">
      <alignment vertical="center" wrapText="1"/>
    </xf>
    <xf numFmtId="49" fontId="182" fillId="0" borderId="0" xfId="0" applyNumberFormat="1" applyFont="1" applyAlignment="1" applyProtection="1">
      <alignment vertical="center" wrapText="1"/>
      <protection locked="0"/>
    </xf>
    <xf numFmtId="0" fontId="182" fillId="0" borderId="0" xfId="0" applyFont="1" applyAlignment="1" applyProtection="1">
      <alignment vertical="center" wrapText="1"/>
      <protection locked="0"/>
    </xf>
    <xf numFmtId="0" fontId="190" fillId="0" borderId="0" xfId="0" applyFont="1" applyAlignment="1" applyProtection="1">
      <alignment vertical="center" wrapText="1"/>
      <protection locked="0"/>
    </xf>
    <xf numFmtId="0" fontId="163" fillId="0" borderId="10" xfId="0" applyFont="1" applyBorder="1" applyAlignment="1">
      <alignment horizontal="left" vertical="center" wrapText="1"/>
    </xf>
    <xf numFmtId="0" fontId="163" fillId="0" borderId="3" xfId="0" applyFont="1" applyBorder="1" applyAlignment="1">
      <alignment horizontal="left" vertical="center" wrapText="1"/>
    </xf>
    <xf numFmtId="0" fontId="163" fillId="0" borderId="21" xfId="0" applyFont="1" applyBorder="1" applyAlignment="1">
      <alignment horizontal="left" vertical="center" wrapText="1"/>
    </xf>
    <xf numFmtId="0" fontId="145" fillId="0" borderId="5" xfId="0" applyFont="1" applyBorder="1" applyAlignment="1">
      <alignment horizontal="left" vertical="center"/>
    </xf>
    <xf numFmtId="0" fontId="145" fillId="0" borderId="9" xfId="0" applyFont="1" applyBorder="1" applyAlignment="1">
      <alignment horizontal="left" vertical="center"/>
    </xf>
    <xf numFmtId="0" fontId="145" fillId="0" borderId="2" xfId="0" applyFont="1" applyBorder="1" applyAlignment="1">
      <alignment horizontal="left" vertical="center"/>
    </xf>
    <xf numFmtId="0" fontId="145" fillId="9" borderId="2" xfId="0" applyFont="1" applyFill="1" applyBorder="1" applyAlignment="1">
      <alignment horizontal="left" vertical="center"/>
    </xf>
    <xf numFmtId="0" fontId="145" fillId="6" borderId="2" xfId="0" applyFont="1" applyFill="1" applyBorder="1" applyAlignment="1">
      <alignment horizontal="left" vertical="center"/>
    </xf>
    <xf numFmtId="0" fontId="48" fillId="0" borderId="5" xfId="0" applyFont="1" applyBorder="1" applyAlignment="1">
      <alignment horizontal="left" vertical="center"/>
    </xf>
    <xf numFmtId="0" fontId="145" fillId="0" borderId="10" xfId="0" applyFont="1" applyBorder="1" applyAlignment="1">
      <alignment horizontal="left" vertical="center"/>
    </xf>
    <xf numFmtId="0" fontId="145" fillId="0" borderId="3" xfId="0" applyFont="1" applyBorder="1" applyAlignment="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0" fontId="269" fillId="0" borderId="154" xfId="7" applyFont="1" applyBorder="1" applyAlignment="1">
      <alignment horizontal="left" vertical="center"/>
    </xf>
    <xf numFmtId="0" fontId="270" fillId="6" borderId="5" xfId="7" applyFont="1" applyFill="1" applyBorder="1" applyAlignment="1">
      <alignment horizontal="left" vertical="center"/>
    </xf>
    <xf numFmtId="0" fontId="270" fillId="6" borderId="8" xfId="7" applyFont="1" applyFill="1" applyBorder="1" applyAlignment="1">
      <alignment horizontal="left" vertical="center"/>
    </xf>
    <xf numFmtId="0" fontId="161" fillId="5" borderId="0" xfId="0" applyFont="1" applyFill="1" applyAlignment="1">
      <alignment horizontal="center" vertical="center" wrapText="1"/>
    </xf>
    <xf numFmtId="0" fontId="74" fillId="0" borderId="2" xfId="0" applyFont="1" applyBorder="1" applyAlignment="1">
      <alignment horizontal="center" vertical="center" wrapText="1"/>
    </xf>
    <xf numFmtId="0" fontId="74" fillId="5" borderId="13" xfId="0" applyFont="1" applyFill="1" applyBorder="1" applyAlignment="1">
      <alignment horizontal="center" vertical="center" wrapText="1"/>
    </xf>
    <xf numFmtId="0" fontId="74" fillId="5" borderId="49" xfId="0" applyFont="1" applyFill="1" applyBorder="1" applyAlignment="1">
      <alignment vertical="center" wrapText="1"/>
    </xf>
    <xf numFmtId="0" fontId="74" fillId="5" borderId="37" xfId="0" applyFont="1" applyFill="1" applyBorder="1" applyAlignment="1">
      <alignment vertical="center" wrapText="1"/>
    </xf>
    <xf numFmtId="0" fontId="74" fillId="5" borderId="38" xfId="0" applyFont="1" applyFill="1" applyBorder="1" applyAlignment="1">
      <alignment vertical="center" wrapText="1"/>
    </xf>
    <xf numFmtId="0" fontId="182" fillId="8" borderId="5" xfId="0" applyFont="1" applyFill="1" applyBorder="1" applyAlignment="1" applyProtection="1">
      <alignment vertical="center" wrapText="1"/>
      <protection locked="0"/>
    </xf>
    <xf numFmtId="0" fontId="182" fillId="8" borderId="8" xfId="0" applyFont="1" applyFill="1" applyBorder="1" applyAlignment="1" applyProtection="1">
      <alignment vertical="center" wrapText="1"/>
      <protection locked="0"/>
    </xf>
    <xf numFmtId="0" fontId="182" fillId="8" borderId="9" xfId="0" applyFont="1" applyFill="1" applyBorder="1" applyAlignment="1" applyProtection="1">
      <alignment vertical="center" wrapText="1"/>
      <protection locked="0"/>
    </xf>
    <xf numFmtId="0" fontId="74" fillId="17" borderId="10" xfId="0" applyFont="1" applyFill="1" applyBorder="1" applyAlignment="1">
      <alignment horizontal="center" vertical="center" wrapText="1"/>
    </xf>
    <xf numFmtId="0" fontId="74" fillId="17" borderId="102" xfId="0" applyFont="1" applyFill="1" applyBorder="1" applyAlignment="1">
      <alignment horizontal="center" vertical="center" wrapText="1"/>
    </xf>
    <xf numFmtId="49" fontId="182" fillId="8" borderId="5" xfId="0" applyNumberFormat="1" applyFont="1" applyFill="1" applyBorder="1" applyAlignment="1" applyProtection="1">
      <alignment horizontal="left" vertical="center"/>
      <protection locked="0"/>
    </xf>
    <xf numFmtId="49" fontId="182" fillId="8" borderId="8" xfId="0" applyNumberFormat="1" applyFont="1" applyFill="1" applyBorder="1" applyAlignment="1" applyProtection="1">
      <alignment horizontal="left" vertical="center"/>
      <protection locked="0"/>
    </xf>
    <xf numFmtId="49" fontId="182" fillId="8" borderId="9" xfId="0" applyNumberFormat="1" applyFont="1" applyFill="1" applyBorder="1" applyAlignment="1" applyProtection="1">
      <alignment horizontal="left" vertical="center"/>
      <protection locked="0"/>
    </xf>
    <xf numFmtId="0" fontId="74" fillId="5" borderId="42" xfId="0" applyFont="1" applyFill="1" applyBorder="1" applyAlignment="1">
      <alignment horizontal="center" vertical="center"/>
    </xf>
    <xf numFmtId="0" fontId="74" fillId="5" borderId="7" xfId="0" applyFont="1" applyFill="1" applyBorder="1" applyAlignment="1">
      <alignment horizontal="center" vertical="center"/>
    </xf>
    <xf numFmtId="0" fontId="74" fillId="5" borderId="59" xfId="0" applyFont="1" applyFill="1" applyBorder="1" applyAlignment="1">
      <alignment horizontal="center" vertical="center"/>
    </xf>
    <xf numFmtId="0" fontId="74" fillId="5" borderId="30" xfId="0" applyFont="1" applyFill="1" applyBorder="1" applyAlignment="1">
      <alignment horizontal="center" vertical="center"/>
    </xf>
    <xf numFmtId="0" fontId="74" fillId="5" borderId="10" xfId="0" applyFont="1" applyFill="1" applyBorder="1" applyAlignment="1">
      <alignment horizontal="left" vertical="center" wrapText="1"/>
    </xf>
    <xf numFmtId="0" fontId="74" fillId="5" borderId="3" xfId="0" applyFont="1" applyFill="1" applyBorder="1" applyAlignment="1">
      <alignment horizontal="left" vertical="center" wrapText="1"/>
    </xf>
    <xf numFmtId="0" fontId="74" fillId="5" borderId="17" xfId="0" applyFont="1" applyFill="1" applyBorder="1" applyAlignment="1">
      <alignment horizontal="left" vertical="center" wrapText="1"/>
    </xf>
    <xf numFmtId="180" fontId="74" fillId="8" borderId="5" xfId="0" applyNumberFormat="1" applyFont="1" applyFill="1" applyBorder="1" applyAlignment="1" applyProtection="1">
      <alignment horizontal="center" vertical="center" wrapText="1"/>
      <protection locked="0"/>
    </xf>
    <xf numFmtId="180" fontId="74" fillId="8" borderId="8" xfId="0" applyNumberFormat="1" applyFont="1" applyFill="1" applyBorder="1" applyAlignment="1" applyProtection="1">
      <alignment horizontal="center" vertical="center" wrapText="1"/>
      <protection locked="0"/>
    </xf>
    <xf numFmtId="180" fontId="74" fillId="8" borderId="9" xfId="0" applyNumberFormat="1" applyFont="1" applyFill="1" applyBorder="1" applyAlignment="1" applyProtection="1">
      <alignment horizontal="center" vertical="center" wrapText="1"/>
      <protection locked="0"/>
    </xf>
    <xf numFmtId="0" fontId="182" fillId="8" borderId="5" xfId="0" applyFont="1" applyFill="1" applyBorder="1" applyProtection="1">
      <alignment vertical="center"/>
      <protection locked="0"/>
    </xf>
    <xf numFmtId="0" fontId="182" fillId="8" borderId="8" xfId="0" applyFont="1" applyFill="1" applyBorder="1" applyProtection="1">
      <alignment vertical="center"/>
      <protection locked="0"/>
    </xf>
    <xf numFmtId="0" fontId="182" fillId="8" borderId="9" xfId="0" applyFont="1" applyFill="1" applyBorder="1" applyProtection="1">
      <alignment vertical="center"/>
      <protection locked="0"/>
    </xf>
    <xf numFmtId="0" fontId="74" fillId="2" borderId="17"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5" borderId="3" xfId="0" applyFont="1" applyFill="1" applyBorder="1" applyAlignment="1">
      <alignment horizontal="left" vertical="center"/>
    </xf>
    <xf numFmtId="0" fontId="74" fillId="5" borderId="21" xfId="0" applyFont="1" applyFill="1" applyBorder="1" applyAlignment="1">
      <alignment horizontal="left" vertical="center"/>
    </xf>
    <xf numFmtId="0" fontId="74" fillId="0" borderId="5" xfId="0" applyFont="1" applyBorder="1" applyAlignment="1" applyProtection="1">
      <alignment horizontal="left" vertical="center" wrapText="1"/>
      <protection locked="0"/>
    </xf>
    <xf numFmtId="0" fontId="74" fillId="0" borderId="32" xfId="0" applyFont="1" applyBorder="1" applyAlignment="1" applyProtection="1">
      <alignment horizontal="left" vertical="center" wrapText="1"/>
      <protection locked="0"/>
    </xf>
    <xf numFmtId="0" fontId="74" fillId="5" borderId="10" xfId="0" applyFont="1" applyFill="1" applyBorder="1" applyAlignment="1">
      <alignment horizontal="left" vertical="center"/>
    </xf>
    <xf numFmtId="49" fontId="74" fillId="5" borderId="2" xfId="0" applyNumberFormat="1" applyFont="1" applyFill="1" applyBorder="1" applyAlignment="1">
      <alignment horizontal="center" vertical="center" wrapText="1"/>
    </xf>
    <xf numFmtId="0" fontId="74" fillId="8" borderId="5" xfId="0" applyFont="1" applyFill="1" applyBorder="1" applyAlignment="1" applyProtection="1">
      <alignment horizontal="left" vertical="center" wrapText="1"/>
      <protection locked="0"/>
    </xf>
    <xf numFmtId="0" fontId="74" fillId="8" borderId="8" xfId="0" applyFont="1" applyFill="1" applyBorder="1" applyAlignment="1" applyProtection="1">
      <alignment horizontal="left" vertical="center" wrapText="1"/>
      <protection locked="0"/>
    </xf>
    <xf numFmtId="0" fontId="74" fillId="8" borderId="9" xfId="0" applyFont="1" applyFill="1" applyBorder="1" applyAlignment="1" applyProtection="1">
      <alignment horizontal="left" vertical="center" wrapText="1"/>
      <protection locked="0"/>
    </xf>
    <xf numFmtId="0" fontId="74" fillId="5" borderId="5" xfId="0" applyFont="1" applyFill="1" applyBorder="1" applyAlignment="1">
      <alignment horizontal="left" vertical="center" wrapText="1"/>
    </xf>
    <xf numFmtId="0" fontId="74" fillId="5" borderId="9" xfId="0" applyFont="1" applyFill="1" applyBorder="1" applyAlignment="1">
      <alignment horizontal="left" vertical="center" wrapText="1"/>
    </xf>
    <xf numFmtId="0" fontId="74" fillId="8" borderId="2" xfId="0" applyFont="1" applyFill="1" applyBorder="1" applyAlignment="1" applyProtection="1">
      <alignment vertical="center" wrapText="1"/>
      <protection locked="0"/>
    </xf>
    <xf numFmtId="0" fontId="74" fillId="0" borderId="2" xfId="0" applyFont="1" applyBorder="1" applyAlignment="1" applyProtection="1">
      <alignment vertical="center" wrapText="1"/>
      <protection locked="0"/>
    </xf>
    <xf numFmtId="0" fontId="19" fillId="5" borderId="53" xfId="0" applyFont="1" applyFill="1" applyBorder="1" applyAlignment="1">
      <alignment horizontal="center" vertical="center"/>
    </xf>
    <xf numFmtId="0" fontId="19" fillId="5" borderId="27" xfId="0" applyFont="1" applyFill="1" applyBorder="1" applyAlignment="1">
      <alignment horizontal="center" vertical="center"/>
    </xf>
    <xf numFmtId="0" fontId="19" fillId="5" borderId="41" xfId="0" applyFont="1" applyFill="1" applyBorder="1" applyAlignment="1">
      <alignment horizontal="center" vertical="center"/>
    </xf>
    <xf numFmtId="0" fontId="17" fillId="5" borderId="1" xfId="0" applyFont="1" applyFill="1" applyBorder="1" applyAlignment="1">
      <alignment horizontal="center" vertical="center"/>
    </xf>
    <xf numFmtId="0" fontId="17" fillId="5" borderId="6" xfId="0" applyFont="1" applyFill="1" applyBorder="1" applyAlignment="1">
      <alignment horizontal="center" vertical="center"/>
    </xf>
    <xf numFmtId="0" fontId="17" fillId="5" borderId="7" xfId="0" applyFont="1" applyFill="1" applyBorder="1" applyAlignment="1">
      <alignment horizontal="center" vertical="center"/>
    </xf>
    <xf numFmtId="0" fontId="67" fillId="5" borderId="59" xfId="0" applyFont="1" applyFill="1" applyBorder="1" applyAlignment="1">
      <alignment horizontal="center" vertical="center"/>
    </xf>
    <xf numFmtId="0" fontId="67" fillId="5" borderId="30" xfId="0" applyFont="1" applyFill="1" applyBorder="1" applyAlignment="1">
      <alignment horizontal="center" vertical="center"/>
    </xf>
    <xf numFmtId="0" fontId="67" fillId="5" borderId="42" xfId="0" applyFont="1" applyFill="1" applyBorder="1" applyAlignment="1">
      <alignment horizontal="center" vertical="center"/>
    </xf>
    <xf numFmtId="0" fontId="71" fillId="5" borderId="2" xfId="0" applyFont="1" applyFill="1" applyBorder="1" applyAlignment="1">
      <alignment horizontal="center" vertical="center"/>
    </xf>
    <xf numFmtId="0" fontId="71" fillId="5" borderId="10" xfId="0" applyFont="1" applyFill="1" applyBorder="1" applyAlignment="1">
      <alignment horizontal="center" vertical="center"/>
    </xf>
    <xf numFmtId="0" fontId="71" fillId="5" borderId="59" xfId="0" applyFont="1" applyFill="1" applyBorder="1" applyAlignment="1">
      <alignment horizontal="center" vertical="center"/>
    </xf>
    <xf numFmtId="0" fontId="71" fillId="5" borderId="30" xfId="0" applyFont="1" applyFill="1" applyBorder="1" applyAlignment="1">
      <alignment horizontal="center" vertical="center"/>
    </xf>
    <xf numFmtId="0" fontId="71" fillId="5" borderId="42" xfId="0" applyFont="1" applyFill="1" applyBorder="1" applyAlignment="1">
      <alignment horizontal="center" vertical="center"/>
    </xf>
    <xf numFmtId="0" fontId="67" fillId="5" borderId="2" xfId="0" applyFont="1" applyFill="1" applyBorder="1" applyAlignment="1">
      <alignment horizontal="center" vertical="center"/>
    </xf>
    <xf numFmtId="0" fontId="58" fillId="5" borderId="104" xfId="0" applyFont="1" applyFill="1" applyBorder="1" applyAlignment="1">
      <alignment horizontal="left" vertical="center"/>
    </xf>
    <xf numFmtId="0" fontId="58" fillId="5" borderId="100" xfId="0" applyFont="1" applyFill="1" applyBorder="1" applyAlignment="1">
      <alignment horizontal="left" vertical="center"/>
    </xf>
    <xf numFmtId="0" fontId="153" fillId="5" borderId="21" xfId="0" applyFont="1" applyFill="1" applyBorder="1" applyAlignment="1">
      <alignment horizontal="center" vertical="center" wrapText="1"/>
    </xf>
    <xf numFmtId="0" fontId="153" fillId="5" borderId="17" xfId="0" applyFont="1" applyFill="1" applyBorder="1" applyAlignment="1">
      <alignment horizontal="center" vertical="center" wrapText="1"/>
    </xf>
    <xf numFmtId="0" fontId="148" fillId="5" borderId="10" xfId="0" applyFont="1" applyFill="1" applyBorder="1" applyAlignment="1">
      <alignment horizontal="center" vertical="center" wrapText="1"/>
    </xf>
    <xf numFmtId="0" fontId="148" fillId="5" borderId="21" xfId="0" applyFont="1" applyFill="1" applyBorder="1" applyAlignment="1">
      <alignment horizontal="center" vertical="center" wrapText="1"/>
    </xf>
    <xf numFmtId="0" fontId="161" fillId="5" borderId="2" xfId="0" applyFont="1" applyFill="1" applyBorder="1" applyAlignment="1">
      <alignment horizontal="center" vertical="center" wrapText="1"/>
    </xf>
    <xf numFmtId="0" fontId="153" fillId="5" borderId="2" xfId="0" applyFont="1" applyFill="1" applyBorder="1" applyAlignment="1">
      <alignment horizontal="center" vertical="center" wrapText="1"/>
    </xf>
    <xf numFmtId="0" fontId="42" fillId="5" borderId="10" xfId="0" applyFont="1" applyFill="1" applyBorder="1" applyAlignment="1">
      <alignment horizontal="center" vertical="center" wrapText="1"/>
    </xf>
    <xf numFmtId="0" fontId="153" fillId="5" borderId="10" xfId="0" applyFont="1" applyFill="1" applyBorder="1" applyAlignment="1">
      <alignment horizontal="center" vertical="center" wrapText="1"/>
    </xf>
    <xf numFmtId="0" fontId="162" fillId="5" borderId="21" xfId="0" applyFont="1" applyFill="1" applyBorder="1" applyAlignment="1">
      <alignment horizontal="center" vertical="center" wrapText="1"/>
    </xf>
    <xf numFmtId="10" fontId="46" fillId="5" borderId="5" xfId="0" applyNumberFormat="1" applyFont="1" applyFill="1" applyBorder="1" applyAlignment="1">
      <alignment horizontal="left" vertical="center" wrapText="1"/>
    </xf>
    <xf numFmtId="10" fontId="72" fillId="5" borderId="8" xfId="0" applyNumberFormat="1" applyFont="1" applyFill="1" applyBorder="1" applyAlignment="1">
      <alignment horizontal="left" vertical="center" wrapText="1"/>
    </xf>
    <xf numFmtId="10" fontId="72" fillId="5" borderId="16" xfId="0" applyNumberFormat="1" applyFont="1" applyFill="1" applyBorder="1" applyAlignment="1">
      <alignment horizontal="left" vertical="center" wrapText="1"/>
    </xf>
    <xf numFmtId="0" fontId="91" fillId="5" borderId="1" xfId="0" applyFont="1" applyFill="1" applyBorder="1" applyAlignment="1">
      <alignment horizontal="center" vertical="center" wrapText="1"/>
    </xf>
    <xf numFmtId="0" fontId="91" fillId="5" borderId="6" xfId="0" applyFont="1" applyFill="1" applyBorder="1" applyAlignment="1">
      <alignment horizontal="center" vertical="center" wrapText="1"/>
    </xf>
    <xf numFmtId="0" fontId="158" fillId="5" borderId="2" xfId="0" applyFont="1" applyFill="1" applyBorder="1" applyAlignment="1">
      <alignment horizontal="center" vertical="center" wrapText="1"/>
    </xf>
    <xf numFmtId="0" fontId="46" fillId="5" borderId="5" xfId="0" applyFont="1" applyFill="1" applyBorder="1" applyAlignment="1">
      <alignment horizontal="center" vertical="center"/>
    </xf>
    <xf numFmtId="0" fontId="46" fillId="5" borderId="8" xfId="0" applyFont="1" applyFill="1" applyBorder="1" applyAlignment="1">
      <alignment horizontal="center" vertical="center"/>
    </xf>
    <xf numFmtId="0" fontId="46" fillId="5" borderId="5" xfId="0" applyFont="1" applyFill="1" applyBorder="1" applyAlignment="1">
      <alignment horizontal="left" vertical="center"/>
    </xf>
    <xf numFmtId="0" fontId="46" fillId="5" borderId="9" xfId="0" applyFont="1" applyFill="1" applyBorder="1" applyAlignment="1">
      <alignment horizontal="left" vertical="center"/>
    </xf>
    <xf numFmtId="0" fontId="72" fillId="5" borderId="5" xfId="0" applyFont="1" applyFill="1" applyBorder="1" applyAlignment="1">
      <alignment horizontal="center" vertical="center" wrapText="1"/>
    </xf>
    <xf numFmtId="0" fontId="72" fillId="5" borderId="9" xfId="0" applyFont="1" applyFill="1" applyBorder="1" applyAlignment="1">
      <alignment horizontal="center" vertical="center" wrapText="1"/>
    </xf>
    <xf numFmtId="0" fontId="71" fillId="5" borderId="53" xfId="0" applyFont="1" applyFill="1" applyBorder="1" applyAlignment="1">
      <alignment horizontal="left" vertical="center" wrapText="1"/>
    </xf>
    <xf numFmtId="0" fontId="71" fillId="5" borderId="24" xfId="0" applyFont="1" applyFill="1" applyBorder="1" applyAlignment="1">
      <alignment horizontal="left" vertical="center" wrapText="1"/>
    </xf>
    <xf numFmtId="0" fontId="71" fillId="5" borderId="23" xfId="0" applyFont="1" applyFill="1" applyBorder="1" applyAlignment="1">
      <alignment horizontal="left" vertical="center" wrapText="1"/>
    </xf>
    <xf numFmtId="0" fontId="161" fillId="5" borderId="71" xfId="0" applyFont="1" applyFill="1" applyBorder="1" applyAlignment="1">
      <alignment horizontal="center" vertical="center" wrapText="1"/>
    </xf>
    <xf numFmtId="0" fontId="161" fillId="5" borderId="84" xfId="0" applyFont="1" applyFill="1" applyBorder="1" applyAlignment="1">
      <alignment horizontal="center" vertical="center" wrapText="1"/>
    </xf>
    <xf numFmtId="0" fontId="148" fillId="5" borderId="2" xfId="0" applyFont="1" applyFill="1" applyBorder="1" applyAlignment="1">
      <alignment horizontal="center" vertical="center" wrapText="1"/>
    </xf>
    <xf numFmtId="0" fontId="169" fillId="5" borderId="35" xfId="0" applyFont="1" applyFill="1" applyBorder="1" applyAlignment="1">
      <alignment horizontal="center" vertical="center" wrapText="1"/>
    </xf>
    <xf numFmtId="0" fontId="169" fillId="5" borderId="79" xfId="0" applyFont="1" applyFill="1" applyBorder="1" applyAlignment="1">
      <alignment horizontal="center" vertical="center" wrapText="1"/>
    </xf>
    <xf numFmtId="0" fontId="169" fillId="5" borderId="80" xfId="0" applyFont="1" applyFill="1" applyBorder="1" applyAlignment="1">
      <alignment horizontal="center" vertical="center" wrapText="1"/>
    </xf>
    <xf numFmtId="0" fontId="72" fillId="5" borderId="43" xfId="0" applyFont="1" applyFill="1" applyBorder="1" applyAlignment="1">
      <alignment horizontal="left" vertical="center" wrapText="1"/>
    </xf>
    <xf numFmtId="0" fontId="72" fillId="5" borderId="44" xfId="0" applyFont="1" applyFill="1" applyBorder="1" applyAlignment="1">
      <alignment horizontal="left" vertical="center" wrapText="1"/>
    </xf>
    <xf numFmtId="0" fontId="81" fillId="5" borderId="4" xfId="0" applyFont="1" applyFill="1" applyBorder="1" applyAlignment="1">
      <alignment horizontal="left" vertical="center" wrapText="1"/>
    </xf>
    <xf numFmtId="0" fontId="81" fillId="5" borderId="14" xfId="0" applyFont="1" applyFill="1" applyBorder="1" applyAlignment="1">
      <alignment horizontal="left" vertical="center" wrapText="1"/>
    </xf>
    <xf numFmtId="0" fontId="81" fillId="5" borderId="32" xfId="0" applyFont="1" applyFill="1" applyBorder="1" applyAlignment="1">
      <alignment horizontal="left" vertical="center" wrapText="1"/>
    </xf>
    <xf numFmtId="0" fontId="72" fillId="5" borderId="25" xfId="0" applyFont="1" applyFill="1" applyBorder="1" applyAlignment="1">
      <alignment horizontal="center" vertical="center"/>
    </xf>
    <xf numFmtId="0" fontId="72" fillId="5" borderId="52" xfId="0" applyFont="1" applyFill="1" applyBorder="1" applyAlignment="1">
      <alignment horizontal="center" vertical="center"/>
    </xf>
    <xf numFmtId="0" fontId="72" fillId="5" borderId="51" xfId="0" applyFont="1" applyFill="1" applyBorder="1" applyAlignment="1">
      <alignment horizontal="center" vertical="center"/>
    </xf>
    <xf numFmtId="0" fontId="72" fillId="5" borderId="11" xfId="0" applyFont="1" applyFill="1" applyBorder="1" applyAlignment="1">
      <alignment horizontal="left" vertical="center" wrapText="1"/>
    </xf>
    <xf numFmtId="0" fontId="72" fillId="5" borderId="2" xfId="0" applyFont="1" applyFill="1" applyBorder="1" applyAlignment="1">
      <alignment horizontal="left" vertical="center" wrapText="1"/>
    </xf>
    <xf numFmtId="0" fontId="171" fillId="5" borderId="36" xfId="0" applyFont="1" applyFill="1" applyBorder="1" applyAlignment="1">
      <alignment horizontal="center" vertical="center" wrapText="1"/>
    </xf>
    <xf numFmtId="0" fontId="171" fillId="5" borderId="37" xfId="0" applyFont="1" applyFill="1" applyBorder="1" applyAlignment="1">
      <alignment horizontal="center" vertical="center" wrapText="1"/>
    </xf>
    <xf numFmtId="0" fontId="171" fillId="5" borderId="38" xfId="0" applyFont="1" applyFill="1" applyBorder="1" applyAlignment="1">
      <alignment horizontal="center" vertical="center" wrapText="1"/>
    </xf>
    <xf numFmtId="10" fontId="72" fillId="5" borderId="5" xfId="0" applyNumberFormat="1" applyFont="1" applyFill="1" applyBorder="1" applyAlignment="1">
      <alignment horizontal="left" vertical="center" wrapText="1"/>
    </xf>
    <xf numFmtId="0" fontId="149" fillId="0" borderId="36" xfId="0" applyFont="1" applyBorder="1" applyAlignment="1" applyProtection="1">
      <alignment horizontal="center" vertical="center"/>
      <protection locked="0"/>
    </xf>
    <xf numFmtId="0" fontId="149" fillId="0" borderId="37" xfId="0" applyFont="1" applyBorder="1" applyAlignment="1" applyProtection="1">
      <alignment horizontal="center" vertical="center"/>
      <protection locked="0"/>
    </xf>
    <xf numFmtId="0" fontId="149" fillId="0" borderId="61" xfId="0" applyFont="1" applyBorder="1" applyAlignment="1" applyProtection="1">
      <alignment horizontal="center" vertical="center"/>
      <protection locked="0"/>
    </xf>
    <xf numFmtId="0" fontId="149" fillId="0" borderId="38" xfId="0" applyFont="1" applyBorder="1" applyAlignment="1" applyProtection="1">
      <alignment horizontal="center" vertical="center"/>
      <protection locked="0"/>
    </xf>
    <xf numFmtId="0" fontId="67" fillId="5" borderId="2" xfId="0" applyFont="1" applyFill="1" applyBorder="1" applyAlignment="1">
      <alignment horizontal="left" vertical="center" wrapText="1"/>
    </xf>
    <xf numFmtId="0" fontId="67" fillId="5" borderId="2" xfId="0" applyFont="1" applyFill="1" applyBorder="1" applyAlignment="1">
      <alignment horizontal="center" vertical="center" wrapText="1"/>
    </xf>
    <xf numFmtId="0" fontId="72" fillId="5" borderId="5" xfId="0" applyFont="1" applyFill="1" applyBorder="1" applyAlignment="1">
      <alignment horizontal="left" vertical="center" wrapText="1"/>
    </xf>
    <xf numFmtId="0" fontId="72" fillId="5" borderId="8" xfId="0" applyFont="1" applyFill="1" applyBorder="1" applyAlignment="1">
      <alignment horizontal="left" vertical="center" wrapText="1"/>
    </xf>
    <xf numFmtId="0" fontId="72" fillId="5" borderId="16" xfId="0" applyFont="1" applyFill="1" applyBorder="1" applyAlignment="1">
      <alignment horizontal="left" vertical="center" wrapText="1"/>
    </xf>
    <xf numFmtId="0" fontId="91" fillId="5" borderId="31" xfId="0" applyFont="1" applyFill="1" applyBorder="1" applyAlignment="1">
      <alignment horizontal="center" vertical="center" wrapText="1"/>
    </xf>
    <xf numFmtId="0" fontId="91" fillId="5" borderId="0" xfId="0" applyFont="1" applyFill="1" applyAlignment="1">
      <alignment horizontal="center" vertical="center" wrapText="1"/>
    </xf>
    <xf numFmtId="0" fontId="72" fillId="5" borderId="87" xfId="0" applyFont="1" applyFill="1" applyBorder="1" applyAlignment="1">
      <alignment horizontal="center" vertical="center"/>
    </xf>
    <xf numFmtId="0" fontId="72" fillId="5" borderId="19" xfId="0" applyFont="1" applyFill="1" applyBorder="1" applyAlignment="1">
      <alignment horizontal="center" vertical="center"/>
    </xf>
    <xf numFmtId="0" fontId="67" fillId="0" borderId="10" xfId="0" applyFont="1" applyBorder="1" applyAlignment="1" applyProtection="1">
      <alignment horizontal="center" vertical="center"/>
      <protection locked="0"/>
    </xf>
    <xf numFmtId="0" fontId="67" fillId="0" borderId="3" xfId="0" applyFont="1" applyBorder="1" applyAlignment="1" applyProtection="1">
      <alignment horizontal="center" vertical="center"/>
      <protection locked="0"/>
    </xf>
    <xf numFmtId="0" fontId="67" fillId="0" borderId="21"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0" fontId="72" fillId="5" borderId="8" xfId="0" applyFont="1" applyFill="1" applyBorder="1" applyAlignment="1">
      <alignment horizontal="center" vertical="center" wrapText="1"/>
    </xf>
    <xf numFmtId="0" fontId="206" fillId="5" borderId="13" xfId="0" applyFont="1" applyFill="1" applyBorder="1" applyAlignment="1">
      <alignment horizontal="left" vertical="center" wrapText="1"/>
    </xf>
    <xf numFmtId="0" fontId="206" fillId="5" borderId="0" xfId="0" applyFont="1" applyFill="1" applyAlignment="1">
      <alignment horizontal="left" vertical="center" wrapText="1"/>
    </xf>
    <xf numFmtId="0" fontId="211" fillId="5" borderId="153" xfId="0" applyFont="1" applyFill="1" applyBorder="1" applyAlignment="1">
      <alignment horizontal="center" vertical="center"/>
    </xf>
    <xf numFmtId="10" fontId="78" fillId="5" borderId="2" xfId="0" applyNumberFormat="1" applyFont="1" applyFill="1" applyBorder="1" applyAlignment="1">
      <alignment horizontal="left" vertical="center" wrapText="1"/>
    </xf>
    <xf numFmtId="10" fontId="72" fillId="5" borderId="2" xfId="0" applyNumberFormat="1" applyFont="1" applyFill="1" applyBorder="1" applyAlignment="1">
      <alignment horizontal="left" vertical="center" wrapText="1"/>
    </xf>
    <xf numFmtId="0" fontId="72" fillId="5" borderId="9" xfId="0" applyFont="1" applyFill="1" applyBorder="1" applyAlignment="1">
      <alignment horizontal="left" vertical="center" wrapText="1"/>
    </xf>
    <xf numFmtId="0" fontId="71" fillId="5" borderId="50" xfId="0" applyFont="1" applyFill="1" applyBorder="1" applyAlignment="1">
      <alignment horizontal="left" vertical="center" wrapText="1"/>
    </xf>
    <xf numFmtId="0" fontId="71" fillId="5" borderId="11" xfId="0" applyFont="1" applyFill="1" applyBorder="1" applyAlignment="1">
      <alignment horizontal="left" vertical="center"/>
    </xf>
    <xf numFmtId="0" fontId="71" fillId="5" borderId="2" xfId="0" applyFont="1" applyFill="1" applyBorder="1" applyAlignment="1">
      <alignment horizontal="left" vertical="center"/>
    </xf>
    <xf numFmtId="0" fontId="71" fillId="5" borderId="43" xfId="0" applyFont="1" applyFill="1" applyBorder="1" applyAlignment="1" applyProtection="1">
      <alignment horizontal="left" vertical="center" wrapText="1"/>
      <protection locked="0"/>
    </xf>
    <xf numFmtId="0" fontId="71" fillId="5" borderId="44" xfId="0" applyFont="1" applyFill="1" applyBorder="1" applyAlignment="1" applyProtection="1">
      <alignment horizontal="left" vertical="center" wrapText="1"/>
      <protection locked="0"/>
    </xf>
    <xf numFmtId="0" fontId="72" fillId="5" borderId="22" xfId="0" applyFont="1" applyFill="1" applyBorder="1" applyAlignment="1">
      <alignment horizontal="left" vertical="center" wrapText="1"/>
    </xf>
    <xf numFmtId="0" fontId="71" fillId="5" borderId="64" xfId="0" applyFont="1" applyFill="1" applyBorder="1" applyAlignment="1">
      <alignment horizontal="left" vertical="center"/>
    </xf>
    <xf numFmtId="0" fontId="71" fillId="5" borderId="9" xfId="0" applyFont="1" applyFill="1" applyBorder="1" applyAlignment="1">
      <alignment horizontal="left" vertical="center"/>
    </xf>
    <xf numFmtId="0" fontId="81" fillId="5" borderId="59" xfId="0" applyFont="1" applyFill="1" applyBorder="1" applyAlignment="1">
      <alignment horizontal="center" vertical="center" wrapText="1"/>
    </xf>
    <xf numFmtId="0" fontId="81" fillId="5" borderId="30" xfId="0" applyFont="1" applyFill="1" applyBorder="1" applyAlignment="1">
      <alignment horizontal="center" vertical="center" wrapText="1"/>
    </xf>
    <xf numFmtId="0" fontId="81" fillId="5" borderId="57" xfId="0" applyFont="1" applyFill="1" applyBorder="1" applyAlignment="1">
      <alignment horizontal="center" vertical="center" wrapText="1"/>
    </xf>
    <xf numFmtId="0" fontId="71" fillId="6" borderId="8" xfId="0" applyFont="1" applyFill="1" applyBorder="1">
      <alignment vertical="center"/>
    </xf>
    <xf numFmtId="0" fontId="71" fillId="6" borderId="9" xfId="0" applyFont="1" applyFill="1" applyBorder="1">
      <alignment vertical="center"/>
    </xf>
    <xf numFmtId="0" fontId="81" fillId="5" borderId="61" xfId="0" applyFont="1" applyFill="1" applyBorder="1" applyAlignment="1">
      <alignment horizontal="center" vertical="center"/>
    </xf>
    <xf numFmtId="0" fontId="140" fillId="5" borderId="1" xfId="0" applyFont="1" applyFill="1" applyBorder="1" applyAlignment="1">
      <alignment horizontal="center" vertical="center" wrapText="1"/>
    </xf>
    <xf numFmtId="0" fontId="140" fillId="5" borderId="6" xfId="0" applyFont="1" applyFill="1" applyBorder="1" applyAlignment="1">
      <alignment horizontal="center" vertical="center" wrapText="1"/>
    </xf>
    <xf numFmtId="0" fontId="140" fillId="5" borderId="11" xfId="0" applyFont="1" applyFill="1" applyBorder="1" applyAlignment="1">
      <alignment horizontal="center" vertical="center" wrapText="1"/>
    </xf>
    <xf numFmtId="0" fontId="140" fillId="5" borderId="2" xfId="0" applyFont="1" applyFill="1" applyBorder="1" applyAlignment="1">
      <alignment horizontal="center" vertical="center" wrapText="1"/>
    </xf>
    <xf numFmtId="0" fontId="80" fillId="5" borderId="10" xfId="0" applyFont="1" applyFill="1" applyBorder="1" applyAlignment="1">
      <alignment horizontal="center" vertical="center"/>
    </xf>
    <xf numFmtId="0" fontId="80" fillId="5" borderId="3" xfId="0" applyFont="1" applyFill="1" applyBorder="1" applyAlignment="1">
      <alignment horizontal="center" vertical="center"/>
    </xf>
    <xf numFmtId="0" fontId="80" fillId="5" borderId="21" xfId="0" applyFont="1" applyFill="1" applyBorder="1" applyAlignment="1">
      <alignment horizontal="center" vertical="center"/>
    </xf>
    <xf numFmtId="0" fontId="67" fillId="5" borderId="5" xfId="0" applyFont="1" applyFill="1" applyBorder="1" applyAlignment="1">
      <alignment horizontal="center" vertical="center"/>
    </xf>
    <xf numFmtId="0" fontId="67" fillId="5" borderId="9" xfId="0" applyFont="1" applyFill="1" applyBorder="1" applyAlignment="1">
      <alignment horizontal="center" vertical="center"/>
    </xf>
    <xf numFmtId="0" fontId="80" fillId="5" borderId="4" xfId="0" applyFont="1" applyFill="1" applyBorder="1" applyAlignment="1">
      <alignment horizontal="center" vertical="center"/>
    </xf>
    <xf numFmtId="0" fontId="80" fillId="5" borderId="32" xfId="0" applyFont="1" applyFill="1" applyBorder="1" applyAlignment="1">
      <alignment horizontal="center" vertical="center"/>
    </xf>
    <xf numFmtId="0" fontId="80" fillId="5" borderId="13" xfId="0" applyFont="1" applyFill="1" applyBorder="1" applyAlignment="1">
      <alignment horizontal="center" vertical="center"/>
    </xf>
    <xf numFmtId="0" fontId="80" fillId="5" borderId="18" xfId="0" applyFont="1" applyFill="1" applyBorder="1" applyAlignment="1">
      <alignment horizontal="center" vertical="center"/>
    </xf>
    <xf numFmtId="0" fontId="80" fillId="5" borderId="17" xfId="0" applyFont="1" applyFill="1" applyBorder="1" applyAlignment="1">
      <alignment horizontal="center" vertical="center"/>
    </xf>
    <xf numFmtId="0" fontId="80" fillId="5" borderId="20" xfId="0" applyFont="1" applyFill="1" applyBorder="1" applyAlignment="1">
      <alignment horizontal="center" vertical="center"/>
    </xf>
    <xf numFmtId="0" fontId="80" fillId="5" borderId="2" xfId="0" applyFont="1" applyFill="1" applyBorder="1" applyAlignment="1">
      <alignment horizontal="center" vertical="center" wrapText="1"/>
    </xf>
    <xf numFmtId="0" fontId="67" fillId="5" borderId="8" xfId="0" applyFont="1" applyFill="1" applyBorder="1" applyAlignment="1">
      <alignment horizontal="center" vertical="center"/>
    </xf>
    <xf numFmtId="0" fontId="80" fillId="5" borderId="10" xfId="0" applyFont="1" applyFill="1" applyBorder="1" applyAlignment="1">
      <alignment horizontal="center" vertical="center" wrapText="1"/>
    </xf>
    <xf numFmtId="0" fontId="80" fillId="5" borderId="3" xfId="0" applyFont="1" applyFill="1" applyBorder="1" applyAlignment="1">
      <alignment horizontal="center" vertical="center" wrapText="1"/>
    </xf>
    <xf numFmtId="0" fontId="80" fillId="5" borderId="10" xfId="0" applyFont="1" applyFill="1" applyBorder="1" applyAlignment="1">
      <alignment horizontal="center" vertical="center" textRotation="255" wrapText="1"/>
    </xf>
    <xf numFmtId="0" fontId="80" fillId="5" borderId="3" xfId="0" applyFont="1" applyFill="1" applyBorder="1" applyAlignment="1">
      <alignment horizontal="center" vertical="center" textRotation="255" wrapText="1"/>
    </xf>
    <xf numFmtId="0" fontId="80" fillId="5" borderId="5" xfId="0" applyFont="1" applyFill="1" applyBorder="1" applyAlignment="1">
      <alignment horizontal="center" vertical="center" wrapText="1"/>
    </xf>
    <xf numFmtId="0" fontId="80" fillId="5" borderId="9" xfId="0" applyFont="1" applyFill="1" applyBorder="1" applyAlignment="1">
      <alignment horizontal="center" vertical="center" wrapText="1"/>
    </xf>
    <xf numFmtId="0" fontId="80" fillId="5" borderId="1" xfId="0" applyFont="1" applyFill="1" applyBorder="1" applyAlignment="1">
      <alignment horizontal="center" vertical="center" wrapText="1"/>
    </xf>
    <xf numFmtId="0" fontId="80" fillId="5" borderId="7" xfId="0" applyFont="1" applyFill="1" applyBorder="1" applyAlignment="1">
      <alignment horizontal="center" vertical="center" wrapText="1"/>
    </xf>
    <xf numFmtId="0" fontId="80" fillId="5" borderId="4" xfId="0" applyFont="1" applyFill="1" applyBorder="1" applyAlignment="1">
      <alignment horizontal="center" vertical="center" wrapText="1"/>
    </xf>
    <xf numFmtId="0" fontId="80" fillId="5" borderId="32" xfId="0" applyFont="1" applyFill="1" applyBorder="1" applyAlignment="1">
      <alignment horizontal="center" vertical="center" wrapText="1"/>
    </xf>
    <xf numFmtId="0" fontId="80" fillId="5" borderId="13" xfId="0" applyFont="1" applyFill="1" applyBorder="1" applyAlignment="1">
      <alignment horizontal="center" vertical="center" wrapText="1"/>
    </xf>
    <xf numFmtId="0" fontId="80" fillId="5" borderId="18" xfId="0" applyFont="1" applyFill="1" applyBorder="1" applyAlignment="1">
      <alignment horizontal="center" vertical="center" wrapText="1"/>
    </xf>
    <xf numFmtId="0" fontId="80" fillId="5" borderId="17" xfId="0" applyFont="1" applyFill="1" applyBorder="1" applyAlignment="1">
      <alignment horizontal="center" vertical="center" wrapText="1"/>
    </xf>
    <xf numFmtId="0" fontId="80" fillId="5" borderId="20" xfId="0" applyFont="1" applyFill="1" applyBorder="1" applyAlignment="1">
      <alignment horizontal="center" vertical="center" wrapText="1"/>
    </xf>
    <xf numFmtId="0" fontId="80" fillId="5" borderId="2" xfId="0" applyFont="1" applyFill="1" applyBorder="1" applyAlignment="1">
      <alignment horizontal="center" vertical="center"/>
    </xf>
    <xf numFmtId="0" fontId="256" fillId="0" borderId="22" xfId="0" applyFont="1" applyBorder="1" applyAlignment="1" applyProtection="1">
      <alignment horizontal="center" vertical="center" wrapText="1"/>
      <protection locked="0"/>
    </xf>
    <xf numFmtId="0" fontId="256" fillId="0" borderId="25" xfId="0" applyFont="1" applyBorder="1" applyAlignment="1" applyProtection="1">
      <alignment horizontal="center" vertical="center" wrapText="1"/>
      <protection locked="0"/>
    </xf>
    <xf numFmtId="0" fontId="256" fillId="0" borderId="11" xfId="0" applyFont="1" applyBorder="1" applyAlignment="1" applyProtection="1">
      <alignment horizontal="center" vertical="center" wrapText="1"/>
      <protection locked="0"/>
    </xf>
    <xf numFmtId="0" fontId="256" fillId="0" borderId="12" xfId="0" applyFont="1" applyBorder="1" applyAlignment="1" applyProtection="1">
      <alignment horizontal="center" vertical="center" wrapText="1"/>
      <protection locked="0"/>
    </xf>
    <xf numFmtId="0" fontId="256" fillId="0" borderId="43" xfId="0" applyFont="1" applyBorder="1" applyAlignment="1" applyProtection="1">
      <alignment horizontal="center" vertical="center" wrapText="1"/>
      <protection locked="0"/>
    </xf>
    <xf numFmtId="0" fontId="256" fillId="0" borderId="46" xfId="0" applyFont="1" applyBorder="1" applyAlignment="1" applyProtection="1">
      <alignment horizontal="center" vertical="center" wrapText="1"/>
      <protection locked="0"/>
    </xf>
    <xf numFmtId="185" fontId="79" fillId="16" borderId="2" xfId="0" applyNumberFormat="1" applyFont="1" applyFill="1" applyBorder="1" applyAlignment="1">
      <alignment horizontal="center" vertical="center"/>
    </xf>
    <xf numFmtId="185" fontId="80" fillId="5" borderId="2" xfId="0" applyNumberFormat="1" applyFont="1" applyFill="1" applyBorder="1" applyAlignment="1">
      <alignment horizontal="center" vertical="center"/>
    </xf>
    <xf numFmtId="0" fontId="160" fillId="5" borderId="0" xfId="3" applyFont="1" applyFill="1" applyAlignment="1">
      <alignment horizontal="left" vertical="center"/>
    </xf>
    <xf numFmtId="49" fontId="217" fillId="5" borderId="53" xfId="0" applyNumberFormat="1" applyFont="1" applyFill="1" applyBorder="1" applyAlignment="1">
      <alignment horizontal="center" vertical="center" wrapText="1"/>
    </xf>
    <xf numFmtId="49" fontId="91" fillId="5" borderId="23" xfId="0" applyNumberFormat="1" applyFont="1" applyFill="1" applyBorder="1" applyAlignment="1">
      <alignment horizontal="center" vertical="center" wrapText="1"/>
    </xf>
    <xf numFmtId="0" fontId="165" fillId="5" borderId="0" xfId="3" applyFont="1" applyFill="1" applyAlignment="1">
      <alignment horizontal="center" vertical="center"/>
    </xf>
    <xf numFmtId="0" fontId="160" fillId="5" borderId="2" xfId="3" applyFont="1" applyFill="1" applyBorder="1" applyAlignment="1">
      <alignment horizontal="center" vertical="center"/>
    </xf>
    <xf numFmtId="0" fontId="263" fillId="5" borderId="10" xfId="0" applyFont="1" applyFill="1" applyBorder="1" applyAlignment="1">
      <alignment vertical="center" wrapText="1"/>
    </xf>
    <xf numFmtId="0" fontId="263" fillId="5" borderId="3" xfId="0" applyFont="1" applyFill="1" applyBorder="1" applyAlignment="1">
      <alignment vertical="center" wrapText="1"/>
    </xf>
    <xf numFmtId="0" fontId="82"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2" fillId="5" borderId="9" xfId="3" applyFont="1" applyFill="1" applyBorder="1" applyAlignment="1" applyProtection="1">
      <alignment horizontal="right" vertical="center" wrapText="1"/>
      <protection locked="0"/>
    </xf>
    <xf numFmtId="0" fontId="160" fillId="5" borderId="10" xfId="3" applyFont="1" applyFill="1" applyBorder="1" applyAlignment="1">
      <alignment horizontal="center" vertical="center"/>
    </xf>
    <xf numFmtId="0" fontId="160" fillId="5" borderId="3" xfId="3" applyFont="1" applyFill="1" applyBorder="1" applyAlignment="1">
      <alignment horizontal="center" vertical="center"/>
    </xf>
    <xf numFmtId="0" fontId="160" fillId="5" borderId="21" xfId="3" applyFont="1" applyFill="1" applyBorder="1" applyAlignment="1">
      <alignment horizontal="center" vertical="center"/>
    </xf>
    <xf numFmtId="0" fontId="39" fillId="5" borderId="40" xfId="3" applyFont="1" applyFill="1" applyBorder="1" applyAlignment="1">
      <alignment horizontal="center" vertical="center" wrapText="1"/>
    </xf>
    <xf numFmtId="0" fontId="39" fillId="5" borderId="58" xfId="3" applyFont="1" applyFill="1" applyBorder="1" applyAlignment="1">
      <alignment horizontal="center" vertical="center" wrapText="1"/>
    </xf>
    <xf numFmtId="0" fontId="160" fillId="5" borderId="2" xfId="0" applyFont="1" applyFill="1" applyBorder="1" applyAlignment="1">
      <alignment horizontal="left" vertical="center"/>
    </xf>
    <xf numFmtId="0" fontId="160" fillId="5" borderId="10" xfId="0" applyFont="1" applyFill="1" applyBorder="1" applyAlignment="1">
      <alignment horizontal="left" vertical="center"/>
    </xf>
    <xf numFmtId="0" fontId="160" fillId="5" borderId="21" xfId="0" applyFont="1" applyFill="1" applyBorder="1" applyAlignment="1">
      <alignment horizontal="left" vertical="center"/>
    </xf>
    <xf numFmtId="0" fontId="160" fillId="5" borderId="3" xfId="0" applyFont="1" applyFill="1" applyBorder="1" applyAlignment="1">
      <alignment horizontal="left" vertical="center"/>
    </xf>
    <xf numFmtId="0" fontId="160" fillId="5" borderId="1" xfId="0" applyFont="1" applyFill="1" applyBorder="1" applyAlignment="1">
      <alignment horizontal="left" vertical="center"/>
    </xf>
    <xf numFmtId="0" fontId="160" fillId="5" borderId="11" xfId="0" applyFont="1" applyFill="1" applyBorder="1" applyAlignment="1">
      <alignment horizontal="left" vertical="center"/>
    </xf>
    <xf numFmtId="0" fontId="160" fillId="5" borderId="43" xfId="0" applyFont="1" applyFill="1" applyBorder="1" applyAlignment="1">
      <alignment horizontal="left" vertical="center"/>
    </xf>
    <xf numFmtId="0" fontId="160" fillId="5" borderId="27" xfId="0" applyFont="1" applyFill="1" applyBorder="1" applyAlignment="1">
      <alignment horizontal="left" vertical="center"/>
    </xf>
    <xf numFmtId="0" fontId="160" fillId="5" borderId="55" xfId="0" applyFont="1" applyFill="1" applyBorder="1" applyAlignment="1">
      <alignment horizontal="left" vertical="center"/>
    </xf>
    <xf numFmtId="0" fontId="160" fillId="5" borderId="53" xfId="0" applyFont="1" applyFill="1" applyBorder="1" applyAlignment="1">
      <alignment horizontal="left" vertical="center"/>
    </xf>
    <xf numFmtId="0" fontId="160" fillId="5" borderId="24" xfId="0" applyFont="1" applyFill="1" applyBorder="1" applyAlignment="1">
      <alignment horizontal="left" vertical="center"/>
    </xf>
    <xf numFmtId="0" fontId="160" fillId="5" borderId="23" xfId="0" applyFont="1" applyFill="1" applyBorder="1" applyAlignment="1">
      <alignment horizontal="left" vertical="center"/>
    </xf>
    <xf numFmtId="0" fontId="285" fillId="5" borderId="0" xfId="0" applyFont="1" applyFill="1" applyAlignment="1">
      <alignment horizontal="center" vertical="center"/>
    </xf>
    <xf numFmtId="0" fontId="285" fillId="5" borderId="65" xfId="0" applyFont="1" applyFill="1" applyBorder="1" applyAlignment="1">
      <alignment horizontal="center" vertical="center"/>
    </xf>
    <xf numFmtId="0" fontId="285" fillId="5" borderId="1" xfId="0" applyFont="1" applyFill="1" applyBorder="1" applyAlignment="1">
      <alignment horizontal="left" vertical="center" wrapText="1"/>
    </xf>
    <xf numFmtId="0" fontId="285" fillId="5" borderId="43" xfId="0" applyFont="1" applyFill="1" applyBorder="1" applyAlignment="1">
      <alignment horizontal="left" vertical="center" wrapText="1"/>
    </xf>
    <xf numFmtId="0" fontId="291" fillId="0" borderId="0" xfId="0" applyFont="1" applyAlignment="1">
      <alignment horizontal="center" vertical="center"/>
    </xf>
    <xf numFmtId="0" fontId="291" fillId="0" borderId="18" xfId="0" applyFont="1" applyBorder="1" applyAlignment="1">
      <alignment horizontal="center" vertical="center"/>
    </xf>
    <xf numFmtId="0" fontId="195" fillId="5" borderId="0" xfId="0" applyFont="1" applyFill="1" applyAlignment="1">
      <alignment horizontal="left" vertical="center"/>
    </xf>
    <xf numFmtId="0" fontId="226" fillId="0" borderId="0" xfId="10" applyFont="1" applyAlignment="1">
      <alignment horizontal="left" vertical="center"/>
    </xf>
    <xf numFmtId="0" fontId="153" fillId="0" borderId="0" xfId="10" applyFont="1" applyAlignment="1">
      <alignment horizontal="left" vertical="center"/>
    </xf>
    <xf numFmtId="0" fontId="230" fillId="0" borderId="0" xfId="10" applyFont="1" applyAlignment="1">
      <alignment horizontal="left" vertical="center"/>
    </xf>
    <xf numFmtId="0" fontId="232" fillId="11" borderId="129" xfId="10" applyFont="1" applyFill="1" applyBorder="1" applyAlignment="1">
      <alignment horizontal="left" vertical="center" wrapText="1"/>
    </xf>
    <xf numFmtId="0" fontId="232" fillId="11" borderId="123" xfId="10" applyFont="1" applyFill="1" applyBorder="1" applyAlignment="1">
      <alignment horizontal="left" vertical="center" wrapText="1"/>
    </xf>
    <xf numFmtId="0" fontId="232" fillId="11" borderId="125" xfId="10" applyFont="1" applyFill="1" applyBorder="1" applyAlignment="1">
      <alignment horizontal="left" vertical="center" wrapText="1"/>
    </xf>
    <xf numFmtId="0" fontId="148" fillId="11" borderId="129" xfId="10" applyFont="1" applyFill="1" applyBorder="1" applyAlignment="1">
      <alignment horizontal="left" vertical="center" wrapText="1"/>
    </xf>
    <xf numFmtId="0" fontId="148" fillId="11" borderId="123" xfId="10" applyFont="1" applyFill="1" applyBorder="1" applyAlignment="1">
      <alignment horizontal="left" vertical="center" wrapText="1"/>
    </xf>
    <xf numFmtId="0" fontId="148" fillId="11" borderId="125" xfId="10" applyFont="1" applyFill="1" applyBorder="1" applyAlignment="1">
      <alignment horizontal="left" vertical="center" wrapText="1"/>
    </xf>
    <xf numFmtId="0" fontId="232" fillId="11" borderId="119" xfId="10" applyFont="1" applyFill="1" applyBorder="1" applyAlignment="1">
      <alignment horizontal="left" vertical="center" wrapText="1"/>
    </xf>
    <xf numFmtId="0" fontId="232" fillId="11" borderId="152" xfId="10" applyFont="1" applyFill="1" applyBorder="1" applyAlignment="1">
      <alignment horizontal="left" vertical="center" wrapText="1"/>
    </xf>
    <xf numFmtId="0" fontId="226" fillId="0" borderId="0" xfId="13" applyFont="1" applyAlignment="1">
      <alignment horizontal="left" vertical="center"/>
    </xf>
    <xf numFmtId="0" fontId="153" fillId="0" borderId="0" xfId="13" applyFont="1" applyAlignment="1">
      <alignment horizontal="left" vertical="center"/>
    </xf>
    <xf numFmtId="0" fontId="118" fillId="5" borderId="0" xfId="0" applyFont="1" applyFill="1" applyAlignment="1" applyProtection="1">
      <alignment horizontal="left" vertical="center"/>
      <protection locked="0"/>
    </xf>
    <xf numFmtId="0" fontId="221" fillId="5" borderId="10" xfId="0" applyFont="1" applyFill="1" applyBorder="1" applyAlignment="1">
      <alignment vertical="top" wrapText="1"/>
    </xf>
    <xf numFmtId="0" fontId="221" fillId="5" borderId="18" xfId="0" applyFont="1" applyFill="1" applyBorder="1" applyAlignment="1">
      <alignment vertical="top" wrapText="1"/>
    </xf>
    <xf numFmtId="0" fontId="221" fillId="5" borderId="3" xfId="0" applyFont="1" applyFill="1" applyBorder="1" applyAlignment="1">
      <alignment vertical="top" wrapText="1"/>
    </xf>
    <xf numFmtId="0" fontId="221" fillId="5" borderId="21" xfId="0" applyFont="1" applyFill="1" applyBorder="1" applyAlignment="1">
      <alignment vertical="top" wrapText="1"/>
    </xf>
    <xf numFmtId="0" fontId="157" fillId="5" borderId="49" xfId="0" applyFont="1" applyFill="1" applyBorder="1" applyAlignment="1">
      <alignment horizontal="left" vertical="center" wrapText="1"/>
    </xf>
    <xf numFmtId="0" fontId="157" fillId="5" borderId="38" xfId="0" applyFont="1" applyFill="1" applyBorder="1" applyAlignment="1">
      <alignment horizontal="left" vertical="center" wrapText="1"/>
    </xf>
    <xf numFmtId="0" fontId="145" fillId="5" borderId="26" xfId="0" applyFont="1" applyFill="1" applyBorder="1" applyAlignment="1">
      <alignment horizontal="center" vertical="center" wrapText="1"/>
    </xf>
    <xf numFmtId="0" fontId="145" fillId="5" borderId="39" xfId="0" applyFont="1" applyFill="1" applyBorder="1" applyAlignment="1">
      <alignment horizontal="center" vertical="center" wrapText="1"/>
    </xf>
    <xf numFmtId="0" fontId="145" fillId="5" borderId="87" xfId="0" applyFont="1" applyFill="1" applyBorder="1" applyAlignment="1">
      <alignment horizontal="center" vertical="center" wrapText="1"/>
    </xf>
    <xf numFmtId="0" fontId="145" fillId="5" borderId="63" xfId="0" applyFont="1" applyFill="1" applyBorder="1" applyAlignment="1">
      <alignment horizontal="center" vertical="center" wrapText="1"/>
    </xf>
    <xf numFmtId="185" fontId="79" fillId="5" borderId="2" xfId="0" applyNumberFormat="1" applyFont="1" applyFill="1" applyBorder="1" applyAlignment="1">
      <alignment horizontal="center" vertical="center"/>
    </xf>
    <xf numFmtId="0" fontId="80" fillId="5" borderId="42" xfId="0" applyFont="1" applyFill="1" applyBorder="1" applyAlignment="1">
      <alignment horizontal="center" vertical="center" wrapText="1"/>
    </xf>
    <xf numFmtId="0" fontId="80" fillId="5" borderId="29" xfId="0" applyFont="1" applyFill="1" applyBorder="1" applyAlignment="1">
      <alignment horizontal="center" vertical="center" wrapText="1"/>
    </xf>
    <xf numFmtId="0" fontId="256" fillId="0" borderId="9" xfId="0" applyFont="1" applyBorder="1" applyAlignment="1" applyProtection="1">
      <alignment horizontal="center" vertical="center" wrapText="1"/>
      <protection locked="0"/>
    </xf>
    <xf numFmtId="0" fontId="256" fillId="0" borderId="5" xfId="0" applyFont="1" applyBorder="1" applyAlignment="1" applyProtection="1">
      <alignment horizontal="center" vertical="center" wrapText="1"/>
      <protection locked="0"/>
    </xf>
    <xf numFmtId="0" fontId="256" fillId="0" borderId="32" xfId="0" applyFont="1" applyBorder="1" applyAlignment="1" applyProtection="1">
      <alignment horizontal="center" vertical="center" wrapText="1"/>
      <protection locked="0"/>
    </xf>
    <xf numFmtId="0" fontId="256" fillId="0" borderId="4" xfId="0" applyFont="1" applyBorder="1" applyAlignment="1" applyProtection="1">
      <alignment horizontal="center" vertical="center" wrapText="1"/>
      <protection locked="0"/>
    </xf>
    <xf numFmtId="0" fontId="300" fillId="0" borderId="2" xfId="0" applyFont="1" applyBorder="1" applyAlignment="1">
      <alignment horizontal="center" vertical="center" wrapText="1"/>
    </xf>
    <xf numFmtId="0" fontId="300" fillId="0" borderId="2" xfId="0" applyFont="1" applyBorder="1" applyAlignment="1">
      <alignment horizontal="center" vertical="center"/>
    </xf>
    <xf numFmtId="0" fontId="301" fillId="0" borderId="2" xfId="0" applyFont="1" applyBorder="1" applyAlignment="1">
      <alignment horizontal="center" vertical="center"/>
    </xf>
    <xf numFmtId="0" fontId="243" fillId="0" borderId="19" xfId="2" applyFont="1" applyBorder="1" applyAlignment="1">
      <alignment horizontal="center" vertical="center" wrapText="1"/>
    </xf>
    <xf numFmtId="185" fontId="300" fillId="0" borderId="2" xfId="0" applyNumberFormat="1" applyFont="1" applyBorder="1" applyAlignment="1">
      <alignment horizontal="center" vertical="center"/>
    </xf>
    <xf numFmtId="0" fontId="141" fillId="0" borderId="0" xfId="17" applyNumberFormat="1" applyAlignment="1">
      <alignment horizontal="center" vertical="center" wrapText="1"/>
    </xf>
    <xf numFmtId="0" fontId="0" fillId="0" borderId="0" xfId="0" applyAlignment="1">
      <alignment horizontal="center" vertical="center" wrapText="1"/>
    </xf>
    <xf numFmtId="0" fontId="91" fillId="5" borderId="11" xfId="6" applyFont="1" applyFill="1" applyBorder="1" applyAlignment="1" applyProtection="1">
      <alignment horizontal="left" vertical="center" wrapText="1"/>
      <protection locked="0"/>
    </xf>
    <xf numFmtId="0" fontId="91" fillId="5" borderId="10" xfId="6" applyFont="1" applyFill="1" applyBorder="1" applyAlignment="1" applyProtection="1">
      <alignment horizontal="left" vertical="center" wrapText="1"/>
      <protection locked="0"/>
    </xf>
    <xf numFmtId="0" fontId="91" fillId="5" borderId="3" xfId="6" applyFont="1" applyFill="1" applyBorder="1" applyAlignment="1" applyProtection="1">
      <alignment horizontal="left" vertical="center" wrapText="1"/>
      <protection locked="0"/>
    </xf>
    <xf numFmtId="0" fontId="91" fillId="5" borderId="21" xfId="6" applyFont="1" applyFill="1" applyBorder="1" applyAlignment="1" applyProtection="1">
      <alignment horizontal="left" vertical="center" wrapText="1"/>
      <protection locked="0"/>
    </xf>
    <xf numFmtId="0" fontId="153" fillId="5" borderId="22" xfId="6" applyFont="1" applyFill="1" applyBorder="1" applyAlignment="1" applyProtection="1">
      <alignment horizontal="left" vertical="center"/>
      <protection locked="0"/>
    </xf>
    <xf numFmtId="0" fontId="153" fillId="5" borderId="50" xfId="6" applyFont="1" applyFill="1" applyBorder="1" applyAlignment="1" applyProtection="1">
      <alignment horizontal="left" vertical="center"/>
      <protection locked="0"/>
    </xf>
    <xf numFmtId="0" fontId="91" fillId="20" borderId="87" xfId="6" applyFont="1" applyFill="1" applyBorder="1" applyAlignment="1" applyProtection="1">
      <alignment vertical="center"/>
      <protection locked="0"/>
    </xf>
    <xf numFmtId="0" fontId="91" fillId="20" borderId="20" xfId="6" applyFont="1" applyFill="1" applyBorder="1" applyAlignment="1" applyProtection="1">
      <alignment vertical="center"/>
      <protection locked="0"/>
    </xf>
    <xf numFmtId="0" fontId="91" fillId="5" borderId="64" xfId="6" applyFont="1" applyFill="1" applyBorder="1" applyAlignment="1" applyProtection="1">
      <alignment horizontal="left" vertical="center"/>
      <protection locked="0"/>
    </xf>
    <xf numFmtId="0" fontId="91" fillId="5" borderId="9" xfId="6" applyFont="1" applyFill="1" applyBorder="1" applyAlignment="1" applyProtection="1">
      <alignment horizontal="left" vertical="center"/>
      <protection locked="0"/>
    </xf>
    <xf numFmtId="0" fontId="82" fillId="5" borderId="5" xfId="6" applyFont="1" applyFill="1" applyBorder="1" applyAlignment="1">
      <alignment horizontal="left" vertical="center"/>
    </xf>
    <xf numFmtId="0" fontId="82" fillId="5" borderId="9" xfId="6" applyFont="1" applyFill="1" applyBorder="1" applyAlignment="1">
      <alignment horizontal="left" vertical="center"/>
    </xf>
    <xf numFmtId="0" fontId="91" fillId="5" borderId="45" xfId="6" applyFont="1" applyFill="1" applyBorder="1" applyAlignment="1">
      <alignment horizontal="left" vertical="center"/>
    </xf>
    <xf numFmtId="0" fontId="91" fillId="5" borderId="47" xfId="6" applyFont="1" applyFill="1" applyBorder="1" applyAlignment="1">
      <alignment horizontal="left" vertical="center"/>
    </xf>
    <xf numFmtId="0" fontId="153" fillId="5" borderId="36" xfId="6" applyFont="1" applyFill="1" applyBorder="1" applyAlignment="1">
      <alignment horizontal="left" vertical="center"/>
    </xf>
    <xf numFmtId="0" fontId="153" fillId="5" borderId="37" xfId="6" applyFont="1" applyFill="1" applyBorder="1" applyAlignment="1">
      <alignment horizontal="left" vertical="center"/>
    </xf>
    <xf numFmtId="0" fontId="153" fillId="5" borderId="62" xfId="6" applyFont="1" applyFill="1" applyBorder="1" applyAlignment="1">
      <alignment horizontal="left" vertical="center"/>
    </xf>
    <xf numFmtId="0" fontId="91" fillId="5" borderId="5" xfId="6" applyFont="1" applyFill="1" applyBorder="1" applyAlignment="1">
      <alignment horizontal="left" vertical="center"/>
    </xf>
    <xf numFmtId="0" fontId="91" fillId="5" borderId="9" xfId="6" applyFont="1" applyFill="1" applyBorder="1" applyAlignment="1">
      <alignment horizontal="left" vertical="center"/>
    </xf>
    <xf numFmtId="0" fontId="79" fillId="16" borderId="2" xfId="0" applyFont="1" applyFill="1" applyBorder="1" applyAlignment="1">
      <alignment horizontal="center" vertical="center"/>
    </xf>
    <xf numFmtId="0" fontId="80" fillId="5" borderId="21" xfId="0" applyFont="1" applyFill="1" applyBorder="1" applyAlignment="1">
      <alignment horizontal="center" vertical="center" textRotation="255" wrapText="1"/>
    </xf>
    <xf numFmtId="0" fontId="80" fillId="5" borderId="14" xfId="0" applyFont="1" applyFill="1" applyBorder="1" applyAlignment="1">
      <alignment horizontal="center" vertical="center" wrapText="1"/>
    </xf>
    <xf numFmtId="0" fontId="80" fillId="5" borderId="0" xfId="0" applyFont="1" applyFill="1" applyAlignment="1">
      <alignment horizontal="center" vertical="center" wrapText="1"/>
    </xf>
    <xf numFmtId="0" fontId="80" fillId="5" borderId="19" xfId="0" applyFont="1" applyFill="1" applyBorder="1" applyAlignment="1">
      <alignment horizontal="center" vertical="center" wrapText="1"/>
    </xf>
    <xf numFmtId="0" fontId="80" fillId="5" borderId="8" xfId="0" applyFont="1" applyFill="1" applyBorder="1" applyAlignment="1">
      <alignment horizontal="center" vertical="center" wrapText="1"/>
    </xf>
    <xf numFmtId="0" fontId="72" fillId="5" borderId="5" xfId="0" applyFont="1" applyFill="1" applyBorder="1" applyAlignment="1">
      <alignment horizontal="center" vertical="center"/>
    </xf>
    <xf numFmtId="0" fontId="72" fillId="5" borderId="8" xfId="0" applyFont="1" applyFill="1" applyBorder="1" applyAlignment="1">
      <alignment horizontal="center" vertical="center"/>
    </xf>
    <xf numFmtId="0" fontId="72" fillId="5" borderId="9" xfId="0" applyFont="1" applyFill="1" applyBorder="1" applyAlignment="1">
      <alignment horizontal="center" vertical="center"/>
    </xf>
    <xf numFmtId="0" fontId="72" fillId="5" borderId="68" xfId="0" applyFont="1" applyFill="1" applyBorder="1" applyAlignment="1" applyProtection="1">
      <alignment horizontal="center" vertical="center"/>
      <protection locked="0"/>
    </xf>
    <xf numFmtId="0" fontId="72" fillId="5" borderId="61" xfId="0" applyFont="1" applyFill="1" applyBorder="1" applyAlignment="1" applyProtection="1">
      <alignment horizontal="center" vertical="center"/>
      <protection locked="0"/>
    </xf>
    <xf numFmtId="0" fontId="72" fillId="5" borderId="67" xfId="0" applyFont="1" applyFill="1" applyBorder="1" applyAlignment="1" applyProtection="1">
      <alignment horizontal="center" vertical="center"/>
      <protection locked="0"/>
    </xf>
    <xf numFmtId="0" fontId="152" fillId="5" borderId="36" xfId="0" applyFont="1" applyFill="1" applyBorder="1">
      <alignment vertical="center"/>
    </xf>
    <xf numFmtId="0" fontId="152" fillId="5" borderId="37" xfId="0" applyFont="1" applyFill="1" applyBorder="1">
      <alignment vertical="center"/>
    </xf>
    <xf numFmtId="0" fontId="71" fillId="5" borderId="54" xfId="0" applyFont="1" applyFill="1" applyBorder="1" applyAlignment="1"/>
    <xf numFmtId="0" fontId="71" fillId="5" borderId="67" xfId="0" applyFont="1" applyFill="1" applyBorder="1" applyAlignment="1"/>
    <xf numFmtId="0" fontId="154" fillId="5" borderId="49" xfId="0" applyFont="1" applyFill="1" applyBorder="1" applyAlignment="1">
      <alignment horizontal="left" vertical="center" wrapText="1"/>
    </xf>
    <xf numFmtId="0" fontId="154" fillId="5" borderId="38" xfId="0" applyFont="1" applyFill="1" applyBorder="1" applyAlignment="1">
      <alignment horizontal="left" vertical="center" wrapText="1"/>
    </xf>
    <xf numFmtId="0" fontId="141" fillId="0" borderId="2" xfId="17" applyNumberFormat="1" applyBorder="1" applyAlignment="1">
      <alignment horizontal="center" vertical="center"/>
    </xf>
    <xf numFmtId="0" fontId="141" fillId="0" borderId="2" xfId="17" applyNumberFormat="1" applyBorder="1">
      <alignment vertical="center"/>
    </xf>
    <xf numFmtId="0" fontId="141" fillId="0" borderId="10" xfId="17" applyNumberFormat="1" applyBorder="1" applyAlignment="1">
      <alignment horizontal="center" vertical="center" wrapText="1"/>
    </xf>
    <xf numFmtId="0" fontId="141" fillId="0" borderId="0" xfId="17" applyNumberFormat="1" applyAlignment="1">
      <alignment horizontal="center" vertical="center"/>
    </xf>
    <xf numFmtId="0" fontId="141" fillId="0" borderId="0" xfId="17" applyNumberFormat="1">
      <alignment vertical="center"/>
    </xf>
    <xf numFmtId="195" fontId="141" fillId="0" borderId="0" xfId="17">
      <alignment vertical="center"/>
    </xf>
    <xf numFmtId="0" fontId="141" fillId="0" borderId="2" xfId="17" applyNumberFormat="1" applyBorder="1" applyAlignment="1">
      <alignment vertical="center" wrapText="1"/>
    </xf>
    <xf numFmtId="0" fontId="141" fillId="0" borderId="21" xfId="17" applyNumberFormat="1" applyBorder="1" applyAlignment="1">
      <alignment horizontal="center" vertical="center" wrapText="1"/>
    </xf>
    <xf numFmtId="195" fontId="141" fillId="0" borderId="0" xfId="17" applyAlignment="1">
      <alignment vertical="center" wrapText="1"/>
    </xf>
    <xf numFmtId="0" fontId="141" fillId="24" borderId="2" xfId="17" applyNumberFormat="1" applyFill="1" applyBorder="1">
      <alignment vertical="center"/>
    </xf>
    <xf numFmtId="0" fontId="141" fillId="24" borderId="2" xfId="17" applyNumberFormat="1" applyFill="1" applyBorder="1" applyAlignment="1">
      <alignment horizontal="center" vertical="center"/>
    </xf>
    <xf numFmtId="14" fontId="141" fillId="24" borderId="2" xfId="17" applyNumberFormat="1" applyFill="1" applyBorder="1" applyAlignment="1">
      <alignment horizontal="center" vertical="center"/>
    </xf>
    <xf numFmtId="0" fontId="141" fillId="24" borderId="0" xfId="17" applyNumberFormat="1" applyFill="1" applyAlignment="1">
      <alignment horizontal="center" vertical="center"/>
    </xf>
    <xf numFmtId="0" fontId="141" fillId="24" borderId="0" xfId="17" applyNumberFormat="1" applyFill="1">
      <alignment vertical="center"/>
    </xf>
    <xf numFmtId="195" fontId="141" fillId="24" borderId="0" xfId="17" applyFill="1">
      <alignment vertical="center"/>
    </xf>
    <xf numFmtId="0" fontId="141" fillId="0" borderId="2" xfId="17" applyNumberFormat="1" applyBorder="1" applyAlignment="1">
      <alignment horizontal="center" vertical="center"/>
    </xf>
    <xf numFmtId="14" fontId="141" fillId="0" borderId="2" xfId="17" applyNumberFormat="1" applyBorder="1" applyAlignment="1">
      <alignment horizontal="center" vertical="center"/>
    </xf>
    <xf numFmtId="0" fontId="141" fillId="0" borderId="0" xfId="17" applyNumberFormat="1" applyAlignment="1">
      <alignment horizontal="center" vertical="center"/>
    </xf>
  </cellXfs>
  <cellStyles count="19">
    <cellStyle name="百分比" xfId="16" builtinId="5"/>
    <cellStyle name="百分比 2" xfId="11" xr:uid="{00000000-0005-0000-0000-000001000000}"/>
    <cellStyle name="常规" xfId="0" builtinId="0"/>
    <cellStyle name="常规 11" xfId="17" xr:uid="{00000000-0005-0000-0000-000003000000}"/>
    <cellStyle name="常规 12" xfId="18" xr:uid="{7B5C1329-DABC-4AB4-8F17-E2C7EF4BDE05}"/>
    <cellStyle name="常规 16" xfId="1" xr:uid="{00000000-0005-0000-0000-000004000000}"/>
    <cellStyle name="常规 2" xfId="2" xr:uid="{00000000-0005-0000-0000-000005000000}"/>
    <cellStyle name="常规 2 2" xfId="3" xr:uid="{00000000-0005-0000-0000-000006000000}"/>
    <cellStyle name="常规 2 2 2 2 3" xfId="12" xr:uid="{00000000-0005-0000-0000-000007000000}"/>
    <cellStyle name="常规 3" xfId="4" xr:uid="{00000000-0005-0000-0000-000008000000}"/>
    <cellStyle name="常规 3 2" xfId="5" xr:uid="{00000000-0005-0000-0000-000009000000}"/>
    <cellStyle name="常规 4" xfId="6" xr:uid="{00000000-0005-0000-0000-00000A000000}"/>
    <cellStyle name="常规 5" xfId="7" xr:uid="{00000000-0005-0000-0000-00000B000000}"/>
    <cellStyle name="常规 6" xfId="8" xr:uid="{00000000-0005-0000-0000-00000C000000}"/>
    <cellStyle name="常规 6 2" xfId="10" xr:uid="{00000000-0005-0000-0000-00000D000000}"/>
    <cellStyle name="常规 6 2 2" xfId="13" xr:uid="{00000000-0005-0000-0000-00000E000000}"/>
    <cellStyle name="常规 7" xfId="9" xr:uid="{00000000-0005-0000-0000-00000F000000}"/>
    <cellStyle name="常规 8" xfId="15" xr:uid="{00000000-0005-0000-0000-000010000000}"/>
    <cellStyle name="常规 9" xfId="14" xr:uid="{00000000-0005-0000-0000-000011000000}"/>
  </cellStyles>
  <dxfs count="173">
    <dxf>
      <font>
        <color rgb="FFFF0000"/>
      </font>
    </dxf>
    <dxf>
      <font>
        <color rgb="FFFF0000"/>
      </font>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ill>
        <patternFill patternType="none">
          <bgColor auto="1"/>
        </patternFill>
      </fill>
    </dxf>
    <dxf>
      <font>
        <color rgb="FFFF0000"/>
      </font>
    </dxf>
    <dxf>
      <font>
        <color rgb="FFFF0000"/>
      </font>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ill>
        <patternFill>
          <bgColor theme="0" tint="-0.24994659260841701"/>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 Id="rId6" Type="http://schemas.openxmlformats.org/officeDocument/2006/relationships/image" Target="../media/image13.png"/><Relationship Id="rId5" Type="http://schemas.openxmlformats.org/officeDocument/2006/relationships/image" Target="../media/image12.png"/><Relationship Id="rId4"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34</xdr:row>
      <xdr:rowOff>38100</xdr:rowOff>
    </xdr:from>
    <xdr:to>
      <xdr:col>8</xdr:col>
      <xdr:colOff>1035676</xdr:colOff>
      <xdr:row>59</xdr:row>
      <xdr:rowOff>123825</xdr:rowOff>
    </xdr:to>
    <xdr:pic>
      <xdr:nvPicPr>
        <xdr:cNvPr id="2" name="图片 1">
          <a:extLst>
            <a:ext uri="{FF2B5EF4-FFF2-40B4-BE49-F238E27FC236}">
              <a16:creationId xmlns:a16="http://schemas.microsoft.com/office/drawing/2014/main" id="{8F92CD8D-06C4-6D4D-9A22-D51C657F45F7}"/>
            </a:ext>
          </a:extLst>
        </xdr:cNvPr>
        <xdr:cNvPicPr>
          <a:picLocks noChangeAspect="1"/>
        </xdr:cNvPicPr>
      </xdr:nvPicPr>
      <xdr:blipFill>
        <a:blip xmlns:r="http://schemas.openxmlformats.org/officeDocument/2006/relationships" r:embed="rId1"/>
        <a:stretch>
          <a:fillRect/>
        </a:stretch>
      </xdr:blipFill>
      <xdr:spPr>
        <a:xfrm>
          <a:off x="0" y="23212425"/>
          <a:ext cx="7074526" cy="4371975"/>
        </a:xfrm>
        <a:prstGeom prst="rect">
          <a:avLst/>
        </a:prstGeom>
      </xdr:spPr>
    </xdr:pic>
    <xdr:clientData/>
  </xdr:twoCellAnchor>
  <xdr:twoCellAnchor editAs="oneCell">
    <xdr:from>
      <xdr:col>8</xdr:col>
      <xdr:colOff>1209674</xdr:colOff>
      <xdr:row>33</xdr:row>
      <xdr:rowOff>145127</xdr:rowOff>
    </xdr:from>
    <xdr:to>
      <xdr:col>15</xdr:col>
      <xdr:colOff>8527</xdr:colOff>
      <xdr:row>56</xdr:row>
      <xdr:rowOff>66038</xdr:rowOff>
    </xdr:to>
    <xdr:pic>
      <xdr:nvPicPr>
        <xdr:cNvPr id="3" name="图片 2">
          <a:extLst>
            <a:ext uri="{FF2B5EF4-FFF2-40B4-BE49-F238E27FC236}">
              <a16:creationId xmlns:a16="http://schemas.microsoft.com/office/drawing/2014/main" id="{ECD13C36-64B4-881D-CDE5-51560F0CD01D}"/>
            </a:ext>
          </a:extLst>
        </xdr:cNvPr>
        <xdr:cNvPicPr>
          <a:picLocks noChangeAspect="1"/>
        </xdr:cNvPicPr>
      </xdr:nvPicPr>
      <xdr:blipFill>
        <a:blip xmlns:r="http://schemas.openxmlformats.org/officeDocument/2006/relationships" r:embed="rId2"/>
        <a:stretch>
          <a:fillRect/>
        </a:stretch>
      </xdr:blipFill>
      <xdr:spPr>
        <a:xfrm>
          <a:off x="7248524" y="23148002"/>
          <a:ext cx="6056903" cy="3864261"/>
        </a:xfrm>
        <a:prstGeom prst="rect">
          <a:avLst/>
        </a:prstGeom>
      </xdr:spPr>
    </xdr:pic>
    <xdr:clientData/>
  </xdr:twoCellAnchor>
  <xdr:twoCellAnchor editAs="oneCell">
    <xdr:from>
      <xdr:col>0</xdr:col>
      <xdr:colOff>161925</xdr:colOff>
      <xdr:row>19</xdr:row>
      <xdr:rowOff>161925</xdr:rowOff>
    </xdr:from>
    <xdr:to>
      <xdr:col>7</xdr:col>
      <xdr:colOff>497183</xdr:colOff>
      <xdr:row>32</xdr:row>
      <xdr:rowOff>161565</xdr:rowOff>
    </xdr:to>
    <xdr:pic>
      <xdr:nvPicPr>
        <xdr:cNvPr id="4" name="图片 3">
          <a:extLst>
            <a:ext uri="{FF2B5EF4-FFF2-40B4-BE49-F238E27FC236}">
              <a16:creationId xmlns:a16="http://schemas.microsoft.com/office/drawing/2014/main" id="{B9576E02-3470-52BA-F792-21F3804FEB8B}"/>
            </a:ext>
          </a:extLst>
        </xdr:cNvPr>
        <xdr:cNvPicPr>
          <a:picLocks noChangeAspect="1"/>
        </xdr:cNvPicPr>
      </xdr:nvPicPr>
      <xdr:blipFill>
        <a:blip xmlns:r="http://schemas.openxmlformats.org/officeDocument/2006/relationships" r:embed="rId3"/>
        <a:stretch>
          <a:fillRect/>
        </a:stretch>
      </xdr:blipFill>
      <xdr:spPr>
        <a:xfrm>
          <a:off x="161925" y="20764500"/>
          <a:ext cx="5135858" cy="2228490"/>
        </a:xfrm>
        <a:prstGeom prst="rect">
          <a:avLst/>
        </a:prstGeom>
      </xdr:spPr>
    </xdr:pic>
    <xdr:clientData/>
  </xdr:twoCellAnchor>
  <xdr:twoCellAnchor editAs="oneCell">
    <xdr:from>
      <xdr:col>11</xdr:col>
      <xdr:colOff>247649</xdr:colOff>
      <xdr:row>19</xdr:row>
      <xdr:rowOff>99510</xdr:rowOff>
    </xdr:from>
    <xdr:to>
      <xdr:col>15</xdr:col>
      <xdr:colOff>2056236</xdr:colOff>
      <xdr:row>33</xdr:row>
      <xdr:rowOff>142344</xdr:rowOff>
    </xdr:to>
    <xdr:pic>
      <xdr:nvPicPr>
        <xdr:cNvPr id="5" name="图片 4">
          <a:extLst>
            <a:ext uri="{FF2B5EF4-FFF2-40B4-BE49-F238E27FC236}">
              <a16:creationId xmlns:a16="http://schemas.microsoft.com/office/drawing/2014/main" id="{E96357ED-2ECC-53A5-78EB-B5E4B1AEEE4B}"/>
            </a:ext>
          </a:extLst>
        </xdr:cNvPr>
        <xdr:cNvPicPr>
          <a:picLocks noChangeAspect="1"/>
        </xdr:cNvPicPr>
      </xdr:nvPicPr>
      <xdr:blipFill>
        <a:blip xmlns:r="http://schemas.openxmlformats.org/officeDocument/2006/relationships" r:embed="rId4"/>
        <a:stretch>
          <a:fillRect/>
        </a:stretch>
      </xdr:blipFill>
      <xdr:spPr>
        <a:xfrm>
          <a:off x="10001249" y="20702085"/>
          <a:ext cx="5351887" cy="2443134"/>
        </a:xfrm>
        <a:prstGeom prst="rect">
          <a:avLst/>
        </a:prstGeom>
      </xdr:spPr>
    </xdr:pic>
    <xdr:clientData/>
  </xdr:twoCellAnchor>
  <xdr:twoCellAnchor editAs="oneCell">
    <xdr:from>
      <xdr:col>7</xdr:col>
      <xdr:colOff>704850</xdr:colOff>
      <xdr:row>20</xdr:row>
      <xdr:rowOff>0</xdr:rowOff>
    </xdr:from>
    <xdr:to>
      <xdr:col>9</xdr:col>
      <xdr:colOff>361683</xdr:colOff>
      <xdr:row>23</xdr:row>
      <xdr:rowOff>114221</xdr:rowOff>
    </xdr:to>
    <xdr:pic>
      <xdr:nvPicPr>
        <xdr:cNvPr id="6" name="图片 5">
          <a:extLst>
            <a:ext uri="{FF2B5EF4-FFF2-40B4-BE49-F238E27FC236}">
              <a16:creationId xmlns:a16="http://schemas.microsoft.com/office/drawing/2014/main" id="{4D93915B-CA14-9ADE-A698-E5D5AD2B2C09}"/>
            </a:ext>
          </a:extLst>
        </xdr:cNvPr>
        <xdr:cNvPicPr>
          <a:picLocks noChangeAspect="1"/>
        </xdr:cNvPicPr>
      </xdr:nvPicPr>
      <xdr:blipFill>
        <a:blip xmlns:r="http://schemas.openxmlformats.org/officeDocument/2006/relationships" r:embed="rId5"/>
        <a:stretch>
          <a:fillRect/>
        </a:stretch>
      </xdr:blipFill>
      <xdr:spPr>
        <a:xfrm>
          <a:off x="5505450" y="20774025"/>
          <a:ext cx="2133333" cy="62857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260230</xdr:colOff>
      <xdr:row>6</xdr:row>
      <xdr:rowOff>114300</xdr:rowOff>
    </xdr:from>
    <xdr:to>
      <xdr:col>10</xdr:col>
      <xdr:colOff>266700</xdr:colOff>
      <xdr:row>33</xdr:row>
      <xdr:rowOff>11326</xdr:rowOff>
    </xdr:to>
    <xdr:pic>
      <xdr:nvPicPr>
        <xdr:cNvPr id="2" name="图片 1">
          <a:extLst>
            <a:ext uri="{FF2B5EF4-FFF2-40B4-BE49-F238E27FC236}">
              <a16:creationId xmlns:a16="http://schemas.microsoft.com/office/drawing/2014/main" id="{F983AF7A-826F-3AB7-E218-3910F4D8DAC8}"/>
            </a:ext>
          </a:extLst>
        </xdr:cNvPr>
        <xdr:cNvPicPr>
          <a:picLocks noChangeAspect="1"/>
        </xdr:cNvPicPr>
      </xdr:nvPicPr>
      <xdr:blipFill>
        <a:blip xmlns:r="http://schemas.openxmlformats.org/officeDocument/2006/relationships" r:embed="rId1"/>
        <a:stretch>
          <a:fillRect/>
        </a:stretch>
      </xdr:blipFill>
      <xdr:spPr>
        <a:xfrm>
          <a:off x="4222630" y="1190625"/>
          <a:ext cx="5492870" cy="4564276"/>
        </a:xfrm>
        <a:prstGeom prst="rect">
          <a:avLst/>
        </a:prstGeom>
      </xdr:spPr>
    </xdr:pic>
    <xdr:clientData/>
  </xdr:twoCellAnchor>
  <xdr:twoCellAnchor editAs="oneCell">
    <xdr:from>
      <xdr:col>11</xdr:col>
      <xdr:colOff>383085</xdr:colOff>
      <xdr:row>7</xdr:row>
      <xdr:rowOff>114300</xdr:rowOff>
    </xdr:from>
    <xdr:to>
      <xdr:col>16</xdr:col>
      <xdr:colOff>704064</xdr:colOff>
      <xdr:row>32</xdr:row>
      <xdr:rowOff>94418</xdr:rowOff>
    </xdr:to>
    <xdr:pic>
      <xdr:nvPicPr>
        <xdr:cNvPr id="3" name="图片 2">
          <a:extLst>
            <a:ext uri="{FF2B5EF4-FFF2-40B4-BE49-F238E27FC236}">
              <a16:creationId xmlns:a16="http://schemas.microsoft.com/office/drawing/2014/main" id="{96D53FE0-652A-B98B-2037-0182875DBA54}"/>
            </a:ext>
          </a:extLst>
        </xdr:cNvPr>
        <xdr:cNvPicPr>
          <a:picLocks noChangeAspect="1"/>
        </xdr:cNvPicPr>
      </xdr:nvPicPr>
      <xdr:blipFill>
        <a:blip xmlns:r="http://schemas.openxmlformats.org/officeDocument/2006/relationships" r:embed="rId2"/>
        <a:stretch>
          <a:fillRect/>
        </a:stretch>
      </xdr:blipFill>
      <xdr:spPr>
        <a:xfrm>
          <a:off x="10517685" y="1362075"/>
          <a:ext cx="4064304" cy="4304468"/>
        </a:xfrm>
        <a:prstGeom prst="rect">
          <a:avLst/>
        </a:prstGeom>
      </xdr:spPr>
    </xdr:pic>
    <xdr:clientData/>
  </xdr:twoCellAnchor>
  <xdr:twoCellAnchor editAs="oneCell">
    <xdr:from>
      <xdr:col>23</xdr:col>
      <xdr:colOff>0</xdr:colOff>
      <xdr:row>14</xdr:row>
      <xdr:rowOff>0</xdr:rowOff>
    </xdr:from>
    <xdr:to>
      <xdr:col>30</xdr:col>
      <xdr:colOff>642064</xdr:colOff>
      <xdr:row>19</xdr:row>
      <xdr:rowOff>56971</xdr:rowOff>
    </xdr:to>
    <xdr:pic>
      <xdr:nvPicPr>
        <xdr:cNvPr id="4" name="图片 3">
          <a:extLst>
            <a:ext uri="{FF2B5EF4-FFF2-40B4-BE49-F238E27FC236}">
              <a16:creationId xmlns:a16="http://schemas.microsoft.com/office/drawing/2014/main" id="{6132F25C-F716-F16B-3D14-65007938EE11}"/>
            </a:ext>
          </a:extLst>
        </xdr:cNvPr>
        <xdr:cNvPicPr>
          <a:picLocks noChangeAspect="1"/>
        </xdr:cNvPicPr>
      </xdr:nvPicPr>
      <xdr:blipFill>
        <a:blip xmlns:r="http://schemas.openxmlformats.org/officeDocument/2006/relationships" r:embed="rId3"/>
        <a:stretch>
          <a:fillRect/>
        </a:stretch>
      </xdr:blipFill>
      <xdr:spPr>
        <a:xfrm>
          <a:off x="19192875" y="2476500"/>
          <a:ext cx="5442664" cy="914221"/>
        </a:xfrm>
        <a:prstGeom prst="rect">
          <a:avLst/>
        </a:prstGeom>
      </xdr:spPr>
    </xdr:pic>
    <xdr:clientData/>
  </xdr:twoCellAnchor>
  <xdr:twoCellAnchor editAs="oneCell">
    <xdr:from>
      <xdr:col>23</xdr:col>
      <xdr:colOff>38100</xdr:colOff>
      <xdr:row>20</xdr:row>
      <xdr:rowOff>95249</xdr:rowOff>
    </xdr:from>
    <xdr:to>
      <xdr:col>31</xdr:col>
      <xdr:colOff>520461</xdr:colOff>
      <xdr:row>26</xdr:row>
      <xdr:rowOff>76022</xdr:rowOff>
    </xdr:to>
    <xdr:pic>
      <xdr:nvPicPr>
        <xdr:cNvPr id="5" name="图片 4">
          <a:extLst>
            <a:ext uri="{FF2B5EF4-FFF2-40B4-BE49-F238E27FC236}">
              <a16:creationId xmlns:a16="http://schemas.microsoft.com/office/drawing/2014/main" id="{0AC089F2-DBA7-F2FD-BC46-9FEAAA5603F1}"/>
            </a:ext>
          </a:extLst>
        </xdr:cNvPr>
        <xdr:cNvPicPr>
          <a:picLocks noChangeAspect="1"/>
        </xdr:cNvPicPr>
      </xdr:nvPicPr>
      <xdr:blipFill>
        <a:blip xmlns:r="http://schemas.openxmlformats.org/officeDocument/2006/relationships" r:embed="rId4"/>
        <a:stretch>
          <a:fillRect/>
        </a:stretch>
      </xdr:blipFill>
      <xdr:spPr>
        <a:xfrm>
          <a:off x="19230975" y="3600449"/>
          <a:ext cx="5968761" cy="1009473"/>
        </a:xfrm>
        <a:prstGeom prst="rect">
          <a:avLst/>
        </a:prstGeom>
      </xdr:spPr>
    </xdr:pic>
    <xdr:clientData/>
  </xdr:twoCellAnchor>
  <xdr:twoCellAnchor editAs="oneCell">
    <xdr:from>
      <xdr:col>23</xdr:col>
      <xdr:colOff>19051</xdr:colOff>
      <xdr:row>26</xdr:row>
      <xdr:rowOff>133349</xdr:rowOff>
    </xdr:from>
    <xdr:to>
      <xdr:col>31</xdr:col>
      <xdr:colOff>492767</xdr:colOff>
      <xdr:row>56</xdr:row>
      <xdr:rowOff>37216</xdr:rowOff>
    </xdr:to>
    <xdr:pic>
      <xdr:nvPicPr>
        <xdr:cNvPr id="6" name="图片 5">
          <a:extLst>
            <a:ext uri="{FF2B5EF4-FFF2-40B4-BE49-F238E27FC236}">
              <a16:creationId xmlns:a16="http://schemas.microsoft.com/office/drawing/2014/main" id="{B9E7AA83-E511-ABB0-AEBF-DF6484D51B1E}"/>
            </a:ext>
          </a:extLst>
        </xdr:cNvPr>
        <xdr:cNvPicPr>
          <a:picLocks noChangeAspect="1"/>
        </xdr:cNvPicPr>
      </xdr:nvPicPr>
      <xdr:blipFill>
        <a:blip xmlns:r="http://schemas.openxmlformats.org/officeDocument/2006/relationships" r:embed="rId5"/>
        <a:stretch>
          <a:fillRect/>
        </a:stretch>
      </xdr:blipFill>
      <xdr:spPr>
        <a:xfrm>
          <a:off x="19211926" y="4667249"/>
          <a:ext cx="5960116" cy="5047367"/>
        </a:xfrm>
        <a:prstGeom prst="rect">
          <a:avLst/>
        </a:prstGeom>
      </xdr:spPr>
    </xdr:pic>
    <xdr:clientData/>
  </xdr:twoCellAnchor>
  <xdr:twoCellAnchor editAs="oneCell">
    <xdr:from>
      <xdr:col>32</xdr:col>
      <xdr:colOff>257175</xdr:colOff>
      <xdr:row>21</xdr:row>
      <xdr:rowOff>57227</xdr:rowOff>
    </xdr:from>
    <xdr:to>
      <xdr:col>39</xdr:col>
      <xdr:colOff>408548</xdr:colOff>
      <xdr:row>47</xdr:row>
      <xdr:rowOff>75339</xdr:rowOff>
    </xdr:to>
    <xdr:pic>
      <xdr:nvPicPr>
        <xdr:cNvPr id="7" name="图片 6">
          <a:extLst>
            <a:ext uri="{FF2B5EF4-FFF2-40B4-BE49-F238E27FC236}">
              <a16:creationId xmlns:a16="http://schemas.microsoft.com/office/drawing/2014/main" id="{AEE206DC-79DA-E1B0-7204-F9E6905CDF06}"/>
            </a:ext>
          </a:extLst>
        </xdr:cNvPr>
        <xdr:cNvPicPr>
          <a:picLocks noChangeAspect="1"/>
        </xdr:cNvPicPr>
      </xdr:nvPicPr>
      <xdr:blipFill>
        <a:blip xmlns:r="http://schemas.openxmlformats.org/officeDocument/2006/relationships" r:embed="rId6"/>
        <a:stretch>
          <a:fillRect/>
        </a:stretch>
      </xdr:blipFill>
      <xdr:spPr>
        <a:xfrm>
          <a:off x="25622250" y="3733877"/>
          <a:ext cx="5342498" cy="447581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2.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187" customWidth="1"/>
    <col min="2" max="2" width="78.25" style="2188" customWidth="1"/>
    <col min="3" max="18" width="9" style="2181"/>
    <col min="19" max="19" width="17.875" style="2181" customWidth="1"/>
    <col min="20" max="51" width="9" style="2181"/>
    <col min="52" max="52" width="13.25" style="2181" customWidth="1"/>
    <col min="53" max="53" width="13.5" style="2181" bestFit="1" customWidth="1"/>
    <col min="54" max="54" width="11.625" style="2181" bestFit="1" customWidth="1"/>
    <col min="55" max="55" width="13.5" style="2181" bestFit="1" customWidth="1"/>
    <col min="56" max="16384" width="9" style="2181"/>
  </cols>
  <sheetData>
    <row r="1" spans="1:55" s="2193" customFormat="1" ht="16.5" thickBot="1">
      <c r="A1" s="2191" t="s">
        <v>1938</v>
      </c>
      <c r="B1" s="2192" t="s">
        <v>2035</v>
      </c>
    </row>
    <row r="2" spans="1:55" s="2196" customFormat="1" ht="15" thickTop="1">
      <c r="A2" s="2194" t="s">
        <v>1942</v>
      </c>
      <c r="B2" s="2195" t="str">
        <f>'预评函-封皮'!B37</f>
        <v>出让国有建设用地使用权预评估</v>
      </c>
      <c r="AX2" s="2197"/>
      <c r="AZ2" s="2197"/>
      <c r="BA2" s="2198"/>
      <c r="BC2" s="2198"/>
    </row>
    <row r="3" spans="1:55">
      <c r="A3" s="2182" t="s">
        <v>1943</v>
      </c>
      <c r="B3" s="2183">
        <f>'预评函-封皮'!B40</f>
        <v>0</v>
      </c>
    </row>
    <row r="4" spans="1:55" s="2184" customFormat="1">
      <c r="A4" s="2182" t="s">
        <v>1944</v>
      </c>
      <c r="B4" s="2183" t="str">
        <f>'预评函-封皮'!B46</f>
        <v>土地估价师、土地估价师</v>
      </c>
      <c r="N4" s="2184" t="str">
        <f>'预评函-1'!A28</f>
        <v>本次估价的“抵押净值”是指估价对象“抵押价格”减去估价对象在估价期日以“土地销售收入”为基数计算的预计抵押权实现进行处置时需缴纳的各项费用、税金等相关费用后的价格。</v>
      </c>
    </row>
    <row r="5" spans="1:55" s="2193" customFormat="1" ht="15" thickBot="1">
      <c r="A5" s="2199" t="s">
        <v>1945</v>
      </c>
      <c r="B5" s="2200" t="str">
        <f>'预评函-封皮'!B49</f>
        <v>康正预评字号</v>
      </c>
    </row>
    <row r="6" spans="1:55" s="2201" customFormat="1" ht="15" thickTop="1">
      <c r="A6" s="2194" t="s">
        <v>1987</v>
      </c>
      <c r="B6" s="2195" t="str">
        <f>'预评函-1'!A4</f>
        <v>受贵公司委托，我公司对出让国有建设用地使用权进行了预评估。</v>
      </c>
      <c r="AM6" s="2202"/>
    </row>
    <row r="7" spans="1:55">
      <c r="A7" s="2182" t="s">
        <v>1939</v>
      </c>
      <c r="B7" s="2183" t="str">
        <f>'预评函-1'!A6</f>
        <v>估价对象为使用的、位于出让国有建设用地使用权。根据《国有土地使用证》[]，估价对象（分摊）出让国有建设用地使用权面积为82949.97平方米。根据《建设工程规划许可证》[]、《出让合同》[]，估价对象规划建筑面积为82949.97平方米。</v>
      </c>
    </row>
    <row r="8" spans="1:55">
      <c r="A8" s="2182" t="s">
        <v>1940</v>
      </c>
      <c r="B8" s="2183" t="str">
        <f>'预评函-1'!A7</f>
        <v xml:space="preserve">简述项目推广名，项目类型（用途），估价对象分布，各用途面积明细情况：XX用途建筑面积XX平方米，XX用途建筑面积XX平方米，……。复杂面积清单需设‘附表’列示：抵押物清单详见附表。        </v>
      </c>
    </row>
    <row r="9" spans="1:55">
      <c r="A9" s="2182" t="s">
        <v>1990</v>
      </c>
      <c r="B9" s="2183" t="str">
        <f>'预评函-1'!A9</f>
        <v>本次评估为委托估价方了解标的物之市场价格提供参考依据而评估出让国有建设用地使用权市场价格。</v>
      </c>
    </row>
    <row r="10" spans="1:55">
      <c r="A10" s="2182" t="s">
        <v>1941</v>
      </c>
      <c r="B10" s="2183" t="str">
        <f>'预评函-1'!A11</f>
        <v>2024年7月10日（评估专业人员勘察现场之日）</v>
      </c>
    </row>
    <row r="11" spans="1:55">
      <c r="A11" s="2182" t="s">
        <v>1947</v>
      </c>
      <c r="B11" s="2183" t="str">
        <f>'预评函-1'!A14</f>
        <v>根据《国有土地使用证》[]，本次评估估价对象证载（地类）用途为。</v>
      </c>
    </row>
    <row r="12" spans="1:55">
      <c r="A12" s="2182" t="s">
        <v>1948</v>
      </c>
      <c r="B12" s="2183" t="str">
        <f>'预评函-1'!A15</f>
        <v>本次评估设定用途即为证载用途。</v>
      </c>
    </row>
    <row r="13" spans="1:55">
      <c r="A13" s="2182" t="s">
        <v>1949</v>
      </c>
      <c r="B13" s="2183" t="str">
        <f>'预评函-1'!A17</f>
        <v>根据委托估价方介绍及评估专业人员现场勘查，本次评估估价对象实际土地开发程度为红线外市政基础设施达“七通”（即、、、、、、）、宗地红线内场地平整。</v>
      </c>
    </row>
    <row r="14" spans="1:55">
      <c r="A14" s="2182" t="s">
        <v>1950</v>
      </c>
      <c r="B14" s="2183" t="str">
        <f>'预评函-1'!A18</f>
        <v>。本次评估设定土地开发程度为红线外市政基础设施达“七通”、宗地红线内场地平整。</v>
      </c>
    </row>
    <row r="15" spans="1:55">
      <c r="A15" s="2182" t="s">
        <v>1946</v>
      </c>
      <c r="B15" s="2183" t="str">
        <f>'预评函-1'!A20</f>
        <v>根据《国有土地使用证》[]，估价对象（分摊）出让国有建设用地使用权面积为82949.97平方米。根据《建设工程规划许可证》[]、《出让合同》[]，估价对象规划建筑面积为82949.97平方米。</v>
      </c>
    </row>
    <row r="16" spans="1:55">
      <c r="A16" s="2182" t="s">
        <v>1951</v>
      </c>
      <c r="B16" s="2183"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工业2056年5月11日。截至估价期日，出让国有建设用地使用权剩余土地使用年限为。</v>
      </c>
    </row>
    <row r="17" spans="1:48">
      <c r="A17" s="2182" t="s">
        <v>1952</v>
      </c>
      <c r="B17" s="2183" t="str">
        <f>'预评函-1'!A23</f>
        <v>本次评估设定估价对象剩余土地使用年限为。</v>
      </c>
    </row>
    <row r="18" spans="1:48">
      <c r="A18" s="2182" t="s">
        <v>1953</v>
      </c>
      <c r="B18" s="2183" t="str">
        <f>'预评函-1'!A25</f>
        <v>本次估价的“出让国有建设用地使用权价格”是指在估价对象土地所有权为国家所有，使用权性质为出让，在公开市场条件下、于估价期日2024年7月10日，在规划利用条件下、设定土地开发程度为红线外“七通”、宗地内场地，设定用途为，剩余土地使用年限为的出让国有建设用地使用权价格。</v>
      </c>
    </row>
    <row r="19" spans="1:48">
      <c r="A19" s="2182" t="s">
        <v>1954</v>
      </c>
      <c r="B19" s="2183" t="str">
        <f>'预评函-1'!A26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0" spans="1:48">
      <c r="A20" s="2182" t="s">
        <v>1955</v>
      </c>
      <c r="B20" s="2183" t="str">
        <f>'预评函-1'!A27</f>
        <v>——</v>
      </c>
    </row>
    <row r="21" spans="1:48" s="2193" customFormat="1" ht="15" thickBot="1">
      <c r="A21" s="2199" t="s">
        <v>1956</v>
      </c>
      <c r="B21" s="2200"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189" t="s">
        <v>1957</v>
      </c>
      <c r="B22" s="2190" t="str">
        <f>'预评函-1'!A30</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23" spans="1:48">
      <c r="A23" s="2182" t="s">
        <v>1958</v>
      </c>
      <c r="B23" s="2183" t="str">
        <f>'预评函-2'!K2</f>
        <v>估价期日：2024年7月10日</v>
      </c>
    </row>
    <row r="24" spans="1:48">
      <c r="A24" s="2182" t="s">
        <v>1959</v>
      </c>
      <c r="B24" s="2183" t="str">
        <f>'预评函-2'!R2</f>
        <v>估价期日的国有建设用地使用权性质：出让</v>
      </c>
    </row>
    <row r="25" spans="1:48">
      <c r="A25" s="2182" t="s">
        <v>2015</v>
      </c>
      <c r="B25" s="2183" t="str">
        <f>'预评函-2'!A3</f>
        <v>估价期日土地使用者</v>
      </c>
    </row>
    <row r="26" spans="1:48">
      <c r="A26" s="2182" t="s">
        <v>1991</v>
      </c>
      <c r="B26" s="2183" t="str">
        <f>'预评函-2'!A5</f>
        <v>中信开发</v>
      </c>
    </row>
    <row r="27" spans="1:48">
      <c r="A27" s="2182" t="s">
        <v>2016</v>
      </c>
      <c r="B27" s="2183" t="str">
        <f>'预评函-2'!B3</f>
        <v>宗地编号/不动产单元号</v>
      </c>
    </row>
    <row r="28" spans="1:48">
      <c r="A28" s="2182" t="s">
        <v>1992</v>
      </c>
      <c r="B28" s="2183" t="str">
        <f>'预评函-2'!B5</f>
        <v>11111111111</v>
      </c>
    </row>
    <row r="29" spans="1:48">
      <c r="A29" s="2182" t="s">
        <v>2018</v>
      </c>
      <c r="B29" s="2183">
        <f>'预评函-2'!C5</f>
        <v>22</v>
      </c>
    </row>
    <row r="30" spans="1:48">
      <c r="A30" s="2182" t="s">
        <v>2019</v>
      </c>
      <c r="B30" s="2183" t="str">
        <f>'预评函-2'!D3</f>
        <v>土地使用证编号/不动产权证书编号</v>
      </c>
    </row>
    <row r="31" spans="1:48">
      <c r="A31" s="2182" t="s">
        <v>1993</v>
      </c>
      <c r="B31" s="2183" t="str">
        <f>'预评函-2'!D5</f>
        <v>京国土字第111号</v>
      </c>
    </row>
    <row r="32" spans="1:48">
      <c r="A32" s="2182" t="s">
        <v>1994</v>
      </c>
      <c r="B32" s="2183">
        <f>'预评函-2'!E5</f>
        <v>0</v>
      </c>
      <c r="AV32" s="2185"/>
    </row>
    <row r="33" spans="1:2">
      <c r="A33" s="2182" t="s">
        <v>1995</v>
      </c>
      <c r="B33" s="2183">
        <f>'预评函-2'!F5</f>
        <v>258</v>
      </c>
    </row>
    <row r="34" spans="1:2">
      <c r="A34" s="2182" t="s">
        <v>1996</v>
      </c>
      <c r="B34" s="2183">
        <f>'预评函-2'!G5</f>
        <v>0</v>
      </c>
    </row>
    <row r="35" spans="1:2">
      <c r="A35" s="2182" t="s">
        <v>1997</v>
      </c>
      <c r="B35" s="2183">
        <f>'预评函-2'!H5</f>
        <v>1.5</v>
      </c>
    </row>
    <row r="36" spans="1:2">
      <c r="A36" s="2182" t="s">
        <v>1998</v>
      </c>
      <c r="B36" s="2183">
        <f>'预评函-2'!I5</f>
        <v>1.5</v>
      </c>
    </row>
    <row r="37" spans="1:2">
      <c r="A37" s="2182" t="s">
        <v>1999</v>
      </c>
      <c r="B37" s="2183">
        <f>'预评函-2'!J5</f>
        <v>1.5</v>
      </c>
    </row>
    <row r="38" spans="1:2">
      <c r="A38" s="2182" t="s">
        <v>2000</v>
      </c>
      <c r="B38" s="2183" t="str">
        <f>'预评函-2'!K5</f>
        <v>红线外七通、宗地红线内</v>
      </c>
    </row>
    <row r="39" spans="1:2">
      <c r="A39" s="2182" t="s">
        <v>2001</v>
      </c>
      <c r="B39" s="2183" t="str">
        <f>'预评函-2'!L5</f>
        <v>红线外七通、宗地红线内场地</v>
      </c>
    </row>
    <row r="40" spans="1:2">
      <c r="A40" s="2182" t="s">
        <v>2020</v>
      </c>
      <c r="B40" s="2183" t="str">
        <f>'预评函-2'!M3</f>
        <v>（剩余）土地使用年限/年</v>
      </c>
    </row>
    <row r="41" spans="1:2">
      <c r="A41" s="2182" t="s">
        <v>2002</v>
      </c>
      <c r="B41" s="2183">
        <f>'预评函-2'!M5</f>
        <v>0</v>
      </c>
    </row>
    <row r="42" spans="1:2">
      <c r="A42" s="2182" t="s">
        <v>2021</v>
      </c>
      <c r="B42" s="2183" t="str">
        <f>'预评函-2'!N3</f>
        <v>（分摊）出让国有建设用地使用权面积/㎡</v>
      </c>
    </row>
    <row r="43" spans="1:2">
      <c r="A43" s="2182" t="s">
        <v>2003</v>
      </c>
      <c r="B43" s="2183">
        <f>'预评函-2'!N5</f>
        <v>82949.97</v>
      </c>
    </row>
    <row r="44" spans="1:2">
      <c r="A44" s="2182" t="s">
        <v>2022</v>
      </c>
      <c r="B44" s="2183" t="str">
        <f>'预评函-2'!O3</f>
        <v>规划建筑面积/㎡</v>
      </c>
    </row>
    <row r="45" spans="1:2">
      <c r="A45" s="2182" t="s">
        <v>2004</v>
      </c>
      <c r="B45" s="2183">
        <f>'预评函-2'!O5</f>
        <v>82949.97</v>
      </c>
    </row>
    <row r="46" spans="1:2">
      <c r="A46" s="2182" t="s">
        <v>2005</v>
      </c>
      <c r="B46" s="2183">
        <f ca="1">'预评函-2'!P5</f>
        <v>1941</v>
      </c>
    </row>
    <row r="47" spans="1:2">
      <c r="A47" s="2182" t="s">
        <v>2006</v>
      </c>
      <c r="B47" s="2183">
        <f ca="1">'预评函-2'!Q5</f>
        <v>1941</v>
      </c>
    </row>
    <row r="48" spans="1:2">
      <c r="A48" s="2182" t="s">
        <v>2007</v>
      </c>
      <c r="B48" s="2183">
        <f ca="1">'预评函-2'!R5</f>
        <v>16101</v>
      </c>
    </row>
    <row r="49" spans="1:2">
      <c r="A49" s="2182" t="s">
        <v>2023</v>
      </c>
      <c r="B49" s="2183" t="str">
        <f>'预评函-2'!A6</f>
        <v>抵押价格</v>
      </c>
    </row>
    <row r="50" spans="1:2">
      <c r="A50" s="2182" t="s">
        <v>2008</v>
      </c>
      <c r="B50" s="2183" t="str">
        <f>'预评函-2'!R6</f>
        <v>——</v>
      </c>
    </row>
    <row r="51" spans="1:2">
      <c r="A51" s="2182" t="s">
        <v>2024</v>
      </c>
      <c r="B51" s="2183" t="str">
        <f>'预评函-2'!A7</f>
        <v>——</v>
      </c>
    </row>
    <row r="52" spans="1:2">
      <c r="A52" s="2182" t="s">
        <v>2009</v>
      </c>
      <c r="B52" s="2183" t="str">
        <f>'预评函-2'!R7</f>
        <v>——</v>
      </c>
    </row>
    <row r="53" spans="1:2">
      <c r="A53" s="2182" t="s">
        <v>2025</v>
      </c>
      <c r="B53" s="2183">
        <f>'预评函-2'!A8</f>
        <v>0</v>
      </c>
    </row>
    <row r="54" spans="1:2" s="2193" customFormat="1" ht="15" thickBot="1">
      <c r="A54" s="2199" t="s">
        <v>2010</v>
      </c>
      <c r="B54" s="2200" t="str">
        <f>'预评函-2'!R8</f>
        <v>——</v>
      </c>
    </row>
    <row r="55" spans="1:2" ht="15" thickTop="1">
      <c r="A55" s="2189" t="s">
        <v>1960</v>
      </c>
      <c r="B55" s="2190" t="str">
        <f>'预评函-3'!A2</f>
        <v>1.权利限制：根据估价对象《不动产权证书》原件、《国有土地使用权》复印件，截至估价期日，估价对象抵押权未见登记。未设定租赁等其他他项权利。</v>
      </c>
    </row>
    <row r="56" spans="1:2">
      <c r="A56" s="2182" t="s">
        <v>1961</v>
      </c>
      <c r="B56" s="2183" t="str">
        <f>'预评函-3'!A3</f>
        <v>2.基础设施条件：估价对象实际开发程度为红线外七通、宗地红线内；本次评估设定开发程度为红线外七通、宗地红线内场地。</v>
      </c>
    </row>
    <row r="57" spans="1:2">
      <c r="A57" s="2182" t="s">
        <v>1962</v>
      </c>
      <c r="B57" s="2183" t="str">
        <f>'预评函-3'!A4</f>
        <v>3.估价规划限制条件：详见《建设工程规划许可证》[]、《出让合同》[]。</v>
      </c>
    </row>
    <row r="58" spans="1:2" s="2193" customFormat="1" ht="15" thickBot="1">
      <c r="A58" s="2199" t="s">
        <v>2011</v>
      </c>
      <c r="B58" s="2200" t="str">
        <f>'预评函-3'!A5</f>
        <v>4.影响价格的其他限定条件：无。</v>
      </c>
    </row>
    <row r="59" spans="1:2" ht="15" thickTop="1">
      <c r="A59" s="2189" t="s">
        <v>1963</v>
      </c>
      <c r="B59" s="2190" t="str">
        <f>'预评函-3'!A8</f>
        <v>2.本次评估设定估价对象宗地权属无争议，未被查封或者以其他形式限制其房地产权利，未设定抵押权等他项权利，不涉及第三方权利义务。</v>
      </c>
    </row>
    <row r="60" spans="1:2">
      <c r="A60" s="2182" t="s">
        <v>1964</v>
      </c>
      <c r="B60" s="2183" t="str">
        <f>'预评函-3'!A9</f>
        <v>——</v>
      </c>
    </row>
    <row r="61" spans="1:2">
      <c r="A61" s="2182" t="s">
        <v>1966</v>
      </c>
      <c r="B61" s="2183" t="str">
        <f>'预评函-3'!A10</f>
        <v>——</v>
      </c>
    </row>
    <row r="62" spans="1:2">
      <c r="A62" s="2182" t="s">
        <v>1965</v>
      </c>
      <c r="B62" s="2183" t="str">
        <f>'预评函-3'!A11</f>
        <v>——</v>
      </c>
    </row>
    <row r="63" spans="1:2">
      <c r="A63" s="2182" t="s">
        <v>1967</v>
      </c>
      <c r="B63" s="2183"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182" t="s">
        <v>1968</v>
      </c>
      <c r="B64" s="2186" t="str">
        <f>'预评函-3'!A13</f>
        <v>（3）。</v>
      </c>
    </row>
    <row r="65" spans="1:2">
      <c r="A65" s="2182" t="s">
        <v>1969</v>
      </c>
      <c r="B65" s="2183" t="str">
        <f>'预评函-3'!A14</f>
        <v>——</v>
      </c>
    </row>
    <row r="66" spans="1:2">
      <c r="A66" s="2182" t="s">
        <v>1970</v>
      </c>
      <c r="B66" s="2183"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182" t="s">
        <v>1971</v>
      </c>
      <c r="B67" s="2183"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193" customFormat="1" ht="15" thickBot="1">
      <c r="A68" s="2199" t="s">
        <v>1974</v>
      </c>
      <c r="B68" s="2203">
        <f>'预评函-3'!D30</f>
        <v>42558</v>
      </c>
    </row>
    <row r="69" spans="1:2" ht="15" thickTop="1">
      <c r="A69" s="2189" t="s">
        <v>1972</v>
      </c>
      <c r="B69" s="2190" t="str">
        <f>'预评函-3'!A20</f>
        <v>土地估价师</v>
      </c>
    </row>
    <row r="70" spans="1:2">
      <c r="A70" s="2182" t="s">
        <v>1972</v>
      </c>
      <c r="B70" s="2183">
        <f>'预评函-3'!B20</f>
        <v>0</v>
      </c>
    </row>
    <row r="71" spans="1:2">
      <c r="A71" s="2182" t="s">
        <v>1973</v>
      </c>
      <c r="B71" s="2183" t="str">
        <f>'预评函-3'!A21</f>
        <v>土地估价师</v>
      </c>
    </row>
    <row r="72" spans="1:2" s="2193" customFormat="1" ht="15" thickBot="1">
      <c r="A72" s="2199" t="s">
        <v>1973</v>
      </c>
      <c r="B72" s="2200">
        <f>'预评函-3'!B21</f>
        <v>0</v>
      </c>
    </row>
    <row r="73" spans="1:2" ht="15" thickTop="1">
      <c r="A73" s="2189" t="s">
        <v>2032</v>
      </c>
      <c r="B73" s="219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182" t="s">
        <v>2033</v>
      </c>
      <c r="B74" s="2183" t="str">
        <f>'预评函-1 (储备)'!A18</f>
        <v>由于本次评估估价目的是评估储备国有建设用地使用权的“抵押价格”，因此本次评估设定土地开发程度为红线外市政基础设施达“七通”、宗地红线内场地平整。</v>
      </c>
    </row>
    <row r="75" spans="1:2" s="2193" customFormat="1" ht="15" thickBot="1">
      <c r="A75" s="2199" t="s">
        <v>2034</v>
      </c>
      <c r="B75" s="2200"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187" t="s">
        <v>2064</v>
      </c>
      <c r="B76" s="2188" t="str">
        <f>'预评函-3'!A25</f>
        <v>XX</v>
      </c>
    </row>
  </sheetData>
  <phoneticPr fontId="2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FF00"/>
  </sheetPr>
  <dimension ref="A1:G45"/>
  <sheetViews>
    <sheetView workbookViewId="0">
      <selection activeCell="B4" sqref="B4"/>
    </sheetView>
  </sheetViews>
  <sheetFormatPr defaultColWidth="15.25" defaultRowHeight="13.5"/>
  <cols>
    <col min="1" max="16384" width="15.25" style="2695"/>
  </cols>
  <sheetData>
    <row r="1" spans="1:6">
      <c r="A1" s="3031" t="s">
        <v>2677</v>
      </c>
      <c r="B1" s="3032"/>
      <c r="C1" s="3032"/>
      <c r="D1" s="3032"/>
      <c r="E1" s="3032"/>
      <c r="F1" s="3033"/>
    </row>
    <row r="2" spans="1:6">
      <c r="A2" s="3034"/>
      <c r="B2" s="3035"/>
      <c r="C2" s="3035"/>
      <c r="D2" s="3035"/>
      <c r="E2" s="3035"/>
      <c r="F2" s="3036"/>
    </row>
    <row r="3" spans="1:6">
      <c r="A3" s="2988" t="s">
        <v>2678</v>
      </c>
      <c r="B3" s="3037">
        <f>项目基本情况!D3</f>
        <v>45483</v>
      </c>
      <c r="C3" s="3038"/>
      <c r="D3" s="3038"/>
      <c r="E3" s="3038"/>
      <c r="F3" s="3036"/>
    </row>
    <row r="4" spans="1:6">
      <c r="A4" s="2988" t="s">
        <v>2679</v>
      </c>
      <c r="B4" s="3039" t="s">
        <v>2680</v>
      </c>
      <c r="C4" s="3039" t="s">
        <v>2681</v>
      </c>
      <c r="D4" s="3039" t="s">
        <v>2682</v>
      </c>
      <c r="E4" s="3039" t="s">
        <v>2683</v>
      </c>
      <c r="F4" s="3036"/>
    </row>
    <row r="5" spans="1:6">
      <c r="A5" s="3040"/>
      <c r="B5" s="3037"/>
      <c r="C5" s="3039">
        <f>ROUNDDOWN(MIN((B5-B3)/365,A5),2)</f>
        <v>-124.61</v>
      </c>
      <c r="D5" s="3041">
        <f>IF(ISERROR(ROUND(POWER(1+E5,A5-C5)*(POWER(1+E5,C5)-1)/(POWER(1+E5,A5)-1),3)),0,ROUND(POWER(1+E5,A5-C5)*(POWER(1+E5,C5)-1)/(POWER(1+E5,A5)-1),4))</f>
        <v>0</v>
      </c>
      <c r="E5" s="3042"/>
      <c r="F5" s="3036"/>
    </row>
    <row r="6" spans="1:6">
      <c r="A6" s="3040"/>
      <c r="B6" s="3037"/>
      <c r="C6" s="3039">
        <f>ROUNDDOWN(MIN((B6-B3)/365,A6),2)</f>
        <v>-124.61</v>
      </c>
      <c r="D6" s="3041">
        <f>IF(ISERROR(ROUND(POWER(1+E6,A6-C6)*(POWER(1+E6,C6)-1)/(POWER(1+E6,A6)-1),3)),0,ROUND(POWER(1+E6,A6-C6)*(POWER(1+E6,C6)-1)/(POWER(1+E6,A6)-1),4))</f>
        <v>0</v>
      </c>
      <c r="E6" s="3042"/>
      <c r="F6" s="3036"/>
    </row>
    <row r="7" spans="1:6">
      <c r="A7" s="3040"/>
      <c r="B7" s="3037"/>
      <c r="C7" s="3039">
        <f>ROUNDDOWN(MIN((B7-B3)/365,A7),2)</f>
        <v>-124.61</v>
      </c>
      <c r="D7" s="3041">
        <f>IF(ISERROR(ROUND(POWER(1+E7,A7-C7)*(POWER(1+E7,C7)-1)/(POWER(1+E7,A7)-1),3)),0,ROUND(POWER(1+E7,A7-C7)*(POWER(1+E7,C7)-1)/(POWER(1+E7,A7)-1),4))</f>
        <v>0</v>
      </c>
      <c r="E7" s="3042"/>
      <c r="F7" s="3036"/>
    </row>
    <row r="8" spans="1:6">
      <c r="A8" s="3034"/>
      <c r="B8" s="3035"/>
      <c r="C8" s="3035"/>
      <c r="D8" s="3035"/>
      <c r="E8" s="3035"/>
      <c r="F8" s="3036"/>
    </row>
    <row r="9" spans="1:6">
      <c r="A9" s="2988" t="s">
        <v>2684</v>
      </c>
      <c r="B9" s="3039"/>
      <c r="C9" s="3039"/>
      <c r="D9" s="3039"/>
      <c r="E9" s="3039"/>
      <c r="F9" s="3043"/>
    </row>
    <row r="10" spans="1:6">
      <c r="A10" s="2988" t="s">
        <v>2685</v>
      </c>
      <c r="B10" s="3039"/>
      <c r="C10" s="3039"/>
      <c r="D10" s="3039" t="s">
        <v>2683</v>
      </c>
      <c r="E10" s="3039"/>
      <c r="F10" s="3043" t="s">
        <v>2682</v>
      </c>
    </row>
    <row r="11" spans="1:6">
      <c r="A11" s="2988" t="s">
        <v>2686</v>
      </c>
      <c r="B11" s="3044"/>
      <c r="C11" s="3039" t="s">
        <v>2687</v>
      </c>
      <c r="D11" s="3044"/>
      <c r="E11" s="3039" t="s">
        <v>2688</v>
      </c>
      <c r="F11" s="3045">
        <f>ROUND(1-(1/(POWER(1+D11,B11))),4)</f>
        <v>0</v>
      </c>
    </row>
    <row r="12" spans="1:6">
      <c r="A12" s="2988" t="s">
        <v>2689</v>
      </c>
      <c r="B12" s="3044"/>
      <c r="C12" s="3039" t="s">
        <v>2690</v>
      </c>
      <c r="D12" s="3044"/>
      <c r="E12" s="3039" t="s">
        <v>2691</v>
      </c>
      <c r="F12" s="3045">
        <f>ROUND(1-(1/(POWER(1+D12,B12))),4)</f>
        <v>0</v>
      </c>
    </row>
    <row r="13" spans="1:6">
      <c r="A13" s="2988" t="s">
        <v>2692</v>
      </c>
      <c r="B13" s="3039"/>
      <c r="C13" s="3038"/>
      <c r="D13" s="3035"/>
      <c r="E13" s="3035"/>
      <c r="F13" s="3036"/>
    </row>
    <row r="14" spans="1:6">
      <c r="A14" s="2988" t="s">
        <v>2693</v>
      </c>
      <c r="B14" s="3044"/>
      <c r="C14" s="3038"/>
      <c r="D14" s="3035"/>
      <c r="E14" s="3035"/>
      <c r="F14" s="3036"/>
    </row>
    <row r="15" spans="1:6">
      <c r="A15" s="2988" t="s">
        <v>2694</v>
      </c>
      <c r="B15" s="3039" t="e">
        <f>ROUND(B14*F12/F11,2)</f>
        <v>#DIV/0!</v>
      </c>
      <c r="C15" s="3039" t="e">
        <f>ROUND(F12/F11,4)</f>
        <v>#DIV/0!</v>
      </c>
      <c r="D15" s="3035"/>
      <c r="E15" s="3035"/>
      <c r="F15" s="3036"/>
    </row>
    <row r="16" spans="1:6">
      <c r="A16" s="2988" t="s">
        <v>2695</v>
      </c>
      <c r="B16" s="3039"/>
      <c r="C16" s="3038"/>
      <c r="D16" s="3035"/>
      <c r="E16" s="3035"/>
      <c r="F16" s="3036"/>
    </row>
    <row r="17" spans="1:7">
      <c r="A17" s="2988" t="s">
        <v>2694</v>
      </c>
      <c r="B17" s="3044"/>
      <c r="C17" s="3038"/>
      <c r="D17" s="3035"/>
      <c r="E17" s="3035"/>
      <c r="F17" s="3036"/>
    </row>
    <row r="18" spans="1:7" ht="14.25" thickBot="1">
      <c r="A18" s="3046" t="s">
        <v>2693</v>
      </c>
      <c r="B18" s="3047" t="e">
        <f>ROUND(B17*F11/F12,2)</f>
        <v>#DIV/0!</v>
      </c>
      <c r="C18" s="3047" t="e">
        <f>ROUND(F11/F12,4)</f>
        <v>#DIV/0!</v>
      </c>
      <c r="D18" s="3048"/>
      <c r="E18" s="3048"/>
      <c r="F18" s="3049"/>
    </row>
    <row r="19" spans="1:7" ht="14.25" thickBot="1"/>
    <row r="20" spans="1:7">
      <c r="A20" s="3050" t="s">
        <v>2696</v>
      </c>
      <c r="B20" s="3051"/>
      <c r="C20" s="3051"/>
      <c r="D20" s="3051"/>
      <c r="E20" s="3051"/>
      <c r="F20" s="3051"/>
      <c r="G20" s="3052"/>
    </row>
    <row r="21" spans="1:7">
      <c r="A21" s="3053"/>
      <c r="B21" s="3054" t="s">
        <v>2697</v>
      </c>
      <c r="C21" s="3054" t="s">
        <v>2698</v>
      </c>
      <c r="D21" s="3054" t="s">
        <v>2699</v>
      </c>
      <c r="E21" s="3054" t="s">
        <v>2700</v>
      </c>
      <c r="F21" s="3054" t="s">
        <v>2701</v>
      </c>
      <c r="G21" s="3055" t="s">
        <v>2702</v>
      </c>
    </row>
    <row r="22" spans="1:7">
      <c r="A22" s="3053" t="s">
        <v>2703</v>
      </c>
      <c r="B22" s="3056">
        <v>50</v>
      </c>
      <c r="C22" s="3056">
        <v>32</v>
      </c>
      <c r="D22" s="3057">
        <v>0.05</v>
      </c>
      <c r="E22" s="3054">
        <f>ROUND(POWER(1+D22,B22-C22)*(POWER(1+D22,C22)-1)/(POWER(1+D22,B22)-1),3)</f>
        <v>0.86599999999999999</v>
      </c>
      <c r="F22" s="3057">
        <v>0.6</v>
      </c>
      <c r="G22" s="3055">
        <f>ROUND(100*(1-(1-E22)*F22),1)</f>
        <v>92</v>
      </c>
    </row>
    <row r="23" spans="1:7">
      <c r="A23" s="3058" t="s">
        <v>2704</v>
      </c>
      <c r="B23" s="3056">
        <v>50</v>
      </c>
      <c r="C23" s="3056">
        <v>35</v>
      </c>
      <c r="D23" s="3057">
        <v>0.05</v>
      </c>
      <c r="E23" s="3054">
        <f>ROUND(POWER(1+D23,B23-C23)*(POWER(1+D23,C23)-1)/(POWER(1+D23,B23)-1),3)</f>
        <v>0.89700000000000002</v>
      </c>
      <c r="F23" s="3057">
        <f>F22</f>
        <v>0.6</v>
      </c>
      <c r="G23" s="3055">
        <f>ROUND(100*(1-(1-E23)*F23),1)</f>
        <v>93.8</v>
      </c>
    </row>
    <row r="24" spans="1:7">
      <c r="A24" s="3058" t="s">
        <v>2705</v>
      </c>
      <c r="B24" s="3056">
        <v>50</v>
      </c>
      <c r="C24" s="3056">
        <v>25</v>
      </c>
      <c r="D24" s="3057">
        <v>0.05</v>
      </c>
      <c r="E24" s="3054">
        <f>ROUND(POWER(1+D24,B24-C24)*(POWER(1+D24,C24)-1)/(POWER(1+D24,B24)-1),3)</f>
        <v>0.77200000000000002</v>
      </c>
      <c r="F24" s="3057">
        <f>F23</f>
        <v>0.6</v>
      </c>
      <c r="G24" s="3055">
        <f>ROUND(100*(1-(1-E24)*F24),1)</f>
        <v>86.3</v>
      </c>
    </row>
    <row r="25" spans="1:7">
      <c r="A25" s="3058" t="s">
        <v>2706</v>
      </c>
      <c r="B25" s="3056">
        <v>50</v>
      </c>
      <c r="C25" s="3056">
        <v>40</v>
      </c>
      <c r="D25" s="3057">
        <v>0.05</v>
      </c>
      <c r="E25" s="3054">
        <f>ROUND(POWER(1+D25,B25-C25)*(POWER(1+D25,C25)-1)/(POWER(1+D25,B25)-1),3)</f>
        <v>0.94</v>
      </c>
      <c r="F25" s="3057">
        <f>F24</f>
        <v>0.6</v>
      </c>
      <c r="G25" s="3055">
        <f>ROUND(100*(1-(1-E25)*F25),1)</f>
        <v>96.4</v>
      </c>
    </row>
    <row r="26" spans="1:7">
      <c r="A26" s="3059"/>
      <c r="B26" s="3060"/>
      <c r="C26" s="3060"/>
      <c r="D26" s="3060"/>
      <c r="E26" s="3060"/>
      <c r="F26" s="3060"/>
      <c r="G26" s="3061"/>
    </row>
    <row r="27" spans="1:7">
      <c r="A27" s="3062" t="s">
        <v>2707</v>
      </c>
      <c r="B27" s="3063"/>
      <c r="C27" s="3063"/>
      <c r="D27" s="3063"/>
      <c r="E27" s="3063"/>
      <c r="F27" s="3063"/>
      <c r="G27" s="3064"/>
    </row>
    <row r="28" spans="1:7">
      <c r="A28" s="3062" t="s">
        <v>2708</v>
      </c>
      <c r="B28" s="3063"/>
      <c r="C28" s="3063"/>
      <c r="D28" s="3063"/>
      <c r="E28" s="3063"/>
      <c r="F28" s="3063"/>
      <c r="G28" s="3064"/>
    </row>
    <row r="29" spans="1:7">
      <c r="A29" s="3062" t="s">
        <v>2709</v>
      </c>
      <c r="B29" s="3063"/>
      <c r="C29" s="3063"/>
      <c r="D29" s="3063"/>
      <c r="E29" s="3063"/>
      <c r="F29" s="3063"/>
      <c r="G29" s="3064"/>
    </row>
    <row r="30" spans="1:7">
      <c r="A30" s="3062" t="s">
        <v>2710</v>
      </c>
      <c r="B30" s="3063"/>
      <c r="C30" s="3063"/>
      <c r="D30" s="3063"/>
      <c r="E30" s="3063"/>
      <c r="F30" s="3063"/>
      <c r="G30" s="3064"/>
    </row>
    <row r="31" spans="1:7">
      <c r="A31" s="3062" t="s">
        <v>2711</v>
      </c>
      <c r="B31" s="3063"/>
      <c r="C31" s="3063"/>
      <c r="D31" s="3063"/>
      <c r="E31" s="3063"/>
      <c r="F31" s="3063"/>
      <c r="G31" s="3064"/>
    </row>
    <row r="32" spans="1:7">
      <c r="A32" s="3062" t="s">
        <v>2712</v>
      </c>
      <c r="B32" s="3063"/>
      <c r="C32" s="3063"/>
      <c r="D32" s="3063"/>
      <c r="E32" s="3063"/>
      <c r="F32" s="3063"/>
      <c r="G32" s="3064"/>
    </row>
    <row r="33" spans="1:7">
      <c r="A33" s="3062" t="s">
        <v>2713</v>
      </c>
      <c r="B33" s="3063"/>
      <c r="C33" s="3063"/>
      <c r="D33" s="3063"/>
      <c r="E33" s="3063"/>
      <c r="F33" s="3063"/>
      <c r="G33" s="3064"/>
    </row>
    <row r="34" spans="1:7">
      <c r="A34" s="3062" t="s">
        <v>2714</v>
      </c>
      <c r="B34" s="3063"/>
      <c r="C34" s="3063"/>
      <c r="D34" s="3063"/>
      <c r="E34" s="3063"/>
      <c r="F34" s="3063"/>
      <c r="G34" s="3064"/>
    </row>
    <row r="35" spans="1:7">
      <c r="A35" s="3062" t="s">
        <v>2715</v>
      </c>
      <c r="B35" s="3063"/>
      <c r="C35" s="3063"/>
      <c r="D35" s="3063"/>
      <c r="E35" s="3063"/>
      <c r="F35" s="3063"/>
      <c r="G35" s="3064"/>
    </row>
    <row r="36" spans="1:7">
      <c r="A36" s="3062" t="s">
        <v>2716</v>
      </c>
      <c r="B36" s="3063"/>
      <c r="C36" s="3063"/>
      <c r="D36" s="3063"/>
      <c r="E36" s="3063"/>
      <c r="F36" s="3063"/>
      <c r="G36" s="3064"/>
    </row>
    <row r="37" spans="1:7">
      <c r="A37" s="3062" t="s">
        <v>2717</v>
      </c>
      <c r="B37" s="3063"/>
      <c r="C37" s="3063"/>
      <c r="D37" s="3063"/>
      <c r="E37" s="3063"/>
      <c r="F37" s="3063"/>
      <c r="G37" s="3064"/>
    </row>
    <row r="38" spans="1:7">
      <c r="A38" s="3062" t="s">
        <v>2718</v>
      </c>
      <c r="B38" s="3063"/>
      <c r="C38" s="3063"/>
      <c r="D38" s="3063"/>
      <c r="E38" s="3063"/>
      <c r="F38" s="3063"/>
      <c r="G38" s="3064"/>
    </row>
    <row r="39" spans="1:7">
      <c r="A39" s="3062"/>
      <c r="B39" s="3063"/>
      <c r="C39" s="3063"/>
      <c r="D39" s="3063"/>
      <c r="E39" s="3063"/>
      <c r="F39" s="3063"/>
      <c r="G39" s="3064"/>
    </row>
    <row r="40" spans="1:7">
      <c r="A40" s="3065" t="s">
        <v>2719</v>
      </c>
      <c r="B40" s="3066"/>
      <c r="C40" s="3066"/>
      <c r="D40" s="3066"/>
      <c r="E40" s="3066"/>
      <c r="F40" s="3066"/>
      <c r="G40" s="3067"/>
    </row>
    <row r="41" spans="1:7">
      <c r="A41" s="3068" t="s">
        <v>2720</v>
      </c>
      <c r="B41" s="3069" t="s">
        <v>2721</v>
      </c>
      <c r="C41" s="3070" t="s">
        <v>2722</v>
      </c>
      <c r="D41" s="3070" t="s">
        <v>2723</v>
      </c>
      <c r="E41" s="3071"/>
      <c r="F41" s="3072"/>
      <c r="G41" s="3073"/>
    </row>
    <row r="42" spans="1:7">
      <c r="A42" s="3068" t="s">
        <v>2724</v>
      </c>
      <c r="B42" s="3069" t="s">
        <v>2725</v>
      </c>
      <c r="C42" s="3070" t="s">
        <v>2725</v>
      </c>
      <c r="D42" s="3074" t="s">
        <v>2726</v>
      </c>
      <c r="E42" s="3066" t="s">
        <v>2727</v>
      </c>
      <c r="F42" s="3066"/>
      <c r="G42" s="3067"/>
    </row>
    <row r="43" spans="1:7">
      <c r="A43" s="3068" t="s">
        <v>2728</v>
      </c>
      <c r="B43" s="3069" t="s">
        <v>2729</v>
      </c>
      <c r="C43" s="3070" t="s">
        <v>2730</v>
      </c>
      <c r="D43" s="3070" t="s">
        <v>2731</v>
      </c>
      <c r="E43" s="3071" t="s">
        <v>2732</v>
      </c>
      <c r="F43" s="3072"/>
      <c r="G43" s="3073"/>
    </row>
    <row r="44" spans="1:7">
      <c r="A44" s="3068" t="s">
        <v>2733</v>
      </c>
      <c r="B44" s="3069" t="s">
        <v>2734</v>
      </c>
      <c r="C44" s="3070" t="s">
        <v>2735</v>
      </c>
      <c r="D44" s="3074">
        <v>0.5</v>
      </c>
      <c r="E44" s="3071" t="s">
        <v>2736</v>
      </c>
      <c r="F44" s="3072"/>
      <c r="G44" s="3073"/>
    </row>
    <row r="45" spans="1:7" ht="14.25" thickBot="1">
      <c r="A45" s="3075" t="s">
        <v>2737</v>
      </c>
      <c r="B45" s="3076" t="s">
        <v>2725</v>
      </c>
      <c r="C45" s="3077" t="s">
        <v>2725</v>
      </c>
      <c r="D45" s="3077" t="s">
        <v>2738</v>
      </c>
      <c r="E45" s="3078" t="s">
        <v>2739</v>
      </c>
      <c r="F45" s="3078"/>
      <c r="G45" s="3079"/>
    </row>
  </sheetData>
  <sheetProtection password="CEE9" sheet="1" objects="1" scenarios="1"/>
  <phoneticPr fontId="224"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B58"/>
  <sheetViews>
    <sheetView view="pageBreakPreview" zoomScaleNormal="100" zoomScaleSheetLayoutView="100" workbookViewId="0">
      <selection activeCell="D20" sqref="D20:I20"/>
    </sheetView>
  </sheetViews>
  <sheetFormatPr defaultColWidth="10" defaultRowHeight="14.25"/>
  <cols>
    <col min="1" max="1" width="15.375" style="1401" customWidth="1"/>
    <col min="2" max="2" width="11.375" style="1401" customWidth="1"/>
    <col min="3" max="8" width="13.125" style="1401" customWidth="1"/>
    <col min="9" max="9" width="13.125" style="1402" customWidth="1"/>
    <col min="10" max="10" width="10" style="1401" customWidth="1"/>
    <col min="11" max="11" width="10" style="2600" customWidth="1"/>
    <col min="12" max="13" width="10" style="2601" customWidth="1"/>
    <col min="14" max="14" width="10" style="2586" customWidth="1"/>
    <col min="15" max="15" width="10" style="2602" customWidth="1"/>
    <col min="16" max="17" width="10" style="2586"/>
    <col min="18" max="18" width="10" style="2586" customWidth="1"/>
    <col min="19" max="28" width="10" style="2586"/>
    <col min="29" max="16384" width="10" style="1401"/>
  </cols>
  <sheetData>
    <row r="1" spans="1:21" ht="15" thickBot="1">
      <c r="A1" s="1376" t="s">
        <v>1457</v>
      </c>
      <c r="B1" s="3470" t="str">
        <f>IF(B10="北京市","北京市",C10)&amp;F10&amp;A17&amp;"国有建设用地使用权"&amp;B9&amp;"预评估"</f>
        <v>出让国有建设用地使用权预评估</v>
      </c>
      <c r="C1" s="3471"/>
      <c r="D1" s="3471"/>
      <c r="E1" s="3471"/>
      <c r="F1" s="3471"/>
      <c r="G1" s="3471"/>
      <c r="H1" s="3471"/>
      <c r="I1" s="3472"/>
      <c r="J1" s="2603"/>
      <c r="K1" s="1971" t="str">
        <f>IF(B10="北京市","北京市",C10)&amp;F10&amp;A17&amp;"国有建设用地使用权"&amp;B9</f>
        <v>出让国有建设用地使用权</v>
      </c>
      <c r="L1" s="2583"/>
      <c r="M1" s="2583"/>
      <c r="N1" s="2584"/>
      <c r="O1" s="2585"/>
      <c r="P1" s="2584"/>
      <c r="Q1" s="2584"/>
      <c r="R1" s="2584"/>
      <c r="S1" s="2584"/>
      <c r="T1" s="2584"/>
      <c r="U1" s="2584"/>
    </row>
    <row r="2" spans="1:21">
      <c r="A2" s="1377" t="s">
        <v>1458</v>
      </c>
      <c r="B2" s="1530"/>
      <c r="D2" s="2603"/>
      <c r="E2" s="2603"/>
      <c r="F2" s="2603"/>
      <c r="G2" s="2603"/>
      <c r="H2" s="2603"/>
      <c r="I2" s="2604"/>
      <c r="J2" s="2603"/>
      <c r="K2" s="1971" t="str">
        <f>IF(B10="北京市","北京市",C10)&amp;F10&amp;A17&amp;"国有建设用地使用权"</f>
        <v>出让国有建设用地使用权</v>
      </c>
      <c r="L2" s="2583"/>
      <c r="M2" s="2583"/>
      <c r="N2" s="2584"/>
      <c r="O2" s="2585"/>
      <c r="P2" s="2584"/>
      <c r="Q2" s="2584"/>
      <c r="R2" s="2584"/>
      <c r="S2" s="2584"/>
      <c r="T2" s="2584"/>
      <c r="U2" s="2584"/>
    </row>
    <row r="3" spans="1:21">
      <c r="A3" s="1378" t="s">
        <v>1459</v>
      </c>
      <c r="B3" s="1379">
        <v>45483</v>
      </c>
      <c r="C3" s="2532" t="s">
        <v>1513</v>
      </c>
      <c r="D3" s="1379">
        <f>B3</f>
        <v>45483</v>
      </c>
      <c r="E3" s="2603"/>
      <c r="F3" s="2603"/>
      <c r="G3" s="2603"/>
      <c r="H3" s="2603"/>
      <c r="I3" s="2604"/>
      <c r="J3" s="2603"/>
      <c r="K3" s="2587"/>
      <c r="L3" s="2583"/>
      <c r="M3" s="2583"/>
      <c r="N3" s="2584"/>
      <c r="O3" s="2585"/>
      <c r="P3" s="2584"/>
      <c r="Q3" s="2584"/>
      <c r="R3" s="2584"/>
      <c r="S3" s="2584"/>
      <c r="T3" s="2584"/>
      <c r="U3" s="2584"/>
    </row>
    <row r="4" spans="1:21" ht="15" thickBot="1">
      <c r="A4" s="1381" t="s">
        <v>1460</v>
      </c>
      <c r="B4" s="1531" t="s">
        <v>2162</v>
      </c>
      <c r="C4" s="1534">
        <f>SUMIF(土地估价师,B4,估价师及机构信息!E3:E17)</f>
        <v>0</v>
      </c>
      <c r="D4" s="1531" t="s">
        <v>2162</v>
      </c>
      <c r="E4" s="1534">
        <f>SUMIF(土地估价师,D4,估价师及机构信息!E3:E17)</f>
        <v>0</v>
      </c>
      <c r="F4" s="1531" t="s">
        <v>877</v>
      </c>
      <c r="G4" s="1534">
        <f>SUMIF(土地估价师,F4,估价师及机构信息!E3:E17)</f>
        <v>0</v>
      </c>
      <c r="H4" s="1531" t="s">
        <v>877</v>
      </c>
      <c r="I4" s="1534">
        <f>SUMIF(土地估价师,H4,估价师及机构信息!E3:E17)</f>
        <v>0</v>
      </c>
      <c r="J4" s="2603"/>
      <c r="K4" s="1971" t="str">
        <f>IF(AND(F4="——",H4="——"),B4&amp;"、"&amp;D4,IF(AND(F4&lt;&gt;"——",H4="——"),B4&amp;"、"&amp;D4&amp;"、"&amp;F4,B4&amp;"、"&amp;D4&amp;"、"&amp;F4&amp;"、"&amp;H4))</f>
        <v>土地估价师、土地估价师</v>
      </c>
      <c r="L4" s="2583"/>
      <c r="M4" s="2583"/>
      <c r="N4" s="2584"/>
      <c r="O4" s="2585"/>
      <c r="P4" s="2584"/>
      <c r="Q4" s="2584"/>
      <c r="R4" s="2584"/>
      <c r="S4" s="2584"/>
      <c r="T4" s="2584"/>
      <c r="U4" s="2584"/>
    </row>
    <row r="5" spans="1:21" ht="15" thickTop="1">
      <c r="A5" s="1382" t="s">
        <v>1461</v>
      </c>
      <c r="B5" s="1484"/>
      <c r="C5" s="1383"/>
      <c r="D5" s="1384"/>
      <c r="E5" s="2603"/>
      <c r="F5" s="2603"/>
      <c r="G5" s="2603"/>
      <c r="H5" s="2603"/>
      <c r="I5" s="2604"/>
      <c r="J5" s="2603"/>
      <c r="K5" s="2587"/>
      <c r="L5" s="2583"/>
      <c r="M5" s="2583"/>
      <c r="N5" s="2584"/>
      <c r="O5" s="2585"/>
      <c r="P5" s="2584"/>
      <c r="Q5" s="2584"/>
      <c r="R5" s="2584"/>
      <c r="S5" s="2584"/>
      <c r="T5" s="2584"/>
      <c r="U5" s="2584"/>
    </row>
    <row r="6" spans="1:21" ht="26.25">
      <c r="A6" s="1380" t="s">
        <v>1988</v>
      </c>
      <c r="B6" s="1484"/>
      <c r="C6" s="1461"/>
      <c r="D6" s="1385"/>
      <c r="E6" s="2603"/>
      <c r="F6" s="2603"/>
      <c r="G6" s="2603"/>
      <c r="H6" s="2603"/>
      <c r="I6" s="2604"/>
      <c r="J6" s="2603"/>
      <c r="K6" s="2588" t="str">
        <f>IF(COUNTIF(B6,"*上海银行*"),"上海银行","")</f>
        <v/>
      </c>
      <c r="L6" s="2583"/>
      <c r="M6" s="2583"/>
      <c r="N6" s="2584"/>
      <c r="O6" s="2585"/>
      <c r="P6" s="2584"/>
      <c r="Q6" s="2584"/>
      <c r="R6" s="2584"/>
      <c r="S6" s="2584"/>
      <c r="T6" s="2584"/>
      <c r="U6" s="2584"/>
    </row>
    <row r="7" spans="1:21">
      <c r="A7" s="1386" t="s">
        <v>1989</v>
      </c>
      <c r="B7" s="1484"/>
      <c r="C7" s="1461"/>
      <c r="D7" s="1385"/>
      <c r="E7" s="2603"/>
      <c r="F7" s="2603"/>
      <c r="G7" s="2603"/>
      <c r="H7" s="2603"/>
      <c r="I7" s="2604"/>
      <c r="J7" s="2603"/>
      <c r="K7" s="2587"/>
      <c r="L7" s="2583"/>
      <c r="M7" s="2583"/>
      <c r="N7" s="2584"/>
      <c r="O7" s="2585"/>
      <c r="P7" s="2584"/>
      <c r="Q7" s="2584"/>
      <c r="R7" s="2584"/>
      <c r="S7" s="2584"/>
      <c r="T7" s="2584"/>
      <c r="U7" s="2584"/>
    </row>
    <row r="8" spans="1:21">
      <c r="A8" s="2533" t="s">
        <v>1462</v>
      </c>
      <c r="B8" s="1387"/>
      <c r="C8" s="1388"/>
      <c r="D8" s="3476" t="s">
        <v>1464</v>
      </c>
      <c r="E8" s="1532"/>
      <c r="F8" s="1389"/>
      <c r="G8" s="2603"/>
      <c r="H8" s="2603"/>
      <c r="I8" s="2604"/>
      <c r="J8" s="2603"/>
      <c r="K8" s="2587"/>
      <c r="L8" s="2583"/>
      <c r="M8" s="2583"/>
      <c r="N8" s="2584"/>
      <c r="O8" s="2585"/>
      <c r="P8" s="2584"/>
      <c r="Q8" s="2584"/>
      <c r="R8" s="2584"/>
      <c r="S8" s="2584"/>
      <c r="T8" s="2584"/>
      <c r="U8" s="2584"/>
    </row>
    <row r="9" spans="1:21" ht="15" thickBot="1">
      <c r="A9" s="2534" t="s">
        <v>1463</v>
      </c>
      <c r="B9" s="1390"/>
      <c r="C9" s="1391"/>
      <c r="D9" s="3477"/>
      <c r="E9" s="1390"/>
      <c r="F9" s="1447"/>
      <c r="G9" s="2606"/>
      <c r="H9" s="2606"/>
      <c r="I9" s="2607"/>
      <c r="J9" s="2603"/>
      <c r="K9" s="2587"/>
      <c r="L9" s="2583"/>
      <c r="M9" s="2583"/>
      <c r="N9" s="2584"/>
      <c r="O9" s="2585"/>
      <c r="P9" s="2584"/>
      <c r="Q9" s="2584"/>
      <c r="R9" s="2584"/>
      <c r="S9" s="2584"/>
      <c r="T9" s="2584"/>
      <c r="U9" s="2584"/>
    </row>
    <row r="10" spans="1:21" ht="15" thickTop="1">
      <c r="A10" s="2535" t="s">
        <v>1517</v>
      </c>
      <c r="B10" s="1425"/>
      <c r="C10" s="1392"/>
      <c r="D10" s="1384"/>
      <c r="E10" s="1393" t="s">
        <v>1466</v>
      </c>
      <c r="F10" s="1394"/>
      <c r="G10" s="1445"/>
      <c r="H10" s="1446"/>
      <c r="I10" s="1384"/>
      <c r="J10" s="2603"/>
      <c r="K10" s="2587"/>
      <c r="L10" s="2583"/>
      <c r="M10" s="2583"/>
      <c r="N10" s="2584"/>
      <c r="O10" s="2585"/>
      <c r="P10" s="2584"/>
      <c r="Q10" s="2584"/>
      <c r="R10" s="2584"/>
      <c r="S10" s="2584"/>
      <c r="T10" s="2584"/>
      <c r="U10" s="2584"/>
    </row>
    <row r="11" spans="1:21">
      <c r="A11" s="2536" t="s">
        <v>1518</v>
      </c>
      <c r="B11" s="1406"/>
      <c r="C11" s="1395"/>
      <c r="D11" s="1462"/>
      <c r="E11" s="2584"/>
      <c r="F11" s="2584"/>
      <c r="G11" s="2584"/>
      <c r="H11" s="2584"/>
      <c r="I11" s="2584"/>
      <c r="J11" s="2603"/>
      <c r="K11" s="2587"/>
      <c r="L11" s="2583"/>
      <c r="M11" s="2583"/>
      <c r="N11" s="2584"/>
      <c r="O11" s="2585"/>
      <c r="P11" s="2584"/>
      <c r="Q11" s="2584"/>
      <c r="R11" s="2584"/>
      <c r="S11" s="2584"/>
      <c r="T11" s="2584"/>
      <c r="U11" s="2584"/>
    </row>
    <row r="12" spans="1:21">
      <c r="A12" s="1480" t="s">
        <v>1576</v>
      </c>
      <c r="B12" s="3473"/>
      <c r="C12" s="3474"/>
      <c r="D12" s="3475"/>
      <c r="E12" s="1407" t="s">
        <v>1579</v>
      </c>
      <c r="F12" s="3491" t="s">
        <v>2163</v>
      </c>
      <c r="G12" s="3492"/>
      <c r="H12" s="3492"/>
      <c r="I12" s="3493"/>
      <c r="J12" s="2603"/>
      <c r="K12" s="2587"/>
      <c r="L12" s="2583"/>
      <c r="M12" s="2583"/>
      <c r="N12" s="2584"/>
      <c r="O12" s="2585"/>
      <c r="P12" s="2584"/>
      <c r="Q12" s="2584"/>
      <c r="R12" s="2584"/>
      <c r="S12" s="2584"/>
      <c r="T12" s="2584"/>
      <c r="U12" s="2584"/>
    </row>
    <row r="13" spans="1:21">
      <c r="A13" s="1399" t="s">
        <v>1577</v>
      </c>
      <c r="B13" s="3473"/>
      <c r="C13" s="3474"/>
      <c r="D13" s="3475"/>
      <c r="E13" s="1407" t="s">
        <v>1579</v>
      </c>
      <c r="F13" s="3491" t="s">
        <v>2164</v>
      </c>
      <c r="G13" s="3492"/>
      <c r="H13" s="3492"/>
      <c r="I13" s="3493"/>
      <c r="J13" s="2603"/>
      <c r="K13" s="2587"/>
      <c r="L13" s="2583"/>
      <c r="M13" s="2583"/>
      <c r="N13" s="2584"/>
      <c r="O13" s="2585"/>
      <c r="P13" s="2584"/>
      <c r="Q13" s="2584"/>
      <c r="R13" s="2584"/>
      <c r="S13" s="2584"/>
      <c r="T13" s="2584"/>
      <c r="U13" s="2584"/>
    </row>
    <row r="14" spans="1:21">
      <c r="A14" s="1378" t="s">
        <v>1580</v>
      </c>
      <c r="B14" s="1407"/>
      <c r="C14" s="1533"/>
      <c r="D14" s="1438" t="str">
        <f>IF(C14="不一致","是否符合证载地类范围","")</f>
        <v/>
      </c>
      <c r="E14" s="1407"/>
      <c r="F14" s="1485"/>
      <c r="G14" s="1434"/>
      <c r="H14" s="1434"/>
      <c r="I14" s="1526"/>
      <c r="J14" s="2603"/>
      <c r="K14" s="2587"/>
      <c r="L14" s="2583"/>
      <c r="M14" s="2583"/>
      <c r="N14" s="2584"/>
      <c r="O14" s="2585"/>
      <c r="P14" s="2584"/>
      <c r="Q14" s="2584"/>
      <c r="R14" s="2584"/>
      <c r="S14" s="2584"/>
      <c r="T14" s="2584"/>
      <c r="U14" s="2584"/>
    </row>
    <row r="15" spans="1:21">
      <c r="A15" s="2086"/>
      <c r="B15" s="1380"/>
      <c r="C15" s="1466" t="s">
        <v>1469</v>
      </c>
      <c r="D15" s="1466" t="s">
        <v>1470</v>
      </c>
      <c r="E15" s="1466" t="s">
        <v>1179</v>
      </c>
      <c r="F15" s="1398" t="s">
        <v>1471</v>
      </c>
      <c r="G15" s="1398" t="s">
        <v>1472</v>
      </c>
      <c r="H15" s="1398" t="s">
        <v>776</v>
      </c>
      <c r="I15" s="1398" t="s">
        <v>2741</v>
      </c>
      <c r="J15" s="2603"/>
      <c r="K15" s="2587"/>
      <c r="L15" s="2583"/>
      <c r="M15" s="2583"/>
      <c r="N15" s="2584"/>
      <c r="O15" s="2585"/>
      <c r="P15" s="2584"/>
      <c r="Q15" s="2584"/>
      <c r="R15" s="2584"/>
      <c r="S15" s="2584"/>
      <c r="T15" s="2584"/>
      <c r="U15" s="2584"/>
    </row>
    <row r="16" spans="1:21" ht="28.5">
      <c r="A16" s="2537" t="s">
        <v>1467</v>
      </c>
      <c r="B16" s="1407" t="s">
        <v>1468</v>
      </c>
      <c r="C16" s="1466" t="s">
        <v>1469</v>
      </c>
      <c r="D16" s="1428" t="s">
        <v>2742</v>
      </c>
      <c r="E16" s="1428" t="s">
        <v>1212</v>
      </c>
      <c r="F16" s="1428" t="s">
        <v>2743</v>
      </c>
      <c r="G16" s="1428" t="s">
        <v>2744</v>
      </c>
      <c r="H16" s="1398" t="s">
        <v>776</v>
      </c>
      <c r="I16" s="1398" t="s">
        <v>2741</v>
      </c>
      <c r="J16" s="2603"/>
      <c r="K16" s="1398" t="str">
        <f>IF(D17="","",D16&amp;TEXT(D17,"yyyy年m月d日;;"))</f>
        <v/>
      </c>
      <c r="L16" s="1407" t="str">
        <f>IF(OR(K16="",M16=""),"","、")</f>
        <v/>
      </c>
      <c r="M16" s="1398" t="str">
        <f>IF(E17="","",E16&amp;TEXT(E17,"yyyy年m月d日;;"))</f>
        <v/>
      </c>
      <c r="N16" s="1407" t="str">
        <f>IF(OR(M16="",O16=""),"","、")</f>
        <v/>
      </c>
      <c r="O16" s="1398" t="str">
        <f>IF(F17="","",F16&amp;TEXT(F17,"yyyy年m月d日;;"))</f>
        <v/>
      </c>
      <c r="P16" s="1407" t="str">
        <f>IF(OR(O16="",Q16=""),"","、")</f>
        <v/>
      </c>
      <c r="Q16" s="1398" t="str">
        <f>IF(G17="","",G16&amp;TEXT(G17,"yyyy年m月d日;;"))</f>
        <v/>
      </c>
      <c r="R16" s="1407" t="str">
        <f>IF(OR(Q16="",S16=""),"","、")</f>
        <v/>
      </c>
      <c r="S16" s="1398" t="str">
        <f>IF(H17="","",H16&amp;TEXT(H17,"yyyy年m月d日;;"))</f>
        <v>工业2056年5月11日</v>
      </c>
      <c r="T16" s="1407" t="str">
        <f>IF(OR(S16="",U16=""),"","、")</f>
        <v/>
      </c>
      <c r="U16" s="1398" t="str">
        <f>IF(I17="","",I16&amp;TEXT(I17,"yyyy年m月d日;;"))</f>
        <v/>
      </c>
    </row>
    <row r="17" spans="1:21">
      <c r="A17" s="3081" t="s">
        <v>2745</v>
      </c>
      <c r="B17" s="2538" t="s">
        <v>1473</v>
      </c>
      <c r="C17" s="3080"/>
      <c r="D17" s="3080"/>
      <c r="E17" s="3080"/>
      <c r="F17" s="3080"/>
      <c r="G17" s="3080"/>
      <c r="H17" s="3080">
        <v>57111</v>
      </c>
      <c r="I17" s="3080"/>
      <c r="J17" s="2603"/>
      <c r="K17" s="2582" t="str">
        <f>CONCATENATE(K16,L16,M16,N16,O16,P16,Q16,R16,S16,T16,,U16)</f>
        <v>工业2056年5月11日</v>
      </c>
      <c r="L17" s="2583"/>
      <c r="M17" s="2583"/>
      <c r="N17" s="2584"/>
      <c r="O17" s="2585"/>
      <c r="P17" s="2584"/>
      <c r="Q17" s="2584"/>
      <c r="R17" s="2584"/>
      <c r="S17" s="2584"/>
      <c r="T17" s="2584"/>
      <c r="U17" s="2584"/>
    </row>
    <row r="18" spans="1:21">
      <c r="A18" s="1463"/>
      <c r="B18" s="2538" t="s">
        <v>1474</v>
      </c>
      <c r="C18" s="1396"/>
      <c r="D18" s="1396"/>
      <c r="E18" s="1396"/>
      <c r="F18" s="1396"/>
      <c r="G18" s="1396"/>
      <c r="H18" s="1396">
        <v>50</v>
      </c>
      <c r="I18" s="1396"/>
      <c r="J18" s="2603"/>
      <c r="K18" s="2587"/>
      <c r="L18" s="2583"/>
      <c r="M18" s="2583"/>
      <c r="N18" s="2584"/>
      <c r="O18" s="2585"/>
      <c r="P18" s="2584"/>
      <c r="Q18" s="2584"/>
      <c r="R18" s="2584"/>
      <c r="S18" s="2584"/>
      <c r="T18" s="2584"/>
      <c r="U18" s="2584"/>
    </row>
    <row r="19" spans="1:21">
      <c r="A19" s="1463"/>
      <c r="B19" s="1377" t="s">
        <v>1475</v>
      </c>
      <c r="C19" s="1458" t="str">
        <f>IF(A17="出让",IF(C17="","",ROUNDDOWN(MIN((C17-$D$3)/365,C18),2)),C18)</f>
        <v/>
      </c>
      <c r="D19" s="1458" t="str">
        <f>IF(A17="出让",IF(D17="","",ROUNDDOWN(MIN((D17-$D$3)/365,D18),2)),D18)</f>
        <v/>
      </c>
      <c r="E19" s="1397" t="str">
        <f>IF(A17="出让",IF(E17="","",ROUNDDOWN(MIN((E17-$D$3)/365,E18),2)),E18)</f>
        <v/>
      </c>
      <c r="F19" s="1397" t="str">
        <f>IF(A17="出让",IF(F17="","",ROUNDDOWN(MIN((F17-$D$3)/365,F18),2)),F18)</f>
        <v/>
      </c>
      <c r="G19" s="1397" t="str">
        <f>IF(A17="出让",IF(G17="","",ROUNDDOWN(MIN((G17-$D$3)/365,G18),2)),G18)</f>
        <v/>
      </c>
      <c r="H19" s="1397">
        <f>IF(A17="出让",IF(H17="","",ROUNDDOWN(MIN((H17-$D$3)/365,H18),2)),H18)</f>
        <v>31.85</v>
      </c>
      <c r="I19" s="1397" t="str">
        <f>IF(A17="出让",IF(I17="","",ROUNDDOWN(MIN((I17-$D$3)/365,I18),2)),I18)</f>
        <v/>
      </c>
      <c r="J19" s="2603"/>
      <c r="K19" s="2587"/>
      <c r="L19" s="2583"/>
      <c r="M19" s="2583"/>
      <c r="N19" s="2584"/>
      <c r="O19" s="2585"/>
      <c r="P19" s="2584"/>
      <c r="Q19" s="2584"/>
      <c r="R19" s="2584"/>
      <c r="S19" s="2584"/>
      <c r="T19" s="2584"/>
      <c r="U19" s="2584"/>
    </row>
    <row r="20" spans="1:21">
      <c r="A20" s="1481"/>
      <c r="B20" s="1482"/>
      <c r="C20" s="1483" t="s">
        <v>1578</v>
      </c>
      <c r="D20" s="3488"/>
      <c r="E20" s="3489"/>
      <c r="F20" s="3489"/>
      <c r="G20" s="3489"/>
      <c r="H20" s="3489"/>
      <c r="I20" s="3490"/>
      <c r="J20" s="2603"/>
      <c r="K20" s="2587"/>
      <c r="L20" s="2583"/>
      <c r="M20" s="2583"/>
      <c r="N20" s="2584"/>
      <c r="O20" s="2585"/>
      <c r="P20" s="2584"/>
      <c r="Q20" s="2584"/>
      <c r="R20" s="2584"/>
      <c r="S20" s="2584"/>
      <c r="T20" s="2584"/>
      <c r="U20" s="2584"/>
    </row>
    <row r="21" spans="1:21">
      <c r="A21" s="1463" t="s">
        <v>1476</v>
      </c>
      <c r="B21" s="1464" t="s">
        <v>1477</v>
      </c>
      <c r="C21" s="1459">
        <f>'数据-汇总表'!E3</f>
        <v>82949.97</v>
      </c>
      <c r="D21" s="1460" t="s">
        <v>1478</v>
      </c>
      <c r="E21" s="3478" t="s">
        <v>1516</v>
      </c>
      <c r="F21" s="3479"/>
      <c r="G21" s="3479"/>
      <c r="H21" s="3479"/>
      <c r="I21" s="3480"/>
      <c r="J21" s="2603"/>
      <c r="K21" s="2587"/>
      <c r="L21" s="2583"/>
      <c r="M21" s="2583"/>
      <c r="N21" s="2584"/>
      <c r="O21" s="2585"/>
      <c r="P21" s="2584"/>
      <c r="Q21" s="2584"/>
      <c r="R21" s="2584"/>
      <c r="S21" s="2584"/>
      <c r="T21" s="2584"/>
      <c r="U21" s="2584"/>
    </row>
    <row r="22" spans="1:21">
      <c r="A22" s="2366" t="s">
        <v>877</v>
      </c>
      <c r="B22" s="1378" t="s">
        <v>1479</v>
      </c>
      <c r="C22" s="1398">
        <f>'数据-汇总表'!D3</f>
        <v>82949.97</v>
      </c>
      <c r="D22" s="1399" t="s">
        <v>1478</v>
      </c>
      <c r="E22" s="3478" t="s">
        <v>2165</v>
      </c>
      <c r="F22" s="3479"/>
      <c r="G22" s="3479"/>
      <c r="H22" s="3479"/>
      <c r="I22" s="3480"/>
      <c r="J22" s="2603"/>
      <c r="K22" s="2587"/>
      <c r="L22" s="2583"/>
      <c r="M22" s="2583"/>
      <c r="N22" s="2584"/>
      <c r="O22" s="2585"/>
      <c r="P22" s="2584"/>
      <c r="Q22" s="2584"/>
      <c r="R22" s="2584"/>
      <c r="S22" s="2584"/>
      <c r="T22" s="2584"/>
      <c r="U22" s="2584"/>
    </row>
    <row r="23" spans="1:21" ht="29.25" thickBot="1">
      <c r="A23" s="1465" t="s">
        <v>1480</v>
      </c>
      <c r="B23" s="1408" t="s">
        <v>1481</v>
      </c>
      <c r="C23" s="1409"/>
      <c r="D23" s="1410" t="s">
        <v>1482</v>
      </c>
      <c r="E23" s="1411"/>
      <c r="F23" s="1412" t="str">
        <f>IF(AND(C23="是",E23="否"),"是否提供他项权证或相关说明","")</f>
        <v/>
      </c>
      <c r="G23" s="1413"/>
      <c r="H23" s="2603"/>
      <c r="I23" s="2604"/>
      <c r="J23" s="2603"/>
      <c r="K23" s="2587"/>
      <c r="L23" s="2583"/>
      <c r="M23" s="2583"/>
      <c r="N23" s="2584"/>
      <c r="O23" s="2585"/>
      <c r="P23" s="2584"/>
      <c r="Q23" s="2584"/>
      <c r="R23" s="2584"/>
      <c r="S23" s="2584"/>
      <c r="T23" s="2584"/>
      <c r="U23" s="2584"/>
    </row>
    <row r="24" spans="1:21">
      <c r="A24" s="1450" t="s">
        <v>1483</v>
      </c>
      <c r="B24" s="3481" t="s">
        <v>1484</v>
      </c>
      <c r="C24" s="3482"/>
      <c r="D24" s="3483" t="s">
        <v>1485</v>
      </c>
      <c r="E24" s="3484"/>
      <c r="F24" s="1414" t="s">
        <v>1486</v>
      </c>
      <c r="G24" s="2603"/>
      <c r="H24" s="2603"/>
      <c r="I24" s="2604"/>
      <c r="J24" s="2603"/>
      <c r="K24" s="3469" t="s">
        <v>1487</v>
      </c>
      <c r="L24" s="1972"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429"/>
      <c r="N24" s="2584"/>
      <c r="O24" s="2585"/>
      <c r="P24" s="2584"/>
      <c r="Q24" s="2584"/>
      <c r="R24" s="2584"/>
      <c r="S24" s="2584"/>
      <c r="T24" s="2584"/>
      <c r="U24" s="2584"/>
    </row>
    <row r="25" spans="1:21" ht="28.5">
      <c r="A25" s="1451"/>
      <c r="B25" s="1448" t="s">
        <v>1682</v>
      </c>
      <c r="C25" s="1415" t="s">
        <v>1488</v>
      </c>
      <c r="D25" s="1416"/>
      <c r="E25" s="1417" t="s">
        <v>877</v>
      </c>
      <c r="F25" s="1418"/>
      <c r="G25" s="2603"/>
      <c r="H25" s="2603"/>
      <c r="I25" s="2604"/>
      <c r="J25" s="2603"/>
      <c r="K25" s="3469"/>
      <c r="L25" s="1972"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429"/>
      <c r="N25" s="2584"/>
      <c r="O25" s="2585"/>
      <c r="P25" s="2584"/>
      <c r="Q25" s="2584"/>
      <c r="R25" s="2584"/>
      <c r="S25" s="2584"/>
      <c r="T25" s="2584"/>
      <c r="U25" s="2584"/>
    </row>
    <row r="26" spans="1:21" ht="29.25" thickBot="1">
      <c r="A26" s="1452"/>
      <c r="B26" s="1449" t="s">
        <v>1489</v>
      </c>
      <c r="C26" s="1415" t="s">
        <v>1683</v>
      </c>
      <c r="D26" s="2603"/>
      <c r="E26" s="2603"/>
      <c r="F26" s="2608"/>
      <c r="G26" s="2603"/>
      <c r="H26" s="2603"/>
      <c r="I26" s="2604"/>
      <c r="J26" s="2603"/>
      <c r="K26" s="3469"/>
      <c r="L26" s="1972"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429"/>
      <c r="N26" s="2584"/>
      <c r="O26" s="2585"/>
      <c r="P26" s="2584"/>
      <c r="Q26" s="2584"/>
      <c r="R26" s="2584"/>
      <c r="S26" s="2584"/>
      <c r="T26" s="2584"/>
      <c r="U26" s="2584"/>
    </row>
    <row r="27" spans="1:21">
      <c r="A27" s="1455" t="s">
        <v>1490</v>
      </c>
      <c r="B27" s="1453" t="s">
        <v>1491</v>
      </c>
      <c r="C27" s="1419"/>
      <c r="D27" s="2090" t="s">
        <v>1491</v>
      </c>
      <c r="E27" s="1420"/>
      <c r="F27" s="2608"/>
      <c r="G27" s="2603"/>
      <c r="H27" s="2603"/>
      <c r="I27" s="2604"/>
      <c r="J27" s="2603"/>
      <c r="K27" s="2587"/>
      <c r="L27" s="2583"/>
      <c r="M27" s="2583"/>
      <c r="N27" s="2584"/>
      <c r="O27" s="2585"/>
      <c r="P27" s="2584"/>
      <c r="Q27" s="2584"/>
      <c r="R27" s="2584"/>
      <c r="S27" s="2584"/>
      <c r="T27" s="2584"/>
      <c r="U27" s="2584"/>
    </row>
    <row r="28" spans="1:21">
      <c r="A28" s="1456"/>
      <c r="B28" s="1453" t="s">
        <v>1492</v>
      </c>
      <c r="C28" s="1421"/>
      <c r="D28" s="2091" t="s">
        <v>1492</v>
      </c>
      <c r="E28" s="1422"/>
      <c r="F28" s="2608"/>
      <c r="G28" s="2603"/>
      <c r="H28" s="2603"/>
      <c r="I28" s="2604"/>
      <c r="J28" s="2603"/>
      <c r="K28" s="2587"/>
      <c r="L28" s="2583"/>
      <c r="M28" s="2583"/>
      <c r="N28" s="2584"/>
      <c r="O28" s="2585"/>
      <c r="P28" s="2584"/>
      <c r="Q28" s="2584"/>
      <c r="R28" s="2584"/>
      <c r="S28" s="2584"/>
      <c r="T28" s="2584"/>
      <c r="U28" s="2584"/>
    </row>
    <row r="29" spans="1:21">
      <c r="A29" s="1456"/>
      <c r="B29" s="1453" t="s">
        <v>1493</v>
      </c>
      <c r="C29" s="1421"/>
      <c r="D29" s="2091" t="s">
        <v>1493</v>
      </c>
      <c r="E29" s="1422"/>
      <c r="F29" s="2608"/>
      <c r="G29" s="2603"/>
      <c r="H29" s="2603"/>
      <c r="I29" s="2604"/>
      <c r="J29" s="2603"/>
      <c r="K29" s="2587"/>
      <c r="L29" s="2583"/>
      <c r="M29" s="2583"/>
      <c r="N29" s="2584"/>
      <c r="O29" s="2585"/>
      <c r="P29" s="2584"/>
      <c r="Q29" s="2584"/>
      <c r="R29" s="2584"/>
      <c r="S29" s="2584"/>
      <c r="T29" s="2584"/>
      <c r="U29" s="2584"/>
    </row>
    <row r="30" spans="1:21" ht="15" thickBot="1">
      <c r="A30" s="1457"/>
      <c r="B30" s="1454" t="s">
        <v>1494</v>
      </c>
      <c r="C30" s="1423"/>
      <c r="D30" s="2092" t="s">
        <v>1494</v>
      </c>
      <c r="E30" s="1424"/>
      <c r="F30" s="2609"/>
      <c r="G30" s="2606"/>
      <c r="H30" s="2606"/>
      <c r="I30" s="2607"/>
      <c r="J30" s="2603"/>
      <c r="K30" s="2587"/>
      <c r="L30" s="2583"/>
      <c r="M30" s="2583"/>
      <c r="N30" s="2584"/>
      <c r="O30" s="2585"/>
      <c r="P30" s="2584"/>
      <c r="Q30" s="2584"/>
      <c r="R30" s="2584"/>
      <c r="S30" s="2584"/>
      <c r="T30" s="2584"/>
      <c r="U30" s="2584"/>
    </row>
    <row r="31" spans="1:21" ht="15" thickTop="1">
      <c r="A31" s="3496" t="s">
        <v>1519</v>
      </c>
      <c r="B31" s="1464" t="s">
        <v>1520</v>
      </c>
      <c r="C31" s="3494"/>
      <c r="D31" s="3495"/>
      <c r="E31" s="2603"/>
      <c r="F31" s="2603"/>
      <c r="G31" s="2603"/>
      <c r="H31" s="2603"/>
      <c r="I31" s="2604"/>
      <c r="J31" s="2603"/>
      <c r="K31" s="2590"/>
      <c r="L31" s="2584"/>
      <c r="M31" s="2584"/>
      <c r="N31" s="2584"/>
      <c r="O31" s="2584"/>
      <c r="P31" s="2584"/>
      <c r="Q31" s="2584"/>
      <c r="R31" s="2584"/>
      <c r="S31" s="2584"/>
      <c r="T31" s="2584"/>
      <c r="U31" s="2584"/>
    </row>
    <row r="32" spans="1:21">
      <c r="A32" s="3496"/>
      <c r="B32" s="1378" t="s">
        <v>1521</v>
      </c>
      <c r="C32" s="1425"/>
      <c r="D32" s="1426"/>
      <c r="E32" s="2603"/>
      <c r="F32" s="2603"/>
      <c r="G32" s="2603"/>
      <c r="H32" s="2603"/>
      <c r="I32" s="2604"/>
      <c r="J32" s="2603"/>
      <c r="K32" s="2590"/>
      <c r="L32" s="2584"/>
      <c r="M32" s="2584"/>
      <c r="N32" s="2584"/>
      <c r="O32" s="2584"/>
      <c r="P32" s="2584"/>
      <c r="Q32" s="2584"/>
      <c r="R32" s="2584"/>
      <c r="S32" s="2584"/>
      <c r="T32" s="2584"/>
      <c r="U32" s="2584"/>
    </row>
    <row r="33" spans="1:28">
      <c r="A33" s="3496"/>
      <c r="B33" s="1378" t="s">
        <v>1522</v>
      </c>
      <c r="C33" s="1427"/>
      <c r="D33" s="1527"/>
      <c r="E33" s="2603"/>
      <c r="F33" s="2603"/>
      <c r="G33" s="2603"/>
      <c r="H33" s="2603"/>
      <c r="I33" s="2604"/>
      <c r="J33" s="2603"/>
      <c r="K33" s="2590"/>
      <c r="L33" s="2584"/>
      <c r="M33" s="2584"/>
      <c r="N33" s="2584"/>
      <c r="O33" s="2584"/>
      <c r="P33" s="2584"/>
      <c r="Q33" s="2584"/>
      <c r="R33" s="2584"/>
      <c r="S33" s="2584"/>
      <c r="T33" s="2584"/>
      <c r="U33" s="2584"/>
    </row>
    <row r="34" spans="1:28">
      <c r="A34" s="3497"/>
      <c r="B34" s="1378" t="s">
        <v>1523</v>
      </c>
      <c r="C34" s="3498"/>
      <c r="D34" s="3499"/>
      <c r="E34" s="2603"/>
      <c r="F34" s="2603"/>
      <c r="G34" s="2603"/>
      <c r="H34" s="2603"/>
      <c r="I34" s="2604"/>
      <c r="J34" s="2603"/>
      <c r="K34" s="2590"/>
      <c r="L34" s="2584"/>
      <c r="M34" s="2584"/>
      <c r="N34" s="2584"/>
      <c r="O34" s="2584"/>
      <c r="P34" s="2584"/>
      <c r="Q34" s="2584"/>
      <c r="R34" s="2584"/>
      <c r="S34" s="2584"/>
      <c r="T34" s="2584"/>
      <c r="U34" s="2584"/>
    </row>
    <row r="35" spans="1:28">
      <c r="A35" s="3500" t="s">
        <v>785</v>
      </c>
      <c r="B35" s="1428"/>
      <c r="C35" s="1472" t="str">
        <f>IF(B35="场地平整","——","具体情况：")</f>
        <v>具体情况：</v>
      </c>
      <c r="D35" s="3502"/>
      <c r="E35" s="3503"/>
      <c r="F35" s="3503"/>
      <c r="G35" s="3503"/>
      <c r="H35" s="3503"/>
      <c r="I35" s="3504"/>
      <c r="J35" s="2603"/>
      <c r="K35" s="2591"/>
      <c r="L35" s="2583"/>
      <c r="M35" s="2583"/>
      <c r="N35" s="2584"/>
      <c r="O35" s="2585"/>
      <c r="P35" s="2584"/>
      <c r="Q35" s="2584"/>
      <c r="R35" s="2584"/>
      <c r="S35" s="2584"/>
      <c r="T35" s="2584"/>
      <c r="U35" s="2584"/>
    </row>
    <row r="36" spans="1:28">
      <c r="A36" s="3496"/>
      <c r="B36" s="3505" t="s">
        <v>1572</v>
      </c>
      <c r="C36" s="3506"/>
      <c r="D36" s="1487"/>
      <c r="E36" s="3507"/>
      <c r="F36" s="3507"/>
      <c r="G36" s="1399" t="str">
        <f>IF(B35="场地未平整","估价结果处理","")</f>
        <v/>
      </c>
      <c r="H36" s="3508"/>
      <c r="I36" s="3508"/>
      <c r="J36" s="2603"/>
      <c r="K36" s="2591"/>
      <c r="L36" s="2583"/>
      <c r="M36" s="2583"/>
      <c r="N36" s="2584"/>
      <c r="O36" s="2585"/>
      <c r="P36" s="2584"/>
      <c r="Q36" s="2584"/>
      <c r="R36" s="2584"/>
      <c r="S36" s="2584"/>
      <c r="T36" s="2584"/>
      <c r="U36" s="2584"/>
    </row>
    <row r="37" spans="1:28" ht="28.5">
      <c r="A37" s="3496"/>
      <c r="B37" s="3485" t="s">
        <v>786</v>
      </c>
      <c r="C37" s="1430" t="s">
        <v>787</v>
      </c>
      <c r="D37" s="1431"/>
      <c r="E37" s="1432"/>
      <c r="F37" s="2603"/>
      <c r="G37" s="2603"/>
      <c r="H37" s="2603"/>
      <c r="I37" s="2604"/>
      <c r="J37" s="2603"/>
      <c r="K37" s="2591"/>
      <c r="L37" s="2584"/>
      <c r="M37" s="2584"/>
      <c r="N37" s="2584"/>
      <c r="O37" s="2584"/>
      <c r="P37" s="2584"/>
      <c r="Q37" s="2584"/>
      <c r="R37" s="2584"/>
      <c r="S37" s="2584"/>
      <c r="T37" s="2584"/>
      <c r="U37" s="2584"/>
    </row>
    <row r="38" spans="1:28">
      <c r="A38" s="3496"/>
      <c r="B38" s="3486"/>
      <c r="C38" s="1386" t="s">
        <v>788</v>
      </c>
      <c r="D38" s="1486">
        <f>ROUNDDOWN(MIN(('数据-取费表'!$B$2-D37)/365,D34),1)</f>
        <v>124.6</v>
      </c>
      <c r="E38" s="1433" t="s">
        <v>789</v>
      </c>
      <c r="F38" s="2603"/>
      <c r="G38" s="2603"/>
      <c r="H38" s="2603"/>
      <c r="I38" s="2604"/>
      <c r="J38" s="2603"/>
      <c r="K38" s="2591"/>
      <c r="L38" s="2584"/>
      <c r="M38" s="2584"/>
      <c r="N38" s="2584"/>
      <c r="O38" s="2584"/>
      <c r="P38" s="2584"/>
      <c r="Q38" s="2584"/>
      <c r="R38" s="2584"/>
      <c r="S38" s="2584"/>
      <c r="T38" s="2584"/>
      <c r="U38" s="2584"/>
    </row>
    <row r="39" spans="1:28">
      <c r="A39" s="3497"/>
      <c r="B39" s="3487"/>
      <c r="C39" s="1405" t="str">
        <f>IF(D38&lt;1,"不存在土地闲置",IF(B35="宗地内已开工建设","已开工，不存在土地闲置","估价对象已涉嫌土地闲置"))</f>
        <v>估价对象已涉嫌土地闲置</v>
      </c>
      <c r="D39" s="1434"/>
      <c r="E39" s="1435"/>
      <c r="F39" s="2603"/>
      <c r="G39" s="2603"/>
      <c r="H39" s="2603"/>
      <c r="I39" s="2604"/>
      <c r="J39" s="2603"/>
      <c r="K39" s="2587"/>
      <c r="L39" s="2583"/>
      <c r="M39" s="2583"/>
      <c r="N39" s="2584"/>
      <c r="O39" s="2585"/>
      <c r="P39" s="2584"/>
      <c r="Q39" s="2584"/>
      <c r="R39" s="2584"/>
      <c r="S39" s="2584"/>
      <c r="T39" s="2584"/>
      <c r="U39" s="2584"/>
    </row>
    <row r="40" spans="1:28">
      <c r="A40" s="1399" t="s">
        <v>1495</v>
      </c>
      <c r="B40" s="1400"/>
      <c r="C40" s="1400"/>
      <c r="D40" s="1400"/>
      <c r="E40" s="1400"/>
      <c r="F40" s="1400"/>
      <c r="G40" s="1400"/>
      <c r="H40" s="1400"/>
      <c r="I40" s="2604"/>
      <c r="J40" s="2603"/>
      <c r="K40" s="1436">
        <f>COUNTIF(B40:H40,"——")</f>
        <v>0</v>
      </c>
      <c r="L40" s="1407" t="s">
        <v>1496</v>
      </c>
      <c r="M40" s="1404" t="s">
        <v>1497</v>
      </c>
      <c r="N40" s="1404" t="s">
        <v>1498</v>
      </c>
      <c r="O40" s="1404" t="s">
        <v>1499</v>
      </c>
      <c r="P40" s="1404" t="s">
        <v>1500</v>
      </c>
      <c r="Q40" s="1404" t="s">
        <v>1501</v>
      </c>
      <c r="R40" s="1404" t="s">
        <v>1502</v>
      </c>
      <c r="S40" s="3468" t="s">
        <v>1503</v>
      </c>
      <c r="T40" s="1407" t="str">
        <f>NUMBERSTRING(7-K40,1)&amp;"通"</f>
        <v>七通</v>
      </c>
      <c r="U40" s="2584"/>
    </row>
    <row r="41" spans="1:28">
      <c r="A41" s="1380"/>
      <c r="B41" s="3501" t="s">
        <v>1250</v>
      </c>
      <c r="C41" s="3501"/>
      <c r="D41" s="3501"/>
      <c r="E41" s="3501"/>
      <c r="F41" s="1437">
        <f>C10</f>
        <v>0</v>
      </c>
      <c r="G41" s="2603"/>
      <c r="H41" s="2603"/>
      <c r="I41" s="2604"/>
      <c r="J41" s="2603"/>
      <c r="K41" s="1407"/>
      <c r="L41" s="1404">
        <f>B40</f>
        <v>0</v>
      </c>
      <c r="M41" s="1438" t="str">
        <f>B40&amp;"、"&amp;C40</f>
        <v>、</v>
      </c>
      <c r="N41" s="1439" t="str">
        <f>B40&amp;"、"&amp;C40&amp;"、"&amp;D40</f>
        <v>、、</v>
      </c>
      <c r="O41" s="1439" t="str">
        <f>B40&amp;"、"&amp;C40&amp;"、"&amp;D40&amp;"、"&amp;E40</f>
        <v>、、、</v>
      </c>
      <c r="P41" s="1439" t="str">
        <f>B40&amp;"、"&amp;C40&amp;"、"&amp;D40&amp;"、"&amp;E40&amp;"、"&amp;F40</f>
        <v>、、、、</v>
      </c>
      <c r="Q41" s="1439" t="str">
        <f>B40&amp;"、"&amp;C40&amp;"、"&amp;D40&amp;"、"&amp;E40&amp;"、"&amp;F40&amp;"、"&amp;G40</f>
        <v>、、、、、</v>
      </c>
      <c r="R41" s="1439" t="str">
        <f>B40&amp;"、"&amp;C40&amp;"、"&amp;D40&amp;"、"&amp;E40&amp;"、"&amp;F40&amp;"、"&amp;G40&amp;"、"&amp;H40</f>
        <v>、、、、、、</v>
      </c>
      <c r="S41" s="3468"/>
      <c r="T41" s="1438" t="str">
        <f>IF(T40="一通",L41,IF(T40="二通",M41,IF(T40="三通",N41,IF(T40="四通",O41,IF(T40="五通",P41,IF(T40="六通",Q41,R41))))))</f>
        <v>、、、、、、</v>
      </c>
      <c r="U41" s="2584"/>
    </row>
    <row r="42" spans="1:28">
      <c r="A42" s="1440"/>
      <c r="B42" s="1466" t="s">
        <v>1422</v>
      </c>
      <c r="C42" s="1466" t="s">
        <v>1423</v>
      </c>
      <c r="D42" s="1466" t="s">
        <v>1424</v>
      </c>
      <c r="E42" s="1466" t="s">
        <v>2746</v>
      </c>
      <c r="F42" s="1466" t="s">
        <v>2747</v>
      </c>
      <c r="G42" s="2603"/>
      <c r="H42" s="2603"/>
      <c r="I42" s="2604"/>
      <c r="J42" s="2603"/>
      <c r="K42" s="2587"/>
      <c r="L42" s="2583"/>
      <c r="M42" s="2583"/>
      <c r="N42" s="2584"/>
      <c r="O42" s="2585"/>
      <c r="P42" s="2584"/>
      <c r="Q42" s="2584"/>
      <c r="R42" s="2584"/>
      <c r="S42" s="2584"/>
      <c r="T42" s="2584"/>
      <c r="U42" s="2584"/>
    </row>
    <row r="43" spans="1:28">
      <c r="A43" s="2559" t="s">
        <v>1235</v>
      </c>
      <c r="B43" s="1442"/>
      <c r="C43" s="1442"/>
      <c r="D43" s="1442"/>
      <c r="E43" s="1442" t="s">
        <v>1153</v>
      </c>
      <c r="F43" s="1442"/>
      <c r="G43" s="2603"/>
      <c r="H43" s="2603"/>
      <c r="I43" s="2604"/>
      <c r="J43" s="2603"/>
      <c r="K43" s="2587"/>
      <c r="L43" s="2583"/>
      <c r="M43" s="2583"/>
      <c r="N43" s="2584"/>
      <c r="O43" s="2585"/>
      <c r="P43" s="2584"/>
      <c r="Q43" s="2584"/>
      <c r="R43" s="2584"/>
      <c r="S43" s="2584"/>
      <c r="T43" s="2584"/>
      <c r="U43" s="2584"/>
    </row>
    <row r="44" spans="1:28">
      <c r="A44" s="2559" t="s">
        <v>1236</v>
      </c>
      <c r="B44" s="1442"/>
      <c r="C44" s="1442"/>
      <c r="D44" s="1442"/>
      <c r="E44" s="1487" t="s">
        <v>2886</v>
      </c>
      <c r="F44" s="1487"/>
      <c r="G44" s="2603"/>
      <c r="H44" s="2603"/>
      <c r="I44" s="2604"/>
      <c r="J44" s="2603"/>
      <c r="K44" s="2587"/>
      <c r="L44" s="2583"/>
      <c r="M44" s="2583"/>
      <c r="N44" s="2584"/>
      <c r="O44" s="2585"/>
      <c r="P44" s="2584"/>
      <c r="Q44" s="2584"/>
      <c r="R44" s="2584"/>
      <c r="S44" s="2584"/>
      <c r="T44" s="2584"/>
      <c r="U44" s="2584"/>
    </row>
    <row r="45" spans="1:28" s="2340" customFormat="1" ht="21" thickBot="1">
      <c r="A45" s="2341" t="s">
        <v>2166</v>
      </c>
      <c r="B45" s="2339"/>
      <c r="C45" s="2339"/>
      <c r="D45" s="2339"/>
      <c r="E45" s="2339"/>
      <c r="F45" s="2339"/>
      <c r="G45" s="2594"/>
      <c r="H45" s="2594"/>
      <c r="I45" s="2595"/>
      <c r="J45" s="2605"/>
      <c r="K45" s="2592"/>
      <c r="L45" s="2593"/>
      <c r="M45" s="2593"/>
      <c r="N45" s="2594"/>
      <c r="O45" s="2595"/>
      <c r="P45" s="2594"/>
      <c r="Q45" s="2594"/>
      <c r="R45" s="2594"/>
      <c r="S45" s="2594"/>
      <c r="T45" s="2594"/>
      <c r="U45" s="2594"/>
      <c r="V45" s="2596"/>
      <c r="W45" s="2596"/>
      <c r="X45" s="2596"/>
      <c r="Y45" s="2596"/>
      <c r="Z45" s="2596"/>
      <c r="AA45" s="2596"/>
      <c r="AB45" s="2596"/>
    </row>
    <row r="46" spans="1:28">
      <c r="A46" s="1377"/>
      <c r="B46" s="1377"/>
      <c r="C46" s="1377"/>
      <c r="D46" s="1377"/>
      <c r="E46" s="1377"/>
      <c r="F46" s="1377"/>
      <c r="G46" s="1377"/>
      <c r="H46" s="1377"/>
      <c r="I46" s="1403"/>
      <c r="J46" s="1377"/>
      <c r="K46" s="2587"/>
      <c r="L46" s="2583"/>
      <c r="M46" s="2583"/>
      <c r="N46" s="2584"/>
      <c r="O46" s="2585"/>
      <c r="P46" s="2584"/>
      <c r="Q46" s="2584"/>
      <c r="R46" s="2584"/>
      <c r="S46" s="2584"/>
      <c r="T46" s="2584"/>
      <c r="U46" s="2584"/>
    </row>
    <row r="47" spans="1:28">
      <c r="A47" s="1443" t="s">
        <v>1524</v>
      </c>
      <c r="B47" s="1444"/>
      <c r="C47" s="1435"/>
      <c r="D47" s="1377"/>
      <c r="E47" s="1377"/>
      <c r="F47" s="1377"/>
      <c r="G47" s="1377"/>
      <c r="H47" s="1377"/>
      <c r="I47" s="1403"/>
      <c r="J47" s="1377"/>
      <c r="K47" s="2587"/>
      <c r="L47" s="2583"/>
      <c r="M47" s="2583"/>
      <c r="N47" s="2584"/>
      <c r="O47" s="2585"/>
      <c r="P47" s="2584"/>
      <c r="Q47" s="2584"/>
      <c r="R47" s="2584"/>
      <c r="S47" s="2584"/>
      <c r="T47" s="2584"/>
      <c r="U47" s="2584"/>
    </row>
    <row r="48" spans="1:28" ht="28.5">
      <c r="A48" s="1407" t="s">
        <v>1525</v>
      </c>
      <c r="B48" s="1398" t="s">
        <v>1526</v>
      </c>
      <c r="C48" s="1398" t="s">
        <v>1527</v>
      </c>
      <c r="D48" s="1398" t="s">
        <v>1528</v>
      </c>
      <c r="E48" s="1398" t="s">
        <v>1529</v>
      </c>
      <c r="F48" s="1398" t="s">
        <v>1530</v>
      </c>
      <c r="G48" s="1398" t="s">
        <v>1531</v>
      </c>
      <c r="H48" s="1398" t="s">
        <v>1532</v>
      </c>
      <c r="I48" s="1398" t="s">
        <v>1533</v>
      </c>
      <c r="J48" s="1471" t="s">
        <v>1534</v>
      </c>
      <c r="K48" s="2597" t="s">
        <v>1535</v>
      </c>
      <c r="L48" s="2597" t="s">
        <v>1536</v>
      </c>
      <c r="M48" s="2597" t="s">
        <v>1537</v>
      </c>
      <c r="N48" s="2598" t="s">
        <v>1538</v>
      </c>
      <c r="O48" s="2598" t="s">
        <v>1539</v>
      </c>
      <c r="P48" s="2598" t="s">
        <v>1540</v>
      </c>
      <c r="Q48" s="2589" t="s">
        <v>1541</v>
      </c>
      <c r="R48" s="2589" t="s">
        <v>1542</v>
      </c>
      <c r="S48" s="2584"/>
      <c r="T48" s="2584"/>
      <c r="U48" s="2584"/>
    </row>
    <row r="49" spans="1:21">
      <c r="A49" s="1404"/>
      <c r="B49" s="1436"/>
      <c r="C49" s="1436"/>
      <c r="D49" s="1436"/>
      <c r="E49" s="1436"/>
      <c r="F49" s="1436"/>
      <c r="G49" s="1436"/>
      <c r="H49" s="1436"/>
      <c r="I49" s="1436"/>
      <c r="J49" s="1528"/>
      <c r="K49" s="2599"/>
      <c r="L49" s="2599"/>
      <c r="M49" s="1441"/>
      <c r="N49" s="1441"/>
      <c r="O49" s="1441"/>
      <c r="P49" s="1441"/>
      <c r="Q49" s="1441"/>
      <c r="R49" s="1441"/>
      <c r="S49" s="2584"/>
      <c r="T49" s="2584"/>
      <c r="U49" s="2584"/>
    </row>
    <row r="50" spans="1:21">
      <c r="A50" s="1404"/>
      <c r="B50" s="1404"/>
      <c r="C50" s="1436"/>
      <c r="D50" s="1436"/>
      <c r="E50" s="1436"/>
      <c r="F50" s="1436"/>
      <c r="G50" s="1436"/>
      <c r="H50" s="1436"/>
      <c r="I50" s="1436"/>
      <c r="J50" s="1528"/>
      <c r="K50" s="2599"/>
      <c r="L50" s="2599"/>
      <c r="M50" s="1441"/>
      <c r="N50" s="1441"/>
      <c r="O50" s="1441"/>
      <c r="P50" s="1441"/>
      <c r="Q50" s="1441"/>
      <c r="R50" s="1441"/>
      <c r="S50" s="2584"/>
      <c r="T50" s="2584"/>
      <c r="U50" s="2584"/>
    </row>
    <row r="51" spans="1:21">
      <c r="A51" s="1404"/>
      <c r="B51" s="1404"/>
      <c r="C51" s="1436"/>
      <c r="D51" s="1436"/>
      <c r="E51" s="1436"/>
      <c r="F51" s="1436"/>
      <c r="G51" s="1436"/>
      <c r="H51" s="1436"/>
      <c r="I51" s="1436"/>
      <c r="J51" s="1528"/>
      <c r="K51" s="2599"/>
      <c r="L51" s="2599"/>
      <c r="M51" s="1441"/>
      <c r="N51" s="1441"/>
      <c r="O51" s="1441"/>
      <c r="P51" s="1441"/>
      <c r="Q51" s="1441"/>
      <c r="R51" s="1441"/>
      <c r="S51" s="2584"/>
      <c r="T51" s="2584"/>
      <c r="U51" s="2584"/>
    </row>
    <row r="52" spans="1:21">
      <c r="A52" s="1404"/>
      <c r="B52" s="1404"/>
      <c r="C52" s="1436"/>
      <c r="D52" s="1436"/>
      <c r="E52" s="1436"/>
      <c r="F52" s="1436"/>
      <c r="G52" s="1436"/>
      <c r="H52" s="1436"/>
      <c r="I52" s="1436"/>
      <c r="J52" s="1528"/>
      <c r="K52" s="2599"/>
      <c r="L52" s="2599"/>
      <c r="M52" s="1441"/>
      <c r="N52" s="1441"/>
      <c r="O52" s="1441"/>
      <c r="P52" s="1441"/>
      <c r="Q52" s="1441"/>
      <c r="R52" s="1441"/>
      <c r="S52" s="2584"/>
      <c r="T52" s="2584"/>
      <c r="U52" s="2584"/>
    </row>
    <row r="53" spans="1:21">
      <c r="A53" s="1404"/>
      <c r="B53" s="1404"/>
      <c r="C53" s="1436"/>
      <c r="D53" s="1436"/>
      <c r="E53" s="1436"/>
      <c r="F53" s="1436"/>
      <c r="G53" s="1436"/>
      <c r="H53" s="1436"/>
      <c r="I53" s="1436"/>
      <c r="J53" s="1528"/>
      <c r="K53" s="2599"/>
      <c r="L53" s="2599"/>
      <c r="M53" s="1441"/>
      <c r="N53" s="1441"/>
      <c r="O53" s="1441"/>
      <c r="P53" s="1441"/>
      <c r="Q53" s="1441"/>
      <c r="R53" s="1441"/>
      <c r="S53" s="2584"/>
      <c r="T53" s="2584"/>
      <c r="U53" s="2584"/>
    </row>
    <row r="54" spans="1:21">
      <c r="A54" s="1404"/>
      <c r="B54" s="1404"/>
      <c r="C54" s="1404"/>
      <c r="D54" s="1404"/>
      <c r="E54" s="1404"/>
      <c r="F54" s="1436"/>
      <c r="G54" s="1404"/>
      <c r="H54" s="1404"/>
      <c r="I54" s="1404"/>
      <c r="J54" s="1529"/>
      <c r="K54" s="2599"/>
      <c r="L54" s="2599"/>
      <c r="M54" s="2599"/>
      <c r="N54" s="2556"/>
      <c r="O54" s="2556"/>
      <c r="P54" s="2556"/>
      <c r="Q54" s="2556"/>
      <c r="R54" s="2556"/>
      <c r="S54" s="2584"/>
      <c r="T54" s="2584"/>
      <c r="U54" s="2584"/>
    </row>
    <row r="55" spans="1:21">
      <c r="A55" s="1404"/>
      <c r="B55" s="1404"/>
      <c r="C55" s="1404"/>
      <c r="D55" s="1404"/>
      <c r="E55" s="1404"/>
      <c r="F55" s="1436"/>
      <c r="G55" s="1404"/>
      <c r="H55" s="1404"/>
      <c r="I55" s="1404"/>
      <c r="J55" s="1529"/>
      <c r="K55" s="2599"/>
      <c r="L55" s="2599"/>
      <c r="M55" s="2599"/>
      <c r="N55" s="2556"/>
      <c r="O55" s="2556"/>
      <c r="P55" s="2556"/>
      <c r="Q55" s="2556"/>
      <c r="R55" s="2556"/>
      <c r="S55" s="2584"/>
      <c r="T55" s="2584"/>
      <c r="U55" s="2584"/>
    </row>
    <row r="56" spans="1:21">
      <c r="A56" s="1404"/>
      <c r="B56" s="1404"/>
      <c r="C56" s="1404"/>
      <c r="D56" s="1404"/>
      <c r="E56" s="1404"/>
      <c r="F56" s="1436"/>
      <c r="G56" s="1404"/>
      <c r="H56" s="1404"/>
      <c r="I56" s="1404"/>
      <c r="J56" s="1529"/>
      <c r="K56" s="2599"/>
      <c r="L56" s="2599"/>
      <c r="M56" s="2599"/>
      <c r="N56" s="2556"/>
      <c r="O56" s="2556"/>
      <c r="P56" s="2556"/>
      <c r="Q56" s="2556"/>
      <c r="R56" s="2556"/>
      <c r="S56" s="2584"/>
      <c r="T56" s="2584"/>
      <c r="U56" s="2584"/>
    </row>
    <row r="57" spans="1:21">
      <c r="A57" s="1404"/>
      <c r="B57" s="1404"/>
      <c r="C57" s="1404"/>
      <c r="D57" s="1404"/>
      <c r="E57" s="1404"/>
      <c r="F57" s="1436"/>
      <c r="G57" s="1404"/>
      <c r="H57" s="1404"/>
      <c r="I57" s="1404"/>
      <c r="J57" s="1529"/>
      <c r="K57" s="2599"/>
      <c r="L57" s="2599"/>
      <c r="M57" s="2599"/>
      <c r="N57" s="2556"/>
      <c r="O57" s="2556"/>
      <c r="P57" s="2556"/>
      <c r="Q57" s="2556"/>
      <c r="R57" s="2556"/>
      <c r="S57" s="2584"/>
      <c r="T57" s="2584"/>
      <c r="U57" s="2584"/>
    </row>
    <row r="58" spans="1:21">
      <c r="A58" s="1404"/>
      <c r="B58" s="1404"/>
      <c r="C58" s="1404"/>
      <c r="D58" s="1404"/>
      <c r="E58" s="1404"/>
      <c r="F58" s="1436"/>
      <c r="G58" s="1404"/>
      <c r="H58" s="1404"/>
      <c r="I58" s="1404"/>
      <c r="J58" s="1529"/>
      <c r="K58" s="2599"/>
      <c r="L58" s="2599"/>
      <c r="M58" s="2599"/>
      <c r="N58" s="2556"/>
      <c r="O58" s="2556"/>
      <c r="P58" s="2556"/>
      <c r="Q58" s="2556"/>
      <c r="R58" s="2556"/>
      <c r="S58" s="2584"/>
      <c r="T58" s="2584"/>
      <c r="U58" s="2584"/>
    </row>
  </sheetData>
  <sheetProtection password="CEE9"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31" xr:uid="{00000000-0002-0000-0A00-000002000000}">
      <formula1>"居住项目,商业项目,办公项目,工业项目,综合项目（居住、综合）,综合项目（商业、办公）"</formula1>
    </dataValidation>
    <dataValidation type="list" allowBlank="1" showInputMessage="1" showErrorMessage="1" sqref="C33" xr:uid="{00000000-0002-0000-0A00-000003000000}">
      <formula1>"否,全部为保障性住房,含保障性住房"</formula1>
    </dataValidation>
    <dataValidation type="list" allowBlank="1" showInputMessage="1" showErrorMessage="1" sqref="C32" xr:uid="{00000000-0002-0000-0A00-000004000000}">
      <formula1>"无,低密度住宅,商场,酒店,旅游地产,仓储物流,高新技术产业用地,其他特殊："</formula1>
    </dataValidation>
    <dataValidation type="list" allowBlank="1" showInputMessage="1" showErrorMessage="1" sqref="B35" xr:uid="{00000000-0002-0000-0A00-000005000000}">
      <formula1>"场地平整,宗地内已开工建设,场地未平整"</formula1>
    </dataValidation>
    <dataValidation type="list" allowBlank="1" showInputMessage="1" showErrorMessage="1" sqref="B43:F43" xr:uid="{00000000-0002-0000-0A00-000006000000}">
      <formula1>土地级别</formula1>
    </dataValidation>
    <dataValidation type="list" allowBlank="1" showInputMessage="1" showErrorMessage="1" sqref="B44" xr:uid="{00000000-0002-0000-0A00-000007000000}">
      <formula1>INDIRECT($B$43)</formula1>
    </dataValidation>
    <dataValidation type="list" allowBlank="1" showInputMessage="1" showErrorMessage="1" sqref="C44" xr:uid="{00000000-0002-0000-0A00-000008000000}">
      <formula1>INDIRECT($C$43)</formula1>
    </dataValidation>
    <dataValidation type="list" allowBlank="1" showInputMessage="1" showErrorMessage="1" sqref="D44" xr:uid="{00000000-0002-0000-0A00-000009000000}">
      <formula1>INDIRECT($D$43)</formula1>
    </dataValidation>
    <dataValidation type="list" allowBlank="1" showInputMessage="1" showErrorMessage="1" sqref="E44" xr:uid="{00000000-0002-0000-0A00-00000A000000}">
      <formula1>INDIRECT($E$43)</formula1>
    </dataValidation>
    <dataValidation type="list" allowBlank="1" showInputMessage="1" showErrorMessage="1" sqref="B4 D4 F4 H4" xr:uid="{00000000-0002-0000-0A00-00000B000000}">
      <formula1>土地估价师</formula1>
    </dataValidation>
    <dataValidation type="list" allowBlank="1" showInputMessage="1" showErrorMessage="1" sqref="B9" xr:uid="{00000000-0002-0000-0A00-00000C000000}">
      <formula1>"抵押价格,市场价格"</formula1>
    </dataValidation>
    <dataValidation type="list" allowBlank="1" showInputMessage="1" showErrorMessage="1" sqref="B8" xr:uid="{00000000-0002-0000-0A00-00000D000000}">
      <formula1>"抵押,核定资产,出让"</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A17" xr:uid="{00000000-0002-0000-0A00-000010000000}">
      <formula1>"出让,储备,划拨"</formula1>
    </dataValidation>
    <dataValidation type="list" allowBlank="1" showInputMessage="1" showErrorMessage="1" sqref="C18:I18" xr:uid="{00000000-0002-0000-0A00-000011000000}">
      <formula1>法定最高年限</formula1>
    </dataValidation>
    <dataValidation type="list" allowBlank="1" showInputMessage="1" showErrorMessage="1" sqref="C23 E23 G23" xr:uid="{00000000-0002-0000-0A00-000012000000}">
      <formula1>估价范围判定</formula1>
    </dataValidation>
    <dataValidation type="list" allowBlank="1" showInputMessage="1" showErrorMessage="1" sqref="B25:B26" xr:uid="{00000000-0002-0000-0A00-000013000000}">
      <formula1>"《房屋所有权证》,《国有土地使用证》,《不动产权证书》,——"</formula1>
    </dataValidation>
    <dataValidation type="list" allowBlank="1" showInputMessage="1" showErrorMessage="1" sqref="C25:C26 E25" xr:uid="{00000000-0002-0000-0A00-000014000000}">
      <formula1>"原件,复印件,——"</formula1>
    </dataValidation>
    <dataValidation type="list" allowBlank="1" showInputMessage="1" showErrorMessage="1" sqref="B40:H40" xr:uid="{00000000-0002-0000-0A00-000015000000}">
      <formula1>七通一平</formula1>
    </dataValidation>
    <dataValidation type="list" allowBlank="1" showInputMessage="1" showErrorMessage="1" sqref="D36" xr:uid="{00000000-0002-0000-0A00-000016000000}">
      <formula1>"平整,未平整,——"</formula1>
    </dataValidation>
    <dataValidation type="list" allowBlank="1" showInputMessage="1" showErrorMessage="1" sqref="C14" xr:uid="{00000000-0002-0000-0A00-000017000000}">
      <formula1>"一致,不一致"</formula1>
    </dataValidation>
    <dataValidation type="list" allowBlank="1" showInputMessage="1" showErrorMessage="1" sqref="F14" xr:uid="{00000000-0002-0000-0A00-000018000000}">
      <formula1>"符合,不符合,——"</formula1>
    </dataValidation>
    <dataValidation type="list" allowBlank="1" showInputMessage="1" showErrorMessage="1" sqref="A22" xr:uid="{00000000-0002-0000-0A00-000019000000}">
      <formula1>"建筑与土地面积依据相同,——"</formula1>
    </dataValidation>
    <dataValidation type="list" allowBlank="1" showInputMessage="1" showErrorMessage="1" sqref="D16" xr:uid="{00000000-0002-0000-0A00-00001A000000}">
      <formula1>"商业,地上商业,地下商业,商业及地下商业,旅游"</formula1>
    </dataValidation>
    <dataValidation type="list" allowBlank="1" showInputMessage="1" showErrorMessage="1" sqref="E16" xr:uid="{00000000-0002-0000-0A00-00001B000000}">
      <formula1>"办公,地上办公,地下办公,办公及地下办公"</formula1>
    </dataValidation>
    <dataValidation type="list" allowBlank="1" showInputMessage="1" showErrorMessage="1" sqref="F16" xr:uid="{00000000-0002-0000-0A00-00001C000000}">
      <formula1>"车库,地下车库"</formula1>
    </dataValidation>
    <dataValidation type="list" allowBlank="1" showInputMessage="1" showErrorMessage="1" sqref="G16" xr:uid="{00000000-0002-0000-0A00-00001D000000}">
      <formula1>"仓储,地下仓储"</formula1>
    </dataValidation>
    <dataValidation type="list" allowBlank="1" showInputMessage="1" showErrorMessage="1" sqref="F44" xr:uid="{00000000-0002-0000-0A00-00001E000000}">
      <formula1>INDIRECT($F$43)</formula1>
    </dataValidation>
  </dataValidations>
  <pageMargins left="0.25" right="0.25" top="0.75" bottom="0.75" header="0.3" footer="0.3"/>
  <pageSetup paperSize="9" scale="78"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I14" sqref="I14"/>
    </sheetView>
  </sheetViews>
  <sheetFormatPr defaultColWidth="8.875" defaultRowHeight="14.25"/>
  <cols>
    <col min="1" max="1" width="10.625" style="13" customWidth="1"/>
    <col min="2" max="2" width="11" style="13" customWidth="1"/>
    <col min="3" max="3" width="10.375" style="13" customWidth="1"/>
    <col min="4" max="4" width="9.125" style="13" customWidth="1"/>
    <col min="5" max="8" width="10" style="13" customWidth="1"/>
    <col min="9" max="9" width="10.625" style="13" customWidth="1"/>
    <col min="10" max="10" width="9.5" style="13" customWidth="1"/>
    <col min="11" max="11" width="11" style="13" customWidth="1"/>
    <col min="12" max="14" width="9.5" style="13" customWidth="1"/>
    <col min="15" max="15" width="9.875" style="13" customWidth="1"/>
    <col min="16" max="16" width="9.75" style="13" customWidth="1"/>
    <col min="17" max="17" width="9.375" style="13" customWidth="1"/>
    <col min="18" max="18" width="9.25" style="13" customWidth="1"/>
    <col min="19" max="19" width="10.875" style="13" customWidth="1"/>
    <col min="20" max="21" width="10.75" style="13" customWidth="1"/>
    <col min="22" max="22" width="10.875" style="13" customWidth="1"/>
    <col min="23" max="27" width="10.75" style="13" customWidth="1"/>
    <col min="28" max="28" width="10.875" style="13" customWidth="1"/>
    <col min="29" max="29" width="11" style="13" bestFit="1" customWidth="1"/>
    <col min="30" max="30" width="10" style="13" bestFit="1" customWidth="1"/>
    <col min="31" max="31" width="9.75" style="13" customWidth="1"/>
    <col min="32" max="46" width="9.5" style="13" customWidth="1"/>
    <col min="47" max="47" width="18.125" style="13" customWidth="1"/>
    <col min="48" max="50" width="9.75" style="13" customWidth="1"/>
    <col min="51" max="55" width="10.5" style="13" bestFit="1" customWidth="1"/>
    <col min="56" max="56" width="9.5" style="13" bestFit="1" customWidth="1"/>
    <col min="57" max="63" width="9.125" style="13" bestFit="1" customWidth="1"/>
    <col min="64" max="64" width="9.5" style="13" bestFit="1" customWidth="1"/>
    <col min="65" max="65" width="9.125" style="13" bestFit="1" customWidth="1"/>
    <col min="66" max="66" width="9.5" style="13" bestFit="1" customWidth="1"/>
    <col min="67" max="69" width="9.125" style="13" bestFit="1" customWidth="1"/>
    <col min="70" max="70" width="9.5" style="13" bestFit="1" customWidth="1"/>
    <col min="71" max="71" width="9" style="13" customWidth="1"/>
    <col min="72" max="72" width="9.125" style="13" bestFit="1" customWidth="1"/>
    <col min="73" max="16384" width="8.875" style="13"/>
  </cols>
  <sheetData>
    <row r="1" spans="1:72" ht="20.25">
      <c r="A1" s="11" t="s">
        <v>128</v>
      </c>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6" t="s">
        <v>132</v>
      </c>
      <c r="AW1" s="12"/>
      <c r="AX1" s="12"/>
      <c r="AY1" s="12"/>
      <c r="AZ1" s="12"/>
      <c r="BA1" s="12"/>
      <c r="BB1" s="12"/>
      <c r="BC1" s="12"/>
      <c r="BD1" s="12"/>
      <c r="BE1" s="12"/>
      <c r="BF1" s="12"/>
      <c r="BG1" s="12"/>
      <c r="BH1" s="12"/>
      <c r="BI1" s="12"/>
      <c r="BJ1" s="12"/>
      <c r="BK1" s="12"/>
      <c r="BL1" s="12"/>
      <c r="BM1" s="12"/>
      <c r="BN1" s="12"/>
      <c r="BO1" s="12"/>
      <c r="BP1" s="12"/>
      <c r="BQ1" s="12"/>
      <c r="BR1" s="12"/>
      <c r="BS1" s="12"/>
      <c r="BT1" s="12"/>
    </row>
    <row r="2" spans="1:72" s="15" customFormat="1" ht="24">
      <c r="A2" s="14" t="s">
        <v>129</v>
      </c>
      <c r="B2" s="14" t="s">
        <v>130</v>
      </c>
      <c r="C2" s="14" t="s">
        <v>131</v>
      </c>
      <c r="D2" s="38"/>
      <c r="E2" s="867"/>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38"/>
      <c r="AP2" s="38"/>
      <c r="AQ2" s="38"/>
      <c r="AR2" s="38"/>
      <c r="AS2" s="38"/>
      <c r="AT2" s="38"/>
      <c r="AU2" s="38"/>
      <c r="AV2" s="38"/>
      <c r="AW2" s="38"/>
      <c r="AX2" s="38"/>
      <c r="AY2" s="17" t="s">
        <v>133</v>
      </c>
      <c r="AZ2" s="1926" t="s">
        <v>1690</v>
      </c>
      <c r="BA2" s="1927" t="s">
        <v>1689</v>
      </c>
      <c r="BB2" s="38"/>
      <c r="BC2" s="38"/>
      <c r="BD2" s="38"/>
      <c r="BE2" s="38"/>
      <c r="BF2" s="38"/>
      <c r="BG2" s="38"/>
      <c r="BH2" s="38"/>
      <c r="BI2" s="38"/>
      <c r="BJ2" s="38"/>
      <c r="BK2" s="38"/>
      <c r="BL2" s="38"/>
      <c r="BM2" s="38"/>
      <c r="BN2" s="38"/>
      <c r="BO2" s="38"/>
      <c r="BP2" s="38"/>
      <c r="BQ2" s="38"/>
      <c r="BR2" s="38"/>
      <c r="BS2" s="38"/>
      <c r="BT2" s="38"/>
    </row>
    <row r="3" spans="1:72" s="15" customFormat="1" ht="12.75">
      <c r="A3" s="18">
        <v>82949.97</v>
      </c>
      <c r="B3" s="19">
        <f>IF(C3="否",G5-AT5,G5)</f>
        <v>82949.97</v>
      </c>
      <c r="C3" s="20"/>
      <c r="D3" s="38"/>
      <c r="E3" s="38"/>
      <c r="F3" s="38"/>
      <c r="G3" s="38"/>
      <c r="H3" s="38"/>
      <c r="I3" s="38"/>
      <c r="J3" s="38"/>
      <c r="K3" s="38"/>
      <c r="L3" s="38"/>
      <c r="M3" s="38"/>
      <c r="N3" s="38"/>
      <c r="O3" s="38"/>
      <c r="P3" s="38"/>
      <c r="Q3" s="38"/>
      <c r="R3" s="38"/>
      <c r="S3" s="38"/>
      <c r="T3" s="38"/>
      <c r="U3" s="38"/>
      <c r="V3" s="38"/>
      <c r="W3" s="38"/>
      <c r="X3" s="38"/>
      <c r="Y3" s="38"/>
      <c r="Z3" s="38"/>
      <c r="AA3" s="38"/>
      <c r="AB3" s="38"/>
      <c r="AC3" s="38"/>
      <c r="AD3" s="38"/>
      <c r="AE3" s="38"/>
      <c r="AF3" s="38"/>
      <c r="AG3" s="38"/>
      <c r="AH3" s="38"/>
      <c r="AI3" s="38"/>
      <c r="AJ3" s="38"/>
      <c r="AK3" s="38"/>
      <c r="AL3" s="38"/>
      <c r="AM3" s="38"/>
      <c r="AN3" s="38"/>
      <c r="AO3" s="38"/>
      <c r="AP3" s="38"/>
      <c r="AQ3" s="38"/>
      <c r="AR3" s="38"/>
      <c r="AS3" s="38"/>
      <c r="AT3" s="38"/>
      <c r="AU3" s="38"/>
      <c r="AV3" s="38"/>
      <c r="AW3" s="38"/>
      <c r="AX3" s="38"/>
      <c r="AY3" s="21"/>
      <c r="AZ3" s="10"/>
      <c r="BA3" s="1928"/>
      <c r="BB3" s="38"/>
      <c r="BC3" s="38"/>
      <c r="BD3" s="38"/>
      <c r="BE3" s="38"/>
      <c r="BF3" s="38"/>
      <c r="BG3" s="38"/>
      <c r="BH3" s="38"/>
      <c r="BI3" s="38"/>
      <c r="BJ3" s="38"/>
      <c r="BK3" s="38"/>
      <c r="BL3" s="38"/>
      <c r="BM3" s="38"/>
      <c r="BN3" s="38"/>
      <c r="BO3" s="38"/>
      <c r="BP3" s="38"/>
      <c r="BQ3" s="38"/>
      <c r="BR3" s="38"/>
      <c r="BS3" s="38"/>
      <c r="BT3" s="38"/>
    </row>
    <row r="4" spans="1:72" s="15" customFormat="1" ht="13.5" thickBot="1">
      <c r="A4" s="1038"/>
      <c r="B4" s="1039"/>
      <c r="C4" s="1040"/>
      <c r="D4" s="38"/>
      <c r="E4" s="38"/>
      <c r="F4" s="38"/>
      <c r="G4" s="38"/>
      <c r="H4" s="38"/>
      <c r="I4" s="38"/>
      <c r="J4" s="38"/>
      <c r="K4" s="38"/>
      <c r="L4" s="38"/>
      <c r="M4" s="38"/>
      <c r="N4" s="38"/>
      <c r="O4" s="38"/>
      <c r="P4" s="38"/>
      <c r="Q4" s="38"/>
      <c r="R4" s="38"/>
      <c r="S4" s="38"/>
      <c r="T4" s="38"/>
      <c r="U4" s="38"/>
      <c r="V4" s="38"/>
      <c r="W4" s="38"/>
      <c r="X4" s="38"/>
      <c r="Y4" s="38"/>
      <c r="Z4" s="38"/>
      <c r="AA4" s="38"/>
      <c r="AB4" s="38"/>
      <c r="AC4" s="38"/>
      <c r="AD4" s="38"/>
      <c r="AE4" s="38"/>
      <c r="AF4" s="38"/>
      <c r="AG4" s="38"/>
      <c r="AH4" s="38"/>
      <c r="AI4" s="38"/>
      <c r="AJ4" s="38"/>
      <c r="AK4" s="38"/>
      <c r="AL4" s="38"/>
      <c r="AM4" s="38"/>
      <c r="AN4" s="38"/>
      <c r="AO4" s="38"/>
      <c r="AP4" s="38"/>
      <c r="AQ4" s="38"/>
      <c r="AR4" s="38"/>
      <c r="AS4" s="38"/>
      <c r="AT4" s="38"/>
      <c r="AU4" s="38"/>
      <c r="AV4" s="38"/>
      <c r="AW4" s="38"/>
      <c r="AX4" s="38"/>
      <c r="AY4" s="38"/>
      <c r="AZ4" s="38"/>
      <c r="BA4" s="1041"/>
      <c r="BB4" s="38"/>
      <c r="BC4" s="38"/>
      <c r="BD4" s="38"/>
      <c r="BE4" s="38"/>
      <c r="BF4" s="38"/>
      <c r="BG4" s="38"/>
      <c r="BH4" s="38"/>
      <c r="BI4" s="38"/>
      <c r="BJ4" s="38"/>
      <c r="BK4" s="38"/>
      <c r="BL4" s="38"/>
      <c r="BM4" s="38"/>
      <c r="BN4" s="38"/>
      <c r="BO4" s="38"/>
      <c r="BP4" s="38"/>
      <c r="BQ4" s="38"/>
      <c r="BR4" s="38"/>
      <c r="BS4" s="38"/>
      <c r="BT4" s="38"/>
    </row>
    <row r="5" spans="1:72" s="15" customFormat="1" ht="12.75">
      <c r="A5" s="22" t="s">
        <v>134</v>
      </c>
      <c r="B5" s="904"/>
      <c r="C5" s="904"/>
      <c r="D5" s="910"/>
      <c r="E5" s="23" t="s">
        <v>0</v>
      </c>
      <c r="F5" s="23">
        <f>SUM(F13:F572)</f>
        <v>0</v>
      </c>
      <c r="G5" s="23">
        <f>SUM(G13:G572)</f>
        <v>82949.97</v>
      </c>
      <c r="H5" s="23">
        <f t="shared" ref="H5:AT5" si="0">SUM(H13:H641)</f>
        <v>82949.97</v>
      </c>
      <c r="I5" s="23">
        <f t="shared" si="0"/>
        <v>82949.97</v>
      </c>
      <c r="J5" s="23">
        <f t="shared" si="0"/>
        <v>0</v>
      </c>
      <c r="K5" s="23">
        <f t="shared" si="0"/>
        <v>0</v>
      </c>
      <c r="L5" s="23">
        <f t="shared" si="0"/>
        <v>0</v>
      </c>
      <c r="M5" s="23">
        <f t="shared" si="0"/>
        <v>0</v>
      </c>
      <c r="N5" s="23">
        <f t="shared" si="0"/>
        <v>0</v>
      </c>
      <c r="O5" s="23">
        <f t="shared" si="0"/>
        <v>0</v>
      </c>
      <c r="P5" s="23">
        <f t="shared" si="0"/>
        <v>0</v>
      </c>
      <c r="Q5" s="23">
        <f t="shared" si="0"/>
        <v>0</v>
      </c>
      <c r="R5" s="23">
        <f t="shared" si="0"/>
        <v>0</v>
      </c>
      <c r="S5" s="23">
        <f t="shared" si="0"/>
        <v>0</v>
      </c>
      <c r="T5" s="23">
        <f t="shared" si="0"/>
        <v>0</v>
      </c>
      <c r="U5" s="23">
        <f t="shared" si="0"/>
        <v>0</v>
      </c>
      <c r="V5" s="23">
        <f t="shared" si="0"/>
        <v>0</v>
      </c>
      <c r="W5" s="23">
        <f t="shared" si="0"/>
        <v>0</v>
      </c>
      <c r="X5" s="23">
        <f t="shared" si="0"/>
        <v>0</v>
      </c>
      <c r="Y5" s="23">
        <f t="shared" si="0"/>
        <v>0</v>
      </c>
      <c r="Z5" s="23">
        <f t="shared" si="0"/>
        <v>0</v>
      </c>
      <c r="AA5" s="23">
        <f t="shared" si="0"/>
        <v>0</v>
      </c>
      <c r="AB5" s="23">
        <f t="shared" si="0"/>
        <v>0</v>
      </c>
      <c r="AC5" s="23">
        <f t="shared" si="0"/>
        <v>0</v>
      </c>
      <c r="AD5" s="23">
        <f t="shared" si="0"/>
        <v>0</v>
      </c>
      <c r="AE5" s="23">
        <f t="shared" si="0"/>
        <v>0</v>
      </c>
      <c r="AF5" s="23">
        <f t="shared" si="0"/>
        <v>0</v>
      </c>
      <c r="AG5" s="23">
        <f t="shared" si="0"/>
        <v>0</v>
      </c>
      <c r="AH5" s="23">
        <f t="shared" si="0"/>
        <v>0</v>
      </c>
      <c r="AI5" s="23">
        <f t="shared" si="0"/>
        <v>0</v>
      </c>
      <c r="AJ5" s="23">
        <f t="shared" si="0"/>
        <v>0</v>
      </c>
      <c r="AK5" s="23">
        <f t="shared" si="0"/>
        <v>0</v>
      </c>
      <c r="AL5" s="23">
        <f t="shared" si="0"/>
        <v>0</v>
      </c>
      <c r="AM5" s="23">
        <f t="shared" si="0"/>
        <v>0</v>
      </c>
      <c r="AN5" s="23">
        <f t="shared" si="0"/>
        <v>0</v>
      </c>
      <c r="AO5" s="23">
        <f t="shared" si="0"/>
        <v>0</v>
      </c>
      <c r="AP5" s="23">
        <f t="shared" si="0"/>
        <v>0</v>
      </c>
      <c r="AQ5" s="23">
        <f t="shared" si="0"/>
        <v>0</v>
      </c>
      <c r="AR5" s="23">
        <f t="shared" si="0"/>
        <v>0</v>
      </c>
      <c r="AS5" s="23">
        <f t="shared" si="0"/>
        <v>0</v>
      </c>
      <c r="AT5" s="23">
        <f t="shared" si="0"/>
        <v>0</v>
      </c>
      <c r="AU5" s="903"/>
      <c r="AV5" s="22" t="s">
        <v>134</v>
      </c>
      <c r="AW5" s="904"/>
      <c r="AX5" s="904"/>
      <c r="AY5" s="24" t="s">
        <v>2</v>
      </c>
      <c r="AZ5" s="25">
        <f t="shared" ref="AZ5:BT5" si="1">SUM(AZ13:AZ641)</f>
        <v>82949.97</v>
      </c>
      <c r="BA5" s="25">
        <f t="shared" si="1"/>
        <v>82949.97</v>
      </c>
      <c r="BB5" s="25">
        <f t="shared" si="1"/>
        <v>82949.97</v>
      </c>
      <c r="BC5" s="25">
        <f t="shared" si="1"/>
        <v>0</v>
      </c>
      <c r="BD5" s="25">
        <f t="shared" si="1"/>
        <v>0</v>
      </c>
      <c r="BE5" s="25">
        <f t="shared" si="1"/>
        <v>0</v>
      </c>
      <c r="BF5" s="25">
        <f t="shared" si="1"/>
        <v>0</v>
      </c>
      <c r="BG5" s="25">
        <f t="shared" si="1"/>
        <v>0</v>
      </c>
      <c r="BH5" s="25">
        <f t="shared" si="1"/>
        <v>0</v>
      </c>
      <c r="BI5" s="25">
        <f t="shared" si="1"/>
        <v>0</v>
      </c>
      <c r="BJ5" s="25">
        <f t="shared" si="1"/>
        <v>0</v>
      </c>
      <c r="BK5" s="25">
        <f t="shared" si="1"/>
        <v>0</v>
      </c>
      <c r="BL5" s="25">
        <f t="shared" si="1"/>
        <v>0</v>
      </c>
      <c r="BM5" s="25">
        <f t="shared" si="1"/>
        <v>0</v>
      </c>
      <c r="BN5" s="25">
        <f t="shared" si="1"/>
        <v>0</v>
      </c>
      <c r="BO5" s="25">
        <f t="shared" si="1"/>
        <v>0</v>
      </c>
      <c r="BP5" s="25">
        <f t="shared" si="1"/>
        <v>0</v>
      </c>
      <c r="BQ5" s="25">
        <f t="shared" si="1"/>
        <v>0</v>
      </c>
      <c r="BR5" s="25">
        <f t="shared" si="1"/>
        <v>0</v>
      </c>
      <c r="BS5" s="25">
        <f t="shared" si="1"/>
        <v>0</v>
      </c>
      <c r="BT5" s="26">
        <f t="shared" si="1"/>
        <v>0</v>
      </c>
    </row>
    <row r="6" spans="1:72" s="33" customFormat="1" ht="12.75">
      <c r="A6" s="22" t="s">
        <v>135</v>
      </c>
      <c r="B6" s="27"/>
      <c r="C6" s="27"/>
      <c r="D6" s="28"/>
      <c r="E6" s="23">
        <f>H6+AC6+AT6</f>
        <v>82949.97</v>
      </c>
      <c r="F6" s="23" t="s">
        <v>0</v>
      </c>
      <c r="G6" s="23" t="s">
        <v>1</v>
      </c>
      <c r="H6" s="29">
        <f>SUMIF(I$12:AB$12,"总值",I6:AB6)</f>
        <v>82949.97</v>
      </c>
      <c r="I6" s="23">
        <f t="shared" ref="I6:AB6" si="2">ROUND($A$3*I5/$B$3,2)</f>
        <v>82949.97</v>
      </c>
      <c r="J6" s="23">
        <f t="shared" si="2"/>
        <v>0</v>
      </c>
      <c r="K6" s="23">
        <f t="shared" si="2"/>
        <v>0</v>
      </c>
      <c r="L6" s="23">
        <f t="shared" si="2"/>
        <v>0</v>
      </c>
      <c r="M6" s="23">
        <f t="shared" si="2"/>
        <v>0</v>
      </c>
      <c r="N6" s="23">
        <f t="shared" si="2"/>
        <v>0</v>
      </c>
      <c r="O6" s="23">
        <f t="shared" si="2"/>
        <v>0</v>
      </c>
      <c r="P6" s="23">
        <f t="shared" si="2"/>
        <v>0</v>
      </c>
      <c r="Q6" s="23">
        <f t="shared" si="2"/>
        <v>0</v>
      </c>
      <c r="R6" s="23">
        <f t="shared" si="2"/>
        <v>0</v>
      </c>
      <c r="S6" s="23">
        <f t="shared" si="2"/>
        <v>0</v>
      </c>
      <c r="T6" s="23">
        <f t="shared" si="2"/>
        <v>0</v>
      </c>
      <c r="U6" s="23">
        <f t="shared" si="2"/>
        <v>0</v>
      </c>
      <c r="V6" s="23">
        <f t="shared" si="2"/>
        <v>0</v>
      </c>
      <c r="W6" s="23">
        <f t="shared" si="2"/>
        <v>0</v>
      </c>
      <c r="X6" s="23">
        <f t="shared" si="2"/>
        <v>0</v>
      </c>
      <c r="Y6" s="23">
        <f t="shared" si="2"/>
        <v>0</v>
      </c>
      <c r="Z6" s="23">
        <f t="shared" si="2"/>
        <v>0</v>
      </c>
      <c r="AA6" s="23">
        <f t="shared" si="2"/>
        <v>0</v>
      </c>
      <c r="AB6" s="23">
        <f t="shared" si="2"/>
        <v>0</v>
      </c>
      <c r="AC6" s="29">
        <f>SUMIF(AD$12:AS$12,"总值",AD6:AS6)</f>
        <v>0</v>
      </c>
      <c r="AD6" s="23">
        <f t="shared" ref="AD6:AS6" si="3">ROUND($A$3*AD5/$B$3,2)</f>
        <v>0</v>
      </c>
      <c r="AE6" s="23">
        <f t="shared" si="3"/>
        <v>0</v>
      </c>
      <c r="AF6" s="23">
        <f t="shared" si="3"/>
        <v>0</v>
      </c>
      <c r="AG6" s="23">
        <f t="shared" si="3"/>
        <v>0</v>
      </c>
      <c r="AH6" s="23">
        <f t="shared" si="3"/>
        <v>0</v>
      </c>
      <c r="AI6" s="23">
        <f t="shared" si="3"/>
        <v>0</v>
      </c>
      <c r="AJ6" s="23">
        <f t="shared" si="3"/>
        <v>0</v>
      </c>
      <c r="AK6" s="23">
        <f t="shared" si="3"/>
        <v>0</v>
      </c>
      <c r="AL6" s="23">
        <f t="shared" si="3"/>
        <v>0</v>
      </c>
      <c r="AM6" s="23">
        <f t="shared" si="3"/>
        <v>0</v>
      </c>
      <c r="AN6" s="23">
        <f t="shared" si="3"/>
        <v>0</v>
      </c>
      <c r="AO6" s="23">
        <f t="shared" si="3"/>
        <v>0</v>
      </c>
      <c r="AP6" s="23">
        <f t="shared" si="3"/>
        <v>0</v>
      </c>
      <c r="AQ6" s="23">
        <f t="shared" si="3"/>
        <v>0</v>
      </c>
      <c r="AR6" s="23">
        <f t="shared" si="3"/>
        <v>0</v>
      </c>
      <c r="AS6" s="23">
        <f t="shared" si="3"/>
        <v>0</v>
      </c>
      <c r="AT6" s="29">
        <f>IF(C3="是",ROUND($A$3*AT5/$B$3,2),0)</f>
        <v>0</v>
      </c>
      <c r="AU6" s="30"/>
      <c r="AV6" s="22" t="s">
        <v>135</v>
      </c>
      <c r="AW6" s="27"/>
      <c r="AX6" s="27"/>
      <c r="AY6" s="31">
        <f>IF(AY3&gt;0,AY3,ROUND($A$3*AZ5/$B$3,2))</f>
        <v>82949.97</v>
      </c>
      <c r="AZ6" s="23" t="s">
        <v>2</v>
      </c>
      <c r="BA6" s="23">
        <f>ROUND($AY$6*BA5/$AZ$5,2)</f>
        <v>82949.97</v>
      </c>
      <c r="BB6" s="23">
        <f>ROUND($AY$6*BB5/$AZ$5,2)</f>
        <v>82949.97</v>
      </c>
      <c r="BC6" s="23">
        <f t="shared" ref="BC6:BH6" si="4">ROUND($AY$6*BC5/$AZ$5,2)</f>
        <v>0</v>
      </c>
      <c r="BD6" s="23">
        <f t="shared" si="4"/>
        <v>0</v>
      </c>
      <c r="BE6" s="23">
        <f t="shared" si="4"/>
        <v>0</v>
      </c>
      <c r="BF6" s="23">
        <f t="shared" si="4"/>
        <v>0</v>
      </c>
      <c r="BG6" s="23">
        <f t="shared" si="4"/>
        <v>0</v>
      </c>
      <c r="BH6" s="23">
        <f t="shared" si="4"/>
        <v>0</v>
      </c>
      <c r="BI6" s="23">
        <f t="shared" ref="BI6:BT6" si="5">ROUND($AY$6*BI5/$AZ$5,2)</f>
        <v>0</v>
      </c>
      <c r="BJ6" s="23">
        <f t="shared" si="5"/>
        <v>0</v>
      </c>
      <c r="BK6" s="23">
        <f t="shared" si="5"/>
        <v>0</v>
      </c>
      <c r="BL6" s="23">
        <f t="shared" si="5"/>
        <v>0</v>
      </c>
      <c r="BM6" s="23">
        <f t="shared" si="5"/>
        <v>0</v>
      </c>
      <c r="BN6" s="23">
        <f t="shared" si="5"/>
        <v>0</v>
      </c>
      <c r="BO6" s="23">
        <f t="shared" si="5"/>
        <v>0</v>
      </c>
      <c r="BP6" s="23">
        <f t="shared" si="5"/>
        <v>0</v>
      </c>
      <c r="BQ6" s="23">
        <f t="shared" si="5"/>
        <v>0</v>
      </c>
      <c r="BR6" s="23">
        <f t="shared" si="5"/>
        <v>0</v>
      </c>
      <c r="BS6" s="23">
        <f t="shared" si="5"/>
        <v>0</v>
      </c>
      <c r="BT6" s="32">
        <f t="shared" si="5"/>
        <v>0</v>
      </c>
    </row>
    <row r="7" spans="1:72" s="15" customFormat="1" ht="24.75">
      <c r="A7" s="34" t="s">
        <v>136</v>
      </c>
      <c r="B7" s="34" t="s">
        <v>137</v>
      </c>
      <c r="C7" s="34" t="s">
        <v>138</v>
      </c>
      <c r="D7" s="34" t="s">
        <v>139</v>
      </c>
      <c r="E7" s="34" t="s">
        <v>140</v>
      </c>
      <c r="F7" s="34" t="s">
        <v>141</v>
      </c>
      <c r="G7" s="35" t="s">
        <v>142</v>
      </c>
      <c r="H7" s="36"/>
      <c r="I7" s="36"/>
      <c r="J7" s="36"/>
      <c r="K7" s="36"/>
      <c r="L7" s="36"/>
      <c r="M7" s="36"/>
      <c r="N7" s="36"/>
      <c r="O7" s="36"/>
      <c r="P7" s="36"/>
      <c r="Q7" s="36"/>
      <c r="R7" s="36"/>
      <c r="S7" s="36"/>
      <c r="T7" s="36"/>
      <c r="U7" s="36"/>
      <c r="V7" s="36"/>
      <c r="W7" s="36"/>
      <c r="X7" s="36"/>
      <c r="Y7" s="36"/>
      <c r="Z7" s="36"/>
      <c r="AA7" s="36"/>
      <c r="AB7" s="36"/>
      <c r="AC7" s="36"/>
      <c r="AD7" s="36"/>
      <c r="AE7" s="36"/>
      <c r="AF7" s="36"/>
      <c r="AG7" s="36"/>
      <c r="AH7" s="36"/>
      <c r="AI7" s="36"/>
      <c r="AJ7" s="36"/>
      <c r="AK7" s="36"/>
      <c r="AL7" s="36"/>
      <c r="AM7" s="36"/>
      <c r="AN7" s="36"/>
      <c r="AO7" s="36"/>
      <c r="AP7" s="36"/>
      <c r="AQ7" s="36"/>
      <c r="AR7" s="36"/>
      <c r="AS7" s="36"/>
      <c r="AT7" s="881"/>
      <c r="AU7" s="36" t="s">
        <v>143</v>
      </c>
      <c r="AV7" s="37" t="s">
        <v>144</v>
      </c>
      <c r="AW7" s="38" t="s">
        <v>145</v>
      </c>
      <c r="AX7" s="37" t="s">
        <v>146</v>
      </c>
      <c r="AY7" s="904" t="s">
        <v>147</v>
      </c>
      <c r="AZ7" s="39"/>
      <c r="BA7" s="36"/>
      <c r="BB7" s="36"/>
      <c r="BC7" s="36"/>
      <c r="BD7" s="36"/>
      <c r="BE7" s="36"/>
      <c r="BF7" s="36"/>
      <c r="BG7" s="36"/>
      <c r="BH7" s="36"/>
      <c r="BI7" s="36"/>
      <c r="BJ7" s="36"/>
      <c r="BK7" s="36"/>
      <c r="BL7" s="36"/>
      <c r="BM7" s="36"/>
      <c r="BN7" s="36"/>
      <c r="BO7" s="36"/>
      <c r="BP7" s="36"/>
      <c r="BQ7" s="36"/>
      <c r="BR7" s="36"/>
      <c r="BS7" s="36"/>
      <c r="BT7" s="40"/>
    </row>
    <row r="8" spans="1:72" s="53" customFormat="1" ht="24">
      <c r="A8" s="41"/>
      <c r="B8" s="41"/>
      <c r="C8" s="41"/>
      <c r="D8" s="41"/>
      <c r="E8" s="41"/>
      <c r="F8" s="41"/>
      <c r="G8" s="42" t="s">
        <v>148</v>
      </c>
      <c r="H8" s="43" t="s">
        <v>149</v>
      </c>
      <c r="I8" s="44"/>
      <c r="J8" s="915"/>
      <c r="K8" s="915"/>
      <c r="L8" s="915"/>
      <c r="M8" s="915"/>
      <c r="N8" s="915"/>
      <c r="O8" s="915"/>
      <c r="P8" s="915"/>
      <c r="Q8" s="915"/>
      <c r="R8" s="915"/>
      <c r="S8" s="915"/>
      <c r="T8" s="915"/>
      <c r="U8" s="915"/>
      <c r="V8" s="45"/>
      <c r="W8" s="915"/>
      <c r="X8" s="915"/>
      <c r="Y8" s="915"/>
      <c r="Z8" s="915"/>
      <c r="AA8" s="45"/>
      <c r="AB8" s="46"/>
      <c r="AC8" s="47" t="s">
        <v>150</v>
      </c>
      <c r="AD8" s="48"/>
      <c r="AE8" s="39"/>
      <c r="AF8" s="915"/>
      <c r="AG8" s="915"/>
      <c r="AH8" s="915"/>
      <c r="AI8" s="915"/>
      <c r="AJ8" s="915"/>
      <c r="AK8" s="915"/>
      <c r="AL8" s="915"/>
      <c r="AM8" s="915"/>
      <c r="AN8" s="915"/>
      <c r="AO8" s="915"/>
      <c r="AP8" s="915"/>
      <c r="AQ8" s="915"/>
      <c r="AR8" s="915"/>
      <c r="AS8" s="916"/>
      <c r="AT8" s="1915" t="s">
        <v>793</v>
      </c>
      <c r="AU8" s="41" t="s">
        <v>151</v>
      </c>
      <c r="AV8" s="51"/>
      <c r="AW8" s="867"/>
      <c r="AX8" s="51"/>
      <c r="AY8" s="38" t="s">
        <v>152</v>
      </c>
      <c r="AZ8" s="914" t="s">
        <v>153</v>
      </c>
      <c r="BA8" s="915"/>
      <c r="BB8" s="915"/>
      <c r="BC8" s="915"/>
      <c r="BD8" s="915"/>
      <c r="BE8" s="915"/>
      <c r="BF8" s="915"/>
      <c r="BG8" s="915"/>
      <c r="BH8" s="915"/>
      <c r="BI8" s="915"/>
      <c r="BJ8" s="915"/>
      <c r="BK8" s="915"/>
      <c r="BL8" s="915"/>
      <c r="BM8" s="915"/>
      <c r="BN8" s="915"/>
      <c r="BO8" s="915"/>
      <c r="BP8" s="915"/>
      <c r="BQ8" s="915"/>
      <c r="BR8" s="915"/>
      <c r="BS8" s="915"/>
      <c r="BT8" s="52"/>
    </row>
    <row r="9" spans="1:72" s="53" customFormat="1" ht="12.75">
      <c r="A9" s="41"/>
      <c r="B9" s="41"/>
      <c r="C9" s="41"/>
      <c r="D9" s="41"/>
      <c r="E9" s="41"/>
      <c r="F9" s="41"/>
      <c r="G9" s="51"/>
      <c r="H9" s="54" t="s">
        <v>154</v>
      </c>
      <c r="I9" s="2304" t="s">
        <v>3269</v>
      </c>
      <c r="J9" s="47"/>
      <c r="K9" s="2304"/>
      <c r="L9" s="47"/>
      <c r="M9" s="2304"/>
      <c r="N9" s="47"/>
      <c r="O9" s="55"/>
      <c r="P9" s="47"/>
      <c r="Q9" s="55"/>
      <c r="R9" s="47"/>
      <c r="S9" s="55"/>
      <c r="T9" s="47"/>
      <c r="U9" s="55"/>
      <c r="V9" s="47"/>
      <c r="W9" s="55"/>
      <c r="X9" s="56"/>
      <c r="Y9" s="55"/>
      <c r="Z9" s="47"/>
      <c r="AA9" s="55"/>
      <c r="AB9" s="47"/>
      <c r="AC9" s="42" t="s">
        <v>154</v>
      </c>
      <c r="AD9" s="22" t="s">
        <v>155</v>
      </c>
      <c r="AE9" s="57"/>
      <c r="AF9" s="22" t="s">
        <v>156</v>
      </c>
      <c r="AG9" s="57"/>
      <c r="AH9" s="22" t="s">
        <v>157</v>
      </c>
      <c r="AI9" s="57"/>
      <c r="AJ9" s="22" t="s">
        <v>158</v>
      </c>
      <c r="AK9" s="57"/>
      <c r="AL9" s="22" t="s">
        <v>157</v>
      </c>
      <c r="AM9" s="57"/>
      <c r="AN9" s="22" t="s">
        <v>158</v>
      </c>
      <c r="AO9" s="57"/>
      <c r="AP9" s="1032" t="s">
        <v>157</v>
      </c>
      <c r="AQ9" s="1034"/>
      <c r="AR9" s="1032" t="s">
        <v>158</v>
      </c>
      <c r="AS9" s="1916"/>
      <c r="AT9" s="41"/>
      <c r="AU9" s="41" t="s">
        <v>160</v>
      </c>
      <c r="AV9" s="51"/>
      <c r="AW9" s="867"/>
      <c r="AX9" s="51"/>
      <c r="AY9" s="58"/>
      <c r="AZ9" s="58" t="s">
        <v>161</v>
      </c>
      <c r="BA9" s="59" t="s">
        <v>162</v>
      </c>
      <c r="BB9" s="60"/>
      <c r="BC9" s="909"/>
      <c r="BD9" s="909"/>
      <c r="BE9" s="909"/>
      <c r="BF9" s="909"/>
      <c r="BG9" s="909"/>
      <c r="BH9" s="909"/>
      <c r="BI9" s="909"/>
      <c r="BJ9" s="909"/>
      <c r="BK9" s="61"/>
      <c r="BL9" s="22" t="s">
        <v>163</v>
      </c>
      <c r="BM9" s="915"/>
      <c r="BN9" s="44"/>
      <c r="BO9" s="915"/>
      <c r="BP9" s="915"/>
      <c r="BQ9" s="915"/>
      <c r="BR9" s="915"/>
      <c r="BS9" s="915"/>
      <c r="BT9" s="52"/>
    </row>
    <row r="10" spans="1:72" s="53" customFormat="1" ht="12.75">
      <c r="A10" s="41"/>
      <c r="B10" s="41"/>
      <c r="C10" s="41"/>
      <c r="D10" s="41"/>
      <c r="E10" s="41"/>
      <c r="F10" s="41"/>
      <c r="G10" s="51"/>
      <c r="H10" s="58"/>
      <c r="I10" s="2304" t="s">
        <v>905</v>
      </c>
      <c r="J10" s="47"/>
      <c r="K10" s="2306"/>
      <c r="L10" s="47"/>
      <c r="M10" s="2306"/>
      <c r="N10" s="47"/>
      <c r="O10" s="62"/>
      <c r="P10" s="47"/>
      <c r="Q10" s="62"/>
      <c r="R10" s="47"/>
      <c r="S10" s="62"/>
      <c r="T10" s="47"/>
      <c r="U10" s="62"/>
      <c r="V10" s="47"/>
      <c r="W10" s="62"/>
      <c r="X10" s="47"/>
      <c r="Y10" s="62"/>
      <c r="Z10" s="47"/>
      <c r="AA10" s="62"/>
      <c r="AB10" s="47"/>
      <c r="AC10" s="51"/>
      <c r="AD10" s="1901" t="s">
        <v>1674</v>
      </c>
      <c r="AE10" s="1923"/>
      <c r="AF10" s="1901" t="s">
        <v>1674</v>
      </c>
      <c r="AG10" s="1923"/>
      <c r="AH10" s="1901" t="s">
        <v>1675</v>
      </c>
      <c r="AI10" s="1923"/>
      <c r="AJ10" s="22" t="s">
        <v>1688</v>
      </c>
      <c r="AK10" s="1920"/>
      <c r="AL10" s="1901" t="s">
        <v>1676</v>
      </c>
      <c r="AM10" s="1902"/>
      <c r="AN10" s="22" t="s">
        <v>164</v>
      </c>
      <c r="AO10" s="57"/>
      <c r="AP10" s="1032" t="s">
        <v>165</v>
      </c>
      <c r="AQ10" s="1034"/>
      <c r="AR10" s="1032" t="s">
        <v>165</v>
      </c>
      <c r="AS10" s="1034"/>
      <c r="AT10" s="41"/>
      <c r="AU10" s="41"/>
      <c r="AV10" s="51"/>
      <c r="AW10" s="867"/>
      <c r="AX10" s="51"/>
      <c r="AY10" s="58"/>
      <c r="AZ10" s="58"/>
      <c r="BA10" s="63" t="s">
        <v>159</v>
      </c>
      <c r="BB10" s="64" t="str">
        <f>I9</f>
        <v>地上</v>
      </c>
      <c r="BC10" s="65">
        <f>K9</f>
        <v>0</v>
      </c>
      <c r="BD10" s="65">
        <f>M9</f>
        <v>0</v>
      </c>
      <c r="BE10" s="65">
        <f>O9</f>
        <v>0</v>
      </c>
      <c r="BF10" s="65">
        <f>Q9</f>
        <v>0</v>
      </c>
      <c r="BG10" s="65">
        <f>S9</f>
        <v>0</v>
      </c>
      <c r="BH10" s="65">
        <f>U9</f>
        <v>0</v>
      </c>
      <c r="BI10" s="65">
        <f>W9</f>
        <v>0</v>
      </c>
      <c r="BJ10" s="65">
        <f>Y9</f>
        <v>0</v>
      </c>
      <c r="BK10" s="65">
        <f>AA9</f>
        <v>0</v>
      </c>
      <c r="BL10" s="50" t="s">
        <v>159</v>
      </c>
      <c r="BM10" s="914" t="str">
        <f>AD9</f>
        <v>地上</v>
      </c>
      <c r="BN10" s="65" t="str">
        <f>AF9</f>
        <v>地下</v>
      </c>
      <c r="BO10" s="914" t="str">
        <f>AH9</f>
        <v>地上</v>
      </c>
      <c r="BP10" s="65" t="str">
        <f>AJ9</f>
        <v>地下</v>
      </c>
      <c r="BQ10" s="914" t="str">
        <f>AL9</f>
        <v>地上</v>
      </c>
      <c r="BR10" s="65" t="str">
        <f>AN9</f>
        <v>地下</v>
      </c>
      <c r="BS10" s="914" t="str">
        <f>AP9</f>
        <v>地上</v>
      </c>
      <c r="BT10" s="912" t="str">
        <f>AR9</f>
        <v>地下</v>
      </c>
    </row>
    <row r="11" spans="1:72" s="53" customFormat="1" ht="12.75">
      <c r="A11" s="41"/>
      <c r="B11" s="41"/>
      <c r="C11" s="41"/>
      <c r="D11" s="41"/>
      <c r="E11" s="41"/>
      <c r="F11" s="41"/>
      <c r="G11" s="51"/>
      <c r="H11" s="63"/>
      <c r="I11" s="2305" t="s">
        <v>3270</v>
      </c>
      <c r="J11" s="67"/>
      <c r="K11" s="2305"/>
      <c r="L11" s="67"/>
      <c r="M11" s="66"/>
      <c r="N11" s="67"/>
      <c r="O11" s="66"/>
      <c r="P11" s="67"/>
      <c r="Q11" s="66"/>
      <c r="R11" s="67"/>
      <c r="S11" s="66"/>
      <c r="T11" s="67"/>
      <c r="U11" s="66"/>
      <c r="V11" s="67"/>
      <c r="W11" s="66"/>
      <c r="X11" s="67"/>
      <c r="Y11" s="66"/>
      <c r="Z11" s="67"/>
      <c r="AA11" s="66"/>
      <c r="AB11" s="67"/>
      <c r="AC11" s="51"/>
      <c r="AD11" s="1921" t="s">
        <v>1687</v>
      </c>
      <c r="AE11" s="916"/>
      <c r="AF11" s="1921" t="s">
        <v>1687</v>
      </c>
      <c r="AG11" s="916"/>
      <c r="AH11" s="1921" t="s">
        <v>1686</v>
      </c>
      <c r="AI11" s="1922"/>
      <c r="AJ11" s="1921" t="s">
        <v>1686</v>
      </c>
      <c r="AK11" s="1920"/>
      <c r="AL11" s="914"/>
      <c r="AM11" s="916"/>
      <c r="AN11" s="914"/>
      <c r="AO11" s="916"/>
      <c r="AP11" s="1033"/>
      <c r="AQ11" s="1035"/>
      <c r="AR11" s="1033"/>
      <c r="AS11" s="1035"/>
      <c r="AT11" s="867"/>
      <c r="AU11" s="41"/>
      <c r="AV11" s="51"/>
      <c r="AW11" s="867"/>
      <c r="AX11" s="51"/>
      <c r="AY11" s="58"/>
      <c r="AZ11" s="58"/>
      <c r="BA11" s="58"/>
      <c r="BB11" s="46" t="str">
        <f>I10</f>
        <v>工业</v>
      </c>
      <c r="BC11" s="46">
        <f>K10</f>
        <v>0</v>
      </c>
      <c r="BD11" s="46">
        <f>M10</f>
        <v>0</v>
      </c>
      <c r="BE11" s="46">
        <f>O10</f>
        <v>0</v>
      </c>
      <c r="BF11" s="46">
        <f>Q10</f>
        <v>0</v>
      </c>
      <c r="BG11" s="46">
        <f>S10</f>
        <v>0</v>
      </c>
      <c r="BH11" s="46">
        <f>U10</f>
        <v>0</v>
      </c>
      <c r="BI11" s="46">
        <f>W10</f>
        <v>0</v>
      </c>
      <c r="BJ11" s="46">
        <f>Y10</f>
        <v>0</v>
      </c>
      <c r="BK11" s="46">
        <f>AA10</f>
        <v>0</v>
      </c>
      <c r="BL11" s="51"/>
      <c r="BM11" s="914" t="str">
        <f>AD10</f>
        <v>公共配套设施</v>
      </c>
      <c r="BN11" s="914" t="str">
        <f>AF10</f>
        <v>公共配套设施</v>
      </c>
      <c r="BO11" s="49" t="str">
        <f>AH10</f>
        <v>物业管理用房</v>
      </c>
      <c r="BP11" s="49" t="str">
        <f>AJ10</f>
        <v>物业管理用房</v>
      </c>
      <c r="BQ11" s="49" t="str">
        <f>AL10</f>
        <v>设备及其他</v>
      </c>
      <c r="BR11" s="49" t="str">
        <f>AN10</f>
        <v>设备及其他</v>
      </c>
      <c r="BS11" s="50" t="str">
        <f>AP10</f>
        <v>未注明</v>
      </c>
      <c r="BT11" s="911" t="str">
        <f>AR10</f>
        <v>未注明</v>
      </c>
    </row>
    <row r="12" spans="1:72" s="15" customFormat="1" ht="12.75">
      <c r="A12" s="68"/>
      <c r="B12" s="68"/>
      <c r="C12" s="68"/>
      <c r="D12" s="68"/>
      <c r="E12" s="68"/>
      <c r="F12" s="68"/>
      <c r="G12" s="69"/>
      <c r="H12" s="70"/>
      <c r="I12" s="910" t="s">
        <v>166</v>
      </c>
      <c r="J12" s="14" t="s">
        <v>167</v>
      </c>
      <c r="K12" s="14" t="s">
        <v>166</v>
      </c>
      <c r="L12" s="14" t="s">
        <v>167</v>
      </c>
      <c r="M12" s="14" t="s">
        <v>166</v>
      </c>
      <c r="N12" s="14" t="s">
        <v>167</v>
      </c>
      <c r="O12" s="14" t="s">
        <v>166</v>
      </c>
      <c r="P12" s="14" t="s">
        <v>167</v>
      </c>
      <c r="Q12" s="14" t="s">
        <v>166</v>
      </c>
      <c r="R12" s="14" t="s">
        <v>167</v>
      </c>
      <c r="S12" s="14" t="s">
        <v>166</v>
      </c>
      <c r="T12" s="14" t="s">
        <v>167</v>
      </c>
      <c r="U12" s="14" t="s">
        <v>166</v>
      </c>
      <c r="V12" s="903" t="s">
        <v>167</v>
      </c>
      <c r="W12" s="14" t="s">
        <v>166</v>
      </c>
      <c r="X12" s="14" t="s">
        <v>167</v>
      </c>
      <c r="Y12" s="14" t="s">
        <v>166</v>
      </c>
      <c r="Z12" s="14" t="s">
        <v>167</v>
      </c>
      <c r="AA12" s="14" t="s">
        <v>166</v>
      </c>
      <c r="AB12" s="14" t="s">
        <v>167</v>
      </c>
      <c r="AC12" s="71"/>
      <c r="AD12" s="910" t="s">
        <v>166</v>
      </c>
      <c r="AE12" s="14" t="s">
        <v>167</v>
      </c>
      <c r="AF12" s="14" t="s">
        <v>166</v>
      </c>
      <c r="AG12" s="14" t="s">
        <v>167</v>
      </c>
      <c r="AH12" s="14" t="s">
        <v>166</v>
      </c>
      <c r="AI12" s="14" t="s">
        <v>167</v>
      </c>
      <c r="AJ12" s="14" t="s">
        <v>166</v>
      </c>
      <c r="AK12" s="14" t="s">
        <v>167</v>
      </c>
      <c r="AL12" s="14" t="s">
        <v>166</v>
      </c>
      <c r="AM12" s="14" t="s">
        <v>167</v>
      </c>
      <c r="AN12" s="14" t="s">
        <v>166</v>
      </c>
      <c r="AO12" s="14" t="s">
        <v>167</v>
      </c>
      <c r="AP12" s="1031" t="s">
        <v>166</v>
      </c>
      <c r="AQ12" s="1031" t="s">
        <v>167</v>
      </c>
      <c r="AR12" s="1037" t="s">
        <v>166</v>
      </c>
      <c r="AS12" s="1036" t="s">
        <v>167</v>
      </c>
      <c r="AT12" s="72"/>
      <c r="AU12" s="68"/>
      <c r="AV12" s="73"/>
      <c r="AW12" s="38"/>
      <c r="AX12" s="73"/>
      <c r="AY12" s="74"/>
      <c r="AZ12" s="58"/>
      <c r="BA12" s="63"/>
      <c r="BB12" s="49" t="str">
        <f>I11</f>
        <v>用途类型</v>
      </c>
      <c r="BC12" s="75">
        <f>K11</f>
        <v>0</v>
      </c>
      <c r="BD12" s="75">
        <f>M11</f>
        <v>0</v>
      </c>
      <c r="BE12" s="46">
        <f>O11</f>
        <v>0</v>
      </c>
      <c r="BF12" s="46">
        <f>Q11</f>
        <v>0</v>
      </c>
      <c r="BG12" s="46">
        <f>S11</f>
        <v>0</v>
      </c>
      <c r="BH12" s="46">
        <f>U11</f>
        <v>0</v>
      </c>
      <c r="BI12" s="46">
        <f>W11</f>
        <v>0</v>
      </c>
      <c r="BJ12" s="46">
        <f>Y11</f>
        <v>0</v>
      </c>
      <c r="BK12" s="46">
        <f>AA11</f>
        <v>0</v>
      </c>
      <c r="BL12" s="51"/>
      <c r="BM12" s="914" t="str">
        <f>AD11</f>
        <v>（住宅）</v>
      </c>
      <c r="BN12" s="914" t="str">
        <f>AF11</f>
        <v>（住宅）</v>
      </c>
      <c r="BO12" s="49" t="str">
        <f>AH11</f>
        <v>（住宅、计出让金）</v>
      </c>
      <c r="BP12" s="49" t="str">
        <f>AJ11</f>
        <v>（住宅、计出让金）</v>
      </c>
      <c r="BQ12" s="49">
        <f>AL11</f>
        <v>0</v>
      </c>
      <c r="BR12" s="49">
        <f>AN11</f>
        <v>0</v>
      </c>
      <c r="BS12" s="50">
        <f>AP11</f>
        <v>0</v>
      </c>
      <c r="BT12" s="911">
        <f>AR11</f>
        <v>0</v>
      </c>
    </row>
    <row r="13" spans="1:72" s="15" customFormat="1" ht="12.75">
      <c r="A13" s="2300"/>
      <c r="B13" s="2300"/>
      <c r="C13" s="2300"/>
      <c r="D13" s="2301" t="s">
        <v>3273</v>
      </c>
      <c r="E13" s="23">
        <f t="shared" ref="E13:E20" si="6">IF($C$3="是",ROUND($A$3*G13/$B$3,2),ROUND($A$3*(G13-AT13)/$B$3,2))</f>
        <v>82949.97</v>
      </c>
      <c r="F13" s="76"/>
      <c r="G13" s="77">
        <f t="shared" ref="G13:G20" si="7">H13+AC13+AT13</f>
        <v>82949.97</v>
      </c>
      <c r="H13" s="29">
        <f t="shared" ref="H13:H20" si="8">SUMIF(I$12:AB$12,"总值",I13:AB13)</f>
        <v>82949.97</v>
      </c>
      <c r="I13" s="2303">
        <f>A3</f>
        <v>82949.97</v>
      </c>
      <c r="J13" s="2303"/>
      <c r="K13" s="2303"/>
      <c r="L13" s="2303"/>
      <c r="M13" s="2303"/>
      <c r="N13" s="78"/>
      <c r="O13" s="78"/>
      <c r="P13" s="78"/>
      <c r="Q13" s="78"/>
      <c r="R13" s="78"/>
      <c r="S13" s="78"/>
      <c r="T13" s="78"/>
      <c r="U13" s="78"/>
      <c r="V13" s="78"/>
      <c r="W13" s="78"/>
      <c r="X13" s="78"/>
      <c r="Y13" s="78"/>
      <c r="Z13" s="78"/>
      <c r="AA13" s="78"/>
      <c r="AB13" s="78"/>
      <c r="AC13" s="23">
        <f t="shared" ref="AC13:AC20" si="9">SUMIF(AD$12:AS$12,"总值",AD13:AS13)</f>
        <v>0</v>
      </c>
      <c r="AD13" s="2307"/>
      <c r="AE13" s="2307"/>
      <c r="AF13" s="2307"/>
      <c r="AG13" s="2307"/>
      <c r="AH13" s="2307"/>
      <c r="AI13" s="2307"/>
      <c r="AJ13" s="2307"/>
      <c r="AK13" s="2307"/>
      <c r="AL13" s="2307"/>
      <c r="AM13" s="2307"/>
      <c r="AN13" s="2307"/>
      <c r="AO13" s="2307"/>
      <c r="AP13" s="2307"/>
      <c r="AQ13" s="2307"/>
      <c r="AR13" s="2307"/>
      <c r="AS13" s="2307"/>
      <c r="AT13" s="2308"/>
      <c r="AU13" s="2309"/>
      <c r="AV13" s="14">
        <f t="shared" ref="AV13:AX20" si="10">A13</f>
        <v>0</v>
      </c>
      <c r="AW13" s="14">
        <f t="shared" si="10"/>
        <v>0</v>
      </c>
      <c r="AX13" s="14">
        <f t="shared" si="10"/>
        <v>0</v>
      </c>
      <c r="AY13" s="910">
        <f t="shared" ref="AY13:AY20" si="11">ROUND($AY$6*AZ13/$AZ$5,2)</f>
        <v>82949.97</v>
      </c>
      <c r="AZ13" s="23">
        <f t="shared" ref="AZ13:AZ20" si="12">BA13+BL13</f>
        <v>82949.97</v>
      </c>
      <c r="BA13" s="23">
        <f t="shared" ref="BA13:BA20" si="13">SUM(BB13:BK13)</f>
        <v>82949.97</v>
      </c>
      <c r="BB13" s="23">
        <f t="shared" ref="BB13:BB20" si="14">IF($D13="是",I13-J13,0)</f>
        <v>82949.97</v>
      </c>
      <c r="BC13" s="23">
        <f t="shared" ref="BC13:BC20" si="15">IF($D13="是",K13-L13,0)</f>
        <v>0</v>
      </c>
      <c r="BD13" s="23">
        <f t="shared" ref="BD13:BD20" si="16">IF($D13="是",M13-N13,0)</f>
        <v>0</v>
      </c>
      <c r="BE13" s="23">
        <f t="shared" ref="BE13:BE20" si="17">IF($D13="是",O13-P13,0)</f>
        <v>0</v>
      </c>
      <c r="BF13" s="23">
        <f t="shared" ref="BF13:BF20" si="18">IF($D13="是",Q13-R13,0)</f>
        <v>0</v>
      </c>
      <c r="BG13" s="23">
        <f t="shared" ref="BG13:BG20" si="19">IF($D13="是",S13-T13,0)</f>
        <v>0</v>
      </c>
      <c r="BH13" s="23">
        <f t="shared" ref="BH13:BH20" si="20">IF($D13="是",U13-V13,0)</f>
        <v>0</v>
      </c>
      <c r="BI13" s="23">
        <f t="shared" ref="BI13:BI20" si="21">IF($D13="是",W13-X13,0)</f>
        <v>0</v>
      </c>
      <c r="BJ13" s="23">
        <f t="shared" ref="BJ13:BJ20" si="22">IF($D13="是",Y13-Z13,0)</f>
        <v>0</v>
      </c>
      <c r="BK13" s="23">
        <f t="shared" ref="BK13:BK20" si="23">IF($D13="是",AA13-AB13,0)</f>
        <v>0</v>
      </c>
      <c r="BL13" s="23">
        <f t="shared" ref="BL13:BL20" si="24">SUM(BM13:BT13)</f>
        <v>0</v>
      </c>
      <c r="BM13" s="23">
        <f t="shared" ref="BM13:BM20" si="25">IF($D13="是",AD13-AE13,0)</f>
        <v>0</v>
      </c>
      <c r="BN13" s="23">
        <f t="shared" ref="BN13:BN20" si="26">IF($D13="是",AF13-AG13,0)</f>
        <v>0</v>
      </c>
      <c r="BO13" s="23">
        <f t="shared" ref="BO13:BO20" si="27">IF($D13="是",AH13-AI13,0)</f>
        <v>0</v>
      </c>
      <c r="BP13" s="23">
        <f t="shared" ref="BP13:BP20" si="28">IF($D13="是",AJ13-AK13,0)</f>
        <v>0</v>
      </c>
      <c r="BQ13" s="23">
        <f t="shared" ref="BQ13:BQ20" si="29">IF($D13="是",AL13-AM13,0)</f>
        <v>0</v>
      </c>
      <c r="BR13" s="23">
        <f t="shared" ref="BR13:BR20" si="30">IF($D13="是",AN13-AO13,0)</f>
        <v>0</v>
      </c>
      <c r="BS13" s="23">
        <f t="shared" ref="BS13:BS20" si="31">IF($D13="是",AP13-AQ13,0)</f>
        <v>0</v>
      </c>
      <c r="BT13" s="32">
        <f t="shared" ref="BT13:BT20" si="32">IF($D13="是",AR13-AS13,0)</f>
        <v>0</v>
      </c>
    </row>
    <row r="14" spans="1:72" s="15" customFormat="1" ht="12.75">
      <c r="A14" s="2300"/>
      <c r="B14" s="2300"/>
      <c r="C14" s="2302"/>
      <c r="D14" s="2301"/>
      <c r="E14" s="23">
        <f t="shared" si="6"/>
        <v>0</v>
      </c>
      <c r="F14" s="76"/>
      <c r="G14" s="77">
        <f t="shared" si="7"/>
        <v>0</v>
      </c>
      <c r="H14" s="29">
        <f t="shared" si="8"/>
        <v>0</v>
      </c>
      <c r="I14" s="2303"/>
      <c r="J14" s="2303"/>
      <c r="K14" s="2303"/>
      <c r="L14" s="2303"/>
      <c r="M14" s="2303"/>
      <c r="N14" s="78"/>
      <c r="O14" s="78"/>
      <c r="P14" s="78"/>
      <c r="Q14" s="78"/>
      <c r="R14" s="78"/>
      <c r="S14" s="78"/>
      <c r="T14" s="78"/>
      <c r="U14" s="78"/>
      <c r="V14" s="78"/>
      <c r="W14" s="78"/>
      <c r="X14" s="78"/>
      <c r="Y14" s="78"/>
      <c r="Z14" s="78"/>
      <c r="AA14" s="78"/>
      <c r="AB14" s="78"/>
      <c r="AC14" s="23">
        <f t="shared" si="9"/>
        <v>0</v>
      </c>
      <c r="AD14" s="2307"/>
      <c r="AE14" s="2307"/>
      <c r="AF14" s="2307"/>
      <c r="AG14" s="2307"/>
      <c r="AH14" s="2307"/>
      <c r="AI14" s="2307"/>
      <c r="AJ14" s="2307"/>
      <c r="AK14" s="2307"/>
      <c r="AL14" s="2307"/>
      <c r="AM14" s="2307"/>
      <c r="AN14" s="2307"/>
      <c r="AO14" s="2307"/>
      <c r="AP14" s="2307"/>
      <c r="AQ14" s="2307"/>
      <c r="AR14" s="2307"/>
      <c r="AS14" s="2307"/>
      <c r="AT14" s="2308"/>
      <c r="AU14" s="2309"/>
      <c r="AV14" s="14">
        <f t="shared" si="10"/>
        <v>0</v>
      </c>
      <c r="AW14" s="14">
        <f t="shared" si="10"/>
        <v>0</v>
      </c>
      <c r="AX14" s="14">
        <f t="shared" si="10"/>
        <v>0</v>
      </c>
      <c r="AY14" s="910">
        <f t="shared" si="11"/>
        <v>0</v>
      </c>
      <c r="AZ14" s="23">
        <f t="shared" si="12"/>
        <v>0</v>
      </c>
      <c r="BA14" s="23">
        <f t="shared" si="13"/>
        <v>0</v>
      </c>
      <c r="BB14" s="23">
        <f t="shared" si="14"/>
        <v>0</v>
      </c>
      <c r="BC14" s="23">
        <f t="shared" si="15"/>
        <v>0</v>
      </c>
      <c r="BD14" s="23">
        <f t="shared" si="16"/>
        <v>0</v>
      </c>
      <c r="BE14" s="23">
        <f t="shared" si="17"/>
        <v>0</v>
      </c>
      <c r="BF14" s="23">
        <f t="shared" si="18"/>
        <v>0</v>
      </c>
      <c r="BG14" s="23">
        <f t="shared" si="19"/>
        <v>0</v>
      </c>
      <c r="BH14" s="23">
        <f t="shared" si="20"/>
        <v>0</v>
      </c>
      <c r="BI14" s="23">
        <f t="shared" si="21"/>
        <v>0</v>
      </c>
      <c r="BJ14" s="23">
        <f t="shared" si="22"/>
        <v>0</v>
      </c>
      <c r="BK14" s="23">
        <f t="shared" si="23"/>
        <v>0</v>
      </c>
      <c r="BL14" s="23">
        <f t="shared" si="24"/>
        <v>0</v>
      </c>
      <c r="BM14" s="23">
        <f t="shared" si="25"/>
        <v>0</v>
      </c>
      <c r="BN14" s="23">
        <f t="shared" si="26"/>
        <v>0</v>
      </c>
      <c r="BO14" s="23">
        <f t="shared" si="27"/>
        <v>0</v>
      </c>
      <c r="BP14" s="23">
        <f t="shared" si="28"/>
        <v>0</v>
      </c>
      <c r="BQ14" s="23">
        <f t="shared" si="29"/>
        <v>0</v>
      </c>
      <c r="BR14" s="23">
        <f t="shared" si="30"/>
        <v>0</v>
      </c>
      <c r="BS14" s="23">
        <f t="shared" si="31"/>
        <v>0</v>
      </c>
      <c r="BT14" s="32">
        <f t="shared" si="32"/>
        <v>0</v>
      </c>
    </row>
    <row r="15" spans="1:72" s="15" customFormat="1" ht="12.75">
      <c r="A15" s="2300"/>
      <c r="B15" s="2300"/>
      <c r="C15" s="2302"/>
      <c r="D15" s="2301"/>
      <c r="E15" s="23">
        <f t="shared" si="6"/>
        <v>0</v>
      </c>
      <c r="F15" s="76"/>
      <c r="G15" s="77">
        <f t="shared" si="7"/>
        <v>0</v>
      </c>
      <c r="H15" s="29">
        <f t="shared" si="8"/>
        <v>0</v>
      </c>
      <c r="I15" s="2303"/>
      <c r="J15" s="2303"/>
      <c r="K15" s="2303"/>
      <c r="L15" s="2303"/>
      <c r="M15" s="2303"/>
      <c r="N15" s="78"/>
      <c r="O15" s="78"/>
      <c r="P15" s="78"/>
      <c r="Q15" s="78"/>
      <c r="R15" s="78"/>
      <c r="S15" s="78"/>
      <c r="T15" s="78"/>
      <c r="U15" s="78"/>
      <c r="V15" s="78"/>
      <c r="W15" s="78"/>
      <c r="X15" s="78"/>
      <c r="Y15" s="78"/>
      <c r="Z15" s="78"/>
      <c r="AA15" s="78"/>
      <c r="AB15" s="78"/>
      <c r="AC15" s="23">
        <f t="shared" si="9"/>
        <v>0</v>
      </c>
      <c r="AD15" s="2307"/>
      <c r="AE15" s="2307"/>
      <c r="AF15" s="2307"/>
      <c r="AG15" s="2307"/>
      <c r="AH15" s="2307"/>
      <c r="AI15" s="2307"/>
      <c r="AJ15" s="2307"/>
      <c r="AK15" s="2307"/>
      <c r="AL15" s="2307"/>
      <c r="AM15" s="2307"/>
      <c r="AN15" s="2307"/>
      <c r="AO15" s="2307"/>
      <c r="AP15" s="2307"/>
      <c r="AQ15" s="2307"/>
      <c r="AR15" s="2307"/>
      <c r="AS15" s="2307"/>
      <c r="AT15" s="2308"/>
      <c r="AU15" s="2309"/>
      <c r="AV15" s="14">
        <f t="shared" si="10"/>
        <v>0</v>
      </c>
      <c r="AW15" s="14">
        <f t="shared" si="10"/>
        <v>0</v>
      </c>
      <c r="AX15" s="14">
        <f t="shared" si="10"/>
        <v>0</v>
      </c>
      <c r="AY15" s="910">
        <f t="shared" si="11"/>
        <v>0</v>
      </c>
      <c r="AZ15" s="23">
        <f t="shared" si="12"/>
        <v>0</v>
      </c>
      <c r="BA15" s="23">
        <f t="shared" si="13"/>
        <v>0</v>
      </c>
      <c r="BB15" s="23">
        <f t="shared" si="14"/>
        <v>0</v>
      </c>
      <c r="BC15" s="23">
        <f t="shared" si="15"/>
        <v>0</v>
      </c>
      <c r="BD15" s="23">
        <f t="shared" si="16"/>
        <v>0</v>
      </c>
      <c r="BE15" s="23">
        <f t="shared" si="17"/>
        <v>0</v>
      </c>
      <c r="BF15" s="23">
        <f t="shared" si="18"/>
        <v>0</v>
      </c>
      <c r="BG15" s="23">
        <f t="shared" si="19"/>
        <v>0</v>
      </c>
      <c r="BH15" s="23">
        <f t="shared" si="20"/>
        <v>0</v>
      </c>
      <c r="BI15" s="23">
        <f t="shared" si="21"/>
        <v>0</v>
      </c>
      <c r="BJ15" s="23">
        <f t="shared" si="22"/>
        <v>0</v>
      </c>
      <c r="BK15" s="23">
        <f t="shared" si="23"/>
        <v>0</v>
      </c>
      <c r="BL15" s="23">
        <f t="shared" si="24"/>
        <v>0</v>
      </c>
      <c r="BM15" s="23">
        <f t="shared" si="25"/>
        <v>0</v>
      </c>
      <c r="BN15" s="23">
        <f t="shared" si="26"/>
        <v>0</v>
      </c>
      <c r="BO15" s="23">
        <f t="shared" si="27"/>
        <v>0</v>
      </c>
      <c r="BP15" s="23">
        <f t="shared" si="28"/>
        <v>0</v>
      </c>
      <c r="BQ15" s="23">
        <f t="shared" si="29"/>
        <v>0</v>
      </c>
      <c r="BR15" s="23">
        <f t="shared" si="30"/>
        <v>0</v>
      </c>
      <c r="BS15" s="23">
        <f t="shared" si="31"/>
        <v>0</v>
      </c>
      <c r="BT15" s="32">
        <f t="shared" si="32"/>
        <v>0</v>
      </c>
    </row>
    <row r="16" spans="1:72" s="15" customFormat="1" ht="12.75">
      <c r="A16" s="2300"/>
      <c r="B16" s="2300"/>
      <c r="C16" s="2302"/>
      <c r="D16" s="2301"/>
      <c r="E16" s="23">
        <f t="shared" si="6"/>
        <v>0</v>
      </c>
      <c r="F16" s="76"/>
      <c r="G16" s="77">
        <f t="shared" si="7"/>
        <v>0</v>
      </c>
      <c r="H16" s="29">
        <f t="shared" si="8"/>
        <v>0</v>
      </c>
      <c r="I16" s="2303"/>
      <c r="J16" s="2303"/>
      <c r="K16" s="2303"/>
      <c r="L16" s="2303"/>
      <c r="M16" s="2303"/>
      <c r="N16" s="78"/>
      <c r="O16" s="78"/>
      <c r="P16" s="78"/>
      <c r="Q16" s="78"/>
      <c r="R16" s="78"/>
      <c r="S16" s="78"/>
      <c r="T16" s="78"/>
      <c r="U16" s="78"/>
      <c r="V16" s="78"/>
      <c r="W16" s="78"/>
      <c r="X16" s="78"/>
      <c r="Y16" s="78"/>
      <c r="Z16" s="78"/>
      <c r="AA16" s="78"/>
      <c r="AB16" s="78"/>
      <c r="AC16" s="23">
        <f t="shared" si="9"/>
        <v>0</v>
      </c>
      <c r="AD16" s="2307"/>
      <c r="AE16" s="2307"/>
      <c r="AF16" s="2307"/>
      <c r="AG16" s="2307"/>
      <c r="AH16" s="2307"/>
      <c r="AI16" s="2307"/>
      <c r="AJ16" s="2307"/>
      <c r="AK16" s="2307"/>
      <c r="AL16" s="2307"/>
      <c r="AM16" s="2307"/>
      <c r="AN16" s="2307"/>
      <c r="AO16" s="2307"/>
      <c r="AP16" s="2307"/>
      <c r="AQ16" s="2307"/>
      <c r="AR16" s="2307"/>
      <c r="AS16" s="2307"/>
      <c r="AT16" s="2308"/>
      <c r="AU16" s="2309"/>
      <c r="AV16" s="14">
        <f t="shared" si="10"/>
        <v>0</v>
      </c>
      <c r="AW16" s="14">
        <f t="shared" si="10"/>
        <v>0</v>
      </c>
      <c r="AX16" s="14">
        <f t="shared" si="10"/>
        <v>0</v>
      </c>
      <c r="AY16" s="910">
        <f t="shared" si="11"/>
        <v>0</v>
      </c>
      <c r="AZ16" s="23">
        <f t="shared" si="12"/>
        <v>0</v>
      </c>
      <c r="BA16" s="23">
        <f t="shared" si="13"/>
        <v>0</v>
      </c>
      <c r="BB16" s="23">
        <f t="shared" si="14"/>
        <v>0</v>
      </c>
      <c r="BC16" s="23">
        <f t="shared" si="15"/>
        <v>0</v>
      </c>
      <c r="BD16" s="23">
        <f t="shared" si="16"/>
        <v>0</v>
      </c>
      <c r="BE16" s="23">
        <f t="shared" si="17"/>
        <v>0</v>
      </c>
      <c r="BF16" s="23">
        <f t="shared" si="18"/>
        <v>0</v>
      </c>
      <c r="BG16" s="23">
        <f t="shared" si="19"/>
        <v>0</v>
      </c>
      <c r="BH16" s="23">
        <f t="shared" si="20"/>
        <v>0</v>
      </c>
      <c r="BI16" s="23">
        <f t="shared" si="21"/>
        <v>0</v>
      </c>
      <c r="BJ16" s="23">
        <f t="shared" si="22"/>
        <v>0</v>
      </c>
      <c r="BK16" s="23">
        <f t="shared" si="23"/>
        <v>0</v>
      </c>
      <c r="BL16" s="23">
        <f t="shared" si="24"/>
        <v>0</v>
      </c>
      <c r="BM16" s="23">
        <f t="shared" si="25"/>
        <v>0</v>
      </c>
      <c r="BN16" s="23">
        <f t="shared" si="26"/>
        <v>0</v>
      </c>
      <c r="BO16" s="23">
        <f t="shared" si="27"/>
        <v>0</v>
      </c>
      <c r="BP16" s="23">
        <f t="shared" si="28"/>
        <v>0</v>
      </c>
      <c r="BQ16" s="23">
        <f t="shared" si="29"/>
        <v>0</v>
      </c>
      <c r="BR16" s="23">
        <f t="shared" si="30"/>
        <v>0</v>
      </c>
      <c r="BS16" s="23">
        <f t="shared" si="31"/>
        <v>0</v>
      </c>
      <c r="BT16" s="32">
        <f t="shared" si="32"/>
        <v>0</v>
      </c>
    </row>
    <row r="17" spans="1:72" s="15" customFormat="1" ht="12.75">
      <c r="A17" s="2300"/>
      <c r="B17" s="2300"/>
      <c r="C17" s="2302"/>
      <c r="D17" s="2301"/>
      <c r="E17" s="23">
        <f t="shared" si="6"/>
        <v>0</v>
      </c>
      <c r="F17" s="76"/>
      <c r="G17" s="77">
        <f t="shared" si="7"/>
        <v>0</v>
      </c>
      <c r="H17" s="29">
        <f t="shared" si="8"/>
        <v>0</v>
      </c>
      <c r="I17" s="2303"/>
      <c r="J17" s="2303"/>
      <c r="K17" s="2303"/>
      <c r="L17" s="2303"/>
      <c r="M17" s="2303"/>
      <c r="N17" s="78"/>
      <c r="O17" s="78"/>
      <c r="P17" s="78"/>
      <c r="Q17" s="78"/>
      <c r="R17" s="78"/>
      <c r="S17" s="78"/>
      <c r="T17" s="78"/>
      <c r="U17" s="78"/>
      <c r="V17" s="78"/>
      <c r="W17" s="78"/>
      <c r="X17" s="78"/>
      <c r="Y17" s="78"/>
      <c r="Z17" s="78"/>
      <c r="AA17" s="78"/>
      <c r="AB17" s="78"/>
      <c r="AC17" s="23">
        <f t="shared" si="9"/>
        <v>0</v>
      </c>
      <c r="AD17" s="2307"/>
      <c r="AE17" s="2307"/>
      <c r="AF17" s="2307"/>
      <c r="AG17" s="2307"/>
      <c r="AH17" s="2307"/>
      <c r="AI17" s="2307"/>
      <c r="AJ17" s="2307"/>
      <c r="AK17" s="2307"/>
      <c r="AL17" s="2307"/>
      <c r="AM17" s="2307"/>
      <c r="AN17" s="2307"/>
      <c r="AO17" s="2307"/>
      <c r="AP17" s="2307"/>
      <c r="AQ17" s="2307"/>
      <c r="AR17" s="2307"/>
      <c r="AS17" s="2307"/>
      <c r="AT17" s="2308"/>
      <c r="AU17" s="2309"/>
      <c r="AV17" s="14">
        <f t="shared" si="10"/>
        <v>0</v>
      </c>
      <c r="AW17" s="14">
        <f t="shared" si="10"/>
        <v>0</v>
      </c>
      <c r="AX17" s="14">
        <f t="shared" si="10"/>
        <v>0</v>
      </c>
      <c r="AY17" s="910">
        <f t="shared" si="11"/>
        <v>0</v>
      </c>
      <c r="AZ17" s="23">
        <f t="shared" si="12"/>
        <v>0</v>
      </c>
      <c r="BA17" s="23">
        <f t="shared" si="13"/>
        <v>0</v>
      </c>
      <c r="BB17" s="23">
        <f t="shared" si="14"/>
        <v>0</v>
      </c>
      <c r="BC17" s="23">
        <f t="shared" si="15"/>
        <v>0</v>
      </c>
      <c r="BD17" s="23">
        <f t="shared" si="16"/>
        <v>0</v>
      </c>
      <c r="BE17" s="23">
        <f t="shared" si="17"/>
        <v>0</v>
      </c>
      <c r="BF17" s="23">
        <f t="shared" si="18"/>
        <v>0</v>
      </c>
      <c r="BG17" s="23">
        <f t="shared" si="19"/>
        <v>0</v>
      </c>
      <c r="BH17" s="23">
        <f t="shared" si="20"/>
        <v>0</v>
      </c>
      <c r="BI17" s="23">
        <f t="shared" si="21"/>
        <v>0</v>
      </c>
      <c r="BJ17" s="23">
        <f t="shared" si="22"/>
        <v>0</v>
      </c>
      <c r="BK17" s="23">
        <f t="shared" si="23"/>
        <v>0</v>
      </c>
      <c r="BL17" s="23">
        <f t="shared" si="24"/>
        <v>0</v>
      </c>
      <c r="BM17" s="23">
        <f t="shared" si="25"/>
        <v>0</v>
      </c>
      <c r="BN17" s="23">
        <f t="shared" si="26"/>
        <v>0</v>
      </c>
      <c r="BO17" s="23">
        <f t="shared" si="27"/>
        <v>0</v>
      </c>
      <c r="BP17" s="23">
        <f t="shared" si="28"/>
        <v>0</v>
      </c>
      <c r="BQ17" s="23">
        <f t="shared" si="29"/>
        <v>0</v>
      </c>
      <c r="BR17" s="23">
        <f t="shared" si="30"/>
        <v>0</v>
      </c>
      <c r="BS17" s="23">
        <f t="shared" si="31"/>
        <v>0</v>
      </c>
      <c r="BT17" s="32">
        <f t="shared" si="32"/>
        <v>0</v>
      </c>
    </row>
    <row r="18" spans="1:72">
      <c r="A18" s="79"/>
      <c r="B18" s="80"/>
      <c r="C18" s="80"/>
      <c r="D18" s="2301"/>
      <c r="E18" s="81">
        <f t="shared" si="6"/>
        <v>0</v>
      </c>
      <c r="F18" s="82"/>
      <c r="G18" s="83">
        <f t="shared" si="7"/>
        <v>0</v>
      </c>
      <c r="H18" s="84">
        <f t="shared" si="8"/>
        <v>0</v>
      </c>
      <c r="I18" s="1180"/>
      <c r="J18" s="85"/>
      <c r="K18" s="1180"/>
      <c r="L18" s="85"/>
      <c r="M18" s="85"/>
      <c r="N18" s="85"/>
      <c r="O18" s="85"/>
      <c r="P18" s="85"/>
      <c r="Q18" s="85"/>
      <c r="R18" s="85"/>
      <c r="S18" s="85"/>
      <c r="T18" s="85"/>
      <c r="U18" s="85"/>
      <c r="V18" s="85"/>
      <c r="W18" s="85"/>
      <c r="X18" s="85"/>
      <c r="Y18" s="85"/>
      <c r="Z18" s="85"/>
      <c r="AA18" s="85"/>
      <c r="AB18" s="85"/>
      <c r="AC18" s="81">
        <f t="shared" si="9"/>
        <v>0</v>
      </c>
      <c r="AD18" s="86"/>
      <c r="AE18" s="86"/>
      <c r="AF18" s="1180"/>
      <c r="AG18" s="86"/>
      <c r="AH18" s="86"/>
      <c r="AI18" s="86"/>
      <c r="AJ18" s="86"/>
      <c r="AK18" s="86"/>
      <c r="AL18" s="1158"/>
      <c r="AM18" s="86"/>
      <c r="AN18" s="1180"/>
      <c r="AO18" s="86"/>
      <c r="AP18" s="86"/>
      <c r="AQ18" s="86"/>
      <c r="AR18" s="86"/>
      <c r="AS18" s="86"/>
      <c r="AT18" s="82"/>
      <c r="AU18" s="87"/>
      <c r="AV18" s="818">
        <f t="shared" si="10"/>
        <v>0</v>
      </c>
      <c r="AW18" s="818">
        <f t="shared" si="10"/>
        <v>0</v>
      </c>
      <c r="AX18" s="818">
        <f t="shared" si="10"/>
        <v>0</v>
      </c>
      <c r="AY18" s="88">
        <f t="shared" si="11"/>
        <v>0</v>
      </c>
      <c r="AZ18" s="81">
        <f t="shared" si="12"/>
        <v>0</v>
      </c>
      <c r="BA18" s="81">
        <f t="shared" si="13"/>
        <v>0</v>
      </c>
      <c r="BB18" s="81">
        <f t="shared" si="14"/>
        <v>0</v>
      </c>
      <c r="BC18" s="81">
        <f t="shared" si="15"/>
        <v>0</v>
      </c>
      <c r="BD18" s="81">
        <f t="shared" si="16"/>
        <v>0</v>
      </c>
      <c r="BE18" s="81">
        <f t="shared" si="17"/>
        <v>0</v>
      </c>
      <c r="BF18" s="81">
        <f t="shared" si="18"/>
        <v>0</v>
      </c>
      <c r="BG18" s="81">
        <f t="shared" si="19"/>
        <v>0</v>
      </c>
      <c r="BH18" s="81">
        <f t="shared" si="20"/>
        <v>0</v>
      </c>
      <c r="BI18" s="81">
        <f t="shared" si="21"/>
        <v>0</v>
      </c>
      <c r="BJ18" s="81">
        <f t="shared" si="22"/>
        <v>0</v>
      </c>
      <c r="BK18" s="81">
        <f t="shared" si="23"/>
        <v>0</v>
      </c>
      <c r="BL18" s="81">
        <f t="shared" si="24"/>
        <v>0</v>
      </c>
      <c r="BM18" s="81">
        <f t="shared" si="25"/>
        <v>0</v>
      </c>
      <c r="BN18" s="81">
        <f t="shared" si="26"/>
        <v>0</v>
      </c>
      <c r="BO18" s="81">
        <f t="shared" si="27"/>
        <v>0</v>
      </c>
      <c r="BP18" s="81">
        <f t="shared" si="28"/>
        <v>0</v>
      </c>
      <c r="BQ18" s="81">
        <f t="shared" si="29"/>
        <v>0</v>
      </c>
      <c r="BR18" s="81">
        <f t="shared" si="30"/>
        <v>0</v>
      </c>
      <c r="BS18" s="81">
        <f t="shared" si="31"/>
        <v>0</v>
      </c>
      <c r="BT18" s="89">
        <f t="shared" si="32"/>
        <v>0</v>
      </c>
    </row>
    <row r="19" spans="1:72">
      <c r="A19" s="79"/>
      <c r="B19" s="1182"/>
      <c r="C19" s="1180"/>
      <c r="D19" s="2301"/>
      <c r="E19" s="81">
        <f t="shared" si="6"/>
        <v>0</v>
      </c>
      <c r="F19" s="82"/>
      <c r="G19" s="83">
        <f t="shared" si="7"/>
        <v>0</v>
      </c>
      <c r="H19" s="84">
        <f t="shared" si="8"/>
        <v>0</v>
      </c>
      <c r="I19" s="1180"/>
      <c r="J19" s="85"/>
      <c r="K19" s="1180"/>
      <c r="L19" s="85"/>
      <c r="M19" s="85"/>
      <c r="N19" s="85"/>
      <c r="O19" s="85"/>
      <c r="P19" s="85"/>
      <c r="Q19" s="85"/>
      <c r="R19" s="85"/>
      <c r="S19" s="85"/>
      <c r="T19" s="85"/>
      <c r="U19" s="85"/>
      <c r="V19" s="85"/>
      <c r="W19" s="85"/>
      <c r="X19" s="85"/>
      <c r="Y19" s="85"/>
      <c r="Z19" s="85"/>
      <c r="AA19" s="85"/>
      <c r="AB19" s="85"/>
      <c r="AC19" s="81">
        <f t="shared" si="9"/>
        <v>0</v>
      </c>
      <c r="AD19" s="86"/>
      <c r="AE19" s="86"/>
      <c r="AF19" s="1180"/>
      <c r="AG19" s="86"/>
      <c r="AH19" s="86"/>
      <c r="AI19" s="86"/>
      <c r="AJ19" s="86"/>
      <c r="AK19" s="86"/>
      <c r="AL19" s="86"/>
      <c r="AM19" s="86"/>
      <c r="AN19" s="1180"/>
      <c r="AO19" s="86"/>
      <c r="AP19" s="86"/>
      <c r="AQ19" s="86"/>
      <c r="AR19" s="86"/>
      <c r="AS19" s="86"/>
      <c r="AT19" s="82"/>
      <c r="AU19" s="87"/>
      <c r="AV19" s="818">
        <f t="shared" si="10"/>
        <v>0</v>
      </c>
      <c r="AW19" s="818">
        <f t="shared" si="10"/>
        <v>0</v>
      </c>
      <c r="AX19" s="818">
        <f t="shared" si="10"/>
        <v>0</v>
      </c>
      <c r="AY19" s="88">
        <f t="shared" si="11"/>
        <v>0</v>
      </c>
      <c r="AZ19" s="81">
        <f t="shared" si="12"/>
        <v>0</v>
      </c>
      <c r="BA19" s="81">
        <f t="shared" si="13"/>
        <v>0</v>
      </c>
      <c r="BB19" s="81">
        <f t="shared" si="14"/>
        <v>0</v>
      </c>
      <c r="BC19" s="81">
        <f t="shared" si="15"/>
        <v>0</v>
      </c>
      <c r="BD19" s="81">
        <f t="shared" si="16"/>
        <v>0</v>
      </c>
      <c r="BE19" s="81">
        <f t="shared" si="17"/>
        <v>0</v>
      </c>
      <c r="BF19" s="81">
        <f t="shared" si="18"/>
        <v>0</v>
      </c>
      <c r="BG19" s="81">
        <f t="shared" si="19"/>
        <v>0</v>
      </c>
      <c r="BH19" s="81">
        <f t="shared" si="20"/>
        <v>0</v>
      </c>
      <c r="BI19" s="81">
        <f t="shared" si="21"/>
        <v>0</v>
      </c>
      <c r="BJ19" s="81">
        <f t="shared" si="22"/>
        <v>0</v>
      </c>
      <c r="BK19" s="81">
        <f t="shared" si="23"/>
        <v>0</v>
      </c>
      <c r="BL19" s="81">
        <f t="shared" si="24"/>
        <v>0</v>
      </c>
      <c r="BM19" s="81">
        <f t="shared" si="25"/>
        <v>0</v>
      </c>
      <c r="BN19" s="81">
        <f t="shared" si="26"/>
        <v>0</v>
      </c>
      <c r="BO19" s="81">
        <f t="shared" si="27"/>
        <v>0</v>
      </c>
      <c r="BP19" s="81">
        <f t="shared" si="28"/>
        <v>0</v>
      </c>
      <c r="BQ19" s="81">
        <f t="shared" si="29"/>
        <v>0</v>
      </c>
      <c r="BR19" s="81">
        <f t="shared" si="30"/>
        <v>0</v>
      </c>
      <c r="BS19" s="81">
        <f t="shared" si="31"/>
        <v>0</v>
      </c>
      <c r="BT19" s="89">
        <f t="shared" si="32"/>
        <v>0</v>
      </c>
    </row>
    <row r="20" spans="1:72">
      <c r="A20" s="79"/>
      <c r="B20" s="1182"/>
      <c r="C20" s="1180"/>
      <c r="D20" s="2301"/>
      <c r="E20" s="81">
        <f t="shared" si="6"/>
        <v>0</v>
      </c>
      <c r="F20" s="82"/>
      <c r="G20" s="83">
        <f t="shared" si="7"/>
        <v>0</v>
      </c>
      <c r="H20" s="84">
        <f t="shared" si="8"/>
        <v>0</v>
      </c>
      <c r="I20" s="1180"/>
      <c r="J20" s="85"/>
      <c r="K20" s="1180"/>
      <c r="L20" s="85"/>
      <c r="M20" s="85"/>
      <c r="N20" s="85"/>
      <c r="O20" s="85"/>
      <c r="P20" s="85"/>
      <c r="Q20" s="85"/>
      <c r="R20" s="85"/>
      <c r="S20" s="85"/>
      <c r="T20" s="85"/>
      <c r="U20" s="85"/>
      <c r="V20" s="85"/>
      <c r="W20" s="85"/>
      <c r="X20" s="85"/>
      <c r="Y20" s="85"/>
      <c r="Z20" s="85"/>
      <c r="AA20" s="85"/>
      <c r="AB20" s="85"/>
      <c r="AC20" s="81">
        <f t="shared" si="9"/>
        <v>0</v>
      </c>
      <c r="AD20" s="86"/>
      <c r="AE20" s="86"/>
      <c r="AF20" s="1180"/>
      <c r="AG20" s="86"/>
      <c r="AH20" s="86"/>
      <c r="AI20" s="86"/>
      <c r="AJ20" s="86"/>
      <c r="AK20" s="86"/>
      <c r="AL20" s="86"/>
      <c r="AM20" s="86"/>
      <c r="AN20" s="1180"/>
      <c r="AO20" s="86"/>
      <c r="AP20" s="86"/>
      <c r="AQ20" s="86"/>
      <c r="AR20" s="86"/>
      <c r="AS20" s="86"/>
      <c r="AT20" s="82"/>
      <c r="AU20" s="87"/>
      <c r="AV20" s="818">
        <f t="shared" si="10"/>
        <v>0</v>
      </c>
      <c r="AW20" s="818">
        <f t="shared" si="10"/>
        <v>0</v>
      </c>
      <c r="AX20" s="818">
        <f t="shared" si="10"/>
        <v>0</v>
      </c>
      <c r="AY20" s="88">
        <f t="shared" si="11"/>
        <v>0</v>
      </c>
      <c r="AZ20" s="81">
        <f t="shared" si="12"/>
        <v>0</v>
      </c>
      <c r="BA20" s="81">
        <f t="shared" si="13"/>
        <v>0</v>
      </c>
      <c r="BB20" s="81">
        <f t="shared" si="14"/>
        <v>0</v>
      </c>
      <c r="BC20" s="81">
        <f t="shared" si="15"/>
        <v>0</v>
      </c>
      <c r="BD20" s="81">
        <f t="shared" si="16"/>
        <v>0</v>
      </c>
      <c r="BE20" s="81">
        <f t="shared" si="17"/>
        <v>0</v>
      </c>
      <c r="BF20" s="81">
        <f t="shared" si="18"/>
        <v>0</v>
      </c>
      <c r="BG20" s="81">
        <f t="shared" si="19"/>
        <v>0</v>
      </c>
      <c r="BH20" s="81">
        <f t="shared" si="20"/>
        <v>0</v>
      </c>
      <c r="BI20" s="81">
        <f t="shared" si="21"/>
        <v>0</v>
      </c>
      <c r="BJ20" s="81">
        <f t="shared" si="22"/>
        <v>0</v>
      </c>
      <c r="BK20" s="81">
        <f t="shared" si="23"/>
        <v>0</v>
      </c>
      <c r="BL20" s="81">
        <f t="shared" si="24"/>
        <v>0</v>
      </c>
      <c r="BM20" s="81">
        <f t="shared" si="25"/>
        <v>0</v>
      </c>
      <c r="BN20" s="81">
        <f t="shared" si="26"/>
        <v>0</v>
      </c>
      <c r="BO20" s="81">
        <f t="shared" si="27"/>
        <v>0</v>
      </c>
      <c r="BP20" s="81">
        <f t="shared" si="28"/>
        <v>0</v>
      </c>
      <c r="BQ20" s="81">
        <f t="shared" si="29"/>
        <v>0</v>
      </c>
      <c r="BR20" s="81">
        <f t="shared" si="30"/>
        <v>0</v>
      </c>
      <c r="BS20" s="81">
        <f t="shared" si="31"/>
        <v>0</v>
      </c>
      <c r="BT20" s="89">
        <f t="shared" si="32"/>
        <v>0</v>
      </c>
    </row>
    <row r="21" spans="1:72">
      <c r="A21" s="79"/>
      <c r="B21" s="1179"/>
      <c r="C21" s="1180"/>
      <c r="D21" s="2301"/>
      <c r="E21" s="81">
        <f t="shared" ref="E21:E112" si="33">IF($C$3="是",ROUND($A$3*G21/$B$3,2),ROUND($A$3*(G21-AT21)/$B$3,2))</f>
        <v>0</v>
      </c>
      <c r="F21" s="82"/>
      <c r="G21" s="83">
        <f t="shared" ref="G21:G109" si="34">H21+AC21+AT21</f>
        <v>0</v>
      </c>
      <c r="H21" s="84">
        <f t="shared" ref="H21:H109" si="35">SUMIF(I$12:AB$12,"总值",I21:AB21)</f>
        <v>0</v>
      </c>
      <c r="I21" s="1180"/>
      <c r="J21" s="85"/>
      <c r="K21" s="1180"/>
      <c r="L21" s="85"/>
      <c r="M21" s="85"/>
      <c r="N21" s="85"/>
      <c r="O21" s="85"/>
      <c r="P21" s="85"/>
      <c r="Q21" s="85"/>
      <c r="R21" s="85"/>
      <c r="S21" s="85"/>
      <c r="T21" s="85"/>
      <c r="U21" s="85"/>
      <c r="V21" s="85"/>
      <c r="W21" s="85"/>
      <c r="X21" s="85"/>
      <c r="Y21" s="85"/>
      <c r="Z21" s="85"/>
      <c r="AA21" s="85"/>
      <c r="AB21" s="85"/>
      <c r="AC21" s="81">
        <f t="shared" ref="AC21:AC109" si="36">SUMIF(AD$12:AS$12,"总值",AD21:AS21)</f>
        <v>0</v>
      </c>
      <c r="AD21" s="86"/>
      <c r="AE21" s="86"/>
      <c r="AF21" s="1181"/>
      <c r="AG21" s="86"/>
      <c r="AH21" s="86"/>
      <c r="AI21" s="86"/>
      <c r="AJ21" s="86"/>
      <c r="AK21" s="86"/>
      <c r="AL21" s="86"/>
      <c r="AM21" s="86"/>
      <c r="AN21" s="1158"/>
      <c r="AO21" s="86"/>
      <c r="AP21" s="86"/>
      <c r="AQ21" s="86"/>
      <c r="AR21" s="86"/>
      <c r="AS21" s="86"/>
      <c r="AT21" s="82"/>
      <c r="AU21" s="87"/>
      <c r="AV21" s="818">
        <f t="shared" ref="AV21:AV112" si="37">A21</f>
        <v>0</v>
      </c>
      <c r="AW21" s="818">
        <f t="shared" ref="AW21:AW112" si="38">B21</f>
        <v>0</v>
      </c>
      <c r="AX21" s="818">
        <f t="shared" ref="AX21:AX112" si="39">C21</f>
        <v>0</v>
      </c>
      <c r="AY21" s="88">
        <f t="shared" ref="AY21:AY109" si="40">ROUND($AY$6*AZ21/$AZ$5,2)</f>
        <v>0</v>
      </c>
      <c r="AZ21" s="81">
        <f t="shared" ref="AZ21:AZ109" si="41">BA21+BL21</f>
        <v>0</v>
      </c>
      <c r="BA21" s="81">
        <f t="shared" ref="BA21:BA109" si="42">SUM(BB21:BK21)</f>
        <v>0</v>
      </c>
      <c r="BB21" s="81">
        <f t="shared" ref="BB21:BB109" si="43">IF($D21="是",I21-J21,0)</f>
        <v>0</v>
      </c>
      <c r="BC21" s="81">
        <f t="shared" ref="BC21:BC109" si="44">IF($D21="是",K21-L21,0)</f>
        <v>0</v>
      </c>
      <c r="BD21" s="81">
        <f t="shared" ref="BD21:BD109" si="45">IF($D21="是",M21-N21,0)</f>
        <v>0</v>
      </c>
      <c r="BE21" s="81">
        <f t="shared" ref="BE21:BE109" si="46">IF($D21="是",O21-P21,0)</f>
        <v>0</v>
      </c>
      <c r="BF21" s="81">
        <f t="shared" ref="BF21:BF109" si="47">IF($D21="是",Q21-R21,0)</f>
        <v>0</v>
      </c>
      <c r="BG21" s="81">
        <f t="shared" ref="BG21:BG109" si="48">IF($D21="是",S21-T21,0)</f>
        <v>0</v>
      </c>
      <c r="BH21" s="81">
        <f t="shared" ref="BH21:BH109" si="49">IF($D21="是",U21-V21,0)</f>
        <v>0</v>
      </c>
      <c r="BI21" s="81">
        <f t="shared" ref="BI21:BI109" si="50">IF($D21="是",W21-X21,0)</f>
        <v>0</v>
      </c>
      <c r="BJ21" s="81">
        <f t="shared" ref="BJ21:BJ109" si="51">IF($D21="是",Y21-Z21,0)</f>
        <v>0</v>
      </c>
      <c r="BK21" s="81">
        <f t="shared" ref="BK21:BK109" si="52">IF($D21="是",AA21-AB21,0)</f>
        <v>0</v>
      </c>
      <c r="BL21" s="81">
        <f t="shared" ref="BL21:BL109" si="53">SUM(BM21:BT21)</f>
        <v>0</v>
      </c>
      <c r="BM21" s="81">
        <f t="shared" ref="BM21:BM109" si="54">IF($D21="是",AD21-AE21,0)</f>
        <v>0</v>
      </c>
      <c r="BN21" s="81">
        <f t="shared" ref="BN21:BN109" si="55">IF($D21="是",AF21-AG21,0)</f>
        <v>0</v>
      </c>
      <c r="BO21" s="81">
        <f t="shared" ref="BO21:BO109" si="56">IF($D21="是",AH21-AI21,0)</f>
        <v>0</v>
      </c>
      <c r="BP21" s="81">
        <f t="shared" ref="BP21:BP109" si="57">IF($D21="是",AJ21-AK21,0)</f>
        <v>0</v>
      </c>
      <c r="BQ21" s="81">
        <f t="shared" ref="BQ21:BQ109" si="58">IF($D21="是",AL21-AM21,0)</f>
        <v>0</v>
      </c>
      <c r="BR21" s="81">
        <f t="shared" ref="BR21:BR109" si="59">IF($D21="是",AN21-AO21,0)</f>
        <v>0</v>
      </c>
      <c r="BS21" s="81">
        <f t="shared" ref="BS21:BS109" si="60">IF($D21="是",AP21-AQ21,0)</f>
        <v>0</v>
      </c>
      <c r="BT21" s="89">
        <f t="shared" ref="BT21:BT109" si="61">IF($D21="是",AR21-AS21,0)</f>
        <v>0</v>
      </c>
    </row>
    <row r="22" spans="1:72">
      <c r="A22" s="79"/>
      <c r="B22" s="1179"/>
      <c r="C22" s="1180"/>
      <c r="D22" s="2301"/>
      <c r="E22" s="81">
        <f t="shared" si="33"/>
        <v>0</v>
      </c>
      <c r="F22" s="82"/>
      <c r="G22" s="83">
        <f t="shared" si="34"/>
        <v>0</v>
      </c>
      <c r="H22" s="84">
        <f t="shared" si="35"/>
        <v>0</v>
      </c>
      <c r="I22" s="1180"/>
      <c r="J22" s="85"/>
      <c r="K22" s="1180"/>
      <c r="L22" s="85"/>
      <c r="M22" s="1158"/>
      <c r="N22" s="85"/>
      <c r="O22" s="85"/>
      <c r="P22" s="85"/>
      <c r="Q22" s="85"/>
      <c r="R22" s="85"/>
      <c r="S22" s="85"/>
      <c r="T22" s="85"/>
      <c r="U22" s="85"/>
      <c r="V22" s="85"/>
      <c r="W22" s="85"/>
      <c r="X22" s="85"/>
      <c r="Y22" s="85"/>
      <c r="Z22" s="85"/>
      <c r="AA22" s="85"/>
      <c r="AB22" s="85"/>
      <c r="AC22" s="81">
        <f t="shared" si="36"/>
        <v>0</v>
      </c>
      <c r="AD22" s="1158"/>
      <c r="AE22" s="86"/>
      <c r="AF22" s="1181"/>
      <c r="AG22" s="86"/>
      <c r="AH22" s="86"/>
      <c r="AI22" s="86"/>
      <c r="AJ22" s="86"/>
      <c r="AK22" s="86"/>
      <c r="AL22" s="1158"/>
      <c r="AM22" s="86"/>
      <c r="AN22" s="1158"/>
      <c r="AO22" s="86"/>
      <c r="AP22" s="86"/>
      <c r="AQ22" s="86"/>
      <c r="AR22" s="86"/>
      <c r="AS22" s="86"/>
      <c r="AT22" s="82"/>
      <c r="AU22" s="87"/>
      <c r="AV22" s="818">
        <f t="shared" si="37"/>
        <v>0</v>
      </c>
      <c r="AW22" s="818">
        <f t="shared" si="38"/>
        <v>0</v>
      </c>
      <c r="AX22" s="818">
        <f t="shared" si="39"/>
        <v>0</v>
      </c>
      <c r="AY22" s="88">
        <f t="shared" si="40"/>
        <v>0</v>
      </c>
      <c r="AZ22" s="81">
        <f t="shared" si="41"/>
        <v>0</v>
      </c>
      <c r="BA22" s="81">
        <f t="shared" si="42"/>
        <v>0</v>
      </c>
      <c r="BB22" s="81">
        <f t="shared" si="43"/>
        <v>0</v>
      </c>
      <c r="BC22" s="81">
        <f t="shared" si="44"/>
        <v>0</v>
      </c>
      <c r="BD22" s="81">
        <f t="shared" si="45"/>
        <v>0</v>
      </c>
      <c r="BE22" s="81">
        <f t="shared" si="46"/>
        <v>0</v>
      </c>
      <c r="BF22" s="81">
        <f t="shared" si="47"/>
        <v>0</v>
      </c>
      <c r="BG22" s="81">
        <f t="shared" si="48"/>
        <v>0</v>
      </c>
      <c r="BH22" s="81">
        <f t="shared" si="49"/>
        <v>0</v>
      </c>
      <c r="BI22" s="81">
        <f t="shared" si="50"/>
        <v>0</v>
      </c>
      <c r="BJ22" s="81">
        <f t="shared" si="51"/>
        <v>0</v>
      </c>
      <c r="BK22" s="81">
        <f t="shared" si="52"/>
        <v>0</v>
      </c>
      <c r="BL22" s="81">
        <f t="shared" si="53"/>
        <v>0</v>
      </c>
      <c r="BM22" s="81">
        <f t="shared" si="54"/>
        <v>0</v>
      </c>
      <c r="BN22" s="81">
        <f t="shared" si="55"/>
        <v>0</v>
      </c>
      <c r="BO22" s="81">
        <f t="shared" si="56"/>
        <v>0</v>
      </c>
      <c r="BP22" s="81">
        <f t="shared" si="57"/>
        <v>0</v>
      </c>
      <c r="BQ22" s="81">
        <f t="shared" si="58"/>
        <v>0</v>
      </c>
      <c r="BR22" s="81">
        <f t="shared" si="59"/>
        <v>0</v>
      </c>
      <c r="BS22" s="81">
        <f t="shared" si="60"/>
        <v>0</v>
      </c>
      <c r="BT22" s="89">
        <f t="shared" si="61"/>
        <v>0</v>
      </c>
    </row>
    <row r="23" spans="1:72">
      <c r="A23" s="79"/>
      <c r="B23" s="1179"/>
      <c r="C23" s="1180"/>
      <c r="D23" s="2301"/>
      <c r="E23" s="81">
        <f t="shared" si="33"/>
        <v>0</v>
      </c>
      <c r="F23" s="82"/>
      <c r="G23" s="83">
        <f t="shared" si="34"/>
        <v>0</v>
      </c>
      <c r="H23" s="84">
        <f t="shared" si="35"/>
        <v>0</v>
      </c>
      <c r="I23" s="1180"/>
      <c r="J23" s="85"/>
      <c r="K23" s="1180"/>
      <c r="L23" s="85"/>
      <c r="M23" s="1158"/>
      <c r="N23" s="85"/>
      <c r="O23" s="85"/>
      <c r="P23" s="85"/>
      <c r="Q23" s="85"/>
      <c r="R23" s="85"/>
      <c r="S23" s="85"/>
      <c r="T23" s="85"/>
      <c r="U23" s="85"/>
      <c r="V23" s="85"/>
      <c r="W23" s="85"/>
      <c r="X23" s="85"/>
      <c r="Y23" s="85"/>
      <c r="Z23" s="85"/>
      <c r="AA23" s="85"/>
      <c r="AB23" s="85"/>
      <c r="AC23" s="81">
        <f t="shared" si="36"/>
        <v>0</v>
      </c>
      <c r="AD23" s="86"/>
      <c r="AE23" s="86"/>
      <c r="AF23" s="1181"/>
      <c r="AG23" s="86"/>
      <c r="AH23" s="86"/>
      <c r="AI23" s="86"/>
      <c r="AJ23" s="86"/>
      <c r="AK23" s="86"/>
      <c r="AL23" s="1158"/>
      <c r="AM23" s="86"/>
      <c r="AN23" s="1158"/>
      <c r="AO23" s="86"/>
      <c r="AP23" s="86"/>
      <c r="AQ23" s="86"/>
      <c r="AR23" s="86"/>
      <c r="AS23" s="86"/>
      <c r="AT23" s="82"/>
      <c r="AU23" s="87"/>
      <c r="AV23" s="818">
        <f t="shared" si="37"/>
        <v>0</v>
      </c>
      <c r="AW23" s="818">
        <f t="shared" si="38"/>
        <v>0</v>
      </c>
      <c r="AX23" s="818">
        <f t="shared" si="39"/>
        <v>0</v>
      </c>
      <c r="AY23" s="88">
        <f t="shared" si="40"/>
        <v>0</v>
      </c>
      <c r="AZ23" s="81">
        <f t="shared" si="41"/>
        <v>0</v>
      </c>
      <c r="BA23" s="81">
        <f t="shared" si="42"/>
        <v>0</v>
      </c>
      <c r="BB23" s="81">
        <f t="shared" si="43"/>
        <v>0</v>
      </c>
      <c r="BC23" s="81">
        <f t="shared" si="44"/>
        <v>0</v>
      </c>
      <c r="BD23" s="81">
        <f t="shared" si="45"/>
        <v>0</v>
      </c>
      <c r="BE23" s="81">
        <f t="shared" si="46"/>
        <v>0</v>
      </c>
      <c r="BF23" s="81">
        <f t="shared" si="47"/>
        <v>0</v>
      </c>
      <c r="BG23" s="81">
        <f t="shared" si="48"/>
        <v>0</v>
      </c>
      <c r="BH23" s="81">
        <f t="shared" si="49"/>
        <v>0</v>
      </c>
      <c r="BI23" s="81">
        <f t="shared" si="50"/>
        <v>0</v>
      </c>
      <c r="BJ23" s="81">
        <f t="shared" si="51"/>
        <v>0</v>
      </c>
      <c r="BK23" s="81">
        <f t="shared" si="52"/>
        <v>0</v>
      </c>
      <c r="BL23" s="81">
        <f t="shared" si="53"/>
        <v>0</v>
      </c>
      <c r="BM23" s="81">
        <f t="shared" si="54"/>
        <v>0</v>
      </c>
      <c r="BN23" s="81">
        <f t="shared" si="55"/>
        <v>0</v>
      </c>
      <c r="BO23" s="81">
        <f t="shared" si="56"/>
        <v>0</v>
      </c>
      <c r="BP23" s="81">
        <f t="shared" si="57"/>
        <v>0</v>
      </c>
      <c r="BQ23" s="81">
        <f t="shared" si="58"/>
        <v>0</v>
      </c>
      <c r="BR23" s="81">
        <f t="shared" si="59"/>
        <v>0</v>
      </c>
      <c r="BS23" s="81">
        <f t="shared" si="60"/>
        <v>0</v>
      </c>
      <c r="BT23" s="89">
        <f t="shared" si="61"/>
        <v>0</v>
      </c>
    </row>
    <row r="24" spans="1:72">
      <c r="A24" s="79"/>
      <c r="B24" s="1179"/>
      <c r="C24" s="1180"/>
      <c r="D24" s="2301"/>
      <c r="E24" s="81">
        <f t="shared" si="33"/>
        <v>0</v>
      </c>
      <c r="F24" s="82"/>
      <c r="G24" s="83">
        <f t="shared" si="34"/>
        <v>0</v>
      </c>
      <c r="H24" s="84">
        <f t="shared" si="35"/>
        <v>0</v>
      </c>
      <c r="I24" s="1180"/>
      <c r="J24" s="85"/>
      <c r="K24" s="1180"/>
      <c r="L24" s="85"/>
      <c r="M24" s="85"/>
      <c r="N24" s="85"/>
      <c r="O24" s="1158"/>
      <c r="P24" s="85"/>
      <c r="Q24" s="85"/>
      <c r="R24" s="85"/>
      <c r="S24" s="85"/>
      <c r="T24" s="85"/>
      <c r="U24" s="85"/>
      <c r="V24" s="85"/>
      <c r="W24" s="85"/>
      <c r="X24" s="85"/>
      <c r="Y24" s="85"/>
      <c r="Z24" s="85"/>
      <c r="AA24" s="85"/>
      <c r="AB24" s="85"/>
      <c r="AC24" s="81">
        <f t="shared" si="36"/>
        <v>0</v>
      </c>
      <c r="AD24" s="86"/>
      <c r="AE24" s="86"/>
      <c r="AF24" s="1181"/>
      <c r="AG24" s="86"/>
      <c r="AH24" s="86"/>
      <c r="AI24" s="86"/>
      <c r="AJ24" s="86"/>
      <c r="AK24" s="86"/>
      <c r="AL24" s="86"/>
      <c r="AM24" s="86"/>
      <c r="AN24" s="1158"/>
      <c r="AO24" s="86"/>
      <c r="AP24" s="86"/>
      <c r="AQ24" s="86"/>
      <c r="AR24" s="86"/>
      <c r="AS24" s="86"/>
      <c r="AT24" s="82"/>
      <c r="AU24" s="87"/>
      <c r="AV24" s="818">
        <f t="shared" si="37"/>
        <v>0</v>
      </c>
      <c r="AW24" s="818">
        <f t="shared" si="38"/>
        <v>0</v>
      </c>
      <c r="AX24" s="818">
        <f t="shared" si="39"/>
        <v>0</v>
      </c>
      <c r="AY24" s="88">
        <f t="shared" si="40"/>
        <v>0</v>
      </c>
      <c r="AZ24" s="81">
        <f t="shared" si="41"/>
        <v>0</v>
      </c>
      <c r="BA24" s="81">
        <f t="shared" si="42"/>
        <v>0</v>
      </c>
      <c r="BB24" s="81">
        <f t="shared" si="43"/>
        <v>0</v>
      </c>
      <c r="BC24" s="81">
        <f t="shared" si="44"/>
        <v>0</v>
      </c>
      <c r="BD24" s="81">
        <f t="shared" si="45"/>
        <v>0</v>
      </c>
      <c r="BE24" s="81">
        <f t="shared" si="46"/>
        <v>0</v>
      </c>
      <c r="BF24" s="81">
        <f t="shared" si="47"/>
        <v>0</v>
      </c>
      <c r="BG24" s="81">
        <f t="shared" si="48"/>
        <v>0</v>
      </c>
      <c r="BH24" s="81">
        <f t="shared" si="49"/>
        <v>0</v>
      </c>
      <c r="BI24" s="81">
        <f t="shared" si="50"/>
        <v>0</v>
      </c>
      <c r="BJ24" s="81">
        <f t="shared" si="51"/>
        <v>0</v>
      </c>
      <c r="BK24" s="81">
        <f t="shared" si="52"/>
        <v>0</v>
      </c>
      <c r="BL24" s="81">
        <f t="shared" si="53"/>
        <v>0</v>
      </c>
      <c r="BM24" s="81">
        <f t="shared" si="54"/>
        <v>0</v>
      </c>
      <c r="BN24" s="81">
        <f t="shared" si="55"/>
        <v>0</v>
      </c>
      <c r="BO24" s="81">
        <f t="shared" si="56"/>
        <v>0</v>
      </c>
      <c r="BP24" s="81">
        <f t="shared" si="57"/>
        <v>0</v>
      </c>
      <c r="BQ24" s="81">
        <f t="shared" si="58"/>
        <v>0</v>
      </c>
      <c r="BR24" s="81">
        <f t="shared" si="59"/>
        <v>0</v>
      </c>
      <c r="BS24" s="81">
        <f t="shared" si="60"/>
        <v>0</v>
      </c>
      <c r="BT24" s="89">
        <f t="shared" si="61"/>
        <v>0</v>
      </c>
    </row>
    <row r="25" spans="1:72">
      <c r="A25" s="79"/>
      <c r="B25" s="1179"/>
      <c r="C25" s="1180"/>
      <c r="D25" s="2301"/>
      <c r="E25" s="81">
        <f t="shared" si="33"/>
        <v>0</v>
      </c>
      <c r="F25" s="82"/>
      <c r="G25" s="83">
        <f t="shared" si="34"/>
        <v>0</v>
      </c>
      <c r="H25" s="84">
        <f t="shared" si="35"/>
        <v>0</v>
      </c>
      <c r="I25" s="1180"/>
      <c r="J25" s="85"/>
      <c r="K25" s="1180"/>
      <c r="L25" s="85"/>
      <c r="M25" s="85"/>
      <c r="N25" s="85"/>
      <c r="O25" s="85"/>
      <c r="P25" s="85"/>
      <c r="Q25" s="85"/>
      <c r="R25" s="85"/>
      <c r="S25" s="85"/>
      <c r="T25" s="85"/>
      <c r="U25" s="85"/>
      <c r="V25" s="85"/>
      <c r="W25" s="85"/>
      <c r="X25" s="85"/>
      <c r="Y25" s="85"/>
      <c r="Z25" s="85"/>
      <c r="AA25" s="85"/>
      <c r="AB25" s="85"/>
      <c r="AC25" s="81">
        <f t="shared" si="36"/>
        <v>0</v>
      </c>
      <c r="AD25" s="86"/>
      <c r="AE25" s="86"/>
      <c r="AF25" s="1181"/>
      <c r="AG25" s="86"/>
      <c r="AH25" s="86"/>
      <c r="AI25" s="86"/>
      <c r="AJ25" s="86"/>
      <c r="AK25" s="86"/>
      <c r="AL25" s="86"/>
      <c r="AM25" s="86"/>
      <c r="AN25" s="86"/>
      <c r="AO25" s="86"/>
      <c r="AP25" s="86"/>
      <c r="AQ25" s="86"/>
      <c r="AR25" s="86"/>
      <c r="AS25" s="86"/>
      <c r="AT25" s="82"/>
      <c r="AU25" s="87"/>
      <c r="AV25" s="818">
        <f t="shared" si="37"/>
        <v>0</v>
      </c>
      <c r="AW25" s="818">
        <f t="shared" si="38"/>
        <v>0</v>
      </c>
      <c r="AX25" s="818">
        <f t="shared" si="39"/>
        <v>0</v>
      </c>
      <c r="AY25" s="88">
        <f t="shared" si="40"/>
        <v>0</v>
      </c>
      <c r="AZ25" s="81">
        <f t="shared" si="41"/>
        <v>0</v>
      </c>
      <c r="BA25" s="81">
        <f t="shared" si="42"/>
        <v>0</v>
      </c>
      <c r="BB25" s="81">
        <f t="shared" si="43"/>
        <v>0</v>
      </c>
      <c r="BC25" s="81">
        <f t="shared" si="44"/>
        <v>0</v>
      </c>
      <c r="BD25" s="81">
        <f t="shared" si="45"/>
        <v>0</v>
      </c>
      <c r="BE25" s="81">
        <f t="shared" si="46"/>
        <v>0</v>
      </c>
      <c r="BF25" s="81">
        <f t="shared" si="47"/>
        <v>0</v>
      </c>
      <c r="BG25" s="81">
        <f t="shared" si="48"/>
        <v>0</v>
      </c>
      <c r="BH25" s="81">
        <f t="shared" si="49"/>
        <v>0</v>
      </c>
      <c r="BI25" s="81">
        <f t="shared" si="50"/>
        <v>0</v>
      </c>
      <c r="BJ25" s="81">
        <f t="shared" si="51"/>
        <v>0</v>
      </c>
      <c r="BK25" s="81">
        <f t="shared" si="52"/>
        <v>0</v>
      </c>
      <c r="BL25" s="81">
        <f t="shared" si="53"/>
        <v>0</v>
      </c>
      <c r="BM25" s="81">
        <f t="shared" si="54"/>
        <v>0</v>
      </c>
      <c r="BN25" s="81">
        <f t="shared" si="55"/>
        <v>0</v>
      </c>
      <c r="BO25" s="81">
        <f t="shared" si="56"/>
        <v>0</v>
      </c>
      <c r="BP25" s="81">
        <f t="shared" si="57"/>
        <v>0</v>
      </c>
      <c r="BQ25" s="81">
        <f t="shared" si="58"/>
        <v>0</v>
      </c>
      <c r="BR25" s="81">
        <f t="shared" si="59"/>
        <v>0</v>
      </c>
      <c r="BS25" s="81">
        <f t="shared" si="60"/>
        <v>0</v>
      </c>
      <c r="BT25" s="89">
        <f t="shared" si="61"/>
        <v>0</v>
      </c>
    </row>
    <row r="26" spans="1:72">
      <c r="A26" s="79"/>
      <c r="B26" s="1179"/>
      <c r="C26" s="1180"/>
      <c r="D26" s="2301"/>
      <c r="E26" s="81">
        <f t="shared" si="33"/>
        <v>0</v>
      </c>
      <c r="F26" s="82"/>
      <c r="G26" s="83">
        <f t="shared" si="34"/>
        <v>0</v>
      </c>
      <c r="H26" s="84">
        <f t="shared" si="35"/>
        <v>0</v>
      </c>
      <c r="I26" s="1180"/>
      <c r="J26" s="85"/>
      <c r="K26" s="1180"/>
      <c r="L26" s="85"/>
      <c r="M26" s="85"/>
      <c r="N26" s="85"/>
      <c r="O26" s="85"/>
      <c r="P26" s="85"/>
      <c r="Q26" s="85"/>
      <c r="R26" s="85"/>
      <c r="S26" s="85"/>
      <c r="T26" s="85"/>
      <c r="U26" s="85"/>
      <c r="V26" s="85"/>
      <c r="W26" s="85"/>
      <c r="X26" s="85"/>
      <c r="Y26" s="85"/>
      <c r="Z26" s="85"/>
      <c r="AA26" s="85"/>
      <c r="AB26" s="85"/>
      <c r="AC26" s="81">
        <f t="shared" si="36"/>
        <v>0</v>
      </c>
      <c r="AD26" s="86"/>
      <c r="AE26" s="86"/>
      <c r="AF26" s="1181"/>
      <c r="AG26" s="86"/>
      <c r="AH26" s="86"/>
      <c r="AI26" s="86"/>
      <c r="AJ26" s="86"/>
      <c r="AK26" s="86"/>
      <c r="AL26" s="86"/>
      <c r="AM26" s="86"/>
      <c r="AN26" s="86"/>
      <c r="AO26" s="86"/>
      <c r="AP26" s="86"/>
      <c r="AQ26" s="86"/>
      <c r="AR26" s="86"/>
      <c r="AS26" s="86"/>
      <c r="AT26" s="82"/>
      <c r="AU26" s="87"/>
      <c r="AV26" s="818">
        <f t="shared" si="37"/>
        <v>0</v>
      </c>
      <c r="AW26" s="818">
        <f t="shared" si="38"/>
        <v>0</v>
      </c>
      <c r="AX26" s="818">
        <f t="shared" si="39"/>
        <v>0</v>
      </c>
      <c r="AY26" s="88">
        <f t="shared" si="40"/>
        <v>0</v>
      </c>
      <c r="AZ26" s="81">
        <f t="shared" si="41"/>
        <v>0</v>
      </c>
      <c r="BA26" s="81">
        <f t="shared" si="42"/>
        <v>0</v>
      </c>
      <c r="BB26" s="81">
        <f t="shared" si="43"/>
        <v>0</v>
      </c>
      <c r="BC26" s="81">
        <f t="shared" si="44"/>
        <v>0</v>
      </c>
      <c r="BD26" s="81">
        <f t="shared" si="45"/>
        <v>0</v>
      </c>
      <c r="BE26" s="81">
        <f t="shared" si="46"/>
        <v>0</v>
      </c>
      <c r="BF26" s="81">
        <f t="shared" si="47"/>
        <v>0</v>
      </c>
      <c r="BG26" s="81">
        <f t="shared" si="48"/>
        <v>0</v>
      </c>
      <c r="BH26" s="81">
        <f t="shared" si="49"/>
        <v>0</v>
      </c>
      <c r="BI26" s="81">
        <f t="shared" si="50"/>
        <v>0</v>
      </c>
      <c r="BJ26" s="81">
        <f t="shared" si="51"/>
        <v>0</v>
      </c>
      <c r="BK26" s="81">
        <f t="shared" si="52"/>
        <v>0</v>
      </c>
      <c r="BL26" s="81">
        <f t="shared" si="53"/>
        <v>0</v>
      </c>
      <c r="BM26" s="81">
        <f t="shared" si="54"/>
        <v>0</v>
      </c>
      <c r="BN26" s="81">
        <f t="shared" si="55"/>
        <v>0</v>
      </c>
      <c r="BO26" s="81">
        <f t="shared" si="56"/>
        <v>0</v>
      </c>
      <c r="BP26" s="81">
        <f t="shared" si="57"/>
        <v>0</v>
      </c>
      <c r="BQ26" s="81">
        <f t="shared" si="58"/>
        <v>0</v>
      </c>
      <c r="BR26" s="81">
        <f t="shared" si="59"/>
        <v>0</v>
      </c>
      <c r="BS26" s="81">
        <f t="shared" si="60"/>
        <v>0</v>
      </c>
      <c r="BT26" s="89">
        <f t="shared" si="61"/>
        <v>0</v>
      </c>
    </row>
    <row r="27" spans="1:72">
      <c r="A27" s="79"/>
      <c r="B27" s="1179"/>
      <c r="C27" s="1180"/>
      <c r="D27" s="2301"/>
      <c r="E27" s="81">
        <f t="shared" si="33"/>
        <v>0</v>
      </c>
      <c r="F27" s="82"/>
      <c r="G27" s="83">
        <f t="shared" si="34"/>
        <v>0</v>
      </c>
      <c r="H27" s="84">
        <f t="shared" si="35"/>
        <v>0</v>
      </c>
      <c r="I27" s="1180"/>
      <c r="J27" s="85"/>
      <c r="K27" s="1180"/>
      <c r="L27" s="85"/>
      <c r="M27" s="85"/>
      <c r="N27" s="85"/>
      <c r="O27" s="85"/>
      <c r="P27" s="85"/>
      <c r="Q27" s="85"/>
      <c r="R27" s="85"/>
      <c r="S27" s="85"/>
      <c r="T27" s="85"/>
      <c r="U27" s="85"/>
      <c r="V27" s="85"/>
      <c r="W27" s="85"/>
      <c r="X27" s="85"/>
      <c r="Y27" s="85"/>
      <c r="Z27" s="85"/>
      <c r="AA27" s="85"/>
      <c r="AB27" s="85"/>
      <c r="AC27" s="81">
        <f t="shared" si="36"/>
        <v>0</v>
      </c>
      <c r="AD27" s="86"/>
      <c r="AE27" s="86"/>
      <c r="AF27" s="1181"/>
      <c r="AG27" s="86"/>
      <c r="AH27" s="86"/>
      <c r="AI27" s="86"/>
      <c r="AJ27" s="86"/>
      <c r="AK27" s="86"/>
      <c r="AL27" s="86"/>
      <c r="AM27" s="86"/>
      <c r="AN27" s="86"/>
      <c r="AO27" s="86"/>
      <c r="AP27" s="86"/>
      <c r="AQ27" s="86"/>
      <c r="AR27" s="86"/>
      <c r="AS27" s="86"/>
      <c r="AT27" s="82"/>
      <c r="AU27" s="87"/>
      <c r="AV27" s="818">
        <f t="shared" si="37"/>
        <v>0</v>
      </c>
      <c r="AW27" s="818">
        <f t="shared" si="38"/>
        <v>0</v>
      </c>
      <c r="AX27" s="818">
        <f t="shared" si="39"/>
        <v>0</v>
      </c>
      <c r="AY27" s="88">
        <f t="shared" si="40"/>
        <v>0</v>
      </c>
      <c r="AZ27" s="81">
        <f t="shared" si="41"/>
        <v>0</v>
      </c>
      <c r="BA27" s="81">
        <f t="shared" si="42"/>
        <v>0</v>
      </c>
      <c r="BB27" s="81">
        <f t="shared" si="43"/>
        <v>0</v>
      </c>
      <c r="BC27" s="81">
        <f t="shared" si="44"/>
        <v>0</v>
      </c>
      <c r="BD27" s="81">
        <f t="shared" si="45"/>
        <v>0</v>
      </c>
      <c r="BE27" s="81">
        <f t="shared" si="46"/>
        <v>0</v>
      </c>
      <c r="BF27" s="81">
        <f t="shared" si="47"/>
        <v>0</v>
      </c>
      <c r="BG27" s="81">
        <f t="shared" si="48"/>
        <v>0</v>
      </c>
      <c r="BH27" s="81">
        <f t="shared" si="49"/>
        <v>0</v>
      </c>
      <c r="BI27" s="81">
        <f t="shared" si="50"/>
        <v>0</v>
      </c>
      <c r="BJ27" s="81">
        <f t="shared" si="51"/>
        <v>0</v>
      </c>
      <c r="BK27" s="81">
        <f t="shared" si="52"/>
        <v>0</v>
      </c>
      <c r="BL27" s="81">
        <f t="shared" si="53"/>
        <v>0</v>
      </c>
      <c r="BM27" s="81">
        <f t="shared" si="54"/>
        <v>0</v>
      </c>
      <c r="BN27" s="81">
        <f t="shared" si="55"/>
        <v>0</v>
      </c>
      <c r="BO27" s="81">
        <f t="shared" si="56"/>
        <v>0</v>
      </c>
      <c r="BP27" s="81">
        <f t="shared" si="57"/>
        <v>0</v>
      </c>
      <c r="BQ27" s="81">
        <f t="shared" si="58"/>
        <v>0</v>
      </c>
      <c r="BR27" s="81">
        <f t="shared" si="59"/>
        <v>0</v>
      </c>
      <c r="BS27" s="81">
        <f t="shared" si="60"/>
        <v>0</v>
      </c>
      <c r="BT27" s="89">
        <f t="shared" si="61"/>
        <v>0</v>
      </c>
    </row>
    <row r="28" spans="1:72">
      <c r="A28" s="79"/>
      <c r="B28" s="1179"/>
      <c r="C28" s="1180"/>
      <c r="D28" s="2301"/>
      <c r="E28" s="81">
        <f t="shared" si="33"/>
        <v>0</v>
      </c>
      <c r="F28" s="82"/>
      <c r="G28" s="83">
        <f t="shared" si="34"/>
        <v>0</v>
      </c>
      <c r="H28" s="84">
        <f t="shared" si="35"/>
        <v>0</v>
      </c>
      <c r="I28" s="1180"/>
      <c r="J28" s="85"/>
      <c r="K28" s="1180"/>
      <c r="L28" s="85"/>
      <c r="M28" s="85"/>
      <c r="N28" s="85"/>
      <c r="O28" s="85"/>
      <c r="P28" s="85"/>
      <c r="Q28" s="85"/>
      <c r="R28" s="85"/>
      <c r="S28" s="85"/>
      <c r="T28" s="85"/>
      <c r="U28" s="85"/>
      <c r="V28" s="85"/>
      <c r="W28" s="85"/>
      <c r="X28" s="85"/>
      <c r="Y28" s="85"/>
      <c r="Z28" s="85"/>
      <c r="AA28" s="85"/>
      <c r="AB28" s="85"/>
      <c r="AC28" s="81">
        <f t="shared" si="36"/>
        <v>0</v>
      </c>
      <c r="AD28" s="86"/>
      <c r="AE28" s="86"/>
      <c r="AF28" s="1180"/>
      <c r="AG28" s="86"/>
      <c r="AH28" s="86"/>
      <c r="AI28" s="86"/>
      <c r="AJ28" s="86"/>
      <c r="AK28" s="86"/>
      <c r="AL28" s="86"/>
      <c r="AM28" s="86"/>
      <c r="AN28" s="86"/>
      <c r="AO28" s="86"/>
      <c r="AP28" s="86"/>
      <c r="AQ28" s="86"/>
      <c r="AR28" s="86"/>
      <c r="AS28" s="86"/>
      <c r="AT28" s="82"/>
      <c r="AU28" s="87"/>
      <c r="AV28" s="818">
        <f t="shared" si="37"/>
        <v>0</v>
      </c>
      <c r="AW28" s="818">
        <f t="shared" si="38"/>
        <v>0</v>
      </c>
      <c r="AX28" s="818">
        <f t="shared" si="39"/>
        <v>0</v>
      </c>
      <c r="AY28" s="88">
        <f t="shared" si="40"/>
        <v>0</v>
      </c>
      <c r="AZ28" s="81">
        <f t="shared" si="41"/>
        <v>0</v>
      </c>
      <c r="BA28" s="81">
        <f t="shared" si="42"/>
        <v>0</v>
      </c>
      <c r="BB28" s="81">
        <f t="shared" si="43"/>
        <v>0</v>
      </c>
      <c r="BC28" s="81">
        <f t="shared" si="44"/>
        <v>0</v>
      </c>
      <c r="BD28" s="81">
        <f t="shared" si="45"/>
        <v>0</v>
      </c>
      <c r="BE28" s="81">
        <f t="shared" si="46"/>
        <v>0</v>
      </c>
      <c r="BF28" s="81">
        <f t="shared" si="47"/>
        <v>0</v>
      </c>
      <c r="BG28" s="81">
        <f t="shared" si="48"/>
        <v>0</v>
      </c>
      <c r="BH28" s="81">
        <f t="shared" si="49"/>
        <v>0</v>
      </c>
      <c r="BI28" s="81">
        <f t="shared" si="50"/>
        <v>0</v>
      </c>
      <c r="BJ28" s="81">
        <f t="shared" si="51"/>
        <v>0</v>
      </c>
      <c r="BK28" s="81">
        <f t="shared" si="52"/>
        <v>0</v>
      </c>
      <c r="BL28" s="81">
        <f t="shared" si="53"/>
        <v>0</v>
      </c>
      <c r="BM28" s="81">
        <f t="shared" si="54"/>
        <v>0</v>
      </c>
      <c r="BN28" s="81">
        <f t="shared" si="55"/>
        <v>0</v>
      </c>
      <c r="BO28" s="81">
        <f t="shared" si="56"/>
        <v>0</v>
      </c>
      <c r="BP28" s="81">
        <f t="shared" si="57"/>
        <v>0</v>
      </c>
      <c r="BQ28" s="81">
        <f t="shared" si="58"/>
        <v>0</v>
      </c>
      <c r="BR28" s="81">
        <f t="shared" si="59"/>
        <v>0</v>
      </c>
      <c r="BS28" s="81">
        <f t="shared" si="60"/>
        <v>0</v>
      </c>
      <c r="BT28" s="89">
        <f t="shared" si="61"/>
        <v>0</v>
      </c>
    </row>
    <row r="29" spans="1:72">
      <c r="A29" s="79"/>
      <c r="B29" s="1179"/>
      <c r="C29" s="1180"/>
      <c r="D29" s="2301"/>
      <c r="E29" s="81">
        <f t="shared" si="33"/>
        <v>0</v>
      </c>
      <c r="F29" s="82"/>
      <c r="G29" s="83">
        <f t="shared" si="34"/>
        <v>0</v>
      </c>
      <c r="H29" s="84">
        <f t="shared" si="35"/>
        <v>0</v>
      </c>
      <c r="I29" s="1180"/>
      <c r="J29" s="85"/>
      <c r="K29" s="1180"/>
      <c r="L29" s="85"/>
      <c r="M29" s="85"/>
      <c r="N29" s="85"/>
      <c r="O29" s="85"/>
      <c r="P29" s="85"/>
      <c r="Q29" s="85"/>
      <c r="R29" s="85"/>
      <c r="S29" s="85"/>
      <c r="T29" s="85"/>
      <c r="U29" s="85"/>
      <c r="V29" s="85"/>
      <c r="W29" s="85"/>
      <c r="X29" s="85"/>
      <c r="Y29" s="85"/>
      <c r="Z29" s="85"/>
      <c r="AA29" s="85"/>
      <c r="AB29" s="85"/>
      <c r="AC29" s="81">
        <f t="shared" si="36"/>
        <v>0</v>
      </c>
      <c r="AD29" s="86"/>
      <c r="AE29" s="86"/>
      <c r="AF29" s="1180"/>
      <c r="AG29" s="86"/>
      <c r="AH29" s="86"/>
      <c r="AI29" s="86"/>
      <c r="AJ29" s="86"/>
      <c r="AK29" s="86"/>
      <c r="AL29" s="86"/>
      <c r="AM29" s="86"/>
      <c r="AN29" s="86"/>
      <c r="AO29" s="86"/>
      <c r="AP29" s="86"/>
      <c r="AQ29" s="86"/>
      <c r="AR29" s="86"/>
      <c r="AS29" s="86"/>
      <c r="AT29" s="82"/>
      <c r="AU29" s="87"/>
      <c r="AV29" s="818">
        <f t="shared" si="37"/>
        <v>0</v>
      </c>
      <c r="AW29" s="818">
        <f t="shared" si="38"/>
        <v>0</v>
      </c>
      <c r="AX29" s="818">
        <f t="shared" si="39"/>
        <v>0</v>
      </c>
      <c r="AY29" s="88">
        <f t="shared" si="40"/>
        <v>0</v>
      </c>
      <c r="AZ29" s="81">
        <f t="shared" si="41"/>
        <v>0</v>
      </c>
      <c r="BA29" s="81">
        <f t="shared" si="42"/>
        <v>0</v>
      </c>
      <c r="BB29" s="81">
        <f t="shared" si="43"/>
        <v>0</v>
      </c>
      <c r="BC29" s="81">
        <f t="shared" si="44"/>
        <v>0</v>
      </c>
      <c r="BD29" s="81">
        <f t="shared" si="45"/>
        <v>0</v>
      </c>
      <c r="BE29" s="81">
        <f t="shared" si="46"/>
        <v>0</v>
      </c>
      <c r="BF29" s="81">
        <f t="shared" si="47"/>
        <v>0</v>
      </c>
      <c r="BG29" s="81">
        <f t="shared" si="48"/>
        <v>0</v>
      </c>
      <c r="BH29" s="81">
        <f t="shared" si="49"/>
        <v>0</v>
      </c>
      <c r="BI29" s="81">
        <f t="shared" si="50"/>
        <v>0</v>
      </c>
      <c r="BJ29" s="81">
        <f t="shared" si="51"/>
        <v>0</v>
      </c>
      <c r="BK29" s="81">
        <f t="shared" si="52"/>
        <v>0</v>
      </c>
      <c r="BL29" s="81">
        <f t="shared" si="53"/>
        <v>0</v>
      </c>
      <c r="BM29" s="81">
        <f t="shared" si="54"/>
        <v>0</v>
      </c>
      <c r="BN29" s="81">
        <f t="shared" si="55"/>
        <v>0</v>
      </c>
      <c r="BO29" s="81">
        <f t="shared" si="56"/>
        <v>0</v>
      </c>
      <c r="BP29" s="81">
        <f t="shared" si="57"/>
        <v>0</v>
      </c>
      <c r="BQ29" s="81">
        <f t="shared" si="58"/>
        <v>0</v>
      </c>
      <c r="BR29" s="81">
        <f t="shared" si="59"/>
        <v>0</v>
      </c>
      <c r="BS29" s="81">
        <f t="shared" si="60"/>
        <v>0</v>
      </c>
      <c r="BT29" s="89">
        <f t="shared" si="61"/>
        <v>0</v>
      </c>
    </row>
    <row r="30" spans="1:72">
      <c r="A30" s="79"/>
      <c r="B30" s="1179"/>
      <c r="C30" s="1180"/>
      <c r="D30" s="2301"/>
      <c r="E30" s="81">
        <f t="shared" si="33"/>
        <v>0</v>
      </c>
      <c r="F30" s="82"/>
      <c r="G30" s="83">
        <f t="shared" si="34"/>
        <v>0</v>
      </c>
      <c r="H30" s="84">
        <f t="shared" si="35"/>
        <v>0</v>
      </c>
      <c r="I30" s="1180"/>
      <c r="J30" s="85"/>
      <c r="K30" s="1180"/>
      <c r="L30" s="85"/>
      <c r="M30" s="85"/>
      <c r="N30" s="85"/>
      <c r="O30" s="85"/>
      <c r="P30" s="85"/>
      <c r="Q30" s="85"/>
      <c r="R30" s="85"/>
      <c r="S30" s="85"/>
      <c r="T30" s="85"/>
      <c r="U30" s="85"/>
      <c r="V30" s="85"/>
      <c r="W30" s="85"/>
      <c r="X30" s="85"/>
      <c r="Y30" s="85"/>
      <c r="Z30" s="85"/>
      <c r="AA30" s="85"/>
      <c r="AB30" s="85"/>
      <c r="AC30" s="81">
        <f t="shared" si="36"/>
        <v>0</v>
      </c>
      <c r="AD30" s="86"/>
      <c r="AE30" s="86"/>
      <c r="AF30" s="1180"/>
      <c r="AG30" s="86"/>
      <c r="AH30" s="86"/>
      <c r="AI30" s="86"/>
      <c r="AJ30" s="86"/>
      <c r="AK30" s="86"/>
      <c r="AL30" s="86"/>
      <c r="AM30" s="86"/>
      <c r="AN30" s="86"/>
      <c r="AO30" s="86"/>
      <c r="AP30" s="86"/>
      <c r="AQ30" s="86"/>
      <c r="AR30" s="86"/>
      <c r="AS30" s="86"/>
      <c r="AT30" s="82"/>
      <c r="AU30" s="87"/>
      <c r="AV30" s="818">
        <f t="shared" si="37"/>
        <v>0</v>
      </c>
      <c r="AW30" s="818">
        <f t="shared" si="38"/>
        <v>0</v>
      </c>
      <c r="AX30" s="818">
        <f t="shared" si="39"/>
        <v>0</v>
      </c>
      <c r="AY30" s="88">
        <f t="shared" si="40"/>
        <v>0</v>
      </c>
      <c r="AZ30" s="81">
        <f t="shared" si="41"/>
        <v>0</v>
      </c>
      <c r="BA30" s="81">
        <f t="shared" si="42"/>
        <v>0</v>
      </c>
      <c r="BB30" s="81">
        <f t="shared" si="43"/>
        <v>0</v>
      </c>
      <c r="BC30" s="81">
        <f t="shared" si="44"/>
        <v>0</v>
      </c>
      <c r="BD30" s="81">
        <f t="shared" si="45"/>
        <v>0</v>
      </c>
      <c r="BE30" s="81">
        <f t="shared" si="46"/>
        <v>0</v>
      </c>
      <c r="BF30" s="81">
        <f t="shared" si="47"/>
        <v>0</v>
      </c>
      <c r="BG30" s="81">
        <f t="shared" si="48"/>
        <v>0</v>
      </c>
      <c r="BH30" s="81">
        <f t="shared" si="49"/>
        <v>0</v>
      </c>
      <c r="BI30" s="81">
        <f t="shared" si="50"/>
        <v>0</v>
      </c>
      <c r="BJ30" s="81">
        <f t="shared" si="51"/>
        <v>0</v>
      </c>
      <c r="BK30" s="81">
        <f t="shared" si="52"/>
        <v>0</v>
      </c>
      <c r="BL30" s="81">
        <f t="shared" si="53"/>
        <v>0</v>
      </c>
      <c r="BM30" s="81">
        <f t="shared" si="54"/>
        <v>0</v>
      </c>
      <c r="BN30" s="81">
        <f t="shared" si="55"/>
        <v>0</v>
      </c>
      <c r="BO30" s="81">
        <f t="shared" si="56"/>
        <v>0</v>
      </c>
      <c r="BP30" s="81">
        <f t="shared" si="57"/>
        <v>0</v>
      </c>
      <c r="BQ30" s="81">
        <f t="shared" si="58"/>
        <v>0</v>
      </c>
      <c r="BR30" s="81">
        <f t="shared" si="59"/>
        <v>0</v>
      </c>
      <c r="BS30" s="81">
        <f t="shared" si="60"/>
        <v>0</v>
      </c>
      <c r="BT30" s="89">
        <f t="shared" si="61"/>
        <v>0</v>
      </c>
    </row>
    <row r="31" spans="1:72">
      <c r="A31" s="79"/>
      <c r="B31" s="1179"/>
      <c r="C31" s="1180"/>
      <c r="D31" s="2301"/>
      <c r="E31" s="81">
        <f t="shared" si="33"/>
        <v>0</v>
      </c>
      <c r="F31" s="82"/>
      <c r="G31" s="83">
        <f t="shared" si="34"/>
        <v>0</v>
      </c>
      <c r="H31" s="84">
        <f t="shared" si="35"/>
        <v>0</v>
      </c>
      <c r="I31" s="1180"/>
      <c r="J31" s="85"/>
      <c r="K31" s="1180"/>
      <c r="L31" s="85"/>
      <c r="M31" s="85"/>
      <c r="N31" s="85"/>
      <c r="O31" s="85"/>
      <c r="P31" s="85"/>
      <c r="Q31" s="85"/>
      <c r="R31" s="85"/>
      <c r="S31" s="85"/>
      <c r="T31" s="85"/>
      <c r="U31" s="85"/>
      <c r="V31" s="85"/>
      <c r="W31" s="85"/>
      <c r="X31" s="85"/>
      <c r="Y31" s="85"/>
      <c r="Z31" s="85"/>
      <c r="AA31" s="85"/>
      <c r="AB31" s="85"/>
      <c r="AC31" s="81">
        <f t="shared" si="36"/>
        <v>0</v>
      </c>
      <c r="AD31" s="86"/>
      <c r="AE31" s="86"/>
      <c r="AF31" s="1180"/>
      <c r="AG31" s="86"/>
      <c r="AH31" s="86"/>
      <c r="AI31" s="86"/>
      <c r="AJ31" s="86"/>
      <c r="AK31" s="86"/>
      <c r="AL31" s="86"/>
      <c r="AM31" s="86"/>
      <c r="AN31" s="86"/>
      <c r="AO31" s="86"/>
      <c r="AP31" s="86"/>
      <c r="AQ31" s="86"/>
      <c r="AR31" s="86"/>
      <c r="AS31" s="86"/>
      <c r="AT31" s="82"/>
      <c r="AU31" s="87"/>
      <c r="AV31" s="818">
        <f t="shared" si="37"/>
        <v>0</v>
      </c>
      <c r="AW31" s="818">
        <f t="shared" si="38"/>
        <v>0</v>
      </c>
      <c r="AX31" s="818">
        <f t="shared" si="39"/>
        <v>0</v>
      </c>
      <c r="AY31" s="88">
        <f t="shared" si="40"/>
        <v>0</v>
      </c>
      <c r="AZ31" s="81">
        <f t="shared" si="41"/>
        <v>0</v>
      </c>
      <c r="BA31" s="81">
        <f t="shared" si="42"/>
        <v>0</v>
      </c>
      <c r="BB31" s="81">
        <f t="shared" si="43"/>
        <v>0</v>
      </c>
      <c r="BC31" s="81">
        <f t="shared" si="44"/>
        <v>0</v>
      </c>
      <c r="BD31" s="81">
        <f t="shared" si="45"/>
        <v>0</v>
      </c>
      <c r="BE31" s="81">
        <f t="shared" si="46"/>
        <v>0</v>
      </c>
      <c r="BF31" s="81">
        <f t="shared" si="47"/>
        <v>0</v>
      </c>
      <c r="BG31" s="81">
        <f t="shared" si="48"/>
        <v>0</v>
      </c>
      <c r="BH31" s="81">
        <f t="shared" si="49"/>
        <v>0</v>
      </c>
      <c r="BI31" s="81">
        <f t="shared" si="50"/>
        <v>0</v>
      </c>
      <c r="BJ31" s="81">
        <f t="shared" si="51"/>
        <v>0</v>
      </c>
      <c r="BK31" s="81">
        <f t="shared" si="52"/>
        <v>0</v>
      </c>
      <c r="BL31" s="81">
        <f t="shared" si="53"/>
        <v>0</v>
      </c>
      <c r="BM31" s="81">
        <f t="shared" si="54"/>
        <v>0</v>
      </c>
      <c r="BN31" s="81">
        <f t="shared" si="55"/>
        <v>0</v>
      </c>
      <c r="BO31" s="81">
        <f t="shared" si="56"/>
        <v>0</v>
      </c>
      <c r="BP31" s="81">
        <f t="shared" si="57"/>
        <v>0</v>
      </c>
      <c r="BQ31" s="81">
        <f t="shared" si="58"/>
        <v>0</v>
      </c>
      <c r="BR31" s="81">
        <f t="shared" si="59"/>
        <v>0</v>
      </c>
      <c r="BS31" s="81">
        <f t="shared" si="60"/>
        <v>0</v>
      </c>
      <c r="BT31" s="89">
        <f t="shared" si="61"/>
        <v>0</v>
      </c>
    </row>
    <row r="32" spans="1:72">
      <c r="A32" s="79"/>
      <c r="B32" s="1179"/>
      <c r="C32" s="1180"/>
      <c r="D32" s="2301"/>
      <c r="E32" s="81">
        <f t="shared" si="33"/>
        <v>0</v>
      </c>
      <c r="F32" s="82"/>
      <c r="G32" s="83">
        <f t="shared" si="34"/>
        <v>0</v>
      </c>
      <c r="H32" s="84">
        <f t="shared" si="35"/>
        <v>0</v>
      </c>
      <c r="I32" s="1180"/>
      <c r="J32" s="85"/>
      <c r="K32" s="1180"/>
      <c r="L32" s="85"/>
      <c r="M32" s="85"/>
      <c r="N32" s="85"/>
      <c r="O32" s="85"/>
      <c r="P32" s="85"/>
      <c r="Q32" s="85"/>
      <c r="R32" s="85"/>
      <c r="S32" s="85"/>
      <c r="T32" s="85"/>
      <c r="U32" s="85"/>
      <c r="V32" s="85"/>
      <c r="W32" s="85"/>
      <c r="X32" s="85"/>
      <c r="Y32" s="85"/>
      <c r="Z32" s="85"/>
      <c r="AA32" s="85"/>
      <c r="AB32" s="85"/>
      <c r="AC32" s="81">
        <f t="shared" si="36"/>
        <v>0</v>
      </c>
      <c r="AD32" s="86"/>
      <c r="AE32" s="86"/>
      <c r="AF32" s="1180"/>
      <c r="AG32" s="86"/>
      <c r="AH32" s="86"/>
      <c r="AI32" s="86"/>
      <c r="AJ32" s="86"/>
      <c r="AK32" s="86"/>
      <c r="AL32" s="86"/>
      <c r="AM32" s="86"/>
      <c r="AN32" s="86"/>
      <c r="AO32" s="86"/>
      <c r="AP32" s="86"/>
      <c r="AQ32" s="86"/>
      <c r="AR32" s="86"/>
      <c r="AS32" s="86"/>
      <c r="AT32" s="82"/>
      <c r="AU32" s="87"/>
      <c r="AV32" s="818">
        <f t="shared" si="37"/>
        <v>0</v>
      </c>
      <c r="AW32" s="818">
        <f t="shared" si="38"/>
        <v>0</v>
      </c>
      <c r="AX32" s="818">
        <f t="shared" si="39"/>
        <v>0</v>
      </c>
      <c r="AY32" s="88">
        <f t="shared" si="40"/>
        <v>0</v>
      </c>
      <c r="AZ32" s="81">
        <f t="shared" si="41"/>
        <v>0</v>
      </c>
      <c r="BA32" s="81">
        <f t="shared" si="42"/>
        <v>0</v>
      </c>
      <c r="BB32" s="81">
        <f t="shared" si="43"/>
        <v>0</v>
      </c>
      <c r="BC32" s="81">
        <f t="shared" si="44"/>
        <v>0</v>
      </c>
      <c r="BD32" s="81">
        <f t="shared" si="45"/>
        <v>0</v>
      </c>
      <c r="BE32" s="81">
        <f t="shared" si="46"/>
        <v>0</v>
      </c>
      <c r="BF32" s="81">
        <f t="shared" si="47"/>
        <v>0</v>
      </c>
      <c r="BG32" s="81">
        <f t="shared" si="48"/>
        <v>0</v>
      </c>
      <c r="BH32" s="81">
        <f t="shared" si="49"/>
        <v>0</v>
      </c>
      <c r="BI32" s="81">
        <f t="shared" si="50"/>
        <v>0</v>
      </c>
      <c r="BJ32" s="81">
        <f t="shared" si="51"/>
        <v>0</v>
      </c>
      <c r="BK32" s="81">
        <f t="shared" si="52"/>
        <v>0</v>
      </c>
      <c r="BL32" s="81">
        <f t="shared" si="53"/>
        <v>0</v>
      </c>
      <c r="BM32" s="81">
        <f t="shared" si="54"/>
        <v>0</v>
      </c>
      <c r="BN32" s="81">
        <f t="shared" si="55"/>
        <v>0</v>
      </c>
      <c r="BO32" s="81">
        <f t="shared" si="56"/>
        <v>0</v>
      </c>
      <c r="BP32" s="81">
        <f t="shared" si="57"/>
        <v>0</v>
      </c>
      <c r="BQ32" s="81">
        <f t="shared" si="58"/>
        <v>0</v>
      </c>
      <c r="BR32" s="81">
        <f t="shared" si="59"/>
        <v>0</v>
      </c>
      <c r="BS32" s="81">
        <f t="shared" si="60"/>
        <v>0</v>
      </c>
      <c r="BT32" s="89">
        <f t="shared" si="61"/>
        <v>0</v>
      </c>
    </row>
    <row r="33" spans="1:72">
      <c r="A33" s="79"/>
      <c r="B33" s="1179"/>
      <c r="C33" s="1180"/>
      <c r="D33" s="2301"/>
      <c r="E33" s="81">
        <f t="shared" si="33"/>
        <v>0</v>
      </c>
      <c r="F33" s="82"/>
      <c r="G33" s="83">
        <f t="shared" si="34"/>
        <v>0</v>
      </c>
      <c r="H33" s="84">
        <f t="shared" si="35"/>
        <v>0</v>
      </c>
      <c r="I33" s="1180"/>
      <c r="J33" s="85"/>
      <c r="K33" s="1180"/>
      <c r="L33" s="85"/>
      <c r="M33" s="85"/>
      <c r="N33" s="85"/>
      <c r="O33" s="85"/>
      <c r="P33" s="85"/>
      <c r="Q33" s="85"/>
      <c r="R33" s="85"/>
      <c r="S33" s="85"/>
      <c r="T33" s="85"/>
      <c r="U33" s="85"/>
      <c r="V33" s="85"/>
      <c r="W33" s="85"/>
      <c r="X33" s="85"/>
      <c r="Y33" s="85"/>
      <c r="Z33" s="85"/>
      <c r="AA33" s="85"/>
      <c r="AB33" s="85"/>
      <c r="AC33" s="81">
        <f t="shared" si="36"/>
        <v>0</v>
      </c>
      <c r="AD33" s="86"/>
      <c r="AE33" s="86"/>
      <c r="AF33" s="1180"/>
      <c r="AG33" s="86"/>
      <c r="AH33" s="86"/>
      <c r="AI33" s="86"/>
      <c r="AJ33" s="86"/>
      <c r="AK33" s="86"/>
      <c r="AL33" s="86"/>
      <c r="AM33" s="86"/>
      <c r="AN33" s="86"/>
      <c r="AO33" s="86"/>
      <c r="AP33" s="86"/>
      <c r="AQ33" s="86"/>
      <c r="AR33" s="86"/>
      <c r="AS33" s="86"/>
      <c r="AT33" s="82"/>
      <c r="AU33" s="87"/>
      <c r="AV33" s="818">
        <f t="shared" si="37"/>
        <v>0</v>
      </c>
      <c r="AW33" s="818">
        <f t="shared" si="38"/>
        <v>0</v>
      </c>
      <c r="AX33" s="818">
        <f t="shared" si="39"/>
        <v>0</v>
      </c>
      <c r="AY33" s="88">
        <f t="shared" si="40"/>
        <v>0</v>
      </c>
      <c r="AZ33" s="81">
        <f t="shared" si="41"/>
        <v>0</v>
      </c>
      <c r="BA33" s="81">
        <f t="shared" si="42"/>
        <v>0</v>
      </c>
      <c r="BB33" s="81">
        <f t="shared" si="43"/>
        <v>0</v>
      </c>
      <c r="BC33" s="81">
        <f t="shared" si="44"/>
        <v>0</v>
      </c>
      <c r="BD33" s="81">
        <f t="shared" si="45"/>
        <v>0</v>
      </c>
      <c r="BE33" s="81">
        <f t="shared" si="46"/>
        <v>0</v>
      </c>
      <c r="BF33" s="81">
        <f t="shared" si="47"/>
        <v>0</v>
      </c>
      <c r="BG33" s="81">
        <f t="shared" si="48"/>
        <v>0</v>
      </c>
      <c r="BH33" s="81">
        <f t="shared" si="49"/>
        <v>0</v>
      </c>
      <c r="BI33" s="81">
        <f t="shared" si="50"/>
        <v>0</v>
      </c>
      <c r="BJ33" s="81">
        <f t="shared" si="51"/>
        <v>0</v>
      </c>
      <c r="BK33" s="81">
        <f t="shared" si="52"/>
        <v>0</v>
      </c>
      <c r="BL33" s="81">
        <f t="shared" si="53"/>
        <v>0</v>
      </c>
      <c r="BM33" s="81">
        <f t="shared" si="54"/>
        <v>0</v>
      </c>
      <c r="BN33" s="81">
        <f t="shared" si="55"/>
        <v>0</v>
      </c>
      <c r="BO33" s="81">
        <f t="shared" si="56"/>
        <v>0</v>
      </c>
      <c r="BP33" s="81">
        <f t="shared" si="57"/>
        <v>0</v>
      </c>
      <c r="BQ33" s="81">
        <f t="shared" si="58"/>
        <v>0</v>
      </c>
      <c r="BR33" s="81">
        <f t="shared" si="59"/>
        <v>0</v>
      </c>
      <c r="BS33" s="81">
        <f t="shared" si="60"/>
        <v>0</v>
      </c>
      <c r="BT33" s="89">
        <f t="shared" si="61"/>
        <v>0</v>
      </c>
    </row>
    <row r="34" spans="1:72">
      <c r="A34" s="79"/>
      <c r="B34" s="1179"/>
      <c r="C34" s="1180"/>
      <c r="D34" s="2301"/>
      <c r="E34" s="81">
        <f t="shared" si="33"/>
        <v>0</v>
      </c>
      <c r="F34" s="82"/>
      <c r="G34" s="83">
        <f t="shared" si="34"/>
        <v>0</v>
      </c>
      <c r="H34" s="84">
        <f t="shared" si="35"/>
        <v>0</v>
      </c>
      <c r="I34" s="1180"/>
      <c r="J34" s="85"/>
      <c r="K34" s="1180"/>
      <c r="L34" s="85"/>
      <c r="M34" s="85"/>
      <c r="N34" s="85"/>
      <c r="O34" s="85"/>
      <c r="P34" s="85"/>
      <c r="Q34" s="85"/>
      <c r="R34" s="85"/>
      <c r="S34" s="85"/>
      <c r="T34" s="85"/>
      <c r="U34" s="85"/>
      <c r="V34" s="85"/>
      <c r="W34" s="85"/>
      <c r="X34" s="85"/>
      <c r="Y34" s="85"/>
      <c r="Z34" s="85"/>
      <c r="AA34" s="85"/>
      <c r="AB34" s="85"/>
      <c r="AC34" s="81">
        <f t="shared" si="36"/>
        <v>0</v>
      </c>
      <c r="AD34" s="86"/>
      <c r="AE34" s="86"/>
      <c r="AF34" s="1180"/>
      <c r="AG34" s="86"/>
      <c r="AH34" s="86"/>
      <c r="AI34" s="86"/>
      <c r="AJ34" s="86"/>
      <c r="AK34" s="86"/>
      <c r="AL34" s="86"/>
      <c r="AM34" s="86"/>
      <c r="AN34" s="86"/>
      <c r="AO34" s="86"/>
      <c r="AP34" s="86"/>
      <c r="AQ34" s="86"/>
      <c r="AR34" s="86"/>
      <c r="AS34" s="86"/>
      <c r="AT34" s="82"/>
      <c r="AU34" s="87"/>
      <c r="AV34" s="818">
        <f t="shared" si="37"/>
        <v>0</v>
      </c>
      <c r="AW34" s="818">
        <f t="shared" si="38"/>
        <v>0</v>
      </c>
      <c r="AX34" s="818">
        <f t="shared" si="39"/>
        <v>0</v>
      </c>
      <c r="AY34" s="88">
        <f t="shared" si="40"/>
        <v>0</v>
      </c>
      <c r="AZ34" s="81">
        <f t="shared" si="41"/>
        <v>0</v>
      </c>
      <c r="BA34" s="81">
        <f t="shared" si="42"/>
        <v>0</v>
      </c>
      <c r="BB34" s="81">
        <f t="shared" si="43"/>
        <v>0</v>
      </c>
      <c r="BC34" s="81">
        <f t="shared" si="44"/>
        <v>0</v>
      </c>
      <c r="BD34" s="81">
        <f t="shared" si="45"/>
        <v>0</v>
      </c>
      <c r="BE34" s="81">
        <f t="shared" si="46"/>
        <v>0</v>
      </c>
      <c r="BF34" s="81">
        <f t="shared" si="47"/>
        <v>0</v>
      </c>
      <c r="BG34" s="81">
        <f t="shared" si="48"/>
        <v>0</v>
      </c>
      <c r="BH34" s="81">
        <f t="shared" si="49"/>
        <v>0</v>
      </c>
      <c r="BI34" s="81">
        <f t="shared" si="50"/>
        <v>0</v>
      </c>
      <c r="BJ34" s="81">
        <f t="shared" si="51"/>
        <v>0</v>
      </c>
      <c r="BK34" s="81">
        <f t="shared" si="52"/>
        <v>0</v>
      </c>
      <c r="BL34" s="81">
        <f t="shared" si="53"/>
        <v>0</v>
      </c>
      <c r="BM34" s="81">
        <f t="shared" si="54"/>
        <v>0</v>
      </c>
      <c r="BN34" s="81">
        <f t="shared" si="55"/>
        <v>0</v>
      </c>
      <c r="BO34" s="81">
        <f t="shared" si="56"/>
        <v>0</v>
      </c>
      <c r="BP34" s="81">
        <f t="shared" si="57"/>
        <v>0</v>
      </c>
      <c r="BQ34" s="81">
        <f t="shared" si="58"/>
        <v>0</v>
      </c>
      <c r="BR34" s="81">
        <f t="shared" si="59"/>
        <v>0</v>
      </c>
      <c r="BS34" s="81">
        <f t="shared" si="60"/>
        <v>0</v>
      </c>
      <c r="BT34" s="89">
        <f t="shared" si="61"/>
        <v>0</v>
      </c>
    </row>
    <row r="35" spans="1:72">
      <c r="A35" s="79"/>
      <c r="B35" s="1179"/>
      <c r="C35" s="1180"/>
      <c r="D35" s="2301"/>
      <c r="E35" s="81">
        <f t="shared" si="33"/>
        <v>0</v>
      </c>
      <c r="F35" s="82"/>
      <c r="G35" s="83">
        <f t="shared" si="34"/>
        <v>0</v>
      </c>
      <c r="H35" s="84">
        <f t="shared" si="35"/>
        <v>0</v>
      </c>
      <c r="I35" s="1180"/>
      <c r="J35" s="85"/>
      <c r="K35" s="1180"/>
      <c r="L35" s="85"/>
      <c r="M35" s="85"/>
      <c r="N35" s="85"/>
      <c r="O35" s="85"/>
      <c r="P35" s="85"/>
      <c r="Q35" s="85"/>
      <c r="R35" s="85"/>
      <c r="S35" s="85"/>
      <c r="T35" s="85"/>
      <c r="U35" s="85"/>
      <c r="V35" s="85"/>
      <c r="W35" s="85"/>
      <c r="X35" s="85"/>
      <c r="Y35" s="85"/>
      <c r="Z35" s="85"/>
      <c r="AA35" s="85"/>
      <c r="AB35" s="85"/>
      <c r="AC35" s="81">
        <f t="shared" si="36"/>
        <v>0</v>
      </c>
      <c r="AD35" s="86"/>
      <c r="AE35" s="86"/>
      <c r="AF35" s="1180"/>
      <c r="AG35" s="86"/>
      <c r="AH35" s="86"/>
      <c r="AI35" s="86"/>
      <c r="AJ35" s="86"/>
      <c r="AK35" s="86"/>
      <c r="AL35" s="86"/>
      <c r="AM35" s="86"/>
      <c r="AN35" s="86"/>
      <c r="AO35" s="86"/>
      <c r="AP35" s="86"/>
      <c r="AQ35" s="86"/>
      <c r="AR35" s="86"/>
      <c r="AS35" s="86"/>
      <c r="AT35" s="82"/>
      <c r="AU35" s="87"/>
      <c r="AV35" s="818">
        <f t="shared" si="37"/>
        <v>0</v>
      </c>
      <c r="AW35" s="818">
        <f t="shared" si="38"/>
        <v>0</v>
      </c>
      <c r="AX35" s="818">
        <f t="shared" si="39"/>
        <v>0</v>
      </c>
      <c r="AY35" s="88">
        <f t="shared" si="40"/>
        <v>0</v>
      </c>
      <c r="AZ35" s="81">
        <f t="shared" si="41"/>
        <v>0</v>
      </c>
      <c r="BA35" s="81">
        <f t="shared" si="42"/>
        <v>0</v>
      </c>
      <c r="BB35" s="81">
        <f t="shared" si="43"/>
        <v>0</v>
      </c>
      <c r="BC35" s="81">
        <f t="shared" si="44"/>
        <v>0</v>
      </c>
      <c r="BD35" s="81">
        <f t="shared" si="45"/>
        <v>0</v>
      </c>
      <c r="BE35" s="81">
        <f t="shared" si="46"/>
        <v>0</v>
      </c>
      <c r="BF35" s="81">
        <f t="shared" si="47"/>
        <v>0</v>
      </c>
      <c r="BG35" s="81">
        <f t="shared" si="48"/>
        <v>0</v>
      </c>
      <c r="BH35" s="81">
        <f t="shared" si="49"/>
        <v>0</v>
      </c>
      <c r="BI35" s="81">
        <f t="shared" si="50"/>
        <v>0</v>
      </c>
      <c r="BJ35" s="81">
        <f t="shared" si="51"/>
        <v>0</v>
      </c>
      <c r="BK35" s="81">
        <f t="shared" si="52"/>
        <v>0</v>
      </c>
      <c r="BL35" s="81">
        <f t="shared" si="53"/>
        <v>0</v>
      </c>
      <c r="BM35" s="81">
        <f t="shared" si="54"/>
        <v>0</v>
      </c>
      <c r="BN35" s="81">
        <f t="shared" si="55"/>
        <v>0</v>
      </c>
      <c r="BO35" s="81">
        <f t="shared" si="56"/>
        <v>0</v>
      </c>
      <c r="BP35" s="81">
        <f t="shared" si="57"/>
        <v>0</v>
      </c>
      <c r="BQ35" s="81">
        <f t="shared" si="58"/>
        <v>0</v>
      </c>
      <c r="BR35" s="81">
        <f t="shared" si="59"/>
        <v>0</v>
      </c>
      <c r="BS35" s="81">
        <f t="shared" si="60"/>
        <v>0</v>
      </c>
      <c r="BT35" s="89">
        <f t="shared" si="61"/>
        <v>0</v>
      </c>
    </row>
    <row r="36" spans="1:72">
      <c r="A36" s="79"/>
      <c r="B36" s="1179"/>
      <c r="C36" s="1180"/>
      <c r="D36" s="2301"/>
      <c r="E36" s="81">
        <f t="shared" si="33"/>
        <v>0</v>
      </c>
      <c r="F36" s="82"/>
      <c r="G36" s="83">
        <f t="shared" si="34"/>
        <v>0</v>
      </c>
      <c r="H36" s="84">
        <f t="shared" si="35"/>
        <v>0</v>
      </c>
      <c r="I36" s="1180"/>
      <c r="J36" s="85"/>
      <c r="K36" s="1180"/>
      <c r="L36" s="85"/>
      <c r="M36" s="85"/>
      <c r="N36" s="85"/>
      <c r="O36" s="85"/>
      <c r="P36" s="85"/>
      <c r="Q36" s="85"/>
      <c r="R36" s="85"/>
      <c r="S36" s="85"/>
      <c r="T36" s="85"/>
      <c r="U36" s="85"/>
      <c r="V36" s="85"/>
      <c r="W36" s="85"/>
      <c r="X36" s="85"/>
      <c r="Y36" s="85"/>
      <c r="Z36" s="85"/>
      <c r="AA36" s="85"/>
      <c r="AB36" s="85"/>
      <c r="AC36" s="81">
        <f t="shared" si="36"/>
        <v>0</v>
      </c>
      <c r="AD36" s="86"/>
      <c r="AE36" s="86"/>
      <c r="AF36" s="1180"/>
      <c r="AG36" s="86"/>
      <c r="AH36" s="86"/>
      <c r="AI36" s="86"/>
      <c r="AJ36" s="86"/>
      <c r="AK36" s="86"/>
      <c r="AL36" s="86"/>
      <c r="AM36" s="86"/>
      <c r="AN36" s="86"/>
      <c r="AO36" s="86"/>
      <c r="AP36" s="86"/>
      <c r="AQ36" s="86"/>
      <c r="AR36" s="86"/>
      <c r="AS36" s="86"/>
      <c r="AT36" s="82"/>
      <c r="AU36" s="87"/>
      <c r="AV36" s="818">
        <f t="shared" si="37"/>
        <v>0</v>
      </c>
      <c r="AW36" s="818">
        <f t="shared" si="38"/>
        <v>0</v>
      </c>
      <c r="AX36" s="818">
        <f t="shared" si="39"/>
        <v>0</v>
      </c>
      <c r="AY36" s="88">
        <f t="shared" si="40"/>
        <v>0</v>
      </c>
      <c r="AZ36" s="81">
        <f t="shared" si="41"/>
        <v>0</v>
      </c>
      <c r="BA36" s="81">
        <f t="shared" si="42"/>
        <v>0</v>
      </c>
      <c r="BB36" s="81">
        <f t="shared" si="43"/>
        <v>0</v>
      </c>
      <c r="BC36" s="81">
        <f t="shared" si="44"/>
        <v>0</v>
      </c>
      <c r="BD36" s="81">
        <f t="shared" si="45"/>
        <v>0</v>
      </c>
      <c r="BE36" s="81">
        <f t="shared" si="46"/>
        <v>0</v>
      </c>
      <c r="BF36" s="81">
        <f t="shared" si="47"/>
        <v>0</v>
      </c>
      <c r="BG36" s="81">
        <f t="shared" si="48"/>
        <v>0</v>
      </c>
      <c r="BH36" s="81">
        <f t="shared" si="49"/>
        <v>0</v>
      </c>
      <c r="BI36" s="81">
        <f t="shared" si="50"/>
        <v>0</v>
      </c>
      <c r="BJ36" s="81">
        <f t="shared" si="51"/>
        <v>0</v>
      </c>
      <c r="BK36" s="81">
        <f t="shared" si="52"/>
        <v>0</v>
      </c>
      <c r="BL36" s="81">
        <f t="shared" si="53"/>
        <v>0</v>
      </c>
      <c r="BM36" s="81">
        <f t="shared" si="54"/>
        <v>0</v>
      </c>
      <c r="BN36" s="81">
        <f t="shared" si="55"/>
        <v>0</v>
      </c>
      <c r="BO36" s="81">
        <f t="shared" si="56"/>
        <v>0</v>
      </c>
      <c r="BP36" s="81">
        <f t="shared" si="57"/>
        <v>0</v>
      </c>
      <c r="BQ36" s="81">
        <f t="shared" si="58"/>
        <v>0</v>
      </c>
      <c r="BR36" s="81">
        <f t="shared" si="59"/>
        <v>0</v>
      </c>
      <c r="BS36" s="81">
        <f t="shared" si="60"/>
        <v>0</v>
      </c>
      <c r="BT36" s="89">
        <f t="shared" si="61"/>
        <v>0</v>
      </c>
    </row>
    <row r="37" spans="1:72">
      <c r="A37" s="79"/>
      <c r="B37" s="1179"/>
      <c r="C37" s="1180"/>
      <c r="D37" s="2301"/>
      <c r="E37" s="81">
        <f t="shared" si="33"/>
        <v>0</v>
      </c>
      <c r="F37" s="82"/>
      <c r="G37" s="83">
        <f t="shared" si="34"/>
        <v>0</v>
      </c>
      <c r="H37" s="84">
        <f t="shared" si="35"/>
        <v>0</v>
      </c>
      <c r="I37" s="1180"/>
      <c r="J37" s="85"/>
      <c r="K37" s="1180"/>
      <c r="L37" s="85"/>
      <c r="M37" s="85"/>
      <c r="N37" s="85"/>
      <c r="O37" s="85"/>
      <c r="P37" s="85"/>
      <c r="Q37" s="85"/>
      <c r="R37" s="85"/>
      <c r="S37" s="85"/>
      <c r="T37" s="85"/>
      <c r="U37" s="85"/>
      <c r="V37" s="85"/>
      <c r="W37" s="85"/>
      <c r="X37" s="85"/>
      <c r="Y37" s="85"/>
      <c r="Z37" s="85"/>
      <c r="AA37" s="85"/>
      <c r="AB37" s="85"/>
      <c r="AC37" s="81">
        <f t="shared" si="36"/>
        <v>0</v>
      </c>
      <c r="AD37" s="86"/>
      <c r="AE37" s="86"/>
      <c r="AF37" s="1180"/>
      <c r="AG37" s="86"/>
      <c r="AH37" s="86"/>
      <c r="AI37" s="86"/>
      <c r="AJ37" s="86"/>
      <c r="AK37" s="86"/>
      <c r="AL37" s="86"/>
      <c r="AM37" s="86"/>
      <c r="AN37" s="86"/>
      <c r="AO37" s="86"/>
      <c r="AP37" s="86"/>
      <c r="AQ37" s="86"/>
      <c r="AR37" s="86"/>
      <c r="AS37" s="86"/>
      <c r="AT37" s="82"/>
      <c r="AU37" s="87"/>
      <c r="AV37" s="818">
        <f t="shared" si="37"/>
        <v>0</v>
      </c>
      <c r="AW37" s="818">
        <f t="shared" si="38"/>
        <v>0</v>
      </c>
      <c r="AX37" s="818">
        <f t="shared" si="39"/>
        <v>0</v>
      </c>
      <c r="AY37" s="88">
        <f t="shared" si="40"/>
        <v>0</v>
      </c>
      <c r="AZ37" s="81">
        <f t="shared" si="41"/>
        <v>0</v>
      </c>
      <c r="BA37" s="81">
        <f t="shared" si="42"/>
        <v>0</v>
      </c>
      <c r="BB37" s="81">
        <f t="shared" si="43"/>
        <v>0</v>
      </c>
      <c r="BC37" s="81">
        <f t="shared" si="44"/>
        <v>0</v>
      </c>
      <c r="BD37" s="81">
        <f t="shared" si="45"/>
        <v>0</v>
      </c>
      <c r="BE37" s="81">
        <f t="shared" si="46"/>
        <v>0</v>
      </c>
      <c r="BF37" s="81">
        <f t="shared" si="47"/>
        <v>0</v>
      </c>
      <c r="BG37" s="81">
        <f t="shared" si="48"/>
        <v>0</v>
      </c>
      <c r="BH37" s="81">
        <f t="shared" si="49"/>
        <v>0</v>
      </c>
      <c r="BI37" s="81">
        <f t="shared" si="50"/>
        <v>0</v>
      </c>
      <c r="BJ37" s="81">
        <f t="shared" si="51"/>
        <v>0</v>
      </c>
      <c r="BK37" s="81">
        <f t="shared" si="52"/>
        <v>0</v>
      </c>
      <c r="BL37" s="81">
        <f t="shared" si="53"/>
        <v>0</v>
      </c>
      <c r="BM37" s="81">
        <f t="shared" si="54"/>
        <v>0</v>
      </c>
      <c r="BN37" s="81">
        <f t="shared" si="55"/>
        <v>0</v>
      </c>
      <c r="BO37" s="81">
        <f t="shared" si="56"/>
        <v>0</v>
      </c>
      <c r="BP37" s="81">
        <f t="shared" si="57"/>
        <v>0</v>
      </c>
      <c r="BQ37" s="81">
        <f t="shared" si="58"/>
        <v>0</v>
      </c>
      <c r="BR37" s="81">
        <f t="shared" si="59"/>
        <v>0</v>
      </c>
      <c r="BS37" s="81">
        <f t="shared" si="60"/>
        <v>0</v>
      </c>
      <c r="BT37" s="89">
        <f t="shared" si="61"/>
        <v>0</v>
      </c>
    </row>
    <row r="38" spans="1:72">
      <c r="A38" s="79"/>
      <c r="B38" s="1179"/>
      <c r="C38" s="1180"/>
      <c r="D38" s="2301"/>
      <c r="E38" s="81">
        <f t="shared" si="33"/>
        <v>0</v>
      </c>
      <c r="F38" s="82"/>
      <c r="G38" s="83">
        <f t="shared" si="34"/>
        <v>0</v>
      </c>
      <c r="H38" s="84">
        <f t="shared" si="35"/>
        <v>0</v>
      </c>
      <c r="I38" s="1180"/>
      <c r="J38" s="85"/>
      <c r="K38" s="1180"/>
      <c r="L38" s="85"/>
      <c r="M38" s="85"/>
      <c r="N38" s="85"/>
      <c r="O38" s="85"/>
      <c r="P38" s="85"/>
      <c r="Q38" s="85"/>
      <c r="R38" s="85"/>
      <c r="S38" s="85"/>
      <c r="T38" s="85"/>
      <c r="U38" s="85"/>
      <c r="V38" s="85"/>
      <c r="W38" s="85"/>
      <c r="X38" s="85"/>
      <c r="Y38" s="85"/>
      <c r="Z38" s="85"/>
      <c r="AA38" s="85"/>
      <c r="AB38" s="85"/>
      <c r="AC38" s="81">
        <f t="shared" si="36"/>
        <v>0</v>
      </c>
      <c r="AD38" s="86"/>
      <c r="AE38" s="86"/>
      <c r="AF38" s="1180"/>
      <c r="AG38" s="86"/>
      <c r="AH38" s="86"/>
      <c r="AI38" s="86"/>
      <c r="AJ38" s="86"/>
      <c r="AK38" s="86"/>
      <c r="AL38" s="86"/>
      <c r="AM38" s="86"/>
      <c r="AN38" s="86"/>
      <c r="AO38" s="86"/>
      <c r="AP38" s="86"/>
      <c r="AQ38" s="86"/>
      <c r="AR38" s="86"/>
      <c r="AS38" s="86"/>
      <c r="AT38" s="82"/>
      <c r="AU38" s="87"/>
      <c r="AV38" s="818">
        <f t="shared" si="37"/>
        <v>0</v>
      </c>
      <c r="AW38" s="818">
        <f t="shared" si="38"/>
        <v>0</v>
      </c>
      <c r="AX38" s="818">
        <f t="shared" si="39"/>
        <v>0</v>
      </c>
      <c r="AY38" s="88">
        <f t="shared" si="40"/>
        <v>0</v>
      </c>
      <c r="AZ38" s="81">
        <f t="shared" si="41"/>
        <v>0</v>
      </c>
      <c r="BA38" s="81">
        <f t="shared" si="42"/>
        <v>0</v>
      </c>
      <c r="BB38" s="81">
        <f t="shared" si="43"/>
        <v>0</v>
      </c>
      <c r="BC38" s="81">
        <f t="shared" si="44"/>
        <v>0</v>
      </c>
      <c r="BD38" s="81">
        <f t="shared" si="45"/>
        <v>0</v>
      </c>
      <c r="BE38" s="81">
        <f t="shared" si="46"/>
        <v>0</v>
      </c>
      <c r="BF38" s="81">
        <f t="shared" si="47"/>
        <v>0</v>
      </c>
      <c r="BG38" s="81">
        <f t="shared" si="48"/>
        <v>0</v>
      </c>
      <c r="BH38" s="81">
        <f t="shared" si="49"/>
        <v>0</v>
      </c>
      <c r="BI38" s="81">
        <f t="shared" si="50"/>
        <v>0</v>
      </c>
      <c r="BJ38" s="81">
        <f t="shared" si="51"/>
        <v>0</v>
      </c>
      <c r="BK38" s="81">
        <f t="shared" si="52"/>
        <v>0</v>
      </c>
      <c r="BL38" s="81">
        <f t="shared" si="53"/>
        <v>0</v>
      </c>
      <c r="BM38" s="81">
        <f t="shared" si="54"/>
        <v>0</v>
      </c>
      <c r="BN38" s="81">
        <f t="shared" si="55"/>
        <v>0</v>
      </c>
      <c r="BO38" s="81">
        <f t="shared" si="56"/>
        <v>0</v>
      </c>
      <c r="BP38" s="81">
        <f t="shared" si="57"/>
        <v>0</v>
      </c>
      <c r="BQ38" s="81">
        <f t="shared" si="58"/>
        <v>0</v>
      </c>
      <c r="BR38" s="81">
        <f t="shared" si="59"/>
        <v>0</v>
      </c>
      <c r="BS38" s="81">
        <f t="shared" si="60"/>
        <v>0</v>
      </c>
      <c r="BT38" s="89">
        <f t="shared" si="61"/>
        <v>0</v>
      </c>
    </row>
    <row r="39" spans="1:72">
      <c r="A39" s="79"/>
      <c r="B39" s="1179"/>
      <c r="C39" s="1180"/>
      <c r="D39" s="2301"/>
      <c r="E39" s="81">
        <f t="shared" si="33"/>
        <v>0</v>
      </c>
      <c r="F39" s="82"/>
      <c r="G39" s="83">
        <f t="shared" si="34"/>
        <v>0</v>
      </c>
      <c r="H39" s="84">
        <f t="shared" si="35"/>
        <v>0</v>
      </c>
      <c r="I39" s="1180"/>
      <c r="J39" s="85"/>
      <c r="K39" s="1180"/>
      <c r="L39" s="85"/>
      <c r="M39" s="85"/>
      <c r="N39" s="85"/>
      <c r="O39" s="85"/>
      <c r="P39" s="85"/>
      <c r="Q39" s="85"/>
      <c r="R39" s="85"/>
      <c r="S39" s="85"/>
      <c r="T39" s="85"/>
      <c r="U39" s="85"/>
      <c r="V39" s="85"/>
      <c r="W39" s="85"/>
      <c r="X39" s="85"/>
      <c r="Y39" s="85"/>
      <c r="Z39" s="85"/>
      <c r="AA39" s="85"/>
      <c r="AB39" s="85"/>
      <c r="AC39" s="81">
        <f t="shared" si="36"/>
        <v>0</v>
      </c>
      <c r="AD39" s="86"/>
      <c r="AE39" s="86"/>
      <c r="AF39" s="1180"/>
      <c r="AG39" s="86"/>
      <c r="AH39" s="86"/>
      <c r="AI39" s="86"/>
      <c r="AJ39" s="86"/>
      <c r="AK39" s="86"/>
      <c r="AL39" s="86"/>
      <c r="AM39" s="86"/>
      <c r="AN39" s="86"/>
      <c r="AO39" s="86"/>
      <c r="AP39" s="86"/>
      <c r="AQ39" s="86"/>
      <c r="AR39" s="86"/>
      <c r="AS39" s="86"/>
      <c r="AT39" s="82"/>
      <c r="AU39" s="87"/>
      <c r="AV39" s="818">
        <f t="shared" si="37"/>
        <v>0</v>
      </c>
      <c r="AW39" s="818">
        <f t="shared" si="38"/>
        <v>0</v>
      </c>
      <c r="AX39" s="818">
        <f t="shared" si="39"/>
        <v>0</v>
      </c>
      <c r="AY39" s="88">
        <f t="shared" si="40"/>
        <v>0</v>
      </c>
      <c r="AZ39" s="81">
        <f t="shared" si="41"/>
        <v>0</v>
      </c>
      <c r="BA39" s="81">
        <f t="shared" si="42"/>
        <v>0</v>
      </c>
      <c r="BB39" s="81">
        <f t="shared" si="43"/>
        <v>0</v>
      </c>
      <c r="BC39" s="81">
        <f t="shared" si="44"/>
        <v>0</v>
      </c>
      <c r="BD39" s="81">
        <f t="shared" si="45"/>
        <v>0</v>
      </c>
      <c r="BE39" s="81">
        <f t="shared" si="46"/>
        <v>0</v>
      </c>
      <c r="BF39" s="81">
        <f t="shared" si="47"/>
        <v>0</v>
      </c>
      <c r="BG39" s="81">
        <f t="shared" si="48"/>
        <v>0</v>
      </c>
      <c r="BH39" s="81">
        <f t="shared" si="49"/>
        <v>0</v>
      </c>
      <c r="BI39" s="81">
        <f t="shared" si="50"/>
        <v>0</v>
      </c>
      <c r="BJ39" s="81">
        <f t="shared" si="51"/>
        <v>0</v>
      </c>
      <c r="BK39" s="81">
        <f t="shared" si="52"/>
        <v>0</v>
      </c>
      <c r="BL39" s="81">
        <f t="shared" si="53"/>
        <v>0</v>
      </c>
      <c r="BM39" s="81">
        <f t="shared" si="54"/>
        <v>0</v>
      </c>
      <c r="BN39" s="81">
        <f t="shared" si="55"/>
        <v>0</v>
      </c>
      <c r="BO39" s="81">
        <f t="shared" si="56"/>
        <v>0</v>
      </c>
      <c r="BP39" s="81">
        <f t="shared" si="57"/>
        <v>0</v>
      </c>
      <c r="BQ39" s="81">
        <f t="shared" si="58"/>
        <v>0</v>
      </c>
      <c r="BR39" s="81">
        <f t="shared" si="59"/>
        <v>0</v>
      </c>
      <c r="BS39" s="81">
        <f t="shared" si="60"/>
        <v>0</v>
      </c>
      <c r="BT39" s="89">
        <f t="shared" si="61"/>
        <v>0</v>
      </c>
    </row>
    <row r="40" spans="1:72">
      <c r="A40" s="79"/>
      <c r="B40" s="1179"/>
      <c r="C40" s="1180"/>
      <c r="D40" s="2301"/>
      <c r="E40" s="81">
        <f t="shared" si="33"/>
        <v>0</v>
      </c>
      <c r="F40" s="82"/>
      <c r="G40" s="83">
        <f t="shared" si="34"/>
        <v>0</v>
      </c>
      <c r="H40" s="84">
        <f t="shared" si="35"/>
        <v>0</v>
      </c>
      <c r="I40" s="1180"/>
      <c r="J40" s="85"/>
      <c r="K40" s="1180"/>
      <c r="L40" s="85"/>
      <c r="M40" s="85"/>
      <c r="N40" s="85"/>
      <c r="O40" s="85"/>
      <c r="P40" s="85"/>
      <c r="Q40" s="85"/>
      <c r="R40" s="85"/>
      <c r="S40" s="85"/>
      <c r="T40" s="85"/>
      <c r="U40" s="85"/>
      <c r="V40" s="85"/>
      <c r="W40" s="85"/>
      <c r="X40" s="85"/>
      <c r="Y40" s="85"/>
      <c r="Z40" s="85"/>
      <c r="AA40" s="85"/>
      <c r="AB40" s="85"/>
      <c r="AC40" s="81">
        <f t="shared" si="36"/>
        <v>0</v>
      </c>
      <c r="AD40" s="86"/>
      <c r="AE40" s="86"/>
      <c r="AF40" s="1180"/>
      <c r="AG40" s="86"/>
      <c r="AH40" s="86"/>
      <c r="AI40" s="86"/>
      <c r="AJ40" s="86"/>
      <c r="AK40" s="86"/>
      <c r="AL40" s="86"/>
      <c r="AM40" s="86"/>
      <c r="AN40" s="86"/>
      <c r="AO40" s="86"/>
      <c r="AP40" s="86"/>
      <c r="AQ40" s="86"/>
      <c r="AR40" s="86"/>
      <c r="AS40" s="86"/>
      <c r="AT40" s="82"/>
      <c r="AU40" s="87"/>
      <c r="AV40" s="818">
        <f t="shared" si="37"/>
        <v>0</v>
      </c>
      <c r="AW40" s="818">
        <f t="shared" si="38"/>
        <v>0</v>
      </c>
      <c r="AX40" s="818">
        <f t="shared" si="39"/>
        <v>0</v>
      </c>
      <c r="AY40" s="88">
        <f t="shared" si="40"/>
        <v>0</v>
      </c>
      <c r="AZ40" s="81">
        <f t="shared" si="41"/>
        <v>0</v>
      </c>
      <c r="BA40" s="81">
        <f t="shared" si="42"/>
        <v>0</v>
      </c>
      <c r="BB40" s="81">
        <f t="shared" si="43"/>
        <v>0</v>
      </c>
      <c r="BC40" s="81">
        <f t="shared" si="44"/>
        <v>0</v>
      </c>
      <c r="BD40" s="81">
        <f t="shared" si="45"/>
        <v>0</v>
      </c>
      <c r="BE40" s="81">
        <f t="shared" si="46"/>
        <v>0</v>
      </c>
      <c r="BF40" s="81">
        <f t="shared" si="47"/>
        <v>0</v>
      </c>
      <c r="BG40" s="81">
        <f t="shared" si="48"/>
        <v>0</v>
      </c>
      <c r="BH40" s="81">
        <f t="shared" si="49"/>
        <v>0</v>
      </c>
      <c r="BI40" s="81">
        <f t="shared" si="50"/>
        <v>0</v>
      </c>
      <c r="BJ40" s="81">
        <f t="shared" si="51"/>
        <v>0</v>
      </c>
      <c r="BK40" s="81">
        <f t="shared" si="52"/>
        <v>0</v>
      </c>
      <c r="BL40" s="81">
        <f t="shared" si="53"/>
        <v>0</v>
      </c>
      <c r="BM40" s="81">
        <f t="shared" si="54"/>
        <v>0</v>
      </c>
      <c r="BN40" s="81">
        <f t="shared" si="55"/>
        <v>0</v>
      </c>
      <c r="BO40" s="81">
        <f t="shared" si="56"/>
        <v>0</v>
      </c>
      <c r="BP40" s="81">
        <f t="shared" si="57"/>
        <v>0</v>
      </c>
      <c r="BQ40" s="81">
        <f t="shared" si="58"/>
        <v>0</v>
      </c>
      <c r="BR40" s="81">
        <f t="shared" si="59"/>
        <v>0</v>
      </c>
      <c r="BS40" s="81">
        <f t="shared" si="60"/>
        <v>0</v>
      </c>
      <c r="BT40" s="89">
        <f t="shared" si="61"/>
        <v>0</v>
      </c>
    </row>
    <row r="41" spans="1:72">
      <c r="A41" s="79"/>
      <c r="B41" s="1179"/>
      <c r="C41" s="1180"/>
      <c r="D41" s="2301"/>
      <c r="E41" s="81">
        <f t="shared" si="33"/>
        <v>0</v>
      </c>
      <c r="F41" s="82"/>
      <c r="G41" s="83">
        <f t="shared" si="34"/>
        <v>0</v>
      </c>
      <c r="H41" s="84">
        <f t="shared" si="35"/>
        <v>0</v>
      </c>
      <c r="I41" s="1180"/>
      <c r="J41" s="85"/>
      <c r="K41" s="1180"/>
      <c r="L41" s="85"/>
      <c r="M41" s="85"/>
      <c r="N41" s="85"/>
      <c r="O41" s="85"/>
      <c r="P41" s="85"/>
      <c r="Q41" s="85"/>
      <c r="R41" s="85"/>
      <c r="S41" s="85"/>
      <c r="T41" s="85"/>
      <c r="U41" s="85"/>
      <c r="V41" s="85"/>
      <c r="W41" s="85"/>
      <c r="X41" s="85"/>
      <c r="Y41" s="85"/>
      <c r="Z41" s="85"/>
      <c r="AA41" s="85"/>
      <c r="AB41" s="85"/>
      <c r="AC41" s="81">
        <f t="shared" si="36"/>
        <v>0</v>
      </c>
      <c r="AD41" s="86"/>
      <c r="AE41" s="86"/>
      <c r="AF41" s="1180"/>
      <c r="AG41" s="86"/>
      <c r="AH41" s="86"/>
      <c r="AI41" s="86"/>
      <c r="AJ41" s="86"/>
      <c r="AK41" s="86"/>
      <c r="AL41" s="86"/>
      <c r="AM41" s="86"/>
      <c r="AN41" s="86"/>
      <c r="AO41" s="86"/>
      <c r="AP41" s="86"/>
      <c r="AQ41" s="86"/>
      <c r="AR41" s="86"/>
      <c r="AS41" s="86"/>
      <c r="AT41" s="82"/>
      <c r="AU41" s="87"/>
      <c r="AV41" s="818">
        <f t="shared" si="37"/>
        <v>0</v>
      </c>
      <c r="AW41" s="818">
        <f t="shared" si="38"/>
        <v>0</v>
      </c>
      <c r="AX41" s="818">
        <f t="shared" si="39"/>
        <v>0</v>
      </c>
      <c r="AY41" s="88">
        <f t="shared" si="40"/>
        <v>0</v>
      </c>
      <c r="AZ41" s="81">
        <f t="shared" si="41"/>
        <v>0</v>
      </c>
      <c r="BA41" s="81">
        <f t="shared" si="42"/>
        <v>0</v>
      </c>
      <c r="BB41" s="81">
        <f t="shared" si="43"/>
        <v>0</v>
      </c>
      <c r="BC41" s="81">
        <f t="shared" si="44"/>
        <v>0</v>
      </c>
      <c r="BD41" s="81">
        <f t="shared" si="45"/>
        <v>0</v>
      </c>
      <c r="BE41" s="81">
        <f t="shared" si="46"/>
        <v>0</v>
      </c>
      <c r="BF41" s="81">
        <f t="shared" si="47"/>
        <v>0</v>
      </c>
      <c r="BG41" s="81">
        <f t="shared" si="48"/>
        <v>0</v>
      </c>
      <c r="BH41" s="81">
        <f t="shared" si="49"/>
        <v>0</v>
      </c>
      <c r="BI41" s="81">
        <f t="shared" si="50"/>
        <v>0</v>
      </c>
      <c r="BJ41" s="81">
        <f t="shared" si="51"/>
        <v>0</v>
      </c>
      <c r="BK41" s="81">
        <f t="shared" si="52"/>
        <v>0</v>
      </c>
      <c r="BL41" s="81">
        <f t="shared" si="53"/>
        <v>0</v>
      </c>
      <c r="BM41" s="81">
        <f t="shared" si="54"/>
        <v>0</v>
      </c>
      <c r="BN41" s="81">
        <f t="shared" si="55"/>
        <v>0</v>
      </c>
      <c r="BO41" s="81">
        <f t="shared" si="56"/>
        <v>0</v>
      </c>
      <c r="BP41" s="81">
        <f t="shared" si="57"/>
        <v>0</v>
      </c>
      <c r="BQ41" s="81">
        <f t="shared" si="58"/>
        <v>0</v>
      </c>
      <c r="BR41" s="81">
        <f t="shared" si="59"/>
        <v>0</v>
      </c>
      <c r="BS41" s="81">
        <f t="shared" si="60"/>
        <v>0</v>
      </c>
      <c r="BT41" s="89">
        <f t="shared" si="61"/>
        <v>0</v>
      </c>
    </row>
    <row r="42" spans="1:72">
      <c r="A42" s="79"/>
      <c r="B42" s="1179"/>
      <c r="C42" s="1180"/>
      <c r="D42" s="2301"/>
      <c r="E42" s="81">
        <f t="shared" si="33"/>
        <v>0</v>
      </c>
      <c r="F42" s="82"/>
      <c r="G42" s="83">
        <f t="shared" si="34"/>
        <v>0</v>
      </c>
      <c r="H42" s="84">
        <f t="shared" si="35"/>
        <v>0</v>
      </c>
      <c r="I42" s="1180"/>
      <c r="J42" s="85"/>
      <c r="K42" s="1180"/>
      <c r="L42" s="85"/>
      <c r="M42" s="85"/>
      <c r="N42" s="85"/>
      <c r="O42" s="85"/>
      <c r="P42" s="85"/>
      <c r="Q42" s="85"/>
      <c r="R42" s="85"/>
      <c r="S42" s="85"/>
      <c r="T42" s="85"/>
      <c r="U42" s="85"/>
      <c r="V42" s="85"/>
      <c r="W42" s="85"/>
      <c r="X42" s="85"/>
      <c r="Y42" s="85"/>
      <c r="Z42" s="85"/>
      <c r="AA42" s="85"/>
      <c r="AB42" s="85"/>
      <c r="AC42" s="81">
        <f t="shared" si="36"/>
        <v>0</v>
      </c>
      <c r="AD42" s="86"/>
      <c r="AE42" s="86"/>
      <c r="AF42" s="1180"/>
      <c r="AG42" s="86"/>
      <c r="AH42" s="86"/>
      <c r="AI42" s="86"/>
      <c r="AJ42" s="86"/>
      <c r="AK42" s="86"/>
      <c r="AL42" s="86"/>
      <c r="AM42" s="86"/>
      <c r="AN42" s="86"/>
      <c r="AO42" s="86"/>
      <c r="AP42" s="86"/>
      <c r="AQ42" s="86"/>
      <c r="AR42" s="86"/>
      <c r="AS42" s="86"/>
      <c r="AT42" s="82"/>
      <c r="AU42" s="87"/>
      <c r="AV42" s="818">
        <f t="shared" si="37"/>
        <v>0</v>
      </c>
      <c r="AW42" s="818">
        <f t="shared" si="38"/>
        <v>0</v>
      </c>
      <c r="AX42" s="818">
        <f t="shared" si="39"/>
        <v>0</v>
      </c>
      <c r="AY42" s="88">
        <f t="shared" si="40"/>
        <v>0</v>
      </c>
      <c r="AZ42" s="81">
        <f t="shared" si="41"/>
        <v>0</v>
      </c>
      <c r="BA42" s="81">
        <f t="shared" si="42"/>
        <v>0</v>
      </c>
      <c r="BB42" s="81">
        <f t="shared" si="43"/>
        <v>0</v>
      </c>
      <c r="BC42" s="81">
        <f t="shared" si="44"/>
        <v>0</v>
      </c>
      <c r="BD42" s="81">
        <f t="shared" si="45"/>
        <v>0</v>
      </c>
      <c r="BE42" s="81">
        <f t="shared" si="46"/>
        <v>0</v>
      </c>
      <c r="BF42" s="81">
        <f t="shared" si="47"/>
        <v>0</v>
      </c>
      <c r="BG42" s="81">
        <f t="shared" si="48"/>
        <v>0</v>
      </c>
      <c r="BH42" s="81">
        <f t="shared" si="49"/>
        <v>0</v>
      </c>
      <c r="BI42" s="81">
        <f t="shared" si="50"/>
        <v>0</v>
      </c>
      <c r="BJ42" s="81">
        <f t="shared" si="51"/>
        <v>0</v>
      </c>
      <c r="BK42" s="81">
        <f t="shared" si="52"/>
        <v>0</v>
      </c>
      <c r="BL42" s="81">
        <f t="shared" si="53"/>
        <v>0</v>
      </c>
      <c r="BM42" s="81">
        <f t="shared" si="54"/>
        <v>0</v>
      </c>
      <c r="BN42" s="81">
        <f t="shared" si="55"/>
        <v>0</v>
      </c>
      <c r="BO42" s="81">
        <f t="shared" si="56"/>
        <v>0</v>
      </c>
      <c r="BP42" s="81">
        <f t="shared" si="57"/>
        <v>0</v>
      </c>
      <c r="BQ42" s="81">
        <f t="shared" si="58"/>
        <v>0</v>
      </c>
      <c r="BR42" s="81">
        <f t="shared" si="59"/>
        <v>0</v>
      </c>
      <c r="BS42" s="81">
        <f t="shared" si="60"/>
        <v>0</v>
      </c>
      <c r="BT42" s="89">
        <f t="shared" si="61"/>
        <v>0</v>
      </c>
    </row>
    <row r="43" spans="1:72">
      <c r="A43" s="79"/>
      <c r="B43" s="1179"/>
      <c r="C43" s="1180"/>
      <c r="D43" s="2301"/>
      <c r="E43" s="81">
        <f t="shared" si="33"/>
        <v>0</v>
      </c>
      <c r="F43" s="82"/>
      <c r="G43" s="83">
        <f t="shared" si="34"/>
        <v>0</v>
      </c>
      <c r="H43" s="84">
        <f t="shared" si="35"/>
        <v>0</v>
      </c>
      <c r="I43" s="1180"/>
      <c r="J43" s="85"/>
      <c r="K43" s="1180"/>
      <c r="L43" s="85"/>
      <c r="M43" s="85"/>
      <c r="N43" s="85"/>
      <c r="O43" s="85"/>
      <c r="P43" s="85"/>
      <c r="Q43" s="85"/>
      <c r="R43" s="85"/>
      <c r="S43" s="85"/>
      <c r="T43" s="85"/>
      <c r="U43" s="85"/>
      <c r="V43" s="85"/>
      <c r="W43" s="85"/>
      <c r="X43" s="85"/>
      <c r="Y43" s="85"/>
      <c r="Z43" s="85"/>
      <c r="AA43" s="85"/>
      <c r="AB43" s="85"/>
      <c r="AC43" s="81">
        <f t="shared" si="36"/>
        <v>0</v>
      </c>
      <c r="AD43" s="86"/>
      <c r="AE43" s="86"/>
      <c r="AF43" s="1180"/>
      <c r="AG43" s="86"/>
      <c r="AH43" s="86"/>
      <c r="AI43" s="86"/>
      <c r="AJ43" s="86"/>
      <c r="AK43" s="86"/>
      <c r="AL43" s="86"/>
      <c r="AM43" s="86"/>
      <c r="AN43" s="86"/>
      <c r="AO43" s="86"/>
      <c r="AP43" s="86"/>
      <c r="AQ43" s="86"/>
      <c r="AR43" s="86"/>
      <c r="AS43" s="86"/>
      <c r="AT43" s="82"/>
      <c r="AU43" s="87"/>
      <c r="AV43" s="818">
        <f t="shared" si="37"/>
        <v>0</v>
      </c>
      <c r="AW43" s="818">
        <f t="shared" si="38"/>
        <v>0</v>
      </c>
      <c r="AX43" s="818">
        <f t="shared" si="39"/>
        <v>0</v>
      </c>
      <c r="AY43" s="88">
        <f t="shared" si="40"/>
        <v>0</v>
      </c>
      <c r="AZ43" s="81">
        <f t="shared" si="41"/>
        <v>0</v>
      </c>
      <c r="BA43" s="81">
        <f t="shared" si="42"/>
        <v>0</v>
      </c>
      <c r="BB43" s="81">
        <f t="shared" si="43"/>
        <v>0</v>
      </c>
      <c r="BC43" s="81">
        <f t="shared" si="44"/>
        <v>0</v>
      </c>
      <c r="BD43" s="81">
        <f t="shared" si="45"/>
        <v>0</v>
      </c>
      <c r="BE43" s="81">
        <f t="shared" si="46"/>
        <v>0</v>
      </c>
      <c r="BF43" s="81">
        <f t="shared" si="47"/>
        <v>0</v>
      </c>
      <c r="BG43" s="81">
        <f t="shared" si="48"/>
        <v>0</v>
      </c>
      <c r="BH43" s="81">
        <f t="shared" si="49"/>
        <v>0</v>
      </c>
      <c r="BI43" s="81">
        <f t="shared" si="50"/>
        <v>0</v>
      </c>
      <c r="BJ43" s="81">
        <f t="shared" si="51"/>
        <v>0</v>
      </c>
      <c r="BK43" s="81">
        <f t="shared" si="52"/>
        <v>0</v>
      </c>
      <c r="BL43" s="81">
        <f t="shared" si="53"/>
        <v>0</v>
      </c>
      <c r="BM43" s="81">
        <f t="shared" si="54"/>
        <v>0</v>
      </c>
      <c r="BN43" s="81">
        <f t="shared" si="55"/>
        <v>0</v>
      </c>
      <c r="BO43" s="81">
        <f t="shared" si="56"/>
        <v>0</v>
      </c>
      <c r="BP43" s="81">
        <f t="shared" si="57"/>
        <v>0</v>
      </c>
      <c r="BQ43" s="81">
        <f t="shared" si="58"/>
        <v>0</v>
      </c>
      <c r="BR43" s="81">
        <f t="shared" si="59"/>
        <v>0</v>
      </c>
      <c r="BS43" s="81">
        <f t="shared" si="60"/>
        <v>0</v>
      </c>
      <c r="BT43" s="89">
        <f t="shared" si="61"/>
        <v>0</v>
      </c>
    </row>
    <row r="44" spans="1:72">
      <c r="A44" s="79"/>
      <c r="B44" s="1179"/>
      <c r="C44" s="1180"/>
      <c r="D44" s="2301"/>
      <c r="E44" s="81">
        <f t="shared" si="33"/>
        <v>0</v>
      </c>
      <c r="F44" s="82"/>
      <c r="G44" s="83">
        <f t="shared" si="34"/>
        <v>0</v>
      </c>
      <c r="H44" s="84">
        <f t="shared" si="35"/>
        <v>0</v>
      </c>
      <c r="I44" s="1180"/>
      <c r="J44" s="85"/>
      <c r="K44" s="1180"/>
      <c r="L44" s="85"/>
      <c r="M44" s="85"/>
      <c r="N44" s="85"/>
      <c r="O44" s="85"/>
      <c r="P44" s="85"/>
      <c r="Q44" s="85"/>
      <c r="R44" s="85"/>
      <c r="S44" s="85"/>
      <c r="T44" s="85"/>
      <c r="U44" s="85"/>
      <c r="V44" s="85"/>
      <c r="W44" s="85"/>
      <c r="X44" s="85"/>
      <c r="Y44" s="85"/>
      <c r="Z44" s="85"/>
      <c r="AA44" s="85"/>
      <c r="AB44" s="85"/>
      <c r="AC44" s="81">
        <f t="shared" si="36"/>
        <v>0</v>
      </c>
      <c r="AD44" s="86"/>
      <c r="AE44" s="86"/>
      <c r="AF44" s="1180"/>
      <c r="AG44" s="86"/>
      <c r="AH44" s="86"/>
      <c r="AI44" s="86"/>
      <c r="AJ44" s="86"/>
      <c r="AK44" s="86"/>
      <c r="AL44" s="86"/>
      <c r="AM44" s="86"/>
      <c r="AN44" s="86"/>
      <c r="AO44" s="86"/>
      <c r="AP44" s="86"/>
      <c r="AQ44" s="86"/>
      <c r="AR44" s="86"/>
      <c r="AS44" s="86"/>
      <c r="AT44" s="82"/>
      <c r="AU44" s="87"/>
      <c r="AV44" s="818">
        <f t="shared" si="37"/>
        <v>0</v>
      </c>
      <c r="AW44" s="818">
        <f t="shared" si="38"/>
        <v>0</v>
      </c>
      <c r="AX44" s="818">
        <f t="shared" si="39"/>
        <v>0</v>
      </c>
      <c r="AY44" s="88">
        <f t="shared" si="40"/>
        <v>0</v>
      </c>
      <c r="AZ44" s="81">
        <f t="shared" si="41"/>
        <v>0</v>
      </c>
      <c r="BA44" s="81">
        <f t="shared" si="42"/>
        <v>0</v>
      </c>
      <c r="BB44" s="81">
        <f t="shared" si="43"/>
        <v>0</v>
      </c>
      <c r="BC44" s="81">
        <f t="shared" si="44"/>
        <v>0</v>
      </c>
      <c r="BD44" s="81">
        <f t="shared" si="45"/>
        <v>0</v>
      </c>
      <c r="BE44" s="81">
        <f t="shared" si="46"/>
        <v>0</v>
      </c>
      <c r="BF44" s="81">
        <f t="shared" si="47"/>
        <v>0</v>
      </c>
      <c r="BG44" s="81">
        <f t="shared" si="48"/>
        <v>0</v>
      </c>
      <c r="BH44" s="81">
        <f t="shared" si="49"/>
        <v>0</v>
      </c>
      <c r="BI44" s="81">
        <f t="shared" si="50"/>
        <v>0</v>
      </c>
      <c r="BJ44" s="81">
        <f t="shared" si="51"/>
        <v>0</v>
      </c>
      <c r="BK44" s="81">
        <f t="shared" si="52"/>
        <v>0</v>
      </c>
      <c r="BL44" s="81">
        <f t="shared" si="53"/>
        <v>0</v>
      </c>
      <c r="BM44" s="81">
        <f t="shared" si="54"/>
        <v>0</v>
      </c>
      <c r="BN44" s="81">
        <f t="shared" si="55"/>
        <v>0</v>
      </c>
      <c r="BO44" s="81">
        <f t="shared" si="56"/>
        <v>0</v>
      </c>
      <c r="BP44" s="81">
        <f t="shared" si="57"/>
        <v>0</v>
      </c>
      <c r="BQ44" s="81">
        <f t="shared" si="58"/>
        <v>0</v>
      </c>
      <c r="BR44" s="81">
        <f t="shared" si="59"/>
        <v>0</v>
      </c>
      <c r="BS44" s="81">
        <f t="shared" si="60"/>
        <v>0</v>
      </c>
      <c r="BT44" s="89">
        <f t="shared" si="61"/>
        <v>0</v>
      </c>
    </row>
    <row r="45" spans="1:72">
      <c r="A45" s="79"/>
      <c r="B45" s="1179"/>
      <c r="C45" s="1180"/>
      <c r="D45" s="2301"/>
      <c r="E45" s="81">
        <f t="shared" si="33"/>
        <v>0</v>
      </c>
      <c r="F45" s="82"/>
      <c r="G45" s="83">
        <f t="shared" si="34"/>
        <v>0</v>
      </c>
      <c r="H45" s="84">
        <f t="shared" si="35"/>
        <v>0</v>
      </c>
      <c r="I45" s="1180"/>
      <c r="J45" s="85"/>
      <c r="K45" s="1180"/>
      <c r="L45" s="85"/>
      <c r="M45" s="85"/>
      <c r="N45" s="85"/>
      <c r="O45" s="85"/>
      <c r="P45" s="85"/>
      <c r="Q45" s="85"/>
      <c r="R45" s="85"/>
      <c r="S45" s="85"/>
      <c r="T45" s="85"/>
      <c r="U45" s="85"/>
      <c r="V45" s="85"/>
      <c r="W45" s="85"/>
      <c r="X45" s="85"/>
      <c r="Y45" s="85"/>
      <c r="Z45" s="85"/>
      <c r="AA45" s="85"/>
      <c r="AB45" s="85"/>
      <c r="AC45" s="81">
        <f t="shared" si="36"/>
        <v>0</v>
      </c>
      <c r="AD45" s="86"/>
      <c r="AE45" s="86"/>
      <c r="AF45" s="1180"/>
      <c r="AG45" s="86"/>
      <c r="AH45" s="86"/>
      <c r="AI45" s="86"/>
      <c r="AJ45" s="86"/>
      <c r="AK45" s="86"/>
      <c r="AL45" s="86"/>
      <c r="AM45" s="86"/>
      <c r="AN45" s="86"/>
      <c r="AO45" s="86"/>
      <c r="AP45" s="86"/>
      <c r="AQ45" s="86"/>
      <c r="AR45" s="86"/>
      <c r="AS45" s="86"/>
      <c r="AT45" s="82"/>
      <c r="AU45" s="87"/>
      <c r="AV45" s="818">
        <f t="shared" si="37"/>
        <v>0</v>
      </c>
      <c r="AW45" s="818">
        <f t="shared" si="38"/>
        <v>0</v>
      </c>
      <c r="AX45" s="818">
        <f t="shared" si="39"/>
        <v>0</v>
      </c>
      <c r="AY45" s="88">
        <f t="shared" si="40"/>
        <v>0</v>
      </c>
      <c r="AZ45" s="81">
        <f t="shared" si="41"/>
        <v>0</v>
      </c>
      <c r="BA45" s="81">
        <f t="shared" si="42"/>
        <v>0</v>
      </c>
      <c r="BB45" s="81">
        <f t="shared" si="43"/>
        <v>0</v>
      </c>
      <c r="BC45" s="81">
        <f t="shared" si="44"/>
        <v>0</v>
      </c>
      <c r="BD45" s="81">
        <f t="shared" si="45"/>
        <v>0</v>
      </c>
      <c r="BE45" s="81">
        <f t="shared" si="46"/>
        <v>0</v>
      </c>
      <c r="BF45" s="81">
        <f t="shared" si="47"/>
        <v>0</v>
      </c>
      <c r="BG45" s="81">
        <f t="shared" si="48"/>
        <v>0</v>
      </c>
      <c r="BH45" s="81">
        <f t="shared" si="49"/>
        <v>0</v>
      </c>
      <c r="BI45" s="81">
        <f t="shared" si="50"/>
        <v>0</v>
      </c>
      <c r="BJ45" s="81">
        <f t="shared" si="51"/>
        <v>0</v>
      </c>
      <c r="BK45" s="81">
        <f t="shared" si="52"/>
        <v>0</v>
      </c>
      <c r="BL45" s="81">
        <f t="shared" si="53"/>
        <v>0</v>
      </c>
      <c r="BM45" s="81">
        <f t="shared" si="54"/>
        <v>0</v>
      </c>
      <c r="BN45" s="81">
        <f t="shared" si="55"/>
        <v>0</v>
      </c>
      <c r="BO45" s="81">
        <f t="shared" si="56"/>
        <v>0</v>
      </c>
      <c r="BP45" s="81">
        <f t="shared" si="57"/>
        <v>0</v>
      </c>
      <c r="BQ45" s="81">
        <f t="shared" si="58"/>
        <v>0</v>
      </c>
      <c r="BR45" s="81">
        <f t="shared" si="59"/>
        <v>0</v>
      </c>
      <c r="BS45" s="81">
        <f t="shared" si="60"/>
        <v>0</v>
      </c>
      <c r="BT45" s="89">
        <f t="shared" si="61"/>
        <v>0</v>
      </c>
    </row>
    <row r="46" spans="1:72">
      <c r="A46" s="79"/>
      <c r="B46" s="1179"/>
      <c r="C46" s="1180"/>
      <c r="D46" s="2301"/>
      <c r="E46" s="81">
        <f t="shared" si="33"/>
        <v>0</v>
      </c>
      <c r="F46" s="82"/>
      <c r="G46" s="83">
        <f t="shared" si="34"/>
        <v>0</v>
      </c>
      <c r="H46" s="84">
        <f t="shared" si="35"/>
        <v>0</v>
      </c>
      <c r="I46" s="1180"/>
      <c r="J46" s="85"/>
      <c r="K46" s="1180"/>
      <c r="L46" s="85"/>
      <c r="M46" s="85"/>
      <c r="N46" s="85"/>
      <c r="O46" s="85"/>
      <c r="P46" s="85"/>
      <c r="Q46" s="85"/>
      <c r="R46" s="85"/>
      <c r="S46" s="85"/>
      <c r="T46" s="85"/>
      <c r="U46" s="85"/>
      <c r="V46" s="85"/>
      <c r="W46" s="85"/>
      <c r="X46" s="85"/>
      <c r="Y46" s="85"/>
      <c r="Z46" s="85"/>
      <c r="AA46" s="85"/>
      <c r="AB46" s="85"/>
      <c r="AC46" s="81">
        <f t="shared" si="36"/>
        <v>0</v>
      </c>
      <c r="AD46" s="86"/>
      <c r="AE46" s="86"/>
      <c r="AF46" s="1180"/>
      <c r="AG46" s="86"/>
      <c r="AH46" s="86"/>
      <c r="AI46" s="86"/>
      <c r="AJ46" s="86"/>
      <c r="AK46" s="86"/>
      <c r="AL46" s="86"/>
      <c r="AM46" s="86"/>
      <c r="AN46" s="86"/>
      <c r="AO46" s="86"/>
      <c r="AP46" s="86"/>
      <c r="AQ46" s="86"/>
      <c r="AR46" s="86"/>
      <c r="AS46" s="86"/>
      <c r="AT46" s="82"/>
      <c r="AU46" s="87"/>
      <c r="AV46" s="818">
        <f t="shared" si="37"/>
        <v>0</v>
      </c>
      <c r="AW46" s="818">
        <f t="shared" si="38"/>
        <v>0</v>
      </c>
      <c r="AX46" s="818">
        <f t="shared" si="39"/>
        <v>0</v>
      </c>
      <c r="AY46" s="88">
        <f t="shared" si="40"/>
        <v>0</v>
      </c>
      <c r="AZ46" s="81">
        <f t="shared" si="41"/>
        <v>0</v>
      </c>
      <c r="BA46" s="81">
        <f t="shared" si="42"/>
        <v>0</v>
      </c>
      <c r="BB46" s="81">
        <f t="shared" si="43"/>
        <v>0</v>
      </c>
      <c r="BC46" s="81">
        <f t="shared" si="44"/>
        <v>0</v>
      </c>
      <c r="BD46" s="81">
        <f t="shared" si="45"/>
        <v>0</v>
      </c>
      <c r="BE46" s="81">
        <f t="shared" si="46"/>
        <v>0</v>
      </c>
      <c r="BF46" s="81">
        <f t="shared" si="47"/>
        <v>0</v>
      </c>
      <c r="BG46" s="81">
        <f t="shared" si="48"/>
        <v>0</v>
      </c>
      <c r="BH46" s="81">
        <f t="shared" si="49"/>
        <v>0</v>
      </c>
      <c r="BI46" s="81">
        <f t="shared" si="50"/>
        <v>0</v>
      </c>
      <c r="BJ46" s="81">
        <f t="shared" si="51"/>
        <v>0</v>
      </c>
      <c r="BK46" s="81">
        <f t="shared" si="52"/>
        <v>0</v>
      </c>
      <c r="BL46" s="81">
        <f t="shared" si="53"/>
        <v>0</v>
      </c>
      <c r="BM46" s="81">
        <f t="shared" si="54"/>
        <v>0</v>
      </c>
      <c r="BN46" s="81">
        <f t="shared" si="55"/>
        <v>0</v>
      </c>
      <c r="BO46" s="81">
        <f t="shared" si="56"/>
        <v>0</v>
      </c>
      <c r="BP46" s="81">
        <f t="shared" si="57"/>
        <v>0</v>
      </c>
      <c r="BQ46" s="81">
        <f t="shared" si="58"/>
        <v>0</v>
      </c>
      <c r="BR46" s="81">
        <f t="shared" si="59"/>
        <v>0</v>
      </c>
      <c r="BS46" s="81">
        <f t="shared" si="60"/>
        <v>0</v>
      </c>
      <c r="BT46" s="89">
        <f t="shared" si="61"/>
        <v>0</v>
      </c>
    </row>
    <row r="47" spans="1:72">
      <c r="A47" s="79"/>
      <c r="B47" s="1179"/>
      <c r="C47" s="1180"/>
      <c r="D47" s="2301"/>
      <c r="E47" s="81">
        <f t="shared" si="33"/>
        <v>0</v>
      </c>
      <c r="F47" s="82"/>
      <c r="G47" s="83">
        <f t="shared" si="34"/>
        <v>0</v>
      </c>
      <c r="H47" s="84">
        <f t="shared" si="35"/>
        <v>0</v>
      </c>
      <c r="I47" s="1180"/>
      <c r="J47" s="85"/>
      <c r="K47" s="1180"/>
      <c r="L47" s="85"/>
      <c r="M47" s="85"/>
      <c r="N47" s="85"/>
      <c r="O47" s="85"/>
      <c r="P47" s="85"/>
      <c r="Q47" s="85"/>
      <c r="R47" s="85"/>
      <c r="S47" s="85"/>
      <c r="T47" s="85"/>
      <c r="U47" s="85"/>
      <c r="V47" s="85"/>
      <c r="W47" s="85"/>
      <c r="X47" s="85"/>
      <c r="Y47" s="85"/>
      <c r="Z47" s="85"/>
      <c r="AA47" s="85"/>
      <c r="AB47" s="85"/>
      <c r="AC47" s="81">
        <f t="shared" si="36"/>
        <v>0</v>
      </c>
      <c r="AD47" s="86"/>
      <c r="AE47" s="86"/>
      <c r="AF47" s="1180"/>
      <c r="AG47" s="86"/>
      <c r="AH47" s="86"/>
      <c r="AI47" s="86"/>
      <c r="AJ47" s="86"/>
      <c r="AK47" s="86"/>
      <c r="AL47" s="86"/>
      <c r="AM47" s="86"/>
      <c r="AN47" s="86"/>
      <c r="AO47" s="86"/>
      <c r="AP47" s="86"/>
      <c r="AQ47" s="86"/>
      <c r="AR47" s="86"/>
      <c r="AS47" s="86"/>
      <c r="AT47" s="82"/>
      <c r="AU47" s="87"/>
      <c r="AV47" s="818">
        <f t="shared" si="37"/>
        <v>0</v>
      </c>
      <c r="AW47" s="818">
        <f t="shared" si="38"/>
        <v>0</v>
      </c>
      <c r="AX47" s="818">
        <f t="shared" si="39"/>
        <v>0</v>
      </c>
      <c r="AY47" s="88">
        <f t="shared" si="40"/>
        <v>0</v>
      </c>
      <c r="AZ47" s="81">
        <f t="shared" si="41"/>
        <v>0</v>
      </c>
      <c r="BA47" s="81">
        <f t="shared" si="42"/>
        <v>0</v>
      </c>
      <c r="BB47" s="81">
        <f t="shared" si="43"/>
        <v>0</v>
      </c>
      <c r="BC47" s="81">
        <f t="shared" si="44"/>
        <v>0</v>
      </c>
      <c r="BD47" s="81">
        <f t="shared" si="45"/>
        <v>0</v>
      </c>
      <c r="BE47" s="81">
        <f t="shared" si="46"/>
        <v>0</v>
      </c>
      <c r="BF47" s="81">
        <f t="shared" si="47"/>
        <v>0</v>
      </c>
      <c r="BG47" s="81">
        <f t="shared" si="48"/>
        <v>0</v>
      </c>
      <c r="BH47" s="81">
        <f t="shared" si="49"/>
        <v>0</v>
      </c>
      <c r="BI47" s="81">
        <f t="shared" si="50"/>
        <v>0</v>
      </c>
      <c r="BJ47" s="81">
        <f t="shared" si="51"/>
        <v>0</v>
      </c>
      <c r="BK47" s="81">
        <f t="shared" si="52"/>
        <v>0</v>
      </c>
      <c r="BL47" s="81">
        <f t="shared" si="53"/>
        <v>0</v>
      </c>
      <c r="BM47" s="81">
        <f t="shared" si="54"/>
        <v>0</v>
      </c>
      <c r="BN47" s="81">
        <f t="shared" si="55"/>
        <v>0</v>
      </c>
      <c r="BO47" s="81">
        <f t="shared" si="56"/>
        <v>0</v>
      </c>
      <c r="BP47" s="81">
        <f t="shared" si="57"/>
        <v>0</v>
      </c>
      <c r="BQ47" s="81">
        <f t="shared" si="58"/>
        <v>0</v>
      </c>
      <c r="BR47" s="81">
        <f t="shared" si="59"/>
        <v>0</v>
      </c>
      <c r="BS47" s="81">
        <f t="shared" si="60"/>
        <v>0</v>
      </c>
      <c r="BT47" s="89">
        <f t="shared" si="61"/>
        <v>0</v>
      </c>
    </row>
    <row r="48" spans="1:72">
      <c r="A48" s="79"/>
      <c r="B48" s="1179"/>
      <c r="C48" s="1180"/>
      <c r="D48" s="2301"/>
      <c r="E48" s="81">
        <f t="shared" si="33"/>
        <v>0</v>
      </c>
      <c r="F48" s="82"/>
      <c r="G48" s="83">
        <f t="shared" si="34"/>
        <v>0</v>
      </c>
      <c r="H48" s="84">
        <f t="shared" si="35"/>
        <v>0</v>
      </c>
      <c r="I48" s="1180"/>
      <c r="J48" s="85"/>
      <c r="K48" s="1180"/>
      <c r="L48" s="85"/>
      <c r="M48" s="85"/>
      <c r="N48" s="85"/>
      <c r="O48" s="85"/>
      <c r="P48" s="85"/>
      <c r="Q48" s="85"/>
      <c r="R48" s="85"/>
      <c r="S48" s="85"/>
      <c r="T48" s="85"/>
      <c r="U48" s="85"/>
      <c r="V48" s="85"/>
      <c r="W48" s="85"/>
      <c r="X48" s="85"/>
      <c r="Y48" s="85"/>
      <c r="Z48" s="85"/>
      <c r="AA48" s="85"/>
      <c r="AB48" s="85"/>
      <c r="AC48" s="81">
        <f t="shared" si="36"/>
        <v>0</v>
      </c>
      <c r="AD48" s="86"/>
      <c r="AE48" s="86"/>
      <c r="AF48" s="1180"/>
      <c r="AG48" s="86"/>
      <c r="AH48" s="86"/>
      <c r="AI48" s="86"/>
      <c r="AJ48" s="86"/>
      <c r="AK48" s="86"/>
      <c r="AL48" s="86"/>
      <c r="AM48" s="86"/>
      <c r="AN48" s="86"/>
      <c r="AO48" s="86"/>
      <c r="AP48" s="86"/>
      <c r="AQ48" s="86"/>
      <c r="AR48" s="86"/>
      <c r="AS48" s="86"/>
      <c r="AT48" s="82"/>
      <c r="AU48" s="87"/>
      <c r="AV48" s="818">
        <f t="shared" si="37"/>
        <v>0</v>
      </c>
      <c r="AW48" s="818">
        <f t="shared" si="38"/>
        <v>0</v>
      </c>
      <c r="AX48" s="818">
        <f t="shared" si="39"/>
        <v>0</v>
      </c>
      <c r="AY48" s="88">
        <f t="shared" si="40"/>
        <v>0</v>
      </c>
      <c r="AZ48" s="81">
        <f t="shared" si="41"/>
        <v>0</v>
      </c>
      <c r="BA48" s="81">
        <f t="shared" si="42"/>
        <v>0</v>
      </c>
      <c r="BB48" s="81">
        <f t="shared" si="43"/>
        <v>0</v>
      </c>
      <c r="BC48" s="81">
        <f t="shared" si="44"/>
        <v>0</v>
      </c>
      <c r="BD48" s="81">
        <f t="shared" si="45"/>
        <v>0</v>
      </c>
      <c r="BE48" s="81">
        <f t="shared" si="46"/>
        <v>0</v>
      </c>
      <c r="BF48" s="81">
        <f t="shared" si="47"/>
        <v>0</v>
      </c>
      <c r="BG48" s="81">
        <f t="shared" si="48"/>
        <v>0</v>
      </c>
      <c r="BH48" s="81">
        <f t="shared" si="49"/>
        <v>0</v>
      </c>
      <c r="BI48" s="81">
        <f t="shared" si="50"/>
        <v>0</v>
      </c>
      <c r="BJ48" s="81">
        <f t="shared" si="51"/>
        <v>0</v>
      </c>
      <c r="BK48" s="81">
        <f t="shared" si="52"/>
        <v>0</v>
      </c>
      <c r="BL48" s="81">
        <f t="shared" si="53"/>
        <v>0</v>
      </c>
      <c r="BM48" s="81">
        <f t="shared" si="54"/>
        <v>0</v>
      </c>
      <c r="BN48" s="81">
        <f t="shared" si="55"/>
        <v>0</v>
      </c>
      <c r="BO48" s="81">
        <f t="shared" si="56"/>
        <v>0</v>
      </c>
      <c r="BP48" s="81">
        <f t="shared" si="57"/>
        <v>0</v>
      </c>
      <c r="BQ48" s="81">
        <f t="shared" si="58"/>
        <v>0</v>
      </c>
      <c r="BR48" s="81">
        <f t="shared" si="59"/>
        <v>0</v>
      </c>
      <c r="BS48" s="81">
        <f t="shared" si="60"/>
        <v>0</v>
      </c>
      <c r="BT48" s="89">
        <f t="shared" si="61"/>
        <v>0</v>
      </c>
    </row>
    <row r="49" spans="1:72">
      <c r="A49" s="79"/>
      <c r="B49" s="1179"/>
      <c r="C49" s="1180"/>
      <c r="D49" s="2301"/>
      <c r="E49" s="81">
        <f t="shared" si="33"/>
        <v>0</v>
      </c>
      <c r="F49" s="82"/>
      <c r="G49" s="83">
        <f t="shared" si="34"/>
        <v>0</v>
      </c>
      <c r="H49" s="84">
        <f t="shared" si="35"/>
        <v>0</v>
      </c>
      <c r="I49" s="1180"/>
      <c r="J49" s="85"/>
      <c r="K49" s="1180"/>
      <c r="L49" s="85"/>
      <c r="M49" s="85"/>
      <c r="N49" s="85"/>
      <c r="O49" s="85"/>
      <c r="P49" s="85"/>
      <c r="Q49" s="85"/>
      <c r="R49" s="85"/>
      <c r="S49" s="85"/>
      <c r="T49" s="85"/>
      <c r="U49" s="85"/>
      <c r="V49" s="85"/>
      <c r="W49" s="85"/>
      <c r="X49" s="85"/>
      <c r="Y49" s="85"/>
      <c r="Z49" s="85"/>
      <c r="AA49" s="85"/>
      <c r="AB49" s="85"/>
      <c r="AC49" s="81">
        <f t="shared" si="36"/>
        <v>0</v>
      </c>
      <c r="AD49" s="86"/>
      <c r="AE49" s="86"/>
      <c r="AF49" s="1180"/>
      <c r="AG49" s="86"/>
      <c r="AH49" s="86"/>
      <c r="AI49" s="86"/>
      <c r="AJ49" s="86"/>
      <c r="AK49" s="86"/>
      <c r="AL49" s="86"/>
      <c r="AM49" s="86"/>
      <c r="AN49" s="86"/>
      <c r="AO49" s="86"/>
      <c r="AP49" s="86"/>
      <c r="AQ49" s="86"/>
      <c r="AR49" s="86"/>
      <c r="AS49" s="86"/>
      <c r="AT49" s="82"/>
      <c r="AU49" s="87"/>
      <c r="AV49" s="818">
        <f t="shared" si="37"/>
        <v>0</v>
      </c>
      <c r="AW49" s="818">
        <f t="shared" si="38"/>
        <v>0</v>
      </c>
      <c r="AX49" s="818">
        <f t="shared" si="39"/>
        <v>0</v>
      </c>
      <c r="AY49" s="88">
        <f t="shared" si="40"/>
        <v>0</v>
      </c>
      <c r="AZ49" s="81">
        <f t="shared" si="41"/>
        <v>0</v>
      </c>
      <c r="BA49" s="81">
        <f t="shared" si="42"/>
        <v>0</v>
      </c>
      <c r="BB49" s="81">
        <f t="shared" si="43"/>
        <v>0</v>
      </c>
      <c r="BC49" s="81">
        <f t="shared" si="44"/>
        <v>0</v>
      </c>
      <c r="BD49" s="81">
        <f t="shared" si="45"/>
        <v>0</v>
      </c>
      <c r="BE49" s="81">
        <f t="shared" si="46"/>
        <v>0</v>
      </c>
      <c r="BF49" s="81">
        <f t="shared" si="47"/>
        <v>0</v>
      </c>
      <c r="BG49" s="81">
        <f t="shared" si="48"/>
        <v>0</v>
      </c>
      <c r="BH49" s="81">
        <f t="shared" si="49"/>
        <v>0</v>
      </c>
      <c r="BI49" s="81">
        <f t="shared" si="50"/>
        <v>0</v>
      </c>
      <c r="BJ49" s="81">
        <f t="shared" si="51"/>
        <v>0</v>
      </c>
      <c r="BK49" s="81">
        <f t="shared" si="52"/>
        <v>0</v>
      </c>
      <c r="BL49" s="81">
        <f t="shared" si="53"/>
        <v>0</v>
      </c>
      <c r="BM49" s="81">
        <f t="shared" si="54"/>
        <v>0</v>
      </c>
      <c r="BN49" s="81">
        <f t="shared" si="55"/>
        <v>0</v>
      </c>
      <c r="BO49" s="81">
        <f t="shared" si="56"/>
        <v>0</v>
      </c>
      <c r="BP49" s="81">
        <f t="shared" si="57"/>
        <v>0</v>
      </c>
      <c r="BQ49" s="81">
        <f t="shared" si="58"/>
        <v>0</v>
      </c>
      <c r="BR49" s="81">
        <f t="shared" si="59"/>
        <v>0</v>
      </c>
      <c r="BS49" s="81">
        <f t="shared" si="60"/>
        <v>0</v>
      </c>
      <c r="BT49" s="89">
        <f t="shared" si="61"/>
        <v>0</v>
      </c>
    </row>
    <row r="50" spans="1:72">
      <c r="A50" s="79"/>
      <c r="B50" s="1179"/>
      <c r="C50" s="1180"/>
      <c r="D50" s="2301"/>
      <c r="E50" s="81">
        <f t="shared" si="33"/>
        <v>0</v>
      </c>
      <c r="F50" s="82"/>
      <c r="G50" s="83">
        <f t="shared" si="34"/>
        <v>0</v>
      </c>
      <c r="H50" s="84">
        <f t="shared" si="35"/>
        <v>0</v>
      </c>
      <c r="I50" s="1180"/>
      <c r="J50" s="85"/>
      <c r="K50" s="1180"/>
      <c r="L50" s="85"/>
      <c r="M50" s="85"/>
      <c r="N50" s="85"/>
      <c r="O50" s="85"/>
      <c r="P50" s="85"/>
      <c r="Q50" s="85"/>
      <c r="R50" s="85"/>
      <c r="S50" s="85"/>
      <c r="T50" s="85"/>
      <c r="U50" s="85"/>
      <c r="V50" s="85"/>
      <c r="W50" s="85"/>
      <c r="X50" s="85"/>
      <c r="Y50" s="85"/>
      <c r="Z50" s="85"/>
      <c r="AA50" s="85"/>
      <c r="AB50" s="85"/>
      <c r="AC50" s="81">
        <f t="shared" si="36"/>
        <v>0</v>
      </c>
      <c r="AD50" s="86"/>
      <c r="AE50" s="86"/>
      <c r="AF50" s="1180"/>
      <c r="AG50" s="86"/>
      <c r="AH50" s="86"/>
      <c r="AI50" s="86"/>
      <c r="AJ50" s="86"/>
      <c r="AK50" s="86"/>
      <c r="AL50" s="86"/>
      <c r="AM50" s="86"/>
      <c r="AN50" s="86"/>
      <c r="AO50" s="86"/>
      <c r="AP50" s="86"/>
      <c r="AQ50" s="86"/>
      <c r="AR50" s="86"/>
      <c r="AS50" s="86"/>
      <c r="AT50" s="82"/>
      <c r="AU50" s="87"/>
      <c r="AV50" s="818">
        <f t="shared" si="37"/>
        <v>0</v>
      </c>
      <c r="AW50" s="818">
        <f t="shared" si="38"/>
        <v>0</v>
      </c>
      <c r="AX50" s="818">
        <f t="shared" si="39"/>
        <v>0</v>
      </c>
      <c r="AY50" s="88">
        <f t="shared" si="40"/>
        <v>0</v>
      </c>
      <c r="AZ50" s="81">
        <f t="shared" si="41"/>
        <v>0</v>
      </c>
      <c r="BA50" s="81">
        <f t="shared" si="42"/>
        <v>0</v>
      </c>
      <c r="BB50" s="81">
        <f t="shared" si="43"/>
        <v>0</v>
      </c>
      <c r="BC50" s="81">
        <f t="shared" si="44"/>
        <v>0</v>
      </c>
      <c r="BD50" s="81">
        <f t="shared" si="45"/>
        <v>0</v>
      </c>
      <c r="BE50" s="81">
        <f t="shared" si="46"/>
        <v>0</v>
      </c>
      <c r="BF50" s="81">
        <f t="shared" si="47"/>
        <v>0</v>
      </c>
      <c r="BG50" s="81">
        <f t="shared" si="48"/>
        <v>0</v>
      </c>
      <c r="BH50" s="81">
        <f t="shared" si="49"/>
        <v>0</v>
      </c>
      <c r="BI50" s="81">
        <f t="shared" si="50"/>
        <v>0</v>
      </c>
      <c r="BJ50" s="81">
        <f t="shared" si="51"/>
        <v>0</v>
      </c>
      <c r="BK50" s="81">
        <f t="shared" si="52"/>
        <v>0</v>
      </c>
      <c r="BL50" s="81">
        <f t="shared" si="53"/>
        <v>0</v>
      </c>
      <c r="BM50" s="81">
        <f t="shared" si="54"/>
        <v>0</v>
      </c>
      <c r="BN50" s="81">
        <f t="shared" si="55"/>
        <v>0</v>
      </c>
      <c r="BO50" s="81">
        <f t="shared" si="56"/>
        <v>0</v>
      </c>
      <c r="BP50" s="81">
        <f t="shared" si="57"/>
        <v>0</v>
      </c>
      <c r="BQ50" s="81">
        <f t="shared" si="58"/>
        <v>0</v>
      </c>
      <c r="BR50" s="81">
        <f t="shared" si="59"/>
        <v>0</v>
      </c>
      <c r="BS50" s="81">
        <f t="shared" si="60"/>
        <v>0</v>
      </c>
      <c r="BT50" s="89">
        <f t="shared" si="61"/>
        <v>0</v>
      </c>
    </row>
    <row r="51" spans="1:72">
      <c r="A51" s="79"/>
      <c r="B51" s="1179"/>
      <c r="C51" s="1180"/>
      <c r="D51" s="2301"/>
      <c r="E51" s="81">
        <f t="shared" si="33"/>
        <v>0</v>
      </c>
      <c r="F51" s="82"/>
      <c r="G51" s="83">
        <f t="shared" si="34"/>
        <v>0</v>
      </c>
      <c r="H51" s="84">
        <f t="shared" si="35"/>
        <v>0</v>
      </c>
      <c r="I51" s="1180"/>
      <c r="J51" s="85"/>
      <c r="K51" s="1180"/>
      <c r="L51" s="85"/>
      <c r="M51" s="85"/>
      <c r="N51" s="85"/>
      <c r="O51" s="85"/>
      <c r="P51" s="85"/>
      <c r="Q51" s="85"/>
      <c r="R51" s="85"/>
      <c r="S51" s="85"/>
      <c r="T51" s="85"/>
      <c r="U51" s="85"/>
      <c r="V51" s="85"/>
      <c r="W51" s="85"/>
      <c r="X51" s="85"/>
      <c r="Y51" s="85"/>
      <c r="Z51" s="85"/>
      <c r="AA51" s="85"/>
      <c r="AB51" s="85"/>
      <c r="AC51" s="81">
        <f t="shared" si="36"/>
        <v>0</v>
      </c>
      <c r="AD51" s="86"/>
      <c r="AE51" s="86"/>
      <c r="AF51" s="1180"/>
      <c r="AG51" s="86"/>
      <c r="AH51" s="86"/>
      <c r="AI51" s="86"/>
      <c r="AJ51" s="86"/>
      <c r="AK51" s="86"/>
      <c r="AL51" s="86"/>
      <c r="AM51" s="86"/>
      <c r="AN51" s="86"/>
      <c r="AO51" s="86"/>
      <c r="AP51" s="86"/>
      <c r="AQ51" s="86"/>
      <c r="AR51" s="86"/>
      <c r="AS51" s="86"/>
      <c r="AT51" s="82"/>
      <c r="AU51" s="87"/>
      <c r="AV51" s="818">
        <f t="shared" si="37"/>
        <v>0</v>
      </c>
      <c r="AW51" s="818">
        <f t="shared" si="38"/>
        <v>0</v>
      </c>
      <c r="AX51" s="818">
        <f t="shared" si="39"/>
        <v>0</v>
      </c>
      <c r="AY51" s="88">
        <f t="shared" si="40"/>
        <v>0</v>
      </c>
      <c r="AZ51" s="81">
        <f t="shared" si="41"/>
        <v>0</v>
      </c>
      <c r="BA51" s="81">
        <f t="shared" si="42"/>
        <v>0</v>
      </c>
      <c r="BB51" s="81">
        <f t="shared" si="43"/>
        <v>0</v>
      </c>
      <c r="BC51" s="81">
        <f t="shared" si="44"/>
        <v>0</v>
      </c>
      <c r="BD51" s="81">
        <f t="shared" si="45"/>
        <v>0</v>
      </c>
      <c r="BE51" s="81">
        <f t="shared" si="46"/>
        <v>0</v>
      </c>
      <c r="BF51" s="81">
        <f t="shared" si="47"/>
        <v>0</v>
      </c>
      <c r="BG51" s="81">
        <f t="shared" si="48"/>
        <v>0</v>
      </c>
      <c r="BH51" s="81">
        <f t="shared" si="49"/>
        <v>0</v>
      </c>
      <c r="BI51" s="81">
        <f t="shared" si="50"/>
        <v>0</v>
      </c>
      <c r="BJ51" s="81">
        <f t="shared" si="51"/>
        <v>0</v>
      </c>
      <c r="BK51" s="81">
        <f t="shared" si="52"/>
        <v>0</v>
      </c>
      <c r="BL51" s="81">
        <f t="shared" si="53"/>
        <v>0</v>
      </c>
      <c r="BM51" s="81">
        <f t="shared" si="54"/>
        <v>0</v>
      </c>
      <c r="BN51" s="81">
        <f t="shared" si="55"/>
        <v>0</v>
      </c>
      <c r="BO51" s="81">
        <f t="shared" si="56"/>
        <v>0</v>
      </c>
      <c r="BP51" s="81">
        <f t="shared" si="57"/>
        <v>0</v>
      </c>
      <c r="BQ51" s="81">
        <f t="shared" si="58"/>
        <v>0</v>
      </c>
      <c r="BR51" s="81">
        <f t="shared" si="59"/>
        <v>0</v>
      </c>
      <c r="BS51" s="81">
        <f t="shared" si="60"/>
        <v>0</v>
      </c>
      <c r="BT51" s="89">
        <f t="shared" si="61"/>
        <v>0</v>
      </c>
    </row>
    <row r="52" spans="1:72">
      <c r="A52" s="79"/>
      <c r="B52" s="1179"/>
      <c r="C52" s="1180"/>
      <c r="D52" s="2301"/>
      <c r="E52" s="81">
        <f t="shared" si="33"/>
        <v>0</v>
      </c>
      <c r="F52" s="82"/>
      <c r="G52" s="83">
        <f t="shared" si="34"/>
        <v>0</v>
      </c>
      <c r="H52" s="84">
        <f t="shared" si="35"/>
        <v>0</v>
      </c>
      <c r="I52" s="1180"/>
      <c r="J52" s="85"/>
      <c r="K52" s="1180"/>
      <c r="L52" s="85"/>
      <c r="M52" s="85"/>
      <c r="N52" s="85"/>
      <c r="O52" s="85"/>
      <c r="P52" s="85"/>
      <c r="Q52" s="85"/>
      <c r="R52" s="85"/>
      <c r="S52" s="85"/>
      <c r="T52" s="85"/>
      <c r="U52" s="85"/>
      <c r="V52" s="85"/>
      <c r="W52" s="85"/>
      <c r="X52" s="85"/>
      <c r="Y52" s="85"/>
      <c r="Z52" s="85"/>
      <c r="AA52" s="85"/>
      <c r="AB52" s="85"/>
      <c r="AC52" s="81">
        <f t="shared" si="36"/>
        <v>0</v>
      </c>
      <c r="AD52" s="86"/>
      <c r="AE52" s="86"/>
      <c r="AF52" s="1180"/>
      <c r="AG52" s="86"/>
      <c r="AH52" s="86"/>
      <c r="AI52" s="86"/>
      <c r="AJ52" s="86"/>
      <c r="AK52" s="86"/>
      <c r="AL52" s="86"/>
      <c r="AM52" s="86"/>
      <c r="AN52" s="86"/>
      <c r="AO52" s="86"/>
      <c r="AP52" s="86"/>
      <c r="AQ52" s="86"/>
      <c r="AR52" s="86"/>
      <c r="AS52" s="86"/>
      <c r="AT52" s="82"/>
      <c r="AU52" s="87"/>
      <c r="AV52" s="818">
        <f t="shared" si="37"/>
        <v>0</v>
      </c>
      <c r="AW52" s="818">
        <f t="shared" si="38"/>
        <v>0</v>
      </c>
      <c r="AX52" s="818">
        <f t="shared" si="39"/>
        <v>0</v>
      </c>
      <c r="AY52" s="88">
        <f t="shared" si="40"/>
        <v>0</v>
      </c>
      <c r="AZ52" s="81">
        <f t="shared" si="41"/>
        <v>0</v>
      </c>
      <c r="BA52" s="81">
        <f t="shared" si="42"/>
        <v>0</v>
      </c>
      <c r="BB52" s="81">
        <f t="shared" si="43"/>
        <v>0</v>
      </c>
      <c r="BC52" s="81">
        <f t="shared" si="44"/>
        <v>0</v>
      </c>
      <c r="BD52" s="81">
        <f t="shared" si="45"/>
        <v>0</v>
      </c>
      <c r="BE52" s="81">
        <f t="shared" si="46"/>
        <v>0</v>
      </c>
      <c r="BF52" s="81">
        <f t="shared" si="47"/>
        <v>0</v>
      </c>
      <c r="BG52" s="81">
        <f t="shared" si="48"/>
        <v>0</v>
      </c>
      <c r="BH52" s="81">
        <f t="shared" si="49"/>
        <v>0</v>
      </c>
      <c r="BI52" s="81">
        <f t="shared" si="50"/>
        <v>0</v>
      </c>
      <c r="BJ52" s="81">
        <f t="shared" si="51"/>
        <v>0</v>
      </c>
      <c r="BK52" s="81">
        <f t="shared" si="52"/>
        <v>0</v>
      </c>
      <c r="BL52" s="81">
        <f t="shared" si="53"/>
        <v>0</v>
      </c>
      <c r="BM52" s="81">
        <f t="shared" si="54"/>
        <v>0</v>
      </c>
      <c r="BN52" s="81">
        <f t="shared" si="55"/>
        <v>0</v>
      </c>
      <c r="BO52" s="81">
        <f t="shared" si="56"/>
        <v>0</v>
      </c>
      <c r="BP52" s="81">
        <f t="shared" si="57"/>
        <v>0</v>
      </c>
      <c r="BQ52" s="81">
        <f t="shared" si="58"/>
        <v>0</v>
      </c>
      <c r="BR52" s="81">
        <f t="shared" si="59"/>
        <v>0</v>
      </c>
      <c r="BS52" s="81">
        <f t="shared" si="60"/>
        <v>0</v>
      </c>
      <c r="BT52" s="89">
        <f t="shared" si="61"/>
        <v>0</v>
      </c>
    </row>
    <row r="53" spans="1:72">
      <c r="A53" s="79"/>
      <c r="B53" s="1179"/>
      <c r="C53" s="1180"/>
      <c r="D53" s="2301"/>
      <c r="E53" s="81">
        <f t="shared" si="33"/>
        <v>0</v>
      </c>
      <c r="F53" s="82"/>
      <c r="G53" s="83">
        <f t="shared" si="34"/>
        <v>0</v>
      </c>
      <c r="H53" s="84">
        <f t="shared" si="35"/>
        <v>0</v>
      </c>
      <c r="I53" s="1180"/>
      <c r="J53" s="85"/>
      <c r="K53" s="1180"/>
      <c r="L53" s="85"/>
      <c r="M53" s="85"/>
      <c r="N53" s="85"/>
      <c r="O53" s="85"/>
      <c r="P53" s="85"/>
      <c r="Q53" s="85"/>
      <c r="R53" s="85"/>
      <c r="S53" s="85"/>
      <c r="T53" s="85"/>
      <c r="U53" s="85"/>
      <c r="V53" s="85"/>
      <c r="W53" s="85"/>
      <c r="X53" s="85"/>
      <c r="Y53" s="85"/>
      <c r="Z53" s="85"/>
      <c r="AA53" s="85"/>
      <c r="AB53" s="85"/>
      <c r="AC53" s="81">
        <f t="shared" si="36"/>
        <v>0</v>
      </c>
      <c r="AD53" s="86"/>
      <c r="AE53" s="86"/>
      <c r="AF53" s="1180"/>
      <c r="AG53" s="86"/>
      <c r="AH53" s="86"/>
      <c r="AI53" s="86"/>
      <c r="AJ53" s="86"/>
      <c r="AK53" s="86"/>
      <c r="AL53" s="86"/>
      <c r="AM53" s="86"/>
      <c r="AN53" s="86"/>
      <c r="AO53" s="86"/>
      <c r="AP53" s="86"/>
      <c r="AQ53" s="86"/>
      <c r="AR53" s="86"/>
      <c r="AS53" s="86"/>
      <c r="AT53" s="82"/>
      <c r="AU53" s="87"/>
      <c r="AV53" s="818">
        <f t="shared" si="37"/>
        <v>0</v>
      </c>
      <c r="AW53" s="818">
        <f t="shared" si="38"/>
        <v>0</v>
      </c>
      <c r="AX53" s="818">
        <f t="shared" si="39"/>
        <v>0</v>
      </c>
      <c r="AY53" s="88">
        <f t="shared" si="40"/>
        <v>0</v>
      </c>
      <c r="AZ53" s="81">
        <f t="shared" si="41"/>
        <v>0</v>
      </c>
      <c r="BA53" s="81">
        <f t="shared" si="42"/>
        <v>0</v>
      </c>
      <c r="BB53" s="81">
        <f t="shared" si="43"/>
        <v>0</v>
      </c>
      <c r="BC53" s="81">
        <f t="shared" si="44"/>
        <v>0</v>
      </c>
      <c r="BD53" s="81">
        <f t="shared" si="45"/>
        <v>0</v>
      </c>
      <c r="BE53" s="81">
        <f t="shared" si="46"/>
        <v>0</v>
      </c>
      <c r="BF53" s="81">
        <f t="shared" si="47"/>
        <v>0</v>
      </c>
      <c r="BG53" s="81">
        <f t="shared" si="48"/>
        <v>0</v>
      </c>
      <c r="BH53" s="81">
        <f t="shared" si="49"/>
        <v>0</v>
      </c>
      <c r="BI53" s="81">
        <f t="shared" si="50"/>
        <v>0</v>
      </c>
      <c r="BJ53" s="81">
        <f t="shared" si="51"/>
        <v>0</v>
      </c>
      <c r="BK53" s="81">
        <f t="shared" si="52"/>
        <v>0</v>
      </c>
      <c r="BL53" s="81">
        <f t="shared" si="53"/>
        <v>0</v>
      </c>
      <c r="BM53" s="81">
        <f t="shared" si="54"/>
        <v>0</v>
      </c>
      <c r="BN53" s="81">
        <f t="shared" si="55"/>
        <v>0</v>
      </c>
      <c r="BO53" s="81">
        <f t="shared" si="56"/>
        <v>0</v>
      </c>
      <c r="BP53" s="81">
        <f t="shared" si="57"/>
        <v>0</v>
      </c>
      <c r="BQ53" s="81">
        <f t="shared" si="58"/>
        <v>0</v>
      </c>
      <c r="BR53" s="81">
        <f t="shared" si="59"/>
        <v>0</v>
      </c>
      <c r="BS53" s="81">
        <f t="shared" si="60"/>
        <v>0</v>
      </c>
      <c r="BT53" s="89">
        <f t="shared" si="61"/>
        <v>0</v>
      </c>
    </row>
    <row r="54" spans="1:72">
      <c r="A54" s="79"/>
      <c r="B54" s="1179"/>
      <c r="C54" s="1180"/>
      <c r="D54" s="2301"/>
      <c r="E54" s="81">
        <f t="shared" si="33"/>
        <v>0</v>
      </c>
      <c r="F54" s="82"/>
      <c r="G54" s="83">
        <f t="shared" si="34"/>
        <v>0</v>
      </c>
      <c r="H54" s="84">
        <f t="shared" si="35"/>
        <v>0</v>
      </c>
      <c r="I54" s="1180"/>
      <c r="J54" s="85"/>
      <c r="K54" s="1180"/>
      <c r="L54" s="85"/>
      <c r="M54" s="85"/>
      <c r="N54" s="85"/>
      <c r="O54" s="85"/>
      <c r="P54" s="85"/>
      <c r="Q54" s="85"/>
      <c r="R54" s="85"/>
      <c r="S54" s="85"/>
      <c r="T54" s="85"/>
      <c r="U54" s="85"/>
      <c r="V54" s="85"/>
      <c r="W54" s="85"/>
      <c r="X54" s="85"/>
      <c r="Y54" s="85"/>
      <c r="Z54" s="85"/>
      <c r="AA54" s="85"/>
      <c r="AB54" s="85"/>
      <c r="AC54" s="81">
        <f t="shared" si="36"/>
        <v>0</v>
      </c>
      <c r="AD54" s="86"/>
      <c r="AE54" s="86"/>
      <c r="AF54" s="1180"/>
      <c r="AG54" s="86"/>
      <c r="AH54" s="86"/>
      <c r="AI54" s="86"/>
      <c r="AJ54" s="86"/>
      <c r="AK54" s="86"/>
      <c r="AL54" s="86"/>
      <c r="AM54" s="86"/>
      <c r="AN54" s="86"/>
      <c r="AO54" s="86"/>
      <c r="AP54" s="86"/>
      <c r="AQ54" s="86"/>
      <c r="AR54" s="86"/>
      <c r="AS54" s="86"/>
      <c r="AT54" s="82"/>
      <c r="AU54" s="87"/>
      <c r="AV54" s="818">
        <f t="shared" si="37"/>
        <v>0</v>
      </c>
      <c r="AW54" s="818">
        <f t="shared" si="38"/>
        <v>0</v>
      </c>
      <c r="AX54" s="818">
        <f t="shared" si="39"/>
        <v>0</v>
      </c>
      <c r="AY54" s="88">
        <f t="shared" si="40"/>
        <v>0</v>
      </c>
      <c r="AZ54" s="81">
        <f t="shared" si="41"/>
        <v>0</v>
      </c>
      <c r="BA54" s="81">
        <f t="shared" si="42"/>
        <v>0</v>
      </c>
      <c r="BB54" s="81">
        <f t="shared" si="43"/>
        <v>0</v>
      </c>
      <c r="BC54" s="81">
        <f t="shared" si="44"/>
        <v>0</v>
      </c>
      <c r="BD54" s="81">
        <f t="shared" si="45"/>
        <v>0</v>
      </c>
      <c r="BE54" s="81">
        <f t="shared" si="46"/>
        <v>0</v>
      </c>
      <c r="BF54" s="81">
        <f t="shared" si="47"/>
        <v>0</v>
      </c>
      <c r="BG54" s="81">
        <f t="shared" si="48"/>
        <v>0</v>
      </c>
      <c r="BH54" s="81">
        <f t="shared" si="49"/>
        <v>0</v>
      </c>
      <c r="BI54" s="81">
        <f t="shared" si="50"/>
        <v>0</v>
      </c>
      <c r="BJ54" s="81">
        <f t="shared" si="51"/>
        <v>0</v>
      </c>
      <c r="BK54" s="81">
        <f t="shared" si="52"/>
        <v>0</v>
      </c>
      <c r="BL54" s="81">
        <f t="shared" si="53"/>
        <v>0</v>
      </c>
      <c r="BM54" s="81">
        <f t="shared" si="54"/>
        <v>0</v>
      </c>
      <c r="BN54" s="81">
        <f t="shared" si="55"/>
        <v>0</v>
      </c>
      <c r="BO54" s="81">
        <f t="shared" si="56"/>
        <v>0</v>
      </c>
      <c r="BP54" s="81">
        <f t="shared" si="57"/>
        <v>0</v>
      </c>
      <c r="BQ54" s="81">
        <f t="shared" si="58"/>
        <v>0</v>
      </c>
      <c r="BR54" s="81">
        <f t="shared" si="59"/>
        <v>0</v>
      </c>
      <c r="BS54" s="81">
        <f t="shared" si="60"/>
        <v>0</v>
      </c>
      <c r="BT54" s="89">
        <f t="shared" si="61"/>
        <v>0</v>
      </c>
    </row>
    <row r="55" spans="1:72">
      <c r="A55" s="79"/>
      <c r="B55" s="1179"/>
      <c r="C55" s="1180"/>
      <c r="D55" s="2301"/>
      <c r="E55" s="81">
        <f t="shared" si="33"/>
        <v>0</v>
      </c>
      <c r="F55" s="82"/>
      <c r="G55" s="83">
        <f t="shared" si="34"/>
        <v>0</v>
      </c>
      <c r="H55" s="84">
        <f t="shared" si="35"/>
        <v>0</v>
      </c>
      <c r="I55" s="1180"/>
      <c r="J55" s="85"/>
      <c r="K55" s="1180"/>
      <c r="L55" s="85"/>
      <c r="M55" s="1180"/>
      <c r="N55" s="85"/>
      <c r="O55" s="85"/>
      <c r="P55" s="85"/>
      <c r="Q55" s="85"/>
      <c r="R55" s="85"/>
      <c r="S55" s="85"/>
      <c r="T55" s="85"/>
      <c r="U55" s="85"/>
      <c r="V55" s="85"/>
      <c r="W55" s="85"/>
      <c r="X55" s="85"/>
      <c r="Y55" s="85"/>
      <c r="Z55" s="85"/>
      <c r="AA55" s="85"/>
      <c r="AB55" s="85"/>
      <c r="AC55" s="81">
        <f t="shared" si="36"/>
        <v>0</v>
      </c>
      <c r="AD55" s="86"/>
      <c r="AE55" s="86"/>
      <c r="AF55" s="1180"/>
      <c r="AG55" s="86"/>
      <c r="AH55" s="86"/>
      <c r="AI55" s="86"/>
      <c r="AJ55" s="86"/>
      <c r="AK55" s="86"/>
      <c r="AL55" s="86"/>
      <c r="AM55" s="86"/>
      <c r="AN55" s="86"/>
      <c r="AO55" s="86"/>
      <c r="AP55" s="86"/>
      <c r="AQ55" s="86"/>
      <c r="AR55" s="86"/>
      <c r="AS55" s="86"/>
      <c r="AT55" s="82"/>
      <c r="AU55" s="87"/>
      <c r="AV55" s="818">
        <f t="shared" si="37"/>
        <v>0</v>
      </c>
      <c r="AW55" s="818">
        <f t="shared" si="38"/>
        <v>0</v>
      </c>
      <c r="AX55" s="818">
        <f t="shared" si="39"/>
        <v>0</v>
      </c>
      <c r="AY55" s="88">
        <f t="shared" si="40"/>
        <v>0</v>
      </c>
      <c r="AZ55" s="81">
        <f t="shared" si="41"/>
        <v>0</v>
      </c>
      <c r="BA55" s="81">
        <f t="shared" si="42"/>
        <v>0</v>
      </c>
      <c r="BB55" s="81">
        <f t="shared" si="43"/>
        <v>0</v>
      </c>
      <c r="BC55" s="81">
        <f t="shared" si="44"/>
        <v>0</v>
      </c>
      <c r="BD55" s="81">
        <f t="shared" si="45"/>
        <v>0</v>
      </c>
      <c r="BE55" s="81">
        <f t="shared" si="46"/>
        <v>0</v>
      </c>
      <c r="BF55" s="81">
        <f t="shared" si="47"/>
        <v>0</v>
      </c>
      <c r="BG55" s="81">
        <f t="shared" si="48"/>
        <v>0</v>
      </c>
      <c r="BH55" s="81">
        <f t="shared" si="49"/>
        <v>0</v>
      </c>
      <c r="BI55" s="81">
        <f t="shared" si="50"/>
        <v>0</v>
      </c>
      <c r="BJ55" s="81">
        <f t="shared" si="51"/>
        <v>0</v>
      </c>
      <c r="BK55" s="81">
        <f t="shared" si="52"/>
        <v>0</v>
      </c>
      <c r="BL55" s="81">
        <f t="shared" si="53"/>
        <v>0</v>
      </c>
      <c r="BM55" s="81">
        <f t="shared" si="54"/>
        <v>0</v>
      </c>
      <c r="BN55" s="81">
        <f t="shared" si="55"/>
        <v>0</v>
      </c>
      <c r="BO55" s="81">
        <f t="shared" si="56"/>
        <v>0</v>
      </c>
      <c r="BP55" s="81">
        <f t="shared" si="57"/>
        <v>0</v>
      </c>
      <c r="BQ55" s="81">
        <f t="shared" si="58"/>
        <v>0</v>
      </c>
      <c r="BR55" s="81">
        <f t="shared" si="59"/>
        <v>0</v>
      </c>
      <c r="BS55" s="81">
        <f t="shared" si="60"/>
        <v>0</v>
      </c>
      <c r="BT55" s="89">
        <f t="shared" si="61"/>
        <v>0</v>
      </c>
    </row>
    <row r="56" spans="1:72">
      <c r="A56" s="79"/>
      <c r="B56" s="80"/>
      <c r="C56" s="80"/>
      <c r="D56" s="2301"/>
      <c r="E56" s="81">
        <f t="shared" si="33"/>
        <v>0</v>
      </c>
      <c r="F56" s="82"/>
      <c r="G56" s="83">
        <f t="shared" si="34"/>
        <v>0</v>
      </c>
      <c r="H56" s="84">
        <f t="shared" si="35"/>
        <v>0</v>
      </c>
      <c r="I56" s="85"/>
      <c r="J56" s="85"/>
      <c r="K56" s="85"/>
      <c r="L56" s="85"/>
      <c r="M56" s="85"/>
      <c r="N56" s="85"/>
      <c r="O56" s="85"/>
      <c r="P56" s="85"/>
      <c r="Q56" s="85"/>
      <c r="R56" s="85"/>
      <c r="S56" s="85"/>
      <c r="T56" s="85"/>
      <c r="U56" s="85"/>
      <c r="V56" s="85"/>
      <c r="W56" s="85"/>
      <c r="X56" s="85"/>
      <c r="Y56" s="85"/>
      <c r="Z56" s="85"/>
      <c r="AA56" s="85"/>
      <c r="AB56" s="85"/>
      <c r="AC56" s="81">
        <f t="shared" si="36"/>
        <v>0</v>
      </c>
      <c r="AD56" s="86"/>
      <c r="AE56" s="86"/>
      <c r="AF56" s="86"/>
      <c r="AG56" s="86"/>
      <c r="AH56" s="86"/>
      <c r="AI56" s="86"/>
      <c r="AJ56" s="86"/>
      <c r="AK56" s="86"/>
      <c r="AL56" s="86"/>
      <c r="AM56" s="86"/>
      <c r="AN56" s="86"/>
      <c r="AO56" s="86"/>
      <c r="AP56" s="86"/>
      <c r="AQ56" s="86"/>
      <c r="AR56" s="86"/>
      <c r="AS56" s="86"/>
      <c r="AT56" s="82"/>
      <c r="AU56" s="87"/>
      <c r="AV56" s="818">
        <f t="shared" si="37"/>
        <v>0</v>
      </c>
      <c r="AW56" s="818">
        <f t="shared" si="38"/>
        <v>0</v>
      </c>
      <c r="AX56" s="818">
        <f t="shared" si="39"/>
        <v>0</v>
      </c>
      <c r="AY56" s="88">
        <f t="shared" si="40"/>
        <v>0</v>
      </c>
      <c r="AZ56" s="81">
        <f t="shared" si="41"/>
        <v>0</v>
      </c>
      <c r="BA56" s="81">
        <f t="shared" si="42"/>
        <v>0</v>
      </c>
      <c r="BB56" s="81">
        <f t="shared" si="43"/>
        <v>0</v>
      </c>
      <c r="BC56" s="81">
        <f t="shared" si="44"/>
        <v>0</v>
      </c>
      <c r="BD56" s="81">
        <f t="shared" si="45"/>
        <v>0</v>
      </c>
      <c r="BE56" s="81">
        <f t="shared" si="46"/>
        <v>0</v>
      </c>
      <c r="BF56" s="81">
        <f t="shared" si="47"/>
        <v>0</v>
      </c>
      <c r="BG56" s="81">
        <f t="shared" si="48"/>
        <v>0</v>
      </c>
      <c r="BH56" s="81">
        <f t="shared" si="49"/>
        <v>0</v>
      </c>
      <c r="BI56" s="81">
        <f t="shared" si="50"/>
        <v>0</v>
      </c>
      <c r="BJ56" s="81">
        <f t="shared" si="51"/>
        <v>0</v>
      </c>
      <c r="BK56" s="81">
        <f t="shared" si="52"/>
        <v>0</v>
      </c>
      <c r="BL56" s="81">
        <f t="shared" si="53"/>
        <v>0</v>
      </c>
      <c r="BM56" s="81">
        <f t="shared" si="54"/>
        <v>0</v>
      </c>
      <c r="BN56" s="81">
        <f t="shared" si="55"/>
        <v>0</v>
      </c>
      <c r="BO56" s="81">
        <f t="shared" si="56"/>
        <v>0</v>
      </c>
      <c r="BP56" s="81">
        <f t="shared" si="57"/>
        <v>0</v>
      </c>
      <c r="BQ56" s="81">
        <f t="shared" si="58"/>
        <v>0</v>
      </c>
      <c r="BR56" s="81">
        <f t="shared" si="59"/>
        <v>0</v>
      </c>
      <c r="BS56" s="81">
        <f t="shared" si="60"/>
        <v>0</v>
      </c>
      <c r="BT56" s="89">
        <f t="shared" si="61"/>
        <v>0</v>
      </c>
    </row>
    <row r="57" spans="1:72">
      <c r="A57" s="79"/>
      <c r="B57" s="80"/>
      <c r="C57" s="80"/>
      <c r="D57" s="2301"/>
      <c r="E57" s="81">
        <f t="shared" si="33"/>
        <v>0</v>
      </c>
      <c r="F57" s="82"/>
      <c r="G57" s="83">
        <f t="shared" si="34"/>
        <v>0</v>
      </c>
      <c r="H57" s="84">
        <f t="shared" si="35"/>
        <v>0</v>
      </c>
      <c r="I57" s="85"/>
      <c r="J57" s="85"/>
      <c r="K57" s="85"/>
      <c r="L57" s="85"/>
      <c r="M57" s="85"/>
      <c r="N57" s="85"/>
      <c r="O57" s="85"/>
      <c r="P57" s="85"/>
      <c r="Q57" s="85"/>
      <c r="R57" s="85"/>
      <c r="S57" s="85"/>
      <c r="T57" s="85"/>
      <c r="U57" s="85"/>
      <c r="V57" s="85"/>
      <c r="W57" s="85"/>
      <c r="X57" s="85"/>
      <c r="Y57" s="85"/>
      <c r="Z57" s="85"/>
      <c r="AA57" s="85"/>
      <c r="AB57" s="85"/>
      <c r="AC57" s="81">
        <f t="shared" si="36"/>
        <v>0</v>
      </c>
      <c r="AD57" s="86"/>
      <c r="AE57" s="86"/>
      <c r="AF57" s="86"/>
      <c r="AG57" s="86"/>
      <c r="AH57" s="86"/>
      <c r="AI57" s="86"/>
      <c r="AJ57" s="86"/>
      <c r="AK57" s="86"/>
      <c r="AL57" s="86"/>
      <c r="AM57" s="86"/>
      <c r="AN57" s="86"/>
      <c r="AO57" s="86"/>
      <c r="AP57" s="86"/>
      <c r="AQ57" s="86"/>
      <c r="AR57" s="86"/>
      <c r="AS57" s="86"/>
      <c r="AT57" s="82"/>
      <c r="AU57" s="87"/>
      <c r="AV57" s="818">
        <f t="shared" si="37"/>
        <v>0</v>
      </c>
      <c r="AW57" s="818">
        <f t="shared" si="38"/>
        <v>0</v>
      </c>
      <c r="AX57" s="818">
        <f t="shared" si="39"/>
        <v>0</v>
      </c>
      <c r="AY57" s="88">
        <f t="shared" si="40"/>
        <v>0</v>
      </c>
      <c r="AZ57" s="81">
        <f t="shared" si="41"/>
        <v>0</v>
      </c>
      <c r="BA57" s="81">
        <f t="shared" si="42"/>
        <v>0</v>
      </c>
      <c r="BB57" s="81">
        <f t="shared" si="43"/>
        <v>0</v>
      </c>
      <c r="BC57" s="81">
        <f t="shared" si="44"/>
        <v>0</v>
      </c>
      <c r="BD57" s="81">
        <f t="shared" si="45"/>
        <v>0</v>
      </c>
      <c r="BE57" s="81">
        <f t="shared" si="46"/>
        <v>0</v>
      </c>
      <c r="BF57" s="81">
        <f t="shared" si="47"/>
        <v>0</v>
      </c>
      <c r="BG57" s="81">
        <f t="shared" si="48"/>
        <v>0</v>
      </c>
      <c r="BH57" s="81">
        <f t="shared" si="49"/>
        <v>0</v>
      </c>
      <c r="BI57" s="81">
        <f t="shared" si="50"/>
        <v>0</v>
      </c>
      <c r="BJ57" s="81">
        <f t="shared" si="51"/>
        <v>0</v>
      </c>
      <c r="BK57" s="81">
        <f t="shared" si="52"/>
        <v>0</v>
      </c>
      <c r="BL57" s="81">
        <f t="shared" si="53"/>
        <v>0</v>
      </c>
      <c r="BM57" s="81">
        <f t="shared" si="54"/>
        <v>0</v>
      </c>
      <c r="BN57" s="81">
        <f t="shared" si="55"/>
        <v>0</v>
      </c>
      <c r="BO57" s="81">
        <f t="shared" si="56"/>
        <v>0</v>
      </c>
      <c r="BP57" s="81">
        <f t="shared" si="57"/>
        <v>0</v>
      </c>
      <c r="BQ57" s="81">
        <f t="shared" si="58"/>
        <v>0</v>
      </c>
      <c r="BR57" s="81">
        <f t="shared" si="59"/>
        <v>0</v>
      </c>
      <c r="BS57" s="81">
        <f t="shared" si="60"/>
        <v>0</v>
      </c>
      <c r="BT57" s="89">
        <f t="shared" si="61"/>
        <v>0</v>
      </c>
    </row>
    <row r="58" spans="1:72">
      <c r="A58" s="79"/>
      <c r="B58" s="80"/>
      <c r="C58" s="80"/>
      <c r="D58" s="2301"/>
      <c r="E58" s="81">
        <f t="shared" si="33"/>
        <v>0</v>
      </c>
      <c r="F58" s="82"/>
      <c r="G58" s="83">
        <f t="shared" si="34"/>
        <v>0</v>
      </c>
      <c r="H58" s="84">
        <f t="shared" si="35"/>
        <v>0</v>
      </c>
      <c r="I58" s="85"/>
      <c r="J58" s="85"/>
      <c r="K58" s="85"/>
      <c r="L58" s="85"/>
      <c r="M58" s="85"/>
      <c r="N58" s="85"/>
      <c r="O58" s="85"/>
      <c r="P58" s="85"/>
      <c r="Q58" s="85"/>
      <c r="R58" s="85"/>
      <c r="S58" s="85"/>
      <c r="T58" s="85"/>
      <c r="U58" s="85"/>
      <c r="V58" s="85"/>
      <c r="W58" s="85"/>
      <c r="X58" s="85"/>
      <c r="Y58" s="85"/>
      <c r="Z58" s="85"/>
      <c r="AA58" s="85"/>
      <c r="AB58" s="85"/>
      <c r="AC58" s="81">
        <f t="shared" si="36"/>
        <v>0</v>
      </c>
      <c r="AD58" s="86"/>
      <c r="AE58" s="86"/>
      <c r="AF58" s="86"/>
      <c r="AG58" s="86"/>
      <c r="AH58" s="86"/>
      <c r="AI58" s="86"/>
      <c r="AJ58" s="86"/>
      <c r="AK58" s="86"/>
      <c r="AL58" s="86"/>
      <c r="AM58" s="86"/>
      <c r="AN58" s="86"/>
      <c r="AO58" s="86"/>
      <c r="AP58" s="86"/>
      <c r="AQ58" s="86"/>
      <c r="AR58" s="86"/>
      <c r="AS58" s="86"/>
      <c r="AT58" s="82"/>
      <c r="AU58" s="87"/>
      <c r="AV58" s="818">
        <f t="shared" si="37"/>
        <v>0</v>
      </c>
      <c r="AW58" s="818">
        <f t="shared" si="38"/>
        <v>0</v>
      </c>
      <c r="AX58" s="818">
        <f t="shared" si="39"/>
        <v>0</v>
      </c>
      <c r="AY58" s="88">
        <f t="shared" si="40"/>
        <v>0</v>
      </c>
      <c r="AZ58" s="81">
        <f t="shared" si="41"/>
        <v>0</v>
      </c>
      <c r="BA58" s="81">
        <f t="shared" si="42"/>
        <v>0</v>
      </c>
      <c r="BB58" s="81">
        <f t="shared" si="43"/>
        <v>0</v>
      </c>
      <c r="BC58" s="81">
        <f t="shared" si="44"/>
        <v>0</v>
      </c>
      <c r="BD58" s="81">
        <f t="shared" si="45"/>
        <v>0</v>
      </c>
      <c r="BE58" s="81">
        <f t="shared" si="46"/>
        <v>0</v>
      </c>
      <c r="BF58" s="81">
        <f t="shared" si="47"/>
        <v>0</v>
      </c>
      <c r="BG58" s="81">
        <f t="shared" si="48"/>
        <v>0</v>
      </c>
      <c r="BH58" s="81">
        <f t="shared" si="49"/>
        <v>0</v>
      </c>
      <c r="BI58" s="81">
        <f t="shared" si="50"/>
        <v>0</v>
      </c>
      <c r="BJ58" s="81">
        <f t="shared" si="51"/>
        <v>0</v>
      </c>
      <c r="BK58" s="81">
        <f t="shared" si="52"/>
        <v>0</v>
      </c>
      <c r="BL58" s="81">
        <f t="shared" si="53"/>
        <v>0</v>
      </c>
      <c r="BM58" s="81">
        <f t="shared" si="54"/>
        <v>0</v>
      </c>
      <c r="BN58" s="81">
        <f t="shared" si="55"/>
        <v>0</v>
      </c>
      <c r="BO58" s="81">
        <f t="shared" si="56"/>
        <v>0</v>
      </c>
      <c r="BP58" s="81">
        <f t="shared" si="57"/>
        <v>0</v>
      </c>
      <c r="BQ58" s="81">
        <f t="shared" si="58"/>
        <v>0</v>
      </c>
      <c r="BR58" s="81">
        <f t="shared" si="59"/>
        <v>0</v>
      </c>
      <c r="BS58" s="81">
        <f t="shared" si="60"/>
        <v>0</v>
      </c>
      <c r="BT58" s="89">
        <f t="shared" si="61"/>
        <v>0</v>
      </c>
    </row>
    <row r="59" spans="1:72">
      <c r="A59" s="79"/>
      <c r="B59" s="80"/>
      <c r="C59" s="80"/>
      <c r="D59" s="2301"/>
      <c r="E59" s="81">
        <f t="shared" si="33"/>
        <v>0</v>
      </c>
      <c r="F59" s="82"/>
      <c r="G59" s="83">
        <f t="shared" si="34"/>
        <v>0</v>
      </c>
      <c r="H59" s="84">
        <f t="shared" si="35"/>
        <v>0</v>
      </c>
      <c r="I59" s="85"/>
      <c r="J59" s="85"/>
      <c r="K59" s="85"/>
      <c r="L59" s="85"/>
      <c r="M59" s="85"/>
      <c r="N59" s="85"/>
      <c r="O59" s="85"/>
      <c r="P59" s="85"/>
      <c r="Q59" s="85"/>
      <c r="R59" s="85"/>
      <c r="S59" s="85"/>
      <c r="T59" s="85"/>
      <c r="U59" s="85"/>
      <c r="V59" s="85"/>
      <c r="W59" s="85"/>
      <c r="X59" s="85"/>
      <c r="Y59" s="85"/>
      <c r="Z59" s="85"/>
      <c r="AA59" s="85"/>
      <c r="AB59" s="85"/>
      <c r="AC59" s="81">
        <f t="shared" si="36"/>
        <v>0</v>
      </c>
      <c r="AD59" s="86"/>
      <c r="AE59" s="86"/>
      <c r="AF59" s="86"/>
      <c r="AG59" s="86"/>
      <c r="AH59" s="86"/>
      <c r="AI59" s="86"/>
      <c r="AJ59" s="86"/>
      <c r="AK59" s="86"/>
      <c r="AL59" s="86"/>
      <c r="AM59" s="86"/>
      <c r="AN59" s="86"/>
      <c r="AO59" s="86"/>
      <c r="AP59" s="86"/>
      <c r="AQ59" s="86"/>
      <c r="AR59" s="86"/>
      <c r="AS59" s="86"/>
      <c r="AT59" s="82"/>
      <c r="AU59" s="87"/>
      <c r="AV59" s="818">
        <f t="shared" si="37"/>
        <v>0</v>
      </c>
      <c r="AW59" s="818">
        <f t="shared" si="38"/>
        <v>0</v>
      </c>
      <c r="AX59" s="818">
        <f t="shared" si="39"/>
        <v>0</v>
      </c>
      <c r="AY59" s="88">
        <f t="shared" si="40"/>
        <v>0</v>
      </c>
      <c r="AZ59" s="81">
        <f t="shared" si="41"/>
        <v>0</v>
      </c>
      <c r="BA59" s="81">
        <f t="shared" si="42"/>
        <v>0</v>
      </c>
      <c r="BB59" s="81">
        <f t="shared" si="43"/>
        <v>0</v>
      </c>
      <c r="BC59" s="81">
        <f t="shared" si="44"/>
        <v>0</v>
      </c>
      <c r="BD59" s="81">
        <f t="shared" si="45"/>
        <v>0</v>
      </c>
      <c r="BE59" s="81">
        <f t="shared" si="46"/>
        <v>0</v>
      </c>
      <c r="BF59" s="81">
        <f t="shared" si="47"/>
        <v>0</v>
      </c>
      <c r="BG59" s="81">
        <f t="shared" si="48"/>
        <v>0</v>
      </c>
      <c r="BH59" s="81">
        <f t="shared" si="49"/>
        <v>0</v>
      </c>
      <c r="BI59" s="81">
        <f t="shared" si="50"/>
        <v>0</v>
      </c>
      <c r="BJ59" s="81">
        <f t="shared" si="51"/>
        <v>0</v>
      </c>
      <c r="BK59" s="81">
        <f t="shared" si="52"/>
        <v>0</v>
      </c>
      <c r="BL59" s="81">
        <f t="shared" si="53"/>
        <v>0</v>
      </c>
      <c r="BM59" s="81">
        <f t="shared" si="54"/>
        <v>0</v>
      </c>
      <c r="BN59" s="81">
        <f t="shared" si="55"/>
        <v>0</v>
      </c>
      <c r="BO59" s="81">
        <f t="shared" si="56"/>
        <v>0</v>
      </c>
      <c r="BP59" s="81">
        <f t="shared" si="57"/>
        <v>0</v>
      </c>
      <c r="BQ59" s="81">
        <f t="shared" si="58"/>
        <v>0</v>
      </c>
      <c r="BR59" s="81">
        <f t="shared" si="59"/>
        <v>0</v>
      </c>
      <c r="BS59" s="81">
        <f t="shared" si="60"/>
        <v>0</v>
      </c>
      <c r="BT59" s="89">
        <f t="shared" si="61"/>
        <v>0</v>
      </c>
    </row>
    <row r="60" spans="1:72">
      <c r="A60" s="79"/>
      <c r="B60" s="80"/>
      <c r="C60" s="80"/>
      <c r="D60" s="2301"/>
      <c r="E60" s="81">
        <f t="shared" si="33"/>
        <v>0</v>
      </c>
      <c r="F60" s="82"/>
      <c r="G60" s="83">
        <f t="shared" si="34"/>
        <v>0</v>
      </c>
      <c r="H60" s="84">
        <f t="shared" si="35"/>
        <v>0</v>
      </c>
      <c r="I60" s="85"/>
      <c r="J60" s="85"/>
      <c r="K60" s="85"/>
      <c r="L60" s="85"/>
      <c r="M60" s="85"/>
      <c r="N60" s="85"/>
      <c r="O60" s="85"/>
      <c r="P60" s="85"/>
      <c r="Q60" s="85"/>
      <c r="R60" s="85"/>
      <c r="S60" s="85"/>
      <c r="T60" s="85"/>
      <c r="U60" s="85"/>
      <c r="V60" s="85"/>
      <c r="W60" s="85"/>
      <c r="X60" s="85"/>
      <c r="Y60" s="85"/>
      <c r="Z60" s="85"/>
      <c r="AA60" s="85"/>
      <c r="AB60" s="85"/>
      <c r="AC60" s="81">
        <f t="shared" si="36"/>
        <v>0</v>
      </c>
      <c r="AD60" s="86"/>
      <c r="AE60" s="86"/>
      <c r="AF60" s="86"/>
      <c r="AG60" s="86"/>
      <c r="AH60" s="86"/>
      <c r="AI60" s="86"/>
      <c r="AJ60" s="86"/>
      <c r="AK60" s="86"/>
      <c r="AL60" s="86"/>
      <c r="AM60" s="86"/>
      <c r="AN60" s="86"/>
      <c r="AO60" s="86"/>
      <c r="AP60" s="86"/>
      <c r="AQ60" s="86"/>
      <c r="AR60" s="86"/>
      <c r="AS60" s="86"/>
      <c r="AT60" s="82"/>
      <c r="AU60" s="87"/>
      <c r="AV60" s="818">
        <f t="shared" si="37"/>
        <v>0</v>
      </c>
      <c r="AW60" s="818">
        <f t="shared" si="38"/>
        <v>0</v>
      </c>
      <c r="AX60" s="818">
        <f t="shared" si="39"/>
        <v>0</v>
      </c>
      <c r="AY60" s="88">
        <f t="shared" si="40"/>
        <v>0</v>
      </c>
      <c r="AZ60" s="81">
        <f t="shared" si="41"/>
        <v>0</v>
      </c>
      <c r="BA60" s="81">
        <f t="shared" si="42"/>
        <v>0</v>
      </c>
      <c r="BB60" s="81">
        <f t="shared" si="43"/>
        <v>0</v>
      </c>
      <c r="BC60" s="81">
        <f t="shared" si="44"/>
        <v>0</v>
      </c>
      <c r="BD60" s="81">
        <f t="shared" si="45"/>
        <v>0</v>
      </c>
      <c r="BE60" s="81">
        <f t="shared" si="46"/>
        <v>0</v>
      </c>
      <c r="BF60" s="81">
        <f t="shared" si="47"/>
        <v>0</v>
      </c>
      <c r="BG60" s="81">
        <f t="shared" si="48"/>
        <v>0</v>
      </c>
      <c r="BH60" s="81">
        <f t="shared" si="49"/>
        <v>0</v>
      </c>
      <c r="BI60" s="81">
        <f t="shared" si="50"/>
        <v>0</v>
      </c>
      <c r="BJ60" s="81">
        <f t="shared" si="51"/>
        <v>0</v>
      </c>
      <c r="BK60" s="81">
        <f t="shared" si="52"/>
        <v>0</v>
      </c>
      <c r="BL60" s="81">
        <f t="shared" si="53"/>
        <v>0</v>
      </c>
      <c r="BM60" s="81">
        <f t="shared" si="54"/>
        <v>0</v>
      </c>
      <c r="BN60" s="81">
        <f t="shared" si="55"/>
        <v>0</v>
      </c>
      <c r="BO60" s="81">
        <f t="shared" si="56"/>
        <v>0</v>
      </c>
      <c r="BP60" s="81">
        <f t="shared" si="57"/>
        <v>0</v>
      </c>
      <c r="BQ60" s="81">
        <f t="shared" si="58"/>
        <v>0</v>
      </c>
      <c r="BR60" s="81">
        <f t="shared" si="59"/>
        <v>0</v>
      </c>
      <c r="BS60" s="81">
        <f t="shared" si="60"/>
        <v>0</v>
      </c>
      <c r="BT60" s="89">
        <f t="shared" si="61"/>
        <v>0</v>
      </c>
    </row>
    <row r="61" spans="1:72">
      <c r="A61" s="79"/>
      <c r="B61" s="80"/>
      <c r="C61" s="80"/>
      <c r="D61" s="2301"/>
      <c r="E61" s="81">
        <f t="shared" si="33"/>
        <v>0</v>
      </c>
      <c r="F61" s="82"/>
      <c r="G61" s="83">
        <f t="shared" si="34"/>
        <v>0</v>
      </c>
      <c r="H61" s="84">
        <f t="shared" si="35"/>
        <v>0</v>
      </c>
      <c r="I61" s="85"/>
      <c r="J61" s="85"/>
      <c r="K61" s="85"/>
      <c r="L61" s="85"/>
      <c r="M61" s="85"/>
      <c r="N61" s="85"/>
      <c r="O61" s="85"/>
      <c r="P61" s="85"/>
      <c r="Q61" s="85"/>
      <c r="R61" s="85"/>
      <c r="S61" s="85"/>
      <c r="T61" s="85"/>
      <c r="U61" s="85"/>
      <c r="V61" s="85"/>
      <c r="W61" s="85"/>
      <c r="X61" s="85"/>
      <c r="Y61" s="85"/>
      <c r="Z61" s="85"/>
      <c r="AA61" s="85"/>
      <c r="AB61" s="85"/>
      <c r="AC61" s="81">
        <f t="shared" si="36"/>
        <v>0</v>
      </c>
      <c r="AD61" s="86"/>
      <c r="AE61" s="86"/>
      <c r="AF61" s="86"/>
      <c r="AG61" s="86"/>
      <c r="AH61" s="86"/>
      <c r="AI61" s="86"/>
      <c r="AJ61" s="86"/>
      <c r="AK61" s="86"/>
      <c r="AL61" s="86"/>
      <c r="AM61" s="86"/>
      <c r="AN61" s="86"/>
      <c r="AO61" s="86"/>
      <c r="AP61" s="86"/>
      <c r="AQ61" s="86"/>
      <c r="AR61" s="86"/>
      <c r="AS61" s="86"/>
      <c r="AT61" s="82"/>
      <c r="AU61" s="87"/>
      <c r="AV61" s="818">
        <f t="shared" si="37"/>
        <v>0</v>
      </c>
      <c r="AW61" s="818">
        <f t="shared" si="38"/>
        <v>0</v>
      </c>
      <c r="AX61" s="818">
        <f t="shared" si="39"/>
        <v>0</v>
      </c>
      <c r="AY61" s="88">
        <f t="shared" si="40"/>
        <v>0</v>
      </c>
      <c r="AZ61" s="81">
        <f t="shared" si="41"/>
        <v>0</v>
      </c>
      <c r="BA61" s="81">
        <f t="shared" si="42"/>
        <v>0</v>
      </c>
      <c r="BB61" s="81">
        <f t="shared" si="43"/>
        <v>0</v>
      </c>
      <c r="BC61" s="81">
        <f t="shared" si="44"/>
        <v>0</v>
      </c>
      <c r="BD61" s="81">
        <f t="shared" si="45"/>
        <v>0</v>
      </c>
      <c r="BE61" s="81">
        <f t="shared" si="46"/>
        <v>0</v>
      </c>
      <c r="BF61" s="81">
        <f t="shared" si="47"/>
        <v>0</v>
      </c>
      <c r="BG61" s="81">
        <f t="shared" si="48"/>
        <v>0</v>
      </c>
      <c r="BH61" s="81">
        <f t="shared" si="49"/>
        <v>0</v>
      </c>
      <c r="BI61" s="81">
        <f t="shared" si="50"/>
        <v>0</v>
      </c>
      <c r="BJ61" s="81">
        <f t="shared" si="51"/>
        <v>0</v>
      </c>
      <c r="BK61" s="81">
        <f t="shared" si="52"/>
        <v>0</v>
      </c>
      <c r="BL61" s="81">
        <f t="shared" si="53"/>
        <v>0</v>
      </c>
      <c r="BM61" s="81">
        <f t="shared" si="54"/>
        <v>0</v>
      </c>
      <c r="BN61" s="81">
        <f t="shared" si="55"/>
        <v>0</v>
      </c>
      <c r="BO61" s="81">
        <f t="shared" si="56"/>
        <v>0</v>
      </c>
      <c r="BP61" s="81">
        <f t="shared" si="57"/>
        <v>0</v>
      </c>
      <c r="BQ61" s="81">
        <f t="shared" si="58"/>
        <v>0</v>
      </c>
      <c r="BR61" s="81">
        <f t="shared" si="59"/>
        <v>0</v>
      </c>
      <c r="BS61" s="81">
        <f t="shared" si="60"/>
        <v>0</v>
      </c>
      <c r="BT61" s="89">
        <f t="shared" si="61"/>
        <v>0</v>
      </c>
    </row>
    <row r="62" spans="1:72">
      <c r="A62" s="79"/>
      <c r="B62" s="80"/>
      <c r="C62" s="80"/>
      <c r="D62" s="2301"/>
      <c r="E62" s="81">
        <f t="shared" si="33"/>
        <v>0</v>
      </c>
      <c r="F62" s="82"/>
      <c r="G62" s="83">
        <f t="shared" si="34"/>
        <v>0</v>
      </c>
      <c r="H62" s="84">
        <f t="shared" si="35"/>
        <v>0</v>
      </c>
      <c r="I62" s="85"/>
      <c r="J62" s="85"/>
      <c r="K62" s="85"/>
      <c r="L62" s="85"/>
      <c r="M62" s="85"/>
      <c r="N62" s="85"/>
      <c r="O62" s="85"/>
      <c r="P62" s="85"/>
      <c r="Q62" s="85"/>
      <c r="R62" s="85"/>
      <c r="S62" s="85"/>
      <c r="T62" s="85"/>
      <c r="U62" s="85"/>
      <c r="V62" s="85"/>
      <c r="W62" s="85"/>
      <c r="X62" s="85"/>
      <c r="Y62" s="85"/>
      <c r="Z62" s="85"/>
      <c r="AA62" s="85"/>
      <c r="AB62" s="85"/>
      <c r="AC62" s="81">
        <f t="shared" si="36"/>
        <v>0</v>
      </c>
      <c r="AD62" s="86"/>
      <c r="AE62" s="86"/>
      <c r="AF62" s="86"/>
      <c r="AG62" s="86"/>
      <c r="AH62" s="86"/>
      <c r="AI62" s="86"/>
      <c r="AJ62" s="86"/>
      <c r="AK62" s="86"/>
      <c r="AL62" s="86"/>
      <c r="AM62" s="86"/>
      <c r="AN62" s="86"/>
      <c r="AO62" s="86"/>
      <c r="AP62" s="86"/>
      <c r="AQ62" s="86"/>
      <c r="AR62" s="86"/>
      <c r="AS62" s="86"/>
      <c r="AT62" s="82"/>
      <c r="AU62" s="87"/>
      <c r="AV62" s="818">
        <f t="shared" si="37"/>
        <v>0</v>
      </c>
      <c r="AW62" s="818">
        <f t="shared" si="38"/>
        <v>0</v>
      </c>
      <c r="AX62" s="818">
        <f t="shared" si="39"/>
        <v>0</v>
      </c>
      <c r="AY62" s="88">
        <f t="shared" si="40"/>
        <v>0</v>
      </c>
      <c r="AZ62" s="81">
        <f t="shared" si="41"/>
        <v>0</v>
      </c>
      <c r="BA62" s="81">
        <f t="shared" si="42"/>
        <v>0</v>
      </c>
      <c r="BB62" s="81">
        <f t="shared" si="43"/>
        <v>0</v>
      </c>
      <c r="BC62" s="81">
        <f t="shared" si="44"/>
        <v>0</v>
      </c>
      <c r="BD62" s="81">
        <f t="shared" si="45"/>
        <v>0</v>
      </c>
      <c r="BE62" s="81">
        <f t="shared" si="46"/>
        <v>0</v>
      </c>
      <c r="BF62" s="81">
        <f t="shared" si="47"/>
        <v>0</v>
      </c>
      <c r="BG62" s="81">
        <f t="shared" si="48"/>
        <v>0</v>
      </c>
      <c r="BH62" s="81">
        <f t="shared" si="49"/>
        <v>0</v>
      </c>
      <c r="BI62" s="81">
        <f t="shared" si="50"/>
        <v>0</v>
      </c>
      <c r="BJ62" s="81">
        <f t="shared" si="51"/>
        <v>0</v>
      </c>
      <c r="BK62" s="81">
        <f t="shared" si="52"/>
        <v>0</v>
      </c>
      <c r="BL62" s="81">
        <f t="shared" si="53"/>
        <v>0</v>
      </c>
      <c r="BM62" s="81">
        <f t="shared" si="54"/>
        <v>0</v>
      </c>
      <c r="BN62" s="81">
        <f t="shared" si="55"/>
        <v>0</v>
      </c>
      <c r="BO62" s="81">
        <f t="shared" si="56"/>
        <v>0</v>
      </c>
      <c r="BP62" s="81">
        <f t="shared" si="57"/>
        <v>0</v>
      </c>
      <c r="BQ62" s="81">
        <f t="shared" si="58"/>
        <v>0</v>
      </c>
      <c r="BR62" s="81">
        <f t="shared" si="59"/>
        <v>0</v>
      </c>
      <c r="BS62" s="81">
        <f t="shared" si="60"/>
        <v>0</v>
      </c>
      <c r="BT62" s="89">
        <f t="shared" si="61"/>
        <v>0</v>
      </c>
    </row>
    <row r="63" spans="1:72">
      <c r="A63" s="79"/>
      <c r="B63" s="80"/>
      <c r="C63" s="80"/>
      <c r="D63" s="2301"/>
      <c r="E63" s="81">
        <f t="shared" si="33"/>
        <v>0</v>
      </c>
      <c r="F63" s="82"/>
      <c r="G63" s="83">
        <f t="shared" si="34"/>
        <v>0</v>
      </c>
      <c r="H63" s="84">
        <f t="shared" si="35"/>
        <v>0</v>
      </c>
      <c r="I63" s="85"/>
      <c r="J63" s="85"/>
      <c r="K63" s="85"/>
      <c r="L63" s="85"/>
      <c r="M63" s="85"/>
      <c r="N63" s="85"/>
      <c r="O63" s="85"/>
      <c r="P63" s="85"/>
      <c r="Q63" s="85"/>
      <c r="R63" s="85"/>
      <c r="S63" s="85"/>
      <c r="T63" s="85"/>
      <c r="U63" s="85"/>
      <c r="V63" s="85"/>
      <c r="W63" s="85"/>
      <c r="X63" s="85"/>
      <c r="Y63" s="85"/>
      <c r="Z63" s="85"/>
      <c r="AA63" s="85"/>
      <c r="AB63" s="85"/>
      <c r="AC63" s="81">
        <f t="shared" si="36"/>
        <v>0</v>
      </c>
      <c r="AD63" s="86"/>
      <c r="AE63" s="86"/>
      <c r="AF63" s="86"/>
      <c r="AG63" s="86"/>
      <c r="AH63" s="86"/>
      <c r="AI63" s="86"/>
      <c r="AJ63" s="86"/>
      <c r="AK63" s="86"/>
      <c r="AL63" s="86"/>
      <c r="AM63" s="86"/>
      <c r="AN63" s="86"/>
      <c r="AO63" s="86"/>
      <c r="AP63" s="86"/>
      <c r="AQ63" s="86"/>
      <c r="AR63" s="86"/>
      <c r="AS63" s="86"/>
      <c r="AT63" s="82"/>
      <c r="AU63" s="87"/>
      <c r="AV63" s="818">
        <f t="shared" si="37"/>
        <v>0</v>
      </c>
      <c r="AW63" s="818">
        <f t="shared" si="38"/>
        <v>0</v>
      </c>
      <c r="AX63" s="818">
        <f t="shared" si="39"/>
        <v>0</v>
      </c>
      <c r="AY63" s="88">
        <f t="shared" si="40"/>
        <v>0</v>
      </c>
      <c r="AZ63" s="81">
        <f t="shared" si="41"/>
        <v>0</v>
      </c>
      <c r="BA63" s="81">
        <f t="shared" si="42"/>
        <v>0</v>
      </c>
      <c r="BB63" s="81">
        <f t="shared" si="43"/>
        <v>0</v>
      </c>
      <c r="BC63" s="81">
        <f t="shared" si="44"/>
        <v>0</v>
      </c>
      <c r="BD63" s="81">
        <f t="shared" si="45"/>
        <v>0</v>
      </c>
      <c r="BE63" s="81">
        <f t="shared" si="46"/>
        <v>0</v>
      </c>
      <c r="BF63" s="81">
        <f t="shared" si="47"/>
        <v>0</v>
      </c>
      <c r="BG63" s="81">
        <f t="shared" si="48"/>
        <v>0</v>
      </c>
      <c r="BH63" s="81">
        <f t="shared" si="49"/>
        <v>0</v>
      </c>
      <c r="BI63" s="81">
        <f t="shared" si="50"/>
        <v>0</v>
      </c>
      <c r="BJ63" s="81">
        <f t="shared" si="51"/>
        <v>0</v>
      </c>
      <c r="BK63" s="81">
        <f t="shared" si="52"/>
        <v>0</v>
      </c>
      <c r="BL63" s="81">
        <f t="shared" si="53"/>
        <v>0</v>
      </c>
      <c r="BM63" s="81">
        <f t="shared" si="54"/>
        <v>0</v>
      </c>
      <c r="BN63" s="81">
        <f t="shared" si="55"/>
        <v>0</v>
      </c>
      <c r="BO63" s="81">
        <f t="shared" si="56"/>
        <v>0</v>
      </c>
      <c r="BP63" s="81">
        <f t="shared" si="57"/>
        <v>0</v>
      </c>
      <c r="BQ63" s="81">
        <f t="shared" si="58"/>
        <v>0</v>
      </c>
      <c r="BR63" s="81">
        <f t="shared" si="59"/>
        <v>0</v>
      </c>
      <c r="BS63" s="81">
        <f t="shared" si="60"/>
        <v>0</v>
      </c>
      <c r="BT63" s="89">
        <f t="shared" si="61"/>
        <v>0</v>
      </c>
    </row>
    <row r="64" spans="1:72">
      <c r="A64" s="79"/>
      <c r="B64" s="80"/>
      <c r="C64" s="80"/>
      <c r="D64" s="2301"/>
      <c r="E64" s="81">
        <f t="shared" si="33"/>
        <v>0</v>
      </c>
      <c r="F64" s="82"/>
      <c r="G64" s="83">
        <f t="shared" si="34"/>
        <v>0</v>
      </c>
      <c r="H64" s="84">
        <f t="shared" si="35"/>
        <v>0</v>
      </c>
      <c r="I64" s="85"/>
      <c r="J64" s="85"/>
      <c r="K64" s="85"/>
      <c r="L64" s="85"/>
      <c r="M64" s="85"/>
      <c r="N64" s="85"/>
      <c r="O64" s="85"/>
      <c r="P64" s="85"/>
      <c r="Q64" s="85"/>
      <c r="R64" s="85"/>
      <c r="S64" s="85"/>
      <c r="T64" s="85"/>
      <c r="U64" s="85"/>
      <c r="V64" s="85"/>
      <c r="W64" s="85"/>
      <c r="X64" s="85"/>
      <c r="Y64" s="85"/>
      <c r="Z64" s="85"/>
      <c r="AA64" s="85"/>
      <c r="AB64" s="85"/>
      <c r="AC64" s="81">
        <f t="shared" si="36"/>
        <v>0</v>
      </c>
      <c r="AD64" s="86"/>
      <c r="AE64" s="86"/>
      <c r="AF64" s="86"/>
      <c r="AG64" s="86"/>
      <c r="AH64" s="86"/>
      <c r="AI64" s="86"/>
      <c r="AJ64" s="86"/>
      <c r="AK64" s="86"/>
      <c r="AL64" s="86"/>
      <c r="AM64" s="86"/>
      <c r="AN64" s="86"/>
      <c r="AO64" s="86"/>
      <c r="AP64" s="86"/>
      <c r="AQ64" s="86"/>
      <c r="AR64" s="86"/>
      <c r="AS64" s="86"/>
      <c r="AT64" s="82"/>
      <c r="AU64" s="87"/>
      <c r="AV64" s="818">
        <f t="shared" si="37"/>
        <v>0</v>
      </c>
      <c r="AW64" s="818">
        <f t="shared" si="38"/>
        <v>0</v>
      </c>
      <c r="AX64" s="818">
        <f t="shared" si="39"/>
        <v>0</v>
      </c>
      <c r="AY64" s="88">
        <f t="shared" si="40"/>
        <v>0</v>
      </c>
      <c r="AZ64" s="81">
        <f t="shared" si="41"/>
        <v>0</v>
      </c>
      <c r="BA64" s="81">
        <f t="shared" si="42"/>
        <v>0</v>
      </c>
      <c r="BB64" s="81">
        <f t="shared" si="43"/>
        <v>0</v>
      </c>
      <c r="BC64" s="81">
        <f t="shared" si="44"/>
        <v>0</v>
      </c>
      <c r="BD64" s="81">
        <f t="shared" si="45"/>
        <v>0</v>
      </c>
      <c r="BE64" s="81">
        <f t="shared" si="46"/>
        <v>0</v>
      </c>
      <c r="BF64" s="81">
        <f t="shared" si="47"/>
        <v>0</v>
      </c>
      <c r="BG64" s="81">
        <f t="shared" si="48"/>
        <v>0</v>
      </c>
      <c r="BH64" s="81">
        <f t="shared" si="49"/>
        <v>0</v>
      </c>
      <c r="BI64" s="81">
        <f t="shared" si="50"/>
        <v>0</v>
      </c>
      <c r="BJ64" s="81">
        <f t="shared" si="51"/>
        <v>0</v>
      </c>
      <c r="BK64" s="81">
        <f t="shared" si="52"/>
        <v>0</v>
      </c>
      <c r="BL64" s="81">
        <f t="shared" si="53"/>
        <v>0</v>
      </c>
      <c r="BM64" s="81">
        <f t="shared" si="54"/>
        <v>0</v>
      </c>
      <c r="BN64" s="81">
        <f t="shared" si="55"/>
        <v>0</v>
      </c>
      <c r="BO64" s="81">
        <f t="shared" si="56"/>
        <v>0</v>
      </c>
      <c r="BP64" s="81">
        <f t="shared" si="57"/>
        <v>0</v>
      </c>
      <c r="BQ64" s="81">
        <f t="shared" si="58"/>
        <v>0</v>
      </c>
      <c r="BR64" s="81">
        <f t="shared" si="59"/>
        <v>0</v>
      </c>
      <c r="BS64" s="81">
        <f t="shared" si="60"/>
        <v>0</v>
      </c>
      <c r="BT64" s="89">
        <f t="shared" si="61"/>
        <v>0</v>
      </c>
    </row>
    <row r="65" spans="1:72">
      <c r="A65" s="79"/>
      <c r="B65" s="80"/>
      <c r="C65" s="80"/>
      <c r="D65" s="2301"/>
      <c r="E65" s="81">
        <f t="shared" si="33"/>
        <v>0</v>
      </c>
      <c r="F65" s="82"/>
      <c r="G65" s="83">
        <f t="shared" si="34"/>
        <v>0</v>
      </c>
      <c r="H65" s="84">
        <f t="shared" si="35"/>
        <v>0</v>
      </c>
      <c r="I65" s="85"/>
      <c r="J65" s="85"/>
      <c r="K65" s="85"/>
      <c r="L65" s="85"/>
      <c r="M65" s="85"/>
      <c r="N65" s="85"/>
      <c r="O65" s="85"/>
      <c r="P65" s="85"/>
      <c r="Q65" s="85"/>
      <c r="R65" s="85"/>
      <c r="S65" s="85"/>
      <c r="T65" s="85"/>
      <c r="U65" s="85"/>
      <c r="V65" s="85"/>
      <c r="W65" s="85"/>
      <c r="X65" s="85"/>
      <c r="Y65" s="85"/>
      <c r="Z65" s="85"/>
      <c r="AA65" s="85"/>
      <c r="AB65" s="85"/>
      <c r="AC65" s="81">
        <f t="shared" si="36"/>
        <v>0</v>
      </c>
      <c r="AD65" s="86"/>
      <c r="AE65" s="86"/>
      <c r="AF65" s="86"/>
      <c r="AG65" s="86"/>
      <c r="AH65" s="86"/>
      <c r="AI65" s="86"/>
      <c r="AJ65" s="86"/>
      <c r="AK65" s="86"/>
      <c r="AL65" s="86"/>
      <c r="AM65" s="86"/>
      <c r="AN65" s="86"/>
      <c r="AO65" s="86"/>
      <c r="AP65" s="86"/>
      <c r="AQ65" s="86"/>
      <c r="AR65" s="86"/>
      <c r="AS65" s="86"/>
      <c r="AT65" s="82"/>
      <c r="AU65" s="87"/>
      <c r="AV65" s="818">
        <f t="shared" si="37"/>
        <v>0</v>
      </c>
      <c r="AW65" s="818">
        <f t="shared" si="38"/>
        <v>0</v>
      </c>
      <c r="AX65" s="818">
        <f t="shared" si="39"/>
        <v>0</v>
      </c>
      <c r="AY65" s="88">
        <f t="shared" si="40"/>
        <v>0</v>
      </c>
      <c r="AZ65" s="81">
        <f t="shared" si="41"/>
        <v>0</v>
      </c>
      <c r="BA65" s="81">
        <f t="shared" si="42"/>
        <v>0</v>
      </c>
      <c r="BB65" s="81">
        <f t="shared" si="43"/>
        <v>0</v>
      </c>
      <c r="BC65" s="81">
        <f t="shared" si="44"/>
        <v>0</v>
      </c>
      <c r="BD65" s="81">
        <f t="shared" si="45"/>
        <v>0</v>
      </c>
      <c r="BE65" s="81">
        <f t="shared" si="46"/>
        <v>0</v>
      </c>
      <c r="BF65" s="81">
        <f t="shared" si="47"/>
        <v>0</v>
      </c>
      <c r="BG65" s="81">
        <f t="shared" si="48"/>
        <v>0</v>
      </c>
      <c r="BH65" s="81">
        <f t="shared" si="49"/>
        <v>0</v>
      </c>
      <c r="BI65" s="81">
        <f t="shared" si="50"/>
        <v>0</v>
      </c>
      <c r="BJ65" s="81">
        <f t="shared" si="51"/>
        <v>0</v>
      </c>
      <c r="BK65" s="81">
        <f t="shared" si="52"/>
        <v>0</v>
      </c>
      <c r="BL65" s="81">
        <f t="shared" si="53"/>
        <v>0</v>
      </c>
      <c r="BM65" s="81">
        <f t="shared" si="54"/>
        <v>0</v>
      </c>
      <c r="BN65" s="81">
        <f t="shared" si="55"/>
        <v>0</v>
      </c>
      <c r="BO65" s="81">
        <f t="shared" si="56"/>
        <v>0</v>
      </c>
      <c r="BP65" s="81">
        <f t="shared" si="57"/>
        <v>0</v>
      </c>
      <c r="BQ65" s="81">
        <f t="shared" si="58"/>
        <v>0</v>
      </c>
      <c r="BR65" s="81">
        <f t="shared" si="59"/>
        <v>0</v>
      </c>
      <c r="BS65" s="81">
        <f t="shared" si="60"/>
        <v>0</v>
      </c>
      <c r="BT65" s="89">
        <f t="shared" si="61"/>
        <v>0</v>
      </c>
    </row>
    <row r="66" spans="1:72">
      <c r="A66" s="79"/>
      <c r="B66" s="80"/>
      <c r="C66" s="80"/>
      <c r="D66" s="2301"/>
      <c r="E66" s="81">
        <f t="shared" si="33"/>
        <v>0</v>
      </c>
      <c r="F66" s="82"/>
      <c r="G66" s="83">
        <f t="shared" si="34"/>
        <v>0</v>
      </c>
      <c r="H66" s="84">
        <f t="shared" si="35"/>
        <v>0</v>
      </c>
      <c r="I66" s="85"/>
      <c r="J66" s="85"/>
      <c r="K66" s="85"/>
      <c r="L66" s="85"/>
      <c r="M66" s="85"/>
      <c r="N66" s="85"/>
      <c r="O66" s="85"/>
      <c r="P66" s="85"/>
      <c r="Q66" s="85"/>
      <c r="R66" s="85"/>
      <c r="S66" s="85"/>
      <c r="T66" s="85"/>
      <c r="U66" s="85"/>
      <c r="V66" s="85"/>
      <c r="W66" s="85"/>
      <c r="X66" s="85"/>
      <c r="Y66" s="85"/>
      <c r="Z66" s="85"/>
      <c r="AA66" s="85"/>
      <c r="AB66" s="85"/>
      <c r="AC66" s="81">
        <f t="shared" si="36"/>
        <v>0</v>
      </c>
      <c r="AD66" s="86"/>
      <c r="AE66" s="86"/>
      <c r="AF66" s="86"/>
      <c r="AG66" s="86"/>
      <c r="AH66" s="86"/>
      <c r="AI66" s="86"/>
      <c r="AJ66" s="86"/>
      <c r="AK66" s="86"/>
      <c r="AL66" s="86"/>
      <c r="AM66" s="86"/>
      <c r="AN66" s="86"/>
      <c r="AO66" s="86"/>
      <c r="AP66" s="86"/>
      <c r="AQ66" s="86"/>
      <c r="AR66" s="86"/>
      <c r="AS66" s="86"/>
      <c r="AT66" s="82"/>
      <c r="AU66" s="87"/>
      <c r="AV66" s="818">
        <f t="shared" si="37"/>
        <v>0</v>
      </c>
      <c r="AW66" s="818">
        <f t="shared" si="38"/>
        <v>0</v>
      </c>
      <c r="AX66" s="818">
        <f t="shared" si="39"/>
        <v>0</v>
      </c>
      <c r="AY66" s="88">
        <f t="shared" si="40"/>
        <v>0</v>
      </c>
      <c r="AZ66" s="81">
        <f t="shared" si="41"/>
        <v>0</v>
      </c>
      <c r="BA66" s="81">
        <f t="shared" si="42"/>
        <v>0</v>
      </c>
      <c r="BB66" s="81">
        <f t="shared" si="43"/>
        <v>0</v>
      </c>
      <c r="BC66" s="81">
        <f t="shared" si="44"/>
        <v>0</v>
      </c>
      <c r="BD66" s="81">
        <f t="shared" si="45"/>
        <v>0</v>
      </c>
      <c r="BE66" s="81">
        <f t="shared" si="46"/>
        <v>0</v>
      </c>
      <c r="BF66" s="81">
        <f t="shared" si="47"/>
        <v>0</v>
      </c>
      <c r="BG66" s="81">
        <f t="shared" si="48"/>
        <v>0</v>
      </c>
      <c r="BH66" s="81">
        <f t="shared" si="49"/>
        <v>0</v>
      </c>
      <c r="BI66" s="81">
        <f t="shared" si="50"/>
        <v>0</v>
      </c>
      <c r="BJ66" s="81">
        <f t="shared" si="51"/>
        <v>0</v>
      </c>
      <c r="BK66" s="81">
        <f t="shared" si="52"/>
        <v>0</v>
      </c>
      <c r="BL66" s="81">
        <f t="shared" si="53"/>
        <v>0</v>
      </c>
      <c r="BM66" s="81">
        <f t="shared" si="54"/>
        <v>0</v>
      </c>
      <c r="BN66" s="81">
        <f t="shared" si="55"/>
        <v>0</v>
      </c>
      <c r="BO66" s="81">
        <f t="shared" si="56"/>
        <v>0</v>
      </c>
      <c r="BP66" s="81">
        <f t="shared" si="57"/>
        <v>0</v>
      </c>
      <c r="BQ66" s="81">
        <f t="shared" si="58"/>
        <v>0</v>
      </c>
      <c r="BR66" s="81">
        <f t="shared" si="59"/>
        <v>0</v>
      </c>
      <c r="BS66" s="81">
        <f t="shared" si="60"/>
        <v>0</v>
      </c>
      <c r="BT66" s="89">
        <f t="shared" si="61"/>
        <v>0</v>
      </c>
    </row>
    <row r="67" spans="1:72">
      <c r="A67" s="79"/>
      <c r="B67" s="80"/>
      <c r="C67" s="80"/>
      <c r="D67" s="2301"/>
      <c r="E67" s="81">
        <f t="shared" si="33"/>
        <v>0</v>
      </c>
      <c r="F67" s="82"/>
      <c r="G67" s="83">
        <f t="shared" si="34"/>
        <v>0</v>
      </c>
      <c r="H67" s="84">
        <f t="shared" si="35"/>
        <v>0</v>
      </c>
      <c r="I67" s="85"/>
      <c r="J67" s="85"/>
      <c r="K67" s="85"/>
      <c r="L67" s="85"/>
      <c r="M67" s="85"/>
      <c r="N67" s="85"/>
      <c r="O67" s="85"/>
      <c r="P67" s="85"/>
      <c r="Q67" s="85"/>
      <c r="R67" s="85"/>
      <c r="S67" s="85"/>
      <c r="T67" s="85"/>
      <c r="U67" s="85"/>
      <c r="V67" s="85"/>
      <c r="W67" s="85"/>
      <c r="X67" s="85"/>
      <c r="Y67" s="85"/>
      <c r="Z67" s="85"/>
      <c r="AA67" s="85"/>
      <c r="AB67" s="85"/>
      <c r="AC67" s="81">
        <f t="shared" si="36"/>
        <v>0</v>
      </c>
      <c r="AD67" s="86"/>
      <c r="AE67" s="86"/>
      <c r="AF67" s="86"/>
      <c r="AG67" s="86"/>
      <c r="AH67" s="86"/>
      <c r="AI67" s="86"/>
      <c r="AJ67" s="86"/>
      <c r="AK67" s="86"/>
      <c r="AL67" s="86"/>
      <c r="AM67" s="86"/>
      <c r="AN67" s="86"/>
      <c r="AO67" s="86"/>
      <c r="AP67" s="86"/>
      <c r="AQ67" s="86"/>
      <c r="AR67" s="86"/>
      <c r="AS67" s="86"/>
      <c r="AT67" s="82"/>
      <c r="AU67" s="87"/>
      <c r="AV67" s="818">
        <f t="shared" si="37"/>
        <v>0</v>
      </c>
      <c r="AW67" s="818">
        <f t="shared" si="38"/>
        <v>0</v>
      </c>
      <c r="AX67" s="818">
        <f t="shared" si="39"/>
        <v>0</v>
      </c>
      <c r="AY67" s="88">
        <f t="shared" si="40"/>
        <v>0</v>
      </c>
      <c r="AZ67" s="81">
        <f t="shared" si="41"/>
        <v>0</v>
      </c>
      <c r="BA67" s="81">
        <f t="shared" si="42"/>
        <v>0</v>
      </c>
      <c r="BB67" s="81">
        <f t="shared" si="43"/>
        <v>0</v>
      </c>
      <c r="BC67" s="81">
        <f t="shared" si="44"/>
        <v>0</v>
      </c>
      <c r="BD67" s="81">
        <f t="shared" si="45"/>
        <v>0</v>
      </c>
      <c r="BE67" s="81">
        <f t="shared" si="46"/>
        <v>0</v>
      </c>
      <c r="BF67" s="81">
        <f t="shared" si="47"/>
        <v>0</v>
      </c>
      <c r="BG67" s="81">
        <f t="shared" si="48"/>
        <v>0</v>
      </c>
      <c r="BH67" s="81">
        <f t="shared" si="49"/>
        <v>0</v>
      </c>
      <c r="BI67" s="81">
        <f t="shared" si="50"/>
        <v>0</v>
      </c>
      <c r="BJ67" s="81">
        <f t="shared" si="51"/>
        <v>0</v>
      </c>
      <c r="BK67" s="81">
        <f t="shared" si="52"/>
        <v>0</v>
      </c>
      <c r="BL67" s="81">
        <f t="shared" si="53"/>
        <v>0</v>
      </c>
      <c r="BM67" s="81">
        <f t="shared" si="54"/>
        <v>0</v>
      </c>
      <c r="BN67" s="81">
        <f t="shared" si="55"/>
        <v>0</v>
      </c>
      <c r="BO67" s="81">
        <f t="shared" si="56"/>
        <v>0</v>
      </c>
      <c r="BP67" s="81">
        <f t="shared" si="57"/>
        <v>0</v>
      </c>
      <c r="BQ67" s="81">
        <f t="shared" si="58"/>
        <v>0</v>
      </c>
      <c r="BR67" s="81">
        <f t="shared" si="59"/>
        <v>0</v>
      </c>
      <c r="BS67" s="81">
        <f t="shared" si="60"/>
        <v>0</v>
      </c>
      <c r="BT67" s="89">
        <f t="shared" si="61"/>
        <v>0</v>
      </c>
    </row>
    <row r="68" spans="1:72">
      <c r="A68" s="79"/>
      <c r="B68" s="80"/>
      <c r="C68" s="80"/>
      <c r="D68" s="2301"/>
      <c r="E68" s="81">
        <f t="shared" si="33"/>
        <v>0</v>
      </c>
      <c r="F68" s="82"/>
      <c r="G68" s="83">
        <f t="shared" si="34"/>
        <v>0</v>
      </c>
      <c r="H68" s="84">
        <f t="shared" si="35"/>
        <v>0</v>
      </c>
      <c r="I68" s="85"/>
      <c r="J68" s="85"/>
      <c r="K68" s="85"/>
      <c r="L68" s="85"/>
      <c r="M68" s="85"/>
      <c r="N68" s="85"/>
      <c r="O68" s="85"/>
      <c r="P68" s="85"/>
      <c r="Q68" s="85"/>
      <c r="R68" s="85"/>
      <c r="S68" s="85"/>
      <c r="T68" s="85"/>
      <c r="U68" s="85"/>
      <c r="V68" s="85"/>
      <c r="W68" s="85"/>
      <c r="X68" s="85"/>
      <c r="Y68" s="85"/>
      <c r="Z68" s="85"/>
      <c r="AA68" s="85"/>
      <c r="AB68" s="85"/>
      <c r="AC68" s="81">
        <f t="shared" si="36"/>
        <v>0</v>
      </c>
      <c r="AD68" s="86"/>
      <c r="AE68" s="86"/>
      <c r="AF68" s="86"/>
      <c r="AG68" s="86"/>
      <c r="AH68" s="86"/>
      <c r="AI68" s="86"/>
      <c r="AJ68" s="86"/>
      <c r="AK68" s="86"/>
      <c r="AL68" s="86"/>
      <c r="AM68" s="86"/>
      <c r="AN68" s="86"/>
      <c r="AO68" s="86"/>
      <c r="AP68" s="86"/>
      <c r="AQ68" s="86"/>
      <c r="AR68" s="86"/>
      <c r="AS68" s="86"/>
      <c r="AT68" s="82"/>
      <c r="AU68" s="87"/>
      <c r="AV68" s="818">
        <f t="shared" si="37"/>
        <v>0</v>
      </c>
      <c r="AW68" s="818">
        <f t="shared" si="38"/>
        <v>0</v>
      </c>
      <c r="AX68" s="818">
        <f t="shared" si="39"/>
        <v>0</v>
      </c>
      <c r="AY68" s="88">
        <f t="shared" si="40"/>
        <v>0</v>
      </c>
      <c r="AZ68" s="81">
        <f t="shared" si="41"/>
        <v>0</v>
      </c>
      <c r="BA68" s="81">
        <f t="shared" si="42"/>
        <v>0</v>
      </c>
      <c r="BB68" s="81">
        <f t="shared" si="43"/>
        <v>0</v>
      </c>
      <c r="BC68" s="81">
        <f t="shared" si="44"/>
        <v>0</v>
      </c>
      <c r="BD68" s="81">
        <f t="shared" si="45"/>
        <v>0</v>
      </c>
      <c r="BE68" s="81">
        <f t="shared" si="46"/>
        <v>0</v>
      </c>
      <c r="BF68" s="81">
        <f t="shared" si="47"/>
        <v>0</v>
      </c>
      <c r="BG68" s="81">
        <f t="shared" si="48"/>
        <v>0</v>
      </c>
      <c r="BH68" s="81">
        <f t="shared" si="49"/>
        <v>0</v>
      </c>
      <c r="BI68" s="81">
        <f t="shared" si="50"/>
        <v>0</v>
      </c>
      <c r="BJ68" s="81">
        <f t="shared" si="51"/>
        <v>0</v>
      </c>
      <c r="BK68" s="81">
        <f t="shared" si="52"/>
        <v>0</v>
      </c>
      <c r="BL68" s="81">
        <f t="shared" si="53"/>
        <v>0</v>
      </c>
      <c r="BM68" s="81">
        <f t="shared" si="54"/>
        <v>0</v>
      </c>
      <c r="BN68" s="81">
        <f t="shared" si="55"/>
        <v>0</v>
      </c>
      <c r="BO68" s="81">
        <f t="shared" si="56"/>
        <v>0</v>
      </c>
      <c r="BP68" s="81">
        <f t="shared" si="57"/>
        <v>0</v>
      </c>
      <c r="BQ68" s="81">
        <f t="shared" si="58"/>
        <v>0</v>
      </c>
      <c r="BR68" s="81">
        <f t="shared" si="59"/>
        <v>0</v>
      </c>
      <c r="BS68" s="81">
        <f t="shared" si="60"/>
        <v>0</v>
      </c>
      <c r="BT68" s="89">
        <f t="shared" si="61"/>
        <v>0</v>
      </c>
    </row>
    <row r="69" spans="1:72">
      <c r="A69" s="79"/>
      <c r="B69" s="80"/>
      <c r="C69" s="80"/>
      <c r="D69" s="2301"/>
      <c r="E69" s="81">
        <f t="shared" si="33"/>
        <v>0</v>
      </c>
      <c r="F69" s="82"/>
      <c r="G69" s="83">
        <f t="shared" si="34"/>
        <v>0</v>
      </c>
      <c r="H69" s="84">
        <f t="shared" si="35"/>
        <v>0</v>
      </c>
      <c r="I69" s="85"/>
      <c r="J69" s="85"/>
      <c r="K69" s="85"/>
      <c r="L69" s="85"/>
      <c r="M69" s="85"/>
      <c r="N69" s="85"/>
      <c r="O69" s="85"/>
      <c r="P69" s="85"/>
      <c r="Q69" s="85"/>
      <c r="R69" s="85"/>
      <c r="S69" s="85"/>
      <c r="T69" s="85"/>
      <c r="U69" s="85"/>
      <c r="V69" s="85"/>
      <c r="W69" s="85"/>
      <c r="X69" s="85"/>
      <c r="Y69" s="85"/>
      <c r="Z69" s="85"/>
      <c r="AA69" s="85"/>
      <c r="AB69" s="85"/>
      <c r="AC69" s="81">
        <f t="shared" si="36"/>
        <v>0</v>
      </c>
      <c r="AD69" s="86"/>
      <c r="AE69" s="86"/>
      <c r="AF69" s="86"/>
      <c r="AG69" s="86"/>
      <c r="AH69" s="86"/>
      <c r="AI69" s="86"/>
      <c r="AJ69" s="86"/>
      <c r="AK69" s="86"/>
      <c r="AL69" s="86"/>
      <c r="AM69" s="86"/>
      <c r="AN69" s="86"/>
      <c r="AO69" s="86"/>
      <c r="AP69" s="86"/>
      <c r="AQ69" s="86"/>
      <c r="AR69" s="86"/>
      <c r="AS69" s="86"/>
      <c r="AT69" s="82"/>
      <c r="AU69" s="87"/>
      <c r="AV69" s="818">
        <f t="shared" si="37"/>
        <v>0</v>
      </c>
      <c r="AW69" s="818">
        <f t="shared" si="38"/>
        <v>0</v>
      </c>
      <c r="AX69" s="818">
        <f t="shared" si="39"/>
        <v>0</v>
      </c>
      <c r="AY69" s="88">
        <f t="shared" si="40"/>
        <v>0</v>
      </c>
      <c r="AZ69" s="81">
        <f t="shared" si="41"/>
        <v>0</v>
      </c>
      <c r="BA69" s="81">
        <f t="shared" si="42"/>
        <v>0</v>
      </c>
      <c r="BB69" s="81">
        <f t="shared" si="43"/>
        <v>0</v>
      </c>
      <c r="BC69" s="81">
        <f t="shared" si="44"/>
        <v>0</v>
      </c>
      <c r="BD69" s="81">
        <f t="shared" si="45"/>
        <v>0</v>
      </c>
      <c r="BE69" s="81">
        <f t="shared" si="46"/>
        <v>0</v>
      </c>
      <c r="BF69" s="81">
        <f t="shared" si="47"/>
        <v>0</v>
      </c>
      <c r="BG69" s="81">
        <f t="shared" si="48"/>
        <v>0</v>
      </c>
      <c r="BH69" s="81">
        <f t="shared" si="49"/>
        <v>0</v>
      </c>
      <c r="BI69" s="81">
        <f t="shared" si="50"/>
        <v>0</v>
      </c>
      <c r="BJ69" s="81">
        <f t="shared" si="51"/>
        <v>0</v>
      </c>
      <c r="BK69" s="81">
        <f t="shared" si="52"/>
        <v>0</v>
      </c>
      <c r="BL69" s="81">
        <f t="shared" si="53"/>
        <v>0</v>
      </c>
      <c r="BM69" s="81">
        <f t="shared" si="54"/>
        <v>0</v>
      </c>
      <c r="BN69" s="81">
        <f t="shared" si="55"/>
        <v>0</v>
      </c>
      <c r="BO69" s="81">
        <f t="shared" si="56"/>
        <v>0</v>
      </c>
      <c r="BP69" s="81">
        <f t="shared" si="57"/>
        <v>0</v>
      </c>
      <c r="BQ69" s="81">
        <f t="shared" si="58"/>
        <v>0</v>
      </c>
      <c r="BR69" s="81">
        <f t="shared" si="59"/>
        <v>0</v>
      </c>
      <c r="BS69" s="81">
        <f t="shared" si="60"/>
        <v>0</v>
      </c>
      <c r="BT69" s="89">
        <f t="shared" si="61"/>
        <v>0</v>
      </c>
    </row>
    <row r="70" spans="1:72">
      <c r="A70" s="79"/>
      <c r="B70" s="80"/>
      <c r="C70" s="80"/>
      <c r="D70" s="2301"/>
      <c r="E70" s="81">
        <f t="shared" si="33"/>
        <v>0</v>
      </c>
      <c r="F70" s="82"/>
      <c r="G70" s="83">
        <f t="shared" si="34"/>
        <v>0</v>
      </c>
      <c r="H70" s="84">
        <f t="shared" si="35"/>
        <v>0</v>
      </c>
      <c r="I70" s="85"/>
      <c r="J70" s="85"/>
      <c r="K70" s="85"/>
      <c r="L70" s="85"/>
      <c r="M70" s="85"/>
      <c r="N70" s="85"/>
      <c r="O70" s="85"/>
      <c r="P70" s="85"/>
      <c r="Q70" s="85"/>
      <c r="R70" s="85"/>
      <c r="S70" s="85"/>
      <c r="T70" s="85"/>
      <c r="U70" s="85"/>
      <c r="V70" s="85"/>
      <c r="W70" s="85"/>
      <c r="X70" s="85"/>
      <c r="Y70" s="85"/>
      <c r="Z70" s="85"/>
      <c r="AA70" s="85"/>
      <c r="AB70" s="85"/>
      <c r="AC70" s="81">
        <f t="shared" si="36"/>
        <v>0</v>
      </c>
      <c r="AD70" s="86"/>
      <c r="AE70" s="86"/>
      <c r="AF70" s="86"/>
      <c r="AG70" s="86"/>
      <c r="AH70" s="86"/>
      <c r="AI70" s="86"/>
      <c r="AJ70" s="86"/>
      <c r="AK70" s="86"/>
      <c r="AL70" s="86"/>
      <c r="AM70" s="86"/>
      <c r="AN70" s="86"/>
      <c r="AO70" s="86"/>
      <c r="AP70" s="86"/>
      <c r="AQ70" s="86"/>
      <c r="AR70" s="86"/>
      <c r="AS70" s="86"/>
      <c r="AT70" s="82"/>
      <c r="AU70" s="87"/>
      <c r="AV70" s="818">
        <f t="shared" si="37"/>
        <v>0</v>
      </c>
      <c r="AW70" s="818">
        <f t="shared" si="38"/>
        <v>0</v>
      </c>
      <c r="AX70" s="818">
        <f t="shared" si="39"/>
        <v>0</v>
      </c>
      <c r="AY70" s="88">
        <f t="shared" si="40"/>
        <v>0</v>
      </c>
      <c r="AZ70" s="81">
        <f t="shared" si="41"/>
        <v>0</v>
      </c>
      <c r="BA70" s="81">
        <f t="shared" si="42"/>
        <v>0</v>
      </c>
      <c r="BB70" s="81">
        <f t="shared" si="43"/>
        <v>0</v>
      </c>
      <c r="BC70" s="81">
        <f t="shared" si="44"/>
        <v>0</v>
      </c>
      <c r="BD70" s="81">
        <f t="shared" si="45"/>
        <v>0</v>
      </c>
      <c r="BE70" s="81">
        <f t="shared" si="46"/>
        <v>0</v>
      </c>
      <c r="BF70" s="81">
        <f t="shared" si="47"/>
        <v>0</v>
      </c>
      <c r="BG70" s="81">
        <f t="shared" si="48"/>
        <v>0</v>
      </c>
      <c r="BH70" s="81">
        <f t="shared" si="49"/>
        <v>0</v>
      </c>
      <c r="BI70" s="81">
        <f t="shared" si="50"/>
        <v>0</v>
      </c>
      <c r="BJ70" s="81">
        <f t="shared" si="51"/>
        <v>0</v>
      </c>
      <c r="BK70" s="81">
        <f t="shared" si="52"/>
        <v>0</v>
      </c>
      <c r="BL70" s="81">
        <f t="shared" si="53"/>
        <v>0</v>
      </c>
      <c r="BM70" s="81">
        <f t="shared" si="54"/>
        <v>0</v>
      </c>
      <c r="BN70" s="81">
        <f t="shared" si="55"/>
        <v>0</v>
      </c>
      <c r="BO70" s="81">
        <f t="shared" si="56"/>
        <v>0</v>
      </c>
      <c r="BP70" s="81">
        <f t="shared" si="57"/>
        <v>0</v>
      </c>
      <c r="BQ70" s="81">
        <f t="shared" si="58"/>
        <v>0</v>
      </c>
      <c r="BR70" s="81">
        <f t="shared" si="59"/>
        <v>0</v>
      </c>
      <c r="BS70" s="81">
        <f t="shared" si="60"/>
        <v>0</v>
      </c>
      <c r="BT70" s="89">
        <f t="shared" si="61"/>
        <v>0</v>
      </c>
    </row>
    <row r="71" spans="1:72">
      <c r="A71" s="79"/>
      <c r="B71" s="80"/>
      <c r="C71" s="80"/>
      <c r="D71" s="2301"/>
      <c r="E71" s="81">
        <f t="shared" si="33"/>
        <v>0</v>
      </c>
      <c r="F71" s="82"/>
      <c r="G71" s="83">
        <f t="shared" si="34"/>
        <v>0</v>
      </c>
      <c r="H71" s="84">
        <f t="shared" si="35"/>
        <v>0</v>
      </c>
      <c r="I71" s="85"/>
      <c r="J71" s="85"/>
      <c r="K71" s="85"/>
      <c r="L71" s="85"/>
      <c r="M71" s="85"/>
      <c r="N71" s="85"/>
      <c r="O71" s="85"/>
      <c r="P71" s="85"/>
      <c r="Q71" s="85"/>
      <c r="R71" s="85"/>
      <c r="S71" s="85"/>
      <c r="T71" s="85"/>
      <c r="U71" s="85"/>
      <c r="V71" s="85"/>
      <c r="W71" s="85"/>
      <c r="X71" s="85"/>
      <c r="Y71" s="85"/>
      <c r="Z71" s="85"/>
      <c r="AA71" s="85"/>
      <c r="AB71" s="85"/>
      <c r="AC71" s="81">
        <f t="shared" si="36"/>
        <v>0</v>
      </c>
      <c r="AD71" s="86"/>
      <c r="AE71" s="86"/>
      <c r="AF71" s="86"/>
      <c r="AG71" s="86"/>
      <c r="AH71" s="86"/>
      <c r="AI71" s="86"/>
      <c r="AJ71" s="86"/>
      <c r="AK71" s="86"/>
      <c r="AL71" s="86"/>
      <c r="AM71" s="86"/>
      <c r="AN71" s="86"/>
      <c r="AO71" s="86"/>
      <c r="AP71" s="86"/>
      <c r="AQ71" s="86"/>
      <c r="AR71" s="86"/>
      <c r="AS71" s="86"/>
      <c r="AT71" s="82"/>
      <c r="AU71" s="87"/>
      <c r="AV71" s="818">
        <f t="shared" si="37"/>
        <v>0</v>
      </c>
      <c r="AW71" s="818">
        <f t="shared" si="38"/>
        <v>0</v>
      </c>
      <c r="AX71" s="818">
        <f t="shared" si="39"/>
        <v>0</v>
      </c>
      <c r="AY71" s="88">
        <f t="shared" si="40"/>
        <v>0</v>
      </c>
      <c r="AZ71" s="81">
        <f t="shared" si="41"/>
        <v>0</v>
      </c>
      <c r="BA71" s="81">
        <f t="shared" si="42"/>
        <v>0</v>
      </c>
      <c r="BB71" s="81">
        <f t="shared" si="43"/>
        <v>0</v>
      </c>
      <c r="BC71" s="81">
        <f t="shared" si="44"/>
        <v>0</v>
      </c>
      <c r="BD71" s="81">
        <f t="shared" si="45"/>
        <v>0</v>
      </c>
      <c r="BE71" s="81">
        <f t="shared" si="46"/>
        <v>0</v>
      </c>
      <c r="BF71" s="81">
        <f t="shared" si="47"/>
        <v>0</v>
      </c>
      <c r="BG71" s="81">
        <f t="shared" si="48"/>
        <v>0</v>
      </c>
      <c r="BH71" s="81">
        <f t="shared" si="49"/>
        <v>0</v>
      </c>
      <c r="BI71" s="81">
        <f t="shared" si="50"/>
        <v>0</v>
      </c>
      <c r="BJ71" s="81">
        <f t="shared" si="51"/>
        <v>0</v>
      </c>
      <c r="BK71" s="81">
        <f t="shared" si="52"/>
        <v>0</v>
      </c>
      <c r="BL71" s="81">
        <f t="shared" si="53"/>
        <v>0</v>
      </c>
      <c r="BM71" s="81">
        <f t="shared" si="54"/>
        <v>0</v>
      </c>
      <c r="BN71" s="81">
        <f t="shared" si="55"/>
        <v>0</v>
      </c>
      <c r="BO71" s="81">
        <f t="shared" si="56"/>
        <v>0</v>
      </c>
      <c r="BP71" s="81">
        <f t="shared" si="57"/>
        <v>0</v>
      </c>
      <c r="BQ71" s="81">
        <f t="shared" si="58"/>
        <v>0</v>
      </c>
      <c r="BR71" s="81">
        <f t="shared" si="59"/>
        <v>0</v>
      </c>
      <c r="BS71" s="81">
        <f t="shared" si="60"/>
        <v>0</v>
      </c>
      <c r="BT71" s="89">
        <f t="shared" si="61"/>
        <v>0</v>
      </c>
    </row>
    <row r="72" spans="1:72">
      <c r="A72" s="79"/>
      <c r="B72" s="80"/>
      <c r="C72" s="80"/>
      <c r="D72" s="2301"/>
      <c r="E72" s="81">
        <f t="shared" si="33"/>
        <v>0</v>
      </c>
      <c r="F72" s="82"/>
      <c r="G72" s="83">
        <f t="shared" si="34"/>
        <v>0</v>
      </c>
      <c r="H72" s="84">
        <f t="shared" si="35"/>
        <v>0</v>
      </c>
      <c r="I72" s="85"/>
      <c r="J72" s="85"/>
      <c r="K72" s="85"/>
      <c r="L72" s="85"/>
      <c r="M72" s="85"/>
      <c r="N72" s="85"/>
      <c r="O72" s="85"/>
      <c r="P72" s="85"/>
      <c r="Q72" s="85"/>
      <c r="R72" s="85"/>
      <c r="S72" s="85"/>
      <c r="T72" s="85"/>
      <c r="U72" s="85"/>
      <c r="V72" s="85"/>
      <c r="W72" s="85"/>
      <c r="X72" s="85"/>
      <c r="Y72" s="85"/>
      <c r="Z72" s="85"/>
      <c r="AA72" s="85"/>
      <c r="AB72" s="85"/>
      <c r="AC72" s="81">
        <f t="shared" si="36"/>
        <v>0</v>
      </c>
      <c r="AD72" s="86"/>
      <c r="AE72" s="86"/>
      <c r="AF72" s="86"/>
      <c r="AG72" s="86"/>
      <c r="AH72" s="86"/>
      <c r="AI72" s="86"/>
      <c r="AJ72" s="86"/>
      <c r="AK72" s="86"/>
      <c r="AL72" s="86"/>
      <c r="AM72" s="86"/>
      <c r="AN72" s="86"/>
      <c r="AO72" s="86"/>
      <c r="AP72" s="86"/>
      <c r="AQ72" s="86"/>
      <c r="AR72" s="86"/>
      <c r="AS72" s="86"/>
      <c r="AT72" s="82"/>
      <c r="AU72" s="87"/>
      <c r="AV72" s="818">
        <f t="shared" si="37"/>
        <v>0</v>
      </c>
      <c r="AW72" s="818">
        <f t="shared" si="38"/>
        <v>0</v>
      </c>
      <c r="AX72" s="818">
        <f t="shared" si="39"/>
        <v>0</v>
      </c>
      <c r="AY72" s="88">
        <f t="shared" si="40"/>
        <v>0</v>
      </c>
      <c r="AZ72" s="81">
        <f t="shared" si="41"/>
        <v>0</v>
      </c>
      <c r="BA72" s="81">
        <f t="shared" si="42"/>
        <v>0</v>
      </c>
      <c r="BB72" s="81">
        <f t="shared" si="43"/>
        <v>0</v>
      </c>
      <c r="BC72" s="81">
        <f t="shared" si="44"/>
        <v>0</v>
      </c>
      <c r="BD72" s="81">
        <f t="shared" si="45"/>
        <v>0</v>
      </c>
      <c r="BE72" s="81">
        <f t="shared" si="46"/>
        <v>0</v>
      </c>
      <c r="BF72" s="81">
        <f t="shared" si="47"/>
        <v>0</v>
      </c>
      <c r="BG72" s="81">
        <f t="shared" si="48"/>
        <v>0</v>
      </c>
      <c r="BH72" s="81">
        <f t="shared" si="49"/>
        <v>0</v>
      </c>
      <c r="BI72" s="81">
        <f t="shared" si="50"/>
        <v>0</v>
      </c>
      <c r="BJ72" s="81">
        <f t="shared" si="51"/>
        <v>0</v>
      </c>
      <c r="BK72" s="81">
        <f t="shared" si="52"/>
        <v>0</v>
      </c>
      <c r="BL72" s="81">
        <f t="shared" si="53"/>
        <v>0</v>
      </c>
      <c r="BM72" s="81">
        <f t="shared" si="54"/>
        <v>0</v>
      </c>
      <c r="BN72" s="81">
        <f t="shared" si="55"/>
        <v>0</v>
      </c>
      <c r="BO72" s="81">
        <f t="shared" si="56"/>
        <v>0</v>
      </c>
      <c r="BP72" s="81">
        <f t="shared" si="57"/>
        <v>0</v>
      </c>
      <c r="BQ72" s="81">
        <f t="shared" si="58"/>
        <v>0</v>
      </c>
      <c r="BR72" s="81">
        <f t="shared" si="59"/>
        <v>0</v>
      </c>
      <c r="BS72" s="81">
        <f t="shared" si="60"/>
        <v>0</v>
      </c>
      <c r="BT72" s="89">
        <f t="shared" si="61"/>
        <v>0</v>
      </c>
    </row>
    <row r="73" spans="1:72">
      <c r="A73" s="79"/>
      <c r="B73" s="80"/>
      <c r="C73" s="80"/>
      <c r="D73" s="2301"/>
      <c r="E73" s="81">
        <f t="shared" si="33"/>
        <v>0</v>
      </c>
      <c r="F73" s="82"/>
      <c r="G73" s="83">
        <f t="shared" si="34"/>
        <v>0</v>
      </c>
      <c r="H73" s="84">
        <f t="shared" si="35"/>
        <v>0</v>
      </c>
      <c r="I73" s="85"/>
      <c r="J73" s="85"/>
      <c r="K73" s="85"/>
      <c r="L73" s="85"/>
      <c r="M73" s="85"/>
      <c r="N73" s="85"/>
      <c r="O73" s="85"/>
      <c r="P73" s="85"/>
      <c r="Q73" s="85"/>
      <c r="R73" s="85"/>
      <c r="S73" s="85"/>
      <c r="T73" s="85"/>
      <c r="U73" s="85"/>
      <c r="V73" s="85"/>
      <c r="W73" s="85"/>
      <c r="X73" s="85"/>
      <c r="Y73" s="85"/>
      <c r="Z73" s="85"/>
      <c r="AA73" s="85"/>
      <c r="AB73" s="85"/>
      <c r="AC73" s="81">
        <f t="shared" si="36"/>
        <v>0</v>
      </c>
      <c r="AD73" s="86"/>
      <c r="AE73" s="86"/>
      <c r="AF73" s="86"/>
      <c r="AG73" s="86"/>
      <c r="AH73" s="86"/>
      <c r="AI73" s="86"/>
      <c r="AJ73" s="86"/>
      <c r="AK73" s="86"/>
      <c r="AL73" s="86"/>
      <c r="AM73" s="86"/>
      <c r="AN73" s="86"/>
      <c r="AO73" s="86"/>
      <c r="AP73" s="86"/>
      <c r="AQ73" s="86"/>
      <c r="AR73" s="86"/>
      <c r="AS73" s="86"/>
      <c r="AT73" s="82"/>
      <c r="AU73" s="87"/>
      <c r="AV73" s="818">
        <f t="shared" si="37"/>
        <v>0</v>
      </c>
      <c r="AW73" s="818">
        <f t="shared" si="38"/>
        <v>0</v>
      </c>
      <c r="AX73" s="818">
        <f t="shared" si="39"/>
        <v>0</v>
      </c>
      <c r="AY73" s="88">
        <f t="shared" si="40"/>
        <v>0</v>
      </c>
      <c r="AZ73" s="81">
        <f t="shared" si="41"/>
        <v>0</v>
      </c>
      <c r="BA73" s="81">
        <f t="shared" si="42"/>
        <v>0</v>
      </c>
      <c r="BB73" s="81">
        <f t="shared" si="43"/>
        <v>0</v>
      </c>
      <c r="BC73" s="81">
        <f t="shared" si="44"/>
        <v>0</v>
      </c>
      <c r="BD73" s="81">
        <f t="shared" si="45"/>
        <v>0</v>
      </c>
      <c r="BE73" s="81">
        <f t="shared" si="46"/>
        <v>0</v>
      </c>
      <c r="BF73" s="81">
        <f t="shared" si="47"/>
        <v>0</v>
      </c>
      <c r="BG73" s="81">
        <f t="shared" si="48"/>
        <v>0</v>
      </c>
      <c r="BH73" s="81">
        <f t="shared" si="49"/>
        <v>0</v>
      </c>
      <c r="BI73" s="81">
        <f t="shared" si="50"/>
        <v>0</v>
      </c>
      <c r="BJ73" s="81">
        <f t="shared" si="51"/>
        <v>0</v>
      </c>
      <c r="BK73" s="81">
        <f t="shared" si="52"/>
        <v>0</v>
      </c>
      <c r="BL73" s="81">
        <f t="shared" si="53"/>
        <v>0</v>
      </c>
      <c r="BM73" s="81">
        <f t="shared" si="54"/>
        <v>0</v>
      </c>
      <c r="BN73" s="81">
        <f t="shared" si="55"/>
        <v>0</v>
      </c>
      <c r="BO73" s="81">
        <f t="shared" si="56"/>
        <v>0</v>
      </c>
      <c r="BP73" s="81">
        <f t="shared" si="57"/>
        <v>0</v>
      </c>
      <c r="BQ73" s="81">
        <f t="shared" si="58"/>
        <v>0</v>
      </c>
      <c r="BR73" s="81">
        <f t="shared" si="59"/>
        <v>0</v>
      </c>
      <c r="BS73" s="81">
        <f t="shared" si="60"/>
        <v>0</v>
      </c>
      <c r="BT73" s="89">
        <f t="shared" si="61"/>
        <v>0</v>
      </c>
    </row>
    <row r="74" spans="1:72">
      <c r="A74" s="79"/>
      <c r="B74" s="80"/>
      <c r="C74" s="80"/>
      <c r="D74" s="2301"/>
      <c r="E74" s="81">
        <f t="shared" si="33"/>
        <v>0</v>
      </c>
      <c r="F74" s="82"/>
      <c r="G74" s="83">
        <f t="shared" si="34"/>
        <v>0</v>
      </c>
      <c r="H74" s="84">
        <f t="shared" si="35"/>
        <v>0</v>
      </c>
      <c r="I74" s="85"/>
      <c r="J74" s="85"/>
      <c r="K74" s="85"/>
      <c r="L74" s="85"/>
      <c r="M74" s="85"/>
      <c r="N74" s="85"/>
      <c r="O74" s="85"/>
      <c r="P74" s="85"/>
      <c r="Q74" s="85"/>
      <c r="R74" s="85"/>
      <c r="S74" s="85"/>
      <c r="T74" s="85"/>
      <c r="U74" s="85"/>
      <c r="V74" s="85"/>
      <c r="W74" s="85"/>
      <c r="X74" s="85"/>
      <c r="Y74" s="85"/>
      <c r="Z74" s="85"/>
      <c r="AA74" s="85"/>
      <c r="AB74" s="85"/>
      <c r="AC74" s="81">
        <f t="shared" si="36"/>
        <v>0</v>
      </c>
      <c r="AD74" s="86"/>
      <c r="AE74" s="86"/>
      <c r="AF74" s="86"/>
      <c r="AG74" s="86"/>
      <c r="AH74" s="86"/>
      <c r="AI74" s="86"/>
      <c r="AJ74" s="86"/>
      <c r="AK74" s="86"/>
      <c r="AL74" s="86"/>
      <c r="AM74" s="86"/>
      <c r="AN74" s="86"/>
      <c r="AO74" s="86"/>
      <c r="AP74" s="86"/>
      <c r="AQ74" s="86"/>
      <c r="AR74" s="86"/>
      <c r="AS74" s="86"/>
      <c r="AT74" s="82"/>
      <c r="AU74" s="87"/>
      <c r="AV74" s="818">
        <f t="shared" si="37"/>
        <v>0</v>
      </c>
      <c r="AW74" s="818">
        <f t="shared" si="38"/>
        <v>0</v>
      </c>
      <c r="AX74" s="818">
        <f t="shared" si="39"/>
        <v>0</v>
      </c>
      <c r="AY74" s="88">
        <f t="shared" si="40"/>
        <v>0</v>
      </c>
      <c r="AZ74" s="81">
        <f t="shared" si="41"/>
        <v>0</v>
      </c>
      <c r="BA74" s="81">
        <f t="shared" si="42"/>
        <v>0</v>
      </c>
      <c r="BB74" s="81">
        <f t="shared" si="43"/>
        <v>0</v>
      </c>
      <c r="BC74" s="81">
        <f t="shared" si="44"/>
        <v>0</v>
      </c>
      <c r="BD74" s="81">
        <f t="shared" si="45"/>
        <v>0</v>
      </c>
      <c r="BE74" s="81">
        <f t="shared" si="46"/>
        <v>0</v>
      </c>
      <c r="BF74" s="81">
        <f t="shared" si="47"/>
        <v>0</v>
      </c>
      <c r="BG74" s="81">
        <f t="shared" si="48"/>
        <v>0</v>
      </c>
      <c r="BH74" s="81">
        <f t="shared" si="49"/>
        <v>0</v>
      </c>
      <c r="BI74" s="81">
        <f t="shared" si="50"/>
        <v>0</v>
      </c>
      <c r="BJ74" s="81">
        <f t="shared" si="51"/>
        <v>0</v>
      </c>
      <c r="BK74" s="81">
        <f t="shared" si="52"/>
        <v>0</v>
      </c>
      <c r="BL74" s="81">
        <f t="shared" si="53"/>
        <v>0</v>
      </c>
      <c r="BM74" s="81">
        <f t="shared" si="54"/>
        <v>0</v>
      </c>
      <c r="BN74" s="81">
        <f t="shared" si="55"/>
        <v>0</v>
      </c>
      <c r="BO74" s="81">
        <f t="shared" si="56"/>
        <v>0</v>
      </c>
      <c r="BP74" s="81">
        <f t="shared" si="57"/>
        <v>0</v>
      </c>
      <c r="BQ74" s="81">
        <f t="shared" si="58"/>
        <v>0</v>
      </c>
      <c r="BR74" s="81">
        <f t="shared" si="59"/>
        <v>0</v>
      </c>
      <c r="BS74" s="81">
        <f t="shared" si="60"/>
        <v>0</v>
      </c>
      <c r="BT74" s="89">
        <f t="shared" si="61"/>
        <v>0</v>
      </c>
    </row>
    <row r="75" spans="1:72">
      <c r="A75" s="79"/>
      <c r="B75" s="80"/>
      <c r="C75" s="80"/>
      <c r="D75" s="2301"/>
      <c r="E75" s="81">
        <f t="shared" si="33"/>
        <v>0</v>
      </c>
      <c r="F75" s="82"/>
      <c r="G75" s="83">
        <f t="shared" si="34"/>
        <v>0</v>
      </c>
      <c r="H75" s="84">
        <f t="shared" si="35"/>
        <v>0</v>
      </c>
      <c r="I75" s="85"/>
      <c r="J75" s="85"/>
      <c r="K75" s="85"/>
      <c r="L75" s="85"/>
      <c r="M75" s="85"/>
      <c r="N75" s="85"/>
      <c r="O75" s="85"/>
      <c r="P75" s="85"/>
      <c r="Q75" s="85"/>
      <c r="R75" s="85"/>
      <c r="S75" s="85"/>
      <c r="T75" s="85"/>
      <c r="U75" s="85"/>
      <c r="V75" s="85"/>
      <c r="W75" s="85"/>
      <c r="X75" s="85"/>
      <c r="Y75" s="85"/>
      <c r="Z75" s="85"/>
      <c r="AA75" s="85"/>
      <c r="AB75" s="85"/>
      <c r="AC75" s="81">
        <f t="shared" si="36"/>
        <v>0</v>
      </c>
      <c r="AD75" s="86"/>
      <c r="AE75" s="86"/>
      <c r="AF75" s="86"/>
      <c r="AG75" s="86"/>
      <c r="AH75" s="86"/>
      <c r="AI75" s="86"/>
      <c r="AJ75" s="86"/>
      <c r="AK75" s="86"/>
      <c r="AL75" s="86"/>
      <c r="AM75" s="86"/>
      <c r="AN75" s="86"/>
      <c r="AO75" s="86"/>
      <c r="AP75" s="86"/>
      <c r="AQ75" s="86"/>
      <c r="AR75" s="86"/>
      <c r="AS75" s="86"/>
      <c r="AT75" s="82"/>
      <c r="AU75" s="87"/>
      <c r="AV75" s="818">
        <f t="shared" si="37"/>
        <v>0</v>
      </c>
      <c r="AW75" s="818">
        <f t="shared" si="38"/>
        <v>0</v>
      </c>
      <c r="AX75" s="818">
        <f t="shared" si="39"/>
        <v>0</v>
      </c>
      <c r="AY75" s="88">
        <f t="shared" si="40"/>
        <v>0</v>
      </c>
      <c r="AZ75" s="81">
        <f t="shared" si="41"/>
        <v>0</v>
      </c>
      <c r="BA75" s="81">
        <f t="shared" si="42"/>
        <v>0</v>
      </c>
      <c r="BB75" s="81">
        <f t="shared" si="43"/>
        <v>0</v>
      </c>
      <c r="BC75" s="81">
        <f t="shared" si="44"/>
        <v>0</v>
      </c>
      <c r="BD75" s="81">
        <f t="shared" si="45"/>
        <v>0</v>
      </c>
      <c r="BE75" s="81">
        <f t="shared" si="46"/>
        <v>0</v>
      </c>
      <c r="BF75" s="81">
        <f t="shared" si="47"/>
        <v>0</v>
      </c>
      <c r="BG75" s="81">
        <f t="shared" si="48"/>
        <v>0</v>
      </c>
      <c r="BH75" s="81">
        <f t="shared" si="49"/>
        <v>0</v>
      </c>
      <c r="BI75" s="81">
        <f t="shared" si="50"/>
        <v>0</v>
      </c>
      <c r="BJ75" s="81">
        <f t="shared" si="51"/>
        <v>0</v>
      </c>
      <c r="BK75" s="81">
        <f t="shared" si="52"/>
        <v>0</v>
      </c>
      <c r="BL75" s="81">
        <f t="shared" si="53"/>
        <v>0</v>
      </c>
      <c r="BM75" s="81">
        <f t="shared" si="54"/>
        <v>0</v>
      </c>
      <c r="BN75" s="81">
        <f t="shared" si="55"/>
        <v>0</v>
      </c>
      <c r="BO75" s="81">
        <f t="shared" si="56"/>
        <v>0</v>
      </c>
      <c r="BP75" s="81">
        <f t="shared" si="57"/>
        <v>0</v>
      </c>
      <c r="BQ75" s="81">
        <f t="shared" si="58"/>
        <v>0</v>
      </c>
      <c r="BR75" s="81">
        <f t="shared" si="59"/>
        <v>0</v>
      </c>
      <c r="BS75" s="81">
        <f t="shared" si="60"/>
        <v>0</v>
      </c>
      <c r="BT75" s="89">
        <f t="shared" si="61"/>
        <v>0</v>
      </c>
    </row>
    <row r="76" spans="1:72">
      <c r="A76" s="79"/>
      <c r="B76" s="80"/>
      <c r="C76" s="80"/>
      <c r="D76" s="2301"/>
      <c r="E76" s="81">
        <f t="shared" si="33"/>
        <v>0</v>
      </c>
      <c r="F76" s="82"/>
      <c r="G76" s="83">
        <f t="shared" si="34"/>
        <v>0</v>
      </c>
      <c r="H76" s="84">
        <f t="shared" si="35"/>
        <v>0</v>
      </c>
      <c r="I76" s="85"/>
      <c r="J76" s="85"/>
      <c r="K76" s="85"/>
      <c r="L76" s="85"/>
      <c r="M76" s="85"/>
      <c r="N76" s="85"/>
      <c r="O76" s="85"/>
      <c r="P76" s="85"/>
      <c r="Q76" s="85"/>
      <c r="R76" s="85"/>
      <c r="S76" s="85"/>
      <c r="T76" s="85"/>
      <c r="U76" s="85"/>
      <c r="V76" s="85"/>
      <c r="W76" s="85"/>
      <c r="X76" s="85"/>
      <c r="Y76" s="85"/>
      <c r="Z76" s="85"/>
      <c r="AA76" s="85"/>
      <c r="AB76" s="85"/>
      <c r="AC76" s="81">
        <f t="shared" si="36"/>
        <v>0</v>
      </c>
      <c r="AD76" s="86"/>
      <c r="AE76" s="86"/>
      <c r="AF76" s="86"/>
      <c r="AG76" s="86"/>
      <c r="AH76" s="86"/>
      <c r="AI76" s="86"/>
      <c r="AJ76" s="86"/>
      <c r="AK76" s="86"/>
      <c r="AL76" s="86"/>
      <c r="AM76" s="86"/>
      <c r="AN76" s="86"/>
      <c r="AO76" s="86"/>
      <c r="AP76" s="86"/>
      <c r="AQ76" s="86"/>
      <c r="AR76" s="86"/>
      <c r="AS76" s="86"/>
      <c r="AT76" s="82"/>
      <c r="AU76" s="87"/>
      <c r="AV76" s="818">
        <f t="shared" si="37"/>
        <v>0</v>
      </c>
      <c r="AW76" s="818">
        <f t="shared" si="38"/>
        <v>0</v>
      </c>
      <c r="AX76" s="818">
        <f t="shared" si="39"/>
        <v>0</v>
      </c>
      <c r="AY76" s="88">
        <f t="shared" si="40"/>
        <v>0</v>
      </c>
      <c r="AZ76" s="81">
        <f t="shared" si="41"/>
        <v>0</v>
      </c>
      <c r="BA76" s="81">
        <f t="shared" si="42"/>
        <v>0</v>
      </c>
      <c r="BB76" s="81">
        <f t="shared" si="43"/>
        <v>0</v>
      </c>
      <c r="BC76" s="81">
        <f t="shared" si="44"/>
        <v>0</v>
      </c>
      <c r="BD76" s="81">
        <f t="shared" si="45"/>
        <v>0</v>
      </c>
      <c r="BE76" s="81">
        <f t="shared" si="46"/>
        <v>0</v>
      </c>
      <c r="BF76" s="81">
        <f t="shared" si="47"/>
        <v>0</v>
      </c>
      <c r="BG76" s="81">
        <f t="shared" si="48"/>
        <v>0</v>
      </c>
      <c r="BH76" s="81">
        <f t="shared" si="49"/>
        <v>0</v>
      </c>
      <c r="BI76" s="81">
        <f t="shared" si="50"/>
        <v>0</v>
      </c>
      <c r="BJ76" s="81">
        <f t="shared" si="51"/>
        <v>0</v>
      </c>
      <c r="BK76" s="81">
        <f t="shared" si="52"/>
        <v>0</v>
      </c>
      <c r="BL76" s="81">
        <f t="shared" si="53"/>
        <v>0</v>
      </c>
      <c r="BM76" s="81">
        <f t="shared" si="54"/>
        <v>0</v>
      </c>
      <c r="BN76" s="81">
        <f t="shared" si="55"/>
        <v>0</v>
      </c>
      <c r="BO76" s="81">
        <f t="shared" si="56"/>
        <v>0</v>
      </c>
      <c r="BP76" s="81">
        <f t="shared" si="57"/>
        <v>0</v>
      </c>
      <c r="BQ76" s="81">
        <f t="shared" si="58"/>
        <v>0</v>
      </c>
      <c r="BR76" s="81">
        <f t="shared" si="59"/>
        <v>0</v>
      </c>
      <c r="BS76" s="81">
        <f t="shared" si="60"/>
        <v>0</v>
      </c>
      <c r="BT76" s="89">
        <f t="shared" si="61"/>
        <v>0</v>
      </c>
    </row>
    <row r="77" spans="1:72">
      <c r="A77" s="79"/>
      <c r="B77" s="80"/>
      <c r="C77" s="80"/>
      <c r="D77" s="2301"/>
      <c r="E77" s="81">
        <f t="shared" si="33"/>
        <v>0</v>
      </c>
      <c r="F77" s="82"/>
      <c r="G77" s="83">
        <f t="shared" si="34"/>
        <v>0</v>
      </c>
      <c r="H77" s="84">
        <f t="shared" si="35"/>
        <v>0</v>
      </c>
      <c r="I77" s="85"/>
      <c r="J77" s="85"/>
      <c r="K77" s="85"/>
      <c r="L77" s="85"/>
      <c r="M77" s="85"/>
      <c r="N77" s="85"/>
      <c r="O77" s="85"/>
      <c r="P77" s="85"/>
      <c r="Q77" s="85"/>
      <c r="R77" s="85"/>
      <c r="S77" s="85"/>
      <c r="T77" s="85"/>
      <c r="U77" s="85"/>
      <c r="V77" s="85"/>
      <c r="W77" s="85"/>
      <c r="X77" s="85"/>
      <c r="Y77" s="85"/>
      <c r="Z77" s="85"/>
      <c r="AA77" s="85"/>
      <c r="AB77" s="85"/>
      <c r="AC77" s="81">
        <f t="shared" si="36"/>
        <v>0</v>
      </c>
      <c r="AD77" s="86"/>
      <c r="AE77" s="86"/>
      <c r="AF77" s="86"/>
      <c r="AG77" s="86"/>
      <c r="AH77" s="86"/>
      <c r="AI77" s="86"/>
      <c r="AJ77" s="86"/>
      <c r="AK77" s="86"/>
      <c r="AL77" s="86"/>
      <c r="AM77" s="86"/>
      <c r="AN77" s="86"/>
      <c r="AO77" s="86"/>
      <c r="AP77" s="86"/>
      <c r="AQ77" s="86"/>
      <c r="AR77" s="86"/>
      <c r="AS77" s="86"/>
      <c r="AT77" s="82"/>
      <c r="AU77" s="87"/>
      <c r="AV77" s="818">
        <f t="shared" si="37"/>
        <v>0</v>
      </c>
      <c r="AW77" s="818">
        <f t="shared" si="38"/>
        <v>0</v>
      </c>
      <c r="AX77" s="818">
        <f t="shared" si="39"/>
        <v>0</v>
      </c>
      <c r="AY77" s="88">
        <f t="shared" si="40"/>
        <v>0</v>
      </c>
      <c r="AZ77" s="81">
        <f t="shared" si="41"/>
        <v>0</v>
      </c>
      <c r="BA77" s="81">
        <f t="shared" si="42"/>
        <v>0</v>
      </c>
      <c r="BB77" s="81">
        <f t="shared" si="43"/>
        <v>0</v>
      </c>
      <c r="BC77" s="81">
        <f t="shared" si="44"/>
        <v>0</v>
      </c>
      <c r="BD77" s="81">
        <f t="shared" si="45"/>
        <v>0</v>
      </c>
      <c r="BE77" s="81">
        <f t="shared" si="46"/>
        <v>0</v>
      </c>
      <c r="BF77" s="81">
        <f t="shared" si="47"/>
        <v>0</v>
      </c>
      <c r="BG77" s="81">
        <f t="shared" si="48"/>
        <v>0</v>
      </c>
      <c r="BH77" s="81">
        <f t="shared" si="49"/>
        <v>0</v>
      </c>
      <c r="BI77" s="81">
        <f t="shared" si="50"/>
        <v>0</v>
      </c>
      <c r="BJ77" s="81">
        <f t="shared" si="51"/>
        <v>0</v>
      </c>
      <c r="BK77" s="81">
        <f t="shared" si="52"/>
        <v>0</v>
      </c>
      <c r="BL77" s="81">
        <f t="shared" si="53"/>
        <v>0</v>
      </c>
      <c r="BM77" s="81">
        <f t="shared" si="54"/>
        <v>0</v>
      </c>
      <c r="BN77" s="81">
        <f t="shared" si="55"/>
        <v>0</v>
      </c>
      <c r="BO77" s="81">
        <f t="shared" si="56"/>
        <v>0</v>
      </c>
      <c r="BP77" s="81">
        <f t="shared" si="57"/>
        <v>0</v>
      </c>
      <c r="BQ77" s="81">
        <f t="shared" si="58"/>
        <v>0</v>
      </c>
      <c r="BR77" s="81">
        <f t="shared" si="59"/>
        <v>0</v>
      </c>
      <c r="BS77" s="81">
        <f t="shared" si="60"/>
        <v>0</v>
      </c>
      <c r="BT77" s="89">
        <f t="shared" si="61"/>
        <v>0</v>
      </c>
    </row>
    <row r="78" spans="1:72">
      <c r="A78" s="79"/>
      <c r="B78" s="80"/>
      <c r="C78" s="80"/>
      <c r="D78" s="2301"/>
      <c r="E78" s="81">
        <f t="shared" si="33"/>
        <v>0</v>
      </c>
      <c r="F78" s="82"/>
      <c r="G78" s="83">
        <f t="shared" si="34"/>
        <v>0</v>
      </c>
      <c r="H78" s="84">
        <f t="shared" si="35"/>
        <v>0</v>
      </c>
      <c r="I78" s="85"/>
      <c r="J78" s="85"/>
      <c r="K78" s="85"/>
      <c r="L78" s="85"/>
      <c r="M78" s="85"/>
      <c r="N78" s="85"/>
      <c r="O78" s="85"/>
      <c r="P78" s="85"/>
      <c r="Q78" s="85"/>
      <c r="R78" s="85"/>
      <c r="S78" s="85"/>
      <c r="T78" s="85"/>
      <c r="U78" s="85"/>
      <c r="V78" s="85"/>
      <c r="W78" s="85"/>
      <c r="X78" s="85"/>
      <c r="Y78" s="85"/>
      <c r="Z78" s="85"/>
      <c r="AA78" s="85"/>
      <c r="AB78" s="85"/>
      <c r="AC78" s="81">
        <f t="shared" si="36"/>
        <v>0</v>
      </c>
      <c r="AD78" s="86"/>
      <c r="AE78" s="86"/>
      <c r="AF78" s="86"/>
      <c r="AG78" s="86"/>
      <c r="AH78" s="86"/>
      <c r="AI78" s="86"/>
      <c r="AJ78" s="86"/>
      <c r="AK78" s="86"/>
      <c r="AL78" s="86"/>
      <c r="AM78" s="86"/>
      <c r="AN78" s="86"/>
      <c r="AO78" s="86"/>
      <c r="AP78" s="86"/>
      <c r="AQ78" s="86"/>
      <c r="AR78" s="86"/>
      <c r="AS78" s="86"/>
      <c r="AT78" s="82"/>
      <c r="AU78" s="87"/>
      <c r="AV78" s="818">
        <f t="shared" si="37"/>
        <v>0</v>
      </c>
      <c r="AW78" s="818">
        <f t="shared" si="38"/>
        <v>0</v>
      </c>
      <c r="AX78" s="818">
        <f t="shared" si="39"/>
        <v>0</v>
      </c>
      <c r="AY78" s="88">
        <f t="shared" si="40"/>
        <v>0</v>
      </c>
      <c r="AZ78" s="81">
        <f t="shared" si="41"/>
        <v>0</v>
      </c>
      <c r="BA78" s="81">
        <f t="shared" si="42"/>
        <v>0</v>
      </c>
      <c r="BB78" s="81">
        <f t="shared" si="43"/>
        <v>0</v>
      </c>
      <c r="BC78" s="81">
        <f t="shared" si="44"/>
        <v>0</v>
      </c>
      <c r="BD78" s="81">
        <f t="shared" si="45"/>
        <v>0</v>
      </c>
      <c r="BE78" s="81">
        <f t="shared" si="46"/>
        <v>0</v>
      </c>
      <c r="BF78" s="81">
        <f t="shared" si="47"/>
        <v>0</v>
      </c>
      <c r="BG78" s="81">
        <f t="shared" si="48"/>
        <v>0</v>
      </c>
      <c r="BH78" s="81">
        <f t="shared" si="49"/>
        <v>0</v>
      </c>
      <c r="BI78" s="81">
        <f t="shared" si="50"/>
        <v>0</v>
      </c>
      <c r="BJ78" s="81">
        <f t="shared" si="51"/>
        <v>0</v>
      </c>
      <c r="BK78" s="81">
        <f t="shared" si="52"/>
        <v>0</v>
      </c>
      <c r="BL78" s="81">
        <f t="shared" si="53"/>
        <v>0</v>
      </c>
      <c r="BM78" s="81">
        <f t="shared" si="54"/>
        <v>0</v>
      </c>
      <c r="BN78" s="81">
        <f t="shared" si="55"/>
        <v>0</v>
      </c>
      <c r="BO78" s="81">
        <f t="shared" si="56"/>
        <v>0</v>
      </c>
      <c r="BP78" s="81">
        <f t="shared" si="57"/>
        <v>0</v>
      </c>
      <c r="BQ78" s="81">
        <f t="shared" si="58"/>
        <v>0</v>
      </c>
      <c r="BR78" s="81">
        <f t="shared" si="59"/>
        <v>0</v>
      </c>
      <c r="BS78" s="81">
        <f t="shared" si="60"/>
        <v>0</v>
      </c>
      <c r="BT78" s="89">
        <f t="shared" si="61"/>
        <v>0</v>
      </c>
    </row>
    <row r="79" spans="1:72">
      <c r="A79" s="79"/>
      <c r="B79" s="80"/>
      <c r="C79" s="80"/>
      <c r="D79" s="2301"/>
      <c r="E79" s="81">
        <f t="shared" si="33"/>
        <v>0</v>
      </c>
      <c r="F79" s="82"/>
      <c r="G79" s="83">
        <f t="shared" si="34"/>
        <v>0</v>
      </c>
      <c r="H79" s="84">
        <f t="shared" si="35"/>
        <v>0</v>
      </c>
      <c r="I79" s="85"/>
      <c r="J79" s="85"/>
      <c r="K79" s="85"/>
      <c r="L79" s="85"/>
      <c r="M79" s="85"/>
      <c r="N79" s="85"/>
      <c r="O79" s="85"/>
      <c r="P79" s="85"/>
      <c r="Q79" s="85"/>
      <c r="R79" s="85"/>
      <c r="S79" s="85"/>
      <c r="T79" s="85"/>
      <c r="U79" s="85"/>
      <c r="V79" s="85"/>
      <c r="W79" s="85"/>
      <c r="X79" s="85"/>
      <c r="Y79" s="85"/>
      <c r="Z79" s="85"/>
      <c r="AA79" s="85"/>
      <c r="AB79" s="85"/>
      <c r="AC79" s="81">
        <f t="shared" si="36"/>
        <v>0</v>
      </c>
      <c r="AD79" s="86"/>
      <c r="AE79" s="86"/>
      <c r="AF79" s="86"/>
      <c r="AG79" s="86"/>
      <c r="AH79" s="86"/>
      <c r="AI79" s="86"/>
      <c r="AJ79" s="86"/>
      <c r="AK79" s="86"/>
      <c r="AL79" s="86"/>
      <c r="AM79" s="86"/>
      <c r="AN79" s="86"/>
      <c r="AO79" s="86"/>
      <c r="AP79" s="86"/>
      <c r="AQ79" s="86"/>
      <c r="AR79" s="86"/>
      <c r="AS79" s="86"/>
      <c r="AT79" s="82"/>
      <c r="AU79" s="87"/>
      <c r="AV79" s="818">
        <f t="shared" si="37"/>
        <v>0</v>
      </c>
      <c r="AW79" s="818">
        <f t="shared" si="38"/>
        <v>0</v>
      </c>
      <c r="AX79" s="818">
        <f t="shared" si="39"/>
        <v>0</v>
      </c>
      <c r="AY79" s="88">
        <f t="shared" si="40"/>
        <v>0</v>
      </c>
      <c r="AZ79" s="81">
        <f t="shared" si="41"/>
        <v>0</v>
      </c>
      <c r="BA79" s="81">
        <f t="shared" si="42"/>
        <v>0</v>
      </c>
      <c r="BB79" s="81">
        <f t="shared" si="43"/>
        <v>0</v>
      </c>
      <c r="BC79" s="81">
        <f t="shared" si="44"/>
        <v>0</v>
      </c>
      <c r="BD79" s="81">
        <f t="shared" si="45"/>
        <v>0</v>
      </c>
      <c r="BE79" s="81">
        <f t="shared" si="46"/>
        <v>0</v>
      </c>
      <c r="BF79" s="81">
        <f t="shared" si="47"/>
        <v>0</v>
      </c>
      <c r="BG79" s="81">
        <f t="shared" si="48"/>
        <v>0</v>
      </c>
      <c r="BH79" s="81">
        <f t="shared" si="49"/>
        <v>0</v>
      </c>
      <c r="BI79" s="81">
        <f t="shared" si="50"/>
        <v>0</v>
      </c>
      <c r="BJ79" s="81">
        <f t="shared" si="51"/>
        <v>0</v>
      </c>
      <c r="BK79" s="81">
        <f t="shared" si="52"/>
        <v>0</v>
      </c>
      <c r="BL79" s="81">
        <f t="shared" si="53"/>
        <v>0</v>
      </c>
      <c r="BM79" s="81">
        <f t="shared" si="54"/>
        <v>0</v>
      </c>
      <c r="BN79" s="81">
        <f t="shared" si="55"/>
        <v>0</v>
      </c>
      <c r="BO79" s="81">
        <f t="shared" si="56"/>
        <v>0</v>
      </c>
      <c r="BP79" s="81">
        <f t="shared" si="57"/>
        <v>0</v>
      </c>
      <c r="BQ79" s="81">
        <f t="shared" si="58"/>
        <v>0</v>
      </c>
      <c r="BR79" s="81">
        <f t="shared" si="59"/>
        <v>0</v>
      </c>
      <c r="BS79" s="81">
        <f t="shared" si="60"/>
        <v>0</v>
      </c>
      <c r="BT79" s="89">
        <f t="shared" si="61"/>
        <v>0</v>
      </c>
    </row>
    <row r="80" spans="1:72">
      <c r="A80" s="79"/>
      <c r="B80" s="80"/>
      <c r="C80" s="80"/>
      <c r="D80" s="2301"/>
      <c r="E80" s="81">
        <f t="shared" si="33"/>
        <v>0</v>
      </c>
      <c r="F80" s="82"/>
      <c r="G80" s="83">
        <f t="shared" si="34"/>
        <v>0</v>
      </c>
      <c r="H80" s="84">
        <f t="shared" si="35"/>
        <v>0</v>
      </c>
      <c r="I80" s="85"/>
      <c r="J80" s="85"/>
      <c r="K80" s="85"/>
      <c r="L80" s="85"/>
      <c r="M80" s="85"/>
      <c r="N80" s="85"/>
      <c r="O80" s="85"/>
      <c r="P80" s="85"/>
      <c r="Q80" s="85"/>
      <c r="R80" s="85"/>
      <c r="S80" s="85"/>
      <c r="T80" s="85"/>
      <c r="U80" s="85"/>
      <c r="V80" s="85"/>
      <c r="W80" s="85"/>
      <c r="X80" s="85"/>
      <c r="Y80" s="85"/>
      <c r="Z80" s="85"/>
      <c r="AA80" s="85"/>
      <c r="AB80" s="85"/>
      <c r="AC80" s="81">
        <f t="shared" si="36"/>
        <v>0</v>
      </c>
      <c r="AD80" s="86"/>
      <c r="AE80" s="86"/>
      <c r="AF80" s="86"/>
      <c r="AG80" s="86"/>
      <c r="AH80" s="86"/>
      <c r="AI80" s="86"/>
      <c r="AJ80" s="86"/>
      <c r="AK80" s="86"/>
      <c r="AL80" s="86"/>
      <c r="AM80" s="86"/>
      <c r="AN80" s="86"/>
      <c r="AO80" s="86"/>
      <c r="AP80" s="86"/>
      <c r="AQ80" s="86"/>
      <c r="AR80" s="86"/>
      <c r="AS80" s="86"/>
      <c r="AT80" s="82"/>
      <c r="AU80" s="87"/>
      <c r="AV80" s="818">
        <f t="shared" si="37"/>
        <v>0</v>
      </c>
      <c r="AW80" s="818">
        <f t="shared" si="38"/>
        <v>0</v>
      </c>
      <c r="AX80" s="818">
        <f t="shared" si="39"/>
        <v>0</v>
      </c>
      <c r="AY80" s="88">
        <f t="shared" si="40"/>
        <v>0</v>
      </c>
      <c r="AZ80" s="81">
        <f t="shared" si="41"/>
        <v>0</v>
      </c>
      <c r="BA80" s="81">
        <f t="shared" si="42"/>
        <v>0</v>
      </c>
      <c r="BB80" s="81">
        <f t="shared" si="43"/>
        <v>0</v>
      </c>
      <c r="BC80" s="81">
        <f t="shared" si="44"/>
        <v>0</v>
      </c>
      <c r="BD80" s="81">
        <f t="shared" si="45"/>
        <v>0</v>
      </c>
      <c r="BE80" s="81">
        <f t="shared" si="46"/>
        <v>0</v>
      </c>
      <c r="BF80" s="81">
        <f t="shared" si="47"/>
        <v>0</v>
      </c>
      <c r="BG80" s="81">
        <f t="shared" si="48"/>
        <v>0</v>
      </c>
      <c r="BH80" s="81">
        <f t="shared" si="49"/>
        <v>0</v>
      </c>
      <c r="BI80" s="81">
        <f t="shared" si="50"/>
        <v>0</v>
      </c>
      <c r="BJ80" s="81">
        <f t="shared" si="51"/>
        <v>0</v>
      </c>
      <c r="BK80" s="81">
        <f t="shared" si="52"/>
        <v>0</v>
      </c>
      <c r="BL80" s="81">
        <f t="shared" si="53"/>
        <v>0</v>
      </c>
      <c r="BM80" s="81">
        <f t="shared" si="54"/>
        <v>0</v>
      </c>
      <c r="BN80" s="81">
        <f t="shared" si="55"/>
        <v>0</v>
      </c>
      <c r="BO80" s="81">
        <f t="shared" si="56"/>
        <v>0</v>
      </c>
      <c r="BP80" s="81">
        <f t="shared" si="57"/>
        <v>0</v>
      </c>
      <c r="BQ80" s="81">
        <f t="shared" si="58"/>
        <v>0</v>
      </c>
      <c r="BR80" s="81">
        <f t="shared" si="59"/>
        <v>0</v>
      </c>
      <c r="BS80" s="81">
        <f t="shared" si="60"/>
        <v>0</v>
      </c>
      <c r="BT80" s="89">
        <f t="shared" si="61"/>
        <v>0</v>
      </c>
    </row>
    <row r="81" spans="1:72">
      <c r="A81" s="79"/>
      <c r="B81" s="80"/>
      <c r="C81" s="80"/>
      <c r="D81" s="2301"/>
      <c r="E81" s="81">
        <f t="shared" si="33"/>
        <v>0</v>
      </c>
      <c r="F81" s="82"/>
      <c r="G81" s="83">
        <f t="shared" si="34"/>
        <v>0</v>
      </c>
      <c r="H81" s="84">
        <f t="shared" si="35"/>
        <v>0</v>
      </c>
      <c r="I81" s="85"/>
      <c r="J81" s="85"/>
      <c r="K81" s="85"/>
      <c r="L81" s="85"/>
      <c r="M81" s="85"/>
      <c r="N81" s="85"/>
      <c r="O81" s="85"/>
      <c r="P81" s="85"/>
      <c r="Q81" s="85"/>
      <c r="R81" s="85"/>
      <c r="S81" s="85"/>
      <c r="T81" s="85"/>
      <c r="U81" s="85"/>
      <c r="V81" s="85"/>
      <c r="W81" s="85"/>
      <c r="X81" s="85"/>
      <c r="Y81" s="85"/>
      <c r="Z81" s="85"/>
      <c r="AA81" s="85"/>
      <c r="AB81" s="85"/>
      <c r="AC81" s="81">
        <f t="shared" si="36"/>
        <v>0</v>
      </c>
      <c r="AD81" s="86"/>
      <c r="AE81" s="86"/>
      <c r="AF81" s="86"/>
      <c r="AG81" s="86"/>
      <c r="AH81" s="86"/>
      <c r="AI81" s="86"/>
      <c r="AJ81" s="86"/>
      <c r="AK81" s="86"/>
      <c r="AL81" s="86"/>
      <c r="AM81" s="86"/>
      <c r="AN81" s="86"/>
      <c r="AO81" s="86"/>
      <c r="AP81" s="86"/>
      <c r="AQ81" s="86"/>
      <c r="AR81" s="86"/>
      <c r="AS81" s="86"/>
      <c r="AT81" s="82"/>
      <c r="AU81" s="87"/>
      <c r="AV81" s="818">
        <f t="shared" si="37"/>
        <v>0</v>
      </c>
      <c r="AW81" s="818">
        <f t="shared" si="38"/>
        <v>0</v>
      </c>
      <c r="AX81" s="818">
        <f t="shared" si="39"/>
        <v>0</v>
      </c>
      <c r="AY81" s="88">
        <f t="shared" si="40"/>
        <v>0</v>
      </c>
      <c r="AZ81" s="81">
        <f t="shared" si="41"/>
        <v>0</v>
      </c>
      <c r="BA81" s="81">
        <f t="shared" si="42"/>
        <v>0</v>
      </c>
      <c r="BB81" s="81">
        <f t="shared" si="43"/>
        <v>0</v>
      </c>
      <c r="BC81" s="81">
        <f t="shared" si="44"/>
        <v>0</v>
      </c>
      <c r="BD81" s="81">
        <f t="shared" si="45"/>
        <v>0</v>
      </c>
      <c r="BE81" s="81">
        <f t="shared" si="46"/>
        <v>0</v>
      </c>
      <c r="BF81" s="81">
        <f t="shared" si="47"/>
        <v>0</v>
      </c>
      <c r="BG81" s="81">
        <f t="shared" si="48"/>
        <v>0</v>
      </c>
      <c r="BH81" s="81">
        <f t="shared" si="49"/>
        <v>0</v>
      </c>
      <c r="BI81" s="81">
        <f t="shared" si="50"/>
        <v>0</v>
      </c>
      <c r="BJ81" s="81">
        <f t="shared" si="51"/>
        <v>0</v>
      </c>
      <c r="BK81" s="81">
        <f t="shared" si="52"/>
        <v>0</v>
      </c>
      <c r="BL81" s="81">
        <f t="shared" si="53"/>
        <v>0</v>
      </c>
      <c r="BM81" s="81">
        <f t="shared" si="54"/>
        <v>0</v>
      </c>
      <c r="BN81" s="81">
        <f t="shared" si="55"/>
        <v>0</v>
      </c>
      <c r="BO81" s="81">
        <f t="shared" si="56"/>
        <v>0</v>
      </c>
      <c r="BP81" s="81">
        <f t="shared" si="57"/>
        <v>0</v>
      </c>
      <c r="BQ81" s="81">
        <f t="shared" si="58"/>
        <v>0</v>
      </c>
      <c r="BR81" s="81">
        <f t="shared" si="59"/>
        <v>0</v>
      </c>
      <c r="BS81" s="81">
        <f t="shared" si="60"/>
        <v>0</v>
      </c>
      <c r="BT81" s="89">
        <f t="shared" si="61"/>
        <v>0</v>
      </c>
    </row>
    <row r="82" spans="1:72">
      <c r="A82" s="79"/>
      <c r="B82" s="80"/>
      <c r="C82" s="80"/>
      <c r="D82" s="2301"/>
      <c r="E82" s="81">
        <f t="shared" si="33"/>
        <v>0</v>
      </c>
      <c r="F82" s="82"/>
      <c r="G82" s="83">
        <f t="shared" si="34"/>
        <v>0</v>
      </c>
      <c r="H82" s="84">
        <f t="shared" si="35"/>
        <v>0</v>
      </c>
      <c r="I82" s="85"/>
      <c r="J82" s="85"/>
      <c r="K82" s="85"/>
      <c r="L82" s="85"/>
      <c r="M82" s="85"/>
      <c r="N82" s="85"/>
      <c r="O82" s="85"/>
      <c r="P82" s="85"/>
      <c r="Q82" s="85"/>
      <c r="R82" s="85"/>
      <c r="S82" s="85"/>
      <c r="T82" s="85"/>
      <c r="U82" s="85"/>
      <c r="V82" s="85"/>
      <c r="W82" s="85"/>
      <c r="X82" s="85"/>
      <c r="Y82" s="85"/>
      <c r="Z82" s="85"/>
      <c r="AA82" s="85"/>
      <c r="AB82" s="85"/>
      <c r="AC82" s="81">
        <f t="shared" si="36"/>
        <v>0</v>
      </c>
      <c r="AD82" s="86"/>
      <c r="AE82" s="86"/>
      <c r="AF82" s="86"/>
      <c r="AG82" s="86"/>
      <c r="AH82" s="86"/>
      <c r="AI82" s="86"/>
      <c r="AJ82" s="86"/>
      <c r="AK82" s="86"/>
      <c r="AL82" s="86"/>
      <c r="AM82" s="86"/>
      <c r="AN82" s="86"/>
      <c r="AO82" s="86"/>
      <c r="AP82" s="86"/>
      <c r="AQ82" s="86"/>
      <c r="AR82" s="86"/>
      <c r="AS82" s="86"/>
      <c r="AT82" s="82"/>
      <c r="AU82" s="87"/>
      <c r="AV82" s="818">
        <f t="shared" si="37"/>
        <v>0</v>
      </c>
      <c r="AW82" s="818">
        <f t="shared" si="38"/>
        <v>0</v>
      </c>
      <c r="AX82" s="818">
        <f t="shared" si="39"/>
        <v>0</v>
      </c>
      <c r="AY82" s="88">
        <f t="shared" si="40"/>
        <v>0</v>
      </c>
      <c r="AZ82" s="81">
        <f t="shared" si="41"/>
        <v>0</v>
      </c>
      <c r="BA82" s="81">
        <f t="shared" si="42"/>
        <v>0</v>
      </c>
      <c r="BB82" s="81">
        <f t="shared" si="43"/>
        <v>0</v>
      </c>
      <c r="BC82" s="81">
        <f t="shared" si="44"/>
        <v>0</v>
      </c>
      <c r="BD82" s="81">
        <f t="shared" si="45"/>
        <v>0</v>
      </c>
      <c r="BE82" s="81">
        <f t="shared" si="46"/>
        <v>0</v>
      </c>
      <c r="BF82" s="81">
        <f t="shared" si="47"/>
        <v>0</v>
      </c>
      <c r="BG82" s="81">
        <f t="shared" si="48"/>
        <v>0</v>
      </c>
      <c r="BH82" s="81">
        <f t="shared" si="49"/>
        <v>0</v>
      </c>
      <c r="BI82" s="81">
        <f t="shared" si="50"/>
        <v>0</v>
      </c>
      <c r="BJ82" s="81">
        <f t="shared" si="51"/>
        <v>0</v>
      </c>
      <c r="BK82" s="81">
        <f t="shared" si="52"/>
        <v>0</v>
      </c>
      <c r="BL82" s="81">
        <f t="shared" si="53"/>
        <v>0</v>
      </c>
      <c r="BM82" s="81">
        <f t="shared" si="54"/>
        <v>0</v>
      </c>
      <c r="BN82" s="81">
        <f t="shared" si="55"/>
        <v>0</v>
      </c>
      <c r="BO82" s="81">
        <f t="shared" si="56"/>
        <v>0</v>
      </c>
      <c r="BP82" s="81">
        <f t="shared" si="57"/>
        <v>0</v>
      </c>
      <c r="BQ82" s="81">
        <f t="shared" si="58"/>
        <v>0</v>
      </c>
      <c r="BR82" s="81">
        <f t="shared" si="59"/>
        <v>0</v>
      </c>
      <c r="BS82" s="81">
        <f t="shared" si="60"/>
        <v>0</v>
      </c>
      <c r="BT82" s="89">
        <f t="shared" si="61"/>
        <v>0</v>
      </c>
    </row>
    <row r="83" spans="1:72">
      <c r="A83" s="79"/>
      <c r="B83" s="80"/>
      <c r="C83" s="80"/>
      <c r="D83" s="2301"/>
      <c r="E83" s="81">
        <f t="shared" si="33"/>
        <v>0</v>
      </c>
      <c r="F83" s="82"/>
      <c r="G83" s="83">
        <f t="shared" si="34"/>
        <v>0</v>
      </c>
      <c r="H83" s="84">
        <f t="shared" si="35"/>
        <v>0</v>
      </c>
      <c r="I83" s="85"/>
      <c r="J83" s="85"/>
      <c r="K83" s="85"/>
      <c r="L83" s="85"/>
      <c r="M83" s="85"/>
      <c r="N83" s="85"/>
      <c r="O83" s="85"/>
      <c r="P83" s="85"/>
      <c r="Q83" s="85"/>
      <c r="R83" s="85"/>
      <c r="S83" s="85"/>
      <c r="T83" s="85"/>
      <c r="U83" s="85"/>
      <c r="V83" s="85"/>
      <c r="W83" s="85"/>
      <c r="X83" s="85"/>
      <c r="Y83" s="85"/>
      <c r="Z83" s="85"/>
      <c r="AA83" s="85"/>
      <c r="AB83" s="85"/>
      <c r="AC83" s="81">
        <f t="shared" si="36"/>
        <v>0</v>
      </c>
      <c r="AD83" s="86"/>
      <c r="AE83" s="86"/>
      <c r="AF83" s="86"/>
      <c r="AG83" s="86"/>
      <c r="AH83" s="86"/>
      <c r="AI83" s="86"/>
      <c r="AJ83" s="86"/>
      <c r="AK83" s="86"/>
      <c r="AL83" s="86"/>
      <c r="AM83" s="86"/>
      <c r="AN83" s="86"/>
      <c r="AO83" s="86"/>
      <c r="AP83" s="86"/>
      <c r="AQ83" s="86"/>
      <c r="AR83" s="86"/>
      <c r="AS83" s="86"/>
      <c r="AT83" s="82"/>
      <c r="AU83" s="87"/>
      <c r="AV83" s="818">
        <f t="shared" si="37"/>
        <v>0</v>
      </c>
      <c r="AW83" s="818">
        <f t="shared" si="38"/>
        <v>0</v>
      </c>
      <c r="AX83" s="818">
        <f t="shared" si="39"/>
        <v>0</v>
      </c>
      <c r="AY83" s="88">
        <f t="shared" si="40"/>
        <v>0</v>
      </c>
      <c r="AZ83" s="81">
        <f t="shared" si="41"/>
        <v>0</v>
      </c>
      <c r="BA83" s="81">
        <f t="shared" si="42"/>
        <v>0</v>
      </c>
      <c r="BB83" s="81">
        <f t="shared" si="43"/>
        <v>0</v>
      </c>
      <c r="BC83" s="81">
        <f t="shared" si="44"/>
        <v>0</v>
      </c>
      <c r="BD83" s="81">
        <f t="shared" si="45"/>
        <v>0</v>
      </c>
      <c r="BE83" s="81">
        <f t="shared" si="46"/>
        <v>0</v>
      </c>
      <c r="BF83" s="81">
        <f t="shared" si="47"/>
        <v>0</v>
      </c>
      <c r="BG83" s="81">
        <f t="shared" si="48"/>
        <v>0</v>
      </c>
      <c r="BH83" s="81">
        <f t="shared" si="49"/>
        <v>0</v>
      </c>
      <c r="BI83" s="81">
        <f t="shared" si="50"/>
        <v>0</v>
      </c>
      <c r="BJ83" s="81">
        <f t="shared" si="51"/>
        <v>0</v>
      </c>
      <c r="BK83" s="81">
        <f t="shared" si="52"/>
        <v>0</v>
      </c>
      <c r="BL83" s="81">
        <f t="shared" si="53"/>
        <v>0</v>
      </c>
      <c r="BM83" s="81">
        <f t="shared" si="54"/>
        <v>0</v>
      </c>
      <c r="BN83" s="81">
        <f t="shared" si="55"/>
        <v>0</v>
      </c>
      <c r="BO83" s="81">
        <f t="shared" si="56"/>
        <v>0</v>
      </c>
      <c r="BP83" s="81">
        <f t="shared" si="57"/>
        <v>0</v>
      </c>
      <c r="BQ83" s="81">
        <f t="shared" si="58"/>
        <v>0</v>
      </c>
      <c r="BR83" s="81">
        <f t="shared" si="59"/>
        <v>0</v>
      </c>
      <c r="BS83" s="81">
        <f t="shared" si="60"/>
        <v>0</v>
      </c>
      <c r="BT83" s="89">
        <f t="shared" si="61"/>
        <v>0</v>
      </c>
    </row>
    <row r="84" spans="1:72">
      <c r="A84" s="79"/>
      <c r="B84" s="80"/>
      <c r="C84" s="80"/>
      <c r="D84" s="2301"/>
      <c r="E84" s="81">
        <f t="shared" si="33"/>
        <v>0</v>
      </c>
      <c r="F84" s="82"/>
      <c r="G84" s="83">
        <f t="shared" si="34"/>
        <v>0</v>
      </c>
      <c r="H84" s="84">
        <f t="shared" si="35"/>
        <v>0</v>
      </c>
      <c r="I84" s="85"/>
      <c r="J84" s="85"/>
      <c r="K84" s="85"/>
      <c r="L84" s="85"/>
      <c r="M84" s="85"/>
      <c r="N84" s="85"/>
      <c r="O84" s="85"/>
      <c r="P84" s="85"/>
      <c r="Q84" s="85"/>
      <c r="R84" s="85"/>
      <c r="S84" s="85"/>
      <c r="T84" s="85"/>
      <c r="U84" s="85"/>
      <c r="V84" s="85"/>
      <c r="W84" s="85"/>
      <c r="X84" s="85"/>
      <c r="Y84" s="85"/>
      <c r="Z84" s="85"/>
      <c r="AA84" s="85"/>
      <c r="AB84" s="85"/>
      <c r="AC84" s="81">
        <f t="shared" si="36"/>
        <v>0</v>
      </c>
      <c r="AD84" s="86"/>
      <c r="AE84" s="86"/>
      <c r="AF84" s="86"/>
      <c r="AG84" s="86"/>
      <c r="AH84" s="86"/>
      <c r="AI84" s="86"/>
      <c r="AJ84" s="86"/>
      <c r="AK84" s="86"/>
      <c r="AL84" s="86"/>
      <c r="AM84" s="86"/>
      <c r="AN84" s="86"/>
      <c r="AO84" s="86"/>
      <c r="AP84" s="86"/>
      <c r="AQ84" s="86"/>
      <c r="AR84" s="86"/>
      <c r="AS84" s="86"/>
      <c r="AT84" s="82"/>
      <c r="AU84" s="87"/>
      <c r="AV84" s="818">
        <f t="shared" si="37"/>
        <v>0</v>
      </c>
      <c r="AW84" s="818">
        <f t="shared" si="38"/>
        <v>0</v>
      </c>
      <c r="AX84" s="818">
        <f t="shared" si="39"/>
        <v>0</v>
      </c>
      <c r="AY84" s="88">
        <f t="shared" si="40"/>
        <v>0</v>
      </c>
      <c r="AZ84" s="81">
        <f t="shared" si="41"/>
        <v>0</v>
      </c>
      <c r="BA84" s="81">
        <f t="shared" si="42"/>
        <v>0</v>
      </c>
      <c r="BB84" s="81">
        <f t="shared" si="43"/>
        <v>0</v>
      </c>
      <c r="BC84" s="81">
        <f t="shared" si="44"/>
        <v>0</v>
      </c>
      <c r="BD84" s="81">
        <f t="shared" si="45"/>
        <v>0</v>
      </c>
      <c r="BE84" s="81">
        <f t="shared" si="46"/>
        <v>0</v>
      </c>
      <c r="BF84" s="81">
        <f t="shared" si="47"/>
        <v>0</v>
      </c>
      <c r="BG84" s="81">
        <f t="shared" si="48"/>
        <v>0</v>
      </c>
      <c r="BH84" s="81">
        <f t="shared" si="49"/>
        <v>0</v>
      </c>
      <c r="BI84" s="81">
        <f t="shared" si="50"/>
        <v>0</v>
      </c>
      <c r="BJ84" s="81">
        <f t="shared" si="51"/>
        <v>0</v>
      </c>
      <c r="BK84" s="81">
        <f t="shared" si="52"/>
        <v>0</v>
      </c>
      <c r="BL84" s="81">
        <f t="shared" si="53"/>
        <v>0</v>
      </c>
      <c r="BM84" s="81">
        <f t="shared" si="54"/>
        <v>0</v>
      </c>
      <c r="BN84" s="81">
        <f t="shared" si="55"/>
        <v>0</v>
      </c>
      <c r="BO84" s="81">
        <f t="shared" si="56"/>
        <v>0</v>
      </c>
      <c r="BP84" s="81">
        <f t="shared" si="57"/>
        <v>0</v>
      </c>
      <c r="BQ84" s="81">
        <f t="shared" si="58"/>
        <v>0</v>
      </c>
      <c r="BR84" s="81">
        <f t="shared" si="59"/>
        <v>0</v>
      </c>
      <c r="BS84" s="81">
        <f t="shared" si="60"/>
        <v>0</v>
      </c>
      <c r="BT84" s="89">
        <f t="shared" si="61"/>
        <v>0</v>
      </c>
    </row>
    <row r="85" spans="1:72">
      <c r="A85" s="79"/>
      <c r="B85" s="80"/>
      <c r="C85" s="80"/>
      <c r="D85" s="2301"/>
      <c r="E85" s="81">
        <f t="shared" si="33"/>
        <v>0</v>
      </c>
      <c r="F85" s="82"/>
      <c r="G85" s="83">
        <f t="shared" si="34"/>
        <v>0</v>
      </c>
      <c r="H85" s="84">
        <f t="shared" si="35"/>
        <v>0</v>
      </c>
      <c r="I85" s="85"/>
      <c r="J85" s="85"/>
      <c r="K85" s="85"/>
      <c r="L85" s="85"/>
      <c r="M85" s="85"/>
      <c r="N85" s="85"/>
      <c r="O85" s="85"/>
      <c r="P85" s="85"/>
      <c r="Q85" s="85"/>
      <c r="R85" s="85"/>
      <c r="S85" s="85"/>
      <c r="T85" s="85"/>
      <c r="U85" s="85"/>
      <c r="V85" s="85"/>
      <c r="W85" s="85"/>
      <c r="X85" s="85"/>
      <c r="Y85" s="85"/>
      <c r="Z85" s="85"/>
      <c r="AA85" s="85"/>
      <c r="AB85" s="85"/>
      <c r="AC85" s="81">
        <f t="shared" si="36"/>
        <v>0</v>
      </c>
      <c r="AD85" s="86"/>
      <c r="AE85" s="86"/>
      <c r="AF85" s="86"/>
      <c r="AG85" s="86"/>
      <c r="AH85" s="86"/>
      <c r="AI85" s="86"/>
      <c r="AJ85" s="86"/>
      <c r="AK85" s="86"/>
      <c r="AL85" s="86"/>
      <c r="AM85" s="86"/>
      <c r="AN85" s="86"/>
      <c r="AO85" s="86"/>
      <c r="AP85" s="86"/>
      <c r="AQ85" s="86"/>
      <c r="AR85" s="86"/>
      <c r="AS85" s="86"/>
      <c r="AT85" s="82"/>
      <c r="AU85" s="87"/>
      <c r="AV85" s="818">
        <f t="shared" si="37"/>
        <v>0</v>
      </c>
      <c r="AW85" s="818">
        <f t="shared" si="38"/>
        <v>0</v>
      </c>
      <c r="AX85" s="818">
        <f t="shared" si="39"/>
        <v>0</v>
      </c>
      <c r="AY85" s="88">
        <f t="shared" si="40"/>
        <v>0</v>
      </c>
      <c r="AZ85" s="81">
        <f t="shared" si="41"/>
        <v>0</v>
      </c>
      <c r="BA85" s="81">
        <f t="shared" si="42"/>
        <v>0</v>
      </c>
      <c r="BB85" s="81">
        <f t="shared" si="43"/>
        <v>0</v>
      </c>
      <c r="BC85" s="81">
        <f t="shared" si="44"/>
        <v>0</v>
      </c>
      <c r="BD85" s="81">
        <f t="shared" si="45"/>
        <v>0</v>
      </c>
      <c r="BE85" s="81">
        <f t="shared" si="46"/>
        <v>0</v>
      </c>
      <c r="BF85" s="81">
        <f t="shared" si="47"/>
        <v>0</v>
      </c>
      <c r="BG85" s="81">
        <f t="shared" si="48"/>
        <v>0</v>
      </c>
      <c r="BH85" s="81">
        <f t="shared" si="49"/>
        <v>0</v>
      </c>
      <c r="BI85" s="81">
        <f t="shared" si="50"/>
        <v>0</v>
      </c>
      <c r="BJ85" s="81">
        <f t="shared" si="51"/>
        <v>0</v>
      </c>
      <c r="BK85" s="81">
        <f t="shared" si="52"/>
        <v>0</v>
      </c>
      <c r="BL85" s="81">
        <f t="shared" si="53"/>
        <v>0</v>
      </c>
      <c r="BM85" s="81">
        <f t="shared" si="54"/>
        <v>0</v>
      </c>
      <c r="BN85" s="81">
        <f t="shared" si="55"/>
        <v>0</v>
      </c>
      <c r="BO85" s="81">
        <f t="shared" si="56"/>
        <v>0</v>
      </c>
      <c r="BP85" s="81">
        <f t="shared" si="57"/>
        <v>0</v>
      </c>
      <c r="BQ85" s="81">
        <f t="shared" si="58"/>
        <v>0</v>
      </c>
      <c r="BR85" s="81">
        <f t="shared" si="59"/>
        <v>0</v>
      </c>
      <c r="BS85" s="81">
        <f t="shared" si="60"/>
        <v>0</v>
      </c>
      <c r="BT85" s="89">
        <f t="shared" si="61"/>
        <v>0</v>
      </c>
    </row>
    <row r="86" spans="1:72">
      <c r="A86" s="79"/>
      <c r="B86" s="80"/>
      <c r="C86" s="80"/>
      <c r="D86" s="2301"/>
      <c r="E86" s="81">
        <f t="shared" si="33"/>
        <v>0</v>
      </c>
      <c r="F86" s="82"/>
      <c r="G86" s="83">
        <f t="shared" si="34"/>
        <v>0</v>
      </c>
      <c r="H86" s="84">
        <f t="shared" si="35"/>
        <v>0</v>
      </c>
      <c r="I86" s="85"/>
      <c r="J86" s="85"/>
      <c r="K86" s="85"/>
      <c r="L86" s="85"/>
      <c r="M86" s="85"/>
      <c r="N86" s="85"/>
      <c r="O86" s="85"/>
      <c r="P86" s="85"/>
      <c r="Q86" s="85"/>
      <c r="R86" s="85"/>
      <c r="S86" s="85"/>
      <c r="T86" s="85"/>
      <c r="U86" s="85"/>
      <c r="V86" s="85"/>
      <c r="W86" s="85"/>
      <c r="X86" s="85"/>
      <c r="Y86" s="85"/>
      <c r="Z86" s="85"/>
      <c r="AA86" s="85"/>
      <c r="AB86" s="85"/>
      <c r="AC86" s="81">
        <f t="shared" si="36"/>
        <v>0</v>
      </c>
      <c r="AD86" s="86"/>
      <c r="AE86" s="86"/>
      <c r="AF86" s="86"/>
      <c r="AG86" s="86"/>
      <c r="AH86" s="86"/>
      <c r="AI86" s="86"/>
      <c r="AJ86" s="86"/>
      <c r="AK86" s="86"/>
      <c r="AL86" s="86"/>
      <c r="AM86" s="86"/>
      <c r="AN86" s="86"/>
      <c r="AO86" s="86"/>
      <c r="AP86" s="86"/>
      <c r="AQ86" s="86"/>
      <c r="AR86" s="86"/>
      <c r="AS86" s="86"/>
      <c r="AT86" s="82"/>
      <c r="AU86" s="87"/>
      <c r="AV86" s="818">
        <f t="shared" si="37"/>
        <v>0</v>
      </c>
      <c r="AW86" s="818">
        <f t="shared" si="38"/>
        <v>0</v>
      </c>
      <c r="AX86" s="818">
        <f t="shared" si="39"/>
        <v>0</v>
      </c>
      <c r="AY86" s="88">
        <f t="shared" si="40"/>
        <v>0</v>
      </c>
      <c r="AZ86" s="81">
        <f t="shared" si="41"/>
        <v>0</v>
      </c>
      <c r="BA86" s="81">
        <f t="shared" si="42"/>
        <v>0</v>
      </c>
      <c r="BB86" s="81">
        <f t="shared" si="43"/>
        <v>0</v>
      </c>
      <c r="BC86" s="81">
        <f t="shared" si="44"/>
        <v>0</v>
      </c>
      <c r="BD86" s="81">
        <f t="shared" si="45"/>
        <v>0</v>
      </c>
      <c r="BE86" s="81">
        <f t="shared" si="46"/>
        <v>0</v>
      </c>
      <c r="BF86" s="81">
        <f t="shared" si="47"/>
        <v>0</v>
      </c>
      <c r="BG86" s="81">
        <f t="shared" si="48"/>
        <v>0</v>
      </c>
      <c r="BH86" s="81">
        <f t="shared" si="49"/>
        <v>0</v>
      </c>
      <c r="BI86" s="81">
        <f t="shared" si="50"/>
        <v>0</v>
      </c>
      <c r="BJ86" s="81">
        <f t="shared" si="51"/>
        <v>0</v>
      </c>
      <c r="BK86" s="81">
        <f t="shared" si="52"/>
        <v>0</v>
      </c>
      <c r="BL86" s="81">
        <f t="shared" si="53"/>
        <v>0</v>
      </c>
      <c r="BM86" s="81">
        <f t="shared" si="54"/>
        <v>0</v>
      </c>
      <c r="BN86" s="81">
        <f t="shared" si="55"/>
        <v>0</v>
      </c>
      <c r="BO86" s="81">
        <f t="shared" si="56"/>
        <v>0</v>
      </c>
      <c r="BP86" s="81">
        <f t="shared" si="57"/>
        <v>0</v>
      </c>
      <c r="BQ86" s="81">
        <f t="shared" si="58"/>
        <v>0</v>
      </c>
      <c r="BR86" s="81">
        <f t="shared" si="59"/>
        <v>0</v>
      </c>
      <c r="BS86" s="81">
        <f t="shared" si="60"/>
        <v>0</v>
      </c>
      <c r="BT86" s="89">
        <f t="shared" si="61"/>
        <v>0</v>
      </c>
    </row>
    <row r="87" spans="1:72">
      <c r="A87" s="79"/>
      <c r="B87" s="80"/>
      <c r="C87" s="80"/>
      <c r="D87" s="2301"/>
      <c r="E87" s="81">
        <f t="shared" si="33"/>
        <v>0</v>
      </c>
      <c r="F87" s="82"/>
      <c r="G87" s="83">
        <f t="shared" si="34"/>
        <v>0</v>
      </c>
      <c r="H87" s="84">
        <f t="shared" si="35"/>
        <v>0</v>
      </c>
      <c r="I87" s="85"/>
      <c r="J87" s="85"/>
      <c r="K87" s="85"/>
      <c r="L87" s="85"/>
      <c r="M87" s="85"/>
      <c r="N87" s="85"/>
      <c r="O87" s="85"/>
      <c r="P87" s="85"/>
      <c r="Q87" s="85"/>
      <c r="R87" s="85"/>
      <c r="S87" s="85"/>
      <c r="T87" s="85"/>
      <c r="U87" s="85"/>
      <c r="V87" s="85"/>
      <c r="W87" s="85"/>
      <c r="X87" s="85"/>
      <c r="Y87" s="85"/>
      <c r="Z87" s="85"/>
      <c r="AA87" s="85"/>
      <c r="AB87" s="85"/>
      <c r="AC87" s="81">
        <f t="shared" si="36"/>
        <v>0</v>
      </c>
      <c r="AD87" s="86"/>
      <c r="AE87" s="86"/>
      <c r="AF87" s="86"/>
      <c r="AG87" s="86"/>
      <c r="AH87" s="86"/>
      <c r="AI87" s="86"/>
      <c r="AJ87" s="86"/>
      <c r="AK87" s="86"/>
      <c r="AL87" s="86"/>
      <c r="AM87" s="86"/>
      <c r="AN87" s="86"/>
      <c r="AO87" s="86"/>
      <c r="AP87" s="86"/>
      <c r="AQ87" s="86"/>
      <c r="AR87" s="86"/>
      <c r="AS87" s="86"/>
      <c r="AT87" s="82"/>
      <c r="AU87" s="87"/>
      <c r="AV87" s="818">
        <f t="shared" si="37"/>
        <v>0</v>
      </c>
      <c r="AW87" s="818">
        <f t="shared" si="38"/>
        <v>0</v>
      </c>
      <c r="AX87" s="818">
        <f t="shared" si="39"/>
        <v>0</v>
      </c>
      <c r="AY87" s="88">
        <f t="shared" si="40"/>
        <v>0</v>
      </c>
      <c r="AZ87" s="81">
        <f t="shared" si="41"/>
        <v>0</v>
      </c>
      <c r="BA87" s="81">
        <f t="shared" si="42"/>
        <v>0</v>
      </c>
      <c r="BB87" s="81">
        <f t="shared" si="43"/>
        <v>0</v>
      </c>
      <c r="BC87" s="81">
        <f t="shared" si="44"/>
        <v>0</v>
      </c>
      <c r="BD87" s="81">
        <f t="shared" si="45"/>
        <v>0</v>
      </c>
      <c r="BE87" s="81">
        <f t="shared" si="46"/>
        <v>0</v>
      </c>
      <c r="BF87" s="81">
        <f t="shared" si="47"/>
        <v>0</v>
      </c>
      <c r="BG87" s="81">
        <f t="shared" si="48"/>
        <v>0</v>
      </c>
      <c r="BH87" s="81">
        <f t="shared" si="49"/>
        <v>0</v>
      </c>
      <c r="BI87" s="81">
        <f t="shared" si="50"/>
        <v>0</v>
      </c>
      <c r="BJ87" s="81">
        <f t="shared" si="51"/>
        <v>0</v>
      </c>
      <c r="BK87" s="81">
        <f t="shared" si="52"/>
        <v>0</v>
      </c>
      <c r="BL87" s="81">
        <f t="shared" si="53"/>
        <v>0</v>
      </c>
      <c r="BM87" s="81">
        <f t="shared" si="54"/>
        <v>0</v>
      </c>
      <c r="BN87" s="81">
        <f t="shared" si="55"/>
        <v>0</v>
      </c>
      <c r="BO87" s="81">
        <f t="shared" si="56"/>
        <v>0</v>
      </c>
      <c r="BP87" s="81">
        <f t="shared" si="57"/>
        <v>0</v>
      </c>
      <c r="BQ87" s="81">
        <f t="shared" si="58"/>
        <v>0</v>
      </c>
      <c r="BR87" s="81">
        <f t="shared" si="59"/>
        <v>0</v>
      </c>
      <c r="BS87" s="81">
        <f t="shared" si="60"/>
        <v>0</v>
      </c>
      <c r="BT87" s="89">
        <f t="shared" si="61"/>
        <v>0</v>
      </c>
    </row>
    <row r="88" spans="1:72">
      <c r="A88" s="79"/>
      <c r="B88" s="80"/>
      <c r="C88" s="80"/>
      <c r="D88" s="2301"/>
      <c r="E88" s="81">
        <f t="shared" si="33"/>
        <v>0</v>
      </c>
      <c r="F88" s="82"/>
      <c r="G88" s="83">
        <f t="shared" si="34"/>
        <v>0</v>
      </c>
      <c r="H88" s="84">
        <f t="shared" si="35"/>
        <v>0</v>
      </c>
      <c r="I88" s="85"/>
      <c r="J88" s="85"/>
      <c r="K88" s="85"/>
      <c r="L88" s="85"/>
      <c r="M88" s="85"/>
      <c r="N88" s="85"/>
      <c r="O88" s="85"/>
      <c r="P88" s="85"/>
      <c r="Q88" s="85"/>
      <c r="R88" s="85"/>
      <c r="S88" s="85"/>
      <c r="T88" s="85"/>
      <c r="U88" s="85"/>
      <c r="V88" s="85"/>
      <c r="W88" s="85"/>
      <c r="X88" s="85"/>
      <c r="Y88" s="85"/>
      <c r="Z88" s="85"/>
      <c r="AA88" s="85"/>
      <c r="AB88" s="85"/>
      <c r="AC88" s="81">
        <f t="shared" si="36"/>
        <v>0</v>
      </c>
      <c r="AD88" s="86"/>
      <c r="AE88" s="86"/>
      <c r="AF88" s="86"/>
      <c r="AG88" s="86"/>
      <c r="AH88" s="86"/>
      <c r="AI88" s="86"/>
      <c r="AJ88" s="86"/>
      <c r="AK88" s="86"/>
      <c r="AL88" s="86"/>
      <c r="AM88" s="86"/>
      <c r="AN88" s="86"/>
      <c r="AO88" s="86"/>
      <c r="AP88" s="86"/>
      <c r="AQ88" s="86"/>
      <c r="AR88" s="86"/>
      <c r="AS88" s="86"/>
      <c r="AT88" s="82"/>
      <c r="AU88" s="87"/>
      <c r="AV88" s="818">
        <f t="shared" si="37"/>
        <v>0</v>
      </c>
      <c r="AW88" s="818">
        <f t="shared" si="38"/>
        <v>0</v>
      </c>
      <c r="AX88" s="818">
        <f t="shared" si="39"/>
        <v>0</v>
      </c>
      <c r="AY88" s="88">
        <f t="shared" si="40"/>
        <v>0</v>
      </c>
      <c r="AZ88" s="81">
        <f t="shared" si="41"/>
        <v>0</v>
      </c>
      <c r="BA88" s="81">
        <f t="shared" si="42"/>
        <v>0</v>
      </c>
      <c r="BB88" s="81">
        <f t="shared" si="43"/>
        <v>0</v>
      </c>
      <c r="BC88" s="81">
        <f t="shared" si="44"/>
        <v>0</v>
      </c>
      <c r="BD88" s="81">
        <f t="shared" si="45"/>
        <v>0</v>
      </c>
      <c r="BE88" s="81">
        <f t="shared" si="46"/>
        <v>0</v>
      </c>
      <c r="BF88" s="81">
        <f t="shared" si="47"/>
        <v>0</v>
      </c>
      <c r="BG88" s="81">
        <f t="shared" si="48"/>
        <v>0</v>
      </c>
      <c r="BH88" s="81">
        <f t="shared" si="49"/>
        <v>0</v>
      </c>
      <c r="BI88" s="81">
        <f t="shared" si="50"/>
        <v>0</v>
      </c>
      <c r="BJ88" s="81">
        <f t="shared" si="51"/>
        <v>0</v>
      </c>
      <c r="BK88" s="81">
        <f t="shared" si="52"/>
        <v>0</v>
      </c>
      <c r="BL88" s="81">
        <f t="shared" si="53"/>
        <v>0</v>
      </c>
      <c r="BM88" s="81">
        <f t="shared" si="54"/>
        <v>0</v>
      </c>
      <c r="BN88" s="81">
        <f t="shared" si="55"/>
        <v>0</v>
      </c>
      <c r="BO88" s="81">
        <f t="shared" si="56"/>
        <v>0</v>
      </c>
      <c r="BP88" s="81">
        <f t="shared" si="57"/>
        <v>0</v>
      </c>
      <c r="BQ88" s="81">
        <f t="shared" si="58"/>
        <v>0</v>
      </c>
      <c r="BR88" s="81">
        <f t="shared" si="59"/>
        <v>0</v>
      </c>
      <c r="BS88" s="81">
        <f t="shared" si="60"/>
        <v>0</v>
      </c>
      <c r="BT88" s="89">
        <f t="shared" si="61"/>
        <v>0</v>
      </c>
    </row>
    <row r="89" spans="1:72">
      <c r="A89" s="79"/>
      <c r="B89" s="80"/>
      <c r="C89" s="80"/>
      <c r="D89" s="2301"/>
      <c r="E89" s="81">
        <f t="shared" si="33"/>
        <v>0</v>
      </c>
      <c r="F89" s="82"/>
      <c r="G89" s="83">
        <f t="shared" si="34"/>
        <v>0</v>
      </c>
      <c r="H89" s="84">
        <f t="shared" si="35"/>
        <v>0</v>
      </c>
      <c r="I89" s="85"/>
      <c r="J89" s="85"/>
      <c r="K89" s="85"/>
      <c r="L89" s="85"/>
      <c r="M89" s="85"/>
      <c r="N89" s="85"/>
      <c r="O89" s="85"/>
      <c r="P89" s="85"/>
      <c r="Q89" s="85"/>
      <c r="R89" s="85"/>
      <c r="S89" s="85"/>
      <c r="T89" s="85"/>
      <c r="U89" s="85"/>
      <c r="V89" s="85"/>
      <c r="W89" s="85"/>
      <c r="X89" s="85"/>
      <c r="Y89" s="85"/>
      <c r="Z89" s="85"/>
      <c r="AA89" s="85"/>
      <c r="AB89" s="85"/>
      <c r="AC89" s="81">
        <f t="shared" si="36"/>
        <v>0</v>
      </c>
      <c r="AD89" s="86"/>
      <c r="AE89" s="86"/>
      <c r="AF89" s="86"/>
      <c r="AG89" s="86"/>
      <c r="AH89" s="86"/>
      <c r="AI89" s="86"/>
      <c r="AJ89" s="86"/>
      <c r="AK89" s="86"/>
      <c r="AL89" s="86"/>
      <c r="AM89" s="86"/>
      <c r="AN89" s="86"/>
      <c r="AO89" s="86"/>
      <c r="AP89" s="86"/>
      <c r="AQ89" s="86"/>
      <c r="AR89" s="86"/>
      <c r="AS89" s="86"/>
      <c r="AT89" s="82"/>
      <c r="AU89" s="87"/>
      <c r="AV89" s="818">
        <f t="shared" si="37"/>
        <v>0</v>
      </c>
      <c r="AW89" s="818">
        <f t="shared" si="38"/>
        <v>0</v>
      </c>
      <c r="AX89" s="818">
        <f t="shared" si="39"/>
        <v>0</v>
      </c>
      <c r="AY89" s="88">
        <f t="shared" si="40"/>
        <v>0</v>
      </c>
      <c r="AZ89" s="81">
        <f t="shared" si="41"/>
        <v>0</v>
      </c>
      <c r="BA89" s="81">
        <f t="shared" si="42"/>
        <v>0</v>
      </c>
      <c r="BB89" s="81">
        <f t="shared" si="43"/>
        <v>0</v>
      </c>
      <c r="BC89" s="81">
        <f t="shared" si="44"/>
        <v>0</v>
      </c>
      <c r="BD89" s="81">
        <f t="shared" si="45"/>
        <v>0</v>
      </c>
      <c r="BE89" s="81">
        <f t="shared" si="46"/>
        <v>0</v>
      </c>
      <c r="BF89" s="81">
        <f t="shared" si="47"/>
        <v>0</v>
      </c>
      <c r="BG89" s="81">
        <f t="shared" si="48"/>
        <v>0</v>
      </c>
      <c r="BH89" s="81">
        <f t="shared" si="49"/>
        <v>0</v>
      </c>
      <c r="BI89" s="81">
        <f t="shared" si="50"/>
        <v>0</v>
      </c>
      <c r="BJ89" s="81">
        <f t="shared" si="51"/>
        <v>0</v>
      </c>
      <c r="BK89" s="81">
        <f t="shared" si="52"/>
        <v>0</v>
      </c>
      <c r="BL89" s="81">
        <f t="shared" si="53"/>
        <v>0</v>
      </c>
      <c r="BM89" s="81">
        <f t="shared" si="54"/>
        <v>0</v>
      </c>
      <c r="BN89" s="81">
        <f t="shared" si="55"/>
        <v>0</v>
      </c>
      <c r="BO89" s="81">
        <f t="shared" si="56"/>
        <v>0</v>
      </c>
      <c r="BP89" s="81">
        <f t="shared" si="57"/>
        <v>0</v>
      </c>
      <c r="BQ89" s="81">
        <f t="shared" si="58"/>
        <v>0</v>
      </c>
      <c r="BR89" s="81">
        <f t="shared" si="59"/>
        <v>0</v>
      </c>
      <c r="BS89" s="81">
        <f t="shared" si="60"/>
        <v>0</v>
      </c>
      <c r="BT89" s="89">
        <f t="shared" si="61"/>
        <v>0</v>
      </c>
    </row>
    <row r="90" spans="1:72">
      <c r="A90" s="79"/>
      <c r="B90" s="80"/>
      <c r="C90" s="80"/>
      <c r="D90" s="2301"/>
      <c r="E90" s="81">
        <f t="shared" si="33"/>
        <v>0</v>
      </c>
      <c r="F90" s="82"/>
      <c r="G90" s="83">
        <f t="shared" si="34"/>
        <v>0</v>
      </c>
      <c r="H90" s="84">
        <f t="shared" si="35"/>
        <v>0</v>
      </c>
      <c r="I90" s="85"/>
      <c r="J90" s="85"/>
      <c r="K90" s="85"/>
      <c r="L90" s="85"/>
      <c r="M90" s="85"/>
      <c r="N90" s="85"/>
      <c r="O90" s="85"/>
      <c r="P90" s="85"/>
      <c r="Q90" s="85"/>
      <c r="R90" s="85"/>
      <c r="S90" s="85"/>
      <c r="T90" s="85"/>
      <c r="U90" s="85"/>
      <c r="V90" s="85"/>
      <c r="W90" s="85"/>
      <c r="X90" s="85"/>
      <c r="Y90" s="85"/>
      <c r="Z90" s="85"/>
      <c r="AA90" s="85"/>
      <c r="AB90" s="85"/>
      <c r="AC90" s="81">
        <f t="shared" si="36"/>
        <v>0</v>
      </c>
      <c r="AD90" s="86"/>
      <c r="AE90" s="86"/>
      <c r="AF90" s="86"/>
      <c r="AG90" s="86"/>
      <c r="AH90" s="86"/>
      <c r="AI90" s="86"/>
      <c r="AJ90" s="86"/>
      <c r="AK90" s="86"/>
      <c r="AL90" s="86"/>
      <c r="AM90" s="86"/>
      <c r="AN90" s="86"/>
      <c r="AO90" s="86"/>
      <c r="AP90" s="86"/>
      <c r="AQ90" s="86"/>
      <c r="AR90" s="86"/>
      <c r="AS90" s="86"/>
      <c r="AT90" s="82"/>
      <c r="AU90" s="87"/>
      <c r="AV90" s="818">
        <f t="shared" si="37"/>
        <v>0</v>
      </c>
      <c r="AW90" s="818">
        <f t="shared" si="38"/>
        <v>0</v>
      </c>
      <c r="AX90" s="818">
        <f t="shared" si="39"/>
        <v>0</v>
      </c>
      <c r="AY90" s="88">
        <f t="shared" si="40"/>
        <v>0</v>
      </c>
      <c r="AZ90" s="81">
        <f t="shared" si="41"/>
        <v>0</v>
      </c>
      <c r="BA90" s="81">
        <f t="shared" si="42"/>
        <v>0</v>
      </c>
      <c r="BB90" s="81">
        <f t="shared" si="43"/>
        <v>0</v>
      </c>
      <c r="BC90" s="81">
        <f t="shared" si="44"/>
        <v>0</v>
      </c>
      <c r="BD90" s="81">
        <f t="shared" si="45"/>
        <v>0</v>
      </c>
      <c r="BE90" s="81">
        <f t="shared" si="46"/>
        <v>0</v>
      </c>
      <c r="BF90" s="81">
        <f t="shared" si="47"/>
        <v>0</v>
      </c>
      <c r="BG90" s="81">
        <f t="shared" si="48"/>
        <v>0</v>
      </c>
      <c r="BH90" s="81">
        <f t="shared" si="49"/>
        <v>0</v>
      </c>
      <c r="BI90" s="81">
        <f t="shared" si="50"/>
        <v>0</v>
      </c>
      <c r="BJ90" s="81">
        <f t="shared" si="51"/>
        <v>0</v>
      </c>
      <c r="BK90" s="81">
        <f t="shared" si="52"/>
        <v>0</v>
      </c>
      <c r="BL90" s="81">
        <f t="shared" si="53"/>
        <v>0</v>
      </c>
      <c r="BM90" s="81">
        <f t="shared" si="54"/>
        <v>0</v>
      </c>
      <c r="BN90" s="81">
        <f t="shared" si="55"/>
        <v>0</v>
      </c>
      <c r="BO90" s="81">
        <f t="shared" si="56"/>
        <v>0</v>
      </c>
      <c r="BP90" s="81">
        <f t="shared" si="57"/>
        <v>0</v>
      </c>
      <c r="BQ90" s="81">
        <f t="shared" si="58"/>
        <v>0</v>
      </c>
      <c r="BR90" s="81">
        <f t="shared" si="59"/>
        <v>0</v>
      </c>
      <c r="BS90" s="81">
        <f t="shared" si="60"/>
        <v>0</v>
      </c>
      <c r="BT90" s="89">
        <f t="shared" si="61"/>
        <v>0</v>
      </c>
    </row>
    <row r="91" spans="1:72">
      <c r="A91" s="79"/>
      <c r="B91" s="80"/>
      <c r="C91" s="80"/>
      <c r="D91" s="2301"/>
      <c r="E91" s="81">
        <f t="shared" si="33"/>
        <v>0</v>
      </c>
      <c r="F91" s="82"/>
      <c r="G91" s="83">
        <f t="shared" si="34"/>
        <v>0</v>
      </c>
      <c r="H91" s="84">
        <f t="shared" si="35"/>
        <v>0</v>
      </c>
      <c r="I91" s="85"/>
      <c r="J91" s="85"/>
      <c r="K91" s="85"/>
      <c r="L91" s="85"/>
      <c r="M91" s="85"/>
      <c r="N91" s="85"/>
      <c r="O91" s="85"/>
      <c r="P91" s="85"/>
      <c r="Q91" s="85"/>
      <c r="R91" s="85"/>
      <c r="S91" s="85"/>
      <c r="T91" s="85"/>
      <c r="U91" s="85"/>
      <c r="V91" s="85"/>
      <c r="W91" s="85"/>
      <c r="X91" s="85"/>
      <c r="Y91" s="85"/>
      <c r="Z91" s="85"/>
      <c r="AA91" s="85"/>
      <c r="AB91" s="85"/>
      <c r="AC91" s="81">
        <f t="shared" si="36"/>
        <v>0</v>
      </c>
      <c r="AD91" s="86"/>
      <c r="AE91" s="86"/>
      <c r="AF91" s="86"/>
      <c r="AG91" s="86"/>
      <c r="AH91" s="86"/>
      <c r="AI91" s="86"/>
      <c r="AJ91" s="86"/>
      <c r="AK91" s="86"/>
      <c r="AL91" s="86"/>
      <c r="AM91" s="86"/>
      <c r="AN91" s="86"/>
      <c r="AO91" s="86"/>
      <c r="AP91" s="86"/>
      <c r="AQ91" s="86"/>
      <c r="AR91" s="86"/>
      <c r="AS91" s="86"/>
      <c r="AT91" s="82"/>
      <c r="AU91" s="87"/>
      <c r="AV91" s="818">
        <f t="shared" si="37"/>
        <v>0</v>
      </c>
      <c r="AW91" s="818">
        <f t="shared" si="38"/>
        <v>0</v>
      </c>
      <c r="AX91" s="818">
        <f t="shared" si="39"/>
        <v>0</v>
      </c>
      <c r="AY91" s="88">
        <f t="shared" si="40"/>
        <v>0</v>
      </c>
      <c r="AZ91" s="81">
        <f t="shared" si="41"/>
        <v>0</v>
      </c>
      <c r="BA91" s="81">
        <f t="shared" si="42"/>
        <v>0</v>
      </c>
      <c r="BB91" s="81">
        <f t="shared" si="43"/>
        <v>0</v>
      </c>
      <c r="BC91" s="81">
        <f t="shared" si="44"/>
        <v>0</v>
      </c>
      <c r="BD91" s="81">
        <f t="shared" si="45"/>
        <v>0</v>
      </c>
      <c r="BE91" s="81">
        <f t="shared" si="46"/>
        <v>0</v>
      </c>
      <c r="BF91" s="81">
        <f t="shared" si="47"/>
        <v>0</v>
      </c>
      <c r="BG91" s="81">
        <f t="shared" si="48"/>
        <v>0</v>
      </c>
      <c r="BH91" s="81">
        <f t="shared" si="49"/>
        <v>0</v>
      </c>
      <c r="BI91" s="81">
        <f t="shared" si="50"/>
        <v>0</v>
      </c>
      <c r="BJ91" s="81">
        <f t="shared" si="51"/>
        <v>0</v>
      </c>
      <c r="BK91" s="81">
        <f t="shared" si="52"/>
        <v>0</v>
      </c>
      <c r="BL91" s="81">
        <f t="shared" si="53"/>
        <v>0</v>
      </c>
      <c r="BM91" s="81">
        <f t="shared" si="54"/>
        <v>0</v>
      </c>
      <c r="BN91" s="81">
        <f t="shared" si="55"/>
        <v>0</v>
      </c>
      <c r="BO91" s="81">
        <f t="shared" si="56"/>
        <v>0</v>
      </c>
      <c r="BP91" s="81">
        <f t="shared" si="57"/>
        <v>0</v>
      </c>
      <c r="BQ91" s="81">
        <f t="shared" si="58"/>
        <v>0</v>
      </c>
      <c r="BR91" s="81">
        <f t="shared" si="59"/>
        <v>0</v>
      </c>
      <c r="BS91" s="81">
        <f t="shared" si="60"/>
        <v>0</v>
      </c>
      <c r="BT91" s="89">
        <f t="shared" si="61"/>
        <v>0</v>
      </c>
    </row>
    <row r="92" spans="1:72">
      <c r="A92" s="79"/>
      <c r="B92" s="80"/>
      <c r="C92" s="80"/>
      <c r="D92" s="2301"/>
      <c r="E92" s="81">
        <f t="shared" si="33"/>
        <v>0</v>
      </c>
      <c r="F92" s="82"/>
      <c r="G92" s="83">
        <f t="shared" si="34"/>
        <v>0</v>
      </c>
      <c r="H92" s="84">
        <f t="shared" si="35"/>
        <v>0</v>
      </c>
      <c r="I92" s="85"/>
      <c r="J92" s="85"/>
      <c r="K92" s="85"/>
      <c r="L92" s="85"/>
      <c r="M92" s="85"/>
      <c r="N92" s="85"/>
      <c r="O92" s="85"/>
      <c r="P92" s="85"/>
      <c r="Q92" s="85"/>
      <c r="R92" s="85"/>
      <c r="S92" s="85"/>
      <c r="T92" s="85"/>
      <c r="U92" s="85"/>
      <c r="V92" s="85"/>
      <c r="W92" s="85"/>
      <c r="X92" s="85"/>
      <c r="Y92" s="85"/>
      <c r="Z92" s="85"/>
      <c r="AA92" s="85"/>
      <c r="AB92" s="85"/>
      <c r="AC92" s="81">
        <f t="shared" si="36"/>
        <v>0</v>
      </c>
      <c r="AD92" s="86"/>
      <c r="AE92" s="86"/>
      <c r="AF92" s="86"/>
      <c r="AG92" s="86"/>
      <c r="AH92" s="86"/>
      <c r="AI92" s="86"/>
      <c r="AJ92" s="86"/>
      <c r="AK92" s="86"/>
      <c r="AL92" s="86"/>
      <c r="AM92" s="86"/>
      <c r="AN92" s="86"/>
      <c r="AO92" s="86"/>
      <c r="AP92" s="86"/>
      <c r="AQ92" s="86"/>
      <c r="AR92" s="86"/>
      <c r="AS92" s="86"/>
      <c r="AT92" s="82"/>
      <c r="AU92" s="87"/>
      <c r="AV92" s="818">
        <f t="shared" si="37"/>
        <v>0</v>
      </c>
      <c r="AW92" s="818">
        <f t="shared" si="38"/>
        <v>0</v>
      </c>
      <c r="AX92" s="818">
        <f t="shared" si="39"/>
        <v>0</v>
      </c>
      <c r="AY92" s="88">
        <f t="shared" si="40"/>
        <v>0</v>
      </c>
      <c r="AZ92" s="81">
        <f t="shared" si="41"/>
        <v>0</v>
      </c>
      <c r="BA92" s="81">
        <f t="shared" si="42"/>
        <v>0</v>
      </c>
      <c r="BB92" s="81">
        <f t="shared" si="43"/>
        <v>0</v>
      </c>
      <c r="BC92" s="81">
        <f t="shared" si="44"/>
        <v>0</v>
      </c>
      <c r="BD92" s="81">
        <f t="shared" si="45"/>
        <v>0</v>
      </c>
      <c r="BE92" s="81">
        <f t="shared" si="46"/>
        <v>0</v>
      </c>
      <c r="BF92" s="81">
        <f t="shared" si="47"/>
        <v>0</v>
      </c>
      <c r="BG92" s="81">
        <f t="shared" si="48"/>
        <v>0</v>
      </c>
      <c r="BH92" s="81">
        <f t="shared" si="49"/>
        <v>0</v>
      </c>
      <c r="BI92" s="81">
        <f t="shared" si="50"/>
        <v>0</v>
      </c>
      <c r="BJ92" s="81">
        <f t="shared" si="51"/>
        <v>0</v>
      </c>
      <c r="BK92" s="81">
        <f t="shared" si="52"/>
        <v>0</v>
      </c>
      <c r="BL92" s="81">
        <f t="shared" si="53"/>
        <v>0</v>
      </c>
      <c r="BM92" s="81">
        <f t="shared" si="54"/>
        <v>0</v>
      </c>
      <c r="BN92" s="81">
        <f t="shared" si="55"/>
        <v>0</v>
      </c>
      <c r="BO92" s="81">
        <f t="shared" si="56"/>
        <v>0</v>
      </c>
      <c r="BP92" s="81">
        <f t="shared" si="57"/>
        <v>0</v>
      </c>
      <c r="BQ92" s="81">
        <f t="shared" si="58"/>
        <v>0</v>
      </c>
      <c r="BR92" s="81">
        <f t="shared" si="59"/>
        <v>0</v>
      </c>
      <c r="BS92" s="81">
        <f t="shared" si="60"/>
        <v>0</v>
      </c>
      <c r="BT92" s="89">
        <f t="shared" si="61"/>
        <v>0</v>
      </c>
    </row>
    <row r="93" spans="1:72">
      <c r="A93" s="79"/>
      <c r="B93" s="80"/>
      <c r="C93" s="80"/>
      <c r="D93" s="2301"/>
      <c r="E93" s="81">
        <f t="shared" si="33"/>
        <v>0</v>
      </c>
      <c r="F93" s="82"/>
      <c r="G93" s="83">
        <f t="shared" si="34"/>
        <v>0</v>
      </c>
      <c r="H93" s="84">
        <f t="shared" si="35"/>
        <v>0</v>
      </c>
      <c r="I93" s="85"/>
      <c r="J93" s="85"/>
      <c r="K93" s="85"/>
      <c r="L93" s="85"/>
      <c r="M93" s="85"/>
      <c r="N93" s="85"/>
      <c r="O93" s="85"/>
      <c r="P93" s="85"/>
      <c r="Q93" s="85"/>
      <c r="R93" s="85"/>
      <c r="S93" s="85"/>
      <c r="T93" s="85"/>
      <c r="U93" s="85"/>
      <c r="V93" s="85"/>
      <c r="W93" s="85"/>
      <c r="X93" s="85"/>
      <c r="Y93" s="85"/>
      <c r="Z93" s="85"/>
      <c r="AA93" s="85"/>
      <c r="AB93" s="85"/>
      <c r="AC93" s="81">
        <f t="shared" si="36"/>
        <v>0</v>
      </c>
      <c r="AD93" s="86"/>
      <c r="AE93" s="86"/>
      <c r="AF93" s="86"/>
      <c r="AG93" s="86"/>
      <c r="AH93" s="86"/>
      <c r="AI93" s="86"/>
      <c r="AJ93" s="86"/>
      <c r="AK93" s="86"/>
      <c r="AL93" s="86"/>
      <c r="AM93" s="86"/>
      <c r="AN93" s="86"/>
      <c r="AO93" s="86"/>
      <c r="AP93" s="86"/>
      <c r="AQ93" s="86"/>
      <c r="AR93" s="86"/>
      <c r="AS93" s="86"/>
      <c r="AT93" s="82"/>
      <c r="AU93" s="87"/>
      <c r="AV93" s="818">
        <f t="shared" si="37"/>
        <v>0</v>
      </c>
      <c r="AW93" s="818">
        <f t="shared" si="38"/>
        <v>0</v>
      </c>
      <c r="AX93" s="818">
        <f t="shared" si="39"/>
        <v>0</v>
      </c>
      <c r="AY93" s="88">
        <f t="shared" si="40"/>
        <v>0</v>
      </c>
      <c r="AZ93" s="81">
        <f t="shared" si="41"/>
        <v>0</v>
      </c>
      <c r="BA93" s="81">
        <f t="shared" si="42"/>
        <v>0</v>
      </c>
      <c r="BB93" s="81">
        <f t="shared" si="43"/>
        <v>0</v>
      </c>
      <c r="BC93" s="81">
        <f t="shared" si="44"/>
        <v>0</v>
      </c>
      <c r="BD93" s="81">
        <f t="shared" si="45"/>
        <v>0</v>
      </c>
      <c r="BE93" s="81">
        <f t="shared" si="46"/>
        <v>0</v>
      </c>
      <c r="BF93" s="81">
        <f t="shared" si="47"/>
        <v>0</v>
      </c>
      <c r="BG93" s="81">
        <f t="shared" si="48"/>
        <v>0</v>
      </c>
      <c r="BH93" s="81">
        <f t="shared" si="49"/>
        <v>0</v>
      </c>
      <c r="BI93" s="81">
        <f t="shared" si="50"/>
        <v>0</v>
      </c>
      <c r="BJ93" s="81">
        <f t="shared" si="51"/>
        <v>0</v>
      </c>
      <c r="BK93" s="81">
        <f t="shared" si="52"/>
        <v>0</v>
      </c>
      <c r="BL93" s="81">
        <f t="shared" si="53"/>
        <v>0</v>
      </c>
      <c r="BM93" s="81">
        <f t="shared" si="54"/>
        <v>0</v>
      </c>
      <c r="BN93" s="81">
        <f t="shared" si="55"/>
        <v>0</v>
      </c>
      <c r="BO93" s="81">
        <f t="shared" si="56"/>
        <v>0</v>
      </c>
      <c r="BP93" s="81">
        <f t="shared" si="57"/>
        <v>0</v>
      </c>
      <c r="BQ93" s="81">
        <f t="shared" si="58"/>
        <v>0</v>
      </c>
      <c r="BR93" s="81">
        <f t="shared" si="59"/>
        <v>0</v>
      </c>
      <c r="BS93" s="81">
        <f t="shared" si="60"/>
        <v>0</v>
      </c>
      <c r="BT93" s="89">
        <f t="shared" si="61"/>
        <v>0</v>
      </c>
    </row>
    <row r="94" spans="1:72">
      <c r="A94" s="79"/>
      <c r="B94" s="80"/>
      <c r="C94" s="80"/>
      <c r="D94" s="2301"/>
      <c r="E94" s="81">
        <f t="shared" si="33"/>
        <v>0</v>
      </c>
      <c r="F94" s="82"/>
      <c r="G94" s="83">
        <f t="shared" si="34"/>
        <v>0</v>
      </c>
      <c r="H94" s="84">
        <f t="shared" si="35"/>
        <v>0</v>
      </c>
      <c r="I94" s="85"/>
      <c r="J94" s="85"/>
      <c r="K94" s="85"/>
      <c r="L94" s="85"/>
      <c r="M94" s="85"/>
      <c r="N94" s="85"/>
      <c r="O94" s="85"/>
      <c r="P94" s="85"/>
      <c r="Q94" s="85"/>
      <c r="R94" s="85"/>
      <c r="S94" s="85"/>
      <c r="T94" s="85"/>
      <c r="U94" s="85"/>
      <c r="V94" s="85"/>
      <c r="W94" s="85"/>
      <c r="X94" s="85"/>
      <c r="Y94" s="85"/>
      <c r="Z94" s="85"/>
      <c r="AA94" s="85"/>
      <c r="AB94" s="85"/>
      <c r="AC94" s="81">
        <f t="shared" si="36"/>
        <v>0</v>
      </c>
      <c r="AD94" s="86"/>
      <c r="AE94" s="86"/>
      <c r="AF94" s="86"/>
      <c r="AG94" s="86"/>
      <c r="AH94" s="86"/>
      <c r="AI94" s="86"/>
      <c r="AJ94" s="86"/>
      <c r="AK94" s="86"/>
      <c r="AL94" s="86"/>
      <c r="AM94" s="86"/>
      <c r="AN94" s="86"/>
      <c r="AO94" s="86"/>
      <c r="AP94" s="86"/>
      <c r="AQ94" s="86"/>
      <c r="AR94" s="86"/>
      <c r="AS94" s="86"/>
      <c r="AT94" s="82"/>
      <c r="AU94" s="87"/>
      <c r="AV94" s="818">
        <f t="shared" si="37"/>
        <v>0</v>
      </c>
      <c r="AW94" s="818">
        <f t="shared" si="38"/>
        <v>0</v>
      </c>
      <c r="AX94" s="818">
        <f t="shared" si="39"/>
        <v>0</v>
      </c>
      <c r="AY94" s="88">
        <f t="shared" si="40"/>
        <v>0</v>
      </c>
      <c r="AZ94" s="81">
        <f t="shared" si="41"/>
        <v>0</v>
      </c>
      <c r="BA94" s="81">
        <f t="shared" si="42"/>
        <v>0</v>
      </c>
      <c r="BB94" s="81">
        <f t="shared" si="43"/>
        <v>0</v>
      </c>
      <c r="BC94" s="81">
        <f t="shared" si="44"/>
        <v>0</v>
      </c>
      <c r="BD94" s="81">
        <f t="shared" si="45"/>
        <v>0</v>
      </c>
      <c r="BE94" s="81">
        <f t="shared" si="46"/>
        <v>0</v>
      </c>
      <c r="BF94" s="81">
        <f t="shared" si="47"/>
        <v>0</v>
      </c>
      <c r="BG94" s="81">
        <f t="shared" si="48"/>
        <v>0</v>
      </c>
      <c r="BH94" s="81">
        <f t="shared" si="49"/>
        <v>0</v>
      </c>
      <c r="BI94" s="81">
        <f t="shared" si="50"/>
        <v>0</v>
      </c>
      <c r="BJ94" s="81">
        <f t="shared" si="51"/>
        <v>0</v>
      </c>
      <c r="BK94" s="81">
        <f t="shared" si="52"/>
        <v>0</v>
      </c>
      <c r="BL94" s="81">
        <f t="shared" si="53"/>
        <v>0</v>
      </c>
      <c r="BM94" s="81">
        <f t="shared" si="54"/>
        <v>0</v>
      </c>
      <c r="BN94" s="81">
        <f t="shared" si="55"/>
        <v>0</v>
      </c>
      <c r="BO94" s="81">
        <f t="shared" si="56"/>
        <v>0</v>
      </c>
      <c r="BP94" s="81">
        <f t="shared" si="57"/>
        <v>0</v>
      </c>
      <c r="BQ94" s="81">
        <f t="shared" si="58"/>
        <v>0</v>
      </c>
      <c r="BR94" s="81">
        <f t="shared" si="59"/>
        <v>0</v>
      </c>
      <c r="BS94" s="81">
        <f t="shared" si="60"/>
        <v>0</v>
      </c>
      <c r="BT94" s="89">
        <f t="shared" si="61"/>
        <v>0</v>
      </c>
    </row>
    <row r="95" spans="1:72">
      <c r="A95" s="79"/>
      <c r="B95" s="80"/>
      <c r="C95" s="80"/>
      <c r="D95" s="2301"/>
      <c r="E95" s="81">
        <f t="shared" si="33"/>
        <v>0</v>
      </c>
      <c r="F95" s="82"/>
      <c r="G95" s="83">
        <f t="shared" si="34"/>
        <v>0</v>
      </c>
      <c r="H95" s="84">
        <f t="shared" si="35"/>
        <v>0</v>
      </c>
      <c r="I95" s="85"/>
      <c r="J95" s="85"/>
      <c r="K95" s="85"/>
      <c r="L95" s="85"/>
      <c r="M95" s="85"/>
      <c r="N95" s="85"/>
      <c r="O95" s="85"/>
      <c r="P95" s="85"/>
      <c r="Q95" s="85"/>
      <c r="R95" s="85"/>
      <c r="S95" s="85"/>
      <c r="T95" s="85"/>
      <c r="U95" s="85"/>
      <c r="V95" s="85"/>
      <c r="W95" s="85"/>
      <c r="X95" s="85"/>
      <c r="Y95" s="85"/>
      <c r="Z95" s="85"/>
      <c r="AA95" s="85"/>
      <c r="AB95" s="85"/>
      <c r="AC95" s="81">
        <f t="shared" si="36"/>
        <v>0</v>
      </c>
      <c r="AD95" s="86"/>
      <c r="AE95" s="86"/>
      <c r="AF95" s="86"/>
      <c r="AG95" s="86"/>
      <c r="AH95" s="86"/>
      <c r="AI95" s="86"/>
      <c r="AJ95" s="86"/>
      <c r="AK95" s="86"/>
      <c r="AL95" s="86"/>
      <c r="AM95" s="86"/>
      <c r="AN95" s="86"/>
      <c r="AO95" s="86"/>
      <c r="AP95" s="86"/>
      <c r="AQ95" s="86"/>
      <c r="AR95" s="86"/>
      <c r="AS95" s="86"/>
      <c r="AT95" s="82"/>
      <c r="AU95" s="87"/>
      <c r="AV95" s="818">
        <f t="shared" si="37"/>
        <v>0</v>
      </c>
      <c r="AW95" s="818">
        <f t="shared" si="38"/>
        <v>0</v>
      </c>
      <c r="AX95" s="818">
        <f t="shared" si="39"/>
        <v>0</v>
      </c>
      <c r="AY95" s="88">
        <f t="shared" si="40"/>
        <v>0</v>
      </c>
      <c r="AZ95" s="81">
        <f t="shared" si="41"/>
        <v>0</v>
      </c>
      <c r="BA95" s="81">
        <f t="shared" si="42"/>
        <v>0</v>
      </c>
      <c r="BB95" s="81">
        <f t="shared" si="43"/>
        <v>0</v>
      </c>
      <c r="BC95" s="81">
        <f t="shared" si="44"/>
        <v>0</v>
      </c>
      <c r="BD95" s="81">
        <f t="shared" si="45"/>
        <v>0</v>
      </c>
      <c r="BE95" s="81">
        <f t="shared" si="46"/>
        <v>0</v>
      </c>
      <c r="BF95" s="81">
        <f t="shared" si="47"/>
        <v>0</v>
      </c>
      <c r="BG95" s="81">
        <f t="shared" si="48"/>
        <v>0</v>
      </c>
      <c r="BH95" s="81">
        <f t="shared" si="49"/>
        <v>0</v>
      </c>
      <c r="BI95" s="81">
        <f t="shared" si="50"/>
        <v>0</v>
      </c>
      <c r="BJ95" s="81">
        <f t="shared" si="51"/>
        <v>0</v>
      </c>
      <c r="BK95" s="81">
        <f t="shared" si="52"/>
        <v>0</v>
      </c>
      <c r="BL95" s="81">
        <f t="shared" si="53"/>
        <v>0</v>
      </c>
      <c r="BM95" s="81">
        <f t="shared" si="54"/>
        <v>0</v>
      </c>
      <c r="BN95" s="81">
        <f t="shared" si="55"/>
        <v>0</v>
      </c>
      <c r="BO95" s="81">
        <f t="shared" si="56"/>
        <v>0</v>
      </c>
      <c r="BP95" s="81">
        <f t="shared" si="57"/>
        <v>0</v>
      </c>
      <c r="BQ95" s="81">
        <f t="shared" si="58"/>
        <v>0</v>
      </c>
      <c r="BR95" s="81">
        <f t="shared" si="59"/>
        <v>0</v>
      </c>
      <c r="BS95" s="81">
        <f t="shared" si="60"/>
        <v>0</v>
      </c>
      <c r="BT95" s="89">
        <f t="shared" si="61"/>
        <v>0</v>
      </c>
    </row>
    <row r="96" spans="1:72">
      <c r="A96" s="79"/>
      <c r="B96" s="80"/>
      <c r="C96" s="80"/>
      <c r="D96" s="2301"/>
      <c r="E96" s="81">
        <f t="shared" si="33"/>
        <v>0</v>
      </c>
      <c r="F96" s="82"/>
      <c r="G96" s="83">
        <f t="shared" si="34"/>
        <v>0</v>
      </c>
      <c r="H96" s="84">
        <f t="shared" si="35"/>
        <v>0</v>
      </c>
      <c r="I96" s="85"/>
      <c r="J96" s="85"/>
      <c r="K96" s="85"/>
      <c r="L96" s="85"/>
      <c r="M96" s="85"/>
      <c r="N96" s="85"/>
      <c r="O96" s="85"/>
      <c r="P96" s="85"/>
      <c r="Q96" s="85"/>
      <c r="R96" s="85"/>
      <c r="S96" s="85"/>
      <c r="T96" s="85"/>
      <c r="U96" s="85"/>
      <c r="V96" s="85"/>
      <c r="W96" s="85"/>
      <c r="X96" s="85"/>
      <c r="Y96" s="85"/>
      <c r="Z96" s="85"/>
      <c r="AA96" s="85"/>
      <c r="AB96" s="85"/>
      <c r="AC96" s="81">
        <f t="shared" si="36"/>
        <v>0</v>
      </c>
      <c r="AD96" s="86"/>
      <c r="AE96" s="86"/>
      <c r="AF96" s="86"/>
      <c r="AG96" s="86"/>
      <c r="AH96" s="86"/>
      <c r="AI96" s="86"/>
      <c r="AJ96" s="86"/>
      <c r="AK96" s="86"/>
      <c r="AL96" s="86"/>
      <c r="AM96" s="86"/>
      <c r="AN96" s="86"/>
      <c r="AO96" s="86"/>
      <c r="AP96" s="86"/>
      <c r="AQ96" s="86"/>
      <c r="AR96" s="86"/>
      <c r="AS96" s="86"/>
      <c r="AT96" s="82"/>
      <c r="AU96" s="87"/>
      <c r="AV96" s="818">
        <f t="shared" si="37"/>
        <v>0</v>
      </c>
      <c r="AW96" s="818">
        <f t="shared" si="38"/>
        <v>0</v>
      </c>
      <c r="AX96" s="818">
        <f t="shared" si="39"/>
        <v>0</v>
      </c>
      <c r="AY96" s="88">
        <f t="shared" si="40"/>
        <v>0</v>
      </c>
      <c r="AZ96" s="81">
        <f t="shared" si="41"/>
        <v>0</v>
      </c>
      <c r="BA96" s="81">
        <f t="shared" si="42"/>
        <v>0</v>
      </c>
      <c r="BB96" s="81">
        <f t="shared" si="43"/>
        <v>0</v>
      </c>
      <c r="BC96" s="81">
        <f t="shared" si="44"/>
        <v>0</v>
      </c>
      <c r="BD96" s="81">
        <f t="shared" si="45"/>
        <v>0</v>
      </c>
      <c r="BE96" s="81">
        <f t="shared" si="46"/>
        <v>0</v>
      </c>
      <c r="BF96" s="81">
        <f t="shared" si="47"/>
        <v>0</v>
      </c>
      <c r="BG96" s="81">
        <f t="shared" si="48"/>
        <v>0</v>
      </c>
      <c r="BH96" s="81">
        <f t="shared" si="49"/>
        <v>0</v>
      </c>
      <c r="BI96" s="81">
        <f t="shared" si="50"/>
        <v>0</v>
      </c>
      <c r="BJ96" s="81">
        <f t="shared" si="51"/>
        <v>0</v>
      </c>
      <c r="BK96" s="81">
        <f t="shared" si="52"/>
        <v>0</v>
      </c>
      <c r="BL96" s="81">
        <f t="shared" si="53"/>
        <v>0</v>
      </c>
      <c r="BM96" s="81">
        <f t="shared" si="54"/>
        <v>0</v>
      </c>
      <c r="BN96" s="81">
        <f t="shared" si="55"/>
        <v>0</v>
      </c>
      <c r="BO96" s="81">
        <f t="shared" si="56"/>
        <v>0</v>
      </c>
      <c r="BP96" s="81">
        <f t="shared" si="57"/>
        <v>0</v>
      </c>
      <c r="BQ96" s="81">
        <f t="shared" si="58"/>
        <v>0</v>
      </c>
      <c r="BR96" s="81">
        <f t="shared" si="59"/>
        <v>0</v>
      </c>
      <c r="BS96" s="81">
        <f t="shared" si="60"/>
        <v>0</v>
      </c>
      <c r="BT96" s="89">
        <f t="shared" si="61"/>
        <v>0</v>
      </c>
    </row>
    <row r="97" spans="1:72">
      <c r="A97" s="79"/>
      <c r="B97" s="80"/>
      <c r="C97" s="80"/>
      <c r="D97" s="2301"/>
      <c r="E97" s="81">
        <f t="shared" si="33"/>
        <v>0</v>
      </c>
      <c r="F97" s="82"/>
      <c r="G97" s="83">
        <f t="shared" si="34"/>
        <v>0</v>
      </c>
      <c r="H97" s="84">
        <f t="shared" si="35"/>
        <v>0</v>
      </c>
      <c r="I97" s="85"/>
      <c r="J97" s="85"/>
      <c r="K97" s="85"/>
      <c r="L97" s="85"/>
      <c r="M97" s="85"/>
      <c r="N97" s="85"/>
      <c r="O97" s="85"/>
      <c r="P97" s="85"/>
      <c r="Q97" s="85"/>
      <c r="R97" s="85"/>
      <c r="S97" s="85"/>
      <c r="T97" s="85"/>
      <c r="U97" s="85"/>
      <c r="V97" s="85"/>
      <c r="W97" s="85"/>
      <c r="X97" s="85"/>
      <c r="Y97" s="85"/>
      <c r="Z97" s="85"/>
      <c r="AA97" s="85"/>
      <c r="AB97" s="85"/>
      <c r="AC97" s="81">
        <f t="shared" si="36"/>
        <v>0</v>
      </c>
      <c r="AD97" s="86"/>
      <c r="AE97" s="86"/>
      <c r="AF97" s="86"/>
      <c r="AG97" s="86"/>
      <c r="AH97" s="86"/>
      <c r="AI97" s="86"/>
      <c r="AJ97" s="86"/>
      <c r="AK97" s="86"/>
      <c r="AL97" s="86"/>
      <c r="AM97" s="86"/>
      <c r="AN97" s="86"/>
      <c r="AO97" s="86"/>
      <c r="AP97" s="86"/>
      <c r="AQ97" s="86"/>
      <c r="AR97" s="86"/>
      <c r="AS97" s="86"/>
      <c r="AT97" s="82"/>
      <c r="AU97" s="87"/>
      <c r="AV97" s="818">
        <f t="shared" si="37"/>
        <v>0</v>
      </c>
      <c r="AW97" s="818">
        <f t="shared" si="38"/>
        <v>0</v>
      </c>
      <c r="AX97" s="818">
        <f t="shared" si="39"/>
        <v>0</v>
      </c>
      <c r="AY97" s="88">
        <f t="shared" si="40"/>
        <v>0</v>
      </c>
      <c r="AZ97" s="81">
        <f t="shared" si="41"/>
        <v>0</v>
      </c>
      <c r="BA97" s="81">
        <f t="shared" si="42"/>
        <v>0</v>
      </c>
      <c r="BB97" s="81">
        <f t="shared" si="43"/>
        <v>0</v>
      </c>
      <c r="BC97" s="81">
        <f t="shared" si="44"/>
        <v>0</v>
      </c>
      <c r="BD97" s="81">
        <f t="shared" si="45"/>
        <v>0</v>
      </c>
      <c r="BE97" s="81">
        <f t="shared" si="46"/>
        <v>0</v>
      </c>
      <c r="BF97" s="81">
        <f t="shared" si="47"/>
        <v>0</v>
      </c>
      <c r="BG97" s="81">
        <f t="shared" si="48"/>
        <v>0</v>
      </c>
      <c r="BH97" s="81">
        <f t="shared" si="49"/>
        <v>0</v>
      </c>
      <c r="BI97" s="81">
        <f t="shared" si="50"/>
        <v>0</v>
      </c>
      <c r="BJ97" s="81">
        <f t="shared" si="51"/>
        <v>0</v>
      </c>
      <c r="BK97" s="81">
        <f t="shared" si="52"/>
        <v>0</v>
      </c>
      <c r="BL97" s="81">
        <f t="shared" si="53"/>
        <v>0</v>
      </c>
      <c r="BM97" s="81">
        <f t="shared" si="54"/>
        <v>0</v>
      </c>
      <c r="BN97" s="81">
        <f t="shared" si="55"/>
        <v>0</v>
      </c>
      <c r="BO97" s="81">
        <f t="shared" si="56"/>
        <v>0</v>
      </c>
      <c r="BP97" s="81">
        <f t="shared" si="57"/>
        <v>0</v>
      </c>
      <c r="BQ97" s="81">
        <f t="shared" si="58"/>
        <v>0</v>
      </c>
      <c r="BR97" s="81">
        <f t="shared" si="59"/>
        <v>0</v>
      </c>
      <c r="BS97" s="81">
        <f t="shared" si="60"/>
        <v>0</v>
      </c>
      <c r="BT97" s="89">
        <f t="shared" si="61"/>
        <v>0</v>
      </c>
    </row>
    <row r="98" spans="1:72">
      <c r="A98" s="79"/>
      <c r="B98" s="80"/>
      <c r="C98" s="80"/>
      <c r="D98" s="2301"/>
      <c r="E98" s="81">
        <f t="shared" si="33"/>
        <v>0</v>
      </c>
      <c r="F98" s="82"/>
      <c r="G98" s="83">
        <f t="shared" si="34"/>
        <v>0</v>
      </c>
      <c r="H98" s="84">
        <f t="shared" si="35"/>
        <v>0</v>
      </c>
      <c r="I98" s="85"/>
      <c r="J98" s="85"/>
      <c r="K98" s="85"/>
      <c r="L98" s="85"/>
      <c r="M98" s="85"/>
      <c r="N98" s="85"/>
      <c r="O98" s="85"/>
      <c r="P98" s="85"/>
      <c r="Q98" s="85"/>
      <c r="R98" s="85"/>
      <c r="S98" s="85"/>
      <c r="T98" s="85"/>
      <c r="U98" s="85"/>
      <c r="V98" s="85"/>
      <c r="W98" s="85"/>
      <c r="X98" s="85"/>
      <c r="Y98" s="85"/>
      <c r="Z98" s="85"/>
      <c r="AA98" s="85"/>
      <c r="AB98" s="85"/>
      <c r="AC98" s="81">
        <f t="shared" si="36"/>
        <v>0</v>
      </c>
      <c r="AD98" s="86"/>
      <c r="AE98" s="86"/>
      <c r="AF98" s="86"/>
      <c r="AG98" s="86"/>
      <c r="AH98" s="86"/>
      <c r="AI98" s="86"/>
      <c r="AJ98" s="86"/>
      <c r="AK98" s="86"/>
      <c r="AL98" s="86"/>
      <c r="AM98" s="86"/>
      <c r="AN98" s="86"/>
      <c r="AO98" s="86"/>
      <c r="AP98" s="86"/>
      <c r="AQ98" s="86"/>
      <c r="AR98" s="86"/>
      <c r="AS98" s="86"/>
      <c r="AT98" s="82"/>
      <c r="AU98" s="87"/>
      <c r="AV98" s="818">
        <f t="shared" si="37"/>
        <v>0</v>
      </c>
      <c r="AW98" s="818">
        <f t="shared" si="38"/>
        <v>0</v>
      </c>
      <c r="AX98" s="818">
        <f t="shared" si="39"/>
        <v>0</v>
      </c>
      <c r="AY98" s="88">
        <f t="shared" si="40"/>
        <v>0</v>
      </c>
      <c r="AZ98" s="81">
        <f t="shared" si="41"/>
        <v>0</v>
      </c>
      <c r="BA98" s="81">
        <f t="shared" si="42"/>
        <v>0</v>
      </c>
      <c r="BB98" s="81">
        <f t="shared" si="43"/>
        <v>0</v>
      </c>
      <c r="BC98" s="81">
        <f t="shared" si="44"/>
        <v>0</v>
      </c>
      <c r="BD98" s="81">
        <f t="shared" si="45"/>
        <v>0</v>
      </c>
      <c r="BE98" s="81">
        <f t="shared" si="46"/>
        <v>0</v>
      </c>
      <c r="BF98" s="81">
        <f t="shared" si="47"/>
        <v>0</v>
      </c>
      <c r="BG98" s="81">
        <f t="shared" si="48"/>
        <v>0</v>
      </c>
      <c r="BH98" s="81">
        <f t="shared" si="49"/>
        <v>0</v>
      </c>
      <c r="BI98" s="81">
        <f t="shared" si="50"/>
        <v>0</v>
      </c>
      <c r="BJ98" s="81">
        <f t="shared" si="51"/>
        <v>0</v>
      </c>
      <c r="BK98" s="81">
        <f t="shared" si="52"/>
        <v>0</v>
      </c>
      <c r="BL98" s="81">
        <f t="shared" si="53"/>
        <v>0</v>
      </c>
      <c r="BM98" s="81">
        <f t="shared" si="54"/>
        <v>0</v>
      </c>
      <c r="BN98" s="81">
        <f t="shared" si="55"/>
        <v>0</v>
      </c>
      <c r="BO98" s="81">
        <f t="shared" si="56"/>
        <v>0</v>
      </c>
      <c r="BP98" s="81">
        <f t="shared" si="57"/>
        <v>0</v>
      </c>
      <c r="BQ98" s="81">
        <f t="shared" si="58"/>
        <v>0</v>
      </c>
      <c r="BR98" s="81">
        <f t="shared" si="59"/>
        <v>0</v>
      </c>
      <c r="BS98" s="81">
        <f t="shared" si="60"/>
        <v>0</v>
      </c>
      <c r="BT98" s="89">
        <f t="shared" si="61"/>
        <v>0</v>
      </c>
    </row>
    <row r="99" spans="1:72">
      <c r="A99" s="79"/>
      <c r="B99" s="80"/>
      <c r="C99" s="80"/>
      <c r="D99" s="2301"/>
      <c r="E99" s="81">
        <f t="shared" si="33"/>
        <v>0</v>
      </c>
      <c r="F99" s="82"/>
      <c r="G99" s="83">
        <f t="shared" si="34"/>
        <v>0</v>
      </c>
      <c r="H99" s="84">
        <f t="shared" si="35"/>
        <v>0</v>
      </c>
      <c r="I99" s="85"/>
      <c r="J99" s="85"/>
      <c r="K99" s="85"/>
      <c r="L99" s="85"/>
      <c r="M99" s="85"/>
      <c r="N99" s="85"/>
      <c r="O99" s="85"/>
      <c r="P99" s="85"/>
      <c r="Q99" s="85"/>
      <c r="R99" s="85"/>
      <c r="S99" s="85"/>
      <c r="T99" s="85"/>
      <c r="U99" s="85"/>
      <c r="V99" s="85"/>
      <c r="W99" s="85"/>
      <c r="X99" s="85"/>
      <c r="Y99" s="85"/>
      <c r="Z99" s="85"/>
      <c r="AA99" s="85"/>
      <c r="AB99" s="85"/>
      <c r="AC99" s="81">
        <f t="shared" si="36"/>
        <v>0</v>
      </c>
      <c r="AD99" s="86"/>
      <c r="AE99" s="86"/>
      <c r="AF99" s="86"/>
      <c r="AG99" s="86"/>
      <c r="AH99" s="86"/>
      <c r="AI99" s="86"/>
      <c r="AJ99" s="86"/>
      <c r="AK99" s="86"/>
      <c r="AL99" s="86"/>
      <c r="AM99" s="86"/>
      <c r="AN99" s="86"/>
      <c r="AO99" s="86"/>
      <c r="AP99" s="86"/>
      <c r="AQ99" s="86"/>
      <c r="AR99" s="86"/>
      <c r="AS99" s="86"/>
      <c r="AT99" s="82"/>
      <c r="AU99" s="87"/>
      <c r="AV99" s="818">
        <f t="shared" si="37"/>
        <v>0</v>
      </c>
      <c r="AW99" s="818">
        <f t="shared" si="38"/>
        <v>0</v>
      </c>
      <c r="AX99" s="818">
        <f t="shared" si="39"/>
        <v>0</v>
      </c>
      <c r="AY99" s="88">
        <f t="shared" si="40"/>
        <v>0</v>
      </c>
      <c r="AZ99" s="81">
        <f t="shared" si="41"/>
        <v>0</v>
      </c>
      <c r="BA99" s="81">
        <f t="shared" si="42"/>
        <v>0</v>
      </c>
      <c r="BB99" s="81">
        <f t="shared" si="43"/>
        <v>0</v>
      </c>
      <c r="BC99" s="81">
        <f t="shared" si="44"/>
        <v>0</v>
      </c>
      <c r="BD99" s="81">
        <f t="shared" si="45"/>
        <v>0</v>
      </c>
      <c r="BE99" s="81">
        <f t="shared" si="46"/>
        <v>0</v>
      </c>
      <c r="BF99" s="81">
        <f t="shared" si="47"/>
        <v>0</v>
      </c>
      <c r="BG99" s="81">
        <f t="shared" si="48"/>
        <v>0</v>
      </c>
      <c r="BH99" s="81">
        <f t="shared" si="49"/>
        <v>0</v>
      </c>
      <c r="BI99" s="81">
        <f t="shared" si="50"/>
        <v>0</v>
      </c>
      <c r="BJ99" s="81">
        <f t="shared" si="51"/>
        <v>0</v>
      </c>
      <c r="BK99" s="81">
        <f t="shared" si="52"/>
        <v>0</v>
      </c>
      <c r="BL99" s="81">
        <f t="shared" si="53"/>
        <v>0</v>
      </c>
      <c r="BM99" s="81">
        <f t="shared" si="54"/>
        <v>0</v>
      </c>
      <c r="BN99" s="81">
        <f t="shared" si="55"/>
        <v>0</v>
      </c>
      <c r="BO99" s="81">
        <f t="shared" si="56"/>
        <v>0</v>
      </c>
      <c r="BP99" s="81">
        <f t="shared" si="57"/>
        <v>0</v>
      </c>
      <c r="BQ99" s="81">
        <f t="shared" si="58"/>
        <v>0</v>
      </c>
      <c r="BR99" s="81">
        <f t="shared" si="59"/>
        <v>0</v>
      </c>
      <c r="BS99" s="81">
        <f t="shared" si="60"/>
        <v>0</v>
      </c>
      <c r="BT99" s="89">
        <f t="shared" si="61"/>
        <v>0</v>
      </c>
    </row>
    <row r="100" spans="1:72">
      <c r="A100" s="79"/>
      <c r="B100" s="80"/>
      <c r="C100" s="80"/>
      <c r="D100" s="2301"/>
      <c r="E100" s="81">
        <f t="shared" si="33"/>
        <v>0</v>
      </c>
      <c r="F100" s="82"/>
      <c r="G100" s="83">
        <f t="shared" si="34"/>
        <v>0</v>
      </c>
      <c r="H100" s="84">
        <f t="shared" si="35"/>
        <v>0</v>
      </c>
      <c r="I100" s="85"/>
      <c r="J100" s="85"/>
      <c r="K100" s="85"/>
      <c r="L100" s="85"/>
      <c r="M100" s="85"/>
      <c r="N100" s="85"/>
      <c r="O100" s="85"/>
      <c r="P100" s="85"/>
      <c r="Q100" s="85"/>
      <c r="R100" s="85"/>
      <c r="S100" s="85"/>
      <c r="T100" s="85"/>
      <c r="U100" s="85"/>
      <c r="V100" s="85"/>
      <c r="W100" s="85"/>
      <c r="X100" s="85"/>
      <c r="Y100" s="85"/>
      <c r="Z100" s="85"/>
      <c r="AA100" s="85"/>
      <c r="AB100" s="85"/>
      <c r="AC100" s="81">
        <f t="shared" si="36"/>
        <v>0</v>
      </c>
      <c r="AD100" s="86"/>
      <c r="AE100" s="86"/>
      <c r="AF100" s="86"/>
      <c r="AG100" s="86"/>
      <c r="AH100" s="86"/>
      <c r="AI100" s="86"/>
      <c r="AJ100" s="86"/>
      <c r="AK100" s="86"/>
      <c r="AL100" s="86"/>
      <c r="AM100" s="86"/>
      <c r="AN100" s="86"/>
      <c r="AO100" s="86"/>
      <c r="AP100" s="86"/>
      <c r="AQ100" s="86"/>
      <c r="AR100" s="86"/>
      <c r="AS100" s="86"/>
      <c r="AT100" s="82"/>
      <c r="AU100" s="87"/>
      <c r="AV100" s="818">
        <f t="shared" si="37"/>
        <v>0</v>
      </c>
      <c r="AW100" s="818">
        <f t="shared" si="38"/>
        <v>0</v>
      </c>
      <c r="AX100" s="818">
        <f t="shared" si="39"/>
        <v>0</v>
      </c>
      <c r="AY100" s="88">
        <f t="shared" si="40"/>
        <v>0</v>
      </c>
      <c r="AZ100" s="81">
        <f t="shared" si="41"/>
        <v>0</v>
      </c>
      <c r="BA100" s="81">
        <f t="shared" si="42"/>
        <v>0</v>
      </c>
      <c r="BB100" s="81">
        <f t="shared" si="43"/>
        <v>0</v>
      </c>
      <c r="BC100" s="81">
        <f t="shared" si="44"/>
        <v>0</v>
      </c>
      <c r="BD100" s="81">
        <f t="shared" si="45"/>
        <v>0</v>
      </c>
      <c r="BE100" s="81">
        <f t="shared" si="46"/>
        <v>0</v>
      </c>
      <c r="BF100" s="81">
        <f t="shared" si="47"/>
        <v>0</v>
      </c>
      <c r="BG100" s="81">
        <f t="shared" si="48"/>
        <v>0</v>
      </c>
      <c r="BH100" s="81">
        <f t="shared" si="49"/>
        <v>0</v>
      </c>
      <c r="BI100" s="81">
        <f t="shared" si="50"/>
        <v>0</v>
      </c>
      <c r="BJ100" s="81">
        <f t="shared" si="51"/>
        <v>0</v>
      </c>
      <c r="BK100" s="81">
        <f t="shared" si="52"/>
        <v>0</v>
      </c>
      <c r="BL100" s="81">
        <f t="shared" si="53"/>
        <v>0</v>
      </c>
      <c r="BM100" s="81">
        <f t="shared" si="54"/>
        <v>0</v>
      </c>
      <c r="BN100" s="81">
        <f t="shared" si="55"/>
        <v>0</v>
      </c>
      <c r="BO100" s="81">
        <f t="shared" si="56"/>
        <v>0</v>
      </c>
      <c r="BP100" s="81">
        <f t="shared" si="57"/>
        <v>0</v>
      </c>
      <c r="BQ100" s="81">
        <f t="shared" si="58"/>
        <v>0</v>
      </c>
      <c r="BR100" s="81">
        <f t="shared" si="59"/>
        <v>0</v>
      </c>
      <c r="BS100" s="81">
        <f t="shared" si="60"/>
        <v>0</v>
      </c>
      <c r="BT100" s="89">
        <f t="shared" si="61"/>
        <v>0</v>
      </c>
    </row>
    <row r="101" spans="1:72">
      <c r="A101" s="79"/>
      <c r="B101" s="80"/>
      <c r="C101" s="80"/>
      <c r="D101" s="2301"/>
      <c r="E101" s="81">
        <f t="shared" si="33"/>
        <v>0</v>
      </c>
      <c r="F101" s="82"/>
      <c r="G101" s="83">
        <f t="shared" si="34"/>
        <v>0</v>
      </c>
      <c r="H101" s="84">
        <f t="shared" si="35"/>
        <v>0</v>
      </c>
      <c r="I101" s="85"/>
      <c r="J101" s="85"/>
      <c r="K101" s="85"/>
      <c r="L101" s="85"/>
      <c r="M101" s="85"/>
      <c r="N101" s="85"/>
      <c r="O101" s="85"/>
      <c r="P101" s="85"/>
      <c r="Q101" s="85"/>
      <c r="R101" s="85"/>
      <c r="S101" s="85"/>
      <c r="T101" s="85"/>
      <c r="U101" s="85"/>
      <c r="V101" s="85"/>
      <c r="W101" s="85"/>
      <c r="X101" s="85"/>
      <c r="Y101" s="85"/>
      <c r="Z101" s="85"/>
      <c r="AA101" s="85"/>
      <c r="AB101" s="85"/>
      <c r="AC101" s="81">
        <f t="shared" si="36"/>
        <v>0</v>
      </c>
      <c r="AD101" s="86"/>
      <c r="AE101" s="86"/>
      <c r="AF101" s="86"/>
      <c r="AG101" s="86"/>
      <c r="AH101" s="86"/>
      <c r="AI101" s="86"/>
      <c r="AJ101" s="86"/>
      <c r="AK101" s="86"/>
      <c r="AL101" s="86"/>
      <c r="AM101" s="86"/>
      <c r="AN101" s="86"/>
      <c r="AO101" s="86"/>
      <c r="AP101" s="86"/>
      <c r="AQ101" s="86"/>
      <c r="AR101" s="86"/>
      <c r="AS101" s="86"/>
      <c r="AT101" s="82"/>
      <c r="AU101" s="87"/>
      <c r="AV101" s="818">
        <f t="shared" si="37"/>
        <v>0</v>
      </c>
      <c r="AW101" s="818">
        <f t="shared" si="38"/>
        <v>0</v>
      </c>
      <c r="AX101" s="818">
        <f t="shared" si="39"/>
        <v>0</v>
      </c>
      <c r="AY101" s="88">
        <f t="shared" si="40"/>
        <v>0</v>
      </c>
      <c r="AZ101" s="81">
        <f t="shared" si="41"/>
        <v>0</v>
      </c>
      <c r="BA101" s="81">
        <f t="shared" si="42"/>
        <v>0</v>
      </c>
      <c r="BB101" s="81">
        <f t="shared" si="43"/>
        <v>0</v>
      </c>
      <c r="BC101" s="81">
        <f t="shared" si="44"/>
        <v>0</v>
      </c>
      <c r="BD101" s="81">
        <f t="shared" si="45"/>
        <v>0</v>
      </c>
      <c r="BE101" s="81">
        <f t="shared" si="46"/>
        <v>0</v>
      </c>
      <c r="BF101" s="81">
        <f t="shared" si="47"/>
        <v>0</v>
      </c>
      <c r="BG101" s="81">
        <f t="shared" si="48"/>
        <v>0</v>
      </c>
      <c r="BH101" s="81">
        <f t="shared" si="49"/>
        <v>0</v>
      </c>
      <c r="BI101" s="81">
        <f t="shared" si="50"/>
        <v>0</v>
      </c>
      <c r="BJ101" s="81">
        <f t="shared" si="51"/>
        <v>0</v>
      </c>
      <c r="BK101" s="81">
        <f t="shared" si="52"/>
        <v>0</v>
      </c>
      <c r="BL101" s="81">
        <f t="shared" si="53"/>
        <v>0</v>
      </c>
      <c r="BM101" s="81">
        <f t="shared" si="54"/>
        <v>0</v>
      </c>
      <c r="BN101" s="81">
        <f t="shared" si="55"/>
        <v>0</v>
      </c>
      <c r="BO101" s="81">
        <f t="shared" si="56"/>
        <v>0</v>
      </c>
      <c r="BP101" s="81">
        <f t="shared" si="57"/>
        <v>0</v>
      </c>
      <c r="BQ101" s="81">
        <f t="shared" si="58"/>
        <v>0</v>
      </c>
      <c r="BR101" s="81">
        <f t="shared" si="59"/>
        <v>0</v>
      </c>
      <c r="BS101" s="81">
        <f t="shared" si="60"/>
        <v>0</v>
      </c>
      <c r="BT101" s="89">
        <f t="shared" si="61"/>
        <v>0</v>
      </c>
    </row>
    <row r="102" spans="1:72">
      <c r="A102" s="79"/>
      <c r="B102" s="80"/>
      <c r="C102" s="80"/>
      <c r="D102" s="2301"/>
      <c r="E102" s="81">
        <f t="shared" si="33"/>
        <v>0</v>
      </c>
      <c r="F102" s="82"/>
      <c r="G102" s="83">
        <f t="shared" si="34"/>
        <v>0</v>
      </c>
      <c r="H102" s="84">
        <f t="shared" si="35"/>
        <v>0</v>
      </c>
      <c r="I102" s="85"/>
      <c r="J102" s="85"/>
      <c r="K102" s="85"/>
      <c r="L102" s="85"/>
      <c r="M102" s="85"/>
      <c r="N102" s="85"/>
      <c r="O102" s="85"/>
      <c r="P102" s="85"/>
      <c r="Q102" s="85"/>
      <c r="R102" s="85"/>
      <c r="S102" s="85"/>
      <c r="T102" s="85"/>
      <c r="U102" s="85"/>
      <c r="V102" s="85"/>
      <c r="W102" s="85"/>
      <c r="X102" s="85"/>
      <c r="Y102" s="85"/>
      <c r="Z102" s="85"/>
      <c r="AA102" s="85"/>
      <c r="AB102" s="85"/>
      <c r="AC102" s="81">
        <f t="shared" si="36"/>
        <v>0</v>
      </c>
      <c r="AD102" s="86"/>
      <c r="AE102" s="86"/>
      <c r="AF102" s="86"/>
      <c r="AG102" s="86"/>
      <c r="AH102" s="86"/>
      <c r="AI102" s="86"/>
      <c r="AJ102" s="86"/>
      <c r="AK102" s="86"/>
      <c r="AL102" s="86"/>
      <c r="AM102" s="86"/>
      <c r="AN102" s="86"/>
      <c r="AO102" s="86"/>
      <c r="AP102" s="86"/>
      <c r="AQ102" s="86"/>
      <c r="AR102" s="86"/>
      <c r="AS102" s="86"/>
      <c r="AT102" s="82"/>
      <c r="AU102" s="87"/>
      <c r="AV102" s="818">
        <f t="shared" si="37"/>
        <v>0</v>
      </c>
      <c r="AW102" s="818">
        <f t="shared" si="38"/>
        <v>0</v>
      </c>
      <c r="AX102" s="818">
        <f t="shared" si="39"/>
        <v>0</v>
      </c>
      <c r="AY102" s="88">
        <f t="shared" si="40"/>
        <v>0</v>
      </c>
      <c r="AZ102" s="81">
        <f t="shared" si="41"/>
        <v>0</v>
      </c>
      <c r="BA102" s="81">
        <f t="shared" si="42"/>
        <v>0</v>
      </c>
      <c r="BB102" s="81">
        <f t="shared" si="43"/>
        <v>0</v>
      </c>
      <c r="BC102" s="81">
        <f t="shared" si="44"/>
        <v>0</v>
      </c>
      <c r="BD102" s="81">
        <f t="shared" si="45"/>
        <v>0</v>
      </c>
      <c r="BE102" s="81">
        <f t="shared" si="46"/>
        <v>0</v>
      </c>
      <c r="BF102" s="81">
        <f t="shared" si="47"/>
        <v>0</v>
      </c>
      <c r="BG102" s="81">
        <f t="shared" si="48"/>
        <v>0</v>
      </c>
      <c r="BH102" s="81">
        <f t="shared" si="49"/>
        <v>0</v>
      </c>
      <c r="BI102" s="81">
        <f t="shared" si="50"/>
        <v>0</v>
      </c>
      <c r="BJ102" s="81">
        <f t="shared" si="51"/>
        <v>0</v>
      </c>
      <c r="BK102" s="81">
        <f t="shared" si="52"/>
        <v>0</v>
      </c>
      <c r="BL102" s="81">
        <f t="shared" si="53"/>
        <v>0</v>
      </c>
      <c r="BM102" s="81">
        <f t="shared" si="54"/>
        <v>0</v>
      </c>
      <c r="BN102" s="81">
        <f t="shared" si="55"/>
        <v>0</v>
      </c>
      <c r="BO102" s="81">
        <f t="shared" si="56"/>
        <v>0</v>
      </c>
      <c r="BP102" s="81">
        <f t="shared" si="57"/>
        <v>0</v>
      </c>
      <c r="BQ102" s="81">
        <f t="shared" si="58"/>
        <v>0</v>
      </c>
      <c r="BR102" s="81">
        <f t="shared" si="59"/>
        <v>0</v>
      </c>
      <c r="BS102" s="81">
        <f t="shared" si="60"/>
        <v>0</v>
      </c>
      <c r="BT102" s="89">
        <f t="shared" si="61"/>
        <v>0</v>
      </c>
    </row>
    <row r="103" spans="1:72">
      <c r="A103" s="79"/>
      <c r="B103" s="80"/>
      <c r="C103" s="80"/>
      <c r="D103" s="2301"/>
      <c r="E103" s="81">
        <f t="shared" si="33"/>
        <v>0</v>
      </c>
      <c r="F103" s="82"/>
      <c r="G103" s="83">
        <f t="shared" si="34"/>
        <v>0</v>
      </c>
      <c r="H103" s="84">
        <f t="shared" si="35"/>
        <v>0</v>
      </c>
      <c r="I103" s="85"/>
      <c r="J103" s="85"/>
      <c r="K103" s="85"/>
      <c r="L103" s="85"/>
      <c r="M103" s="85"/>
      <c r="N103" s="85"/>
      <c r="O103" s="85"/>
      <c r="P103" s="85"/>
      <c r="Q103" s="85"/>
      <c r="R103" s="85"/>
      <c r="S103" s="85"/>
      <c r="T103" s="85"/>
      <c r="U103" s="85"/>
      <c r="V103" s="85"/>
      <c r="W103" s="85"/>
      <c r="X103" s="85"/>
      <c r="Y103" s="85"/>
      <c r="Z103" s="85"/>
      <c r="AA103" s="85"/>
      <c r="AB103" s="85"/>
      <c r="AC103" s="81">
        <f t="shared" si="36"/>
        <v>0</v>
      </c>
      <c r="AD103" s="86"/>
      <c r="AE103" s="86"/>
      <c r="AF103" s="86"/>
      <c r="AG103" s="86"/>
      <c r="AH103" s="86"/>
      <c r="AI103" s="86"/>
      <c r="AJ103" s="86"/>
      <c r="AK103" s="86"/>
      <c r="AL103" s="86"/>
      <c r="AM103" s="86"/>
      <c r="AN103" s="86"/>
      <c r="AO103" s="86"/>
      <c r="AP103" s="86"/>
      <c r="AQ103" s="86"/>
      <c r="AR103" s="86"/>
      <c r="AS103" s="86"/>
      <c r="AT103" s="82"/>
      <c r="AU103" s="87"/>
      <c r="AV103" s="818">
        <f t="shared" si="37"/>
        <v>0</v>
      </c>
      <c r="AW103" s="818">
        <f t="shared" si="38"/>
        <v>0</v>
      </c>
      <c r="AX103" s="818">
        <f t="shared" si="39"/>
        <v>0</v>
      </c>
      <c r="AY103" s="88">
        <f t="shared" si="40"/>
        <v>0</v>
      </c>
      <c r="AZ103" s="81">
        <f t="shared" si="41"/>
        <v>0</v>
      </c>
      <c r="BA103" s="81">
        <f t="shared" si="42"/>
        <v>0</v>
      </c>
      <c r="BB103" s="81">
        <f t="shared" si="43"/>
        <v>0</v>
      </c>
      <c r="BC103" s="81">
        <f t="shared" si="44"/>
        <v>0</v>
      </c>
      <c r="BD103" s="81">
        <f t="shared" si="45"/>
        <v>0</v>
      </c>
      <c r="BE103" s="81">
        <f t="shared" si="46"/>
        <v>0</v>
      </c>
      <c r="BF103" s="81">
        <f t="shared" si="47"/>
        <v>0</v>
      </c>
      <c r="BG103" s="81">
        <f t="shared" si="48"/>
        <v>0</v>
      </c>
      <c r="BH103" s="81">
        <f t="shared" si="49"/>
        <v>0</v>
      </c>
      <c r="BI103" s="81">
        <f t="shared" si="50"/>
        <v>0</v>
      </c>
      <c r="BJ103" s="81">
        <f t="shared" si="51"/>
        <v>0</v>
      </c>
      <c r="BK103" s="81">
        <f t="shared" si="52"/>
        <v>0</v>
      </c>
      <c r="BL103" s="81">
        <f t="shared" si="53"/>
        <v>0</v>
      </c>
      <c r="BM103" s="81">
        <f t="shared" si="54"/>
        <v>0</v>
      </c>
      <c r="BN103" s="81">
        <f t="shared" si="55"/>
        <v>0</v>
      </c>
      <c r="BO103" s="81">
        <f t="shared" si="56"/>
        <v>0</v>
      </c>
      <c r="BP103" s="81">
        <f t="shared" si="57"/>
        <v>0</v>
      </c>
      <c r="BQ103" s="81">
        <f t="shared" si="58"/>
        <v>0</v>
      </c>
      <c r="BR103" s="81">
        <f t="shared" si="59"/>
        <v>0</v>
      </c>
      <c r="BS103" s="81">
        <f t="shared" si="60"/>
        <v>0</v>
      </c>
      <c r="BT103" s="89">
        <f t="shared" si="61"/>
        <v>0</v>
      </c>
    </row>
    <row r="104" spans="1:72">
      <c r="A104" s="79"/>
      <c r="B104" s="80"/>
      <c r="C104" s="80"/>
      <c r="D104" s="2301"/>
      <c r="E104" s="81">
        <f t="shared" si="33"/>
        <v>0</v>
      </c>
      <c r="F104" s="82"/>
      <c r="G104" s="83">
        <f t="shared" si="34"/>
        <v>0</v>
      </c>
      <c r="H104" s="84">
        <f t="shared" si="35"/>
        <v>0</v>
      </c>
      <c r="I104" s="85"/>
      <c r="J104" s="85"/>
      <c r="K104" s="85"/>
      <c r="L104" s="85"/>
      <c r="M104" s="85"/>
      <c r="N104" s="85"/>
      <c r="O104" s="85"/>
      <c r="P104" s="85"/>
      <c r="Q104" s="85"/>
      <c r="R104" s="85"/>
      <c r="S104" s="85"/>
      <c r="T104" s="85"/>
      <c r="U104" s="85"/>
      <c r="V104" s="85"/>
      <c r="W104" s="85"/>
      <c r="X104" s="85"/>
      <c r="Y104" s="85"/>
      <c r="Z104" s="85"/>
      <c r="AA104" s="85"/>
      <c r="AB104" s="85"/>
      <c r="AC104" s="81">
        <f t="shared" si="36"/>
        <v>0</v>
      </c>
      <c r="AD104" s="86"/>
      <c r="AE104" s="86"/>
      <c r="AF104" s="86"/>
      <c r="AG104" s="86"/>
      <c r="AH104" s="86"/>
      <c r="AI104" s="86"/>
      <c r="AJ104" s="86"/>
      <c r="AK104" s="86"/>
      <c r="AL104" s="86"/>
      <c r="AM104" s="86"/>
      <c r="AN104" s="86"/>
      <c r="AO104" s="86"/>
      <c r="AP104" s="86"/>
      <c r="AQ104" s="86"/>
      <c r="AR104" s="86"/>
      <c r="AS104" s="86"/>
      <c r="AT104" s="82"/>
      <c r="AU104" s="87"/>
      <c r="AV104" s="818">
        <f t="shared" si="37"/>
        <v>0</v>
      </c>
      <c r="AW104" s="818">
        <f t="shared" si="38"/>
        <v>0</v>
      </c>
      <c r="AX104" s="818">
        <f t="shared" si="39"/>
        <v>0</v>
      </c>
      <c r="AY104" s="88">
        <f t="shared" si="40"/>
        <v>0</v>
      </c>
      <c r="AZ104" s="81">
        <f t="shared" si="41"/>
        <v>0</v>
      </c>
      <c r="BA104" s="81">
        <f t="shared" si="42"/>
        <v>0</v>
      </c>
      <c r="BB104" s="81">
        <f t="shared" si="43"/>
        <v>0</v>
      </c>
      <c r="BC104" s="81">
        <f t="shared" si="44"/>
        <v>0</v>
      </c>
      <c r="BD104" s="81">
        <f t="shared" si="45"/>
        <v>0</v>
      </c>
      <c r="BE104" s="81">
        <f t="shared" si="46"/>
        <v>0</v>
      </c>
      <c r="BF104" s="81">
        <f t="shared" si="47"/>
        <v>0</v>
      </c>
      <c r="BG104" s="81">
        <f t="shared" si="48"/>
        <v>0</v>
      </c>
      <c r="BH104" s="81">
        <f t="shared" si="49"/>
        <v>0</v>
      </c>
      <c r="BI104" s="81">
        <f t="shared" si="50"/>
        <v>0</v>
      </c>
      <c r="BJ104" s="81">
        <f t="shared" si="51"/>
        <v>0</v>
      </c>
      <c r="BK104" s="81">
        <f t="shared" si="52"/>
        <v>0</v>
      </c>
      <c r="BL104" s="81">
        <f t="shared" si="53"/>
        <v>0</v>
      </c>
      <c r="BM104" s="81">
        <f t="shared" si="54"/>
        <v>0</v>
      </c>
      <c r="BN104" s="81">
        <f t="shared" si="55"/>
        <v>0</v>
      </c>
      <c r="BO104" s="81">
        <f t="shared" si="56"/>
        <v>0</v>
      </c>
      <c r="BP104" s="81">
        <f t="shared" si="57"/>
        <v>0</v>
      </c>
      <c r="BQ104" s="81">
        <f t="shared" si="58"/>
        <v>0</v>
      </c>
      <c r="BR104" s="81">
        <f t="shared" si="59"/>
        <v>0</v>
      </c>
      <c r="BS104" s="81">
        <f t="shared" si="60"/>
        <v>0</v>
      </c>
      <c r="BT104" s="89">
        <f t="shared" si="61"/>
        <v>0</v>
      </c>
    </row>
    <row r="105" spans="1:72">
      <c r="A105" s="79"/>
      <c r="B105" s="80"/>
      <c r="C105" s="80"/>
      <c r="D105" s="2301"/>
      <c r="E105" s="81">
        <f t="shared" si="33"/>
        <v>0</v>
      </c>
      <c r="F105" s="82"/>
      <c r="G105" s="83">
        <f t="shared" si="34"/>
        <v>0</v>
      </c>
      <c r="H105" s="84">
        <f t="shared" si="35"/>
        <v>0</v>
      </c>
      <c r="I105" s="85"/>
      <c r="J105" s="85"/>
      <c r="K105" s="85"/>
      <c r="L105" s="85"/>
      <c r="M105" s="85"/>
      <c r="N105" s="85"/>
      <c r="O105" s="85"/>
      <c r="P105" s="85"/>
      <c r="Q105" s="85"/>
      <c r="R105" s="85"/>
      <c r="S105" s="85"/>
      <c r="T105" s="85"/>
      <c r="U105" s="85"/>
      <c r="V105" s="85"/>
      <c r="W105" s="85"/>
      <c r="X105" s="85"/>
      <c r="Y105" s="85"/>
      <c r="Z105" s="85"/>
      <c r="AA105" s="85"/>
      <c r="AB105" s="85"/>
      <c r="AC105" s="81">
        <f t="shared" si="36"/>
        <v>0</v>
      </c>
      <c r="AD105" s="86"/>
      <c r="AE105" s="86"/>
      <c r="AF105" s="86"/>
      <c r="AG105" s="86"/>
      <c r="AH105" s="86"/>
      <c r="AI105" s="86"/>
      <c r="AJ105" s="86"/>
      <c r="AK105" s="86"/>
      <c r="AL105" s="86"/>
      <c r="AM105" s="86"/>
      <c r="AN105" s="86"/>
      <c r="AO105" s="86"/>
      <c r="AP105" s="86"/>
      <c r="AQ105" s="86"/>
      <c r="AR105" s="86"/>
      <c r="AS105" s="86"/>
      <c r="AT105" s="82"/>
      <c r="AU105" s="87"/>
      <c r="AV105" s="818">
        <f t="shared" si="37"/>
        <v>0</v>
      </c>
      <c r="AW105" s="818">
        <f t="shared" si="38"/>
        <v>0</v>
      </c>
      <c r="AX105" s="818">
        <f t="shared" si="39"/>
        <v>0</v>
      </c>
      <c r="AY105" s="88">
        <f t="shared" si="40"/>
        <v>0</v>
      </c>
      <c r="AZ105" s="81">
        <f t="shared" si="41"/>
        <v>0</v>
      </c>
      <c r="BA105" s="81">
        <f t="shared" si="42"/>
        <v>0</v>
      </c>
      <c r="BB105" s="81">
        <f t="shared" si="43"/>
        <v>0</v>
      </c>
      <c r="BC105" s="81">
        <f t="shared" si="44"/>
        <v>0</v>
      </c>
      <c r="BD105" s="81">
        <f t="shared" si="45"/>
        <v>0</v>
      </c>
      <c r="BE105" s="81">
        <f t="shared" si="46"/>
        <v>0</v>
      </c>
      <c r="BF105" s="81">
        <f t="shared" si="47"/>
        <v>0</v>
      </c>
      <c r="BG105" s="81">
        <f t="shared" si="48"/>
        <v>0</v>
      </c>
      <c r="BH105" s="81">
        <f t="shared" si="49"/>
        <v>0</v>
      </c>
      <c r="BI105" s="81">
        <f t="shared" si="50"/>
        <v>0</v>
      </c>
      <c r="BJ105" s="81">
        <f t="shared" si="51"/>
        <v>0</v>
      </c>
      <c r="BK105" s="81">
        <f t="shared" si="52"/>
        <v>0</v>
      </c>
      <c r="BL105" s="81">
        <f t="shared" si="53"/>
        <v>0</v>
      </c>
      <c r="BM105" s="81">
        <f t="shared" si="54"/>
        <v>0</v>
      </c>
      <c r="BN105" s="81">
        <f t="shared" si="55"/>
        <v>0</v>
      </c>
      <c r="BO105" s="81">
        <f t="shared" si="56"/>
        <v>0</v>
      </c>
      <c r="BP105" s="81">
        <f t="shared" si="57"/>
        <v>0</v>
      </c>
      <c r="BQ105" s="81">
        <f t="shared" si="58"/>
        <v>0</v>
      </c>
      <c r="BR105" s="81">
        <f t="shared" si="59"/>
        <v>0</v>
      </c>
      <c r="BS105" s="81">
        <f t="shared" si="60"/>
        <v>0</v>
      </c>
      <c r="BT105" s="89">
        <f t="shared" si="61"/>
        <v>0</v>
      </c>
    </row>
    <row r="106" spans="1:72">
      <c r="A106" s="79"/>
      <c r="B106" s="80"/>
      <c r="C106" s="80"/>
      <c r="D106" s="2301"/>
      <c r="E106" s="81">
        <f t="shared" si="33"/>
        <v>0</v>
      </c>
      <c r="F106" s="82"/>
      <c r="G106" s="83">
        <f t="shared" si="34"/>
        <v>0</v>
      </c>
      <c r="H106" s="84">
        <f t="shared" si="35"/>
        <v>0</v>
      </c>
      <c r="I106" s="85"/>
      <c r="J106" s="85"/>
      <c r="K106" s="85"/>
      <c r="L106" s="85"/>
      <c r="M106" s="85"/>
      <c r="N106" s="85"/>
      <c r="O106" s="85"/>
      <c r="P106" s="85"/>
      <c r="Q106" s="85"/>
      <c r="R106" s="85"/>
      <c r="S106" s="85"/>
      <c r="T106" s="85"/>
      <c r="U106" s="85"/>
      <c r="V106" s="85"/>
      <c r="W106" s="85"/>
      <c r="X106" s="85"/>
      <c r="Y106" s="85"/>
      <c r="Z106" s="85"/>
      <c r="AA106" s="85"/>
      <c r="AB106" s="85"/>
      <c r="AC106" s="81">
        <f t="shared" si="36"/>
        <v>0</v>
      </c>
      <c r="AD106" s="86"/>
      <c r="AE106" s="86"/>
      <c r="AF106" s="86"/>
      <c r="AG106" s="86"/>
      <c r="AH106" s="86"/>
      <c r="AI106" s="86"/>
      <c r="AJ106" s="86"/>
      <c r="AK106" s="86"/>
      <c r="AL106" s="86"/>
      <c r="AM106" s="86"/>
      <c r="AN106" s="86"/>
      <c r="AO106" s="86"/>
      <c r="AP106" s="86"/>
      <c r="AQ106" s="86"/>
      <c r="AR106" s="86"/>
      <c r="AS106" s="86"/>
      <c r="AT106" s="82"/>
      <c r="AU106" s="87"/>
      <c r="AV106" s="818">
        <f t="shared" si="37"/>
        <v>0</v>
      </c>
      <c r="AW106" s="818">
        <f t="shared" si="38"/>
        <v>0</v>
      </c>
      <c r="AX106" s="818">
        <f t="shared" si="39"/>
        <v>0</v>
      </c>
      <c r="AY106" s="88">
        <f t="shared" si="40"/>
        <v>0</v>
      </c>
      <c r="AZ106" s="81">
        <f t="shared" si="41"/>
        <v>0</v>
      </c>
      <c r="BA106" s="81">
        <f t="shared" si="42"/>
        <v>0</v>
      </c>
      <c r="BB106" s="81">
        <f t="shared" si="43"/>
        <v>0</v>
      </c>
      <c r="BC106" s="81">
        <f t="shared" si="44"/>
        <v>0</v>
      </c>
      <c r="BD106" s="81">
        <f t="shared" si="45"/>
        <v>0</v>
      </c>
      <c r="BE106" s="81">
        <f t="shared" si="46"/>
        <v>0</v>
      </c>
      <c r="BF106" s="81">
        <f t="shared" si="47"/>
        <v>0</v>
      </c>
      <c r="BG106" s="81">
        <f t="shared" si="48"/>
        <v>0</v>
      </c>
      <c r="BH106" s="81">
        <f t="shared" si="49"/>
        <v>0</v>
      </c>
      <c r="BI106" s="81">
        <f t="shared" si="50"/>
        <v>0</v>
      </c>
      <c r="BJ106" s="81">
        <f t="shared" si="51"/>
        <v>0</v>
      </c>
      <c r="BK106" s="81">
        <f t="shared" si="52"/>
        <v>0</v>
      </c>
      <c r="BL106" s="81">
        <f t="shared" si="53"/>
        <v>0</v>
      </c>
      <c r="BM106" s="81">
        <f t="shared" si="54"/>
        <v>0</v>
      </c>
      <c r="BN106" s="81">
        <f t="shared" si="55"/>
        <v>0</v>
      </c>
      <c r="BO106" s="81">
        <f t="shared" si="56"/>
        <v>0</v>
      </c>
      <c r="BP106" s="81">
        <f t="shared" si="57"/>
        <v>0</v>
      </c>
      <c r="BQ106" s="81">
        <f t="shared" si="58"/>
        <v>0</v>
      </c>
      <c r="BR106" s="81">
        <f t="shared" si="59"/>
        <v>0</v>
      </c>
      <c r="BS106" s="81">
        <f t="shared" si="60"/>
        <v>0</v>
      </c>
      <c r="BT106" s="89">
        <f t="shared" si="61"/>
        <v>0</v>
      </c>
    </row>
    <row r="107" spans="1:72">
      <c r="A107" s="79"/>
      <c r="B107" s="80"/>
      <c r="C107" s="80"/>
      <c r="D107" s="2301"/>
      <c r="E107" s="81">
        <f t="shared" si="33"/>
        <v>0</v>
      </c>
      <c r="F107" s="82"/>
      <c r="G107" s="83">
        <f t="shared" si="34"/>
        <v>0</v>
      </c>
      <c r="H107" s="84">
        <f t="shared" si="35"/>
        <v>0</v>
      </c>
      <c r="I107" s="85"/>
      <c r="J107" s="85"/>
      <c r="K107" s="85"/>
      <c r="L107" s="85"/>
      <c r="M107" s="85"/>
      <c r="N107" s="85"/>
      <c r="O107" s="85"/>
      <c r="P107" s="85"/>
      <c r="Q107" s="85"/>
      <c r="R107" s="85"/>
      <c r="S107" s="85"/>
      <c r="T107" s="85"/>
      <c r="U107" s="85"/>
      <c r="V107" s="85"/>
      <c r="W107" s="85"/>
      <c r="X107" s="85"/>
      <c r="Y107" s="85"/>
      <c r="Z107" s="85"/>
      <c r="AA107" s="85"/>
      <c r="AB107" s="85"/>
      <c r="AC107" s="81">
        <f t="shared" si="36"/>
        <v>0</v>
      </c>
      <c r="AD107" s="86"/>
      <c r="AE107" s="86"/>
      <c r="AF107" s="86"/>
      <c r="AG107" s="86"/>
      <c r="AH107" s="86"/>
      <c r="AI107" s="86"/>
      <c r="AJ107" s="86"/>
      <c r="AK107" s="86"/>
      <c r="AL107" s="86"/>
      <c r="AM107" s="86"/>
      <c r="AN107" s="86"/>
      <c r="AO107" s="86"/>
      <c r="AP107" s="86"/>
      <c r="AQ107" s="86"/>
      <c r="AR107" s="86"/>
      <c r="AS107" s="86"/>
      <c r="AT107" s="82"/>
      <c r="AU107" s="87"/>
      <c r="AV107" s="818">
        <f t="shared" si="37"/>
        <v>0</v>
      </c>
      <c r="AW107" s="818">
        <f t="shared" si="38"/>
        <v>0</v>
      </c>
      <c r="AX107" s="818">
        <f t="shared" si="39"/>
        <v>0</v>
      </c>
      <c r="AY107" s="88">
        <f t="shared" si="40"/>
        <v>0</v>
      </c>
      <c r="AZ107" s="81">
        <f t="shared" si="41"/>
        <v>0</v>
      </c>
      <c r="BA107" s="81">
        <f t="shared" si="42"/>
        <v>0</v>
      </c>
      <c r="BB107" s="81">
        <f t="shared" si="43"/>
        <v>0</v>
      </c>
      <c r="BC107" s="81">
        <f t="shared" si="44"/>
        <v>0</v>
      </c>
      <c r="BD107" s="81">
        <f t="shared" si="45"/>
        <v>0</v>
      </c>
      <c r="BE107" s="81">
        <f t="shared" si="46"/>
        <v>0</v>
      </c>
      <c r="BF107" s="81">
        <f t="shared" si="47"/>
        <v>0</v>
      </c>
      <c r="BG107" s="81">
        <f t="shared" si="48"/>
        <v>0</v>
      </c>
      <c r="BH107" s="81">
        <f t="shared" si="49"/>
        <v>0</v>
      </c>
      <c r="BI107" s="81">
        <f t="shared" si="50"/>
        <v>0</v>
      </c>
      <c r="BJ107" s="81">
        <f t="shared" si="51"/>
        <v>0</v>
      </c>
      <c r="BK107" s="81">
        <f t="shared" si="52"/>
        <v>0</v>
      </c>
      <c r="BL107" s="81">
        <f t="shared" si="53"/>
        <v>0</v>
      </c>
      <c r="BM107" s="81">
        <f t="shared" si="54"/>
        <v>0</v>
      </c>
      <c r="BN107" s="81">
        <f t="shared" si="55"/>
        <v>0</v>
      </c>
      <c r="BO107" s="81">
        <f t="shared" si="56"/>
        <v>0</v>
      </c>
      <c r="BP107" s="81">
        <f t="shared" si="57"/>
        <v>0</v>
      </c>
      <c r="BQ107" s="81">
        <f t="shared" si="58"/>
        <v>0</v>
      </c>
      <c r="BR107" s="81">
        <f t="shared" si="59"/>
        <v>0</v>
      </c>
      <c r="BS107" s="81">
        <f t="shared" si="60"/>
        <v>0</v>
      </c>
      <c r="BT107" s="89">
        <f t="shared" si="61"/>
        <v>0</v>
      </c>
    </row>
    <row r="108" spans="1:72">
      <c r="A108" s="79"/>
      <c r="B108" s="80"/>
      <c r="C108" s="80"/>
      <c r="D108" s="2301"/>
      <c r="E108" s="81">
        <f t="shared" si="33"/>
        <v>0</v>
      </c>
      <c r="F108" s="82"/>
      <c r="G108" s="83">
        <f t="shared" si="34"/>
        <v>0</v>
      </c>
      <c r="H108" s="84">
        <f t="shared" si="35"/>
        <v>0</v>
      </c>
      <c r="I108" s="85"/>
      <c r="J108" s="85"/>
      <c r="K108" s="85"/>
      <c r="L108" s="85"/>
      <c r="M108" s="85"/>
      <c r="N108" s="85"/>
      <c r="O108" s="85"/>
      <c r="P108" s="85"/>
      <c r="Q108" s="85"/>
      <c r="R108" s="85"/>
      <c r="S108" s="85"/>
      <c r="T108" s="85"/>
      <c r="U108" s="85"/>
      <c r="V108" s="85"/>
      <c r="W108" s="85"/>
      <c r="X108" s="85"/>
      <c r="Y108" s="85"/>
      <c r="Z108" s="85"/>
      <c r="AA108" s="85"/>
      <c r="AB108" s="85"/>
      <c r="AC108" s="81">
        <f t="shared" si="36"/>
        <v>0</v>
      </c>
      <c r="AD108" s="86"/>
      <c r="AE108" s="86"/>
      <c r="AF108" s="86"/>
      <c r="AG108" s="86"/>
      <c r="AH108" s="86"/>
      <c r="AI108" s="86"/>
      <c r="AJ108" s="86"/>
      <c r="AK108" s="86"/>
      <c r="AL108" s="86"/>
      <c r="AM108" s="86"/>
      <c r="AN108" s="86"/>
      <c r="AO108" s="86"/>
      <c r="AP108" s="86"/>
      <c r="AQ108" s="86"/>
      <c r="AR108" s="86"/>
      <c r="AS108" s="86"/>
      <c r="AT108" s="82"/>
      <c r="AU108" s="87"/>
      <c r="AV108" s="818">
        <f t="shared" si="37"/>
        <v>0</v>
      </c>
      <c r="AW108" s="818">
        <f t="shared" si="38"/>
        <v>0</v>
      </c>
      <c r="AX108" s="818">
        <f t="shared" si="39"/>
        <v>0</v>
      </c>
      <c r="AY108" s="88">
        <f t="shared" si="40"/>
        <v>0</v>
      </c>
      <c r="AZ108" s="81">
        <f t="shared" si="41"/>
        <v>0</v>
      </c>
      <c r="BA108" s="81">
        <f t="shared" si="42"/>
        <v>0</v>
      </c>
      <c r="BB108" s="81">
        <f t="shared" si="43"/>
        <v>0</v>
      </c>
      <c r="BC108" s="81">
        <f t="shared" si="44"/>
        <v>0</v>
      </c>
      <c r="BD108" s="81">
        <f t="shared" si="45"/>
        <v>0</v>
      </c>
      <c r="BE108" s="81">
        <f t="shared" si="46"/>
        <v>0</v>
      </c>
      <c r="BF108" s="81">
        <f t="shared" si="47"/>
        <v>0</v>
      </c>
      <c r="BG108" s="81">
        <f t="shared" si="48"/>
        <v>0</v>
      </c>
      <c r="BH108" s="81">
        <f t="shared" si="49"/>
        <v>0</v>
      </c>
      <c r="BI108" s="81">
        <f t="shared" si="50"/>
        <v>0</v>
      </c>
      <c r="BJ108" s="81">
        <f t="shared" si="51"/>
        <v>0</v>
      </c>
      <c r="BK108" s="81">
        <f t="shared" si="52"/>
        <v>0</v>
      </c>
      <c r="BL108" s="81">
        <f t="shared" si="53"/>
        <v>0</v>
      </c>
      <c r="BM108" s="81">
        <f t="shared" si="54"/>
        <v>0</v>
      </c>
      <c r="BN108" s="81">
        <f t="shared" si="55"/>
        <v>0</v>
      </c>
      <c r="BO108" s="81">
        <f t="shared" si="56"/>
        <v>0</v>
      </c>
      <c r="BP108" s="81">
        <f t="shared" si="57"/>
        <v>0</v>
      </c>
      <c r="BQ108" s="81">
        <f t="shared" si="58"/>
        <v>0</v>
      </c>
      <c r="BR108" s="81">
        <f t="shared" si="59"/>
        <v>0</v>
      </c>
      <c r="BS108" s="81">
        <f t="shared" si="60"/>
        <v>0</v>
      </c>
      <c r="BT108" s="89">
        <f t="shared" si="61"/>
        <v>0</v>
      </c>
    </row>
    <row r="109" spans="1:72">
      <c r="A109" s="79"/>
      <c r="B109" s="80"/>
      <c r="C109" s="80"/>
      <c r="D109" s="2301"/>
      <c r="E109" s="81">
        <f t="shared" si="33"/>
        <v>0</v>
      </c>
      <c r="F109" s="82"/>
      <c r="G109" s="83">
        <f t="shared" si="34"/>
        <v>0</v>
      </c>
      <c r="H109" s="84">
        <f t="shared" si="35"/>
        <v>0</v>
      </c>
      <c r="I109" s="85"/>
      <c r="J109" s="85"/>
      <c r="K109" s="85"/>
      <c r="L109" s="85"/>
      <c r="M109" s="85"/>
      <c r="N109" s="85"/>
      <c r="O109" s="85"/>
      <c r="P109" s="85"/>
      <c r="Q109" s="85"/>
      <c r="R109" s="85"/>
      <c r="S109" s="85"/>
      <c r="T109" s="85"/>
      <c r="U109" s="85"/>
      <c r="V109" s="85"/>
      <c r="W109" s="85"/>
      <c r="X109" s="85"/>
      <c r="Y109" s="85"/>
      <c r="Z109" s="85"/>
      <c r="AA109" s="85"/>
      <c r="AB109" s="85"/>
      <c r="AC109" s="81">
        <f t="shared" si="36"/>
        <v>0</v>
      </c>
      <c r="AD109" s="86"/>
      <c r="AE109" s="86"/>
      <c r="AF109" s="86"/>
      <c r="AG109" s="86"/>
      <c r="AH109" s="86"/>
      <c r="AI109" s="86"/>
      <c r="AJ109" s="86"/>
      <c r="AK109" s="86"/>
      <c r="AL109" s="86"/>
      <c r="AM109" s="86"/>
      <c r="AN109" s="86"/>
      <c r="AO109" s="86"/>
      <c r="AP109" s="86"/>
      <c r="AQ109" s="86"/>
      <c r="AR109" s="86"/>
      <c r="AS109" s="86"/>
      <c r="AT109" s="82"/>
      <c r="AU109" s="87"/>
      <c r="AV109" s="818">
        <f t="shared" si="37"/>
        <v>0</v>
      </c>
      <c r="AW109" s="818">
        <f t="shared" si="38"/>
        <v>0</v>
      </c>
      <c r="AX109" s="818">
        <f t="shared" si="39"/>
        <v>0</v>
      </c>
      <c r="AY109" s="88">
        <f t="shared" si="40"/>
        <v>0</v>
      </c>
      <c r="AZ109" s="81">
        <f t="shared" si="41"/>
        <v>0</v>
      </c>
      <c r="BA109" s="81">
        <f t="shared" si="42"/>
        <v>0</v>
      </c>
      <c r="BB109" s="81">
        <f t="shared" si="43"/>
        <v>0</v>
      </c>
      <c r="BC109" s="81">
        <f t="shared" si="44"/>
        <v>0</v>
      </c>
      <c r="BD109" s="81">
        <f t="shared" si="45"/>
        <v>0</v>
      </c>
      <c r="BE109" s="81">
        <f t="shared" si="46"/>
        <v>0</v>
      </c>
      <c r="BF109" s="81">
        <f t="shared" si="47"/>
        <v>0</v>
      </c>
      <c r="BG109" s="81">
        <f t="shared" si="48"/>
        <v>0</v>
      </c>
      <c r="BH109" s="81">
        <f t="shared" si="49"/>
        <v>0</v>
      </c>
      <c r="BI109" s="81">
        <f t="shared" si="50"/>
        <v>0</v>
      </c>
      <c r="BJ109" s="81">
        <f t="shared" si="51"/>
        <v>0</v>
      </c>
      <c r="BK109" s="81">
        <f t="shared" si="52"/>
        <v>0</v>
      </c>
      <c r="BL109" s="81">
        <f t="shared" si="53"/>
        <v>0</v>
      </c>
      <c r="BM109" s="81">
        <f t="shared" si="54"/>
        <v>0</v>
      </c>
      <c r="BN109" s="81">
        <f t="shared" si="55"/>
        <v>0</v>
      </c>
      <c r="BO109" s="81">
        <f t="shared" si="56"/>
        <v>0</v>
      </c>
      <c r="BP109" s="81">
        <f t="shared" si="57"/>
        <v>0</v>
      </c>
      <c r="BQ109" s="81">
        <f t="shared" si="58"/>
        <v>0</v>
      </c>
      <c r="BR109" s="81">
        <f t="shared" si="59"/>
        <v>0</v>
      </c>
      <c r="BS109" s="81">
        <f t="shared" si="60"/>
        <v>0</v>
      </c>
      <c r="BT109" s="89">
        <f t="shared" si="61"/>
        <v>0</v>
      </c>
    </row>
    <row r="110" spans="1:72">
      <c r="A110" s="79"/>
      <c r="B110" s="79"/>
      <c r="C110" s="79"/>
      <c r="D110" s="2301"/>
      <c r="E110" s="81">
        <f t="shared" si="33"/>
        <v>0</v>
      </c>
      <c r="F110" s="86"/>
      <c r="G110" s="83">
        <f t="shared" ref="G110:G141" si="62">H110+AC110+AT110</f>
        <v>0</v>
      </c>
      <c r="H110" s="84">
        <f t="shared" ref="H110:H141" si="63">SUMIF(I$12:AB$12,"总值",I110:AB110)</f>
        <v>0</v>
      </c>
      <c r="I110" s="90"/>
      <c r="J110" s="90"/>
      <c r="K110" s="85"/>
      <c r="L110" s="85"/>
      <c r="M110" s="85"/>
      <c r="N110" s="85"/>
      <c r="O110" s="85"/>
      <c r="P110" s="85"/>
      <c r="Q110" s="85"/>
      <c r="R110" s="85"/>
      <c r="S110" s="85"/>
      <c r="T110" s="85"/>
      <c r="U110" s="85"/>
      <c r="V110" s="85"/>
      <c r="W110" s="85"/>
      <c r="X110" s="85"/>
      <c r="Y110" s="85"/>
      <c r="Z110" s="85"/>
      <c r="AA110" s="85"/>
      <c r="AB110" s="85"/>
      <c r="AC110" s="81">
        <f t="shared" ref="AC110:AC141" si="64">SUMIF(AD$12:AS$12,"总值",AD110:AS110)</f>
        <v>0</v>
      </c>
      <c r="AD110" s="86"/>
      <c r="AE110" s="86"/>
      <c r="AF110" s="86"/>
      <c r="AG110" s="86"/>
      <c r="AH110" s="86"/>
      <c r="AI110" s="86"/>
      <c r="AJ110" s="86"/>
      <c r="AK110" s="86"/>
      <c r="AL110" s="86"/>
      <c r="AM110" s="86"/>
      <c r="AN110" s="86"/>
      <c r="AO110" s="86"/>
      <c r="AP110" s="86"/>
      <c r="AQ110" s="86"/>
      <c r="AR110" s="86"/>
      <c r="AS110" s="86"/>
      <c r="AT110" s="86"/>
      <c r="AU110" s="91"/>
      <c r="AV110" s="818">
        <f t="shared" si="37"/>
        <v>0</v>
      </c>
      <c r="AW110" s="818">
        <f t="shared" si="38"/>
        <v>0</v>
      </c>
      <c r="AX110" s="818">
        <f t="shared" si="39"/>
        <v>0</v>
      </c>
      <c r="AY110" s="88">
        <f t="shared" ref="AY110:AY141" si="65">ROUND($AY$6*AZ110/$AZ$5,2)</f>
        <v>0</v>
      </c>
      <c r="AZ110" s="81">
        <f t="shared" ref="AZ110:AZ141" si="66">BA110+BL110</f>
        <v>0</v>
      </c>
      <c r="BA110" s="81">
        <f t="shared" ref="BA110:BA141" si="67">SUM(BB110:BK110)</f>
        <v>0</v>
      </c>
      <c r="BB110" s="81">
        <f t="shared" ref="BB110:BB141" si="68">IF($D110="是",I110-J110,0)</f>
        <v>0</v>
      </c>
      <c r="BC110" s="81">
        <f t="shared" ref="BC110:BC141" si="69">IF($D110="是",K110-L110,0)</f>
        <v>0</v>
      </c>
      <c r="BD110" s="81">
        <f t="shared" ref="BD110:BD141" si="70">IF($D110="是",M110-N110,0)</f>
        <v>0</v>
      </c>
      <c r="BE110" s="81">
        <f t="shared" ref="BE110:BE141" si="71">IF($D110="是",O110-P110,0)</f>
        <v>0</v>
      </c>
      <c r="BF110" s="81">
        <f t="shared" ref="BF110:BF141" si="72">IF($D110="是",Q110-R110,0)</f>
        <v>0</v>
      </c>
      <c r="BG110" s="81">
        <f t="shared" ref="BG110:BG141" si="73">IF($D110="是",S110-T110,0)</f>
        <v>0</v>
      </c>
      <c r="BH110" s="81">
        <f t="shared" ref="BH110:BH141" si="74">IF($D110="是",U110-V110,0)</f>
        <v>0</v>
      </c>
      <c r="BI110" s="81">
        <f t="shared" ref="BI110:BI141" si="75">IF($D110="是",W110-X110,0)</f>
        <v>0</v>
      </c>
      <c r="BJ110" s="81">
        <f t="shared" ref="BJ110:BJ141" si="76">IF($D110="是",Y110-Z110,0)</f>
        <v>0</v>
      </c>
      <c r="BK110" s="81">
        <f t="shared" ref="BK110:BK141" si="77">IF($D110="是",AA110-AB110,0)</f>
        <v>0</v>
      </c>
      <c r="BL110" s="81">
        <f t="shared" ref="BL110:BL141" si="78">SUM(BM110:BT110)</f>
        <v>0</v>
      </c>
      <c r="BM110" s="81">
        <f t="shared" ref="BM110:BM141" si="79">IF($D110="是",AD110-AE110,0)</f>
        <v>0</v>
      </c>
      <c r="BN110" s="81">
        <f t="shared" ref="BN110:BN141" si="80">IF($D110="是",AF110-AG110,0)</f>
        <v>0</v>
      </c>
      <c r="BO110" s="81">
        <f t="shared" ref="BO110:BO141" si="81">IF($D110="是",AH110-AI110,0)</f>
        <v>0</v>
      </c>
      <c r="BP110" s="81">
        <f t="shared" ref="BP110:BP141" si="82">IF($D110="是",AJ110-AK110,0)</f>
        <v>0</v>
      </c>
      <c r="BQ110" s="81">
        <f t="shared" ref="BQ110:BQ141" si="83">IF($D110="是",AL110-AM110,0)</f>
        <v>0</v>
      </c>
      <c r="BR110" s="81">
        <f t="shared" ref="BR110:BR141" si="84">IF($D110="是",AN110-AO110,0)</f>
        <v>0</v>
      </c>
      <c r="BS110" s="81">
        <f t="shared" ref="BS110:BS141" si="85">IF($D110="是",AP110-AQ110,0)</f>
        <v>0</v>
      </c>
      <c r="BT110" s="89">
        <f t="shared" ref="BT110:BT141" si="86">IF($D110="是",AR110-AS110,0)</f>
        <v>0</v>
      </c>
    </row>
    <row r="111" spans="1:72">
      <c r="A111" s="79"/>
      <c r="B111" s="79"/>
      <c r="C111" s="79"/>
      <c r="D111" s="2301"/>
      <c r="E111" s="81">
        <f t="shared" si="33"/>
        <v>0</v>
      </c>
      <c r="F111" s="86"/>
      <c r="G111" s="83">
        <f t="shared" si="62"/>
        <v>0</v>
      </c>
      <c r="H111" s="84">
        <f t="shared" si="63"/>
        <v>0</v>
      </c>
      <c r="I111" s="85"/>
      <c r="J111" s="85"/>
      <c r="K111" s="85"/>
      <c r="L111" s="85"/>
      <c r="M111" s="85"/>
      <c r="N111" s="85"/>
      <c r="O111" s="85"/>
      <c r="P111" s="85"/>
      <c r="Q111" s="85"/>
      <c r="R111" s="85"/>
      <c r="S111" s="85"/>
      <c r="T111" s="85"/>
      <c r="U111" s="85"/>
      <c r="V111" s="85"/>
      <c r="W111" s="85"/>
      <c r="X111" s="85"/>
      <c r="Y111" s="85"/>
      <c r="Z111" s="85"/>
      <c r="AA111" s="85"/>
      <c r="AB111" s="85"/>
      <c r="AC111" s="81">
        <f t="shared" si="64"/>
        <v>0</v>
      </c>
      <c r="AD111" s="86"/>
      <c r="AE111" s="86"/>
      <c r="AF111" s="86"/>
      <c r="AG111" s="86"/>
      <c r="AH111" s="86"/>
      <c r="AI111" s="86"/>
      <c r="AJ111" s="86"/>
      <c r="AK111" s="86"/>
      <c r="AL111" s="86"/>
      <c r="AM111" s="86"/>
      <c r="AN111" s="86"/>
      <c r="AO111" s="86"/>
      <c r="AP111" s="86"/>
      <c r="AQ111" s="86"/>
      <c r="AR111" s="86"/>
      <c r="AS111" s="86"/>
      <c r="AT111" s="86"/>
      <c r="AU111" s="91"/>
      <c r="AV111" s="818">
        <f t="shared" si="37"/>
        <v>0</v>
      </c>
      <c r="AW111" s="818">
        <f t="shared" si="38"/>
        <v>0</v>
      </c>
      <c r="AX111" s="818">
        <f t="shared" si="39"/>
        <v>0</v>
      </c>
      <c r="AY111" s="88">
        <f t="shared" si="65"/>
        <v>0</v>
      </c>
      <c r="AZ111" s="81">
        <f t="shared" si="66"/>
        <v>0</v>
      </c>
      <c r="BA111" s="81">
        <f t="shared" si="67"/>
        <v>0</v>
      </c>
      <c r="BB111" s="81">
        <f t="shared" si="68"/>
        <v>0</v>
      </c>
      <c r="BC111" s="81">
        <f t="shared" si="69"/>
        <v>0</v>
      </c>
      <c r="BD111" s="81">
        <f t="shared" si="70"/>
        <v>0</v>
      </c>
      <c r="BE111" s="81">
        <f t="shared" si="71"/>
        <v>0</v>
      </c>
      <c r="BF111" s="81">
        <f t="shared" si="72"/>
        <v>0</v>
      </c>
      <c r="BG111" s="81">
        <f t="shared" si="73"/>
        <v>0</v>
      </c>
      <c r="BH111" s="81">
        <f t="shared" si="74"/>
        <v>0</v>
      </c>
      <c r="BI111" s="81">
        <f t="shared" si="75"/>
        <v>0</v>
      </c>
      <c r="BJ111" s="81">
        <f t="shared" si="76"/>
        <v>0</v>
      </c>
      <c r="BK111" s="81">
        <f t="shared" si="77"/>
        <v>0</v>
      </c>
      <c r="BL111" s="81">
        <f t="shared" si="78"/>
        <v>0</v>
      </c>
      <c r="BM111" s="81">
        <f t="shared" si="79"/>
        <v>0</v>
      </c>
      <c r="BN111" s="81">
        <f t="shared" si="80"/>
        <v>0</v>
      </c>
      <c r="BO111" s="81">
        <f t="shared" si="81"/>
        <v>0</v>
      </c>
      <c r="BP111" s="81">
        <f t="shared" si="82"/>
        <v>0</v>
      </c>
      <c r="BQ111" s="81">
        <f t="shared" si="83"/>
        <v>0</v>
      </c>
      <c r="BR111" s="81">
        <f t="shared" si="84"/>
        <v>0</v>
      </c>
      <c r="BS111" s="81">
        <f t="shared" si="85"/>
        <v>0</v>
      </c>
      <c r="BT111" s="89">
        <f t="shared" si="86"/>
        <v>0</v>
      </c>
    </row>
    <row r="112" spans="1:72">
      <c r="A112" s="79"/>
      <c r="B112" s="79"/>
      <c r="C112" s="79"/>
      <c r="D112" s="2301"/>
      <c r="E112" s="81">
        <f t="shared" si="33"/>
        <v>0</v>
      </c>
      <c r="F112" s="86"/>
      <c r="G112" s="83">
        <f t="shared" si="62"/>
        <v>0</v>
      </c>
      <c r="H112" s="84">
        <f t="shared" si="63"/>
        <v>0</v>
      </c>
      <c r="I112" s="85"/>
      <c r="J112" s="85"/>
      <c r="K112" s="85"/>
      <c r="L112" s="85"/>
      <c r="M112" s="85"/>
      <c r="N112" s="85"/>
      <c r="O112" s="85"/>
      <c r="P112" s="85"/>
      <c r="Q112" s="85"/>
      <c r="R112" s="85"/>
      <c r="S112" s="85"/>
      <c r="T112" s="85"/>
      <c r="U112" s="85"/>
      <c r="V112" s="85"/>
      <c r="W112" s="85"/>
      <c r="X112" s="85"/>
      <c r="Y112" s="85"/>
      <c r="Z112" s="85"/>
      <c r="AA112" s="85"/>
      <c r="AB112" s="85"/>
      <c r="AC112" s="81">
        <f t="shared" si="64"/>
        <v>0</v>
      </c>
      <c r="AD112" s="86"/>
      <c r="AE112" s="86"/>
      <c r="AF112" s="86"/>
      <c r="AG112" s="86"/>
      <c r="AH112" s="86"/>
      <c r="AI112" s="86"/>
      <c r="AJ112" s="86"/>
      <c r="AK112" s="86"/>
      <c r="AL112" s="86"/>
      <c r="AM112" s="86"/>
      <c r="AN112" s="86"/>
      <c r="AO112" s="86"/>
      <c r="AP112" s="86"/>
      <c r="AQ112" s="86"/>
      <c r="AR112" s="86"/>
      <c r="AS112" s="86"/>
      <c r="AT112" s="86"/>
      <c r="AU112" s="91"/>
      <c r="AV112" s="818">
        <f t="shared" si="37"/>
        <v>0</v>
      </c>
      <c r="AW112" s="818">
        <f t="shared" si="38"/>
        <v>0</v>
      </c>
      <c r="AX112" s="818">
        <f t="shared" si="39"/>
        <v>0</v>
      </c>
      <c r="AY112" s="88">
        <f t="shared" si="65"/>
        <v>0</v>
      </c>
      <c r="AZ112" s="81">
        <f t="shared" si="66"/>
        <v>0</v>
      </c>
      <c r="BA112" s="81">
        <f t="shared" si="67"/>
        <v>0</v>
      </c>
      <c r="BB112" s="81">
        <f t="shared" si="68"/>
        <v>0</v>
      </c>
      <c r="BC112" s="81">
        <f t="shared" si="69"/>
        <v>0</v>
      </c>
      <c r="BD112" s="81">
        <f t="shared" si="70"/>
        <v>0</v>
      </c>
      <c r="BE112" s="81">
        <f t="shared" si="71"/>
        <v>0</v>
      </c>
      <c r="BF112" s="81">
        <f t="shared" si="72"/>
        <v>0</v>
      </c>
      <c r="BG112" s="81">
        <f t="shared" si="73"/>
        <v>0</v>
      </c>
      <c r="BH112" s="81">
        <f t="shared" si="74"/>
        <v>0</v>
      </c>
      <c r="BI112" s="81">
        <f t="shared" si="75"/>
        <v>0</v>
      </c>
      <c r="BJ112" s="81">
        <f t="shared" si="76"/>
        <v>0</v>
      </c>
      <c r="BK112" s="81">
        <f t="shared" si="77"/>
        <v>0</v>
      </c>
      <c r="BL112" s="81">
        <f t="shared" si="78"/>
        <v>0</v>
      </c>
      <c r="BM112" s="81">
        <f t="shared" si="79"/>
        <v>0</v>
      </c>
      <c r="BN112" s="81">
        <f t="shared" si="80"/>
        <v>0</v>
      </c>
      <c r="BO112" s="81">
        <f t="shared" si="81"/>
        <v>0</v>
      </c>
      <c r="BP112" s="81">
        <f t="shared" si="82"/>
        <v>0</v>
      </c>
      <c r="BQ112" s="81">
        <f t="shared" si="83"/>
        <v>0</v>
      </c>
      <c r="BR112" s="81">
        <f t="shared" si="84"/>
        <v>0</v>
      </c>
      <c r="BS112" s="81">
        <f t="shared" si="85"/>
        <v>0</v>
      </c>
      <c r="BT112" s="89">
        <f t="shared" si="86"/>
        <v>0</v>
      </c>
    </row>
    <row r="113" spans="1:72">
      <c r="A113" s="79"/>
      <c r="B113" s="1179"/>
      <c r="C113" s="1180"/>
      <c r="D113" s="2301"/>
      <c r="E113" s="81">
        <f t="shared" ref="E113:E144" si="87">IF($C$3="是",ROUND($A$3*G113/$B$3,2),ROUND($A$3*(G113-AT113)/$B$3,2))</f>
        <v>0</v>
      </c>
      <c r="F113" s="82"/>
      <c r="G113" s="83">
        <f t="shared" si="62"/>
        <v>0</v>
      </c>
      <c r="H113" s="84">
        <f t="shared" si="63"/>
        <v>0</v>
      </c>
      <c r="I113" s="1180"/>
      <c r="J113" s="85"/>
      <c r="K113" s="1180"/>
      <c r="L113" s="85"/>
      <c r="M113" s="85"/>
      <c r="N113" s="85"/>
      <c r="O113" s="85"/>
      <c r="P113" s="85"/>
      <c r="Q113" s="85"/>
      <c r="R113" s="85"/>
      <c r="S113" s="85"/>
      <c r="T113" s="85"/>
      <c r="U113" s="85"/>
      <c r="V113" s="85"/>
      <c r="W113" s="85"/>
      <c r="X113" s="85"/>
      <c r="Y113" s="85"/>
      <c r="Z113" s="85"/>
      <c r="AA113" s="85"/>
      <c r="AB113" s="85"/>
      <c r="AC113" s="81">
        <f t="shared" si="64"/>
        <v>0</v>
      </c>
      <c r="AD113" s="86"/>
      <c r="AE113" s="86"/>
      <c r="AF113" s="1181"/>
      <c r="AG113" s="86"/>
      <c r="AH113" s="86"/>
      <c r="AI113" s="86"/>
      <c r="AJ113" s="86"/>
      <c r="AK113" s="86"/>
      <c r="AL113" s="86"/>
      <c r="AM113" s="86"/>
      <c r="AN113" s="1158"/>
      <c r="AO113" s="86"/>
      <c r="AP113" s="86"/>
      <c r="AQ113" s="86"/>
      <c r="AR113" s="86"/>
      <c r="AS113" s="86"/>
      <c r="AT113" s="82"/>
      <c r="AU113" s="87"/>
      <c r="AV113" s="818">
        <f t="shared" ref="AV113:AV144" si="88">A113</f>
        <v>0</v>
      </c>
      <c r="AW113" s="818">
        <f t="shared" ref="AW113:AW144" si="89">B113</f>
        <v>0</v>
      </c>
      <c r="AX113" s="818">
        <f t="shared" ref="AX113:AX144" si="90">C113</f>
        <v>0</v>
      </c>
      <c r="AY113" s="88">
        <f t="shared" si="65"/>
        <v>0</v>
      </c>
      <c r="AZ113" s="81">
        <f t="shared" si="66"/>
        <v>0</v>
      </c>
      <c r="BA113" s="81">
        <f t="shared" si="67"/>
        <v>0</v>
      </c>
      <c r="BB113" s="81">
        <f t="shared" si="68"/>
        <v>0</v>
      </c>
      <c r="BC113" s="81">
        <f t="shared" si="69"/>
        <v>0</v>
      </c>
      <c r="BD113" s="81">
        <f t="shared" si="70"/>
        <v>0</v>
      </c>
      <c r="BE113" s="81">
        <f t="shared" si="71"/>
        <v>0</v>
      </c>
      <c r="BF113" s="81">
        <f t="shared" si="72"/>
        <v>0</v>
      </c>
      <c r="BG113" s="81">
        <f t="shared" si="73"/>
        <v>0</v>
      </c>
      <c r="BH113" s="81">
        <f t="shared" si="74"/>
        <v>0</v>
      </c>
      <c r="BI113" s="81">
        <f t="shared" si="75"/>
        <v>0</v>
      </c>
      <c r="BJ113" s="81">
        <f t="shared" si="76"/>
        <v>0</v>
      </c>
      <c r="BK113" s="81">
        <f t="shared" si="77"/>
        <v>0</v>
      </c>
      <c r="BL113" s="81">
        <f t="shared" si="78"/>
        <v>0</v>
      </c>
      <c r="BM113" s="81">
        <f t="shared" si="79"/>
        <v>0</v>
      </c>
      <c r="BN113" s="81">
        <f t="shared" si="80"/>
        <v>0</v>
      </c>
      <c r="BO113" s="81">
        <f t="shared" si="81"/>
        <v>0</v>
      </c>
      <c r="BP113" s="81">
        <f t="shared" si="82"/>
        <v>0</v>
      </c>
      <c r="BQ113" s="81">
        <f t="shared" si="83"/>
        <v>0</v>
      </c>
      <c r="BR113" s="81">
        <f t="shared" si="84"/>
        <v>0</v>
      </c>
      <c r="BS113" s="81">
        <f t="shared" si="85"/>
        <v>0</v>
      </c>
      <c r="BT113" s="89">
        <f t="shared" si="86"/>
        <v>0</v>
      </c>
    </row>
    <row r="114" spans="1:72">
      <c r="A114" s="79"/>
      <c r="B114" s="1179"/>
      <c r="C114" s="1180"/>
      <c r="D114" s="2301"/>
      <c r="E114" s="81">
        <f t="shared" si="87"/>
        <v>0</v>
      </c>
      <c r="F114" s="82"/>
      <c r="G114" s="83">
        <f t="shared" si="62"/>
        <v>0</v>
      </c>
      <c r="H114" s="84">
        <f t="shared" si="63"/>
        <v>0</v>
      </c>
      <c r="I114" s="1180"/>
      <c r="J114" s="85"/>
      <c r="K114" s="1180"/>
      <c r="L114" s="85"/>
      <c r="M114" s="1158"/>
      <c r="N114" s="85"/>
      <c r="O114" s="85"/>
      <c r="P114" s="85"/>
      <c r="Q114" s="85"/>
      <c r="R114" s="85"/>
      <c r="S114" s="85"/>
      <c r="T114" s="85"/>
      <c r="U114" s="85"/>
      <c r="V114" s="85"/>
      <c r="W114" s="85"/>
      <c r="X114" s="85"/>
      <c r="Y114" s="85"/>
      <c r="Z114" s="85"/>
      <c r="AA114" s="85"/>
      <c r="AB114" s="85"/>
      <c r="AC114" s="81">
        <f t="shared" si="64"/>
        <v>0</v>
      </c>
      <c r="AD114" s="1158"/>
      <c r="AE114" s="86"/>
      <c r="AF114" s="1181"/>
      <c r="AG114" s="86"/>
      <c r="AH114" s="86"/>
      <c r="AI114" s="86"/>
      <c r="AJ114" s="86"/>
      <c r="AK114" s="86"/>
      <c r="AL114" s="1158"/>
      <c r="AM114" s="86"/>
      <c r="AN114" s="1158"/>
      <c r="AO114" s="86"/>
      <c r="AP114" s="86"/>
      <c r="AQ114" s="86"/>
      <c r="AR114" s="86"/>
      <c r="AS114" s="86"/>
      <c r="AT114" s="82"/>
      <c r="AU114" s="87"/>
      <c r="AV114" s="818">
        <f t="shared" si="88"/>
        <v>0</v>
      </c>
      <c r="AW114" s="818">
        <f t="shared" si="89"/>
        <v>0</v>
      </c>
      <c r="AX114" s="818">
        <f t="shared" si="90"/>
        <v>0</v>
      </c>
      <c r="AY114" s="88">
        <f t="shared" si="65"/>
        <v>0</v>
      </c>
      <c r="AZ114" s="81">
        <f t="shared" si="66"/>
        <v>0</v>
      </c>
      <c r="BA114" s="81">
        <f t="shared" si="67"/>
        <v>0</v>
      </c>
      <c r="BB114" s="81">
        <f t="shared" si="68"/>
        <v>0</v>
      </c>
      <c r="BC114" s="81">
        <f t="shared" si="69"/>
        <v>0</v>
      </c>
      <c r="BD114" s="81">
        <f t="shared" si="70"/>
        <v>0</v>
      </c>
      <c r="BE114" s="81">
        <f t="shared" si="71"/>
        <v>0</v>
      </c>
      <c r="BF114" s="81">
        <f t="shared" si="72"/>
        <v>0</v>
      </c>
      <c r="BG114" s="81">
        <f t="shared" si="73"/>
        <v>0</v>
      </c>
      <c r="BH114" s="81">
        <f t="shared" si="74"/>
        <v>0</v>
      </c>
      <c r="BI114" s="81">
        <f t="shared" si="75"/>
        <v>0</v>
      </c>
      <c r="BJ114" s="81">
        <f t="shared" si="76"/>
        <v>0</v>
      </c>
      <c r="BK114" s="81">
        <f t="shared" si="77"/>
        <v>0</v>
      </c>
      <c r="BL114" s="81">
        <f t="shared" si="78"/>
        <v>0</v>
      </c>
      <c r="BM114" s="81">
        <f t="shared" si="79"/>
        <v>0</v>
      </c>
      <c r="BN114" s="81">
        <f t="shared" si="80"/>
        <v>0</v>
      </c>
      <c r="BO114" s="81">
        <f t="shared" si="81"/>
        <v>0</v>
      </c>
      <c r="BP114" s="81">
        <f t="shared" si="82"/>
        <v>0</v>
      </c>
      <c r="BQ114" s="81">
        <f t="shared" si="83"/>
        <v>0</v>
      </c>
      <c r="BR114" s="81">
        <f t="shared" si="84"/>
        <v>0</v>
      </c>
      <c r="BS114" s="81">
        <f t="shared" si="85"/>
        <v>0</v>
      </c>
      <c r="BT114" s="89">
        <f t="shared" si="86"/>
        <v>0</v>
      </c>
    </row>
    <row r="115" spans="1:72">
      <c r="A115" s="79"/>
      <c r="B115" s="1179"/>
      <c r="C115" s="1180"/>
      <c r="D115" s="2301"/>
      <c r="E115" s="81">
        <f t="shared" si="87"/>
        <v>0</v>
      </c>
      <c r="F115" s="82"/>
      <c r="G115" s="83">
        <f t="shared" si="62"/>
        <v>0</v>
      </c>
      <c r="H115" s="84">
        <f t="shared" si="63"/>
        <v>0</v>
      </c>
      <c r="I115" s="1180"/>
      <c r="J115" s="85"/>
      <c r="K115" s="1180"/>
      <c r="L115" s="85"/>
      <c r="M115" s="1158"/>
      <c r="N115" s="85"/>
      <c r="O115" s="85"/>
      <c r="P115" s="85"/>
      <c r="Q115" s="85"/>
      <c r="R115" s="85"/>
      <c r="S115" s="85"/>
      <c r="T115" s="85"/>
      <c r="U115" s="85"/>
      <c r="V115" s="85"/>
      <c r="W115" s="85"/>
      <c r="X115" s="85"/>
      <c r="Y115" s="85"/>
      <c r="Z115" s="85"/>
      <c r="AA115" s="85"/>
      <c r="AB115" s="85"/>
      <c r="AC115" s="81">
        <f t="shared" si="64"/>
        <v>0</v>
      </c>
      <c r="AD115" s="86"/>
      <c r="AE115" s="86"/>
      <c r="AF115" s="1181"/>
      <c r="AG115" s="86"/>
      <c r="AH115" s="86"/>
      <c r="AI115" s="86"/>
      <c r="AJ115" s="86"/>
      <c r="AK115" s="86"/>
      <c r="AL115" s="1158"/>
      <c r="AM115" s="86"/>
      <c r="AN115" s="1158"/>
      <c r="AO115" s="86"/>
      <c r="AP115" s="86"/>
      <c r="AQ115" s="86"/>
      <c r="AR115" s="86"/>
      <c r="AS115" s="86"/>
      <c r="AT115" s="82"/>
      <c r="AU115" s="87"/>
      <c r="AV115" s="818">
        <f t="shared" si="88"/>
        <v>0</v>
      </c>
      <c r="AW115" s="818">
        <f t="shared" si="89"/>
        <v>0</v>
      </c>
      <c r="AX115" s="818">
        <f t="shared" si="90"/>
        <v>0</v>
      </c>
      <c r="AY115" s="88">
        <f t="shared" si="65"/>
        <v>0</v>
      </c>
      <c r="AZ115" s="81">
        <f t="shared" si="66"/>
        <v>0</v>
      </c>
      <c r="BA115" s="81">
        <f t="shared" si="67"/>
        <v>0</v>
      </c>
      <c r="BB115" s="81">
        <f t="shared" si="68"/>
        <v>0</v>
      </c>
      <c r="BC115" s="81">
        <f t="shared" si="69"/>
        <v>0</v>
      </c>
      <c r="BD115" s="81">
        <f t="shared" si="70"/>
        <v>0</v>
      </c>
      <c r="BE115" s="81">
        <f t="shared" si="71"/>
        <v>0</v>
      </c>
      <c r="BF115" s="81">
        <f t="shared" si="72"/>
        <v>0</v>
      </c>
      <c r="BG115" s="81">
        <f t="shared" si="73"/>
        <v>0</v>
      </c>
      <c r="BH115" s="81">
        <f t="shared" si="74"/>
        <v>0</v>
      </c>
      <c r="BI115" s="81">
        <f t="shared" si="75"/>
        <v>0</v>
      </c>
      <c r="BJ115" s="81">
        <f t="shared" si="76"/>
        <v>0</v>
      </c>
      <c r="BK115" s="81">
        <f t="shared" si="77"/>
        <v>0</v>
      </c>
      <c r="BL115" s="81">
        <f t="shared" si="78"/>
        <v>0</v>
      </c>
      <c r="BM115" s="81">
        <f t="shared" si="79"/>
        <v>0</v>
      </c>
      <c r="BN115" s="81">
        <f t="shared" si="80"/>
        <v>0</v>
      </c>
      <c r="BO115" s="81">
        <f t="shared" si="81"/>
        <v>0</v>
      </c>
      <c r="BP115" s="81">
        <f t="shared" si="82"/>
        <v>0</v>
      </c>
      <c r="BQ115" s="81">
        <f t="shared" si="83"/>
        <v>0</v>
      </c>
      <c r="BR115" s="81">
        <f t="shared" si="84"/>
        <v>0</v>
      </c>
      <c r="BS115" s="81">
        <f t="shared" si="85"/>
        <v>0</v>
      </c>
      <c r="BT115" s="89">
        <f t="shared" si="86"/>
        <v>0</v>
      </c>
    </row>
    <row r="116" spans="1:72">
      <c r="A116" s="79"/>
      <c r="B116" s="1179"/>
      <c r="C116" s="1180"/>
      <c r="D116" s="2301"/>
      <c r="E116" s="81">
        <f t="shared" si="87"/>
        <v>0</v>
      </c>
      <c r="F116" s="82"/>
      <c r="G116" s="83">
        <f t="shared" si="62"/>
        <v>0</v>
      </c>
      <c r="H116" s="84">
        <f t="shared" si="63"/>
        <v>0</v>
      </c>
      <c r="I116" s="1180"/>
      <c r="J116" s="85"/>
      <c r="K116" s="1180"/>
      <c r="L116" s="85"/>
      <c r="M116" s="85"/>
      <c r="N116" s="85"/>
      <c r="O116" s="1158"/>
      <c r="P116" s="85"/>
      <c r="Q116" s="85"/>
      <c r="R116" s="85"/>
      <c r="S116" s="85"/>
      <c r="T116" s="85"/>
      <c r="U116" s="85"/>
      <c r="V116" s="85"/>
      <c r="W116" s="85"/>
      <c r="X116" s="85"/>
      <c r="Y116" s="85"/>
      <c r="Z116" s="85"/>
      <c r="AA116" s="85"/>
      <c r="AB116" s="85"/>
      <c r="AC116" s="81">
        <f t="shared" si="64"/>
        <v>0</v>
      </c>
      <c r="AD116" s="86"/>
      <c r="AE116" s="86"/>
      <c r="AF116" s="1181"/>
      <c r="AG116" s="86"/>
      <c r="AH116" s="86"/>
      <c r="AI116" s="86"/>
      <c r="AJ116" s="86"/>
      <c r="AK116" s="86"/>
      <c r="AL116" s="86"/>
      <c r="AM116" s="86"/>
      <c r="AN116" s="1158"/>
      <c r="AO116" s="86"/>
      <c r="AP116" s="86"/>
      <c r="AQ116" s="86"/>
      <c r="AR116" s="86"/>
      <c r="AS116" s="86"/>
      <c r="AT116" s="82"/>
      <c r="AU116" s="87"/>
      <c r="AV116" s="818">
        <f t="shared" si="88"/>
        <v>0</v>
      </c>
      <c r="AW116" s="818">
        <f t="shared" si="89"/>
        <v>0</v>
      </c>
      <c r="AX116" s="818">
        <f t="shared" si="90"/>
        <v>0</v>
      </c>
      <c r="AY116" s="88">
        <f t="shared" si="65"/>
        <v>0</v>
      </c>
      <c r="AZ116" s="81">
        <f t="shared" si="66"/>
        <v>0</v>
      </c>
      <c r="BA116" s="81">
        <f t="shared" si="67"/>
        <v>0</v>
      </c>
      <c r="BB116" s="81">
        <f t="shared" si="68"/>
        <v>0</v>
      </c>
      <c r="BC116" s="81">
        <f t="shared" si="69"/>
        <v>0</v>
      </c>
      <c r="BD116" s="81">
        <f t="shared" si="70"/>
        <v>0</v>
      </c>
      <c r="BE116" s="81">
        <f t="shared" si="71"/>
        <v>0</v>
      </c>
      <c r="BF116" s="81">
        <f t="shared" si="72"/>
        <v>0</v>
      </c>
      <c r="BG116" s="81">
        <f t="shared" si="73"/>
        <v>0</v>
      </c>
      <c r="BH116" s="81">
        <f t="shared" si="74"/>
        <v>0</v>
      </c>
      <c r="BI116" s="81">
        <f t="shared" si="75"/>
        <v>0</v>
      </c>
      <c r="BJ116" s="81">
        <f t="shared" si="76"/>
        <v>0</v>
      </c>
      <c r="BK116" s="81">
        <f t="shared" si="77"/>
        <v>0</v>
      </c>
      <c r="BL116" s="81">
        <f t="shared" si="78"/>
        <v>0</v>
      </c>
      <c r="BM116" s="81">
        <f t="shared" si="79"/>
        <v>0</v>
      </c>
      <c r="BN116" s="81">
        <f t="shared" si="80"/>
        <v>0</v>
      </c>
      <c r="BO116" s="81">
        <f t="shared" si="81"/>
        <v>0</v>
      </c>
      <c r="BP116" s="81">
        <f t="shared" si="82"/>
        <v>0</v>
      </c>
      <c r="BQ116" s="81">
        <f t="shared" si="83"/>
        <v>0</v>
      </c>
      <c r="BR116" s="81">
        <f t="shared" si="84"/>
        <v>0</v>
      </c>
      <c r="BS116" s="81">
        <f t="shared" si="85"/>
        <v>0</v>
      </c>
      <c r="BT116" s="89">
        <f t="shared" si="86"/>
        <v>0</v>
      </c>
    </row>
    <row r="117" spans="1:72">
      <c r="A117" s="79"/>
      <c r="B117" s="1179"/>
      <c r="C117" s="1180"/>
      <c r="D117" s="2301"/>
      <c r="E117" s="81">
        <f t="shared" si="87"/>
        <v>0</v>
      </c>
      <c r="F117" s="82"/>
      <c r="G117" s="83">
        <f t="shared" si="62"/>
        <v>0</v>
      </c>
      <c r="H117" s="84">
        <f t="shared" si="63"/>
        <v>0</v>
      </c>
      <c r="I117" s="1180"/>
      <c r="J117" s="85"/>
      <c r="K117" s="1180"/>
      <c r="L117" s="85"/>
      <c r="M117" s="85"/>
      <c r="N117" s="85"/>
      <c r="O117" s="85"/>
      <c r="P117" s="85"/>
      <c r="Q117" s="85"/>
      <c r="R117" s="85"/>
      <c r="S117" s="85"/>
      <c r="T117" s="85"/>
      <c r="U117" s="85"/>
      <c r="V117" s="85"/>
      <c r="W117" s="85"/>
      <c r="X117" s="85"/>
      <c r="Y117" s="85"/>
      <c r="Z117" s="85"/>
      <c r="AA117" s="85"/>
      <c r="AB117" s="85"/>
      <c r="AC117" s="81">
        <f t="shared" si="64"/>
        <v>0</v>
      </c>
      <c r="AD117" s="86"/>
      <c r="AE117" s="86"/>
      <c r="AF117" s="1181"/>
      <c r="AG117" s="86"/>
      <c r="AH117" s="86"/>
      <c r="AI117" s="86"/>
      <c r="AJ117" s="86"/>
      <c r="AK117" s="86"/>
      <c r="AL117" s="86"/>
      <c r="AM117" s="86"/>
      <c r="AN117" s="86"/>
      <c r="AO117" s="86"/>
      <c r="AP117" s="86"/>
      <c r="AQ117" s="86"/>
      <c r="AR117" s="86"/>
      <c r="AS117" s="86"/>
      <c r="AT117" s="82"/>
      <c r="AU117" s="87"/>
      <c r="AV117" s="818">
        <f t="shared" si="88"/>
        <v>0</v>
      </c>
      <c r="AW117" s="818">
        <f t="shared" si="89"/>
        <v>0</v>
      </c>
      <c r="AX117" s="818">
        <f t="shared" si="90"/>
        <v>0</v>
      </c>
      <c r="AY117" s="88">
        <f t="shared" si="65"/>
        <v>0</v>
      </c>
      <c r="AZ117" s="81">
        <f t="shared" si="66"/>
        <v>0</v>
      </c>
      <c r="BA117" s="81">
        <f t="shared" si="67"/>
        <v>0</v>
      </c>
      <c r="BB117" s="81">
        <f t="shared" si="68"/>
        <v>0</v>
      </c>
      <c r="BC117" s="81">
        <f t="shared" si="69"/>
        <v>0</v>
      </c>
      <c r="BD117" s="81">
        <f t="shared" si="70"/>
        <v>0</v>
      </c>
      <c r="BE117" s="81">
        <f t="shared" si="71"/>
        <v>0</v>
      </c>
      <c r="BF117" s="81">
        <f t="shared" si="72"/>
        <v>0</v>
      </c>
      <c r="BG117" s="81">
        <f t="shared" si="73"/>
        <v>0</v>
      </c>
      <c r="BH117" s="81">
        <f t="shared" si="74"/>
        <v>0</v>
      </c>
      <c r="BI117" s="81">
        <f t="shared" si="75"/>
        <v>0</v>
      </c>
      <c r="BJ117" s="81">
        <f t="shared" si="76"/>
        <v>0</v>
      </c>
      <c r="BK117" s="81">
        <f t="shared" si="77"/>
        <v>0</v>
      </c>
      <c r="BL117" s="81">
        <f t="shared" si="78"/>
        <v>0</v>
      </c>
      <c r="BM117" s="81">
        <f t="shared" si="79"/>
        <v>0</v>
      </c>
      <c r="BN117" s="81">
        <f t="shared" si="80"/>
        <v>0</v>
      </c>
      <c r="BO117" s="81">
        <f t="shared" si="81"/>
        <v>0</v>
      </c>
      <c r="BP117" s="81">
        <f t="shared" si="82"/>
        <v>0</v>
      </c>
      <c r="BQ117" s="81">
        <f t="shared" si="83"/>
        <v>0</v>
      </c>
      <c r="BR117" s="81">
        <f t="shared" si="84"/>
        <v>0</v>
      </c>
      <c r="BS117" s="81">
        <f t="shared" si="85"/>
        <v>0</v>
      </c>
      <c r="BT117" s="89">
        <f t="shared" si="86"/>
        <v>0</v>
      </c>
    </row>
    <row r="118" spans="1:72">
      <c r="A118" s="79"/>
      <c r="B118" s="1179"/>
      <c r="C118" s="1180"/>
      <c r="D118" s="2301"/>
      <c r="E118" s="81">
        <f t="shared" si="87"/>
        <v>0</v>
      </c>
      <c r="F118" s="82"/>
      <c r="G118" s="83">
        <f t="shared" si="62"/>
        <v>0</v>
      </c>
      <c r="H118" s="84">
        <f t="shared" si="63"/>
        <v>0</v>
      </c>
      <c r="I118" s="1180"/>
      <c r="J118" s="85"/>
      <c r="K118" s="1180"/>
      <c r="L118" s="85"/>
      <c r="M118" s="85"/>
      <c r="N118" s="85"/>
      <c r="O118" s="85"/>
      <c r="P118" s="85"/>
      <c r="Q118" s="85"/>
      <c r="R118" s="85"/>
      <c r="S118" s="85"/>
      <c r="T118" s="85"/>
      <c r="U118" s="85"/>
      <c r="V118" s="85"/>
      <c r="W118" s="85"/>
      <c r="X118" s="85"/>
      <c r="Y118" s="85"/>
      <c r="Z118" s="85"/>
      <c r="AA118" s="85"/>
      <c r="AB118" s="85"/>
      <c r="AC118" s="81">
        <f t="shared" si="64"/>
        <v>0</v>
      </c>
      <c r="AD118" s="86"/>
      <c r="AE118" s="86"/>
      <c r="AF118" s="1181"/>
      <c r="AG118" s="86"/>
      <c r="AH118" s="86"/>
      <c r="AI118" s="86"/>
      <c r="AJ118" s="86"/>
      <c r="AK118" s="86"/>
      <c r="AL118" s="86"/>
      <c r="AM118" s="86"/>
      <c r="AN118" s="86"/>
      <c r="AO118" s="86"/>
      <c r="AP118" s="86"/>
      <c r="AQ118" s="86"/>
      <c r="AR118" s="86"/>
      <c r="AS118" s="86"/>
      <c r="AT118" s="82"/>
      <c r="AU118" s="87"/>
      <c r="AV118" s="818">
        <f t="shared" si="88"/>
        <v>0</v>
      </c>
      <c r="AW118" s="818">
        <f t="shared" si="89"/>
        <v>0</v>
      </c>
      <c r="AX118" s="818">
        <f t="shared" si="90"/>
        <v>0</v>
      </c>
      <c r="AY118" s="88">
        <f t="shared" si="65"/>
        <v>0</v>
      </c>
      <c r="AZ118" s="81">
        <f t="shared" si="66"/>
        <v>0</v>
      </c>
      <c r="BA118" s="81">
        <f t="shared" si="67"/>
        <v>0</v>
      </c>
      <c r="BB118" s="81">
        <f t="shared" si="68"/>
        <v>0</v>
      </c>
      <c r="BC118" s="81">
        <f t="shared" si="69"/>
        <v>0</v>
      </c>
      <c r="BD118" s="81">
        <f t="shared" si="70"/>
        <v>0</v>
      </c>
      <c r="BE118" s="81">
        <f t="shared" si="71"/>
        <v>0</v>
      </c>
      <c r="BF118" s="81">
        <f t="shared" si="72"/>
        <v>0</v>
      </c>
      <c r="BG118" s="81">
        <f t="shared" si="73"/>
        <v>0</v>
      </c>
      <c r="BH118" s="81">
        <f t="shared" si="74"/>
        <v>0</v>
      </c>
      <c r="BI118" s="81">
        <f t="shared" si="75"/>
        <v>0</v>
      </c>
      <c r="BJ118" s="81">
        <f t="shared" si="76"/>
        <v>0</v>
      </c>
      <c r="BK118" s="81">
        <f t="shared" si="77"/>
        <v>0</v>
      </c>
      <c r="BL118" s="81">
        <f t="shared" si="78"/>
        <v>0</v>
      </c>
      <c r="BM118" s="81">
        <f t="shared" si="79"/>
        <v>0</v>
      </c>
      <c r="BN118" s="81">
        <f t="shared" si="80"/>
        <v>0</v>
      </c>
      <c r="BO118" s="81">
        <f t="shared" si="81"/>
        <v>0</v>
      </c>
      <c r="BP118" s="81">
        <f t="shared" si="82"/>
        <v>0</v>
      </c>
      <c r="BQ118" s="81">
        <f t="shared" si="83"/>
        <v>0</v>
      </c>
      <c r="BR118" s="81">
        <f t="shared" si="84"/>
        <v>0</v>
      </c>
      <c r="BS118" s="81">
        <f t="shared" si="85"/>
        <v>0</v>
      </c>
      <c r="BT118" s="89">
        <f t="shared" si="86"/>
        <v>0</v>
      </c>
    </row>
    <row r="119" spans="1:72">
      <c r="A119" s="79"/>
      <c r="B119" s="1179"/>
      <c r="C119" s="1180"/>
      <c r="D119" s="2301"/>
      <c r="E119" s="81">
        <f t="shared" si="87"/>
        <v>0</v>
      </c>
      <c r="F119" s="82"/>
      <c r="G119" s="83">
        <f t="shared" si="62"/>
        <v>0</v>
      </c>
      <c r="H119" s="84">
        <f t="shared" si="63"/>
        <v>0</v>
      </c>
      <c r="I119" s="1180"/>
      <c r="J119" s="85"/>
      <c r="K119" s="1180"/>
      <c r="L119" s="85"/>
      <c r="M119" s="85"/>
      <c r="N119" s="85"/>
      <c r="O119" s="85"/>
      <c r="P119" s="85"/>
      <c r="Q119" s="85"/>
      <c r="R119" s="85"/>
      <c r="S119" s="85"/>
      <c r="T119" s="85"/>
      <c r="U119" s="85"/>
      <c r="V119" s="85"/>
      <c r="W119" s="85"/>
      <c r="X119" s="85"/>
      <c r="Y119" s="85"/>
      <c r="Z119" s="85"/>
      <c r="AA119" s="85"/>
      <c r="AB119" s="85"/>
      <c r="AC119" s="81">
        <f t="shared" si="64"/>
        <v>0</v>
      </c>
      <c r="AD119" s="86"/>
      <c r="AE119" s="86"/>
      <c r="AF119" s="1181"/>
      <c r="AG119" s="86"/>
      <c r="AH119" s="86"/>
      <c r="AI119" s="86"/>
      <c r="AJ119" s="86"/>
      <c r="AK119" s="86"/>
      <c r="AL119" s="86"/>
      <c r="AM119" s="86"/>
      <c r="AN119" s="86"/>
      <c r="AO119" s="86"/>
      <c r="AP119" s="86"/>
      <c r="AQ119" s="86"/>
      <c r="AR119" s="86"/>
      <c r="AS119" s="86"/>
      <c r="AT119" s="82"/>
      <c r="AU119" s="87"/>
      <c r="AV119" s="818">
        <f t="shared" si="88"/>
        <v>0</v>
      </c>
      <c r="AW119" s="818">
        <f t="shared" si="89"/>
        <v>0</v>
      </c>
      <c r="AX119" s="818">
        <f t="shared" si="90"/>
        <v>0</v>
      </c>
      <c r="AY119" s="88">
        <f t="shared" si="65"/>
        <v>0</v>
      </c>
      <c r="AZ119" s="81">
        <f t="shared" si="66"/>
        <v>0</v>
      </c>
      <c r="BA119" s="81">
        <f t="shared" si="67"/>
        <v>0</v>
      </c>
      <c r="BB119" s="81">
        <f t="shared" si="68"/>
        <v>0</v>
      </c>
      <c r="BC119" s="81">
        <f t="shared" si="69"/>
        <v>0</v>
      </c>
      <c r="BD119" s="81">
        <f t="shared" si="70"/>
        <v>0</v>
      </c>
      <c r="BE119" s="81">
        <f t="shared" si="71"/>
        <v>0</v>
      </c>
      <c r="BF119" s="81">
        <f t="shared" si="72"/>
        <v>0</v>
      </c>
      <c r="BG119" s="81">
        <f t="shared" si="73"/>
        <v>0</v>
      </c>
      <c r="BH119" s="81">
        <f t="shared" si="74"/>
        <v>0</v>
      </c>
      <c r="BI119" s="81">
        <f t="shared" si="75"/>
        <v>0</v>
      </c>
      <c r="BJ119" s="81">
        <f t="shared" si="76"/>
        <v>0</v>
      </c>
      <c r="BK119" s="81">
        <f t="shared" si="77"/>
        <v>0</v>
      </c>
      <c r="BL119" s="81">
        <f t="shared" si="78"/>
        <v>0</v>
      </c>
      <c r="BM119" s="81">
        <f t="shared" si="79"/>
        <v>0</v>
      </c>
      <c r="BN119" s="81">
        <f t="shared" si="80"/>
        <v>0</v>
      </c>
      <c r="BO119" s="81">
        <f t="shared" si="81"/>
        <v>0</v>
      </c>
      <c r="BP119" s="81">
        <f t="shared" si="82"/>
        <v>0</v>
      </c>
      <c r="BQ119" s="81">
        <f t="shared" si="83"/>
        <v>0</v>
      </c>
      <c r="BR119" s="81">
        <f t="shared" si="84"/>
        <v>0</v>
      </c>
      <c r="BS119" s="81">
        <f t="shared" si="85"/>
        <v>0</v>
      </c>
      <c r="BT119" s="89">
        <f t="shared" si="86"/>
        <v>0</v>
      </c>
    </row>
    <row r="120" spans="1:72">
      <c r="A120" s="79"/>
      <c r="B120" s="1179"/>
      <c r="C120" s="1180"/>
      <c r="D120" s="2301"/>
      <c r="E120" s="81">
        <f t="shared" si="87"/>
        <v>0</v>
      </c>
      <c r="F120" s="82"/>
      <c r="G120" s="83">
        <f t="shared" si="62"/>
        <v>0</v>
      </c>
      <c r="H120" s="84">
        <f t="shared" si="63"/>
        <v>0</v>
      </c>
      <c r="I120" s="1180"/>
      <c r="J120" s="85"/>
      <c r="K120" s="1180"/>
      <c r="L120" s="85"/>
      <c r="M120" s="85"/>
      <c r="N120" s="85"/>
      <c r="O120" s="85"/>
      <c r="P120" s="85"/>
      <c r="Q120" s="85"/>
      <c r="R120" s="85"/>
      <c r="S120" s="85"/>
      <c r="T120" s="85"/>
      <c r="U120" s="85"/>
      <c r="V120" s="85"/>
      <c r="W120" s="85"/>
      <c r="X120" s="85"/>
      <c r="Y120" s="85"/>
      <c r="Z120" s="85"/>
      <c r="AA120" s="85"/>
      <c r="AB120" s="85"/>
      <c r="AC120" s="81">
        <f t="shared" si="64"/>
        <v>0</v>
      </c>
      <c r="AD120" s="86"/>
      <c r="AE120" s="86"/>
      <c r="AF120" s="1180"/>
      <c r="AG120" s="86"/>
      <c r="AH120" s="86"/>
      <c r="AI120" s="86"/>
      <c r="AJ120" s="86"/>
      <c r="AK120" s="86"/>
      <c r="AL120" s="86"/>
      <c r="AM120" s="86"/>
      <c r="AN120" s="86"/>
      <c r="AO120" s="86"/>
      <c r="AP120" s="86"/>
      <c r="AQ120" s="86"/>
      <c r="AR120" s="86"/>
      <c r="AS120" s="86"/>
      <c r="AT120" s="82"/>
      <c r="AU120" s="87"/>
      <c r="AV120" s="818">
        <f t="shared" si="88"/>
        <v>0</v>
      </c>
      <c r="AW120" s="818">
        <f t="shared" si="89"/>
        <v>0</v>
      </c>
      <c r="AX120" s="818">
        <f t="shared" si="90"/>
        <v>0</v>
      </c>
      <c r="AY120" s="88">
        <f t="shared" si="65"/>
        <v>0</v>
      </c>
      <c r="AZ120" s="81">
        <f t="shared" si="66"/>
        <v>0</v>
      </c>
      <c r="BA120" s="81">
        <f t="shared" si="67"/>
        <v>0</v>
      </c>
      <c r="BB120" s="81">
        <f t="shared" si="68"/>
        <v>0</v>
      </c>
      <c r="BC120" s="81">
        <f t="shared" si="69"/>
        <v>0</v>
      </c>
      <c r="BD120" s="81">
        <f t="shared" si="70"/>
        <v>0</v>
      </c>
      <c r="BE120" s="81">
        <f t="shared" si="71"/>
        <v>0</v>
      </c>
      <c r="BF120" s="81">
        <f t="shared" si="72"/>
        <v>0</v>
      </c>
      <c r="BG120" s="81">
        <f t="shared" si="73"/>
        <v>0</v>
      </c>
      <c r="BH120" s="81">
        <f t="shared" si="74"/>
        <v>0</v>
      </c>
      <c r="BI120" s="81">
        <f t="shared" si="75"/>
        <v>0</v>
      </c>
      <c r="BJ120" s="81">
        <f t="shared" si="76"/>
        <v>0</v>
      </c>
      <c r="BK120" s="81">
        <f t="shared" si="77"/>
        <v>0</v>
      </c>
      <c r="BL120" s="81">
        <f t="shared" si="78"/>
        <v>0</v>
      </c>
      <c r="BM120" s="81">
        <f t="shared" si="79"/>
        <v>0</v>
      </c>
      <c r="BN120" s="81">
        <f t="shared" si="80"/>
        <v>0</v>
      </c>
      <c r="BO120" s="81">
        <f t="shared" si="81"/>
        <v>0</v>
      </c>
      <c r="BP120" s="81">
        <f t="shared" si="82"/>
        <v>0</v>
      </c>
      <c r="BQ120" s="81">
        <f t="shared" si="83"/>
        <v>0</v>
      </c>
      <c r="BR120" s="81">
        <f t="shared" si="84"/>
        <v>0</v>
      </c>
      <c r="BS120" s="81">
        <f t="shared" si="85"/>
        <v>0</v>
      </c>
      <c r="BT120" s="89">
        <f t="shared" si="86"/>
        <v>0</v>
      </c>
    </row>
    <row r="121" spans="1:72">
      <c r="A121" s="79"/>
      <c r="B121" s="1179"/>
      <c r="C121" s="1180"/>
      <c r="D121" s="2301"/>
      <c r="E121" s="81">
        <f t="shared" si="87"/>
        <v>0</v>
      </c>
      <c r="F121" s="82"/>
      <c r="G121" s="83">
        <f t="shared" si="62"/>
        <v>0</v>
      </c>
      <c r="H121" s="84">
        <f t="shared" si="63"/>
        <v>0</v>
      </c>
      <c r="I121" s="1180"/>
      <c r="J121" s="85"/>
      <c r="K121" s="1180"/>
      <c r="L121" s="85"/>
      <c r="M121" s="85"/>
      <c r="N121" s="85"/>
      <c r="O121" s="85"/>
      <c r="P121" s="85"/>
      <c r="Q121" s="85"/>
      <c r="R121" s="85"/>
      <c r="S121" s="85"/>
      <c r="T121" s="85"/>
      <c r="U121" s="85"/>
      <c r="V121" s="85"/>
      <c r="W121" s="85"/>
      <c r="X121" s="85"/>
      <c r="Y121" s="85"/>
      <c r="Z121" s="85"/>
      <c r="AA121" s="85"/>
      <c r="AB121" s="85"/>
      <c r="AC121" s="81">
        <f t="shared" si="64"/>
        <v>0</v>
      </c>
      <c r="AD121" s="86"/>
      <c r="AE121" s="86"/>
      <c r="AF121" s="1180"/>
      <c r="AG121" s="86"/>
      <c r="AH121" s="86"/>
      <c r="AI121" s="86"/>
      <c r="AJ121" s="86"/>
      <c r="AK121" s="86"/>
      <c r="AL121" s="86"/>
      <c r="AM121" s="86"/>
      <c r="AN121" s="86"/>
      <c r="AO121" s="86"/>
      <c r="AP121" s="86"/>
      <c r="AQ121" s="86"/>
      <c r="AR121" s="86"/>
      <c r="AS121" s="86"/>
      <c r="AT121" s="82"/>
      <c r="AU121" s="87"/>
      <c r="AV121" s="818">
        <f t="shared" si="88"/>
        <v>0</v>
      </c>
      <c r="AW121" s="818">
        <f t="shared" si="89"/>
        <v>0</v>
      </c>
      <c r="AX121" s="818">
        <f t="shared" si="90"/>
        <v>0</v>
      </c>
      <c r="AY121" s="88">
        <f t="shared" si="65"/>
        <v>0</v>
      </c>
      <c r="AZ121" s="81">
        <f t="shared" si="66"/>
        <v>0</v>
      </c>
      <c r="BA121" s="81">
        <f t="shared" si="67"/>
        <v>0</v>
      </c>
      <c r="BB121" s="81">
        <f t="shared" si="68"/>
        <v>0</v>
      </c>
      <c r="BC121" s="81">
        <f t="shared" si="69"/>
        <v>0</v>
      </c>
      <c r="BD121" s="81">
        <f t="shared" si="70"/>
        <v>0</v>
      </c>
      <c r="BE121" s="81">
        <f t="shared" si="71"/>
        <v>0</v>
      </c>
      <c r="BF121" s="81">
        <f t="shared" si="72"/>
        <v>0</v>
      </c>
      <c r="BG121" s="81">
        <f t="shared" si="73"/>
        <v>0</v>
      </c>
      <c r="BH121" s="81">
        <f t="shared" si="74"/>
        <v>0</v>
      </c>
      <c r="BI121" s="81">
        <f t="shared" si="75"/>
        <v>0</v>
      </c>
      <c r="BJ121" s="81">
        <f t="shared" si="76"/>
        <v>0</v>
      </c>
      <c r="BK121" s="81">
        <f t="shared" si="77"/>
        <v>0</v>
      </c>
      <c r="BL121" s="81">
        <f t="shared" si="78"/>
        <v>0</v>
      </c>
      <c r="BM121" s="81">
        <f t="shared" si="79"/>
        <v>0</v>
      </c>
      <c r="BN121" s="81">
        <f t="shared" si="80"/>
        <v>0</v>
      </c>
      <c r="BO121" s="81">
        <f t="shared" si="81"/>
        <v>0</v>
      </c>
      <c r="BP121" s="81">
        <f t="shared" si="82"/>
        <v>0</v>
      </c>
      <c r="BQ121" s="81">
        <f t="shared" si="83"/>
        <v>0</v>
      </c>
      <c r="BR121" s="81">
        <f t="shared" si="84"/>
        <v>0</v>
      </c>
      <c r="BS121" s="81">
        <f t="shared" si="85"/>
        <v>0</v>
      </c>
      <c r="BT121" s="89">
        <f t="shared" si="86"/>
        <v>0</v>
      </c>
    </row>
    <row r="122" spans="1:72">
      <c r="A122" s="79"/>
      <c r="B122" s="1179"/>
      <c r="C122" s="1180"/>
      <c r="D122" s="2301"/>
      <c r="E122" s="81">
        <f t="shared" si="87"/>
        <v>0</v>
      </c>
      <c r="F122" s="82"/>
      <c r="G122" s="83">
        <f t="shared" si="62"/>
        <v>0</v>
      </c>
      <c r="H122" s="84">
        <f t="shared" si="63"/>
        <v>0</v>
      </c>
      <c r="I122" s="1180"/>
      <c r="J122" s="85"/>
      <c r="K122" s="1180"/>
      <c r="L122" s="85"/>
      <c r="M122" s="85"/>
      <c r="N122" s="85"/>
      <c r="O122" s="85"/>
      <c r="P122" s="85"/>
      <c r="Q122" s="85"/>
      <c r="R122" s="85"/>
      <c r="S122" s="85"/>
      <c r="T122" s="85"/>
      <c r="U122" s="85"/>
      <c r="V122" s="85"/>
      <c r="W122" s="85"/>
      <c r="X122" s="85"/>
      <c r="Y122" s="85"/>
      <c r="Z122" s="85"/>
      <c r="AA122" s="85"/>
      <c r="AB122" s="85"/>
      <c r="AC122" s="81">
        <f t="shared" si="64"/>
        <v>0</v>
      </c>
      <c r="AD122" s="86"/>
      <c r="AE122" s="86"/>
      <c r="AF122" s="1180"/>
      <c r="AG122" s="86"/>
      <c r="AH122" s="86"/>
      <c r="AI122" s="86"/>
      <c r="AJ122" s="86"/>
      <c r="AK122" s="86"/>
      <c r="AL122" s="86"/>
      <c r="AM122" s="86"/>
      <c r="AN122" s="86"/>
      <c r="AO122" s="86"/>
      <c r="AP122" s="86"/>
      <c r="AQ122" s="86"/>
      <c r="AR122" s="86"/>
      <c r="AS122" s="86"/>
      <c r="AT122" s="82"/>
      <c r="AU122" s="87"/>
      <c r="AV122" s="818">
        <f t="shared" si="88"/>
        <v>0</v>
      </c>
      <c r="AW122" s="818">
        <f t="shared" si="89"/>
        <v>0</v>
      </c>
      <c r="AX122" s="818">
        <f t="shared" si="90"/>
        <v>0</v>
      </c>
      <c r="AY122" s="88">
        <f t="shared" si="65"/>
        <v>0</v>
      </c>
      <c r="AZ122" s="81">
        <f t="shared" si="66"/>
        <v>0</v>
      </c>
      <c r="BA122" s="81">
        <f t="shared" si="67"/>
        <v>0</v>
      </c>
      <c r="BB122" s="81">
        <f t="shared" si="68"/>
        <v>0</v>
      </c>
      <c r="BC122" s="81">
        <f t="shared" si="69"/>
        <v>0</v>
      </c>
      <c r="BD122" s="81">
        <f t="shared" si="70"/>
        <v>0</v>
      </c>
      <c r="BE122" s="81">
        <f t="shared" si="71"/>
        <v>0</v>
      </c>
      <c r="BF122" s="81">
        <f t="shared" si="72"/>
        <v>0</v>
      </c>
      <c r="BG122" s="81">
        <f t="shared" si="73"/>
        <v>0</v>
      </c>
      <c r="BH122" s="81">
        <f t="shared" si="74"/>
        <v>0</v>
      </c>
      <c r="BI122" s="81">
        <f t="shared" si="75"/>
        <v>0</v>
      </c>
      <c r="BJ122" s="81">
        <f t="shared" si="76"/>
        <v>0</v>
      </c>
      <c r="BK122" s="81">
        <f t="shared" si="77"/>
        <v>0</v>
      </c>
      <c r="BL122" s="81">
        <f t="shared" si="78"/>
        <v>0</v>
      </c>
      <c r="BM122" s="81">
        <f t="shared" si="79"/>
        <v>0</v>
      </c>
      <c r="BN122" s="81">
        <f t="shared" si="80"/>
        <v>0</v>
      </c>
      <c r="BO122" s="81">
        <f t="shared" si="81"/>
        <v>0</v>
      </c>
      <c r="BP122" s="81">
        <f t="shared" si="82"/>
        <v>0</v>
      </c>
      <c r="BQ122" s="81">
        <f t="shared" si="83"/>
        <v>0</v>
      </c>
      <c r="BR122" s="81">
        <f t="shared" si="84"/>
        <v>0</v>
      </c>
      <c r="BS122" s="81">
        <f t="shared" si="85"/>
        <v>0</v>
      </c>
      <c r="BT122" s="89">
        <f t="shared" si="86"/>
        <v>0</v>
      </c>
    </row>
    <row r="123" spans="1:72">
      <c r="A123" s="79"/>
      <c r="B123" s="1179"/>
      <c r="C123" s="1180"/>
      <c r="D123" s="2301"/>
      <c r="E123" s="81">
        <f t="shared" si="87"/>
        <v>0</v>
      </c>
      <c r="F123" s="82"/>
      <c r="G123" s="83">
        <f t="shared" si="62"/>
        <v>0</v>
      </c>
      <c r="H123" s="84">
        <f t="shared" si="63"/>
        <v>0</v>
      </c>
      <c r="I123" s="1180"/>
      <c r="J123" s="85"/>
      <c r="K123" s="1180"/>
      <c r="L123" s="85"/>
      <c r="M123" s="85"/>
      <c r="N123" s="85"/>
      <c r="O123" s="85"/>
      <c r="P123" s="85"/>
      <c r="Q123" s="85"/>
      <c r="R123" s="85"/>
      <c r="S123" s="85"/>
      <c r="T123" s="85"/>
      <c r="U123" s="85"/>
      <c r="V123" s="85"/>
      <c r="W123" s="85"/>
      <c r="X123" s="85"/>
      <c r="Y123" s="85"/>
      <c r="Z123" s="85"/>
      <c r="AA123" s="85"/>
      <c r="AB123" s="85"/>
      <c r="AC123" s="81">
        <f t="shared" si="64"/>
        <v>0</v>
      </c>
      <c r="AD123" s="86"/>
      <c r="AE123" s="86"/>
      <c r="AF123" s="1180"/>
      <c r="AG123" s="86"/>
      <c r="AH123" s="86"/>
      <c r="AI123" s="86"/>
      <c r="AJ123" s="86"/>
      <c r="AK123" s="86"/>
      <c r="AL123" s="86"/>
      <c r="AM123" s="86"/>
      <c r="AN123" s="86"/>
      <c r="AO123" s="86"/>
      <c r="AP123" s="86"/>
      <c r="AQ123" s="86"/>
      <c r="AR123" s="86"/>
      <c r="AS123" s="86"/>
      <c r="AT123" s="82"/>
      <c r="AU123" s="87"/>
      <c r="AV123" s="818">
        <f t="shared" si="88"/>
        <v>0</v>
      </c>
      <c r="AW123" s="818">
        <f t="shared" si="89"/>
        <v>0</v>
      </c>
      <c r="AX123" s="818">
        <f t="shared" si="90"/>
        <v>0</v>
      </c>
      <c r="AY123" s="88">
        <f t="shared" si="65"/>
        <v>0</v>
      </c>
      <c r="AZ123" s="81">
        <f t="shared" si="66"/>
        <v>0</v>
      </c>
      <c r="BA123" s="81">
        <f t="shared" si="67"/>
        <v>0</v>
      </c>
      <c r="BB123" s="81">
        <f t="shared" si="68"/>
        <v>0</v>
      </c>
      <c r="BC123" s="81">
        <f t="shared" si="69"/>
        <v>0</v>
      </c>
      <c r="BD123" s="81">
        <f t="shared" si="70"/>
        <v>0</v>
      </c>
      <c r="BE123" s="81">
        <f t="shared" si="71"/>
        <v>0</v>
      </c>
      <c r="BF123" s="81">
        <f t="shared" si="72"/>
        <v>0</v>
      </c>
      <c r="BG123" s="81">
        <f t="shared" si="73"/>
        <v>0</v>
      </c>
      <c r="BH123" s="81">
        <f t="shared" si="74"/>
        <v>0</v>
      </c>
      <c r="BI123" s="81">
        <f t="shared" si="75"/>
        <v>0</v>
      </c>
      <c r="BJ123" s="81">
        <f t="shared" si="76"/>
        <v>0</v>
      </c>
      <c r="BK123" s="81">
        <f t="shared" si="77"/>
        <v>0</v>
      </c>
      <c r="BL123" s="81">
        <f t="shared" si="78"/>
        <v>0</v>
      </c>
      <c r="BM123" s="81">
        <f t="shared" si="79"/>
        <v>0</v>
      </c>
      <c r="BN123" s="81">
        <f t="shared" si="80"/>
        <v>0</v>
      </c>
      <c r="BO123" s="81">
        <f t="shared" si="81"/>
        <v>0</v>
      </c>
      <c r="BP123" s="81">
        <f t="shared" si="82"/>
        <v>0</v>
      </c>
      <c r="BQ123" s="81">
        <f t="shared" si="83"/>
        <v>0</v>
      </c>
      <c r="BR123" s="81">
        <f t="shared" si="84"/>
        <v>0</v>
      </c>
      <c r="BS123" s="81">
        <f t="shared" si="85"/>
        <v>0</v>
      </c>
      <c r="BT123" s="89">
        <f t="shared" si="86"/>
        <v>0</v>
      </c>
    </row>
    <row r="124" spans="1:72">
      <c r="A124" s="79"/>
      <c r="B124" s="1179"/>
      <c r="C124" s="1180"/>
      <c r="D124" s="2301"/>
      <c r="E124" s="81">
        <f t="shared" si="87"/>
        <v>0</v>
      </c>
      <c r="F124" s="82"/>
      <c r="G124" s="83">
        <f t="shared" si="62"/>
        <v>0</v>
      </c>
      <c r="H124" s="84">
        <f t="shared" si="63"/>
        <v>0</v>
      </c>
      <c r="I124" s="1180"/>
      <c r="J124" s="85"/>
      <c r="K124" s="1180"/>
      <c r="L124" s="85"/>
      <c r="M124" s="85"/>
      <c r="N124" s="85"/>
      <c r="O124" s="85"/>
      <c r="P124" s="85"/>
      <c r="Q124" s="85"/>
      <c r="R124" s="85"/>
      <c r="S124" s="85"/>
      <c r="T124" s="85"/>
      <c r="U124" s="85"/>
      <c r="V124" s="85"/>
      <c r="W124" s="85"/>
      <c r="X124" s="85"/>
      <c r="Y124" s="85"/>
      <c r="Z124" s="85"/>
      <c r="AA124" s="85"/>
      <c r="AB124" s="85"/>
      <c r="AC124" s="81">
        <f t="shared" si="64"/>
        <v>0</v>
      </c>
      <c r="AD124" s="86"/>
      <c r="AE124" s="86"/>
      <c r="AF124" s="1180"/>
      <c r="AG124" s="86"/>
      <c r="AH124" s="86"/>
      <c r="AI124" s="86"/>
      <c r="AJ124" s="86"/>
      <c r="AK124" s="86"/>
      <c r="AL124" s="86"/>
      <c r="AM124" s="86"/>
      <c r="AN124" s="86"/>
      <c r="AO124" s="86"/>
      <c r="AP124" s="86"/>
      <c r="AQ124" s="86"/>
      <c r="AR124" s="86"/>
      <c r="AS124" s="86"/>
      <c r="AT124" s="82"/>
      <c r="AU124" s="87"/>
      <c r="AV124" s="818">
        <f t="shared" si="88"/>
        <v>0</v>
      </c>
      <c r="AW124" s="818">
        <f t="shared" si="89"/>
        <v>0</v>
      </c>
      <c r="AX124" s="818">
        <f t="shared" si="90"/>
        <v>0</v>
      </c>
      <c r="AY124" s="88">
        <f t="shared" si="65"/>
        <v>0</v>
      </c>
      <c r="AZ124" s="81">
        <f t="shared" si="66"/>
        <v>0</v>
      </c>
      <c r="BA124" s="81">
        <f t="shared" si="67"/>
        <v>0</v>
      </c>
      <c r="BB124" s="81">
        <f t="shared" si="68"/>
        <v>0</v>
      </c>
      <c r="BC124" s="81">
        <f t="shared" si="69"/>
        <v>0</v>
      </c>
      <c r="BD124" s="81">
        <f t="shared" si="70"/>
        <v>0</v>
      </c>
      <c r="BE124" s="81">
        <f t="shared" si="71"/>
        <v>0</v>
      </c>
      <c r="BF124" s="81">
        <f t="shared" si="72"/>
        <v>0</v>
      </c>
      <c r="BG124" s="81">
        <f t="shared" si="73"/>
        <v>0</v>
      </c>
      <c r="BH124" s="81">
        <f t="shared" si="74"/>
        <v>0</v>
      </c>
      <c r="BI124" s="81">
        <f t="shared" si="75"/>
        <v>0</v>
      </c>
      <c r="BJ124" s="81">
        <f t="shared" si="76"/>
        <v>0</v>
      </c>
      <c r="BK124" s="81">
        <f t="shared" si="77"/>
        <v>0</v>
      </c>
      <c r="BL124" s="81">
        <f t="shared" si="78"/>
        <v>0</v>
      </c>
      <c r="BM124" s="81">
        <f t="shared" si="79"/>
        <v>0</v>
      </c>
      <c r="BN124" s="81">
        <f t="shared" si="80"/>
        <v>0</v>
      </c>
      <c r="BO124" s="81">
        <f t="shared" si="81"/>
        <v>0</v>
      </c>
      <c r="BP124" s="81">
        <f t="shared" si="82"/>
        <v>0</v>
      </c>
      <c r="BQ124" s="81">
        <f t="shared" si="83"/>
        <v>0</v>
      </c>
      <c r="BR124" s="81">
        <f t="shared" si="84"/>
        <v>0</v>
      </c>
      <c r="BS124" s="81">
        <f t="shared" si="85"/>
        <v>0</v>
      </c>
      <c r="BT124" s="89">
        <f t="shared" si="86"/>
        <v>0</v>
      </c>
    </row>
    <row r="125" spans="1:72">
      <c r="A125" s="79"/>
      <c r="B125" s="1179"/>
      <c r="C125" s="1180"/>
      <c r="D125" s="2301"/>
      <c r="E125" s="81">
        <f t="shared" si="87"/>
        <v>0</v>
      </c>
      <c r="F125" s="82"/>
      <c r="G125" s="83">
        <f t="shared" si="62"/>
        <v>0</v>
      </c>
      <c r="H125" s="84">
        <f t="shared" si="63"/>
        <v>0</v>
      </c>
      <c r="I125" s="1180"/>
      <c r="J125" s="85"/>
      <c r="K125" s="1180"/>
      <c r="L125" s="85"/>
      <c r="M125" s="85"/>
      <c r="N125" s="85"/>
      <c r="O125" s="85"/>
      <c r="P125" s="85"/>
      <c r="Q125" s="85"/>
      <c r="R125" s="85"/>
      <c r="S125" s="85"/>
      <c r="T125" s="85"/>
      <c r="U125" s="85"/>
      <c r="V125" s="85"/>
      <c r="W125" s="85"/>
      <c r="X125" s="85"/>
      <c r="Y125" s="85"/>
      <c r="Z125" s="85"/>
      <c r="AA125" s="85"/>
      <c r="AB125" s="85"/>
      <c r="AC125" s="81">
        <f t="shared" si="64"/>
        <v>0</v>
      </c>
      <c r="AD125" s="86"/>
      <c r="AE125" s="86"/>
      <c r="AF125" s="1180"/>
      <c r="AG125" s="86"/>
      <c r="AH125" s="86"/>
      <c r="AI125" s="86"/>
      <c r="AJ125" s="86"/>
      <c r="AK125" s="86"/>
      <c r="AL125" s="86"/>
      <c r="AM125" s="86"/>
      <c r="AN125" s="86"/>
      <c r="AO125" s="86"/>
      <c r="AP125" s="86"/>
      <c r="AQ125" s="86"/>
      <c r="AR125" s="86"/>
      <c r="AS125" s="86"/>
      <c r="AT125" s="82"/>
      <c r="AU125" s="87"/>
      <c r="AV125" s="818">
        <f t="shared" si="88"/>
        <v>0</v>
      </c>
      <c r="AW125" s="818">
        <f t="shared" si="89"/>
        <v>0</v>
      </c>
      <c r="AX125" s="818">
        <f t="shared" si="90"/>
        <v>0</v>
      </c>
      <c r="AY125" s="88">
        <f t="shared" si="65"/>
        <v>0</v>
      </c>
      <c r="AZ125" s="81">
        <f t="shared" si="66"/>
        <v>0</v>
      </c>
      <c r="BA125" s="81">
        <f t="shared" si="67"/>
        <v>0</v>
      </c>
      <c r="BB125" s="81">
        <f t="shared" si="68"/>
        <v>0</v>
      </c>
      <c r="BC125" s="81">
        <f t="shared" si="69"/>
        <v>0</v>
      </c>
      <c r="BD125" s="81">
        <f t="shared" si="70"/>
        <v>0</v>
      </c>
      <c r="BE125" s="81">
        <f t="shared" si="71"/>
        <v>0</v>
      </c>
      <c r="BF125" s="81">
        <f t="shared" si="72"/>
        <v>0</v>
      </c>
      <c r="BG125" s="81">
        <f t="shared" si="73"/>
        <v>0</v>
      </c>
      <c r="BH125" s="81">
        <f t="shared" si="74"/>
        <v>0</v>
      </c>
      <c r="BI125" s="81">
        <f t="shared" si="75"/>
        <v>0</v>
      </c>
      <c r="BJ125" s="81">
        <f t="shared" si="76"/>
        <v>0</v>
      </c>
      <c r="BK125" s="81">
        <f t="shared" si="77"/>
        <v>0</v>
      </c>
      <c r="BL125" s="81">
        <f t="shared" si="78"/>
        <v>0</v>
      </c>
      <c r="BM125" s="81">
        <f t="shared" si="79"/>
        <v>0</v>
      </c>
      <c r="BN125" s="81">
        <f t="shared" si="80"/>
        <v>0</v>
      </c>
      <c r="BO125" s="81">
        <f t="shared" si="81"/>
        <v>0</v>
      </c>
      <c r="BP125" s="81">
        <f t="shared" si="82"/>
        <v>0</v>
      </c>
      <c r="BQ125" s="81">
        <f t="shared" si="83"/>
        <v>0</v>
      </c>
      <c r="BR125" s="81">
        <f t="shared" si="84"/>
        <v>0</v>
      </c>
      <c r="BS125" s="81">
        <f t="shared" si="85"/>
        <v>0</v>
      </c>
      <c r="BT125" s="89">
        <f t="shared" si="86"/>
        <v>0</v>
      </c>
    </row>
    <row r="126" spans="1:72">
      <c r="A126" s="79"/>
      <c r="B126" s="1179"/>
      <c r="C126" s="1180"/>
      <c r="D126" s="2301"/>
      <c r="E126" s="81">
        <f t="shared" si="87"/>
        <v>0</v>
      </c>
      <c r="F126" s="82"/>
      <c r="G126" s="83">
        <f t="shared" si="62"/>
        <v>0</v>
      </c>
      <c r="H126" s="84">
        <f t="shared" si="63"/>
        <v>0</v>
      </c>
      <c r="I126" s="1180"/>
      <c r="J126" s="85"/>
      <c r="K126" s="1180"/>
      <c r="L126" s="85"/>
      <c r="M126" s="85"/>
      <c r="N126" s="85"/>
      <c r="O126" s="85"/>
      <c r="P126" s="85"/>
      <c r="Q126" s="85"/>
      <c r="R126" s="85"/>
      <c r="S126" s="85"/>
      <c r="T126" s="85"/>
      <c r="U126" s="85"/>
      <c r="V126" s="85"/>
      <c r="W126" s="85"/>
      <c r="X126" s="85"/>
      <c r="Y126" s="85"/>
      <c r="Z126" s="85"/>
      <c r="AA126" s="85"/>
      <c r="AB126" s="85"/>
      <c r="AC126" s="81">
        <f t="shared" si="64"/>
        <v>0</v>
      </c>
      <c r="AD126" s="86"/>
      <c r="AE126" s="86"/>
      <c r="AF126" s="1180"/>
      <c r="AG126" s="86"/>
      <c r="AH126" s="86"/>
      <c r="AI126" s="86"/>
      <c r="AJ126" s="86"/>
      <c r="AK126" s="86"/>
      <c r="AL126" s="86"/>
      <c r="AM126" s="86"/>
      <c r="AN126" s="86"/>
      <c r="AO126" s="86"/>
      <c r="AP126" s="86"/>
      <c r="AQ126" s="86"/>
      <c r="AR126" s="86"/>
      <c r="AS126" s="86"/>
      <c r="AT126" s="82"/>
      <c r="AU126" s="87"/>
      <c r="AV126" s="818">
        <f t="shared" si="88"/>
        <v>0</v>
      </c>
      <c r="AW126" s="818">
        <f t="shared" si="89"/>
        <v>0</v>
      </c>
      <c r="AX126" s="818">
        <f t="shared" si="90"/>
        <v>0</v>
      </c>
      <c r="AY126" s="88">
        <f t="shared" si="65"/>
        <v>0</v>
      </c>
      <c r="AZ126" s="81">
        <f t="shared" si="66"/>
        <v>0</v>
      </c>
      <c r="BA126" s="81">
        <f t="shared" si="67"/>
        <v>0</v>
      </c>
      <c r="BB126" s="81">
        <f t="shared" si="68"/>
        <v>0</v>
      </c>
      <c r="BC126" s="81">
        <f t="shared" si="69"/>
        <v>0</v>
      </c>
      <c r="BD126" s="81">
        <f t="shared" si="70"/>
        <v>0</v>
      </c>
      <c r="BE126" s="81">
        <f t="shared" si="71"/>
        <v>0</v>
      </c>
      <c r="BF126" s="81">
        <f t="shared" si="72"/>
        <v>0</v>
      </c>
      <c r="BG126" s="81">
        <f t="shared" si="73"/>
        <v>0</v>
      </c>
      <c r="BH126" s="81">
        <f t="shared" si="74"/>
        <v>0</v>
      </c>
      <c r="BI126" s="81">
        <f t="shared" si="75"/>
        <v>0</v>
      </c>
      <c r="BJ126" s="81">
        <f t="shared" si="76"/>
        <v>0</v>
      </c>
      <c r="BK126" s="81">
        <f t="shared" si="77"/>
        <v>0</v>
      </c>
      <c r="BL126" s="81">
        <f t="shared" si="78"/>
        <v>0</v>
      </c>
      <c r="BM126" s="81">
        <f t="shared" si="79"/>
        <v>0</v>
      </c>
      <c r="BN126" s="81">
        <f t="shared" si="80"/>
        <v>0</v>
      </c>
      <c r="BO126" s="81">
        <f t="shared" si="81"/>
        <v>0</v>
      </c>
      <c r="BP126" s="81">
        <f t="shared" si="82"/>
        <v>0</v>
      </c>
      <c r="BQ126" s="81">
        <f t="shared" si="83"/>
        <v>0</v>
      </c>
      <c r="BR126" s="81">
        <f t="shared" si="84"/>
        <v>0</v>
      </c>
      <c r="BS126" s="81">
        <f t="shared" si="85"/>
        <v>0</v>
      </c>
      <c r="BT126" s="89">
        <f t="shared" si="86"/>
        <v>0</v>
      </c>
    </row>
    <row r="127" spans="1:72">
      <c r="A127" s="79"/>
      <c r="B127" s="1179"/>
      <c r="C127" s="1180"/>
      <c r="D127" s="2301"/>
      <c r="E127" s="81">
        <f t="shared" si="87"/>
        <v>0</v>
      </c>
      <c r="F127" s="82"/>
      <c r="G127" s="83">
        <f t="shared" si="62"/>
        <v>0</v>
      </c>
      <c r="H127" s="84">
        <f t="shared" si="63"/>
        <v>0</v>
      </c>
      <c r="I127" s="1180"/>
      <c r="J127" s="85"/>
      <c r="K127" s="1180"/>
      <c r="L127" s="85"/>
      <c r="M127" s="85"/>
      <c r="N127" s="85"/>
      <c r="O127" s="85"/>
      <c r="P127" s="85"/>
      <c r="Q127" s="85"/>
      <c r="R127" s="85"/>
      <c r="S127" s="85"/>
      <c r="T127" s="85"/>
      <c r="U127" s="85"/>
      <c r="V127" s="85"/>
      <c r="W127" s="85"/>
      <c r="X127" s="85"/>
      <c r="Y127" s="85"/>
      <c r="Z127" s="85"/>
      <c r="AA127" s="85"/>
      <c r="AB127" s="85"/>
      <c r="AC127" s="81">
        <f t="shared" si="64"/>
        <v>0</v>
      </c>
      <c r="AD127" s="86"/>
      <c r="AE127" s="86"/>
      <c r="AF127" s="1180"/>
      <c r="AG127" s="86"/>
      <c r="AH127" s="86"/>
      <c r="AI127" s="86"/>
      <c r="AJ127" s="86"/>
      <c r="AK127" s="86"/>
      <c r="AL127" s="86"/>
      <c r="AM127" s="86"/>
      <c r="AN127" s="86"/>
      <c r="AO127" s="86"/>
      <c r="AP127" s="86"/>
      <c r="AQ127" s="86"/>
      <c r="AR127" s="86"/>
      <c r="AS127" s="86"/>
      <c r="AT127" s="82"/>
      <c r="AU127" s="87"/>
      <c r="AV127" s="818">
        <f t="shared" si="88"/>
        <v>0</v>
      </c>
      <c r="AW127" s="818">
        <f t="shared" si="89"/>
        <v>0</v>
      </c>
      <c r="AX127" s="818">
        <f t="shared" si="90"/>
        <v>0</v>
      </c>
      <c r="AY127" s="88">
        <f t="shared" si="65"/>
        <v>0</v>
      </c>
      <c r="AZ127" s="81">
        <f t="shared" si="66"/>
        <v>0</v>
      </c>
      <c r="BA127" s="81">
        <f t="shared" si="67"/>
        <v>0</v>
      </c>
      <c r="BB127" s="81">
        <f t="shared" si="68"/>
        <v>0</v>
      </c>
      <c r="BC127" s="81">
        <f t="shared" si="69"/>
        <v>0</v>
      </c>
      <c r="BD127" s="81">
        <f t="shared" si="70"/>
        <v>0</v>
      </c>
      <c r="BE127" s="81">
        <f t="shared" si="71"/>
        <v>0</v>
      </c>
      <c r="BF127" s="81">
        <f t="shared" si="72"/>
        <v>0</v>
      </c>
      <c r="BG127" s="81">
        <f t="shared" si="73"/>
        <v>0</v>
      </c>
      <c r="BH127" s="81">
        <f t="shared" si="74"/>
        <v>0</v>
      </c>
      <c r="BI127" s="81">
        <f t="shared" si="75"/>
        <v>0</v>
      </c>
      <c r="BJ127" s="81">
        <f t="shared" si="76"/>
        <v>0</v>
      </c>
      <c r="BK127" s="81">
        <f t="shared" si="77"/>
        <v>0</v>
      </c>
      <c r="BL127" s="81">
        <f t="shared" si="78"/>
        <v>0</v>
      </c>
      <c r="BM127" s="81">
        <f t="shared" si="79"/>
        <v>0</v>
      </c>
      <c r="BN127" s="81">
        <f t="shared" si="80"/>
        <v>0</v>
      </c>
      <c r="BO127" s="81">
        <f t="shared" si="81"/>
        <v>0</v>
      </c>
      <c r="BP127" s="81">
        <f t="shared" si="82"/>
        <v>0</v>
      </c>
      <c r="BQ127" s="81">
        <f t="shared" si="83"/>
        <v>0</v>
      </c>
      <c r="BR127" s="81">
        <f t="shared" si="84"/>
        <v>0</v>
      </c>
      <c r="BS127" s="81">
        <f t="shared" si="85"/>
        <v>0</v>
      </c>
      <c r="BT127" s="89">
        <f t="shared" si="86"/>
        <v>0</v>
      </c>
    </row>
    <row r="128" spans="1:72">
      <c r="A128" s="79"/>
      <c r="B128" s="1179"/>
      <c r="C128" s="1180"/>
      <c r="D128" s="2301"/>
      <c r="E128" s="81">
        <f t="shared" si="87"/>
        <v>0</v>
      </c>
      <c r="F128" s="82"/>
      <c r="G128" s="83">
        <f t="shared" si="62"/>
        <v>0</v>
      </c>
      <c r="H128" s="84">
        <f t="shared" si="63"/>
        <v>0</v>
      </c>
      <c r="I128" s="1180"/>
      <c r="J128" s="85"/>
      <c r="K128" s="1180"/>
      <c r="L128" s="85"/>
      <c r="M128" s="85"/>
      <c r="N128" s="85"/>
      <c r="O128" s="85"/>
      <c r="P128" s="85"/>
      <c r="Q128" s="85"/>
      <c r="R128" s="85"/>
      <c r="S128" s="85"/>
      <c r="T128" s="85"/>
      <c r="U128" s="85"/>
      <c r="V128" s="85"/>
      <c r="W128" s="85"/>
      <c r="X128" s="85"/>
      <c r="Y128" s="85"/>
      <c r="Z128" s="85"/>
      <c r="AA128" s="85"/>
      <c r="AB128" s="85"/>
      <c r="AC128" s="81">
        <f t="shared" si="64"/>
        <v>0</v>
      </c>
      <c r="AD128" s="86"/>
      <c r="AE128" s="86"/>
      <c r="AF128" s="1180"/>
      <c r="AG128" s="86"/>
      <c r="AH128" s="86"/>
      <c r="AI128" s="86"/>
      <c r="AJ128" s="86"/>
      <c r="AK128" s="86"/>
      <c r="AL128" s="86"/>
      <c r="AM128" s="86"/>
      <c r="AN128" s="86"/>
      <c r="AO128" s="86"/>
      <c r="AP128" s="86"/>
      <c r="AQ128" s="86"/>
      <c r="AR128" s="86"/>
      <c r="AS128" s="86"/>
      <c r="AT128" s="82"/>
      <c r="AU128" s="87"/>
      <c r="AV128" s="818">
        <f t="shared" si="88"/>
        <v>0</v>
      </c>
      <c r="AW128" s="818">
        <f t="shared" si="89"/>
        <v>0</v>
      </c>
      <c r="AX128" s="818">
        <f t="shared" si="90"/>
        <v>0</v>
      </c>
      <c r="AY128" s="88">
        <f t="shared" si="65"/>
        <v>0</v>
      </c>
      <c r="AZ128" s="81">
        <f t="shared" si="66"/>
        <v>0</v>
      </c>
      <c r="BA128" s="81">
        <f t="shared" si="67"/>
        <v>0</v>
      </c>
      <c r="BB128" s="81">
        <f t="shared" si="68"/>
        <v>0</v>
      </c>
      <c r="BC128" s="81">
        <f t="shared" si="69"/>
        <v>0</v>
      </c>
      <c r="BD128" s="81">
        <f t="shared" si="70"/>
        <v>0</v>
      </c>
      <c r="BE128" s="81">
        <f t="shared" si="71"/>
        <v>0</v>
      </c>
      <c r="BF128" s="81">
        <f t="shared" si="72"/>
        <v>0</v>
      </c>
      <c r="BG128" s="81">
        <f t="shared" si="73"/>
        <v>0</v>
      </c>
      <c r="BH128" s="81">
        <f t="shared" si="74"/>
        <v>0</v>
      </c>
      <c r="BI128" s="81">
        <f t="shared" si="75"/>
        <v>0</v>
      </c>
      <c r="BJ128" s="81">
        <f t="shared" si="76"/>
        <v>0</v>
      </c>
      <c r="BK128" s="81">
        <f t="shared" si="77"/>
        <v>0</v>
      </c>
      <c r="BL128" s="81">
        <f t="shared" si="78"/>
        <v>0</v>
      </c>
      <c r="BM128" s="81">
        <f t="shared" si="79"/>
        <v>0</v>
      </c>
      <c r="BN128" s="81">
        <f t="shared" si="80"/>
        <v>0</v>
      </c>
      <c r="BO128" s="81">
        <f t="shared" si="81"/>
        <v>0</v>
      </c>
      <c r="BP128" s="81">
        <f t="shared" si="82"/>
        <v>0</v>
      </c>
      <c r="BQ128" s="81">
        <f t="shared" si="83"/>
        <v>0</v>
      </c>
      <c r="BR128" s="81">
        <f t="shared" si="84"/>
        <v>0</v>
      </c>
      <c r="BS128" s="81">
        <f t="shared" si="85"/>
        <v>0</v>
      </c>
      <c r="BT128" s="89">
        <f t="shared" si="86"/>
        <v>0</v>
      </c>
    </row>
    <row r="129" spans="1:72">
      <c r="A129" s="79"/>
      <c r="B129" s="1179"/>
      <c r="C129" s="1180"/>
      <c r="D129" s="2301"/>
      <c r="E129" s="81">
        <f t="shared" si="87"/>
        <v>0</v>
      </c>
      <c r="F129" s="82"/>
      <c r="G129" s="83">
        <f t="shared" si="62"/>
        <v>0</v>
      </c>
      <c r="H129" s="84">
        <f t="shared" si="63"/>
        <v>0</v>
      </c>
      <c r="I129" s="1180"/>
      <c r="J129" s="85"/>
      <c r="K129" s="1180"/>
      <c r="L129" s="85"/>
      <c r="M129" s="85"/>
      <c r="N129" s="85"/>
      <c r="O129" s="85"/>
      <c r="P129" s="85"/>
      <c r="Q129" s="85"/>
      <c r="R129" s="85"/>
      <c r="S129" s="85"/>
      <c r="T129" s="85"/>
      <c r="U129" s="85"/>
      <c r="V129" s="85"/>
      <c r="W129" s="85"/>
      <c r="X129" s="85"/>
      <c r="Y129" s="85"/>
      <c r="Z129" s="85"/>
      <c r="AA129" s="85"/>
      <c r="AB129" s="85"/>
      <c r="AC129" s="81">
        <f t="shared" si="64"/>
        <v>0</v>
      </c>
      <c r="AD129" s="86"/>
      <c r="AE129" s="86"/>
      <c r="AF129" s="1180"/>
      <c r="AG129" s="86"/>
      <c r="AH129" s="86"/>
      <c r="AI129" s="86"/>
      <c r="AJ129" s="86"/>
      <c r="AK129" s="86"/>
      <c r="AL129" s="86"/>
      <c r="AM129" s="86"/>
      <c r="AN129" s="86"/>
      <c r="AO129" s="86"/>
      <c r="AP129" s="86"/>
      <c r="AQ129" s="86"/>
      <c r="AR129" s="86"/>
      <c r="AS129" s="86"/>
      <c r="AT129" s="82"/>
      <c r="AU129" s="87"/>
      <c r="AV129" s="818">
        <f t="shared" si="88"/>
        <v>0</v>
      </c>
      <c r="AW129" s="818">
        <f t="shared" si="89"/>
        <v>0</v>
      </c>
      <c r="AX129" s="818">
        <f t="shared" si="90"/>
        <v>0</v>
      </c>
      <c r="AY129" s="88">
        <f t="shared" si="65"/>
        <v>0</v>
      </c>
      <c r="AZ129" s="81">
        <f t="shared" si="66"/>
        <v>0</v>
      </c>
      <c r="BA129" s="81">
        <f t="shared" si="67"/>
        <v>0</v>
      </c>
      <c r="BB129" s="81">
        <f t="shared" si="68"/>
        <v>0</v>
      </c>
      <c r="BC129" s="81">
        <f t="shared" si="69"/>
        <v>0</v>
      </c>
      <c r="BD129" s="81">
        <f t="shared" si="70"/>
        <v>0</v>
      </c>
      <c r="BE129" s="81">
        <f t="shared" si="71"/>
        <v>0</v>
      </c>
      <c r="BF129" s="81">
        <f t="shared" si="72"/>
        <v>0</v>
      </c>
      <c r="BG129" s="81">
        <f t="shared" si="73"/>
        <v>0</v>
      </c>
      <c r="BH129" s="81">
        <f t="shared" si="74"/>
        <v>0</v>
      </c>
      <c r="BI129" s="81">
        <f t="shared" si="75"/>
        <v>0</v>
      </c>
      <c r="BJ129" s="81">
        <f t="shared" si="76"/>
        <v>0</v>
      </c>
      <c r="BK129" s="81">
        <f t="shared" si="77"/>
        <v>0</v>
      </c>
      <c r="BL129" s="81">
        <f t="shared" si="78"/>
        <v>0</v>
      </c>
      <c r="BM129" s="81">
        <f t="shared" si="79"/>
        <v>0</v>
      </c>
      <c r="BN129" s="81">
        <f t="shared" si="80"/>
        <v>0</v>
      </c>
      <c r="BO129" s="81">
        <f t="shared" si="81"/>
        <v>0</v>
      </c>
      <c r="BP129" s="81">
        <f t="shared" si="82"/>
        <v>0</v>
      </c>
      <c r="BQ129" s="81">
        <f t="shared" si="83"/>
        <v>0</v>
      </c>
      <c r="BR129" s="81">
        <f t="shared" si="84"/>
        <v>0</v>
      </c>
      <c r="BS129" s="81">
        <f t="shared" si="85"/>
        <v>0</v>
      </c>
      <c r="BT129" s="89">
        <f t="shared" si="86"/>
        <v>0</v>
      </c>
    </row>
    <row r="130" spans="1:72">
      <c r="A130" s="79"/>
      <c r="B130" s="1179"/>
      <c r="C130" s="1180"/>
      <c r="D130" s="2301"/>
      <c r="E130" s="81">
        <f t="shared" si="87"/>
        <v>0</v>
      </c>
      <c r="F130" s="82"/>
      <c r="G130" s="83">
        <f t="shared" si="62"/>
        <v>0</v>
      </c>
      <c r="H130" s="84">
        <f t="shared" si="63"/>
        <v>0</v>
      </c>
      <c r="I130" s="1180"/>
      <c r="J130" s="85"/>
      <c r="K130" s="1180"/>
      <c r="L130" s="85"/>
      <c r="M130" s="85"/>
      <c r="N130" s="85"/>
      <c r="O130" s="85"/>
      <c r="P130" s="85"/>
      <c r="Q130" s="85"/>
      <c r="R130" s="85"/>
      <c r="S130" s="85"/>
      <c r="T130" s="85"/>
      <c r="U130" s="85"/>
      <c r="V130" s="85"/>
      <c r="W130" s="85"/>
      <c r="X130" s="85"/>
      <c r="Y130" s="85"/>
      <c r="Z130" s="85"/>
      <c r="AA130" s="85"/>
      <c r="AB130" s="85"/>
      <c r="AC130" s="81">
        <f t="shared" si="64"/>
        <v>0</v>
      </c>
      <c r="AD130" s="86"/>
      <c r="AE130" s="86"/>
      <c r="AF130" s="1180"/>
      <c r="AG130" s="86"/>
      <c r="AH130" s="86"/>
      <c r="AI130" s="86"/>
      <c r="AJ130" s="86"/>
      <c r="AK130" s="86"/>
      <c r="AL130" s="86"/>
      <c r="AM130" s="86"/>
      <c r="AN130" s="86"/>
      <c r="AO130" s="86"/>
      <c r="AP130" s="86"/>
      <c r="AQ130" s="86"/>
      <c r="AR130" s="86"/>
      <c r="AS130" s="86"/>
      <c r="AT130" s="82"/>
      <c r="AU130" s="87"/>
      <c r="AV130" s="818">
        <f t="shared" si="88"/>
        <v>0</v>
      </c>
      <c r="AW130" s="818">
        <f t="shared" si="89"/>
        <v>0</v>
      </c>
      <c r="AX130" s="818">
        <f t="shared" si="90"/>
        <v>0</v>
      </c>
      <c r="AY130" s="88">
        <f t="shared" si="65"/>
        <v>0</v>
      </c>
      <c r="AZ130" s="81">
        <f t="shared" si="66"/>
        <v>0</v>
      </c>
      <c r="BA130" s="81">
        <f t="shared" si="67"/>
        <v>0</v>
      </c>
      <c r="BB130" s="81">
        <f t="shared" si="68"/>
        <v>0</v>
      </c>
      <c r="BC130" s="81">
        <f t="shared" si="69"/>
        <v>0</v>
      </c>
      <c r="BD130" s="81">
        <f t="shared" si="70"/>
        <v>0</v>
      </c>
      <c r="BE130" s="81">
        <f t="shared" si="71"/>
        <v>0</v>
      </c>
      <c r="BF130" s="81">
        <f t="shared" si="72"/>
        <v>0</v>
      </c>
      <c r="BG130" s="81">
        <f t="shared" si="73"/>
        <v>0</v>
      </c>
      <c r="BH130" s="81">
        <f t="shared" si="74"/>
        <v>0</v>
      </c>
      <c r="BI130" s="81">
        <f t="shared" si="75"/>
        <v>0</v>
      </c>
      <c r="BJ130" s="81">
        <f t="shared" si="76"/>
        <v>0</v>
      </c>
      <c r="BK130" s="81">
        <f t="shared" si="77"/>
        <v>0</v>
      </c>
      <c r="BL130" s="81">
        <f t="shared" si="78"/>
        <v>0</v>
      </c>
      <c r="BM130" s="81">
        <f t="shared" si="79"/>
        <v>0</v>
      </c>
      <c r="BN130" s="81">
        <f t="shared" si="80"/>
        <v>0</v>
      </c>
      <c r="BO130" s="81">
        <f t="shared" si="81"/>
        <v>0</v>
      </c>
      <c r="BP130" s="81">
        <f t="shared" si="82"/>
        <v>0</v>
      </c>
      <c r="BQ130" s="81">
        <f t="shared" si="83"/>
        <v>0</v>
      </c>
      <c r="BR130" s="81">
        <f t="shared" si="84"/>
        <v>0</v>
      </c>
      <c r="BS130" s="81">
        <f t="shared" si="85"/>
        <v>0</v>
      </c>
      <c r="BT130" s="89">
        <f t="shared" si="86"/>
        <v>0</v>
      </c>
    </row>
    <row r="131" spans="1:72">
      <c r="A131" s="79"/>
      <c r="B131" s="1179"/>
      <c r="C131" s="1180"/>
      <c r="D131" s="2301"/>
      <c r="E131" s="81">
        <f t="shared" si="87"/>
        <v>0</v>
      </c>
      <c r="F131" s="82"/>
      <c r="G131" s="83">
        <f t="shared" si="62"/>
        <v>0</v>
      </c>
      <c r="H131" s="84">
        <f t="shared" si="63"/>
        <v>0</v>
      </c>
      <c r="I131" s="1180"/>
      <c r="J131" s="85"/>
      <c r="K131" s="1180"/>
      <c r="L131" s="85"/>
      <c r="M131" s="85"/>
      <c r="N131" s="85"/>
      <c r="O131" s="85"/>
      <c r="P131" s="85"/>
      <c r="Q131" s="85"/>
      <c r="R131" s="85"/>
      <c r="S131" s="85"/>
      <c r="T131" s="85"/>
      <c r="U131" s="85"/>
      <c r="V131" s="85"/>
      <c r="W131" s="85"/>
      <c r="X131" s="85"/>
      <c r="Y131" s="85"/>
      <c r="Z131" s="85"/>
      <c r="AA131" s="85"/>
      <c r="AB131" s="85"/>
      <c r="AC131" s="81">
        <f t="shared" si="64"/>
        <v>0</v>
      </c>
      <c r="AD131" s="86"/>
      <c r="AE131" s="86"/>
      <c r="AF131" s="1180"/>
      <c r="AG131" s="86"/>
      <c r="AH131" s="86"/>
      <c r="AI131" s="86"/>
      <c r="AJ131" s="86"/>
      <c r="AK131" s="86"/>
      <c r="AL131" s="86"/>
      <c r="AM131" s="86"/>
      <c r="AN131" s="86"/>
      <c r="AO131" s="86"/>
      <c r="AP131" s="86"/>
      <c r="AQ131" s="86"/>
      <c r="AR131" s="86"/>
      <c r="AS131" s="86"/>
      <c r="AT131" s="82"/>
      <c r="AU131" s="87"/>
      <c r="AV131" s="818">
        <f t="shared" si="88"/>
        <v>0</v>
      </c>
      <c r="AW131" s="818">
        <f t="shared" si="89"/>
        <v>0</v>
      </c>
      <c r="AX131" s="818">
        <f t="shared" si="90"/>
        <v>0</v>
      </c>
      <c r="AY131" s="88">
        <f t="shared" si="65"/>
        <v>0</v>
      </c>
      <c r="AZ131" s="81">
        <f t="shared" si="66"/>
        <v>0</v>
      </c>
      <c r="BA131" s="81">
        <f t="shared" si="67"/>
        <v>0</v>
      </c>
      <c r="BB131" s="81">
        <f t="shared" si="68"/>
        <v>0</v>
      </c>
      <c r="BC131" s="81">
        <f t="shared" si="69"/>
        <v>0</v>
      </c>
      <c r="BD131" s="81">
        <f t="shared" si="70"/>
        <v>0</v>
      </c>
      <c r="BE131" s="81">
        <f t="shared" si="71"/>
        <v>0</v>
      </c>
      <c r="BF131" s="81">
        <f t="shared" si="72"/>
        <v>0</v>
      </c>
      <c r="BG131" s="81">
        <f t="shared" si="73"/>
        <v>0</v>
      </c>
      <c r="BH131" s="81">
        <f t="shared" si="74"/>
        <v>0</v>
      </c>
      <c r="BI131" s="81">
        <f t="shared" si="75"/>
        <v>0</v>
      </c>
      <c r="BJ131" s="81">
        <f t="shared" si="76"/>
        <v>0</v>
      </c>
      <c r="BK131" s="81">
        <f t="shared" si="77"/>
        <v>0</v>
      </c>
      <c r="BL131" s="81">
        <f t="shared" si="78"/>
        <v>0</v>
      </c>
      <c r="BM131" s="81">
        <f t="shared" si="79"/>
        <v>0</v>
      </c>
      <c r="BN131" s="81">
        <f t="shared" si="80"/>
        <v>0</v>
      </c>
      <c r="BO131" s="81">
        <f t="shared" si="81"/>
        <v>0</v>
      </c>
      <c r="BP131" s="81">
        <f t="shared" si="82"/>
        <v>0</v>
      </c>
      <c r="BQ131" s="81">
        <f t="shared" si="83"/>
        <v>0</v>
      </c>
      <c r="BR131" s="81">
        <f t="shared" si="84"/>
        <v>0</v>
      </c>
      <c r="BS131" s="81">
        <f t="shared" si="85"/>
        <v>0</v>
      </c>
      <c r="BT131" s="89">
        <f t="shared" si="86"/>
        <v>0</v>
      </c>
    </row>
    <row r="132" spans="1:72">
      <c r="A132" s="79"/>
      <c r="B132" s="1179"/>
      <c r="C132" s="1180"/>
      <c r="D132" s="2301"/>
      <c r="E132" s="81">
        <f t="shared" si="87"/>
        <v>0</v>
      </c>
      <c r="F132" s="82"/>
      <c r="G132" s="83">
        <f t="shared" si="62"/>
        <v>0</v>
      </c>
      <c r="H132" s="84">
        <f t="shared" si="63"/>
        <v>0</v>
      </c>
      <c r="I132" s="1180"/>
      <c r="J132" s="85"/>
      <c r="K132" s="1180"/>
      <c r="L132" s="85"/>
      <c r="M132" s="85"/>
      <c r="N132" s="85"/>
      <c r="O132" s="85"/>
      <c r="P132" s="85"/>
      <c r="Q132" s="85"/>
      <c r="R132" s="85"/>
      <c r="S132" s="85"/>
      <c r="T132" s="85"/>
      <c r="U132" s="85"/>
      <c r="V132" s="85"/>
      <c r="W132" s="85"/>
      <c r="X132" s="85"/>
      <c r="Y132" s="85"/>
      <c r="Z132" s="85"/>
      <c r="AA132" s="85"/>
      <c r="AB132" s="85"/>
      <c r="AC132" s="81">
        <f t="shared" si="64"/>
        <v>0</v>
      </c>
      <c r="AD132" s="86"/>
      <c r="AE132" s="86"/>
      <c r="AF132" s="1180"/>
      <c r="AG132" s="86"/>
      <c r="AH132" s="86"/>
      <c r="AI132" s="86"/>
      <c r="AJ132" s="86"/>
      <c r="AK132" s="86"/>
      <c r="AL132" s="86"/>
      <c r="AM132" s="86"/>
      <c r="AN132" s="86"/>
      <c r="AO132" s="86"/>
      <c r="AP132" s="86"/>
      <c r="AQ132" s="86"/>
      <c r="AR132" s="86"/>
      <c r="AS132" s="86"/>
      <c r="AT132" s="82"/>
      <c r="AU132" s="87"/>
      <c r="AV132" s="818">
        <f t="shared" si="88"/>
        <v>0</v>
      </c>
      <c r="AW132" s="818">
        <f t="shared" si="89"/>
        <v>0</v>
      </c>
      <c r="AX132" s="818">
        <f t="shared" si="90"/>
        <v>0</v>
      </c>
      <c r="AY132" s="88">
        <f t="shared" si="65"/>
        <v>0</v>
      </c>
      <c r="AZ132" s="81">
        <f t="shared" si="66"/>
        <v>0</v>
      </c>
      <c r="BA132" s="81">
        <f t="shared" si="67"/>
        <v>0</v>
      </c>
      <c r="BB132" s="81">
        <f t="shared" si="68"/>
        <v>0</v>
      </c>
      <c r="BC132" s="81">
        <f t="shared" si="69"/>
        <v>0</v>
      </c>
      <c r="BD132" s="81">
        <f t="shared" si="70"/>
        <v>0</v>
      </c>
      <c r="BE132" s="81">
        <f t="shared" si="71"/>
        <v>0</v>
      </c>
      <c r="BF132" s="81">
        <f t="shared" si="72"/>
        <v>0</v>
      </c>
      <c r="BG132" s="81">
        <f t="shared" si="73"/>
        <v>0</v>
      </c>
      <c r="BH132" s="81">
        <f t="shared" si="74"/>
        <v>0</v>
      </c>
      <c r="BI132" s="81">
        <f t="shared" si="75"/>
        <v>0</v>
      </c>
      <c r="BJ132" s="81">
        <f t="shared" si="76"/>
        <v>0</v>
      </c>
      <c r="BK132" s="81">
        <f t="shared" si="77"/>
        <v>0</v>
      </c>
      <c r="BL132" s="81">
        <f t="shared" si="78"/>
        <v>0</v>
      </c>
      <c r="BM132" s="81">
        <f t="shared" si="79"/>
        <v>0</v>
      </c>
      <c r="BN132" s="81">
        <f t="shared" si="80"/>
        <v>0</v>
      </c>
      <c r="BO132" s="81">
        <f t="shared" si="81"/>
        <v>0</v>
      </c>
      <c r="BP132" s="81">
        <f t="shared" si="82"/>
        <v>0</v>
      </c>
      <c r="BQ132" s="81">
        <f t="shared" si="83"/>
        <v>0</v>
      </c>
      <c r="BR132" s="81">
        <f t="shared" si="84"/>
        <v>0</v>
      </c>
      <c r="BS132" s="81">
        <f t="shared" si="85"/>
        <v>0</v>
      </c>
      <c r="BT132" s="89">
        <f t="shared" si="86"/>
        <v>0</v>
      </c>
    </row>
    <row r="133" spans="1:72">
      <c r="A133" s="79"/>
      <c r="B133" s="1179"/>
      <c r="C133" s="1180"/>
      <c r="D133" s="2301"/>
      <c r="E133" s="81">
        <f t="shared" si="87"/>
        <v>0</v>
      </c>
      <c r="F133" s="82"/>
      <c r="G133" s="83">
        <f t="shared" si="62"/>
        <v>0</v>
      </c>
      <c r="H133" s="84">
        <f t="shared" si="63"/>
        <v>0</v>
      </c>
      <c r="I133" s="1180"/>
      <c r="J133" s="85"/>
      <c r="K133" s="1180"/>
      <c r="L133" s="85"/>
      <c r="M133" s="85"/>
      <c r="N133" s="85"/>
      <c r="O133" s="85"/>
      <c r="P133" s="85"/>
      <c r="Q133" s="85"/>
      <c r="R133" s="85"/>
      <c r="S133" s="85"/>
      <c r="T133" s="85"/>
      <c r="U133" s="85"/>
      <c r="V133" s="85"/>
      <c r="W133" s="85"/>
      <c r="X133" s="85"/>
      <c r="Y133" s="85"/>
      <c r="Z133" s="85"/>
      <c r="AA133" s="85"/>
      <c r="AB133" s="85"/>
      <c r="AC133" s="81">
        <f t="shared" si="64"/>
        <v>0</v>
      </c>
      <c r="AD133" s="86"/>
      <c r="AE133" s="86"/>
      <c r="AF133" s="1180"/>
      <c r="AG133" s="86"/>
      <c r="AH133" s="86"/>
      <c r="AI133" s="86"/>
      <c r="AJ133" s="86"/>
      <c r="AK133" s="86"/>
      <c r="AL133" s="86"/>
      <c r="AM133" s="86"/>
      <c r="AN133" s="86"/>
      <c r="AO133" s="86"/>
      <c r="AP133" s="86"/>
      <c r="AQ133" s="86"/>
      <c r="AR133" s="86"/>
      <c r="AS133" s="86"/>
      <c r="AT133" s="82"/>
      <c r="AU133" s="87"/>
      <c r="AV133" s="818">
        <f t="shared" si="88"/>
        <v>0</v>
      </c>
      <c r="AW133" s="818">
        <f t="shared" si="89"/>
        <v>0</v>
      </c>
      <c r="AX133" s="818">
        <f t="shared" si="90"/>
        <v>0</v>
      </c>
      <c r="AY133" s="88">
        <f t="shared" si="65"/>
        <v>0</v>
      </c>
      <c r="AZ133" s="81">
        <f t="shared" si="66"/>
        <v>0</v>
      </c>
      <c r="BA133" s="81">
        <f t="shared" si="67"/>
        <v>0</v>
      </c>
      <c r="BB133" s="81">
        <f t="shared" si="68"/>
        <v>0</v>
      </c>
      <c r="BC133" s="81">
        <f t="shared" si="69"/>
        <v>0</v>
      </c>
      <c r="BD133" s="81">
        <f t="shared" si="70"/>
        <v>0</v>
      </c>
      <c r="BE133" s="81">
        <f t="shared" si="71"/>
        <v>0</v>
      </c>
      <c r="BF133" s="81">
        <f t="shared" si="72"/>
        <v>0</v>
      </c>
      <c r="BG133" s="81">
        <f t="shared" si="73"/>
        <v>0</v>
      </c>
      <c r="BH133" s="81">
        <f t="shared" si="74"/>
        <v>0</v>
      </c>
      <c r="BI133" s="81">
        <f t="shared" si="75"/>
        <v>0</v>
      </c>
      <c r="BJ133" s="81">
        <f t="shared" si="76"/>
        <v>0</v>
      </c>
      <c r="BK133" s="81">
        <f t="shared" si="77"/>
        <v>0</v>
      </c>
      <c r="BL133" s="81">
        <f t="shared" si="78"/>
        <v>0</v>
      </c>
      <c r="BM133" s="81">
        <f t="shared" si="79"/>
        <v>0</v>
      </c>
      <c r="BN133" s="81">
        <f t="shared" si="80"/>
        <v>0</v>
      </c>
      <c r="BO133" s="81">
        <f t="shared" si="81"/>
        <v>0</v>
      </c>
      <c r="BP133" s="81">
        <f t="shared" si="82"/>
        <v>0</v>
      </c>
      <c r="BQ133" s="81">
        <f t="shared" si="83"/>
        <v>0</v>
      </c>
      <c r="BR133" s="81">
        <f t="shared" si="84"/>
        <v>0</v>
      </c>
      <c r="BS133" s="81">
        <f t="shared" si="85"/>
        <v>0</v>
      </c>
      <c r="BT133" s="89">
        <f t="shared" si="86"/>
        <v>0</v>
      </c>
    </row>
    <row r="134" spans="1:72">
      <c r="A134" s="79"/>
      <c r="B134" s="1179"/>
      <c r="C134" s="1180"/>
      <c r="D134" s="2301"/>
      <c r="E134" s="81">
        <f t="shared" si="87"/>
        <v>0</v>
      </c>
      <c r="F134" s="82"/>
      <c r="G134" s="83">
        <f t="shared" si="62"/>
        <v>0</v>
      </c>
      <c r="H134" s="84">
        <f t="shared" si="63"/>
        <v>0</v>
      </c>
      <c r="I134" s="1180"/>
      <c r="J134" s="85"/>
      <c r="K134" s="1180"/>
      <c r="L134" s="85"/>
      <c r="M134" s="85"/>
      <c r="N134" s="85"/>
      <c r="O134" s="85"/>
      <c r="P134" s="85"/>
      <c r="Q134" s="85"/>
      <c r="R134" s="85"/>
      <c r="S134" s="85"/>
      <c r="T134" s="85"/>
      <c r="U134" s="85"/>
      <c r="V134" s="85"/>
      <c r="W134" s="85"/>
      <c r="X134" s="85"/>
      <c r="Y134" s="85"/>
      <c r="Z134" s="85"/>
      <c r="AA134" s="85"/>
      <c r="AB134" s="85"/>
      <c r="AC134" s="81">
        <f t="shared" si="64"/>
        <v>0</v>
      </c>
      <c r="AD134" s="86"/>
      <c r="AE134" s="86"/>
      <c r="AF134" s="1180"/>
      <c r="AG134" s="86"/>
      <c r="AH134" s="86"/>
      <c r="AI134" s="86"/>
      <c r="AJ134" s="86"/>
      <c r="AK134" s="86"/>
      <c r="AL134" s="86"/>
      <c r="AM134" s="86"/>
      <c r="AN134" s="86"/>
      <c r="AO134" s="86"/>
      <c r="AP134" s="86"/>
      <c r="AQ134" s="86"/>
      <c r="AR134" s="86"/>
      <c r="AS134" s="86"/>
      <c r="AT134" s="82"/>
      <c r="AU134" s="87"/>
      <c r="AV134" s="818">
        <f t="shared" si="88"/>
        <v>0</v>
      </c>
      <c r="AW134" s="818">
        <f t="shared" si="89"/>
        <v>0</v>
      </c>
      <c r="AX134" s="818">
        <f t="shared" si="90"/>
        <v>0</v>
      </c>
      <c r="AY134" s="88">
        <f t="shared" si="65"/>
        <v>0</v>
      </c>
      <c r="AZ134" s="81">
        <f t="shared" si="66"/>
        <v>0</v>
      </c>
      <c r="BA134" s="81">
        <f t="shared" si="67"/>
        <v>0</v>
      </c>
      <c r="BB134" s="81">
        <f t="shared" si="68"/>
        <v>0</v>
      </c>
      <c r="BC134" s="81">
        <f t="shared" si="69"/>
        <v>0</v>
      </c>
      <c r="BD134" s="81">
        <f t="shared" si="70"/>
        <v>0</v>
      </c>
      <c r="BE134" s="81">
        <f t="shared" si="71"/>
        <v>0</v>
      </c>
      <c r="BF134" s="81">
        <f t="shared" si="72"/>
        <v>0</v>
      </c>
      <c r="BG134" s="81">
        <f t="shared" si="73"/>
        <v>0</v>
      </c>
      <c r="BH134" s="81">
        <f t="shared" si="74"/>
        <v>0</v>
      </c>
      <c r="BI134" s="81">
        <f t="shared" si="75"/>
        <v>0</v>
      </c>
      <c r="BJ134" s="81">
        <f t="shared" si="76"/>
        <v>0</v>
      </c>
      <c r="BK134" s="81">
        <f t="shared" si="77"/>
        <v>0</v>
      </c>
      <c r="BL134" s="81">
        <f t="shared" si="78"/>
        <v>0</v>
      </c>
      <c r="BM134" s="81">
        <f t="shared" si="79"/>
        <v>0</v>
      </c>
      <c r="BN134" s="81">
        <f t="shared" si="80"/>
        <v>0</v>
      </c>
      <c r="BO134" s="81">
        <f t="shared" si="81"/>
        <v>0</v>
      </c>
      <c r="BP134" s="81">
        <f t="shared" si="82"/>
        <v>0</v>
      </c>
      <c r="BQ134" s="81">
        <f t="shared" si="83"/>
        <v>0</v>
      </c>
      <c r="BR134" s="81">
        <f t="shared" si="84"/>
        <v>0</v>
      </c>
      <c r="BS134" s="81">
        <f t="shared" si="85"/>
        <v>0</v>
      </c>
      <c r="BT134" s="89">
        <f t="shared" si="86"/>
        <v>0</v>
      </c>
    </row>
    <row r="135" spans="1:72">
      <c r="A135" s="79"/>
      <c r="B135" s="1179"/>
      <c r="C135" s="1180"/>
      <c r="D135" s="2301"/>
      <c r="E135" s="81">
        <f t="shared" si="87"/>
        <v>0</v>
      </c>
      <c r="F135" s="82"/>
      <c r="G135" s="83">
        <f t="shared" si="62"/>
        <v>0</v>
      </c>
      <c r="H135" s="84">
        <f t="shared" si="63"/>
        <v>0</v>
      </c>
      <c r="I135" s="1180"/>
      <c r="J135" s="85"/>
      <c r="K135" s="1180"/>
      <c r="L135" s="85"/>
      <c r="M135" s="85"/>
      <c r="N135" s="85"/>
      <c r="O135" s="85"/>
      <c r="P135" s="85"/>
      <c r="Q135" s="85"/>
      <c r="R135" s="85"/>
      <c r="S135" s="85"/>
      <c r="T135" s="85"/>
      <c r="U135" s="85"/>
      <c r="V135" s="85"/>
      <c r="W135" s="85"/>
      <c r="X135" s="85"/>
      <c r="Y135" s="85"/>
      <c r="Z135" s="85"/>
      <c r="AA135" s="85"/>
      <c r="AB135" s="85"/>
      <c r="AC135" s="81">
        <f t="shared" si="64"/>
        <v>0</v>
      </c>
      <c r="AD135" s="86"/>
      <c r="AE135" s="86"/>
      <c r="AF135" s="1180"/>
      <c r="AG135" s="86"/>
      <c r="AH135" s="86"/>
      <c r="AI135" s="86"/>
      <c r="AJ135" s="86"/>
      <c r="AK135" s="86"/>
      <c r="AL135" s="86"/>
      <c r="AM135" s="86"/>
      <c r="AN135" s="86"/>
      <c r="AO135" s="86"/>
      <c r="AP135" s="86"/>
      <c r="AQ135" s="86"/>
      <c r="AR135" s="86"/>
      <c r="AS135" s="86"/>
      <c r="AT135" s="82"/>
      <c r="AU135" s="87"/>
      <c r="AV135" s="818">
        <f t="shared" si="88"/>
        <v>0</v>
      </c>
      <c r="AW135" s="818">
        <f t="shared" si="89"/>
        <v>0</v>
      </c>
      <c r="AX135" s="818">
        <f t="shared" si="90"/>
        <v>0</v>
      </c>
      <c r="AY135" s="88">
        <f t="shared" si="65"/>
        <v>0</v>
      </c>
      <c r="AZ135" s="81">
        <f t="shared" si="66"/>
        <v>0</v>
      </c>
      <c r="BA135" s="81">
        <f t="shared" si="67"/>
        <v>0</v>
      </c>
      <c r="BB135" s="81">
        <f t="shared" si="68"/>
        <v>0</v>
      </c>
      <c r="BC135" s="81">
        <f t="shared" si="69"/>
        <v>0</v>
      </c>
      <c r="BD135" s="81">
        <f t="shared" si="70"/>
        <v>0</v>
      </c>
      <c r="BE135" s="81">
        <f t="shared" si="71"/>
        <v>0</v>
      </c>
      <c r="BF135" s="81">
        <f t="shared" si="72"/>
        <v>0</v>
      </c>
      <c r="BG135" s="81">
        <f t="shared" si="73"/>
        <v>0</v>
      </c>
      <c r="BH135" s="81">
        <f t="shared" si="74"/>
        <v>0</v>
      </c>
      <c r="BI135" s="81">
        <f t="shared" si="75"/>
        <v>0</v>
      </c>
      <c r="BJ135" s="81">
        <f t="shared" si="76"/>
        <v>0</v>
      </c>
      <c r="BK135" s="81">
        <f t="shared" si="77"/>
        <v>0</v>
      </c>
      <c r="BL135" s="81">
        <f t="shared" si="78"/>
        <v>0</v>
      </c>
      <c r="BM135" s="81">
        <f t="shared" si="79"/>
        <v>0</v>
      </c>
      <c r="BN135" s="81">
        <f t="shared" si="80"/>
        <v>0</v>
      </c>
      <c r="BO135" s="81">
        <f t="shared" si="81"/>
        <v>0</v>
      </c>
      <c r="BP135" s="81">
        <f t="shared" si="82"/>
        <v>0</v>
      </c>
      <c r="BQ135" s="81">
        <f t="shared" si="83"/>
        <v>0</v>
      </c>
      <c r="BR135" s="81">
        <f t="shared" si="84"/>
        <v>0</v>
      </c>
      <c r="BS135" s="81">
        <f t="shared" si="85"/>
        <v>0</v>
      </c>
      <c r="BT135" s="89">
        <f t="shared" si="86"/>
        <v>0</v>
      </c>
    </row>
    <row r="136" spans="1:72">
      <c r="A136" s="79"/>
      <c r="B136" s="1179"/>
      <c r="C136" s="1180"/>
      <c r="D136" s="2301"/>
      <c r="E136" s="81">
        <f t="shared" si="87"/>
        <v>0</v>
      </c>
      <c r="F136" s="82"/>
      <c r="G136" s="83">
        <f t="shared" si="62"/>
        <v>0</v>
      </c>
      <c r="H136" s="84">
        <f t="shared" si="63"/>
        <v>0</v>
      </c>
      <c r="I136" s="1180"/>
      <c r="J136" s="85"/>
      <c r="K136" s="1180"/>
      <c r="L136" s="85"/>
      <c r="M136" s="85"/>
      <c r="N136" s="85"/>
      <c r="O136" s="85"/>
      <c r="P136" s="85"/>
      <c r="Q136" s="85"/>
      <c r="R136" s="85"/>
      <c r="S136" s="85"/>
      <c r="T136" s="85"/>
      <c r="U136" s="85"/>
      <c r="V136" s="85"/>
      <c r="W136" s="85"/>
      <c r="X136" s="85"/>
      <c r="Y136" s="85"/>
      <c r="Z136" s="85"/>
      <c r="AA136" s="85"/>
      <c r="AB136" s="85"/>
      <c r="AC136" s="81">
        <f t="shared" si="64"/>
        <v>0</v>
      </c>
      <c r="AD136" s="86"/>
      <c r="AE136" s="86"/>
      <c r="AF136" s="1180"/>
      <c r="AG136" s="86"/>
      <c r="AH136" s="86"/>
      <c r="AI136" s="86"/>
      <c r="AJ136" s="86"/>
      <c r="AK136" s="86"/>
      <c r="AL136" s="86"/>
      <c r="AM136" s="86"/>
      <c r="AN136" s="86"/>
      <c r="AO136" s="86"/>
      <c r="AP136" s="86"/>
      <c r="AQ136" s="86"/>
      <c r="AR136" s="86"/>
      <c r="AS136" s="86"/>
      <c r="AT136" s="82"/>
      <c r="AU136" s="87"/>
      <c r="AV136" s="818">
        <f t="shared" si="88"/>
        <v>0</v>
      </c>
      <c r="AW136" s="818">
        <f t="shared" si="89"/>
        <v>0</v>
      </c>
      <c r="AX136" s="818">
        <f t="shared" si="90"/>
        <v>0</v>
      </c>
      <c r="AY136" s="88">
        <f t="shared" si="65"/>
        <v>0</v>
      </c>
      <c r="AZ136" s="81">
        <f t="shared" si="66"/>
        <v>0</v>
      </c>
      <c r="BA136" s="81">
        <f t="shared" si="67"/>
        <v>0</v>
      </c>
      <c r="BB136" s="81">
        <f t="shared" si="68"/>
        <v>0</v>
      </c>
      <c r="BC136" s="81">
        <f t="shared" si="69"/>
        <v>0</v>
      </c>
      <c r="BD136" s="81">
        <f t="shared" si="70"/>
        <v>0</v>
      </c>
      <c r="BE136" s="81">
        <f t="shared" si="71"/>
        <v>0</v>
      </c>
      <c r="BF136" s="81">
        <f t="shared" si="72"/>
        <v>0</v>
      </c>
      <c r="BG136" s="81">
        <f t="shared" si="73"/>
        <v>0</v>
      </c>
      <c r="BH136" s="81">
        <f t="shared" si="74"/>
        <v>0</v>
      </c>
      <c r="BI136" s="81">
        <f t="shared" si="75"/>
        <v>0</v>
      </c>
      <c r="BJ136" s="81">
        <f t="shared" si="76"/>
        <v>0</v>
      </c>
      <c r="BK136" s="81">
        <f t="shared" si="77"/>
        <v>0</v>
      </c>
      <c r="BL136" s="81">
        <f t="shared" si="78"/>
        <v>0</v>
      </c>
      <c r="BM136" s="81">
        <f t="shared" si="79"/>
        <v>0</v>
      </c>
      <c r="BN136" s="81">
        <f t="shared" si="80"/>
        <v>0</v>
      </c>
      <c r="BO136" s="81">
        <f t="shared" si="81"/>
        <v>0</v>
      </c>
      <c r="BP136" s="81">
        <f t="shared" si="82"/>
        <v>0</v>
      </c>
      <c r="BQ136" s="81">
        <f t="shared" si="83"/>
        <v>0</v>
      </c>
      <c r="BR136" s="81">
        <f t="shared" si="84"/>
        <v>0</v>
      </c>
      <c r="BS136" s="81">
        <f t="shared" si="85"/>
        <v>0</v>
      </c>
      <c r="BT136" s="89">
        <f t="shared" si="86"/>
        <v>0</v>
      </c>
    </row>
    <row r="137" spans="1:72">
      <c r="A137" s="79"/>
      <c r="B137" s="1179"/>
      <c r="C137" s="1180"/>
      <c r="D137" s="2301"/>
      <c r="E137" s="81">
        <f t="shared" si="87"/>
        <v>0</v>
      </c>
      <c r="F137" s="82"/>
      <c r="G137" s="83">
        <f t="shared" si="62"/>
        <v>0</v>
      </c>
      <c r="H137" s="84">
        <f t="shared" si="63"/>
        <v>0</v>
      </c>
      <c r="I137" s="1180"/>
      <c r="J137" s="85"/>
      <c r="K137" s="1180"/>
      <c r="L137" s="85"/>
      <c r="M137" s="85"/>
      <c r="N137" s="85"/>
      <c r="O137" s="85"/>
      <c r="P137" s="85"/>
      <c r="Q137" s="85"/>
      <c r="R137" s="85"/>
      <c r="S137" s="85"/>
      <c r="T137" s="85"/>
      <c r="U137" s="85"/>
      <c r="V137" s="85"/>
      <c r="W137" s="85"/>
      <c r="X137" s="85"/>
      <c r="Y137" s="85"/>
      <c r="Z137" s="85"/>
      <c r="AA137" s="85"/>
      <c r="AB137" s="85"/>
      <c r="AC137" s="81">
        <f t="shared" si="64"/>
        <v>0</v>
      </c>
      <c r="AD137" s="86"/>
      <c r="AE137" s="86"/>
      <c r="AF137" s="1180"/>
      <c r="AG137" s="86"/>
      <c r="AH137" s="86"/>
      <c r="AI137" s="86"/>
      <c r="AJ137" s="86"/>
      <c r="AK137" s="86"/>
      <c r="AL137" s="86"/>
      <c r="AM137" s="86"/>
      <c r="AN137" s="86"/>
      <c r="AO137" s="86"/>
      <c r="AP137" s="86"/>
      <c r="AQ137" s="86"/>
      <c r="AR137" s="86"/>
      <c r="AS137" s="86"/>
      <c r="AT137" s="82"/>
      <c r="AU137" s="87"/>
      <c r="AV137" s="818">
        <f t="shared" si="88"/>
        <v>0</v>
      </c>
      <c r="AW137" s="818">
        <f t="shared" si="89"/>
        <v>0</v>
      </c>
      <c r="AX137" s="818">
        <f t="shared" si="90"/>
        <v>0</v>
      </c>
      <c r="AY137" s="88">
        <f t="shared" si="65"/>
        <v>0</v>
      </c>
      <c r="AZ137" s="81">
        <f t="shared" si="66"/>
        <v>0</v>
      </c>
      <c r="BA137" s="81">
        <f t="shared" si="67"/>
        <v>0</v>
      </c>
      <c r="BB137" s="81">
        <f t="shared" si="68"/>
        <v>0</v>
      </c>
      <c r="BC137" s="81">
        <f t="shared" si="69"/>
        <v>0</v>
      </c>
      <c r="BD137" s="81">
        <f t="shared" si="70"/>
        <v>0</v>
      </c>
      <c r="BE137" s="81">
        <f t="shared" si="71"/>
        <v>0</v>
      </c>
      <c r="BF137" s="81">
        <f t="shared" si="72"/>
        <v>0</v>
      </c>
      <c r="BG137" s="81">
        <f t="shared" si="73"/>
        <v>0</v>
      </c>
      <c r="BH137" s="81">
        <f t="shared" si="74"/>
        <v>0</v>
      </c>
      <c r="BI137" s="81">
        <f t="shared" si="75"/>
        <v>0</v>
      </c>
      <c r="BJ137" s="81">
        <f t="shared" si="76"/>
        <v>0</v>
      </c>
      <c r="BK137" s="81">
        <f t="shared" si="77"/>
        <v>0</v>
      </c>
      <c r="BL137" s="81">
        <f t="shared" si="78"/>
        <v>0</v>
      </c>
      <c r="BM137" s="81">
        <f t="shared" si="79"/>
        <v>0</v>
      </c>
      <c r="BN137" s="81">
        <f t="shared" si="80"/>
        <v>0</v>
      </c>
      <c r="BO137" s="81">
        <f t="shared" si="81"/>
        <v>0</v>
      </c>
      <c r="BP137" s="81">
        <f t="shared" si="82"/>
        <v>0</v>
      </c>
      <c r="BQ137" s="81">
        <f t="shared" si="83"/>
        <v>0</v>
      </c>
      <c r="BR137" s="81">
        <f t="shared" si="84"/>
        <v>0</v>
      </c>
      <c r="BS137" s="81">
        <f t="shared" si="85"/>
        <v>0</v>
      </c>
      <c r="BT137" s="89">
        <f t="shared" si="86"/>
        <v>0</v>
      </c>
    </row>
    <row r="138" spans="1:72">
      <c r="A138" s="79"/>
      <c r="B138" s="1179"/>
      <c r="C138" s="1180"/>
      <c r="D138" s="2301"/>
      <c r="E138" s="81">
        <f t="shared" si="87"/>
        <v>0</v>
      </c>
      <c r="F138" s="82"/>
      <c r="G138" s="83">
        <f t="shared" si="62"/>
        <v>0</v>
      </c>
      <c r="H138" s="84">
        <f t="shared" si="63"/>
        <v>0</v>
      </c>
      <c r="I138" s="1180"/>
      <c r="J138" s="85"/>
      <c r="K138" s="1180"/>
      <c r="L138" s="85"/>
      <c r="M138" s="85"/>
      <c r="N138" s="85"/>
      <c r="O138" s="85"/>
      <c r="P138" s="85"/>
      <c r="Q138" s="85"/>
      <c r="R138" s="85"/>
      <c r="S138" s="85"/>
      <c r="T138" s="85"/>
      <c r="U138" s="85"/>
      <c r="V138" s="85"/>
      <c r="W138" s="85"/>
      <c r="X138" s="85"/>
      <c r="Y138" s="85"/>
      <c r="Z138" s="85"/>
      <c r="AA138" s="85"/>
      <c r="AB138" s="85"/>
      <c r="AC138" s="81">
        <f t="shared" si="64"/>
        <v>0</v>
      </c>
      <c r="AD138" s="86"/>
      <c r="AE138" s="86"/>
      <c r="AF138" s="1180"/>
      <c r="AG138" s="86"/>
      <c r="AH138" s="86"/>
      <c r="AI138" s="86"/>
      <c r="AJ138" s="86"/>
      <c r="AK138" s="86"/>
      <c r="AL138" s="86"/>
      <c r="AM138" s="86"/>
      <c r="AN138" s="86"/>
      <c r="AO138" s="86"/>
      <c r="AP138" s="86"/>
      <c r="AQ138" s="86"/>
      <c r="AR138" s="86"/>
      <c r="AS138" s="86"/>
      <c r="AT138" s="82"/>
      <c r="AU138" s="87"/>
      <c r="AV138" s="818">
        <f t="shared" si="88"/>
        <v>0</v>
      </c>
      <c r="AW138" s="818">
        <f t="shared" si="89"/>
        <v>0</v>
      </c>
      <c r="AX138" s="818">
        <f t="shared" si="90"/>
        <v>0</v>
      </c>
      <c r="AY138" s="88">
        <f t="shared" si="65"/>
        <v>0</v>
      </c>
      <c r="AZ138" s="81">
        <f t="shared" si="66"/>
        <v>0</v>
      </c>
      <c r="BA138" s="81">
        <f t="shared" si="67"/>
        <v>0</v>
      </c>
      <c r="BB138" s="81">
        <f t="shared" si="68"/>
        <v>0</v>
      </c>
      <c r="BC138" s="81">
        <f t="shared" si="69"/>
        <v>0</v>
      </c>
      <c r="BD138" s="81">
        <f t="shared" si="70"/>
        <v>0</v>
      </c>
      <c r="BE138" s="81">
        <f t="shared" si="71"/>
        <v>0</v>
      </c>
      <c r="BF138" s="81">
        <f t="shared" si="72"/>
        <v>0</v>
      </c>
      <c r="BG138" s="81">
        <f t="shared" si="73"/>
        <v>0</v>
      </c>
      <c r="BH138" s="81">
        <f t="shared" si="74"/>
        <v>0</v>
      </c>
      <c r="BI138" s="81">
        <f t="shared" si="75"/>
        <v>0</v>
      </c>
      <c r="BJ138" s="81">
        <f t="shared" si="76"/>
        <v>0</v>
      </c>
      <c r="BK138" s="81">
        <f t="shared" si="77"/>
        <v>0</v>
      </c>
      <c r="BL138" s="81">
        <f t="shared" si="78"/>
        <v>0</v>
      </c>
      <c r="BM138" s="81">
        <f t="shared" si="79"/>
        <v>0</v>
      </c>
      <c r="BN138" s="81">
        <f t="shared" si="80"/>
        <v>0</v>
      </c>
      <c r="BO138" s="81">
        <f t="shared" si="81"/>
        <v>0</v>
      </c>
      <c r="BP138" s="81">
        <f t="shared" si="82"/>
        <v>0</v>
      </c>
      <c r="BQ138" s="81">
        <f t="shared" si="83"/>
        <v>0</v>
      </c>
      <c r="BR138" s="81">
        <f t="shared" si="84"/>
        <v>0</v>
      </c>
      <c r="BS138" s="81">
        <f t="shared" si="85"/>
        <v>0</v>
      </c>
      <c r="BT138" s="89">
        <f t="shared" si="86"/>
        <v>0</v>
      </c>
    </row>
    <row r="139" spans="1:72">
      <c r="A139" s="79"/>
      <c r="B139" s="1179"/>
      <c r="C139" s="1180"/>
      <c r="D139" s="2301"/>
      <c r="E139" s="81">
        <f t="shared" si="87"/>
        <v>0</v>
      </c>
      <c r="F139" s="82"/>
      <c r="G139" s="83">
        <f t="shared" si="62"/>
        <v>0</v>
      </c>
      <c r="H139" s="84">
        <f t="shared" si="63"/>
        <v>0</v>
      </c>
      <c r="I139" s="1180"/>
      <c r="J139" s="85"/>
      <c r="K139" s="1180"/>
      <c r="L139" s="85"/>
      <c r="M139" s="85"/>
      <c r="N139" s="85"/>
      <c r="O139" s="85"/>
      <c r="P139" s="85"/>
      <c r="Q139" s="85"/>
      <c r="R139" s="85"/>
      <c r="S139" s="85"/>
      <c r="T139" s="85"/>
      <c r="U139" s="85"/>
      <c r="V139" s="85"/>
      <c r="W139" s="85"/>
      <c r="X139" s="85"/>
      <c r="Y139" s="85"/>
      <c r="Z139" s="85"/>
      <c r="AA139" s="85"/>
      <c r="AB139" s="85"/>
      <c r="AC139" s="81">
        <f t="shared" si="64"/>
        <v>0</v>
      </c>
      <c r="AD139" s="86"/>
      <c r="AE139" s="86"/>
      <c r="AF139" s="1180"/>
      <c r="AG139" s="86"/>
      <c r="AH139" s="86"/>
      <c r="AI139" s="86"/>
      <c r="AJ139" s="86"/>
      <c r="AK139" s="86"/>
      <c r="AL139" s="86"/>
      <c r="AM139" s="86"/>
      <c r="AN139" s="86"/>
      <c r="AO139" s="86"/>
      <c r="AP139" s="86"/>
      <c r="AQ139" s="86"/>
      <c r="AR139" s="86"/>
      <c r="AS139" s="86"/>
      <c r="AT139" s="82"/>
      <c r="AU139" s="87"/>
      <c r="AV139" s="818">
        <f t="shared" si="88"/>
        <v>0</v>
      </c>
      <c r="AW139" s="818">
        <f t="shared" si="89"/>
        <v>0</v>
      </c>
      <c r="AX139" s="818">
        <f t="shared" si="90"/>
        <v>0</v>
      </c>
      <c r="AY139" s="88">
        <f t="shared" si="65"/>
        <v>0</v>
      </c>
      <c r="AZ139" s="81">
        <f t="shared" si="66"/>
        <v>0</v>
      </c>
      <c r="BA139" s="81">
        <f t="shared" si="67"/>
        <v>0</v>
      </c>
      <c r="BB139" s="81">
        <f t="shared" si="68"/>
        <v>0</v>
      </c>
      <c r="BC139" s="81">
        <f t="shared" si="69"/>
        <v>0</v>
      </c>
      <c r="BD139" s="81">
        <f t="shared" si="70"/>
        <v>0</v>
      </c>
      <c r="BE139" s="81">
        <f t="shared" si="71"/>
        <v>0</v>
      </c>
      <c r="BF139" s="81">
        <f t="shared" si="72"/>
        <v>0</v>
      </c>
      <c r="BG139" s="81">
        <f t="shared" si="73"/>
        <v>0</v>
      </c>
      <c r="BH139" s="81">
        <f t="shared" si="74"/>
        <v>0</v>
      </c>
      <c r="BI139" s="81">
        <f t="shared" si="75"/>
        <v>0</v>
      </c>
      <c r="BJ139" s="81">
        <f t="shared" si="76"/>
        <v>0</v>
      </c>
      <c r="BK139" s="81">
        <f t="shared" si="77"/>
        <v>0</v>
      </c>
      <c r="BL139" s="81">
        <f t="shared" si="78"/>
        <v>0</v>
      </c>
      <c r="BM139" s="81">
        <f t="shared" si="79"/>
        <v>0</v>
      </c>
      <c r="BN139" s="81">
        <f t="shared" si="80"/>
        <v>0</v>
      </c>
      <c r="BO139" s="81">
        <f t="shared" si="81"/>
        <v>0</v>
      </c>
      <c r="BP139" s="81">
        <f t="shared" si="82"/>
        <v>0</v>
      </c>
      <c r="BQ139" s="81">
        <f t="shared" si="83"/>
        <v>0</v>
      </c>
      <c r="BR139" s="81">
        <f t="shared" si="84"/>
        <v>0</v>
      </c>
      <c r="BS139" s="81">
        <f t="shared" si="85"/>
        <v>0</v>
      </c>
      <c r="BT139" s="89">
        <f t="shared" si="86"/>
        <v>0</v>
      </c>
    </row>
    <row r="140" spans="1:72">
      <c r="A140" s="79"/>
      <c r="B140" s="1179"/>
      <c r="C140" s="1180"/>
      <c r="D140" s="2301"/>
      <c r="E140" s="81">
        <f t="shared" si="87"/>
        <v>0</v>
      </c>
      <c r="F140" s="82"/>
      <c r="G140" s="83">
        <f t="shared" si="62"/>
        <v>0</v>
      </c>
      <c r="H140" s="84">
        <f t="shared" si="63"/>
        <v>0</v>
      </c>
      <c r="I140" s="1180"/>
      <c r="J140" s="85"/>
      <c r="K140" s="1180"/>
      <c r="L140" s="85"/>
      <c r="M140" s="85"/>
      <c r="N140" s="85"/>
      <c r="O140" s="85"/>
      <c r="P140" s="85"/>
      <c r="Q140" s="85"/>
      <c r="R140" s="85"/>
      <c r="S140" s="85"/>
      <c r="T140" s="85"/>
      <c r="U140" s="85"/>
      <c r="V140" s="85"/>
      <c r="W140" s="85"/>
      <c r="X140" s="85"/>
      <c r="Y140" s="85"/>
      <c r="Z140" s="85"/>
      <c r="AA140" s="85"/>
      <c r="AB140" s="85"/>
      <c r="AC140" s="81">
        <f t="shared" si="64"/>
        <v>0</v>
      </c>
      <c r="AD140" s="86"/>
      <c r="AE140" s="86"/>
      <c r="AF140" s="1180"/>
      <c r="AG140" s="86"/>
      <c r="AH140" s="86"/>
      <c r="AI140" s="86"/>
      <c r="AJ140" s="86"/>
      <c r="AK140" s="86"/>
      <c r="AL140" s="86"/>
      <c r="AM140" s="86"/>
      <c r="AN140" s="86"/>
      <c r="AO140" s="86"/>
      <c r="AP140" s="86"/>
      <c r="AQ140" s="86"/>
      <c r="AR140" s="86"/>
      <c r="AS140" s="86"/>
      <c r="AT140" s="82"/>
      <c r="AU140" s="87"/>
      <c r="AV140" s="818">
        <f t="shared" si="88"/>
        <v>0</v>
      </c>
      <c r="AW140" s="818">
        <f t="shared" si="89"/>
        <v>0</v>
      </c>
      <c r="AX140" s="818">
        <f t="shared" si="90"/>
        <v>0</v>
      </c>
      <c r="AY140" s="88">
        <f t="shared" si="65"/>
        <v>0</v>
      </c>
      <c r="AZ140" s="81">
        <f t="shared" si="66"/>
        <v>0</v>
      </c>
      <c r="BA140" s="81">
        <f t="shared" si="67"/>
        <v>0</v>
      </c>
      <c r="BB140" s="81">
        <f t="shared" si="68"/>
        <v>0</v>
      </c>
      <c r="BC140" s="81">
        <f t="shared" si="69"/>
        <v>0</v>
      </c>
      <c r="BD140" s="81">
        <f t="shared" si="70"/>
        <v>0</v>
      </c>
      <c r="BE140" s="81">
        <f t="shared" si="71"/>
        <v>0</v>
      </c>
      <c r="BF140" s="81">
        <f t="shared" si="72"/>
        <v>0</v>
      </c>
      <c r="BG140" s="81">
        <f t="shared" si="73"/>
        <v>0</v>
      </c>
      <c r="BH140" s="81">
        <f t="shared" si="74"/>
        <v>0</v>
      </c>
      <c r="BI140" s="81">
        <f t="shared" si="75"/>
        <v>0</v>
      </c>
      <c r="BJ140" s="81">
        <f t="shared" si="76"/>
        <v>0</v>
      </c>
      <c r="BK140" s="81">
        <f t="shared" si="77"/>
        <v>0</v>
      </c>
      <c r="BL140" s="81">
        <f t="shared" si="78"/>
        <v>0</v>
      </c>
      <c r="BM140" s="81">
        <f t="shared" si="79"/>
        <v>0</v>
      </c>
      <c r="BN140" s="81">
        <f t="shared" si="80"/>
        <v>0</v>
      </c>
      <c r="BO140" s="81">
        <f t="shared" si="81"/>
        <v>0</v>
      </c>
      <c r="BP140" s="81">
        <f t="shared" si="82"/>
        <v>0</v>
      </c>
      <c r="BQ140" s="81">
        <f t="shared" si="83"/>
        <v>0</v>
      </c>
      <c r="BR140" s="81">
        <f t="shared" si="84"/>
        <v>0</v>
      </c>
      <c r="BS140" s="81">
        <f t="shared" si="85"/>
        <v>0</v>
      </c>
      <c r="BT140" s="89">
        <f t="shared" si="86"/>
        <v>0</v>
      </c>
    </row>
    <row r="141" spans="1:72">
      <c r="A141" s="79"/>
      <c r="B141" s="1179"/>
      <c r="C141" s="1180"/>
      <c r="D141" s="2301"/>
      <c r="E141" s="81">
        <f t="shared" si="87"/>
        <v>0</v>
      </c>
      <c r="F141" s="82"/>
      <c r="G141" s="83">
        <f t="shared" si="62"/>
        <v>0</v>
      </c>
      <c r="H141" s="84">
        <f t="shared" si="63"/>
        <v>0</v>
      </c>
      <c r="I141" s="1180"/>
      <c r="J141" s="85"/>
      <c r="K141" s="1180"/>
      <c r="L141" s="85"/>
      <c r="M141" s="85"/>
      <c r="N141" s="85"/>
      <c r="O141" s="85"/>
      <c r="P141" s="85"/>
      <c r="Q141" s="85"/>
      <c r="R141" s="85"/>
      <c r="S141" s="85"/>
      <c r="T141" s="85"/>
      <c r="U141" s="85"/>
      <c r="V141" s="85"/>
      <c r="W141" s="85"/>
      <c r="X141" s="85"/>
      <c r="Y141" s="85"/>
      <c r="Z141" s="85"/>
      <c r="AA141" s="85"/>
      <c r="AB141" s="85"/>
      <c r="AC141" s="81">
        <f t="shared" si="64"/>
        <v>0</v>
      </c>
      <c r="AD141" s="86"/>
      <c r="AE141" s="86"/>
      <c r="AF141" s="1180"/>
      <c r="AG141" s="86"/>
      <c r="AH141" s="86"/>
      <c r="AI141" s="86"/>
      <c r="AJ141" s="86"/>
      <c r="AK141" s="86"/>
      <c r="AL141" s="86"/>
      <c r="AM141" s="86"/>
      <c r="AN141" s="86"/>
      <c r="AO141" s="86"/>
      <c r="AP141" s="86"/>
      <c r="AQ141" s="86"/>
      <c r="AR141" s="86"/>
      <c r="AS141" s="86"/>
      <c r="AT141" s="82"/>
      <c r="AU141" s="87"/>
      <c r="AV141" s="818">
        <f t="shared" si="88"/>
        <v>0</v>
      </c>
      <c r="AW141" s="818">
        <f t="shared" si="89"/>
        <v>0</v>
      </c>
      <c r="AX141" s="818">
        <f t="shared" si="90"/>
        <v>0</v>
      </c>
      <c r="AY141" s="88">
        <f t="shared" si="65"/>
        <v>0</v>
      </c>
      <c r="AZ141" s="81">
        <f t="shared" si="66"/>
        <v>0</v>
      </c>
      <c r="BA141" s="81">
        <f t="shared" si="67"/>
        <v>0</v>
      </c>
      <c r="BB141" s="81">
        <f t="shared" si="68"/>
        <v>0</v>
      </c>
      <c r="BC141" s="81">
        <f t="shared" si="69"/>
        <v>0</v>
      </c>
      <c r="BD141" s="81">
        <f t="shared" si="70"/>
        <v>0</v>
      </c>
      <c r="BE141" s="81">
        <f t="shared" si="71"/>
        <v>0</v>
      </c>
      <c r="BF141" s="81">
        <f t="shared" si="72"/>
        <v>0</v>
      </c>
      <c r="BG141" s="81">
        <f t="shared" si="73"/>
        <v>0</v>
      </c>
      <c r="BH141" s="81">
        <f t="shared" si="74"/>
        <v>0</v>
      </c>
      <c r="BI141" s="81">
        <f t="shared" si="75"/>
        <v>0</v>
      </c>
      <c r="BJ141" s="81">
        <f t="shared" si="76"/>
        <v>0</v>
      </c>
      <c r="BK141" s="81">
        <f t="shared" si="77"/>
        <v>0</v>
      </c>
      <c r="BL141" s="81">
        <f t="shared" si="78"/>
        <v>0</v>
      </c>
      <c r="BM141" s="81">
        <f t="shared" si="79"/>
        <v>0</v>
      </c>
      <c r="BN141" s="81">
        <f t="shared" si="80"/>
        <v>0</v>
      </c>
      <c r="BO141" s="81">
        <f t="shared" si="81"/>
        <v>0</v>
      </c>
      <c r="BP141" s="81">
        <f t="shared" si="82"/>
        <v>0</v>
      </c>
      <c r="BQ141" s="81">
        <f t="shared" si="83"/>
        <v>0</v>
      </c>
      <c r="BR141" s="81">
        <f t="shared" si="84"/>
        <v>0</v>
      </c>
      <c r="BS141" s="81">
        <f t="shared" si="85"/>
        <v>0</v>
      </c>
      <c r="BT141" s="89">
        <f t="shared" si="86"/>
        <v>0</v>
      </c>
    </row>
    <row r="142" spans="1:72">
      <c r="A142" s="79"/>
      <c r="B142" s="1179"/>
      <c r="C142" s="1180"/>
      <c r="D142" s="2301"/>
      <c r="E142" s="81">
        <f t="shared" si="87"/>
        <v>0</v>
      </c>
      <c r="F142" s="82"/>
      <c r="G142" s="83">
        <f t="shared" ref="G142:G173" si="91">H142+AC142+AT142</f>
        <v>0</v>
      </c>
      <c r="H142" s="84">
        <f t="shared" ref="H142:H173" si="92">SUMIF(I$12:AB$12,"总值",I142:AB142)</f>
        <v>0</v>
      </c>
      <c r="I142" s="1180"/>
      <c r="J142" s="85"/>
      <c r="K142" s="1180"/>
      <c r="L142" s="85"/>
      <c r="M142" s="85"/>
      <c r="N142" s="85"/>
      <c r="O142" s="85"/>
      <c r="P142" s="85"/>
      <c r="Q142" s="85"/>
      <c r="R142" s="85"/>
      <c r="S142" s="85"/>
      <c r="T142" s="85"/>
      <c r="U142" s="85"/>
      <c r="V142" s="85"/>
      <c r="W142" s="85"/>
      <c r="X142" s="85"/>
      <c r="Y142" s="85"/>
      <c r="Z142" s="85"/>
      <c r="AA142" s="85"/>
      <c r="AB142" s="85"/>
      <c r="AC142" s="81">
        <f t="shared" ref="AC142:AC173" si="93">SUMIF(AD$12:AS$12,"总值",AD142:AS142)</f>
        <v>0</v>
      </c>
      <c r="AD142" s="86"/>
      <c r="AE142" s="86"/>
      <c r="AF142" s="1180"/>
      <c r="AG142" s="86"/>
      <c r="AH142" s="86"/>
      <c r="AI142" s="86"/>
      <c r="AJ142" s="86"/>
      <c r="AK142" s="86"/>
      <c r="AL142" s="86"/>
      <c r="AM142" s="86"/>
      <c r="AN142" s="86"/>
      <c r="AO142" s="86"/>
      <c r="AP142" s="86"/>
      <c r="AQ142" s="86"/>
      <c r="AR142" s="86"/>
      <c r="AS142" s="86"/>
      <c r="AT142" s="82"/>
      <c r="AU142" s="87"/>
      <c r="AV142" s="818">
        <f t="shared" si="88"/>
        <v>0</v>
      </c>
      <c r="AW142" s="818">
        <f t="shared" si="89"/>
        <v>0</v>
      </c>
      <c r="AX142" s="818">
        <f t="shared" si="90"/>
        <v>0</v>
      </c>
      <c r="AY142" s="88">
        <f t="shared" ref="AY142:AY173" si="94">ROUND($AY$6*AZ142/$AZ$5,2)</f>
        <v>0</v>
      </c>
      <c r="AZ142" s="81">
        <f t="shared" ref="AZ142:AZ173" si="95">BA142+BL142</f>
        <v>0</v>
      </c>
      <c r="BA142" s="81">
        <f t="shared" ref="BA142:BA173" si="96">SUM(BB142:BK142)</f>
        <v>0</v>
      </c>
      <c r="BB142" s="81">
        <f t="shared" ref="BB142:BB173" si="97">IF($D142="是",I142-J142,0)</f>
        <v>0</v>
      </c>
      <c r="BC142" s="81">
        <f t="shared" ref="BC142:BC173" si="98">IF($D142="是",K142-L142,0)</f>
        <v>0</v>
      </c>
      <c r="BD142" s="81">
        <f t="shared" ref="BD142:BD173" si="99">IF($D142="是",M142-N142,0)</f>
        <v>0</v>
      </c>
      <c r="BE142" s="81">
        <f t="shared" ref="BE142:BE173" si="100">IF($D142="是",O142-P142,0)</f>
        <v>0</v>
      </c>
      <c r="BF142" s="81">
        <f t="shared" ref="BF142:BF173" si="101">IF($D142="是",Q142-R142,0)</f>
        <v>0</v>
      </c>
      <c r="BG142" s="81">
        <f t="shared" ref="BG142:BG173" si="102">IF($D142="是",S142-T142,0)</f>
        <v>0</v>
      </c>
      <c r="BH142" s="81">
        <f t="shared" ref="BH142:BH173" si="103">IF($D142="是",U142-V142,0)</f>
        <v>0</v>
      </c>
      <c r="BI142" s="81">
        <f t="shared" ref="BI142:BI173" si="104">IF($D142="是",W142-X142,0)</f>
        <v>0</v>
      </c>
      <c r="BJ142" s="81">
        <f t="shared" ref="BJ142:BJ173" si="105">IF($D142="是",Y142-Z142,0)</f>
        <v>0</v>
      </c>
      <c r="BK142" s="81">
        <f t="shared" ref="BK142:BK173" si="106">IF($D142="是",AA142-AB142,0)</f>
        <v>0</v>
      </c>
      <c r="BL142" s="81">
        <f t="shared" ref="BL142:BL173" si="107">SUM(BM142:BT142)</f>
        <v>0</v>
      </c>
      <c r="BM142" s="81">
        <f t="shared" ref="BM142:BM173" si="108">IF($D142="是",AD142-AE142,0)</f>
        <v>0</v>
      </c>
      <c r="BN142" s="81">
        <f t="shared" ref="BN142:BN173" si="109">IF($D142="是",AF142-AG142,0)</f>
        <v>0</v>
      </c>
      <c r="BO142" s="81">
        <f t="shared" ref="BO142:BO173" si="110">IF($D142="是",AH142-AI142,0)</f>
        <v>0</v>
      </c>
      <c r="BP142" s="81">
        <f t="shared" ref="BP142:BP173" si="111">IF($D142="是",AJ142-AK142,0)</f>
        <v>0</v>
      </c>
      <c r="BQ142" s="81">
        <f t="shared" ref="BQ142:BQ173" si="112">IF($D142="是",AL142-AM142,0)</f>
        <v>0</v>
      </c>
      <c r="BR142" s="81">
        <f t="shared" ref="BR142:BR173" si="113">IF($D142="是",AN142-AO142,0)</f>
        <v>0</v>
      </c>
      <c r="BS142" s="81">
        <f t="shared" ref="BS142:BS173" si="114">IF($D142="是",AP142-AQ142,0)</f>
        <v>0</v>
      </c>
      <c r="BT142" s="89">
        <f t="shared" ref="BT142:BT173" si="115">IF($D142="是",AR142-AS142,0)</f>
        <v>0</v>
      </c>
    </row>
    <row r="143" spans="1:72">
      <c r="A143" s="79"/>
      <c r="B143" s="1179"/>
      <c r="C143" s="1180"/>
      <c r="D143" s="2301"/>
      <c r="E143" s="81">
        <f t="shared" si="87"/>
        <v>0</v>
      </c>
      <c r="F143" s="82"/>
      <c r="G143" s="83">
        <f t="shared" si="91"/>
        <v>0</v>
      </c>
      <c r="H143" s="84">
        <f t="shared" si="92"/>
        <v>0</v>
      </c>
      <c r="I143" s="1180"/>
      <c r="J143" s="85"/>
      <c r="K143" s="1180"/>
      <c r="L143" s="85"/>
      <c r="M143" s="85"/>
      <c r="N143" s="85"/>
      <c r="O143" s="85"/>
      <c r="P143" s="85"/>
      <c r="Q143" s="85"/>
      <c r="R143" s="85"/>
      <c r="S143" s="85"/>
      <c r="T143" s="85"/>
      <c r="U143" s="85"/>
      <c r="V143" s="85"/>
      <c r="W143" s="85"/>
      <c r="X143" s="85"/>
      <c r="Y143" s="85"/>
      <c r="Z143" s="85"/>
      <c r="AA143" s="85"/>
      <c r="AB143" s="85"/>
      <c r="AC143" s="81">
        <f t="shared" si="93"/>
        <v>0</v>
      </c>
      <c r="AD143" s="86"/>
      <c r="AE143" s="86"/>
      <c r="AF143" s="1180"/>
      <c r="AG143" s="86"/>
      <c r="AH143" s="86"/>
      <c r="AI143" s="86"/>
      <c r="AJ143" s="86"/>
      <c r="AK143" s="86"/>
      <c r="AL143" s="86"/>
      <c r="AM143" s="86"/>
      <c r="AN143" s="86"/>
      <c r="AO143" s="86"/>
      <c r="AP143" s="86"/>
      <c r="AQ143" s="86"/>
      <c r="AR143" s="86"/>
      <c r="AS143" s="86"/>
      <c r="AT143" s="82"/>
      <c r="AU143" s="87"/>
      <c r="AV143" s="818">
        <f t="shared" si="88"/>
        <v>0</v>
      </c>
      <c r="AW143" s="818">
        <f t="shared" si="89"/>
        <v>0</v>
      </c>
      <c r="AX143" s="818">
        <f t="shared" si="90"/>
        <v>0</v>
      </c>
      <c r="AY143" s="88">
        <f t="shared" si="94"/>
        <v>0</v>
      </c>
      <c r="AZ143" s="81">
        <f t="shared" si="95"/>
        <v>0</v>
      </c>
      <c r="BA143" s="81">
        <f t="shared" si="96"/>
        <v>0</v>
      </c>
      <c r="BB143" s="81">
        <f t="shared" si="97"/>
        <v>0</v>
      </c>
      <c r="BC143" s="81">
        <f t="shared" si="98"/>
        <v>0</v>
      </c>
      <c r="BD143" s="81">
        <f t="shared" si="99"/>
        <v>0</v>
      </c>
      <c r="BE143" s="81">
        <f t="shared" si="100"/>
        <v>0</v>
      </c>
      <c r="BF143" s="81">
        <f t="shared" si="101"/>
        <v>0</v>
      </c>
      <c r="BG143" s="81">
        <f t="shared" si="102"/>
        <v>0</v>
      </c>
      <c r="BH143" s="81">
        <f t="shared" si="103"/>
        <v>0</v>
      </c>
      <c r="BI143" s="81">
        <f t="shared" si="104"/>
        <v>0</v>
      </c>
      <c r="BJ143" s="81">
        <f t="shared" si="105"/>
        <v>0</v>
      </c>
      <c r="BK143" s="81">
        <f t="shared" si="106"/>
        <v>0</v>
      </c>
      <c r="BL143" s="81">
        <f t="shared" si="107"/>
        <v>0</v>
      </c>
      <c r="BM143" s="81">
        <f t="shared" si="108"/>
        <v>0</v>
      </c>
      <c r="BN143" s="81">
        <f t="shared" si="109"/>
        <v>0</v>
      </c>
      <c r="BO143" s="81">
        <f t="shared" si="110"/>
        <v>0</v>
      </c>
      <c r="BP143" s="81">
        <f t="shared" si="111"/>
        <v>0</v>
      </c>
      <c r="BQ143" s="81">
        <f t="shared" si="112"/>
        <v>0</v>
      </c>
      <c r="BR143" s="81">
        <f t="shared" si="113"/>
        <v>0</v>
      </c>
      <c r="BS143" s="81">
        <f t="shared" si="114"/>
        <v>0</v>
      </c>
      <c r="BT143" s="89">
        <f t="shared" si="115"/>
        <v>0</v>
      </c>
    </row>
    <row r="144" spans="1:72">
      <c r="A144" s="79"/>
      <c r="B144" s="1179"/>
      <c r="C144" s="1180"/>
      <c r="D144" s="2301"/>
      <c r="E144" s="81">
        <f t="shared" si="87"/>
        <v>0</v>
      </c>
      <c r="F144" s="82"/>
      <c r="G144" s="83">
        <f t="shared" si="91"/>
        <v>0</v>
      </c>
      <c r="H144" s="84">
        <f t="shared" si="92"/>
        <v>0</v>
      </c>
      <c r="I144" s="1180"/>
      <c r="J144" s="85"/>
      <c r="K144" s="1180"/>
      <c r="L144" s="85"/>
      <c r="M144" s="85"/>
      <c r="N144" s="85"/>
      <c r="O144" s="85"/>
      <c r="P144" s="85"/>
      <c r="Q144" s="85"/>
      <c r="R144" s="85"/>
      <c r="S144" s="85"/>
      <c r="T144" s="85"/>
      <c r="U144" s="85"/>
      <c r="V144" s="85"/>
      <c r="W144" s="85"/>
      <c r="X144" s="85"/>
      <c r="Y144" s="85"/>
      <c r="Z144" s="85"/>
      <c r="AA144" s="85"/>
      <c r="AB144" s="85"/>
      <c r="AC144" s="81">
        <f t="shared" si="93"/>
        <v>0</v>
      </c>
      <c r="AD144" s="86"/>
      <c r="AE144" s="86"/>
      <c r="AF144" s="1180"/>
      <c r="AG144" s="86"/>
      <c r="AH144" s="86"/>
      <c r="AI144" s="86"/>
      <c r="AJ144" s="86"/>
      <c r="AK144" s="86"/>
      <c r="AL144" s="86"/>
      <c r="AM144" s="86"/>
      <c r="AN144" s="86"/>
      <c r="AO144" s="86"/>
      <c r="AP144" s="86"/>
      <c r="AQ144" s="86"/>
      <c r="AR144" s="86"/>
      <c r="AS144" s="86"/>
      <c r="AT144" s="82"/>
      <c r="AU144" s="87"/>
      <c r="AV144" s="818">
        <f t="shared" si="88"/>
        <v>0</v>
      </c>
      <c r="AW144" s="818">
        <f t="shared" si="89"/>
        <v>0</v>
      </c>
      <c r="AX144" s="818">
        <f t="shared" si="90"/>
        <v>0</v>
      </c>
      <c r="AY144" s="88">
        <f t="shared" si="94"/>
        <v>0</v>
      </c>
      <c r="AZ144" s="81">
        <f t="shared" si="95"/>
        <v>0</v>
      </c>
      <c r="BA144" s="81">
        <f t="shared" si="96"/>
        <v>0</v>
      </c>
      <c r="BB144" s="81">
        <f t="shared" si="97"/>
        <v>0</v>
      </c>
      <c r="BC144" s="81">
        <f t="shared" si="98"/>
        <v>0</v>
      </c>
      <c r="BD144" s="81">
        <f t="shared" si="99"/>
        <v>0</v>
      </c>
      <c r="BE144" s="81">
        <f t="shared" si="100"/>
        <v>0</v>
      </c>
      <c r="BF144" s="81">
        <f t="shared" si="101"/>
        <v>0</v>
      </c>
      <c r="BG144" s="81">
        <f t="shared" si="102"/>
        <v>0</v>
      </c>
      <c r="BH144" s="81">
        <f t="shared" si="103"/>
        <v>0</v>
      </c>
      <c r="BI144" s="81">
        <f t="shared" si="104"/>
        <v>0</v>
      </c>
      <c r="BJ144" s="81">
        <f t="shared" si="105"/>
        <v>0</v>
      </c>
      <c r="BK144" s="81">
        <f t="shared" si="106"/>
        <v>0</v>
      </c>
      <c r="BL144" s="81">
        <f t="shared" si="107"/>
        <v>0</v>
      </c>
      <c r="BM144" s="81">
        <f t="shared" si="108"/>
        <v>0</v>
      </c>
      <c r="BN144" s="81">
        <f t="shared" si="109"/>
        <v>0</v>
      </c>
      <c r="BO144" s="81">
        <f t="shared" si="110"/>
        <v>0</v>
      </c>
      <c r="BP144" s="81">
        <f t="shared" si="111"/>
        <v>0</v>
      </c>
      <c r="BQ144" s="81">
        <f t="shared" si="112"/>
        <v>0</v>
      </c>
      <c r="BR144" s="81">
        <f t="shared" si="113"/>
        <v>0</v>
      </c>
      <c r="BS144" s="81">
        <f t="shared" si="114"/>
        <v>0</v>
      </c>
      <c r="BT144" s="89">
        <f t="shared" si="115"/>
        <v>0</v>
      </c>
    </row>
    <row r="145" spans="1:72">
      <c r="A145" s="79"/>
      <c r="B145" s="1179"/>
      <c r="C145" s="1180"/>
      <c r="D145" s="2301"/>
      <c r="E145" s="81">
        <f t="shared" ref="E145:E176" si="116">IF($C$3="是",ROUND($A$3*G145/$B$3,2),ROUND($A$3*(G145-AT145)/$B$3,2))</f>
        <v>0</v>
      </c>
      <c r="F145" s="82"/>
      <c r="G145" s="83">
        <f t="shared" si="91"/>
        <v>0</v>
      </c>
      <c r="H145" s="84">
        <f t="shared" si="92"/>
        <v>0</v>
      </c>
      <c r="I145" s="1180"/>
      <c r="J145" s="85"/>
      <c r="K145" s="1180"/>
      <c r="L145" s="85"/>
      <c r="M145" s="85"/>
      <c r="N145" s="85"/>
      <c r="O145" s="85"/>
      <c r="P145" s="85"/>
      <c r="Q145" s="85"/>
      <c r="R145" s="85"/>
      <c r="S145" s="85"/>
      <c r="T145" s="85"/>
      <c r="U145" s="85"/>
      <c r="V145" s="85"/>
      <c r="W145" s="85"/>
      <c r="X145" s="85"/>
      <c r="Y145" s="85"/>
      <c r="Z145" s="85"/>
      <c r="AA145" s="85"/>
      <c r="AB145" s="85"/>
      <c r="AC145" s="81">
        <f t="shared" si="93"/>
        <v>0</v>
      </c>
      <c r="AD145" s="86"/>
      <c r="AE145" s="86"/>
      <c r="AF145" s="1180"/>
      <c r="AG145" s="86"/>
      <c r="AH145" s="86"/>
      <c r="AI145" s="86"/>
      <c r="AJ145" s="86"/>
      <c r="AK145" s="86"/>
      <c r="AL145" s="86"/>
      <c r="AM145" s="86"/>
      <c r="AN145" s="86"/>
      <c r="AO145" s="86"/>
      <c r="AP145" s="86"/>
      <c r="AQ145" s="86"/>
      <c r="AR145" s="86"/>
      <c r="AS145" s="86"/>
      <c r="AT145" s="82"/>
      <c r="AU145" s="87"/>
      <c r="AV145" s="818">
        <f t="shared" ref="AV145:AV176" si="117">A145</f>
        <v>0</v>
      </c>
      <c r="AW145" s="818">
        <f t="shared" ref="AW145:AW176" si="118">B145</f>
        <v>0</v>
      </c>
      <c r="AX145" s="818">
        <f t="shared" ref="AX145:AX176" si="119">C145</f>
        <v>0</v>
      </c>
      <c r="AY145" s="88">
        <f t="shared" si="94"/>
        <v>0</v>
      </c>
      <c r="AZ145" s="81">
        <f t="shared" si="95"/>
        <v>0</v>
      </c>
      <c r="BA145" s="81">
        <f t="shared" si="96"/>
        <v>0</v>
      </c>
      <c r="BB145" s="81">
        <f t="shared" si="97"/>
        <v>0</v>
      </c>
      <c r="BC145" s="81">
        <f t="shared" si="98"/>
        <v>0</v>
      </c>
      <c r="BD145" s="81">
        <f t="shared" si="99"/>
        <v>0</v>
      </c>
      <c r="BE145" s="81">
        <f t="shared" si="100"/>
        <v>0</v>
      </c>
      <c r="BF145" s="81">
        <f t="shared" si="101"/>
        <v>0</v>
      </c>
      <c r="BG145" s="81">
        <f t="shared" si="102"/>
        <v>0</v>
      </c>
      <c r="BH145" s="81">
        <f t="shared" si="103"/>
        <v>0</v>
      </c>
      <c r="BI145" s="81">
        <f t="shared" si="104"/>
        <v>0</v>
      </c>
      <c r="BJ145" s="81">
        <f t="shared" si="105"/>
        <v>0</v>
      </c>
      <c r="BK145" s="81">
        <f t="shared" si="106"/>
        <v>0</v>
      </c>
      <c r="BL145" s="81">
        <f t="shared" si="107"/>
        <v>0</v>
      </c>
      <c r="BM145" s="81">
        <f t="shared" si="108"/>
        <v>0</v>
      </c>
      <c r="BN145" s="81">
        <f t="shared" si="109"/>
        <v>0</v>
      </c>
      <c r="BO145" s="81">
        <f t="shared" si="110"/>
        <v>0</v>
      </c>
      <c r="BP145" s="81">
        <f t="shared" si="111"/>
        <v>0</v>
      </c>
      <c r="BQ145" s="81">
        <f t="shared" si="112"/>
        <v>0</v>
      </c>
      <c r="BR145" s="81">
        <f t="shared" si="113"/>
        <v>0</v>
      </c>
      <c r="BS145" s="81">
        <f t="shared" si="114"/>
        <v>0</v>
      </c>
      <c r="BT145" s="89">
        <f t="shared" si="115"/>
        <v>0</v>
      </c>
    </row>
    <row r="146" spans="1:72">
      <c r="A146" s="79"/>
      <c r="B146" s="1179"/>
      <c r="C146" s="1180"/>
      <c r="D146" s="2301"/>
      <c r="E146" s="81">
        <f t="shared" si="116"/>
        <v>0</v>
      </c>
      <c r="F146" s="82"/>
      <c r="G146" s="83">
        <f t="shared" si="91"/>
        <v>0</v>
      </c>
      <c r="H146" s="84">
        <f t="shared" si="92"/>
        <v>0</v>
      </c>
      <c r="I146" s="1180"/>
      <c r="J146" s="85"/>
      <c r="K146" s="1180"/>
      <c r="L146" s="85"/>
      <c r="M146" s="85"/>
      <c r="N146" s="85"/>
      <c r="O146" s="85"/>
      <c r="P146" s="85"/>
      <c r="Q146" s="85"/>
      <c r="R146" s="85"/>
      <c r="S146" s="85"/>
      <c r="T146" s="85"/>
      <c r="U146" s="85"/>
      <c r="V146" s="85"/>
      <c r="W146" s="85"/>
      <c r="X146" s="85"/>
      <c r="Y146" s="85"/>
      <c r="Z146" s="85"/>
      <c r="AA146" s="85"/>
      <c r="AB146" s="85"/>
      <c r="AC146" s="81">
        <f t="shared" si="93"/>
        <v>0</v>
      </c>
      <c r="AD146" s="86"/>
      <c r="AE146" s="86"/>
      <c r="AF146" s="1180"/>
      <c r="AG146" s="86"/>
      <c r="AH146" s="86"/>
      <c r="AI146" s="86"/>
      <c r="AJ146" s="86"/>
      <c r="AK146" s="86"/>
      <c r="AL146" s="86"/>
      <c r="AM146" s="86"/>
      <c r="AN146" s="86"/>
      <c r="AO146" s="86"/>
      <c r="AP146" s="86"/>
      <c r="AQ146" s="86"/>
      <c r="AR146" s="86"/>
      <c r="AS146" s="86"/>
      <c r="AT146" s="82"/>
      <c r="AU146" s="87"/>
      <c r="AV146" s="818">
        <f t="shared" si="117"/>
        <v>0</v>
      </c>
      <c r="AW146" s="818">
        <f t="shared" si="118"/>
        <v>0</v>
      </c>
      <c r="AX146" s="818">
        <f t="shared" si="119"/>
        <v>0</v>
      </c>
      <c r="AY146" s="88">
        <f t="shared" si="94"/>
        <v>0</v>
      </c>
      <c r="AZ146" s="81">
        <f t="shared" si="95"/>
        <v>0</v>
      </c>
      <c r="BA146" s="81">
        <f t="shared" si="96"/>
        <v>0</v>
      </c>
      <c r="BB146" s="81">
        <f t="shared" si="97"/>
        <v>0</v>
      </c>
      <c r="BC146" s="81">
        <f t="shared" si="98"/>
        <v>0</v>
      </c>
      <c r="BD146" s="81">
        <f t="shared" si="99"/>
        <v>0</v>
      </c>
      <c r="BE146" s="81">
        <f t="shared" si="100"/>
        <v>0</v>
      </c>
      <c r="BF146" s="81">
        <f t="shared" si="101"/>
        <v>0</v>
      </c>
      <c r="BG146" s="81">
        <f t="shared" si="102"/>
        <v>0</v>
      </c>
      <c r="BH146" s="81">
        <f t="shared" si="103"/>
        <v>0</v>
      </c>
      <c r="BI146" s="81">
        <f t="shared" si="104"/>
        <v>0</v>
      </c>
      <c r="BJ146" s="81">
        <f t="shared" si="105"/>
        <v>0</v>
      </c>
      <c r="BK146" s="81">
        <f t="shared" si="106"/>
        <v>0</v>
      </c>
      <c r="BL146" s="81">
        <f t="shared" si="107"/>
        <v>0</v>
      </c>
      <c r="BM146" s="81">
        <f t="shared" si="108"/>
        <v>0</v>
      </c>
      <c r="BN146" s="81">
        <f t="shared" si="109"/>
        <v>0</v>
      </c>
      <c r="BO146" s="81">
        <f t="shared" si="110"/>
        <v>0</v>
      </c>
      <c r="BP146" s="81">
        <f t="shared" si="111"/>
        <v>0</v>
      </c>
      <c r="BQ146" s="81">
        <f t="shared" si="112"/>
        <v>0</v>
      </c>
      <c r="BR146" s="81">
        <f t="shared" si="113"/>
        <v>0</v>
      </c>
      <c r="BS146" s="81">
        <f t="shared" si="114"/>
        <v>0</v>
      </c>
      <c r="BT146" s="89">
        <f t="shared" si="115"/>
        <v>0</v>
      </c>
    </row>
    <row r="147" spans="1:72">
      <c r="A147" s="79"/>
      <c r="B147" s="1179"/>
      <c r="C147" s="1180"/>
      <c r="D147" s="2301"/>
      <c r="E147" s="81">
        <f t="shared" si="116"/>
        <v>0</v>
      </c>
      <c r="F147" s="82"/>
      <c r="G147" s="83">
        <f t="shared" si="91"/>
        <v>0</v>
      </c>
      <c r="H147" s="84">
        <f t="shared" si="92"/>
        <v>0</v>
      </c>
      <c r="I147" s="1180"/>
      <c r="J147" s="85"/>
      <c r="K147" s="1180"/>
      <c r="L147" s="85"/>
      <c r="M147" s="1180"/>
      <c r="N147" s="85"/>
      <c r="O147" s="85"/>
      <c r="P147" s="85"/>
      <c r="Q147" s="85"/>
      <c r="R147" s="85"/>
      <c r="S147" s="85"/>
      <c r="T147" s="85"/>
      <c r="U147" s="85"/>
      <c r="V147" s="85"/>
      <c r="W147" s="85"/>
      <c r="X147" s="85"/>
      <c r="Y147" s="85"/>
      <c r="Z147" s="85"/>
      <c r="AA147" s="85"/>
      <c r="AB147" s="85"/>
      <c r="AC147" s="81">
        <f t="shared" si="93"/>
        <v>0</v>
      </c>
      <c r="AD147" s="86"/>
      <c r="AE147" s="86"/>
      <c r="AF147" s="1180"/>
      <c r="AG147" s="86"/>
      <c r="AH147" s="86"/>
      <c r="AI147" s="86"/>
      <c r="AJ147" s="86"/>
      <c r="AK147" s="86"/>
      <c r="AL147" s="86"/>
      <c r="AM147" s="86"/>
      <c r="AN147" s="86"/>
      <c r="AO147" s="86"/>
      <c r="AP147" s="86"/>
      <c r="AQ147" s="86"/>
      <c r="AR147" s="86"/>
      <c r="AS147" s="86"/>
      <c r="AT147" s="82"/>
      <c r="AU147" s="87"/>
      <c r="AV147" s="818">
        <f t="shared" si="117"/>
        <v>0</v>
      </c>
      <c r="AW147" s="818">
        <f t="shared" si="118"/>
        <v>0</v>
      </c>
      <c r="AX147" s="818">
        <f t="shared" si="119"/>
        <v>0</v>
      </c>
      <c r="AY147" s="88">
        <f t="shared" si="94"/>
        <v>0</v>
      </c>
      <c r="AZ147" s="81">
        <f t="shared" si="95"/>
        <v>0</v>
      </c>
      <c r="BA147" s="81">
        <f t="shared" si="96"/>
        <v>0</v>
      </c>
      <c r="BB147" s="81">
        <f t="shared" si="97"/>
        <v>0</v>
      </c>
      <c r="BC147" s="81">
        <f t="shared" si="98"/>
        <v>0</v>
      </c>
      <c r="BD147" s="81">
        <f t="shared" si="99"/>
        <v>0</v>
      </c>
      <c r="BE147" s="81">
        <f t="shared" si="100"/>
        <v>0</v>
      </c>
      <c r="BF147" s="81">
        <f t="shared" si="101"/>
        <v>0</v>
      </c>
      <c r="BG147" s="81">
        <f t="shared" si="102"/>
        <v>0</v>
      </c>
      <c r="BH147" s="81">
        <f t="shared" si="103"/>
        <v>0</v>
      </c>
      <c r="BI147" s="81">
        <f t="shared" si="104"/>
        <v>0</v>
      </c>
      <c r="BJ147" s="81">
        <f t="shared" si="105"/>
        <v>0</v>
      </c>
      <c r="BK147" s="81">
        <f t="shared" si="106"/>
        <v>0</v>
      </c>
      <c r="BL147" s="81">
        <f t="shared" si="107"/>
        <v>0</v>
      </c>
      <c r="BM147" s="81">
        <f t="shared" si="108"/>
        <v>0</v>
      </c>
      <c r="BN147" s="81">
        <f t="shared" si="109"/>
        <v>0</v>
      </c>
      <c r="BO147" s="81">
        <f t="shared" si="110"/>
        <v>0</v>
      </c>
      <c r="BP147" s="81">
        <f t="shared" si="111"/>
        <v>0</v>
      </c>
      <c r="BQ147" s="81">
        <f t="shared" si="112"/>
        <v>0</v>
      </c>
      <c r="BR147" s="81">
        <f t="shared" si="113"/>
        <v>0</v>
      </c>
      <c r="BS147" s="81">
        <f t="shared" si="114"/>
        <v>0</v>
      </c>
      <c r="BT147" s="89">
        <f t="shared" si="115"/>
        <v>0</v>
      </c>
    </row>
    <row r="148" spans="1:72">
      <c r="A148" s="79"/>
      <c r="B148" s="80"/>
      <c r="C148" s="80"/>
      <c r="D148" s="2301"/>
      <c r="E148" s="81">
        <f t="shared" si="116"/>
        <v>0</v>
      </c>
      <c r="F148" s="82"/>
      <c r="G148" s="83">
        <f t="shared" si="91"/>
        <v>0</v>
      </c>
      <c r="H148" s="84">
        <f t="shared" si="92"/>
        <v>0</v>
      </c>
      <c r="I148" s="85"/>
      <c r="J148" s="85"/>
      <c r="K148" s="85"/>
      <c r="L148" s="85"/>
      <c r="M148" s="85"/>
      <c r="N148" s="85"/>
      <c r="O148" s="85"/>
      <c r="P148" s="85"/>
      <c r="Q148" s="85"/>
      <c r="R148" s="85"/>
      <c r="S148" s="85"/>
      <c r="T148" s="85"/>
      <c r="U148" s="85"/>
      <c r="V148" s="85"/>
      <c r="W148" s="85"/>
      <c r="X148" s="85"/>
      <c r="Y148" s="85"/>
      <c r="Z148" s="85"/>
      <c r="AA148" s="85"/>
      <c r="AB148" s="85"/>
      <c r="AC148" s="81">
        <f t="shared" si="93"/>
        <v>0</v>
      </c>
      <c r="AD148" s="86"/>
      <c r="AE148" s="86"/>
      <c r="AF148" s="86"/>
      <c r="AG148" s="86"/>
      <c r="AH148" s="86"/>
      <c r="AI148" s="86"/>
      <c r="AJ148" s="86"/>
      <c r="AK148" s="86"/>
      <c r="AL148" s="86"/>
      <c r="AM148" s="86"/>
      <c r="AN148" s="86"/>
      <c r="AO148" s="86"/>
      <c r="AP148" s="86"/>
      <c r="AQ148" s="86"/>
      <c r="AR148" s="86"/>
      <c r="AS148" s="86"/>
      <c r="AT148" s="82"/>
      <c r="AU148" s="87"/>
      <c r="AV148" s="818">
        <f t="shared" si="117"/>
        <v>0</v>
      </c>
      <c r="AW148" s="818">
        <f t="shared" si="118"/>
        <v>0</v>
      </c>
      <c r="AX148" s="818">
        <f t="shared" si="119"/>
        <v>0</v>
      </c>
      <c r="AY148" s="88">
        <f t="shared" si="94"/>
        <v>0</v>
      </c>
      <c r="AZ148" s="81">
        <f t="shared" si="95"/>
        <v>0</v>
      </c>
      <c r="BA148" s="81">
        <f t="shared" si="96"/>
        <v>0</v>
      </c>
      <c r="BB148" s="81">
        <f t="shared" si="97"/>
        <v>0</v>
      </c>
      <c r="BC148" s="81">
        <f t="shared" si="98"/>
        <v>0</v>
      </c>
      <c r="BD148" s="81">
        <f t="shared" si="99"/>
        <v>0</v>
      </c>
      <c r="BE148" s="81">
        <f t="shared" si="100"/>
        <v>0</v>
      </c>
      <c r="BF148" s="81">
        <f t="shared" si="101"/>
        <v>0</v>
      </c>
      <c r="BG148" s="81">
        <f t="shared" si="102"/>
        <v>0</v>
      </c>
      <c r="BH148" s="81">
        <f t="shared" si="103"/>
        <v>0</v>
      </c>
      <c r="BI148" s="81">
        <f t="shared" si="104"/>
        <v>0</v>
      </c>
      <c r="BJ148" s="81">
        <f t="shared" si="105"/>
        <v>0</v>
      </c>
      <c r="BK148" s="81">
        <f t="shared" si="106"/>
        <v>0</v>
      </c>
      <c r="BL148" s="81">
        <f t="shared" si="107"/>
        <v>0</v>
      </c>
      <c r="BM148" s="81">
        <f t="shared" si="108"/>
        <v>0</v>
      </c>
      <c r="BN148" s="81">
        <f t="shared" si="109"/>
        <v>0</v>
      </c>
      <c r="BO148" s="81">
        <f t="shared" si="110"/>
        <v>0</v>
      </c>
      <c r="BP148" s="81">
        <f t="shared" si="111"/>
        <v>0</v>
      </c>
      <c r="BQ148" s="81">
        <f t="shared" si="112"/>
        <v>0</v>
      </c>
      <c r="BR148" s="81">
        <f t="shared" si="113"/>
        <v>0</v>
      </c>
      <c r="BS148" s="81">
        <f t="shared" si="114"/>
        <v>0</v>
      </c>
      <c r="BT148" s="89">
        <f t="shared" si="115"/>
        <v>0</v>
      </c>
    </row>
    <row r="149" spans="1:72">
      <c r="A149" s="79"/>
      <c r="B149" s="80"/>
      <c r="C149" s="80"/>
      <c r="D149" s="2301"/>
      <c r="E149" s="81">
        <f t="shared" si="116"/>
        <v>0</v>
      </c>
      <c r="F149" s="82"/>
      <c r="G149" s="83">
        <f t="shared" si="91"/>
        <v>0</v>
      </c>
      <c r="H149" s="84">
        <f t="shared" si="92"/>
        <v>0</v>
      </c>
      <c r="I149" s="85"/>
      <c r="J149" s="85"/>
      <c r="K149" s="85"/>
      <c r="L149" s="85"/>
      <c r="M149" s="85"/>
      <c r="N149" s="85"/>
      <c r="O149" s="85"/>
      <c r="P149" s="85"/>
      <c r="Q149" s="85"/>
      <c r="R149" s="85"/>
      <c r="S149" s="85"/>
      <c r="T149" s="85"/>
      <c r="U149" s="85"/>
      <c r="V149" s="85"/>
      <c r="W149" s="85"/>
      <c r="X149" s="85"/>
      <c r="Y149" s="85"/>
      <c r="Z149" s="85"/>
      <c r="AA149" s="85"/>
      <c r="AB149" s="85"/>
      <c r="AC149" s="81">
        <f t="shared" si="93"/>
        <v>0</v>
      </c>
      <c r="AD149" s="86"/>
      <c r="AE149" s="86"/>
      <c r="AF149" s="86"/>
      <c r="AG149" s="86"/>
      <c r="AH149" s="86"/>
      <c r="AI149" s="86"/>
      <c r="AJ149" s="86"/>
      <c r="AK149" s="86"/>
      <c r="AL149" s="86"/>
      <c r="AM149" s="86"/>
      <c r="AN149" s="86"/>
      <c r="AO149" s="86"/>
      <c r="AP149" s="86"/>
      <c r="AQ149" s="86"/>
      <c r="AR149" s="86"/>
      <c r="AS149" s="86"/>
      <c r="AT149" s="82"/>
      <c r="AU149" s="87"/>
      <c r="AV149" s="818">
        <f t="shared" si="117"/>
        <v>0</v>
      </c>
      <c r="AW149" s="818">
        <f t="shared" si="118"/>
        <v>0</v>
      </c>
      <c r="AX149" s="818">
        <f t="shared" si="119"/>
        <v>0</v>
      </c>
      <c r="AY149" s="88">
        <f t="shared" si="94"/>
        <v>0</v>
      </c>
      <c r="AZ149" s="81">
        <f t="shared" si="95"/>
        <v>0</v>
      </c>
      <c r="BA149" s="81">
        <f t="shared" si="96"/>
        <v>0</v>
      </c>
      <c r="BB149" s="81">
        <f t="shared" si="97"/>
        <v>0</v>
      </c>
      <c r="BC149" s="81">
        <f t="shared" si="98"/>
        <v>0</v>
      </c>
      <c r="BD149" s="81">
        <f t="shared" si="99"/>
        <v>0</v>
      </c>
      <c r="BE149" s="81">
        <f t="shared" si="100"/>
        <v>0</v>
      </c>
      <c r="BF149" s="81">
        <f t="shared" si="101"/>
        <v>0</v>
      </c>
      <c r="BG149" s="81">
        <f t="shared" si="102"/>
        <v>0</v>
      </c>
      <c r="BH149" s="81">
        <f t="shared" si="103"/>
        <v>0</v>
      </c>
      <c r="BI149" s="81">
        <f t="shared" si="104"/>
        <v>0</v>
      </c>
      <c r="BJ149" s="81">
        <f t="shared" si="105"/>
        <v>0</v>
      </c>
      <c r="BK149" s="81">
        <f t="shared" si="106"/>
        <v>0</v>
      </c>
      <c r="BL149" s="81">
        <f t="shared" si="107"/>
        <v>0</v>
      </c>
      <c r="BM149" s="81">
        <f t="shared" si="108"/>
        <v>0</v>
      </c>
      <c r="BN149" s="81">
        <f t="shared" si="109"/>
        <v>0</v>
      </c>
      <c r="BO149" s="81">
        <f t="shared" si="110"/>
        <v>0</v>
      </c>
      <c r="BP149" s="81">
        <f t="shared" si="111"/>
        <v>0</v>
      </c>
      <c r="BQ149" s="81">
        <f t="shared" si="112"/>
        <v>0</v>
      </c>
      <c r="BR149" s="81">
        <f t="shared" si="113"/>
        <v>0</v>
      </c>
      <c r="BS149" s="81">
        <f t="shared" si="114"/>
        <v>0</v>
      </c>
      <c r="BT149" s="89">
        <f t="shared" si="115"/>
        <v>0</v>
      </c>
    </row>
    <row r="150" spans="1:72">
      <c r="A150" s="79"/>
      <c r="B150" s="80"/>
      <c r="C150" s="80"/>
      <c r="D150" s="2301"/>
      <c r="E150" s="81">
        <f t="shared" si="116"/>
        <v>0</v>
      </c>
      <c r="F150" s="82"/>
      <c r="G150" s="83">
        <f t="shared" si="91"/>
        <v>0</v>
      </c>
      <c r="H150" s="84">
        <f t="shared" si="92"/>
        <v>0</v>
      </c>
      <c r="I150" s="85"/>
      <c r="J150" s="85"/>
      <c r="K150" s="85"/>
      <c r="L150" s="85"/>
      <c r="M150" s="85"/>
      <c r="N150" s="85"/>
      <c r="O150" s="85"/>
      <c r="P150" s="85"/>
      <c r="Q150" s="85"/>
      <c r="R150" s="85"/>
      <c r="S150" s="85"/>
      <c r="T150" s="85"/>
      <c r="U150" s="85"/>
      <c r="V150" s="85"/>
      <c r="W150" s="85"/>
      <c r="X150" s="85"/>
      <c r="Y150" s="85"/>
      <c r="Z150" s="85"/>
      <c r="AA150" s="85"/>
      <c r="AB150" s="85"/>
      <c r="AC150" s="81">
        <f t="shared" si="93"/>
        <v>0</v>
      </c>
      <c r="AD150" s="86"/>
      <c r="AE150" s="86"/>
      <c r="AF150" s="86"/>
      <c r="AG150" s="86"/>
      <c r="AH150" s="86"/>
      <c r="AI150" s="86"/>
      <c r="AJ150" s="86"/>
      <c r="AK150" s="86"/>
      <c r="AL150" s="86"/>
      <c r="AM150" s="86"/>
      <c r="AN150" s="86"/>
      <c r="AO150" s="86"/>
      <c r="AP150" s="86"/>
      <c r="AQ150" s="86"/>
      <c r="AR150" s="86"/>
      <c r="AS150" s="86"/>
      <c r="AT150" s="82"/>
      <c r="AU150" s="87"/>
      <c r="AV150" s="818">
        <f t="shared" si="117"/>
        <v>0</v>
      </c>
      <c r="AW150" s="818">
        <f t="shared" si="118"/>
        <v>0</v>
      </c>
      <c r="AX150" s="818">
        <f t="shared" si="119"/>
        <v>0</v>
      </c>
      <c r="AY150" s="88">
        <f t="shared" si="94"/>
        <v>0</v>
      </c>
      <c r="AZ150" s="81">
        <f t="shared" si="95"/>
        <v>0</v>
      </c>
      <c r="BA150" s="81">
        <f t="shared" si="96"/>
        <v>0</v>
      </c>
      <c r="BB150" s="81">
        <f t="shared" si="97"/>
        <v>0</v>
      </c>
      <c r="BC150" s="81">
        <f t="shared" si="98"/>
        <v>0</v>
      </c>
      <c r="BD150" s="81">
        <f t="shared" si="99"/>
        <v>0</v>
      </c>
      <c r="BE150" s="81">
        <f t="shared" si="100"/>
        <v>0</v>
      </c>
      <c r="BF150" s="81">
        <f t="shared" si="101"/>
        <v>0</v>
      </c>
      <c r="BG150" s="81">
        <f t="shared" si="102"/>
        <v>0</v>
      </c>
      <c r="BH150" s="81">
        <f t="shared" si="103"/>
        <v>0</v>
      </c>
      <c r="BI150" s="81">
        <f t="shared" si="104"/>
        <v>0</v>
      </c>
      <c r="BJ150" s="81">
        <f t="shared" si="105"/>
        <v>0</v>
      </c>
      <c r="BK150" s="81">
        <f t="shared" si="106"/>
        <v>0</v>
      </c>
      <c r="BL150" s="81">
        <f t="shared" si="107"/>
        <v>0</v>
      </c>
      <c r="BM150" s="81">
        <f t="shared" si="108"/>
        <v>0</v>
      </c>
      <c r="BN150" s="81">
        <f t="shared" si="109"/>
        <v>0</v>
      </c>
      <c r="BO150" s="81">
        <f t="shared" si="110"/>
        <v>0</v>
      </c>
      <c r="BP150" s="81">
        <f t="shared" si="111"/>
        <v>0</v>
      </c>
      <c r="BQ150" s="81">
        <f t="shared" si="112"/>
        <v>0</v>
      </c>
      <c r="BR150" s="81">
        <f t="shared" si="113"/>
        <v>0</v>
      </c>
      <c r="BS150" s="81">
        <f t="shared" si="114"/>
        <v>0</v>
      </c>
      <c r="BT150" s="89">
        <f t="shared" si="115"/>
        <v>0</v>
      </c>
    </row>
    <row r="151" spans="1:72">
      <c r="A151" s="79"/>
      <c r="B151" s="80"/>
      <c r="C151" s="80"/>
      <c r="D151" s="2301"/>
      <c r="E151" s="81">
        <f t="shared" si="116"/>
        <v>0</v>
      </c>
      <c r="F151" s="82"/>
      <c r="G151" s="83">
        <f t="shared" si="91"/>
        <v>0</v>
      </c>
      <c r="H151" s="84">
        <f t="shared" si="92"/>
        <v>0</v>
      </c>
      <c r="I151" s="85"/>
      <c r="J151" s="85"/>
      <c r="K151" s="85"/>
      <c r="L151" s="85"/>
      <c r="M151" s="85"/>
      <c r="N151" s="85"/>
      <c r="O151" s="85"/>
      <c r="P151" s="85"/>
      <c r="Q151" s="85"/>
      <c r="R151" s="85"/>
      <c r="S151" s="85"/>
      <c r="T151" s="85"/>
      <c r="U151" s="85"/>
      <c r="V151" s="85"/>
      <c r="W151" s="85"/>
      <c r="X151" s="85"/>
      <c r="Y151" s="85"/>
      <c r="Z151" s="85"/>
      <c r="AA151" s="85"/>
      <c r="AB151" s="85"/>
      <c r="AC151" s="81">
        <f t="shared" si="93"/>
        <v>0</v>
      </c>
      <c r="AD151" s="86"/>
      <c r="AE151" s="86"/>
      <c r="AF151" s="86"/>
      <c r="AG151" s="86"/>
      <c r="AH151" s="86"/>
      <c r="AI151" s="86"/>
      <c r="AJ151" s="86"/>
      <c r="AK151" s="86"/>
      <c r="AL151" s="86"/>
      <c r="AM151" s="86"/>
      <c r="AN151" s="86"/>
      <c r="AO151" s="86"/>
      <c r="AP151" s="86"/>
      <c r="AQ151" s="86"/>
      <c r="AR151" s="86"/>
      <c r="AS151" s="86"/>
      <c r="AT151" s="82"/>
      <c r="AU151" s="87"/>
      <c r="AV151" s="818">
        <f t="shared" si="117"/>
        <v>0</v>
      </c>
      <c r="AW151" s="818">
        <f t="shared" si="118"/>
        <v>0</v>
      </c>
      <c r="AX151" s="818">
        <f t="shared" si="119"/>
        <v>0</v>
      </c>
      <c r="AY151" s="88">
        <f t="shared" si="94"/>
        <v>0</v>
      </c>
      <c r="AZ151" s="81">
        <f t="shared" si="95"/>
        <v>0</v>
      </c>
      <c r="BA151" s="81">
        <f t="shared" si="96"/>
        <v>0</v>
      </c>
      <c r="BB151" s="81">
        <f t="shared" si="97"/>
        <v>0</v>
      </c>
      <c r="BC151" s="81">
        <f t="shared" si="98"/>
        <v>0</v>
      </c>
      <c r="BD151" s="81">
        <f t="shared" si="99"/>
        <v>0</v>
      </c>
      <c r="BE151" s="81">
        <f t="shared" si="100"/>
        <v>0</v>
      </c>
      <c r="BF151" s="81">
        <f t="shared" si="101"/>
        <v>0</v>
      </c>
      <c r="BG151" s="81">
        <f t="shared" si="102"/>
        <v>0</v>
      </c>
      <c r="BH151" s="81">
        <f t="shared" si="103"/>
        <v>0</v>
      </c>
      <c r="BI151" s="81">
        <f t="shared" si="104"/>
        <v>0</v>
      </c>
      <c r="BJ151" s="81">
        <f t="shared" si="105"/>
        <v>0</v>
      </c>
      <c r="BK151" s="81">
        <f t="shared" si="106"/>
        <v>0</v>
      </c>
      <c r="BL151" s="81">
        <f t="shared" si="107"/>
        <v>0</v>
      </c>
      <c r="BM151" s="81">
        <f t="shared" si="108"/>
        <v>0</v>
      </c>
      <c r="BN151" s="81">
        <f t="shared" si="109"/>
        <v>0</v>
      </c>
      <c r="BO151" s="81">
        <f t="shared" si="110"/>
        <v>0</v>
      </c>
      <c r="BP151" s="81">
        <f t="shared" si="111"/>
        <v>0</v>
      </c>
      <c r="BQ151" s="81">
        <f t="shared" si="112"/>
        <v>0</v>
      </c>
      <c r="BR151" s="81">
        <f t="shared" si="113"/>
        <v>0</v>
      </c>
      <c r="BS151" s="81">
        <f t="shared" si="114"/>
        <v>0</v>
      </c>
      <c r="BT151" s="89">
        <f t="shared" si="115"/>
        <v>0</v>
      </c>
    </row>
    <row r="152" spans="1:72">
      <c r="A152" s="79"/>
      <c r="B152" s="80"/>
      <c r="C152" s="80"/>
      <c r="D152" s="2301"/>
      <c r="E152" s="81">
        <f t="shared" si="116"/>
        <v>0</v>
      </c>
      <c r="F152" s="82"/>
      <c r="G152" s="83">
        <f t="shared" si="91"/>
        <v>0</v>
      </c>
      <c r="H152" s="84">
        <f t="shared" si="92"/>
        <v>0</v>
      </c>
      <c r="I152" s="85"/>
      <c r="J152" s="85"/>
      <c r="K152" s="85"/>
      <c r="L152" s="85"/>
      <c r="M152" s="85"/>
      <c r="N152" s="85"/>
      <c r="O152" s="85"/>
      <c r="P152" s="85"/>
      <c r="Q152" s="85"/>
      <c r="R152" s="85"/>
      <c r="S152" s="85"/>
      <c r="T152" s="85"/>
      <c r="U152" s="85"/>
      <c r="V152" s="85"/>
      <c r="W152" s="85"/>
      <c r="X152" s="85"/>
      <c r="Y152" s="85"/>
      <c r="Z152" s="85"/>
      <c r="AA152" s="85"/>
      <c r="AB152" s="85"/>
      <c r="AC152" s="81">
        <f t="shared" si="93"/>
        <v>0</v>
      </c>
      <c r="AD152" s="86"/>
      <c r="AE152" s="86"/>
      <c r="AF152" s="86"/>
      <c r="AG152" s="86"/>
      <c r="AH152" s="86"/>
      <c r="AI152" s="86"/>
      <c r="AJ152" s="86"/>
      <c r="AK152" s="86"/>
      <c r="AL152" s="86"/>
      <c r="AM152" s="86"/>
      <c r="AN152" s="86"/>
      <c r="AO152" s="86"/>
      <c r="AP152" s="86"/>
      <c r="AQ152" s="86"/>
      <c r="AR152" s="86"/>
      <c r="AS152" s="86"/>
      <c r="AT152" s="82"/>
      <c r="AU152" s="87"/>
      <c r="AV152" s="818">
        <f t="shared" si="117"/>
        <v>0</v>
      </c>
      <c r="AW152" s="818">
        <f t="shared" si="118"/>
        <v>0</v>
      </c>
      <c r="AX152" s="818">
        <f t="shared" si="119"/>
        <v>0</v>
      </c>
      <c r="AY152" s="88">
        <f t="shared" si="94"/>
        <v>0</v>
      </c>
      <c r="AZ152" s="81">
        <f t="shared" si="95"/>
        <v>0</v>
      </c>
      <c r="BA152" s="81">
        <f t="shared" si="96"/>
        <v>0</v>
      </c>
      <c r="BB152" s="81">
        <f t="shared" si="97"/>
        <v>0</v>
      </c>
      <c r="BC152" s="81">
        <f t="shared" si="98"/>
        <v>0</v>
      </c>
      <c r="BD152" s="81">
        <f t="shared" si="99"/>
        <v>0</v>
      </c>
      <c r="BE152" s="81">
        <f t="shared" si="100"/>
        <v>0</v>
      </c>
      <c r="BF152" s="81">
        <f t="shared" si="101"/>
        <v>0</v>
      </c>
      <c r="BG152" s="81">
        <f t="shared" si="102"/>
        <v>0</v>
      </c>
      <c r="BH152" s="81">
        <f t="shared" si="103"/>
        <v>0</v>
      </c>
      <c r="BI152" s="81">
        <f t="shared" si="104"/>
        <v>0</v>
      </c>
      <c r="BJ152" s="81">
        <f t="shared" si="105"/>
        <v>0</v>
      </c>
      <c r="BK152" s="81">
        <f t="shared" si="106"/>
        <v>0</v>
      </c>
      <c r="BL152" s="81">
        <f t="shared" si="107"/>
        <v>0</v>
      </c>
      <c r="BM152" s="81">
        <f t="shared" si="108"/>
        <v>0</v>
      </c>
      <c r="BN152" s="81">
        <f t="shared" si="109"/>
        <v>0</v>
      </c>
      <c r="BO152" s="81">
        <f t="shared" si="110"/>
        <v>0</v>
      </c>
      <c r="BP152" s="81">
        <f t="shared" si="111"/>
        <v>0</v>
      </c>
      <c r="BQ152" s="81">
        <f t="shared" si="112"/>
        <v>0</v>
      </c>
      <c r="BR152" s="81">
        <f t="shared" si="113"/>
        <v>0</v>
      </c>
      <c r="BS152" s="81">
        <f t="shared" si="114"/>
        <v>0</v>
      </c>
      <c r="BT152" s="89">
        <f t="shared" si="115"/>
        <v>0</v>
      </c>
    </row>
    <row r="153" spans="1:72">
      <c r="A153" s="79"/>
      <c r="B153" s="80"/>
      <c r="C153" s="80"/>
      <c r="D153" s="2301"/>
      <c r="E153" s="81">
        <f t="shared" si="116"/>
        <v>0</v>
      </c>
      <c r="F153" s="82"/>
      <c r="G153" s="83">
        <f t="shared" si="91"/>
        <v>0</v>
      </c>
      <c r="H153" s="84">
        <f t="shared" si="92"/>
        <v>0</v>
      </c>
      <c r="I153" s="85"/>
      <c r="J153" s="85"/>
      <c r="K153" s="85"/>
      <c r="L153" s="85"/>
      <c r="M153" s="85"/>
      <c r="N153" s="85"/>
      <c r="O153" s="85"/>
      <c r="P153" s="85"/>
      <c r="Q153" s="85"/>
      <c r="R153" s="85"/>
      <c r="S153" s="85"/>
      <c r="T153" s="85"/>
      <c r="U153" s="85"/>
      <c r="V153" s="85"/>
      <c r="W153" s="85"/>
      <c r="X153" s="85"/>
      <c r="Y153" s="85"/>
      <c r="Z153" s="85"/>
      <c r="AA153" s="85"/>
      <c r="AB153" s="85"/>
      <c r="AC153" s="81">
        <f t="shared" si="93"/>
        <v>0</v>
      </c>
      <c r="AD153" s="86"/>
      <c r="AE153" s="86"/>
      <c r="AF153" s="86"/>
      <c r="AG153" s="86"/>
      <c r="AH153" s="86"/>
      <c r="AI153" s="86"/>
      <c r="AJ153" s="86"/>
      <c r="AK153" s="86"/>
      <c r="AL153" s="86"/>
      <c r="AM153" s="86"/>
      <c r="AN153" s="86"/>
      <c r="AO153" s="86"/>
      <c r="AP153" s="86"/>
      <c r="AQ153" s="86"/>
      <c r="AR153" s="86"/>
      <c r="AS153" s="86"/>
      <c r="AT153" s="82"/>
      <c r="AU153" s="87"/>
      <c r="AV153" s="818">
        <f t="shared" si="117"/>
        <v>0</v>
      </c>
      <c r="AW153" s="818">
        <f t="shared" si="118"/>
        <v>0</v>
      </c>
      <c r="AX153" s="818">
        <f t="shared" si="119"/>
        <v>0</v>
      </c>
      <c r="AY153" s="88">
        <f t="shared" si="94"/>
        <v>0</v>
      </c>
      <c r="AZ153" s="81">
        <f t="shared" si="95"/>
        <v>0</v>
      </c>
      <c r="BA153" s="81">
        <f t="shared" si="96"/>
        <v>0</v>
      </c>
      <c r="BB153" s="81">
        <f t="shared" si="97"/>
        <v>0</v>
      </c>
      <c r="BC153" s="81">
        <f t="shared" si="98"/>
        <v>0</v>
      </c>
      <c r="BD153" s="81">
        <f t="shared" si="99"/>
        <v>0</v>
      </c>
      <c r="BE153" s="81">
        <f t="shared" si="100"/>
        <v>0</v>
      </c>
      <c r="BF153" s="81">
        <f t="shared" si="101"/>
        <v>0</v>
      </c>
      <c r="BG153" s="81">
        <f t="shared" si="102"/>
        <v>0</v>
      </c>
      <c r="BH153" s="81">
        <f t="shared" si="103"/>
        <v>0</v>
      </c>
      <c r="BI153" s="81">
        <f t="shared" si="104"/>
        <v>0</v>
      </c>
      <c r="BJ153" s="81">
        <f t="shared" si="105"/>
        <v>0</v>
      </c>
      <c r="BK153" s="81">
        <f t="shared" si="106"/>
        <v>0</v>
      </c>
      <c r="BL153" s="81">
        <f t="shared" si="107"/>
        <v>0</v>
      </c>
      <c r="BM153" s="81">
        <f t="shared" si="108"/>
        <v>0</v>
      </c>
      <c r="BN153" s="81">
        <f t="shared" si="109"/>
        <v>0</v>
      </c>
      <c r="BO153" s="81">
        <f t="shared" si="110"/>
        <v>0</v>
      </c>
      <c r="BP153" s="81">
        <f t="shared" si="111"/>
        <v>0</v>
      </c>
      <c r="BQ153" s="81">
        <f t="shared" si="112"/>
        <v>0</v>
      </c>
      <c r="BR153" s="81">
        <f t="shared" si="113"/>
        <v>0</v>
      </c>
      <c r="BS153" s="81">
        <f t="shared" si="114"/>
        <v>0</v>
      </c>
      <c r="BT153" s="89">
        <f t="shared" si="115"/>
        <v>0</v>
      </c>
    </row>
    <row r="154" spans="1:72">
      <c r="A154" s="79"/>
      <c r="B154" s="80"/>
      <c r="C154" s="80"/>
      <c r="D154" s="2301"/>
      <c r="E154" s="81">
        <f t="shared" si="116"/>
        <v>0</v>
      </c>
      <c r="F154" s="82"/>
      <c r="G154" s="83">
        <f t="shared" si="91"/>
        <v>0</v>
      </c>
      <c r="H154" s="84">
        <f t="shared" si="92"/>
        <v>0</v>
      </c>
      <c r="I154" s="85"/>
      <c r="J154" s="85"/>
      <c r="K154" s="85"/>
      <c r="L154" s="85"/>
      <c r="M154" s="85"/>
      <c r="N154" s="85"/>
      <c r="O154" s="85"/>
      <c r="P154" s="85"/>
      <c r="Q154" s="85"/>
      <c r="R154" s="85"/>
      <c r="S154" s="85"/>
      <c r="T154" s="85"/>
      <c r="U154" s="85"/>
      <c r="V154" s="85"/>
      <c r="W154" s="85"/>
      <c r="X154" s="85"/>
      <c r="Y154" s="85"/>
      <c r="Z154" s="85"/>
      <c r="AA154" s="85"/>
      <c r="AB154" s="85"/>
      <c r="AC154" s="81">
        <f t="shared" si="93"/>
        <v>0</v>
      </c>
      <c r="AD154" s="86"/>
      <c r="AE154" s="86"/>
      <c r="AF154" s="86"/>
      <c r="AG154" s="86"/>
      <c r="AH154" s="86"/>
      <c r="AI154" s="86"/>
      <c r="AJ154" s="86"/>
      <c r="AK154" s="86"/>
      <c r="AL154" s="86"/>
      <c r="AM154" s="86"/>
      <c r="AN154" s="86"/>
      <c r="AO154" s="86"/>
      <c r="AP154" s="86"/>
      <c r="AQ154" s="86"/>
      <c r="AR154" s="86"/>
      <c r="AS154" s="86"/>
      <c r="AT154" s="82"/>
      <c r="AU154" s="87"/>
      <c r="AV154" s="818">
        <f t="shared" si="117"/>
        <v>0</v>
      </c>
      <c r="AW154" s="818">
        <f t="shared" si="118"/>
        <v>0</v>
      </c>
      <c r="AX154" s="818">
        <f t="shared" si="119"/>
        <v>0</v>
      </c>
      <c r="AY154" s="88">
        <f t="shared" si="94"/>
        <v>0</v>
      </c>
      <c r="AZ154" s="81">
        <f t="shared" si="95"/>
        <v>0</v>
      </c>
      <c r="BA154" s="81">
        <f t="shared" si="96"/>
        <v>0</v>
      </c>
      <c r="BB154" s="81">
        <f t="shared" si="97"/>
        <v>0</v>
      </c>
      <c r="BC154" s="81">
        <f t="shared" si="98"/>
        <v>0</v>
      </c>
      <c r="BD154" s="81">
        <f t="shared" si="99"/>
        <v>0</v>
      </c>
      <c r="BE154" s="81">
        <f t="shared" si="100"/>
        <v>0</v>
      </c>
      <c r="BF154" s="81">
        <f t="shared" si="101"/>
        <v>0</v>
      </c>
      <c r="BG154" s="81">
        <f t="shared" si="102"/>
        <v>0</v>
      </c>
      <c r="BH154" s="81">
        <f t="shared" si="103"/>
        <v>0</v>
      </c>
      <c r="BI154" s="81">
        <f t="shared" si="104"/>
        <v>0</v>
      </c>
      <c r="BJ154" s="81">
        <f t="shared" si="105"/>
        <v>0</v>
      </c>
      <c r="BK154" s="81">
        <f t="shared" si="106"/>
        <v>0</v>
      </c>
      <c r="BL154" s="81">
        <f t="shared" si="107"/>
        <v>0</v>
      </c>
      <c r="BM154" s="81">
        <f t="shared" si="108"/>
        <v>0</v>
      </c>
      <c r="BN154" s="81">
        <f t="shared" si="109"/>
        <v>0</v>
      </c>
      <c r="BO154" s="81">
        <f t="shared" si="110"/>
        <v>0</v>
      </c>
      <c r="BP154" s="81">
        <f t="shared" si="111"/>
        <v>0</v>
      </c>
      <c r="BQ154" s="81">
        <f t="shared" si="112"/>
        <v>0</v>
      </c>
      <c r="BR154" s="81">
        <f t="shared" si="113"/>
        <v>0</v>
      </c>
      <c r="BS154" s="81">
        <f t="shared" si="114"/>
        <v>0</v>
      </c>
      <c r="BT154" s="89">
        <f t="shared" si="115"/>
        <v>0</v>
      </c>
    </row>
    <row r="155" spans="1:72">
      <c r="A155" s="79"/>
      <c r="B155" s="80"/>
      <c r="C155" s="80"/>
      <c r="D155" s="2301"/>
      <c r="E155" s="81">
        <f t="shared" si="116"/>
        <v>0</v>
      </c>
      <c r="F155" s="82"/>
      <c r="G155" s="83">
        <f t="shared" si="91"/>
        <v>0</v>
      </c>
      <c r="H155" s="84">
        <f t="shared" si="92"/>
        <v>0</v>
      </c>
      <c r="I155" s="85"/>
      <c r="J155" s="85"/>
      <c r="K155" s="85"/>
      <c r="L155" s="85"/>
      <c r="M155" s="85"/>
      <c r="N155" s="85"/>
      <c r="O155" s="85"/>
      <c r="P155" s="85"/>
      <c r="Q155" s="85"/>
      <c r="R155" s="85"/>
      <c r="S155" s="85"/>
      <c r="T155" s="85"/>
      <c r="U155" s="85"/>
      <c r="V155" s="85"/>
      <c r="W155" s="85"/>
      <c r="X155" s="85"/>
      <c r="Y155" s="85"/>
      <c r="Z155" s="85"/>
      <c r="AA155" s="85"/>
      <c r="AB155" s="85"/>
      <c r="AC155" s="81">
        <f t="shared" si="93"/>
        <v>0</v>
      </c>
      <c r="AD155" s="86"/>
      <c r="AE155" s="86"/>
      <c r="AF155" s="86"/>
      <c r="AG155" s="86"/>
      <c r="AH155" s="86"/>
      <c r="AI155" s="86"/>
      <c r="AJ155" s="86"/>
      <c r="AK155" s="86"/>
      <c r="AL155" s="86"/>
      <c r="AM155" s="86"/>
      <c r="AN155" s="86"/>
      <c r="AO155" s="86"/>
      <c r="AP155" s="86"/>
      <c r="AQ155" s="86"/>
      <c r="AR155" s="86"/>
      <c r="AS155" s="86"/>
      <c r="AT155" s="82"/>
      <c r="AU155" s="87"/>
      <c r="AV155" s="818">
        <f t="shared" si="117"/>
        <v>0</v>
      </c>
      <c r="AW155" s="818">
        <f t="shared" si="118"/>
        <v>0</v>
      </c>
      <c r="AX155" s="818">
        <f t="shared" si="119"/>
        <v>0</v>
      </c>
      <c r="AY155" s="88">
        <f t="shared" si="94"/>
        <v>0</v>
      </c>
      <c r="AZ155" s="81">
        <f t="shared" si="95"/>
        <v>0</v>
      </c>
      <c r="BA155" s="81">
        <f t="shared" si="96"/>
        <v>0</v>
      </c>
      <c r="BB155" s="81">
        <f t="shared" si="97"/>
        <v>0</v>
      </c>
      <c r="BC155" s="81">
        <f t="shared" si="98"/>
        <v>0</v>
      </c>
      <c r="BD155" s="81">
        <f t="shared" si="99"/>
        <v>0</v>
      </c>
      <c r="BE155" s="81">
        <f t="shared" si="100"/>
        <v>0</v>
      </c>
      <c r="BF155" s="81">
        <f t="shared" si="101"/>
        <v>0</v>
      </c>
      <c r="BG155" s="81">
        <f t="shared" si="102"/>
        <v>0</v>
      </c>
      <c r="BH155" s="81">
        <f t="shared" si="103"/>
        <v>0</v>
      </c>
      <c r="BI155" s="81">
        <f t="shared" si="104"/>
        <v>0</v>
      </c>
      <c r="BJ155" s="81">
        <f t="shared" si="105"/>
        <v>0</v>
      </c>
      <c r="BK155" s="81">
        <f t="shared" si="106"/>
        <v>0</v>
      </c>
      <c r="BL155" s="81">
        <f t="shared" si="107"/>
        <v>0</v>
      </c>
      <c r="BM155" s="81">
        <f t="shared" si="108"/>
        <v>0</v>
      </c>
      <c r="BN155" s="81">
        <f t="shared" si="109"/>
        <v>0</v>
      </c>
      <c r="BO155" s="81">
        <f t="shared" si="110"/>
        <v>0</v>
      </c>
      <c r="BP155" s="81">
        <f t="shared" si="111"/>
        <v>0</v>
      </c>
      <c r="BQ155" s="81">
        <f t="shared" si="112"/>
        <v>0</v>
      </c>
      <c r="BR155" s="81">
        <f t="shared" si="113"/>
        <v>0</v>
      </c>
      <c r="BS155" s="81">
        <f t="shared" si="114"/>
        <v>0</v>
      </c>
      <c r="BT155" s="89">
        <f t="shared" si="115"/>
        <v>0</v>
      </c>
    </row>
    <row r="156" spans="1:72">
      <c r="A156" s="79"/>
      <c r="B156" s="80"/>
      <c r="C156" s="80"/>
      <c r="D156" s="2301"/>
      <c r="E156" s="81">
        <f t="shared" si="116"/>
        <v>0</v>
      </c>
      <c r="F156" s="82"/>
      <c r="G156" s="83">
        <f t="shared" si="91"/>
        <v>0</v>
      </c>
      <c r="H156" s="84">
        <f t="shared" si="92"/>
        <v>0</v>
      </c>
      <c r="I156" s="85"/>
      <c r="J156" s="85"/>
      <c r="K156" s="85"/>
      <c r="L156" s="85"/>
      <c r="M156" s="85"/>
      <c r="N156" s="85"/>
      <c r="O156" s="85"/>
      <c r="P156" s="85"/>
      <c r="Q156" s="85"/>
      <c r="R156" s="85"/>
      <c r="S156" s="85"/>
      <c r="T156" s="85"/>
      <c r="U156" s="85"/>
      <c r="V156" s="85"/>
      <c r="W156" s="85"/>
      <c r="X156" s="85"/>
      <c r="Y156" s="85"/>
      <c r="Z156" s="85"/>
      <c r="AA156" s="85"/>
      <c r="AB156" s="85"/>
      <c r="AC156" s="81">
        <f t="shared" si="93"/>
        <v>0</v>
      </c>
      <c r="AD156" s="86"/>
      <c r="AE156" s="86"/>
      <c r="AF156" s="86"/>
      <c r="AG156" s="86"/>
      <c r="AH156" s="86"/>
      <c r="AI156" s="86"/>
      <c r="AJ156" s="86"/>
      <c r="AK156" s="86"/>
      <c r="AL156" s="86"/>
      <c r="AM156" s="86"/>
      <c r="AN156" s="86"/>
      <c r="AO156" s="86"/>
      <c r="AP156" s="86"/>
      <c r="AQ156" s="86"/>
      <c r="AR156" s="86"/>
      <c r="AS156" s="86"/>
      <c r="AT156" s="82"/>
      <c r="AU156" s="87"/>
      <c r="AV156" s="818">
        <f t="shared" si="117"/>
        <v>0</v>
      </c>
      <c r="AW156" s="818">
        <f t="shared" si="118"/>
        <v>0</v>
      </c>
      <c r="AX156" s="818">
        <f t="shared" si="119"/>
        <v>0</v>
      </c>
      <c r="AY156" s="88">
        <f t="shared" si="94"/>
        <v>0</v>
      </c>
      <c r="AZ156" s="81">
        <f t="shared" si="95"/>
        <v>0</v>
      </c>
      <c r="BA156" s="81">
        <f t="shared" si="96"/>
        <v>0</v>
      </c>
      <c r="BB156" s="81">
        <f t="shared" si="97"/>
        <v>0</v>
      </c>
      <c r="BC156" s="81">
        <f t="shared" si="98"/>
        <v>0</v>
      </c>
      <c r="BD156" s="81">
        <f t="shared" si="99"/>
        <v>0</v>
      </c>
      <c r="BE156" s="81">
        <f t="shared" si="100"/>
        <v>0</v>
      </c>
      <c r="BF156" s="81">
        <f t="shared" si="101"/>
        <v>0</v>
      </c>
      <c r="BG156" s="81">
        <f t="shared" si="102"/>
        <v>0</v>
      </c>
      <c r="BH156" s="81">
        <f t="shared" si="103"/>
        <v>0</v>
      </c>
      <c r="BI156" s="81">
        <f t="shared" si="104"/>
        <v>0</v>
      </c>
      <c r="BJ156" s="81">
        <f t="shared" si="105"/>
        <v>0</v>
      </c>
      <c r="BK156" s="81">
        <f t="shared" si="106"/>
        <v>0</v>
      </c>
      <c r="BL156" s="81">
        <f t="shared" si="107"/>
        <v>0</v>
      </c>
      <c r="BM156" s="81">
        <f t="shared" si="108"/>
        <v>0</v>
      </c>
      <c r="BN156" s="81">
        <f t="shared" si="109"/>
        <v>0</v>
      </c>
      <c r="BO156" s="81">
        <f t="shared" si="110"/>
        <v>0</v>
      </c>
      <c r="BP156" s="81">
        <f t="shared" si="111"/>
        <v>0</v>
      </c>
      <c r="BQ156" s="81">
        <f t="shared" si="112"/>
        <v>0</v>
      </c>
      <c r="BR156" s="81">
        <f t="shared" si="113"/>
        <v>0</v>
      </c>
      <c r="BS156" s="81">
        <f t="shared" si="114"/>
        <v>0</v>
      </c>
      <c r="BT156" s="89">
        <f t="shared" si="115"/>
        <v>0</v>
      </c>
    </row>
    <row r="157" spans="1:72">
      <c r="A157" s="79"/>
      <c r="B157" s="80"/>
      <c r="C157" s="80"/>
      <c r="D157" s="2301"/>
      <c r="E157" s="81">
        <f t="shared" si="116"/>
        <v>0</v>
      </c>
      <c r="F157" s="82"/>
      <c r="G157" s="83">
        <f t="shared" si="91"/>
        <v>0</v>
      </c>
      <c r="H157" s="84">
        <f t="shared" si="92"/>
        <v>0</v>
      </c>
      <c r="I157" s="85"/>
      <c r="J157" s="85"/>
      <c r="K157" s="85"/>
      <c r="L157" s="85"/>
      <c r="M157" s="85"/>
      <c r="N157" s="85"/>
      <c r="O157" s="85"/>
      <c r="P157" s="85"/>
      <c r="Q157" s="85"/>
      <c r="R157" s="85"/>
      <c r="S157" s="85"/>
      <c r="T157" s="85"/>
      <c r="U157" s="85"/>
      <c r="V157" s="85"/>
      <c r="W157" s="85"/>
      <c r="X157" s="85"/>
      <c r="Y157" s="85"/>
      <c r="Z157" s="85"/>
      <c r="AA157" s="85"/>
      <c r="AB157" s="85"/>
      <c r="AC157" s="81">
        <f t="shared" si="93"/>
        <v>0</v>
      </c>
      <c r="AD157" s="86"/>
      <c r="AE157" s="86"/>
      <c r="AF157" s="86"/>
      <c r="AG157" s="86"/>
      <c r="AH157" s="86"/>
      <c r="AI157" s="86"/>
      <c r="AJ157" s="86"/>
      <c r="AK157" s="86"/>
      <c r="AL157" s="86"/>
      <c r="AM157" s="86"/>
      <c r="AN157" s="86"/>
      <c r="AO157" s="86"/>
      <c r="AP157" s="86"/>
      <c r="AQ157" s="86"/>
      <c r="AR157" s="86"/>
      <c r="AS157" s="86"/>
      <c r="AT157" s="82"/>
      <c r="AU157" s="87"/>
      <c r="AV157" s="818">
        <f t="shared" si="117"/>
        <v>0</v>
      </c>
      <c r="AW157" s="818">
        <f t="shared" si="118"/>
        <v>0</v>
      </c>
      <c r="AX157" s="818">
        <f t="shared" si="119"/>
        <v>0</v>
      </c>
      <c r="AY157" s="88">
        <f t="shared" si="94"/>
        <v>0</v>
      </c>
      <c r="AZ157" s="81">
        <f t="shared" si="95"/>
        <v>0</v>
      </c>
      <c r="BA157" s="81">
        <f t="shared" si="96"/>
        <v>0</v>
      </c>
      <c r="BB157" s="81">
        <f t="shared" si="97"/>
        <v>0</v>
      </c>
      <c r="BC157" s="81">
        <f t="shared" si="98"/>
        <v>0</v>
      </c>
      <c r="BD157" s="81">
        <f t="shared" si="99"/>
        <v>0</v>
      </c>
      <c r="BE157" s="81">
        <f t="shared" si="100"/>
        <v>0</v>
      </c>
      <c r="BF157" s="81">
        <f t="shared" si="101"/>
        <v>0</v>
      </c>
      <c r="BG157" s="81">
        <f t="shared" si="102"/>
        <v>0</v>
      </c>
      <c r="BH157" s="81">
        <f t="shared" si="103"/>
        <v>0</v>
      </c>
      <c r="BI157" s="81">
        <f t="shared" si="104"/>
        <v>0</v>
      </c>
      <c r="BJ157" s="81">
        <f t="shared" si="105"/>
        <v>0</v>
      </c>
      <c r="BK157" s="81">
        <f t="shared" si="106"/>
        <v>0</v>
      </c>
      <c r="BL157" s="81">
        <f t="shared" si="107"/>
        <v>0</v>
      </c>
      <c r="BM157" s="81">
        <f t="shared" si="108"/>
        <v>0</v>
      </c>
      <c r="BN157" s="81">
        <f t="shared" si="109"/>
        <v>0</v>
      </c>
      <c r="BO157" s="81">
        <f t="shared" si="110"/>
        <v>0</v>
      </c>
      <c r="BP157" s="81">
        <f t="shared" si="111"/>
        <v>0</v>
      </c>
      <c r="BQ157" s="81">
        <f t="shared" si="112"/>
        <v>0</v>
      </c>
      <c r="BR157" s="81">
        <f t="shared" si="113"/>
        <v>0</v>
      </c>
      <c r="BS157" s="81">
        <f t="shared" si="114"/>
        <v>0</v>
      </c>
      <c r="BT157" s="89">
        <f t="shared" si="115"/>
        <v>0</v>
      </c>
    </row>
    <row r="158" spans="1:72">
      <c r="A158" s="79"/>
      <c r="B158" s="80"/>
      <c r="C158" s="80"/>
      <c r="D158" s="2301"/>
      <c r="E158" s="81">
        <f t="shared" si="116"/>
        <v>0</v>
      </c>
      <c r="F158" s="82"/>
      <c r="G158" s="83">
        <f t="shared" si="91"/>
        <v>0</v>
      </c>
      <c r="H158" s="84">
        <f t="shared" si="92"/>
        <v>0</v>
      </c>
      <c r="I158" s="85"/>
      <c r="J158" s="85"/>
      <c r="K158" s="85"/>
      <c r="L158" s="85"/>
      <c r="M158" s="85"/>
      <c r="N158" s="85"/>
      <c r="O158" s="85"/>
      <c r="P158" s="85"/>
      <c r="Q158" s="85"/>
      <c r="R158" s="85"/>
      <c r="S158" s="85"/>
      <c r="T158" s="85"/>
      <c r="U158" s="85"/>
      <c r="V158" s="85"/>
      <c r="W158" s="85"/>
      <c r="X158" s="85"/>
      <c r="Y158" s="85"/>
      <c r="Z158" s="85"/>
      <c r="AA158" s="85"/>
      <c r="AB158" s="85"/>
      <c r="AC158" s="81">
        <f t="shared" si="93"/>
        <v>0</v>
      </c>
      <c r="AD158" s="86"/>
      <c r="AE158" s="86"/>
      <c r="AF158" s="86"/>
      <c r="AG158" s="86"/>
      <c r="AH158" s="86"/>
      <c r="AI158" s="86"/>
      <c r="AJ158" s="86"/>
      <c r="AK158" s="86"/>
      <c r="AL158" s="86"/>
      <c r="AM158" s="86"/>
      <c r="AN158" s="86"/>
      <c r="AO158" s="86"/>
      <c r="AP158" s="86"/>
      <c r="AQ158" s="86"/>
      <c r="AR158" s="86"/>
      <c r="AS158" s="86"/>
      <c r="AT158" s="82"/>
      <c r="AU158" s="87"/>
      <c r="AV158" s="818">
        <f t="shared" si="117"/>
        <v>0</v>
      </c>
      <c r="AW158" s="818">
        <f t="shared" si="118"/>
        <v>0</v>
      </c>
      <c r="AX158" s="818">
        <f t="shared" si="119"/>
        <v>0</v>
      </c>
      <c r="AY158" s="88">
        <f t="shared" si="94"/>
        <v>0</v>
      </c>
      <c r="AZ158" s="81">
        <f t="shared" si="95"/>
        <v>0</v>
      </c>
      <c r="BA158" s="81">
        <f t="shared" si="96"/>
        <v>0</v>
      </c>
      <c r="BB158" s="81">
        <f t="shared" si="97"/>
        <v>0</v>
      </c>
      <c r="BC158" s="81">
        <f t="shared" si="98"/>
        <v>0</v>
      </c>
      <c r="BD158" s="81">
        <f t="shared" si="99"/>
        <v>0</v>
      </c>
      <c r="BE158" s="81">
        <f t="shared" si="100"/>
        <v>0</v>
      </c>
      <c r="BF158" s="81">
        <f t="shared" si="101"/>
        <v>0</v>
      </c>
      <c r="BG158" s="81">
        <f t="shared" si="102"/>
        <v>0</v>
      </c>
      <c r="BH158" s="81">
        <f t="shared" si="103"/>
        <v>0</v>
      </c>
      <c r="BI158" s="81">
        <f t="shared" si="104"/>
        <v>0</v>
      </c>
      <c r="BJ158" s="81">
        <f t="shared" si="105"/>
        <v>0</v>
      </c>
      <c r="BK158" s="81">
        <f t="shared" si="106"/>
        <v>0</v>
      </c>
      <c r="BL158" s="81">
        <f t="shared" si="107"/>
        <v>0</v>
      </c>
      <c r="BM158" s="81">
        <f t="shared" si="108"/>
        <v>0</v>
      </c>
      <c r="BN158" s="81">
        <f t="shared" si="109"/>
        <v>0</v>
      </c>
      <c r="BO158" s="81">
        <f t="shared" si="110"/>
        <v>0</v>
      </c>
      <c r="BP158" s="81">
        <f t="shared" si="111"/>
        <v>0</v>
      </c>
      <c r="BQ158" s="81">
        <f t="shared" si="112"/>
        <v>0</v>
      </c>
      <c r="BR158" s="81">
        <f t="shared" si="113"/>
        <v>0</v>
      </c>
      <c r="BS158" s="81">
        <f t="shared" si="114"/>
        <v>0</v>
      </c>
      <c r="BT158" s="89">
        <f t="shared" si="115"/>
        <v>0</v>
      </c>
    </row>
    <row r="159" spans="1:72">
      <c r="A159" s="79"/>
      <c r="B159" s="80"/>
      <c r="C159" s="80"/>
      <c r="D159" s="2301"/>
      <c r="E159" s="81">
        <f t="shared" si="116"/>
        <v>0</v>
      </c>
      <c r="F159" s="82"/>
      <c r="G159" s="83">
        <f t="shared" si="91"/>
        <v>0</v>
      </c>
      <c r="H159" s="84">
        <f t="shared" si="92"/>
        <v>0</v>
      </c>
      <c r="I159" s="85"/>
      <c r="J159" s="85"/>
      <c r="K159" s="85"/>
      <c r="L159" s="85"/>
      <c r="M159" s="85"/>
      <c r="N159" s="85"/>
      <c r="O159" s="85"/>
      <c r="P159" s="85"/>
      <c r="Q159" s="85"/>
      <c r="R159" s="85"/>
      <c r="S159" s="85"/>
      <c r="T159" s="85"/>
      <c r="U159" s="85"/>
      <c r="V159" s="85"/>
      <c r="W159" s="85"/>
      <c r="X159" s="85"/>
      <c r="Y159" s="85"/>
      <c r="Z159" s="85"/>
      <c r="AA159" s="85"/>
      <c r="AB159" s="85"/>
      <c r="AC159" s="81">
        <f t="shared" si="93"/>
        <v>0</v>
      </c>
      <c r="AD159" s="86"/>
      <c r="AE159" s="86"/>
      <c r="AF159" s="86"/>
      <c r="AG159" s="86"/>
      <c r="AH159" s="86"/>
      <c r="AI159" s="86"/>
      <c r="AJ159" s="86"/>
      <c r="AK159" s="86"/>
      <c r="AL159" s="86"/>
      <c r="AM159" s="86"/>
      <c r="AN159" s="86"/>
      <c r="AO159" s="86"/>
      <c r="AP159" s="86"/>
      <c r="AQ159" s="86"/>
      <c r="AR159" s="86"/>
      <c r="AS159" s="86"/>
      <c r="AT159" s="82"/>
      <c r="AU159" s="87"/>
      <c r="AV159" s="818">
        <f t="shared" si="117"/>
        <v>0</v>
      </c>
      <c r="AW159" s="818">
        <f t="shared" si="118"/>
        <v>0</v>
      </c>
      <c r="AX159" s="818">
        <f t="shared" si="119"/>
        <v>0</v>
      </c>
      <c r="AY159" s="88">
        <f t="shared" si="94"/>
        <v>0</v>
      </c>
      <c r="AZ159" s="81">
        <f t="shared" si="95"/>
        <v>0</v>
      </c>
      <c r="BA159" s="81">
        <f t="shared" si="96"/>
        <v>0</v>
      </c>
      <c r="BB159" s="81">
        <f t="shared" si="97"/>
        <v>0</v>
      </c>
      <c r="BC159" s="81">
        <f t="shared" si="98"/>
        <v>0</v>
      </c>
      <c r="BD159" s="81">
        <f t="shared" si="99"/>
        <v>0</v>
      </c>
      <c r="BE159" s="81">
        <f t="shared" si="100"/>
        <v>0</v>
      </c>
      <c r="BF159" s="81">
        <f t="shared" si="101"/>
        <v>0</v>
      </c>
      <c r="BG159" s="81">
        <f t="shared" si="102"/>
        <v>0</v>
      </c>
      <c r="BH159" s="81">
        <f t="shared" si="103"/>
        <v>0</v>
      </c>
      <c r="BI159" s="81">
        <f t="shared" si="104"/>
        <v>0</v>
      </c>
      <c r="BJ159" s="81">
        <f t="shared" si="105"/>
        <v>0</v>
      </c>
      <c r="BK159" s="81">
        <f t="shared" si="106"/>
        <v>0</v>
      </c>
      <c r="BL159" s="81">
        <f t="shared" si="107"/>
        <v>0</v>
      </c>
      <c r="BM159" s="81">
        <f t="shared" si="108"/>
        <v>0</v>
      </c>
      <c r="BN159" s="81">
        <f t="shared" si="109"/>
        <v>0</v>
      </c>
      <c r="BO159" s="81">
        <f t="shared" si="110"/>
        <v>0</v>
      </c>
      <c r="BP159" s="81">
        <f t="shared" si="111"/>
        <v>0</v>
      </c>
      <c r="BQ159" s="81">
        <f t="shared" si="112"/>
        <v>0</v>
      </c>
      <c r="BR159" s="81">
        <f t="shared" si="113"/>
        <v>0</v>
      </c>
      <c r="BS159" s="81">
        <f t="shared" si="114"/>
        <v>0</v>
      </c>
      <c r="BT159" s="89">
        <f t="shared" si="115"/>
        <v>0</v>
      </c>
    </row>
    <row r="160" spans="1:72">
      <c r="A160" s="79"/>
      <c r="B160" s="80"/>
      <c r="C160" s="80"/>
      <c r="D160" s="2301"/>
      <c r="E160" s="81">
        <f t="shared" si="116"/>
        <v>0</v>
      </c>
      <c r="F160" s="82"/>
      <c r="G160" s="83">
        <f t="shared" si="91"/>
        <v>0</v>
      </c>
      <c r="H160" s="84">
        <f t="shared" si="92"/>
        <v>0</v>
      </c>
      <c r="I160" s="85"/>
      <c r="J160" s="85"/>
      <c r="K160" s="85"/>
      <c r="L160" s="85"/>
      <c r="M160" s="85"/>
      <c r="N160" s="85"/>
      <c r="O160" s="85"/>
      <c r="P160" s="85"/>
      <c r="Q160" s="85"/>
      <c r="R160" s="85"/>
      <c r="S160" s="85"/>
      <c r="T160" s="85"/>
      <c r="U160" s="85"/>
      <c r="V160" s="85"/>
      <c r="W160" s="85"/>
      <c r="X160" s="85"/>
      <c r="Y160" s="85"/>
      <c r="Z160" s="85"/>
      <c r="AA160" s="85"/>
      <c r="AB160" s="85"/>
      <c r="AC160" s="81">
        <f t="shared" si="93"/>
        <v>0</v>
      </c>
      <c r="AD160" s="86"/>
      <c r="AE160" s="86"/>
      <c r="AF160" s="86"/>
      <c r="AG160" s="86"/>
      <c r="AH160" s="86"/>
      <c r="AI160" s="86"/>
      <c r="AJ160" s="86"/>
      <c r="AK160" s="86"/>
      <c r="AL160" s="86"/>
      <c r="AM160" s="86"/>
      <c r="AN160" s="86"/>
      <c r="AO160" s="86"/>
      <c r="AP160" s="86"/>
      <c r="AQ160" s="86"/>
      <c r="AR160" s="86"/>
      <c r="AS160" s="86"/>
      <c r="AT160" s="82"/>
      <c r="AU160" s="87"/>
      <c r="AV160" s="818">
        <f t="shared" si="117"/>
        <v>0</v>
      </c>
      <c r="AW160" s="818">
        <f t="shared" si="118"/>
        <v>0</v>
      </c>
      <c r="AX160" s="818">
        <f t="shared" si="119"/>
        <v>0</v>
      </c>
      <c r="AY160" s="88">
        <f t="shared" si="94"/>
        <v>0</v>
      </c>
      <c r="AZ160" s="81">
        <f t="shared" si="95"/>
        <v>0</v>
      </c>
      <c r="BA160" s="81">
        <f t="shared" si="96"/>
        <v>0</v>
      </c>
      <c r="BB160" s="81">
        <f t="shared" si="97"/>
        <v>0</v>
      </c>
      <c r="BC160" s="81">
        <f t="shared" si="98"/>
        <v>0</v>
      </c>
      <c r="BD160" s="81">
        <f t="shared" si="99"/>
        <v>0</v>
      </c>
      <c r="BE160" s="81">
        <f t="shared" si="100"/>
        <v>0</v>
      </c>
      <c r="BF160" s="81">
        <f t="shared" si="101"/>
        <v>0</v>
      </c>
      <c r="BG160" s="81">
        <f t="shared" si="102"/>
        <v>0</v>
      </c>
      <c r="BH160" s="81">
        <f t="shared" si="103"/>
        <v>0</v>
      </c>
      <c r="BI160" s="81">
        <f t="shared" si="104"/>
        <v>0</v>
      </c>
      <c r="BJ160" s="81">
        <f t="shared" si="105"/>
        <v>0</v>
      </c>
      <c r="BK160" s="81">
        <f t="shared" si="106"/>
        <v>0</v>
      </c>
      <c r="BL160" s="81">
        <f t="shared" si="107"/>
        <v>0</v>
      </c>
      <c r="BM160" s="81">
        <f t="shared" si="108"/>
        <v>0</v>
      </c>
      <c r="BN160" s="81">
        <f t="shared" si="109"/>
        <v>0</v>
      </c>
      <c r="BO160" s="81">
        <f t="shared" si="110"/>
        <v>0</v>
      </c>
      <c r="BP160" s="81">
        <f t="shared" si="111"/>
        <v>0</v>
      </c>
      <c r="BQ160" s="81">
        <f t="shared" si="112"/>
        <v>0</v>
      </c>
      <c r="BR160" s="81">
        <f t="shared" si="113"/>
        <v>0</v>
      </c>
      <c r="BS160" s="81">
        <f t="shared" si="114"/>
        <v>0</v>
      </c>
      <c r="BT160" s="89">
        <f t="shared" si="115"/>
        <v>0</v>
      </c>
    </row>
    <row r="161" spans="1:72">
      <c r="A161" s="79"/>
      <c r="B161" s="80"/>
      <c r="C161" s="80"/>
      <c r="D161" s="2301"/>
      <c r="E161" s="81">
        <f t="shared" si="116"/>
        <v>0</v>
      </c>
      <c r="F161" s="82"/>
      <c r="G161" s="83">
        <f t="shared" si="91"/>
        <v>0</v>
      </c>
      <c r="H161" s="84">
        <f t="shared" si="92"/>
        <v>0</v>
      </c>
      <c r="I161" s="85"/>
      <c r="J161" s="85"/>
      <c r="K161" s="85"/>
      <c r="L161" s="85"/>
      <c r="M161" s="85"/>
      <c r="N161" s="85"/>
      <c r="O161" s="85"/>
      <c r="P161" s="85"/>
      <c r="Q161" s="85"/>
      <c r="R161" s="85"/>
      <c r="S161" s="85"/>
      <c r="T161" s="85"/>
      <c r="U161" s="85"/>
      <c r="V161" s="85"/>
      <c r="W161" s="85"/>
      <c r="X161" s="85"/>
      <c r="Y161" s="85"/>
      <c r="Z161" s="85"/>
      <c r="AA161" s="85"/>
      <c r="AB161" s="85"/>
      <c r="AC161" s="81">
        <f t="shared" si="93"/>
        <v>0</v>
      </c>
      <c r="AD161" s="86"/>
      <c r="AE161" s="86"/>
      <c r="AF161" s="86"/>
      <c r="AG161" s="86"/>
      <c r="AH161" s="86"/>
      <c r="AI161" s="86"/>
      <c r="AJ161" s="86"/>
      <c r="AK161" s="86"/>
      <c r="AL161" s="86"/>
      <c r="AM161" s="86"/>
      <c r="AN161" s="86"/>
      <c r="AO161" s="86"/>
      <c r="AP161" s="86"/>
      <c r="AQ161" s="86"/>
      <c r="AR161" s="86"/>
      <c r="AS161" s="86"/>
      <c r="AT161" s="82"/>
      <c r="AU161" s="87"/>
      <c r="AV161" s="818">
        <f t="shared" si="117"/>
        <v>0</v>
      </c>
      <c r="AW161" s="818">
        <f t="shared" si="118"/>
        <v>0</v>
      </c>
      <c r="AX161" s="818">
        <f t="shared" si="119"/>
        <v>0</v>
      </c>
      <c r="AY161" s="88">
        <f t="shared" si="94"/>
        <v>0</v>
      </c>
      <c r="AZ161" s="81">
        <f t="shared" si="95"/>
        <v>0</v>
      </c>
      <c r="BA161" s="81">
        <f t="shared" si="96"/>
        <v>0</v>
      </c>
      <c r="BB161" s="81">
        <f t="shared" si="97"/>
        <v>0</v>
      </c>
      <c r="BC161" s="81">
        <f t="shared" si="98"/>
        <v>0</v>
      </c>
      <c r="BD161" s="81">
        <f t="shared" si="99"/>
        <v>0</v>
      </c>
      <c r="BE161" s="81">
        <f t="shared" si="100"/>
        <v>0</v>
      </c>
      <c r="BF161" s="81">
        <f t="shared" si="101"/>
        <v>0</v>
      </c>
      <c r="BG161" s="81">
        <f t="shared" si="102"/>
        <v>0</v>
      </c>
      <c r="BH161" s="81">
        <f t="shared" si="103"/>
        <v>0</v>
      </c>
      <c r="BI161" s="81">
        <f t="shared" si="104"/>
        <v>0</v>
      </c>
      <c r="BJ161" s="81">
        <f t="shared" si="105"/>
        <v>0</v>
      </c>
      <c r="BK161" s="81">
        <f t="shared" si="106"/>
        <v>0</v>
      </c>
      <c r="BL161" s="81">
        <f t="shared" si="107"/>
        <v>0</v>
      </c>
      <c r="BM161" s="81">
        <f t="shared" si="108"/>
        <v>0</v>
      </c>
      <c r="BN161" s="81">
        <f t="shared" si="109"/>
        <v>0</v>
      </c>
      <c r="BO161" s="81">
        <f t="shared" si="110"/>
        <v>0</v>
      </c>
      <c r="BP161" s="81">
        <f t="shared" si="111"/>
        <v>0</v>
      </c>
      <c r="BQ161" s="81">
        <f t="shared" si="112"/>
        <v>0</v>
      </c>
      <c r="BR161" s="81">
        <f t="shared" si="113"/>
        <v>0</v>
      </c>
      <c r="BS161" s="81">
        <f t="shared" si="114"/>
        <v>0</v>
      </c>
      <c r="BT161" s="89">
        <f t="shared" si="115"/>
        <v>0</v>
      </c>
    </row>
    <row r="162" spans="1:72">
      <c r="A162" s="79"/>
      <c r="B162" s="80"/>
      <c r="C162" s="80"/>
      <c r="D162" s="2301"/>
      <c r="E162" s="81">
        <f t="shared" si="116"/>
        <v>0</v>
      </c>
      <c r="F162" s="82"/>
      <c r="G162" s="83">
        <f t="shared" si="91"/>
        <v>0</v>
      </c>
      <c r="H162" s="84">
        <f t="shared" si="92"/>
        <v>0</v>
      </c>
      <c r="I162" s="85"/>
      <c r="J162" s="85"/>
      <c r="K162" s="85"/>
      <c r="L162" s="85"/>
      <c r="M162" s="85"/>
      <c r="N162" s="85"/>
      <c r="O162" s="85"/>
      <c r="P162" s="85"/>
      <c r="Q162" s="85"/>
      <c r="R162" s="85"/>
      <c r="S162" s="85"/>
      <c r="T162" s="85"/>
      <c r="U162" s="85"/>
      <c r="V162" s="85"/>
      <c r="W162" s="85"/>
      <c r="X162" s="85"/>
      <c r="Y162" s="85"/>
      <c r="Z162" s="85"/>
      <c r="AA162" s="85"/>
      <c r="AB162" s="85"/>
      <c r="AC162" s="81">
        <f t="shared" si="93"/>
        <v>0</v>
      </c>
      <c r="AD162" s="86"/>
      <c r="AE162" s="86"/>
      <c r="AF162" s="86"/>
      <c r="AG162" s="86"/>
      <c r="AH162" s="86"/>
      <c r="AI162" s="86"/>
      <c r="AJ162" s="86"/>
      <c r="AK162" s="86"/>
      <c r="AL162" s="86"/>
      <c r="AM162" s="86"/>
      <c r="AN162" s="86"/>
      <c r="AO162" s="86"/>
      <c r="AP162" s="86"/>
      <c r="AQ162" s="86"/>
      <c r="AR162" s="86"/>
      <c r="AS162" s="86"/>
      <c r="AT162" s="82"/>
      <c r="AU162" s="87"/>
      <c r="AV162" s="818">
        <f t="shared" si="117"/>
        <v>0</v>
      </c>
      <c r="AW162" s="818">
        <f t="shared" si="118"/>
        <v>0</v>
      </c>
      <c r="AX162" s="818">
        <f t="shared" si="119"/>
        <v>0</v>
      </c>
      <c r="AY162" s="88">
        <f t="shared" si="94"/>
        <v>0</v>
      </c>
      <c r="AZ162" s="81">
        <f t="shared" si="95"/>
        <v>0</v>
      </c>
      <c r="BA162" s="81">
        <f t="shared" si="96"/>
        <v>0</v>
      </c>
      <c r="BB162" s="81">
        <f t="shared" si="97"/>
        <v>0</v>
      </c>
      <c r="BC162" s="81">
        <f t="shared" si="98"/>
        <v>0</v>
      </c>
      <c r="BD162" s="81">
        <f t="shared" si="99"/>
        <v>0</v>
      </c>
      <c r="BE162" s="81">
        <f t="shared" si="100"/>
        <v>0</v>
      </c>
      <c r="BF162" s="81">
        <f t="shared" si="101"/>
        <v>0</v>
      </c>
      <c r="BG162" s="81">
        <f t="shared" si="102"/>
        <v>0</v>
      </c>
      <c r="BH162" s="81">
        <f t="shared" si="103"/>
        <v>0</v>
      </c>
      <c r="BI162" s="81">
        <f t="shared" si="104"/>
        <v>0</v>
      </c>
      <c r="BJ162" s="81">
        <f t="shared" si="105"/>
        <v>0</v>
      </c>
      <c r="BK162" s="81">
        <f t="shared" si="106"/>
        <v>0</v>
      </c>
      <c r="BL162" s="81">
        <f t="shared" si="107"/>
        <v>0</v>
      </c>
      <c r="BM162" s="81">
        <f t="shared" si="108"/>
        <v>0</v>
      </c>
      <c r="BN162" s="81">
        <f t="shared" si="109"/>
        <v>0</v>
      </c>
      <c r="BO162" s="81">
        <f t="shared" si="110"/>
        <v>0</v>
      </c>
      <c r="BP162" s="81">
        <f t="shared" si="111"/>
        <v>0</v>
      </c>
      <c r="BQ162" s="81">
        <f t="shared" si="112"/>
        <v>0</v>
      </c>
      <c r="BR162" s="81">
        <f t="shared" si="113"/>
        <v>0</v>
      </c>
      <c r="BS162" s="81">
        <f t="shared" si="114"/>
        <v>0</v>
      </c>
      <c r="BT162" s="89">
        <f t="shared" si="115"/>
        <v>0</v>
      </c>
    </row>
    <row r="163" spans="1:72">
      <c r="A163" s="79"/>
      <c r="B163" s="80"/>
      <c r="C163" s="80"/>
      <c r="D163" s="2301"/>
      <c r="E163" s="81">
        <f t="shared" si="116"/>
        <v>0</v>
      </c>
      <c r="F163" s="82"/>
      <c r="G163" s="83">
        <f t="shared" si="91"/>
        <v>0</v>
      </c>
      <c r="H163" s="84">
        <f t="shared" si="92"/>
        <v>0</v>
      </c>
      <c r="I163" s="85"/>
      <c r="J163" s="85"/>
      <c r="K163" s="85"/>
      <c r="L163" s="85"/>
      <c r="M163" s="85"/>
      <c r="N163" s="85"/>
      <c r="O163" s="85"/>
      <c r="P163" s="85"/>
      <c r="Q163" s="85"/>
      <c r="R163" s="85"/>
      <c r="S163" s="85"/>
      <c r="T163" s="85"/>
      <c r="U163" s="85"/>
      <c r="V163" s="85"/>
      <c r="W163" s="85"/>
      <c r="X163" s="85"/>
      <c r="Y163" s="85"/>
      <c r="Z163" s="85"/>
      <c r="AA163" s="85"/>
      <c r="AB163" s="85"/>
      <c r="AC163" s="81">
        <f t="shared" si="93"/>
        <v>0</v>
      </c>
      <c r="AD163" s="86"/>
      <c r="AE163" s="86"/>
      <c r="AF163" s="86"/>
      <c r="AG163" s="86"/>
      <c r="AH163" s="86"/>
      <c r="AI163" s="86"/>
      <c r="AJ163" s="86"/>
      <c r="AK163" s="86"/>
      <c r="AL163" s="86"/>
      <c r="AM163" s="86"/>
      <c r="AN163" s="86"/>
      <c r="AO163" s="86"/>
      <c r="AP163" s="86"/>
      <c r="AQ163" s="86"/>
      <c r="AR163" s="86"/>
      <c r="AS163" s="86"/>
      <c r="AT163" s="82"/>
      <c r="AU163" s="87"/>
      <c r="AV163" s="818">
        <f t="shared" si="117"/>
        <v>0</v>
      </c>
      <c r="AW163" s="818">
        <f t="shared" si="118"/>
        <v>0</v>
      </c>
      <c r="AX163" s="818">
        <f t="shared" si="119"/>
        <v>0</v>
      </c>
      <c r="AY163" s="88">
        <f t="shared" si="94"/>
        <v>0</v>
      </c>
      <c r="AZ163" s="81">
        <f t="shared" si="95"/>
        <v>0</v>
      </c>
      <c r="BA163" s="81">
        <f t="shared" si="96"/>
        <v>0</v>
      </c>
      <c r="BB163" s="81">
        <f t="shared" si="97"/>
        <v>0</v>
      </c>
      <c r="BC163" s="81">
        <f t="shared" si="98"/>
        <v>0</v>
      </c>
      <c r="BD163" s="81">
        <f t="shared" si="99"/>
        <v>0</v>
      </c>
      <c r="BE163" s="81">
        <f t="shared" si="100"/>
        <v>0</v>
      </c>
      <c r="BF163" s="81">
        <f t="shared" si="101"/>
        <v>0</v>
      </c>
      <c r="BG163" s="81">
        <f t="shared" si="102"/>
        <v>0</v>
      </c>
      <c r="BH163" s="81">
        <f t="shared" si="103"/>
        <v>0</v>
      </c>
      <c r="BI163" s="81">
        <f t="shared" si="104"/>
        <v>0</v>
      </c>
      <c r="BJ163" s="81">
        <f t="shared" si="105"/>
        <v>0</v>
      </c>
      <c r="BK163" s="81">
        <f t="shared" si="106"/>
        <v>0</v>
      </c>
      <c r="BL163" s="81">
        <f t="shared" si="107"/>
        <v>0</v>
      </c>
      <c r="BM163" s="81">
        <f t="shared" si="108"/>
        <v>0</v>
      </c>
      <c r="BN163" s="81">
        <f t="shared" si="109"/>
        <v>0</v>
      </c>
      <c r="BO163" s="81">
        <f t="shared" si="110"/>
        <v>0</v>
      </c>
      <c r="BP163" s="81">
        <f t="shared" si="111"/>
        <v>0</v>
      </c>
      <c r="BQ163" s="81">
        <f t="shared" si="112"/>
        <v>0</v>
      </c>
      <c r="BR163" s="81">
        <f t="shared" si="113"/>
        <v>0</v>
      </c>
      <c r="BS163" s="81">
        <f t="shared" si="114"/>
        <v>0</v>
      </c>
      <c r="BT163" s="89">
        <f t="shared" si="115"/>
        <v>0</v>
      </c>
    </row>
    <row r="164" spans="1:72">
      <c r="A164" s="79"/>
      <c r="B164" s="80"/>
      <c r="C164" s="80"/>
      <c r="D164" s="2301"/>
      <c r="E164" s="81">
        <f t="shared" si="116"/>
        <v>0</v>
      </c>
      <c r="F164" s="82"/>
      <c r="G164" s="83">
        <f t="shared" si="91"/>
        <v>0</v>
      </c>
      <c r="H164" s="84">
        <f t="shared" si="92"/>
        <v>0</v>
      </c>
      <c r="I164" s="85"/>
      <c r="J164" s="85"/>
      <c r="K164" s="85"/>
      <c r="L164" s="85"/>
      <c r="M164" s="85"/>
      <c r="N164" s="85"/>
      <c r="O164" s="85"/>
      <c r="P164" s="85"/>
      <c r="Q164" s="85"/>
      <c r="R164" s="85"/>
      <c r="S164" s="85"/>
      <c r="T164" s="85"/>
      <c r="U164" s="85"/>
      <c r="V164" s="85"/>
      <c r="W164" s="85"/>
      <c r="X164" s="85"/>
      <c r="Y164" s="85"/>
      <c r="Z164" s="85"/>
      <c r="AA164" s="85"/>
      <c r="AB164" s="85"/>
      <c r="AC164" s="81">
        <f t="shared" si="93"/>
        <v>0</v>
      </c>
      <c r="AD164" s="86"/>
      <c r="AE164" s="86"/>
      <c r="AF164" s="86"/>
      <c r="AG164" s="86"/>
      <c r="AH164" s="86"/>
      <c r="AI164" s="86"/>
      <c r="AJ164" s="86"/>
      <c r="AK164" s="86"/>
      <c r="AL164" s="86"/>
      <c r="AM164" s="86"/>
      <c r="AN164" s="86"/>
      <c r="AO164" s="86"/>
      <c r="AP164" s="86"/>
      <c r="AQ164" s="86"/>
      <c r="AR164" s="86"/>
      <c r="AS164" s="86"/>
      <c r="AT164" s="82"/>
      <c r="AU164" s="87"/>
      <c r="AV164" s="818">
        <f t="shared" si="117"/>
        <v>0</v>
      </c>
      <c r="AW164" s="818">
        <f t="shared" si="118"/>
        <v>0</v>
      </c>
      <c r="AX164" s="818">
        <f t="shared" si="119"/>
        <v>0</v>
      </c>
      <c r="AY164" s="88">
        <f t="shared" si="94"/>
        <v>0</v>
      </c>
      <c r="AZ164" s="81">
        <f t="shared" si="95"/>
        <v>0</v>
      </c>
      <c r="BA164" s="81">
        <f t="shared" si="96"/>
        <v>0</v>
      </c>
      <c r="BB164" s="81">
        <f t="shared" si="97"/>
        <v>0</v>
      </c>
      <c r="BC164" s="81">
        <f t="shared" si="98"/>
        <v>0</v>
      </c>
      <c r="BD164" s="81">
        <f t="shared" si="99"/>
        <v>0</v>
      </c>
      <c r="BE164" s="81">
        <f t="shared" si="100"/>
        <v>0</v>
      </c>
      <c r="BF164" s="81">
        <f t="shared" si="101"/>
        <v>0</v>
      </c>
      <c r="BG164" s="81">
        <f t="shared" si="102"/>
        <v>0</v>
      </c>
      <c r="BH164" s="81">
        <f t="shared" si="103"/>
        <v>0</v>
      </c>
      <c r="BI164" s="81">
        <f t="shared" si="104"/>
        <v>0</v>
      </c>
      <c r="BJ164" s="81">
        <f t="shared" si="105"/>
        <v>0</v>
      </c>
      <c r="BK164" s="81">
        <f t="shared" si="106"/>
        <v>0</v>
      </c>
      <c r="BL164" s="81">
        <f t="shared" si="107"/>
        <v>0</v>
      </c>
      <c r="BM164" s="81">
        <f t="shared" si="108"/>
        <v>0</v>
      </c>
      <c r="BN164" s="81">
        <f t="shared" si="109"/>
        <v>0</v>
      </c>
      <c r="BO164" s="81">
        <f t="shared" si="110"/>
        <v>0</v>
      </c>
      <c r="BP164" s="81">
        <f t="shared" si="111"/>
        <v>0</v>
      </c>
      <c r="BQ164" s="81">
        <f t="shared" si="112"/>
        <v>0</v>
      </c>
      <c r="BR164" s="81">
        <f t="shared" si="113"/>
        <v>0</v>
      </c>
      <c r="BS164" s="81">
        <f t="shared" si="114"/>
        <v>0</v>
      </c>
      <c r="BT164" s="89">
        <f t="shared" si="115"/>
        <v>0</v>
      </c>
    </row>
    <row r="165" spans="1:72">
      <c r="A165" s="79"/>
      <c r="B165" s="80"/>
      <c r="C165" s="80"/>
      <c r="D165" s="2301"/>
      <c r="E165" s="81">
        <f t="shared" si="116"/>
        <v>0</v>
      </c>
      <c r="F165" s="82"/>
      <c r="G165" s="83">
        <f t="shared" si="91"/>
        <v>0</v>
      </c>
      <c r="H165" s="84">
        <f t="shared" si="92"/>
        <v>0</v>
      </c>
      <c r="I165" s="85"/>
      <c r="J165" s="85"/>
      <c r="K165" s="85"/>
      <c r="L165" s="85"/>
      <c r="M165" s="85"/>
      <c r="N165" s="85"/>
      <c r="O165" s="85"/>
      <c r="P165" s="85"/>
      <c r="Q165" s="85"/>
      <c r="R165" s="85"/>
      <c r="S165" s="85"/>
      <c r="T165" s="85"/>
      <c r="U165" s="85"/>
      <c r="V165" s="85"/>
      <c r="W165" s="85"/>
      <c r="X165" s="85"/>
      <c r="Y165" s="85"/>
      <c r="Z165" s="85"/>
      <c r="AA165" s="85"/>
      <c r="AB165" s="85"/>
      <c r="AC165" s="81">
        <f t="shared" si="93"/>
        <v>0</v>
      </c>
      <c r="AD165" s="86"/>
      <c r="AE165" s="86"/>
      <c r="AF165" s="86"/>
      <c r="AG165" s="86"/>
      <c r="AH165" s="86"/>
      <c r="AI165" s="86"/>
      <c r="AJ165" s="86"/>
      <c r="AK165" s="86"/>
      <c r="AL165" s="86"/>
      <c r="AM165" s="86"/>
      <c r="AN165" s="86"/>
      <c r="AO165" s="86"/>
      <c r="AP165" s="86"/>
      <c r="AQ165" s="86"/>
      <c r="AR165" s="86"/>
      <c r="AS165" s="86"/>
      <c r="AT165" s="82"/>
      <c r="AU165" s="87"/>
      <c r="AV165" s="818">
        <f t="shared" si="117"/>
        <v>0</v>
      </c>
      <c r="AW165" s="818">
        <f t="shared" si="118"/>
        <v>0</v>
      </c>
      <c r="AX165" s="818">
        <f t="shared" si="119"/>
        <v>0</v>
      </c>
      <c r="AY165" s="88">
        <f t="shared" si="94"/>
        <v>0</v>
      </c>
      <c r="AZ165" s="81">
        <f t="shared" si="95"/>
        <v>0</v>
      </c>
      <c r="BA165" s="81">
        <f t="shared" si="96"/>
        <v>0</v>
      </c>
      <c r="BB165" s="81">
        <f t="shared" si="97"/>
        <v>0</v>
      </c>
      <c r="BC165" s="81">
        <f t="shared" si="98"/>
        <v>0</v>
      </c>
      <c r="BD165" s="81">
        <f t="shared" si="99"/>
        <v>0</v>
      </c>
      <c r="BE165" s="81">
        <f t="shared" si="100"/>
        <v>0</v>
      </c>
      <c r="BF165" s="81">
        <f t="shared" si="101"/>
        <v>0</v>
      </c>
      <c r="BG165" s="81">
        <f t="shared" si="102"/>
        <v>0</v>
      </c>
      <c r="BH165" s="81">
        <f t="shared" si="103"/>
        <v>0</v>
      </c>
      <c r="BI165" s="81">
        <f t="shared" si="104"/>
        <v>0</v>
      </c>
      <c r="BJ165" s="81">
        <f t="shared" si="105"/>
        <v>0</v>
      </c>
      <c r="BK165" s="81">
        <f t="shared" si="106"/>
        <v>0</v>
      </c>
      <c r="BL165" s="81">
        <f t="shared" si="107"/>
        <v>0</v>
      </c>
      <c r="BM165" s="81">
        <f t="shared" si="108"/>
        <v>0</v>
      </c>
      <c r="BN165" s="81">
        <f t="shared" si="109"/>
        <v>0</v>
      </c>
      <c r="BO165" s="81">
        <f t="shared" si="110"/>
        <v>0</v>
      </c>
      <c r="BP165" s="81">
        <f t="shared" si="111"/>
        <v>0</v>
      </c>
      <c r="BQ165" s="81">
        <f t="shared" si="112"/>
        <v>0</v>
      </c>
      <c r="BR165" s="81">
        <f t="shared" si="113"/>
        <v>0</v>
      </c>
      <c r="BS165" s="81">
        <f t="shared" si="114"/>
        <v>0</v>
      </c>
      <c r="BT165" s="89">
        <f t="shared" si="115"/>
        <v>0</v>
      </c>
    </row>
    <row r="166" spans="1:72">
      <c r="A166" s="79"/>
      <c r="B166" s="80"/>
      <c r="C166" s="80"/>
      <c r="D166" s="2301"/>
      <c r="E166" s="81">
        <f t="shared" si="116"/>
        <v>0</v>
      </c>
      <c r="F166" s="82"/>
      <c r="G166" s="83">
        <f t="shared" si="91"/>
        <v>0</v>
      </c>
      <c r="H166" s="84">
        <f t="shared" si="92"/>
        <v>0</v>
      </c>
      <c r="I166" s="85"/>
      <c r="J166" s="85"/>
      <c r="K166" s="85"/>
      <c r="L166" s="85"/>
      <c r="M166" s="85"/>
      <c r="N166" s="85"/>
      <c r="O166" s="85"/>
      <c r="P166" s="85"/>
      <c r="Q166" s="85"/>
      <c r="R166" s="85"/>
      <c r="S166" s="85"/>
      <c r="T166" s="85"/>
      <c r="U166" s="85"/>
      <c r="V166" s="85"/>
      <c r="W166" s="85"/>
      <c r="X166" s="85"/>
      <c r="Y166" s="85"/>
      <c r="Z166" s="85"/>
      <c r="AA166" s="85"/>
      <c r="AB166" s="85"/>
      <c r="AC166" s="81">
        <f t="shared" si="93"/>
        <v>0</v>
      </c>
      <c r="AD166" s="86"/>
      <c r="AE166" s="86"/>
      <c r="AF166" s="86"/>
      <c r="AG166" s="86"/>
      <c r="AH166" s="86"/>
      <c r="AI166" s="86"/>
      <c r="AJ166" s="86"/>
      <c r="AK166" s="86"/>
      <c r="AL166" s="86"/>
      <c r="AM166" s="86"/>
      <c r="AN166" s="86"/>
      <c r="AO166" s="86"/>
      <c r="AP166" s="86"/>
      <c r="AQ166" s="86"/>
      <c r="AR166" s="86"/>
      <c r="AS166" s="86"/>
      <c r="AT166" s="82"/>
      <c r="AU166" s="87"/>
      <c r="AV166" s="818">
        <f t="shared" si="117"/>
        <v>0</v>
      </c>
      <c r="AW166" s="818">
        <f t="shared" si="118"/>
        <v>0</v>
      </c>
      <c r="AX166" s="818">
        <f t="shared" si="119"/>
        <v>0</v>
      </c>
      <c r="AY166" s="88">
        <f t="shared" si="94"/>
        <v>0</v>
      </c>
      <c r="AZ166" s="81">
        <f t="shared" si="95"/>
        <v>0</v>
      </c>
      <c r="BA166" s="81">
        <f t="shared" si="96"/>
        <v>0</v>
      </c>
      <c r="BB166" s="81">
        <f t="shared" si="97"/>
        <v>0</v>
      </c>
      <c r="BC166" s="81">
        <f t="shared" si="98"/>
        <v>0</v>
      </c>
      <c r="BD166" s="81">
        <f t="shared" si="99"/>
        <v>0</v>
      </c>
      <c r="BE166" s="81">
        <f t="shared" si="100"/>
        <v>0</v>
      </c>
      <c r="BF166" s="81">
        <f t="shared" si="101"/>
        <v>0</v>
      </c>
      <c r="BG166" s="81">
        <f t="shared" si="102"/>
        <v>0</v>
      </c>
      <c r="BH166" s="81">
        <f t="shared" si="103"/>
        <v>0</v>
      </c>
      <c r="BI166" s="81">
        <f t="shared" si="104"/>
        <v>0</v>
      </c>
      <c r="BJ166" s="81">
        <f t="shared" si="105"/>
        <v>0</v>
      </c>
      <c r="BK166" s="81">
        <f t="shared" si="106"/>
        <v>0</v>
      </c>
      <c r="BL166" s="81">
        <f t="shared" si="107"/>
        <v>0</v>
      </c>
      <c r="BM166" s="81">
        <f t="shared" si="108"/>
        <v>0</v>
      </c>
      <c r="BN166" s="81">
        <f t="shared" si="109"/>
        <v>0</v>
      </c>
      <c r="BO166" s="81">
        <f t="shared" si="110"/>
        <v>0</v>
      </c>
      <c r="BP166" s="81">
        <f t="shared" si="111"/>
        <v>0</v>
      </c>
      <c r="BQ166" s="81">
        <f t="shared" si="112"/>
        <v>0</v>
      </c>
      <c r="BR166" s="81">
        <f t="shared" si="113"/>
        <v>0</v>
      </c>
      <c r="BS166" s="81">
        <f t="shared" si="114"/>
        <v>0</v>
      </c>
      <c r="BT166" s="89">
        <f t="shared" si="115"/>
        <v>0</v>
      </c>
    </row>
    <row r="167" spans="1:72">
      <c r="A167" s="79"/>
      <c r="B167" s="80"/>
      <c r="C167" s="80"/>
      <c r="D167" s="2301"/>
      <c r="E167" s="81">
        <f t="shared" si="116"/>
        <v>0</v>
      </c>
      <c r="F167" s="82"/>
      <c r="G167" s="83">
        <f t="shared" si="91"/>
        <v>0</v>
      </c>
      <c r="H167" s="84">
        <f t="shared" si="92"/>
        <v>0</v>
      </c>
      <c r="I167" s="85"/>
      <c r="J167" s="85"/>
      <c r="K167" s="85"/>
      <c r="L167" s="85"/>
      <c r="M167" s="85"/>
      <c r="N167" s="85"/>
      <c r="O167" s="85"/>
      <c r="P167" s="85"/>
      <c r="Q167" s="85"/>
      <c r="R167" s="85"/>
      <c r="S167" s="85"/>
      <c r="T167" s="85"/>
      <c r="U167" s="85"/>
      <c r="V167" s="85"/>
      <c r="W167" s="85"/>
      <c r="X167" s="85"/>
      <c r="Y167" s="85"/>
      <c r="Z167" s="85"/>
      <c r="AA167" s="85"/>
      <c r="AB167" s="85"/>
      <c r="AC167" s="81">
        <f t="shared" si="93"/>
        <v>0</v>
      </c>
      <c r="AD167" s="86"/>
      <c r="AE167" s="86"/>
      <c r="AF167" s="86"/>
      <c r="AG167" s="86"/>
      <c r="AH167" s="86"/>
      <c r="AI167" s="86"/>
      <c r="AJ167" s="86"/>
      <c r="AK167" s="86"/>
      <c r="AL167" s="86"/>
      <c r="AM167" s="86"/>
      <c r="AN167" s="86"/>
      <c r="AO167" s="86"/>
      <c r="AP167" s="86"/>
      <c r="AQ167" s="86"/>
      <c r="AR167" s="86"/>
      <c r="AS167" s="86"/>
      <c r="AT167" s="82"/>
      <c r="AU167" s="87"/>
      <c r="AV167" s="818">
        <f t="shared" si="117"/>
        <v>0</v>
      </c>
      <c r="AW167" s="818">
        <f t="shared" si="118"/>
        <v>0</v>
      </c>
      <c r="AX167" s="818">
        <f t="shared" si="119"/>
        <v>0</v>
      </c>
      <c r="AY167" s="88">
        <f t="shared" si="94"/>
        <v>0</v>
      </c>
      <c r="AZ167" s="81">
        <f t="shared" si="95"/>
        <v>0</v>
      </c>
      <c r="BA167" s="81">
        <f t="shared" si="96"/>
        <v>0</v>
      </c>
      <c r="BB167" s="81">
        <f t="shared" si="97"/>
        <v>0</v>
      </c>
      <c r="BC167" s="81">
        <f t="shared" si="98"/>
        <v>0</v>
      </c>
      <c r="BD167" s="81">
        <f t="shared" si="99"/>
        <v>0</v>
      </c>
      <c r="BE167" s="81">
        <f t="shared" si="100"/>
        <v>0</v>
      </c>
      <c r="BF167" s="81">
        <f t="shared" si="101"/>
        <v>0</v>
      </c>
      <c r="BG167" s="81">
        <f t="shared" si="102"/>
        <v>0</v>
      </c>
      <c r="BH167" s="81">
        <f t="shared" si="103"/>
        <v>0</v>
      </c>
      <c r="BI167" s="81">
        <f t="shared" si="104"/>
        <v>0</v>
      </c>
      <c r="BJ167" s="81">
        <f t="shared" si="105"/>
        <v>0</v>
      </c>
      <c r="BK167" s="81">
        <f t="shared" si="106"/>
        <v>0</v>
      </c>
      <c r="BL167" s="81">
        <f t="shared" si="107"/>
        <v>0</v>
      </c>
      <c r="BM167" s="81">
        <f t="shared" si="108"/>
        <v>0</v>
      </c>
      <c r="BN167" s="81">
        <f t="shared" si="109"/>
        <v>0</v>
      </c>
      <c r="BO167" s="81">
        <f t="shared" si="110"/>
        <v>0</v>
      </c>
      <c r="BP167" s="81">
        <f t="shared" si="111"/>
        <v>0</v>
      </c>
      <c r="BQ167" s="81">
        <f t="shared" si="112"/>
        <v>0</v>
      </c>
      <c r="BR167" s="81">
        <f t="shared" si="113"/>
        <v>0</v>
      </c>
      <c r="BS167" s="81">
        <f t="shared" si="114"/>
        <v>0</v>
      </c>
      <c r="BT167" s="89">
        <f t="shared" si="115"/>
        <v>0</v>
      </c>
    </row>
    <row r="168" spans="1:72">
      <c r="A168" s="79"/>
      <c r="B168" s="80"/>
      <c r="C168" s="80"/>
      <c r="D168" s="2301"/>
      <c r="E168" s="81">
        <f t="shared" si="116"/>
        <v>0</v>
      </c>
      <c r="F168" s="82"/>
      <c r="G168" s="83">
        <f t="shared" si="91"/>
        <v>0</v>
      </c>
      <c r="H168" s="84">
        <f t="shared" si="92"/>
        <v>0</v>
      </c>
      <c r="I168" s="85"/>
      <c r="J168" s="85"/>
      <c r="K168" s="85"/>
      <c r="L168" s="85"/>
      <c r="M168" s="85"/>
      <c r="N168" s="85"/>
      <c r="O168" s="85"/>
      <c r="P168" s="85"/>
      <c r="Q168" s="85"/>
      <c r="R168" s="85"/>
      <c r="S168" s="85"/>
      <c r="T168" s="85"/>
      <c r="U168" s="85"/>
      <c r="V168" s="85"/>
      <c r="W168" s="85"/>
      <c r="X168" s="85"/>
      <c r="Y168" s="85"/>
      <c r="Z168" s="85"/>
      <c r="AA168" s="85"/>
      <c r="AB168" s="85"/>
      <c r="AC168" s="81">
        <f t="shared" si="93"/>
        <v>0</v>
      </c>
      <c r="AD168" s="86"/>
      <c r="AE168" s="86"/>
      <c r="AF168" s="86"/>
      <c r="AG168" s="86"/>
      <c r="AH168" s="86"/>
      <c r="AI168" s="86"/>
      <c r="AJ168" s="86"/>
      <c r="AK168" s="86"/>
      <c r="AL168" s="86"/>
      <c r="AM168" s="86"/>
      <c r="AN168" s="86"/>
      <c r="AO168" s="86"/>
      <c r="AP168" s="86"/>
      <c r="AQ168" s="86"/>
      <c r="AR168" s="86"/>
      <c r="AS168" s="86"/>
      <c r="AT168" s="82"/>
      <c r="AU168" s="87"/>
      <c r="AV168" s="818">
        <f t="shared" si="117"/>
        <v>0</v>
      </c>
      <c r="AW168" s="818">
        <f t="shared" si="118"/>
        <v>0</v>
      </c>
      <c r="AX168" s="818">
        <f t="shared" si="119"/>
        <v>0</v>
      </c>
      <c r="AY168" s="88">
        <f t="shared" si="94"/>
        <v>0</v>
      </c>
      <c r="AZ168" s="81">
        <f t="shared" si="95"/>
        <v>0</v>
      </c>
      <c r="BA168" s="81">
        <f t="shared" si="96"/>
        <v>0</v>
      </c>
      <c r="BB168" s="81">
        <f t="shared" si="97"/>
        <v>0</v>
      </c>
      <c r="BC168" s="81">
        <f t="shared" si="98"/>
        <v>0</v>
      </c>
      <c r="BD168" s="81">
        <f t="shared" si="99"/>
        <v>0</v>
      </c>
      <c r="BE168" s="81">
        <f t="shared" si="100"/>
        <v>0</v>
      </c>
      <c r="BF168" s="81">
        <f t="shared" si="101"/>
        <v>0</v>
      </c>
      <c r="BG168" s="81">
        <f t="shared" si="102"/>
        <v>0</v>
      </c>
      <c r="BH168" s="81">
        <f t="shared" si="103"/>
        <v>0</v>
      </c>
      <c r="BI168" s="81">
        <f t="shared" si="104"/>
        <v>0</v>
      </c>
      <c r="BJ168" s="81">
        <f t="shared" si="105"/>
        <v>0</v>
      </c>
      <c r="BK168" s="81">
        <f t="shared" si="106"/>
        <v>0</v>
      </c>
      <c r="BL168" s="81">
        <f t="shared" si="107"/>
        <v>0</v>
      </c>
      <c r="BM168" s="81">
        <f t="shared" si="108"/>
        <v>0</v>
      </c>
      <c r="BN168" s="81">
        <f t="shared" si="109"/>
        <v>0</v>
      </c>
      <c r="BO168" s="81">
        <f t="shared" si="110"/>
        <v>0</v>
      </c>
      <c r="BP168" s="81">
        <f t="shared" si="111"/>
        <v>0</v>
      </c>
      <c r="BQ168" s="81">
        <f t="shared" si="112"/>
        <v>0</v>
      </c>
      <c r="BR168" s="81">
        <f t="shared" si="113"/>
        <v>0</v>
      </c>
      <c r="BS168" s="81">
        <f t="shared" si="114"/>
        <v>0</v>
      </c>
      <c r="BT168" s="89">
        <f t="shared" si="115"/>
        <v>0</v>
      </c>
    </row>
    <row r="169" spans="1:72">
      <c r="A169" s="79"/>
      <c r="B169" s="80"/>
      <c r="C169" s="80"/>
      <c r="D169" s="2301"/>
      <c r="E169" s="81">
        <f t="shared" si="116"/>
        <v>0</v>
      </c>
      <c r="F169" s="82"/>
      <c r="G169" s="83">
        <f t="shared" si="91"/>
        <v>0</v>
      </c>
      <c r="H169" s="84">
        <f t="shared" si="92"/>
        <v>0</v>
      </c>
      <c r="I169" s="85"/>
      <c r="J169" s="85"/>
      <c r="K169" s="85"/>
      <c r="L169" s="85"/>
      <c r="M169" s="85"/>
      <c r="N169" s="85"/>
      <c r="O169" s="85"/>
      <c r="P169" s="85"/>
      <c r="Q169" s="85"/>
      <c r="R169" s="85"/>
      <c r="S169" s="85"/>
      <c r="T169" s="85"/>
      <c r="U169" s="85"/>
      <c r="V169" s="85"/>
      <c r="W169" s="85"/>
      <c r="X169" s="85"/>
      <c r="Y169" s="85"/>
      <c r="Z169" s="85"/>
      <c r="AA169" s="85"/>
      <c r="AB169" s="85"/>
      <c r="AC169" s="81">
        <f t="shared" si="93"/>
        <v>0</v>
      </c>
      <c r="AD169" s="86"/>
      <c r="AE169" s="86"/>
      <c r="AF169" s="86"/>
      <c r="AG169" s="86"/>
      <c r="AH169" s="86"/>
      <c r="AI169" s="86"/>
      <c r="AJ169" s="86"/>
      <c r="AK169" s="86"/>
      <c r="AL169" s="86"/>
      <c r="AM169" s="86"/>
      <c r="AN169" s="86"/>
      <c r="AO169" s="86"/>
      <c r="AP169" s="86"/>
      <c r="AQ169" s="86"/>
      <c r="AR169" s="86"/>
      <c r="AS169" s="86"/>
      <c r="AT169" s="82"/>
      <c r="AU169" s="87"/>
      <c r="AV169" s="818">
        <f t="shared" si="117"/>
        <v>0</v>
      </c>
      <c r="AW169" s="818">
        <f t="shared" si="118"/>
        <v>0</v>
      </c>
      <c r="AX169" s="818">
        <f t="shared" si="119"/>
        <v>0</v>
      </c>
      <c r="AY169" s="88">
        <f t="shared" si="94"/>
        <v>0</v>
      </c>
      <c r="AZ169" s="81">
        <f t="shared" si="95"/>
        <v>0</v>
      </c>
      <c r="BA169" s="81">
        <f t="shared" si="96"/>
        <v>0</v>
      </c>
      <c r="BB169" s="81">
        <f t="shared" si="97"/>
        <v>0</v>
      </c>
      <c r="BC169" s="81">
        <f t="shared" si="98"/>
        <v>0</v>
      </c>
      <c r="BD169" s="81">
        <f t="shared" si="99"/>
        <v>0</v>
      </c>
      <c r="BE169" s="81">
        <f t="shared" si="100"/>
        <v>0</v>
      </c>
      <c r="BF169" s="81">
        <f t="shared" si="101"/>
        <v>0</v>
      </c>
      <c r="BG169" s="81">
        <f t="shared" si="102"/>
        <v>0</v>
      </c>
      <c r="BH169" s="81">
        <f t="shared" si="103"/>
        <v>0</v>
      </c>
      <c r="BI169" s="81">
        <f t="shared" si="104"/>
        <v>0</v>
      </c>
      <c r="BJ169" s="81">
        <f t="shared" si="105"/>
        <v>0</v>
      </c>
      <c r="BK169" s="81">
        <f t="shared" si="106"/>
        <v>0</v>
      </c>
      <c r="BL169" s="81">
        <f t="shared" si="107"/>
        <v>0</v>
      </c>
      <c r="BM169" s="81">
        <f t="shared" si="108"/>
        <v>0</v>
      </c>
      <c r="BN169" s="81">
        <f t="shared" si="109"/>
        <v>0</v>
      </c>
      <c r="BO169" s="81">
        <f t="shared" si="110"/>
        <v>0</v>
      </c>
      <c r="BP169" s="81">
        <f t="shared" si="111"/>
        <v>0</v>
      </c>
      <c r="BQ169" s="81">
        <f t="shared" si="112"/>
        <v>0</v>
      </c>
      <c r="BR169" s="81">
        <f t="shared" si="113"/>
        <v>0</v>
      </c>
      <c r="BS169" s="81">
        <f t="shared" si="114"/>
        <v>0</v>
      </c>
      <c r="BT169" s="89">
        <f t="shared" si="115"/>
        <v>0</v>
      </c>
    </row>
    <row r="170" spans="1:72">
      <c r="A170" s="79"/>
      <c r="B170" s="80"/>
      <c r="C170" s="80"/>
      <c r="D170" s="2301"/>
      <c r="E170" s="81">
        <f t="shared" si="116"/>
        <v>0</v>
      </c>
      <c r="F170" s="82"/>
      <c r="G170" s="83">
        <f t="shared" si="91"/>
        <v>0</v>
      </c>
      <c r="H170" s="84">
        <f t="shared" si="92"/>
        <v>0</v>
      </c>
      <c r="I170" s="85"/>
      <c r="J170" s="85"/>
      <c r="K170" s="85"/>
      <c r="L170" s="85"/>
      <c r="M170" s="85"/>
      <c r="N170" s="85"/>
      <c r="O170" s="85"/>
      <c r="P170" s="85"/>
      <c r="Q170" s="85"/>
      <c r="R170" s="85"/>
      <c r="S170" s="85"/>
      <c r="T170" s="85"/>
      <c r="U170" s="85"/>
      <c r="V170" s="85"/>
      <c r="W170" s="85"/>
      <c r="X170" s="85"/>
      <c r="Y170" s="85"/>
      <c r="Z170" s="85"/>
      <c r="AA170" s="85"/>
      <c r="AB170" s="85"/>
      <c r="AC170" s="81">
        <f t="shared" si="93"/>
        <v>0</v>
      </c>
      <c r="AD170" s="86"/>
      <c r="AE170" s="86"/>
      <c r="AF170" s="86"/>
      <c r="AG170" s="86"/>
      <c r="AH170" s="86"/>
      <c r="AI170" s="86"/>
      <c r="AJ170" s="86"/>
      <c r="AK170" s="86"/>
      <c r="AL170" s="86"/>
      <c r="AM170" s="86"/>
      <c r="AN170" s="86"/>
      <c r="AO170" s="86"/>
      <c r="AP170" s="86"/>
      <c r="AQ170" s="86"/>
      <c r="AR170" s="86"/>
      <c r="AS170" s="86"/>
      <c r="AT170" s="82"/>
      <c r="AU170" s="87"/>
      <c r="AV170" s="818">
        <f t="shared" si="117"/>
        <v>0</v>
      </c>
      <c r="AW170" s="818">
        <f t="shared" si="118"/>
        <v>0</v>
      </c>
      <c r="AX170" s="818">
        <f t="shared" si="119"/>
        <v>0</v>
      </c>
      <c r="AY170" s="88">
        <f t="shared" si="94"/>
        <v>0</v>
      </c>
      <c r="AZ170" s="81">
        <f t="shared" si="95"/>
        <v>0</v>
      </c>
      <c r="BA170" s="81">
        <f t="shared" si="96"/>
        <v>0</v>
      </c>
      <c r="BB170" s="81">
        <f t="shared" si="97"/>
        <v>0</v>
      </c>
      <c r="BC170" s="81">
        <f t="shared" si="98"/>
        <v>0</v>
      </c>
      <c r="BD170" s="81">
        <f t="shared" si="99"/>
        <v>0</v>
      </c>
      <c r="BE170" s="81">
        <f t="shared" si="100"/>
        <v>0</v>
      </c>
      <c r="BF170" s="81">
        <f t="shared" si="101"/>
        <v>0</v>
      </c>
      <c r="BG170" s="81">
        <f t="shared" si="102"/>
        <v>0</v>
      </c>
      <c r="BH170" s="81">
        <f t="shared" si="103"/>
        <v>0</v>
      </c>
      <c r="BI170" s="81">
        <f t="shared" si="104"/>
        <v>0</v>
      </c>
      <c r="BJ170" s="81">
        <f t="shared" si="105"/>
        <v>0</v>
      </c>
      <c r="BK170" s="81">
        <f t="shared" si="106"/>
        <v>0</v>
      </c>
      <c r="BL170" s="81">
        <f t="shared" si="107"/>
        <v>0</v>
      </c>
      <c r="BM170" s="81">
        <f t="shared" si="108"/>
        <v>0</v>
      </c>
      <c r="BN170" s="81">
        <f t="shared" si="109"/>
        <v>0</v>
      </c>
      <c r="BO170" s="81">
        <f t="shared" si="110"/>
        <v>0</v>
      </c>
      <c r="BP170" s="81">
        <f t="shared" si="111"/>
        <v>0</v>
      </c>
      <c r="BQ170" s="81">
        <f t="shared" si="112"/>
        <v>0</v>
      </c>
      <c r="BR170" s="81">
        <f t="shared" si="113"/>
        <v>0</v>
      </c>
      <c r="BS170" s="81">
        <f t="shared" si="114"/>
        <v>0</v>
      </c>
      <c r="BT170" s="89">
        <f t="shared" si="115"/>
        <v>0</v>
      </c>
    </row>
    <row r="171" spans="1:72">
      <c r="A171" s="79"/>
      <c r="B171" s="80"/>
      <c r="C171" s="80"/>
      <c r="D171" s="2301"/>
      <c r="E171" s="81">
        <f t="shared" si="116"/>
        <v>0</v>
      </c>
      <c r="F171" s="82"/>
      <c r="G171" s="83">
        <f t="shared" si="91"/>
        <v>0</v>
      </c>
      <c r="H171" s="84">
        <f t="shared" si="92"/>
        <v>0</v>
      </c>
      <c r="I171" s="85"/>
      <c r="J171" s="85"/>
      <c r="K171" s="85"/>
      <c r="L171" s="85"/>
      <c r="M171" s="85"/>
      <c r="N171" s="85"/>
      <c r="O171" s="85"/>
      <c r="P171" s="85"/>
      <c r="Q171" s="85"/>
      <c r="R171" s="85"/>
      <c r="S171" s="85"/>
      <c r="T171" s="85"/>
      <c r="U171" s="85"/>
      <c r="V171" s="85"/>
      <c r="W171" s="85"/>
      <c r="X171" s="85"/>
      <c r="Y171" s="85"/>
      <c r="Z171" s="85"/>
      <c r="AA171" s="85"/>
      <c r="AB171" s="85"/>
      <c r="AC171" s="81">
        <f t="shared" si="93"/>
        <v>0</v>
      </c>
      <c r="AD171" s="86"/>
      <c r="AE171" s="86"/>
      <c r="AF171" s="86"/>
      <c r="AG171" s="86"/>
      <c r="AH171" s="86"/>
      <c r="AI171" s="86"/>
      <c r="AJ171" s="86"/>
      <c r="AK171" s="86"/>
      <c r="AL171" s="86"/>
      <c r="AM171" s="86"/>
      <c r="AN171" s="86"/>
      <c r="AO171" s="86"/>
      <c r="AP171" s="86"/>
      <c r="AQ171" s="86"/>
      <c r="AR171" s="86"/>
      <c r="AS171" s="86"/>
      <c r="AT171" s="82"/>
      <c r="AU171" s="87"/>
      <c r="AV171" s="818">
        <f t="shared" si="117"/>
        <v>0</v>
      </c>
      <c r="AW171" s="818">
        <f t="shared" si="118"/>
        <v>0</v>
      </c>
      <c r="AX171" s="818">
        <f t="shared" si="119"/>
        <v>0</v>
      </c>
      <c r="AY171" s="88">
        <f t="shared" si="94"/>
        <v>0</v>
      </c>
      <c r="AZ171" s="81">
        <f t="shared" si="95"/>
        <v>0</v>
      </c>
      <c r="BA171" s="81">
        <f t="shared" si="96"/>
        <v>0</v>
      </c>
      <c r="BB171" s="81">
        <f t="shared" si="97"/>
        <v>0</v>
      </c>
      <c r="BC171" s="81">
        <f t="shared" si="98"/>
        <v>0</v>
      </c>
      <c r="BD171" s="81">
        <f t="shared" si="99"/>
        <v>0</v>
      </c>
      <c r="BE171" s="81">
        <f t="shared" si="100"/>
        <v>0</v>
      </c>
      <c r="BF171" s="81">
        <f t="shared" si="101"/>
        <v>0</v>
      </c>
      <c r="BG171" s="81">
        <f t="shared" si="102"/>
        <v>0</v>
      </c>
      <c r="BH171" s="81">
        <f t="shared" si="103"/>
        <v>0</v>
      </c>
      <c r="BI171" s="81">
        <f t="shared" si="104"/>
        <v>0</v>
      </c>
      <c r="BJ171" s="81">
        <f t="shared" si="105"/>
        <v>0</v>
      </c>
      <c r="BK171" s="81">
        <f t="shared" si="106"/>
        <v>0</v>
      </c>
      <c r="BL171" s="81">
        <f t="shared" si="107"/>
        <v>0</v>
      </c>
      <c r="BM171" s="81">
        <f t="shared" si="108"/>
        <v>0</v>
      </c>
      <c r="BN171" s="81">
        <f t="shared" si="109"/>
        <v>0</v>
      </c>
      <c r="BO171" s="81">
        <f t="shared" si="110"/>
        <v>0</v>
      </c>
      <c r="BP171" s="81">
        <f t="shared" si="111"/>
        <v>0</v>
      </c>
      <c r="BQ171" s="81">
        <f t="shared" si="112"/>
        <v>0</v>
      </c>
      <c r="BR171" s="81">
        <f t="shared" si="113"/>
        <v>0</v>
      </c>
      <c r="BS171" s="81">
        <f t="shared" si="114"/>
        <v>0</v>
      </c>
      <c r="BT171" s="89">
        <f t="shared" si="115"/>
        <v>0</v>
      </c>
    </row>
    <row r="172" spans="1:72">
      <c r="A172" s="79"/>
      <c r="B172" s="80"/>
      <c r="C172" s="80"/>
      <c r="D172" s="2301"/>
      <c r="E172" s="81">
        <f t="shared" si="116"/>
        <v>0</v>
      </c>
      <c r="F172" s="82"/>
      <c r="G172" s="83">
        <f t="shared" si="91"/>
        <v>0</v>
      </c>
      <c r="H172" s="84">
        <f t="shared" si="92"/>
        <v>0</v>
      </c>
      <c r="I172" s="85"/>
      <c r="J172" s="85"/>
      <c r="K172" s="85"/>
      <c r="L172" s="85"/>
      <c r="M172" s="85"/>
      <c r="N172" s="85"/>
      <c r="O172" s="85"/>
      <c r="P172" s="85"/>
      <c r="Q172" s="85"/>
      <c r="R172" s="85"/>
      <c r="S172" s="85"/>
      <c r="T172" s="85"/>
      <c r="U172" s="85"/>
      <c r="V172" s="85"/>
      <c r="W172" s="85"/>
      <c r="X172" s="85"/>
      <c r="Y172" s="85"/>
      <c r="Z172" s="85"/>
      <c r="AA172" s="85"/>
      <c r="AB172" s="85"/>
      <c r="AC172" s="81">
        <f t="shared" si="93"/>
        <v>0</v>
      </c>
      <c r="AD172" s="86"/>
      <c r="AE172" s="86"/>
      <c r="AF172" s="86"/>
      <c r="AG172" s="86"/>
      <c r="AH172" s="86"/>
      <c r="AI172" s="86"/>
      <c r="AJ172" s="86"/>
      <c r="AK172" s="86"/>
      <c r="AL172" s="86"/>
      <c r="AM172" s="86"/>
      <c r="AN172" s="86"/>
      <c r="AO172" s="86"/>
      <c r="AP172" s="86"/>
      <c r="AQ172" s="86"/>
      <c r="AR172" s="86"/>
      <c r="AS172" s="86"/>
      <c r="AT172" s="82"/>
      <c r="AU172" s="87"/>
      <c r="AV172" s="818">
        <f t="shared" si="117"/>
        <v>0</v>
      </c>
      <c r="AW172" s="818">
        <f t="shared" si="118"/>
        <v>0</v>
      </c>
      <c r="AX172" s="818">
        <f t="shared" si="119"/>
        <v>0</v>
      </c>
      <c r="AY172" s="88">
        <f t="shared" si="94"/>
        <v>0</v>
      </c>
      <c r="AZ172" s="81">
        <f t="shared" si="95"/>
        <v>0</v>
      </c>
      <c r="BA172" s="81">
        <f t="shared" si="96"/>
        <v>0</v>
      </c>
      <c r="BB172" s="81">
        <f t="shared" si="97"/>
        <v>0</v>
      </c>
      <c r="BC172" s="81">
        <f t="shared" si="98"/>
        <v>0</v>
      </c>
      <c r="BD172" s="81">
        <f t="shared" si="99"/>
        <v>0</v>
      </c>
      <c r="BE172" s="81">
        <f t="shared" si="100"/>
        <v>0</v>
      </c>
      <c r="BF172" s="81">
        <f t="shared" si="101"/>
        <v>0</v>
      </c>
      <c r="BG172" s="81">
        <f t="shared" si="102"/>
        <v>0</v>
      </c>
      <c r="BH172" s="81">
        <f t="shared" si="103"/>
        <v>0</v>
      </c>
      <c r="BI172" s="81">
        <f t="shared" si="104"/>
        <v>0</v>
      </c>
      <c r="BJ172" s="81">
        <f t="shared" si="105"/>
        <v>0</v>
      </c>
      <c r="BK172" s="81">
        <f t="shared" si="106"/>
        <v>0</v>
      </c>
      <c r="BL172" s="81">
        <f t="shared" si="107"/>
        <v>0</v>
      </c>
      <c r="BM172" s="81">
        <f t="shared" si="108"/>
        <v>0</v>
      </c>
      <c r="BN172" s="81">
        <f t="shared" si="109"/>
        <v>0</v>
      </c>
      <c r="BO172" s="81">
        <f t="shared" si="110"/>
        <v>0</v>
      </c>
      <c r="BP172" s="81">
        <f t="shared" si="111"/>
        <v>0</v>
      </c>
      <c r="BQ172" s="81">
        <f t="shared" si="112"/>
        <v>0</v>
      </c>
      <c r="BR172" s="81">
        <f t="shared" si="113"/>
        <v>0</v>
      </c>
      <c r="BS172" s="81">
        <f t="shared" si="114"/>
        <v>0</v>
      </c>
      <c r="BT172" s="89">
        <f t="shared" si="115"/>
        <v>0</v>
      </c>
    </row>
    <row r="173" spans="1:72">
      <c r="A173" s="79"/>
      <c r="B173" s="80"/>
      <c r="C173" s="80"/>
      <c r="D173" s="2301"/>
      <c r="E173" s="81">
        <f t="shared" si="116"/>
        <v>0</v>
      </c>
      <c r="F173" s="82"/>
      <c r="G173" s="83">
        <f t="shared" si="91"/>
        <v>0</v>
      </c>
      <c r="H173" s="84">
        <f t="shared" si="92"/>
        <v>0</v>
      </c>
      <c r="I173" s="85"/>
      <c r="J173" s="85"/>
      <c r="K173" s="85"/>
      <c r="L173" s="85"/>
      <c r="M173" s="85"/>
      <c r="N173" s="85"/>
      <c r="O173" s="85"/>
      <c r="P173" s="85"/>
      <c r="Q173" s="85"/>
      <c r="R173" s="85"/>
      <c r="S173" s="85"/>
      <c r="T173" s="85"/>
      <c r="U173" s="85"/>
      <c r="V173" s="85"/>
      <c r="W173" s="85"/>
      <c r="X173" s="85"/>
      <c r="Y173" s="85"/>
      <c r="Z173" s="85"/>
      <c r="AA173" s="85"/>
      <c r="AB173" s="85"/>
      <c r="AC173" s="81">
        <f t="shared" si="93"/>
        <v>0</v>
      </c>
      <c r="AD173" s="86"/>
      <c r="AE173" s="86"/>
      <c r="AF173" s="86"/>
      <c r="AG173" s="86"/>
      <c r="AH173" s="86"/>
      <c r="AI173" s="86"/>
      <c r="AJ173" s="86"/>
      <c r="AK173" s="86"/>
      <c r="AL173" s="86"/>
      <c r="AM173" s="86"/>
      <c r="AN173" s="86"/>
      <c r="AO173" s="86"/>
      <c r="AP173" s="86"/>
      <c r="AQ173" s="86"/>
      <c r="AR173" s="86"/>
      <c r="AS173" s="86"/>
      <c r="AT173" s="82"/>
      <c r="AU173" s="87"/>
      <c r="AV173" s="818">
        <f t="shared" si="117"/>
        <v>0</v>
      </c>
      <c r="AW173" s="818">
        <f t="shared" si="118"/>
        <v>0</v>
      </c>
      <c r="AX173" s="818">
        <f t="shared" si="119"/>
        <v>0</v>
      </c>
      <c r="AY173" s="88">
        <f t="shared" si="94"/>
        <v>0</v>
      </c>
      <c r="AZ173" s="81">
        <f t="shared" si="95"/>
        <v>0</v>
      </c>
      <c r="BA173" s="81">
        <f t="shared" si="96"/>
        <v>0</v>
      </c>
      <c r="BB173" s="81">
        <f t="shared" si="97"/>
        <v>0</v>
      </c>
      <c r="BC173" s="81">
        <f t="shared" si="98"/>
        <v>0</v>
      </c>
      <c r="BD173" s="81">
        <f t="shared" si="99"/>
        <v>0</v>
      </c>
      <c r="BE173" s="81">
        <f t="shared" si="100"/>
        <v>0</v>
      </c>
      <c r="BF173" s="81">
        <f t="shared" si="101"/>
        <v>0</v>
      </c>
      <c r="BG173" s="81">
        <f t="shared" si="102"/>
        <v>0</v>
      </c>
      <c r="BH173" s="81">
        <f t="shared" si="103"/>
        <v>0</v>
      </c>
      <c r="BI173" s="81">
        <f t="shared" si="104"/>
        <v>0</v>
      </c>
      <c r="BJ173" s="81">
        <f t="shared" si="105"/>
        <v>0</v>
      </c>
      <c r="BK173" s="81">
        <f t="shared" si="106"/>
        <v>0</v>
      </c>
      <c r="BL173" s="81">
        <f t="shared" si="107"/>
        <v>0</v>
      </c>
      <c r="BM173" s="81">
        <f t="shared" si="108"/>
        <v>0</v>
      </c>
      <c r="BN173" s="81">
        <f t="shared" si="109"/>
        <v>0</v>
      </c>
      <c r="BO173" s="81">
        <f t="shared" si="110"/>
        <v>0</v>
      </c>
      <c r="BP173" s="81">
        <f t="shared" si="111"/>
        <v>0</v>
      </c>
      <c r="BQ173" s="81">
        <f t="shared" si="112"/>
        <v>0</v>
      </c>
      <c r="BR173" s="81">
        <f t="shared" si="113"/>
        <v>0</v>
      </c>
      <c r="BS173" s="81">
        <f t="shared" si="114"/>
        <v>0</v>
      </c>
      <c r="BT173" s="89">
        <f t="shared" si="115"/>
        <v>0</v>
      </c>
    </row>
    <row r="174" spans="1:72">
      <c r="A174" s="79"/>
      <c r="B174" s="80"/>
      <c r="C174" s="80"/>
      <c r="D174" s="2301"/>
      <c r="E174" s="81">
        <f t="shared" si="116"/>
        <v>0</v>
      </c>
      <c r="F174" s="82"/>
      <c r="G174" s="83">
        <f t="shared" ref="G174:G204" si="120">H174+AC174+AT174</f>
        <v>0</v>
      </c>
      <c r="H174" s="84">
        <f t="shared" ref="H174:H204" si="121">SUMIF(I$12:AB$12,"总值",I174:AB174)</f>
        <v>0</v>
      </c>
      <c r="I174" s="85"/>
      <c r="J174" s="85"/>
      <c r="K174" s="85"/>
      <c r="L174" s="85"/>
      <c r="M174" s="85"/>
      <c r="N174" s="85"/>
      <c r="O174" s="85"/>
      <c r="P174" s="85"/>
      <c r="Q174" s="85"/>
      <c r="R174" s="85"/>
      <c r="S174" s="85"/>
      <c r="T174" s="85"/>
      <c r="U174" s="85"/>
      <c r="V174" s="85"/>
      <c r="W174" s="85"/>
      <c r="X174" s="85"/>
      <c r="Y174" s="85"/>
      <c r="Z174" s="85"/>
      <c r="AA174" s="85"/>
      <c r="AB174" s="85"/>
      <c r="AC174" s="81">
        <f t="shared" ref="AC174:AC204" si="122">SUMIF(AD$12:AS$12,"总值",AD174:AS174)</f>
        <v>0</v>
      </c>
      <c r="AD174" s="86"/>
      <c r="AE174" s="86"/>
      <c r="AF174" s="86"/>
      <c r="AG174" s="86"/>
      <c r="AH174" s="86"/>
      <c r="AI174" s="86"/>
      <c r="AJ174" s="86"/>
      <c r="AK174" s="86"/>
      <c r="AL174" s="86"/>
      <c r="AM174" s="86"/>
      <c r="AN174" s="86"/>
      <c r="AO174" s="86"/>
      <c r="AP174" s="86"/>
      <c r="AQ174" s="86"/>
      <c r="AR174" s="86"/>
      <c r="AS174" s="86"/>
      <c r="AT174" s="82"/>
      <c r="AU174" s="87"/>
      <c r="AV174" s="818">
        <f t="shared" si="117"/>
        <v>0</v>
      </c>
      <c r="AW174" s="818">
        <f t="shared" si="118"/>
        <v>0</v>
      </c>
      <c r="AX174" s="818">
        <f t="shared" si="119"/>
        <v>0</v>
      </c>
      <c r="AY174" s="88">
        <f t="shared" ref="AY174:AY204" si="123">ROUND($AY$6*AZ174/$AZ$5,2)</f>
        <v>0</v>
      </c>
      <c r="AZ174" s="81">
        <f t="shared" ref="AZ174:AZ204" si="124">BA174+BL174</f>
        <v>0</v>
      </c>
      <c r="BA174" s="81">
        <f t="shared" ref="BA174:BA204" si="125">SUM(BB174:BK174)</f>
        <v>0</v>
      </c>
      <c r="BB174" s="81">
        <f t="shared" ref="BB174:BB204" si="126">IF($D174="是",I174-J174,0)</f>
        <v>0</v>
      </c>
      <c r="BC174" s="81">
        <f t="shared" ref="BC174:BC204" si="127">IF($D174="是",K174-L174,0)</f>
        <v>0</v>
      </c>
      <c r="BD174" s="81">
        <f t="shared" ref="BD174:BD204" si="128">IF($D174="是",M174-N174,0)</f>
        <v>0</v>
      </c>
      <c r="BE174" s="81">
        <f t="shared" ref="BE174:BE204" si="129">IF($D174="是",O174-P174,0)</f>
        <v>0</v>
      </c>
      <c r="BF174" s="81">
        <f t="shared" ref="BF174:BF204" si="130">IF($D174="是",Q174-R174,0)</f>
        <v>0</v>
      </c>
      <c r="BG174" s="81">
        <f t="shared" ref="BG174:BG204" si="131">IF($D174="是",S174-T174,0)</f>
        <v>0</v>
      </c>
      <c r="BH174" s="81">
        <f t="shared" ref="BH174:BH204" si="132">IF($D174="是",U174-V174,0)</f>
        <v>0</v>
      </c>
      <c r="BI174" s="81">
        <f t="shared" ref="BI174:BI204" si="133">IF($D174="是",W174-X174,0)</f>
        <v>0</v>
      </c>
      <c r="BJ174" s="81">
        <f t="shared" ref="BJ174:BJ204" si="134">IF($D174="是",Y174-Z174,0)</f>
        <v>0</v>
      </c>
      <c r="BK174" s="81">
        <f t="shared" ref="BK174:BK204" si="135">IF($D174="是",AA174-AB174,0)</f>
        <v>0</v>
      </c>
      <c r="BL174" s="81">
        <f t="shared" ref="BL174:BL204" si="136">SUM(BM174:BT174)</f>
        <v>0</v>
      </c>
      <c r="BM174" s="81">
        <f t="shared" ref="BM174:BM204" si="137">IF($D174="是",AD174-AE174,0)</f>
        <v>0</v>
      </c>
      <c r="BN174" s="81">
        <f t="shared" ref="BN174:BN204" si="138">IF($D174="是",AF174-AG174,0)</f>
        <v>0</v>
      </c>
      <c r="BO174" s="81">
        <f t="shared" ref="BO174:BO204" si="139">IF($D174="是",AH174-AI174,0)</f>
        <v>0</v>
      </c>
      <c r="BP174" s="81">
        <f t="shared" ref="BP174:BP204" si="140">IF($D174="是",AJ174-AK174,0)</f>
        <v>0</v>
      </c>
      <c r="BQ174" s="81">
        <f t="shared" ref="BQ174:BQ204" si="141">IF($D174="是",AL174-AM174,0)</f>
        <v>0</v>
      </c>
      <c r="BR174" s="81">
        <f t="shared" ref="BR174:BR204" si="142">IF($D174="是",AN174-AO174,0)</f>
        <v>0</v>
      </c>
      <c r="BS174" s="81">
        <f t="shared" ref="BS174:BS204" si="143">IF($D174="是",AP174-AQ174,0)</f>
        <v>0</v>
      </c>
      <c r="BT174" s="89">
        <f t="shared" ref="BT174:BT204" si="144">IF($D174="是",AR174-AS174,0)</f>
        <v>0</v>
      </c>
    </row>
    <row r="175" spans="1:72">
      <c r="A175" s="79"/>
      <c r="B175" s="80"/>
      <c r="C175" s="80"/>
      <c r="D175" s="2301"/>
      <c r="E175" s="81">
        <f t="shared" si="116"/>
        <v>0</v>
      </c>
      <c r="F175" s="82"/>
      <c r="G175" s="83">
        <f t="shared" si="120"/>
        <v>0</v>
      </c>
      <c r="H175" s="84">
        <f t="shared" si="121"/>
        <v>0</v>
      </c>
      <c r="I175" s="85"/>
      <c r="J175" s="85"/>
      <c r="K175" s="85"/>
      <c r="L175" s="85"/>
      <c r="M175" s="85"/>
      <c r="N175" s="85"/>
      <c r="O175" s="85"/>
      <c r="P175" s="85"/>
      <c r="Q175" s="85"/>
      <c r="R175" s="85"/>
      <c r="S175" s="85"/>
      <c r="T175" s="85"/>
      <c r="U175" s="85"/>
      <c r="V175" s="85"/>
      <c r="W175" s="85"/>
      <c r="X175" s="85"/>
      <c r="Y175" s="85"/>
      <c r="Z175" s="85"/>
      <c r="AA175" s="85"/>
      <c r="AB175" s="85"/>
      <c r="AC175" s="81">
        <f t="shared" si="122"/>
        <v>0</v>
      </c>
      <c r="AD175" s="86"/>
      <c r="AE175" s="86"/>
      <c r="AF175" s="86"/>
      <c r="AG175" s="86"/>
      <c r="AH175" s="86"/>
      <c r="AI175" s="86"/>
      <c r="AJ175" s="86"/>
      <c r="AK175" s="86"/>
      <c r="AL175" s="86"/>
      <c r="AM175" s="86"/>
      <c r="AN175" s="86"/>
      <c r="AO175" s="86"/>
      <c r="AP175" s="86"/>
      <c r="AQ175" s="86"/>
      <c r="AR175" s="86"/>
      <c r="AS175" s="86"/>
      <c r="AT175" s="82"/>
      <c r="AU175" s="87"/>
      <c r="AV175" s="818">
        <f t="shared" si="117"/>
        <v>0</v>
      </c>
      <c r="AW175" s="818">
        <f t="shared" si="118"/>
        <v>0</v>
      </c>
      <c r="AX175" s="818">
        <f t="shared" si="119"/>
        <v>0</v>
      </c>
      <c r="AY175" s="88">
        <f t="shared" si="123"/>
        <v>0</v>
      </c>
      <c r="AZ175" s="81">
        <f t="shared" si="124"/>
        <v>0</v>
      </c>
      <c r="BA175" s="81">
        <f t="shared" si="125"/>
        <v>0</v>
      </c>
      <c r="BB175" s="81">
        <f t="shared" si="126"/>
        <v>0</v>
      </c>
      <c r="BC175" s="81">
        <f t="shared" si="127"/>
        <v>0</v>
      </c>
      <c r="BD175" s="81">
        <f t="shared" si="128"/>
        <v>0</v>
      </c>
      <c r="BE175" s="81">
        <f t="shared" si="129"/>
        <v>0</v>
      </c>
      <c r="BF175" s="81">
        <f t="shared" si="130"/>
        <v>0</v>
      </c>
      <c r="BG175" s="81">
        <f t="shared" si="131"/>
        <v>0</v>
      </c>
      <c r="BH175" s="81">
        <f t="shared" si="132"/>
        <v>0</v>
      </c>
      <c r="BI175" s="81">
        <f t="shared" si="133"/>
        <v>0</v>
      </c>
      <c r="BJ175" s="81">
        <f t="shared" si="134"/>
        <v>0</v>
      </c>
      <c r="BK175" s="81">
        <f t="shared" si="135"/>
        <v>0</v>
      </c>
      <c r="BL175" s="81">
        <f t="shared" si="136"/>
        <v>0</v>
      </c>
      <c r="BM175" s="81">
        <f t="shared" si="137"/>
        <v>0</v>
      </c>
      <c r="BN175" s="81">
        <f t="shared" si="138"/>
        <v>0</v>
      </c>
      <c r="BO175" s="81">
        <f t="shared" si="139"/>
        <v>0</v>
      </c>
      <c r="BP175" s="81">
        <f t="shared" si="140"/>
        <v>0</v>
      </c>
      <c r="BQ175" s="81">
        <f t="shared" si="141"/>
        <v>0</v>
      </c>
      <c r="BR175" s="81">
        <f t="shared" si="142"/>
        <v>0</v>
      </c>
      <c r="BS175" s="81">
        <f t="shared" si="143"/>
        <v>0</v>
      </c>
      <c r="BT175" s="89">
        <f t="shared" si="144"/>
        <v>0</v>
      </c>
    </row>
    <row r="176" spans="1:72">
      <c r="A176" s="79"/>
      <c r="B176" s="80"/>
      <c r="C176" s="80"/>
      <c r="D176" s="2301"/>
      <c r="E176" s="81">
        <f t="shared" si="116"/>
        <v>0</v>
      </c>
      <c r="F176" s="82"/>
      <c r="G176" s="83">
        <f t="shared" si="120"/>
        <v>0</v>
      </c>
      <c r="H176" s="84">
        <f t="shared" si="121"/>
        <v>0</v>
      </c>
      <c r="I176" s="85"/>
      <c r="J176" s="85"/>
      <c r="K176" s="85"/>
      <c r="L176" s="85"/>
      <c r="M176" s="85"/>
      <c r="N176" s="85"/>
      <c r="O176" s="85"/>
      <c r="P176" s="85"/>
      <c r="Q176" s="85"/>
      <c r="R176" s="85"/>
      <c r="S176" s="85"/>
      <c r="T176" s="85"/>
      <c r="U176" s="85"/>
      <c r="V176" s="85"/>
      <c r="W176" s="85"/>
      <c r="X176" s="85"/>
      <c r="Y176" s="85"/>
      <c r="Z176" s="85"/>
      <c r="AA176" s="85"/>
      <c r="AB176" s="85"/>
      <c r="AC176" s="81">
        <f t="shared" si="122"/>
        <v>0</v>
      </c>
      <c r="AD176" s="86"/>
      <c r="AE176" s="86"/>
      <c r="AF176" s="86"/>
      <c r="AG176" s="86"/>
      <c r="AH176" s="86"/>
      <c r="AI176" s="86"/>
      <c r="AJ176" s="86"/>
      <c r="AK176" s="86"/>
      <c r="AL176" s="86"/>
      <c r="AM176" s="86"/>
      <c r="AN176" s="86"/>
      <c r="AO176" s="86"/>
      <c r="AP176" s="86"/>
      <c r="AQ176" s="86"/>
      <c r="AR176" s="86"/>
      <c r="AS176" s="86"/>
      <c r="AT176" s="82"/>
      <c r="AU176" s="87"/>
      <c r="AV176" s="818">
        <f t="shared" si="117"/>
        <v>0</v>
      </c>
      <c r="AW176" s="818">
        <f t="shared" si="118"/>
        <v>0</v>
      </c>
      <c r="AX176" s="818">
        <f t="shared" si="119"/>
        <v>0</v>
      </c>
      <c r="AY176" s="88">
        <f t="shared" si="123"/>
        <v>0</v>
      </c>
      <c r="AZ176" s="81">
        <f t="shared" si="124"/>
        <v>0</v>
      </c>
      <c r="BA176" s="81">
        <f t="shared" si="125"/>
        <v>0</v>
      </c>
      <c r="BB176" s="81">
        <f t="shared" si="126"/>
        <v>0</v>
      </c>
      <c r="BC176" s="81">
        <f t="shared" si="127"/>
        <v>0</v>
      </c>
      <c r="BD176" s="81">
        <f t="shared" si="128"/>
        <v>0</v>
      </c>
      <c r="BE176" s="81">
        <f t="shared" si="129"/>
        <v>0</v>
      </c>
      <c r="BF176" s="81">
        <f t="shared" si="130"/>
        <v>0</v>
      </c>
      <c r="BG176" s="81">
        <f t="shared" si="131"/>
        <v>0</v>
      </c>
      <c r="BH176" s="81">
        <f t="shared" si="132"/>
        <v>0</v>
      </c>
      <c r="BI176" s="81">
        <f t="shared" si="133"/>
        <v>0</v>
      </c>
      <c r="BJ176" s="81">
        <f t="shared" si="134"/>
        <v>0</v>
      </c>
      <c r="BK176" s="81">
        <f t="shared" si="135"/>
        <v>0</v>
      </c>
      <c r="BL176" s="81">
        <f t="shared" si="136"/>
        <v>0</v>
      </c>
      <c r="BM176" s="81">
        <f t="shared" si="137"/>
        <v>0</v>
      </c>
      <c r="BN176" s="81">
        <f t="shared" si="138"/>
        <v>0</v>
      </c>
      <c r="BO176" s="81">
        <f t="shared" si="139"/>
        <v>0</v>
      </c>
      <c r="BP176" s="81">
        <f t="shared" si="140"/>
        <v>0</v>
      </c>
      <c r="BQ176" s="81">
        <f t="shared" si="141"/>
        <v>0</v>
      </c>
      <c r="BR176" s="81">
        <f t="shared" si="142"/>
        <v>0</v>
      </c>
      <c r="BS176" s="81">
        <f t="shared" si="143"/>
        <v>0</v>
      </c>
      <c r="BT176" s="89">
        <f t="shared" si="144"/>
        <v>0</v>
      </c>
    </row>
    <row r="177" spans="1:72">
      <c r="A177" s="79"/>
      <c r="B177" s="80"/>
      <c r="C177" s="80"/>
      <c r="D177" s="2301"/>
      <c r="E177" s="81">
        <f t="shared" ref="E177:E204" si="145">IF($C$3="是",ROUND($A$3*G177/$B$3,2),ROUND($A$3*(G177-AT177)/$B$3,2))</f>
        <v>0</v>
      </c>
      <c r="F177" s="82"/>
      <c r="G177" s="83">
        <f t="shared" si="120"/>
        <v>0</v>
      </c>
      <c r="H177" s="84">
        <f t="shared" si="121"/>
        <v>0</v>
      </c>
      <c r="I177" s="85"/>
      <c r="J177" s="85"/>
      <c r="K177" s="85"/>
      <c r="L177" s="85"/>
      <c r="M177" s="85"/>
      <c r="N177" s="85"/>
      <c r="O177" s="85"/>
      <c r="P177" s="85"/>
      <c r="Q177" s="85"/>
      <c r="R177" s="85"/>
      <c r="S177" s="85"/>
      <c r="T177" s="85"/>
      <c r="U177" s="85"/>
      <c r="V177" s="85"/>
      <c r="W177" s="85"/>
      <c r="X177" s="85"/>
      <c r="Y177" s="85"/>
      <c r="Z177" s="85"/>
      <c r="AA177" s="85"/>
      <c r="AB177" s="85"/>
      <c r="AC177" s="81">
        <f t="shared" si="122"/>
        <v>0</v>
      </c>
      <c r="AD177" s="86"/>
      <c r="AE177" s="86"/>
      <c r="AF177" s="86"/>
      <c r="AG177" s="86"/>
      <c r="AH177" s="86"/>
      <c r="AI177" s="86"/>
      <c r="AJ177" s="86"/>
      <c r="AK177" s="86"/>
      <c r="AL177" s="86"/>
      <c r="AM177" s="86"/>
      <c r="AN177" s="86"/>
      <c r="AO177" s="86"/>
      <c r="AP177" s="86"/>
      <c r="AQ177" s="86"/>
      <c r="AR177" s="86"/>
      <c r="AS177" s="86"/>
      <c r="AT177" s="82"/>
      <c r="AU177" s="87"/>
      <c r="AV177" s="818">
        <f t="shared" ref="AV177:AV204" si="146">A177</f>
        <v>0</v>
      </c>
      <c r="AW177" s="818">
        <f t="shared" ref="AW177:AW204" si="147">B177</f>
        <v>0</v>
      </c>
      <c r="AX177" s="818">
        <f t="shared" ref="AX177:AX204" si="148">C177</f>
        <v>0</v>
      </c>
      <c r="AY177" s="88">
        <f t="shared" si="123"/>
        <v>0</v>
      </c>
      <c r="AZ177" s="81">
        <f t="shared" si="124"/>
        <v>0</v>
      </c>
      <c r="BA177" s="81">
        <f t="shared" si="125"/>
        <v>0</v>
      </c>
      <c r="BB177" s="81">
        <f t="shared" si="126"/>
        <v>0</v>
      </c>
      <c r="BC177" s="81">
        <f t="shared" si="127"/>
        <v>0</v>
      </c>
      <c r="BD177" s="81">
        <f t="shared" si="128"/>
        <v>0</v>
      </c>
      <c r="BE177" s="81">
        <f t="shared" si="129"/>
        <v>0</v>
      </c>
      <c r="BF177" s="81">
        <f t="shared" si="130"/>
        <v>0</v>
      </c>
      <c r="BG177" s="81">
        <f t="shared" si="131"/>
        <v>0</v>
      </c>
      <c r="BH177" s="81">
        <f t="shared" si="132"/>
        <v>0</v>
      </c>
      <c r="BI177" s="81">
        <f t="shared" si="133"/>
        <v>0</v>
      </c>
      <c r="BJ177" s="81">
        <f t="shared" si="134"/>
        <v>0</v>
      </c>
      <c r="BK177" s="81">
        <f t="shared" si="135"/>
        <v>0</v>
      </c>
      <c r="BL177" s="81">
        <f t="shared" si="136"/>
        <v>0</v>
      </c>
      <c r="BM177" s="81">
        <f t="shared" si="137"/>
        <v>0</v>
      </c>
      <c r="BN177" s="81">
        <f t="shared" si="138"/>
        <v>0</v>
      </c>
      <c r="BO177" s="81">
        <f t="shared" si="139"/>
        <v>0</v>
      </c>
      <c r="BP177" s="81">
        <f t="shared" si="140"/>
        <v>0</v>
      </c>
      <c r="BQ177" s="81">
        <f t="shared" si="141"/>
        <v>0</v>
      </c>
      <c r="BR177" s="81">
        <f t="shared" si="142"/>
        <v>0</v>
      </c>
      <c r="BS177" s="81">
        <f t="shared" si="143"/>
        <v>0</v>
      </c>
      <c r="BT177" s="89">
        <f t="shared" si="144"/>
        <v>0</v>
      </c>
    </row>
    <row r="178" spans="1:72">
      <c r="A178" s="79"/>
      <c r="B178" s="80"/>
      <c r="C178" s="80"/>
      <c r="D178" s="2301"/>
      <c r="E178" s="81">
        <f t="shared" si="145"/>
        <v>0</v>
      </c>
      <c r="F178" s="82"/>
      <c r="G178" s="83">
        <f t="shared" si="120"/>
        <v>0</v>
      </c>
      <c r="H178" s="84">
        <f t="shared" si="121"/>
        <v>0</v>
      </c>
      <c r="I178" s="85"/>
      <c r="J178" s="85"/>
      <c r="K178" s="85"/>
      <c r="L178" s="85"/>
      <c r="M178" s="85"/>
      <c r="N178" s="85"/>
      <c r="O178" s="85"/>
      <c r="P178" s="85"/>
      <c r="Q178" s="85"/>
      <c r="R178" s="85"/>
      <c r="S178" s="85"/>
      <c r="T178" s="85"/>
      <c r="U178" s="85"/>
      <c r="V178" s="85"/>
      <c r="W178" s="85"/>
      <c r="X178" s="85"/>
      <c r="Y178" s="85"/>
      <c r="Z178" s="85"/>
      <c r="AA178" s="85"/>
      <c r="AB178" s="85"/>
      <c r="AC178" s="81">
        <f t="shared" si="122"/>
        <v>0</v>
      </c>
      <c r="AD178" s="86"/>
      <c r="AE178" s="86"/>
      <c r="AF178" s="86"/>
      <c r="AG178" s="86"/>
      <c r="AH178" s="86"/>
      <c r="AI178" s="86"/>
      <c r="AJ178" s="86"/>
      <c r="AK178" s="86"/>
      <c r="AL178" s="86"/>
      <c r="AM178" s="86"/>
      <c r="AN178" s="86"/>
      <c r="AO178" s="86"/>
      <c r="AP178" s="86"/>
      <c r="AQ178" s="86"/>
      <c r="AR178" s="86"/>
      <c r="AS178" s="86"/>
      <c r="AT178" s="82"/>
      <c r="AU178" s="87"/>
      <c r="AV178" s="818">
        <f t="shared" si="146"/>
        <v>0</v>
      </c>
      <c r="AW178" s="818">
        <f t="shared" si="147"/>
        <v>0</v>
      </c>
      <c r="AX178" s="818">
        <f t="shared" si="148"/>
        <v>0</v>
      </c>
      <c r="AY178" s="88">
        <f t="shared" si="123"/>
        <v>0</v>
      </c>
      <c r="AZ178" s="81">
        <f t="shared" si="124"/>
        <v>0</v>
      </c>
      <c r="BA178" s="81">
        <f t="shared" si="125"/>
        <v>0</v>
      </c>
      <c r="BB178" s="81">
        <f t="shared" si="126"/>
        <v>0</v>
      </c>
      <c r="BC178" s="81">
        <f t="shared" si="127"/>
        <v>0</v>
      </c>
      <c r="BD178" s="81">
        <f t="shared" si="128"/>
        <v>0</v>
      </c>
      <c r="BE178" s="81">
        <f t="shared" si="129"/>
        <v>0</v>
      </c>
      <c r="BF178" s="81">
        <f t="shared" si="130"/>
        <v>0</v>
      </c>
      <c r="BG178" s="81">
        <f t="shared" si="131"/>
        <v>0</v>
      </c>
      <c r="BH178" s="81">
        <f t="shared" si="132"/>
        <v>0</v>
      </c>
      <c r="BI178" s="81">
        <f t="shared" si="133"/>
        <v>0</v>
      </c>
      <c r="BJ178" s="81">
        <f t="shared" si="134"/>
        <v>0</v>
      </c>
      <c r="BK178" s="81">
        <f t="shared" si="135"/>
        <v>0</v>
      </c>
      <c r="BL178" s="81">
        <f t="shared" si="136"/>
        <v>0</v>
      </c>
      <c r="BM178" s="81">
        <f t="shared" si="137"/>
        <v>0</v>
      </c>
      <c r="BN178" s="81">
        <f t="shared" si="138"/>
        <v>0</v>
      </c>
      <c r="BO178" s="81">
        <f t="shared" si="139"/>
        <v>0</v>
      </c>
      <c r="BP178" s="81">
        <f t="shared" si="140"/>
        <v>0</v>
      </c>
      <c r="BQ178" s="81">
        <f t="shared" si="141"/>
        <v>0</v>
      </c>
      <c r="BR178" s="81">
        <f t="shared" si="142"/>
        <v>0</v>
      </c>
      <c r="BS178" s="81">
        <f t="shared" si="143"/>
        <v>0</v>
      </c>
      <c r="BT178" s="89">
        <f t="shared" si="144"/>
        <v>0</v>
      </c>
    </row>
    <row r="179" spans="1:72">
      <c r="A179" s="79"/>
      <c r="B179" s="80"/>
      <c r="C179" s="80"/>
      <c r="D179" s="2301"/>
      <c r="E179" s="81">
        <f t="shared" si="145"/>
        <v>0</v>
      </c>
      <c r="F179" s="82"/>
      <c r="G179" s="83">
        <f t="shared" si="120"/>
        <v>0</v>
      </c>
      <c r="H179" s="84">
        <f t="shared" si="121"/>
        <v>0</v>
      </c>
      <c r="I179" s="85"/>
      <c r="J179" s="85"/>
      <c r="K179" s="85"/>
      <c r="L179" s="85"/>
      <c r="M179" s="85"/>
      <c r="N179" s="85"/>
      <c r="O179" s="85"/>
      <c r="P179" s="85"/>
      <c r="Q179" s="85"/>
      <c r="R179" s="85"/>
      <c r="S179" s="85"/>
      <c r="T179" s="85"/>
      <c r="U179" s="85"/>
      <c r="V179" s="85"/>
      <c r="W179" s="85"/>
      <c r="X179" s="85"/>
      <c r="Y179" s="85"/>
      <c r="Z179" s="85"/>
      <c r="AA179" s="85"/>
      <c r="AB179" s="85"/>
      <c r="AC179" s="81">
        <f t="shared" si="122"/>
        <v>0</v>
      </c>
      <c r="AD179" s="86"/>
      <c r="AE179" s="86"/>
      <c r="AF179" s="86"/>
      <c r="AG179" s="86"/>
      <c r="AH179" s="86"/>
      <c r="AI179" s="86"/>
      <c r="AJ179" s="86"/>
      <c r="AK179" s="86"/>
      <c r="AL179" s="86"/>
      <c r="AM179" s="86"/>
      <c r="AN179" s="86"/>
      <c r="AO179" s="86"/>
      <c r="AP179" s="86"/>
      <c r="AQ179" s="86"/>
      <c r="AR179" s="86"/>
      <c r="AS179" s="86"/>
      <c r="AT179" s="82"/>
      <c r="AU179" s="87"/>
      <c r="AV179" s="818">
        <f t="shared" si="146"/>
        <v>0</v>
      </c>
      <c r="AW179" s="818">
        <f t="shared" si="147"/>
        <v>0</v>
      </c>
      <c r="AX179" s="818">
        <f t="shared" si="148"/>
        <v>0</v>
      </c>
      <c r="AY179" s="88">
        <f t="shared" si="123"/>
        <v>0</v>
      </c>
      <c r="AZ179" s="81">
        <f t="shared" si="124"/>
        <v>0</v>
      </c>
      <c r="BA179" s="81">
        <f t="shared" si="125"/>
        <v>0</v>
      </c>
      <c r="BB179" s="81">
        <f t="shared" si="126"/>
        <v>0</v>
      </c>
      <c r="BC179" s="81">
        <f t="shared" si="127"/>
        <v>0</v>
      </c>
      <c r="BD179" s="81">
        <f t="shared" si="128"/>
        <v>0</v>
      </c>
      <c r="BE179" s="81">
        <f t="shared" si="129"/>
        <v>0</v>
      </c>
      <c r="BF179" s="81">
        <f t="shared" si="130"/>
        <v>0</v>
      </c>
      <c r="BG179" s="81">
        <f t="shared" si="131"/>
        <v>0</v>
      </c>
      <c r="BH179" s="81">
        <f t="shared" si="132"/>
        <v>0</v>
      </c>
      <c r="BI179" s="81">
        <f t="shared" si="133"/>
        <v>0</v>
      </c>
      <c r="BJ179" s="81">
        <f t="shared" si="134"/>
        <v>0</v>
      </c>
      <c r="BK179" s="81">
        <f t="shared" si="135"/>
        <v>0</v>
      </c>
      <c r="BL179" s="81">
        <f t="shared" si="136"/>
        <v>0</v>
      </c>
      <c r="BM179" s="81">
        <f t="shared" si="137"/>
        <v>0</v>
      </c>
      <c r="BN179" s="81">
        <f t="shared" si="138"/>
        <v>0</v>
      </c>
      <c r="BO179" s="81">
        <f t="shared" si="139"/>
        <v>0</v>
      </c>
      <c r="BP179" s="81">
        <f t="shared" si="140"/>
        <v>0</v>
      </c>
      <c r="BQ179" s="81">
        <f t="shared" si="141"/>
        <v>0</v>
      </c>
      <c r="BR179" s="81">
        <f t="shared" si="142"/>
        <v>0</v>
      </c>
      <c r="BS179" s="81">
        <f t="shared" si="143"/>
        <v>0</v>
      </c>
      <c r="BT179" s="89">
        <f t="shared" si="144"/>
        <v>0</v>
      </c>
    </row>
    <row r="180" spans="1:72">
      <c r="A180" s="79"/>
      <c r="B180" s="80"/>
      <c r="C180" s="80"/>
      <c r="D180" s="2301"/>
      <c r="E180" s="81">
        <f t="shared" si="145"/>
        <v>0</v>
      </c>
      <c r="F180" s="82"/>
      <c r="G180" s="83">
        <f t="shared" si="120"/>
        <v>0</v>
      </c>
      <c r="H180" s="84">
        <f t="shared" si="121"/>
        <v>0</v>
      </c>
      <c r="I180" s="85"/>
      <c r="J180" s="85"/>
      <c r="K180" s="85"/>
      <c r="L180" s="85"/>
      <c r="M180" s="85"/>
      <c r="N180" s="85"/>
      <c r="O180" s="85"/>
      <c r="P180" s="85"/>
      <c r="Q180" s="85"/>
      <c r="R180" s="85"/>
      <c r="S180" s="85"/>
      <c r="T180" s="85"/>
      <c r="U180" s="85"/>
      <c r="V180" s="85"/>
      <c r="W180" s="85"/>
      <c r="X180" s="85"/>
      <c r="Y180" s="85"/>
      <c r="Z180" s="85"/>
      <c r="AA180" s="85"/>
      <c r="AB180" s="85"/>
      <c r="AC180" s="81">
        <f t="shared" si="122"/>
        <v>0</v>
      </c>
      <c r="AD180" s="86"/>
      <c r="AE180" s="86"/>
      <c r="AF180" s="86"/>
      <c r="AG180" s="86"/>
      <c r="AH180" s="86"/>
      <c r="AI180" s="86"/>
      <c r="AJ180" s="86"/>
      <c r="AK180" s="86"/>
      <c r="AL180" s="86"/>
      <c r="AM180" s="86"/>
      <c r="AN180" s="86"/>
      <c r="AO180" s="86"/>
      <c r="AP180" s="86"/>
      <c r="AQ180" s="86"/>
      <c r="AR180" s="86"/>
      <c r="AS180" s="86"/>
      <c r="AT180" s="82"/>
      <c r="AU180" s="87"/>
      <c r="AV180" s="818">
        <f t="shared" si="146"/>
        <v>0</v>
      </c>
      <c r="AW180" s="818">
        <f t="shared" si="147"/>
        <v>0</v>
      </c>
      <c r="AX180" s="818">
        <f t="shared" si="148"/>
        <v>0</v>
      </c>
      <c r="AY180" s="88">
        <f t="shared" si="123"/>
        <v>0</v>
      </c>
      <c r="AZ180" s="81">
        <f t="shared" si="124"/>
        <v>0</v>
      </c>
      <c r="BA180" s="81">
        <f t="shared" si="125"/>
        <v>0</v>
      </c>
      <c r="BB180" s="81">
        <f t="shared" si="126"/>
        <v>0</v>
      </c>
      <c r="BC180" s="81">
        <f t="shared" si="127"/>
        <v>0</v>
      </c>
      <c r="BD180" s="81">
        <f t="shared" si="128"/>
        <v>0</v>
      </c>
      <c r="BE180" s="81">
        <f t="shared" si="129"/>
        <v>0</v>
      </c>
      <c r="BF180" s="81">
        <f t="shared" si="130"/>
        <v>0</v>
      </c>
      <c r="BG180" s="81">
        <f t="shared" si="131"/>
        <v>0</v>
      </c>
      <c r="BH180" s="81">
        <f t="shared" si="132"/>
        <v>0</v>
      </c>
      <c r="BI180" s="81">
        <f t="shared" si="133"/>
        <v>0</v>
      </c>
      <c r="BJ180" s="81">
        <f t="shared" si="134"/>
        <v>0</v>
      </c>
      <c r="BK180" s="81">
        <f t="shared" si="135"/>
        <v>0</v>
      </c>
      <c r="BL180" s="81">
        <f t="shared" si="136"/>
        <v>0</v>
      </c>
      <c r="BM180" s="81">
        <f t="shared" si="137"/>
        <v>0</v>
      </c>
      <c r="BN180" s="81">
        <f t="shared" si="138"/>
        <v>0</v>
      </c>
      <c r="BO180" s="81">
        <f t="shared" si="139"/>
        <v>0</v>
      </c>
      <c r="BP180" s="81">
        <f t="shared" si="140"/>
        <v>0</v>
      </c>
      <c r="BQ180" s="81">
        <f t="shared" si="141"/>
        <v>0</v>
      </c>
      <c r="BR180" s="81">
        <f t="shared" si="142"/>
        <v>0</v>
      </c>
      <c r="BS180" s="81">
        <f t="shared" si="143"/>
        <v>0</v>
      </c>
      <c r="BT180" s="89">
        <f t="shared" si="144"/>
        <v>0</v>
      </c>
    </row>
    <row r="181" spans="1:72">
      <c r="A181" s="79"/>
      <c r="B181" s="80"/>
      <c r="C181" s="80"/>
      <c r="D181" s="2301"/>
      <c r="E181" s="81">
        <f t="shared" si="145"/>
        <v>0</v>
      </c>
      <c r="F181" s="82"/>
      <c r="G181" s="83">
        <f t="shared" si="120"/>
        <v>0</v>
      </c>
      <c r="H181" s="84">
        <f t="shared" si="121"/>
        <v>0</v>
      </c>
      <c r="I181" s="85"/>
      <c r="J181" s="85"/>
      <c r="K181" s="85"/>
      <c r="L181" s="85"/>
      <c r="M181" s="85"/>
      <c r="N181" s="85"/>
      <c r="O181" s="85"/>
      <c r="P181" s="85"/>
      <c r="Q181" s="85"/>
      <c r="R181" s="85"/>
      <c r="S181" s="85"/>
      <c r="T181" s="85"/>
      <c r="U181" s="85"/>
      <c r="V181" s="85"/>
      <c r="W181" s="85"/>
      <c r="X181" s="85"/>
      <c r="Y181" s="85"/>
      <c r="Z181" s="85"/>
      <c r="AA181" s="85"/>
      <c r="AB181" s="85"/>
      <c r="AC181" s="81">
        <f t="shared" si="122"/>
        <v>0</v>
      </c>
      <c r="AD181" s="86"/>
      <c r="AE181" s="86"/>
      <c r="AF181" s="86"/>
      <c r="AG181" s="86"/>
      <c r="AH181" s="86"/>
      <c r="AI181" s="86"/>
      <c r="AJ181" s="86"/>
      <c r="AK181" s="86"/>
      <c r="AL181" s="86"/>
      <c r="AM181" s="86"/>
      <c r="AN181" s="86"/>
      <c r="AO181" s="86"/>
      <c r="AP181" s="86"/>
      <c r="AQ181" s="86"/>
      <c r="AR181" s="86"/>
      <c r="AS181" s="86"/>
      <c r="AT181" s="82"/>
      <c r="AU181" s="87"/>
      <c r="AV181" s="818">
        <f t="shared" si="146"/>
        <v>0</v>
      </c>
      <c r="AW181" s="818">
        <f t="shared" si="147"/>
        <v>0</v>
      </c>
      <c r="AX181" s="818">
        <f t="shared" si="148"/>
        <v>0</v>
      </c>
      <c r="AY181" s="88">
        <f t="shared" si="123"/>
        <v>0</v>
      </c>
      <c r="AZ181" s="81">
        <f t="shared" si="124"/>
        <v>0</v>
      </c>
      <c r="BA181" s="81">
        <f t="shared" si="125"/>
        <v>0</v>
      </c>
      <c r="BB181" s="81">
        <f t="shared" si="126"/>
        <v>0</v>
      </c>
      <c r="BC181" s="81">
        <f t="shared" si="127"/>
        <v>0</v>
      </c>
      <c r="BD181" s="81">
        <f t="shared" si="128"/>
        <v>0</v>
      </c>
      <c r="BE181" s="81">
        <f t="shared" si="129"/>
        <v>0</v>
      </c>
      <c r="BF181" s="81">
        <f t="shared" si="130"/>
        <v>0</v>
      </c>
      <c r="BG181" s="81">
        <f t="shared" si="131"/>
        <v>0</v>
      </c>
      <c r="BH181" s="81">
        <f t="shared" si="132"/>
        <v>0</v>
      </c>
      <c r="BI181" s="81">
        <f t="shared" si="133"/>
        <v>0</v>
      </c>
      <c r="BJ181" s="81">
        <f t="shared" si="134"/>
        <v>0</v>
      </c>
      <c r="BK181" s="81">
        <f t="shared" si="135"/>
        <v>0</v>
      </c>
      <c r="BL181" s="81">
        <f t="shared" si="136"/>
        <v>0</v>
      </c>
      <c r="BM181" s="81">
        <f t="shared" si="137"/>
        <v>0</v>
      </c>
      <c r="BN181" s="81">
        <f t="shared" si="138"/>
        <v>0</v>
      </c>
      <c r="BO181" s="81">
        <f t="shared" si="139"/>
        <v>0</v>
      </c>
      <c r="BP181" s="81">
        <f t="shared" si="140"/>
        <v>0</v>
      </c>
      <c r="BQ181" s="81">
        <f t="shared" si="141"/>
        <v>0</v>
      </c>
      <c r="BR181" s="81">
        <f t="shared" si="142"/>
        <v>0</v>
      </c>
      <c r="BS181" s="81">
        <f t="shared" si="143"/>
        <v>0</v>
      </c>
      <c r="BT181" s="89">
        <f t="shared" si="144"/>
        <v>0</v>
      </c>
    </row>
    <row r="182" spans="1:72">
      <c r="A182" s="79"/>
      <c r="B182" s="80"/>
      <c r="C182" s="80"/>
      <c r="D182" s="2301"/>
      <c r="E182" s="81">
        <f t="shared" si="145"/>
        <v>0</v>
      </c>
      <c r="F182" s="82"/>
      <c r="G182" s="83">
        <f t="shared" si="120"/>
        <v>0</v>
      </c>
      <c r="H182" s="84">
        <f t="shared" si="121"/>
        <v>0</v>
      </c>
      <c r="I182" s="85"/>
      <c r="J182" s="85"/>
      <c r="K182" s="85"/>
      <c r="L182" s="85"/>
      <c r="M182" s="85"/>
      <c r="N182" s="85"/>
      <c r="O182" s="85"/>
      <c r="P182" s="85"/>
      <c r="Q182" s="85"/>
      <c r="R182" s="85"/>
      <c r="S182" s="85"/>
      <c r="T182" s="85"/>
      <c r="U182" s="85"/>
      <c r="V182" s="85"/>
      <c r="W182" s="85"/>
      <c r="X182" s="85"/>
      <c r="Y182" s="85"/>
      <c r="Z182" s="85"/>
      <c r="AA182" s="85"/>
      <c r="AB182" s="85"/>
      <c r="AC182" s="81">
        <f t="shared" si="122"/>
        <v>0</v>
      </c>
      <c r="AD182" s="86"/>
      <c r="AE182" s="86"/>
      <c r="AF182" s="86"/>
      <c r="AG182" s="86"/>
      <c r="AH182" s="86"/>
      <c r="AI182" s="86"/>
      <c r="AJ182" s="86"/>
      <c r="AK182" s="86"/>
      <c r="AL182" s="86"/>
      <c r="AM182" s="86"/>
      <c r="AN182" s="86"/>
      <c r="AO182" s="86"/>
      <c r="AP182" s="86"/>
      <c r="AQ182" s="86"/>
      <c r="AR182" s="86"/>
      <c r="AS182" s="86"/>
      <c r="AT182" s="82"/>
      <c r="AU182" s="87"/>
      <c r="AV182" s="818">
        <f t="shared" si="146"/>
        <v>0</v>
      </c>
      <c r="AW182" s="818">
        <f t="shared" si="147"/>
        <v>0</v>
      </c>
      <c r="AX182" s="818">
        <f t="shared" si="148"/>
        <v>0</v>
      </c>
      <c r="AY182" s="88">
        <f t="shared" si="123"/>
        <v>0</v>
      </c>
      <c r="AZ182" s="81">
        <f t="shared" si="124"/>
        <v>0</v>
      </c>
      <c r="BA182" s="81">
        <f t="shared" si="125"/>
        <v>0</v>
      </c>
      <c r="BB182" s="81">
        <f t="shared" si="126"/>
        <v>0</v>
      </c>
      <c r="BC182" s="81">
        <f t="shared" si="127"/>
        <v>0</v>
      </c>
      <c r="BD182" s="81">
        <f t="shared" si="128"/>
        <v>0</v>
      </c>
      <c r="BE182" s="81">
        <f t="shared" si="129"/>
        <v>0</v>
      </c>
      <c r="BF182" s="81">
        <f t="shared" si="130"/>
        <v>0</v>
      </c>
      <c r="BG182" s="81">
        <f t="shared" si="131"/>
        <v>0</v>
      </c>
      <c r="BH182" s="81">
        <f t="shared" si="132"/>
        <v>0</v>
      </c>
      <c r="BI182" s="81">
        <f t="shared" si="133"/>
        <v>0</v>
      </c>
      <c r="BJ182" s="81">
        <f t="shared" si="134"/>
        <v>0</v>
      </c>
      <c r="BK182" s="81">
        <f t="shared" si="135"/>
        <v>0</v>
      </c>
      <c r="BL182" s="81">
        <f t="shared" si="136"/>
        <v>0</v>
      </c>
      <c r="BM182" s="81">
        <f t="shared" si="137"/>
        <v>0</v>
      </c>
      <c r="BN182" s="81">
        <f t="shared" si="138"/>
        <v>0</v>
      </c>
      <c r="BO182" s="81">
        <f t="shared" si="139"/>
        <v>0</v>
      </c>
      <c r="BP182" s="81">
        <f t="shared" si="140"/>
        <v>0</v>
      </c>
      <c r="BQ182" s="81">
        <f t="shared" si="141"/>
        <v>0</v>
      </c>
      <c r="BR182" s="81">
        <f t="shared" si="142"/>
        <v>0</v>
      </c>
      <c r="BS182" s="81">
        <f t="shared" si="143"/>
        <v>0</v>
      </c>
      <c r="BT182" s="89">
        <f t="shared" si="144"/>
        <v>0</v>
      </c>
    </row>
    <row r="183" spans="1:72">
      <c r="A183" s="79"/>
      <c r="B183" s="80"/>
      <c r="C183" s="80"/>
      <c r="D183" s="2301"/>
      <c r="E183" s="81">
        <f t="shared" si="145"/>
        <v>0</v>
      </c>
      <c r="F183" s="82"/>
      <c r="G183" s="83">
        <f t="shared" si="120"/>
        <v>0</v>
      </c>
      <c r="H183" s="84">
        <f t="shared" si="121"/>
        <v>0</v>
      </c>
      <c r="I183" s="85"/>
      <c r="J183" s="85"/>
      <c r="K183" s="85"/>
      <c r="L183" s="85"/>
      <c r="M183" s="85"/>
      <c r="N183" s="85"/>
      <c r="O183" s="85"/>
      <c r="P183" s="85"/>
      <c r="Q183" s="85"/>
      <c r="R183" s="85"/>
      <c r="S183" s="85"/>
      <c r="T183" s="85"/>
      <c r="U183" s="85"/>
      <c r="V183" s="85"/>
      <c r="W183" s="85"/>
      <c r="X183" s="85"/>
      <c r="Y183" s="85"/>
      <c r="Z183" s="85"/>
      <c r="AA183" s="85"/>
      <c r="AB183" s="85"/>
      <c r="AC183" s="81">
        <f t="shared" si="122"/>
        <v>0</v>
      </c>
      <c r="AD183" s="86"/>
      <c r="AE183" s="86"/>
      <c r="AF183" s="86"/>
      <c r="AG183" s="86"/>
      <c r="AH183" s="86"/>
      <c r="AI183" s="86"/>
      <c r="AJ183" s="86"/>
      <c r="AK183" s="86"/>
      <c r="AL183" s="86"/>
      <c r="AM183" s="86"/>
      <c r="AN183" s="86"/>
      <c r="AO183" s="86"/>
      <c r="AP183" s="86"/>
      <c r="AQ183" s="86"/>
      <c r="AR183" s="86"/>
      <c r="AS183" s="86"/>
      <c r="AT183" s="82"/>
      <c r="AU183" s="87"/>
      <c r="AV183" s="818">
        <f t="shared" si="146"/>
        <v>0</v>
      </c>
      <c r="AW183" s="818">
        <f t="shared" si="147"/>
        <v>0</v>
      </c>
      <c r="AX183" s="818">
        <f t="shared" si="148"/>
        <v>0</v>
      </c>
      <c r="AY183" s="88">
        <f t="shared" si="123"/>
        <v>0</v>
      </c>
      <c r="AZ183" s="81">
        <f t="shared" si="124"/>
        <v>0</v>
      </c>
      <c r="BA183" s="81">
        <f t="shared" si="125"/>
        <v>0</v>
      </c>
      <c r="BB183" s="81">
        <f t="shared" si="126"/>
        <v>0</v>
      </c>
      <c r="BC183" s="81">
        <f t="shared" si="127"/>
        <v>0</v>
      </c>
      <c r="BD183" s="81">
        <f t="shared" si="128"/>
        <v>0</v>
      </c>
      <c r="BE183" s="81">
        <f t="shared" si="129"/>
        <v>0</v>
      </c>
      <c r="BF183" s="81">
        <f t="shared" si="130"/>
        <v>0</v>
      </c>
      <c r="BG183" s="81">
        <f t="shared" si="131"/>
        <v>0</v>
      </c>
      <c r="BH183" s="81">
        <f t="shared" si="132"/>
        <v>0</v>
      </c>
      <c r="BI183" s="81">
        <f t="shared" si="133"/>
        <v>0</v>
      </c>
      <c r="BJ183" s="81">
        <f t="shared" si="134"/>
        <v>0</v>
      </c>
      <c r="BK183" s="81">
        <f t="shared" si="135"/>
        <v>0</v>
      </c>
      <c r="BL183" s="81">
        <f t="shared" si="136"/>
        <v>0</v>
      </c>
      <c r="BM183" s="81">
        <f t="shared" si="137"/>
        <v>0</v>
      </c>
      <c r="BN183" s="81">
        <f t="shared" si="138"/>
        <v>0</v>
      </c>
      <c r="BO183" s="81">
        <f t="shared" si="139"/>
        <v>0</v>
      </c>
      <c r="BP183" s="81">
        <f t="shared" si="140"/>
        <v>0</v>
      </c>
      <c r="BQ183" s="81">
        <f t="shared" si="141"/>
        <v>0</v>
      </c>
      <c r="BR183" s="81">
        <f t="shared" si="142"/>
        <v>0</v>
      </c>
      <c r="BS183" s="81">
        <f t="shared" si="143"/>
        <v>0</v>
      </c>
      <c r="BT183" s="89">
        <f t="shared" si="144"/>
        <v>0</v>
      </c>
    </row>
    <row r="184" spans="1:72">
      <c r="A184" s="79"/>
      <c r="B184" s="80"/>
      <c r="C184" s="80"/>
      <c r="D184" s="2301"/>
      <c r="E184" s="81">
        <f t="shared" si="145"/>
        <v>0</v>
      </c>
      <c r="F184" s="82"/>
      <c r="G184" s="83">
        <f t="shared" si="120"/>
        <v>0</v>
      </c>
      <c r="H184" s="84">
        <f t="shared" si="121"/>
        <v>0</v>
      </c>
      <c r="I184" s="85"/>
      <c r="J184" s="85"/>
      <c r="K184" s="85"/>
      <c r="L184" s="85"/>
      <c r="M184" s="85"/>
      <c r="N184" s="85"/>
      <c r="O184" s="85"/>
      <c r="P184" s="85"/>
      <c r="Q184" s="85"/>
      <c r="R184" s="85"/>
      <c r="S184" s="85"/>
      <c r="T184" s="85"/>
      <c r="U184" s="85"/>
      <c r="V184" s="85"/>
      <c r="W184" s="85"/>
      <c r="X184" s="85"/>
      <c r="Y184" s="85"/>
      <c r="Z184" s="85"/>
      <c r="AA184" s="85"/>
      <c r="AB184" s="85"/>
      <c r="AC184" s="81">
        <f t="shared" si="122"/>
        <v>0</v>
      </c>
      <c r="AD184" s="86"/>
      <c r="AE184" s="86"/>
      <c r="AF184" s="86"/>
      <c r="AG184" s="86"/>
      <c r="AH184" s="86"/>
      <c r="AI184" s="86"/>
      <c r="AJ184" s="86"/>
      <c r="AK184" s="86"/>
      <c r="AL184" s="86"/>
      <c r="AM184" s="86"/>
      <c r="AN184" s="86"/>
      <c r="AO184" s="86"/>
      <c r="AP184" s="86"/>
      <c r="AQ184" s="86"/>
      <c r="AR184" s="86"/>
      <c r="AS184" s="86"/>
      <c r="AT184" s="82"/>
      <c r="AU184" s="87"/>
      <c r="AV184" s="818">
        <f t="shared" si="146"/>
        <v>0</v>
      </c>
      <c r="AW184" s="818">
        <f t="shared" si="147"/>
        <v>0</v>
      </c>
      <c r="AX184" s="818">
        <f t="shared" si="148"/>
        <v>0</v>
      </c>
      <c r="AY184" s="88">
        <f t="shared" si="123"/>
        <v>0</v>
      </c>
      <c r="AZ184" s="81">
        <f t="shared" si="124"/>
        <v>0</v>
      </c>
      <c r="BA184" s="81">
        <f t="shared" si="125"/>
        <v>0</v>
      </c>
      <c r="BB184" s="81">
        <f t="shared" si="126"/>
        <v>0</v>
      </c>
      <c r="BC184" s="81">
        <f t="shared" si="127"/>
        <v>0</v>
      </c>
      <c r="BD184" s="81">
        <f t="shared" si="128"/>
        <v>0</v>
      </c>
      <c r="BE184" s="81">
        <f t="shared" si="129"/>
        <v>0</v>
      </c>
      <c r="BF184" s="81">
        <f t="shared" si="130"/>
        <v>0</v>
      </c>
      <c r="BG184" s="81">
        <f t="shared" si="131"/>
        <v>0</v>
      </c>
      <c r="BH184" s="81">
        <f t="shared" si="132"/>
        <v>0</v>
      </c>
      <c r="BI184" s="81">
        <f t="shared" si="133"/>
        <v>0</v>
      </c>
      <c r="BJ184" s="81">
        <f t="shared" si="134"/>
        <v>0</v>
      </c>
      <c r="BK184" s="81">
        <f t="shared" si="135"/>
        <v>0</v>
      </c>
      <c r="BL184" s="81">
        <f t="shared" si="136"/>
        <v>0</v>
      </c>
      <c r="BM184" s="81">
        <f t="shared" si="137"/>
        <v>0</v>
      </c>
      <c r="BN184" s="81">
        <f t="shared" si="138"/>
        <v>0</v>
      </c>
      <c r="BO184" s="81">
        <f t="shared" si="139"/>
        <v>0</v>
      </c>
      <c r="BP184" s="81">
        <f t="shared" si="140"/>
        <v>0</v>
      </c>
      <c r="BQ184" s="81">
        <f t="shared" si="141"/>
        <v>0</v>
      </c>
      <c r="BR184" s="81">
        <f t="shared" si="142"/>
        <v>0</v>
      </c>
      <c r="BS184" s="81">
        <f t="shared" si="143"/>
        <v>0</v>
      </c>
      <c r="BT184" s="89">
        <f t="shared" si="144"/>
        <v>0</v>
      </c>
    </row>
    <row r="185" spans="1:72">
      <c r="A185" s="79"/>
      <c r="B185" s="80"/>
      <c r="C185" s="80"/>
      <c r="D185" s="2301"/>
      <c r="E185" s="81">
        <f t="shared" si="145"/>
        <v>0</v>
      </c>
      <c r="F185" s="82"/>
      <c r="G185" s="83">
        <f t="shared" si="120"/>
        <v>0</v>
      </c>
      <c r="H185" s="84">
        <f t="shared" si="121"/>
        <v>0</v>
      </c>
      <c r="I185" s="85"/>
      <c r="J185" s="85"/>
      <c r="K185" s="85"/>
      <c r="L185" s="85"/>
      <c r="M185" s="85"/>
      <c r="N185" s="85"/>
      <c r="O185" s="85"/>
      <c r="P185" s="85"/>
      <c r="Q185" s="85"/>
      <c r="R185" s="85"/>
      <c r="S185" s="85"/>
      <c r="T185" s="85"/>
      <c r="U185" s="85"/>
      <c r="V185" s="85"/>
      <c r="W185" s="85"/>
      <c r="X185" s="85"/>
      <c r="Y185" s="85"/>
      <c r="Z185" s="85"/>
      <c r="AA185" s="85"/>
      <c r="AB185" s="85"/>
      <c r="AC185" s="81">
        <f t="shared" si="122"/>
        <v>0</v>
      </c>
      <c r="AD185" s="86"/>
      <c r="AE185" s="86"/>
      <c r="AF185" s="86"/>
      <c r="AG185" s="86"/>
      <c r="AH185" s="86"/>
      <c r="AI185" s="86"/>
      <c r="AJ185" s="86"/>
      <c r="AK185" s="86"/>
      <c r="AL185" s="86"/>
      <c r="AM185" s="86"/>
      <c r="AN185" s="86"/>
      <c r="AO185" s="86"/>
      <c r="AP185" s="86"/>
      <c r="AQ185" s="86"/>
      <c r="AR185" s="86"/>
      <c r="AS185" s="86"/>
      <c r="AT185" s="82"/>
      <c r="AU185" s="87"/>
      <c r="AV185" s="818">
        <f t="shared" si="146"/>
        <v>0</v>
      </c>
      <c r="AW185" s="818">
        <f t="shared" si="147"/>
        <v>0</v>
      </c>
      <c r="AX185" s="818">
        <f t="shared" si="148"/>
        <v>0</v>
      </c>
      <c r="AY185" s="88">
        <f t="shared" si="123"/>
        <v>0</v>
      </c>
      <c r="AZ185" s="81">
        <f t="shared" si="124"/>
        <v>0</v>
      </c>
      <c r="BA185" s="81">
        <f t="shared" si="125"/>
        <v>0</v>
      </c>
      <c r="BB185" s="81">
        <f t="shared" si="126"/>
        <v>0</v>
      </c>
      <c r="BC185" s="81">
        <f t="shared" si="127"/>
        <v>0</v>
      </c>
      <c r="BD185" s="81">
        <f t="shared" si="128"/>
        <v>0</v>
      </c>
      <c r="BE185" s="81">
        <f t="shared" si="129"/>
        <v>0</v>
      </c>
      <c r="BF185" s="81">
        <f t="shared" si="130"/>
        <v>0</v>
      </c>
      <c r="BG185" s="81">
        <f t="shared" si="131"/>
        <v>0</v>
      </c>
      <c r="BH185" s="81">
        <f t="shared" si="132"/>
        <v>0</v>
      </c>
      <c r="BI185" s="81">
        <f t="shared" si="133"/>
        <v>0</v>
      </c>
      <c r="BJ185" s="81">
        <f t="shared" si="134"/>
        <v>0</v>
      </c>
      <c r="BK185" s="81">
        <f t="shared" si="135"/>
        <v>0</v>
      </c>
      <c r="BL185" s="81">
        <f t="shared" si="136"/>
        <v>0</v>
      </c>
      <c r="BM185" s="81">
        <f t="shared" si="137"/>
        <v>0</v>
      </c>
      <c r="BN185" s="81">
        <f t="shared" si="138"/>
        <v>0</v>
      </c>
      <c r="BO185" s="81">
        <f t="shared" si="139"/>
        <v>0</v>
      </c>
      <c r="BP185" s="81">
        <f t="shared" si="140"/>
        <v>0</v>
      </c>
      <c r="BQ185" s="81">
        <f t="shared" si="141"/>
        <v>0</v>
      </c>
      <c r="BR185" s="81">
        <f t="shared" si="142"/>
        <v>0</v>
      </c>
      <c r="BS185" s="81">
        <f t="shared" si="143"/>
        <v>0</v>
      </c>
      <c r="BT185" s="89">
        <f t="shared" si="144"/>
        <v>0</v>
      </c>
    </row>
    <row r="186" spans="1:72">
      <c r="A186" s="79"/>
      <c r="B186" s="80"/>
      <c r="C186" s="80"/>
      <c r="D186" s="2301"/>
      <c r="E186" s="81">
        <f t="shared" si="145"/>
        <v>0</v>
      </c>
      <c r="F186" s="82"/>
      <c r="G186" s="83">
        <f t="shared" si="120"/>
        <v>0</v>
      </c>
      <c r="H186" s="84">
        <f t="shared" si="121"/>
        <v>0</v>
      </c>
      <c r="I186" s="85"/>
      <c r="J186" s="85"/>
      <c r="K186" s="85"/>
      <c r="L186" s="85"/>
      <c r="M186" s="85"/>
      <c r="N186" s="85"/>
      <c r="O186" s="85"/>
      <c r="P186" s="85"/>
      <c r="Q186" s="85"/>
      <c r="R186" s="85"/>
      <c r="S186" s="85"/>
      <c r="T186" s="85"/>
      <c r="U186" s="85"/>
      <c r="V186" s="85"/>
      <c r="W186" s="85"/>
      <c r="X186" s="85"/>
      <c r="Y186" s="85"/>
      <c r="Z186" s="85"/>
      <c r="AA186" s="85"/>
      <c r="AB186" s="85"/>
      <c r="AC186" s="81">
        <f t="shared" si="122"/>
        <v>0</v>
      </c>
      <c r="AD186" s="86"/>
      <c r="AE186" s="86"/>
      <c r="AF186" s="86"/>
      <c r="AG186" s="86"/>
      <c r="AH186" s="86"/>
      <c r="AI186" s="86"/>
      <c r="AJ186" s="86"/>
      <c r="AK186" s="86"/>
      <c r="AL186" s="86"/>
      <c r="AM186" s="86"/>
      <c r="AN186" s="86"/>
      <c r="AO186" s="86"/>
      <c r="AP186" s="86"/>
      <c r="AQ186" s="86"/>
      <c r="AR186" s="86"/>
      <c r="AS186" s="86"/>
      <c r="AT186" s="82"/>
      <c r="AU186" s="87"/>
      <c r="AV186" s="818">
        <f t="shared" si="146"/>
        <v>0</v>
      </c>
      <c r="AW186" s="818">
        <f t="shared" si="147"/>
        <v>0</v>
      </c>
      <c r="AX186" s="818">
        <f t="shared" si="148"/>
        <v>0</v>
      </c>
      <c r="AY186" s="88">
        <f t="shared" si="123"/>
        <v>0</v>
      </c>
      <c r="AZ186" s="81">
        <f t="shared" si="124"/>
        <v>0</v>
      </c>
      <c r="BA186" s="81">
        <f t="shared" si="125"/>
        <v>0</v>
      </c>
      <c r="BB186" s="81">
        <f t="shared" si="126"/>
        <v>0</v>
      </c>
      <c r="BC186" s="81">
        <f t="shared" si="127"/>
        <v>0</v>
      </c>
      <c r="BD186" s="81">
        <f t="shared" si="128"/>
        <v>0</v>
      </c>
      <c r="BE186" s="81">
        <f t="shared" si="129"/>
        <v>0</v>
      </c>
      <c r="BF186" s="81">
        <f t="shared" si="130"/>
        <v>0</v>
      </c>
      <c r="BG186" s="81">
        <f t="shared" si="131"/>
        <v>0</v>
      </c>
      <c r="BH186" s="81">
        <f t="shared" si="132"/>
        <v>0</v>
      </c>
      <c r="BI186" s="81">
        <f t="shared" si="133"/>
        <v>0</v>
      </c>
      <c r="BJ186" s="81">
        <f t="shared" si="134"/>
        <v>0</v>
      </c>
      <c r="BK186" s="81">
        <f t="shared" si="135"/>
        <v>0</v>
      </c>
      <c r="BL186" s="81">
        <f t="shared" si="136"/>
        <v>0</v>
      </c>
      <c r="BM186" s="81">
        <f t="shared" si="137"/>
        <v>0</v>
      </c>
      <c r="BN186" s="81">
        <f t="shared" si="138"/>
        <v>0</v>
      </c>
      <c r="BO186" s="81">
        <f t="shared" si="139"/>
        <v>0</v>
      </c>
      <c r="BP186" s="81">
        <f t="shared" si="140"/>
        <v>0</v>
      </c>
      <c r="BQ186" s="81">
        <f t="shared" si="141"/>
        <v>0</v>
      </c>
      <c r="BR186" s="81">
        <f t="shared" si="142"/>
        <v>0</v>
      </c>
      <c r="BS186" s="81">
        <f t="shared" si="143"/>
        <v>0</v>
      </c>
      <c r="BT186" s="89">
        <f t="shared" si="144"/>
        <v>0</v>
      </c>
    </row>
    <row r="187" spans="1:72">
      <c r="A187" s="79"/>
      <c r="B187" s="80"/>
      <c r="C187" s="80"/>
      <c r="D187" s="2301"/>
      <c r="E187" s="81">
        <f t="shared" si="145"/>
        <v>0</v>
      </c>
      <c r="F187" s="82"/>
      <c r="G187" s="83">
        <f t="shared" si="120"/>
        <v>0</v>
      </c>
      <c r="H187" s="84">
        <f t="shared" si="121"/>
        <v>0</v>
      </c>
      <c r="I187" s="85"/>
      <c r="J187" s="85"/>
      <c r="K187" s="85"/>
      <c r="L187" s="85"/>
      <c r="M187" s="85"/>
      <c r="N187" s="85"/>
      <c r="O187" s="85"/>
      <c r="P187" s="85"/>
      <c r="Q187" s="85"/>
      <c r="R187" s="85"/>
      <c r="S187" s="85"/>
      <c r="T187" s="85"/>
      <c r="U187" s="85"/>
      <c r="V187" s="85"/>
      <c r="W187" s="85"/>
      <c r="X187" s="85"/>
      <c r="Y187" s="85"/>
      <c r="Z187" s="85"/>
      <c r="AA187" s="85"/>
      <c r="AB187" s="85"/>
      <c r="AC187" s="81">
        <f t="shared" si="122"/>
        <v>0</v>
      </c>
      <c r="AD187" s="86"/>
      <c r="AE187" s="86"/>
      <c r="AF187" s="86"/>
      <c r="AG187" s="86"/>
      <c r="AH187" s="86"/>
      <c r="AI187" s="86"/>
      <c r="AJ187" s="86"/>
      <c r="AK187" s="86"/>
      <c r="AL187" s="86"/>
      <c r="AM187" s="86"/>
      <c r="AN187" s="86"/>
      <c r="AO187" s="86"/>
      <c r="AP187" s="86"/>
      <c r="AQ187" s="86"/>
      <c r="AR187" s="86"/>
      <c r="AS187" s="86"/>
      <c r="AT187" s="82"/>
      <c r="AU187" s="87"/>
      <c r="AV187" s="818">
        <f t="shared" si="146"/>
        <v>0</v>
      </c>
      <c r="AW187" s="818">
        <f t="shared" si="147"/>
        <v>0</v>
      </c>
      <c r="AX187" s="818">
        <f t="shared" si="148"/>
        <v>0</v>
      </c>
      <c r="AY187" s="88">
        <f t="shared" si="123"/>
        <v>0</v>
      </c>
      <c r="AZ187" s="81">
        <f t="shared" si="124"/>
        <v>0</v>
      </c>
      <c r="BA187" s="81">
        <f t="shared" si="125"/>
        <v>0</v>
      </c>
      <c r="BB187" s="81">
        <f t="shared" si="126"/>
        <v>0</v>
      </c>
      <c r="BC187" s="81">
        <f t="shared" si="127"/>
        <v>0</v>
      </c>
      <c r="BD187" s="81">
        <f t="shared" si="128"/>
        <v>0</v>
      </c>
      <c r="BE187" s="81">
        <f t="shared" si="129"/>
        <v>0</v>
      </c>
      <c r="BF187" s="81">
        <f t="shared" si="130"/>
        <v>0</v>
      </c>
      <c r="BG187" s="81">
        <f t="shared" si="131"/>
        <v>0</v>
      </c>
      <c r="BH187" s="81">
        <f t="shared" si="132"/>
        <v>0</v>
      </c>
      <c r="BI187" s="81">
        <f t="shared" si="133"/>
        <v>0</v>
      </c>
      <c r="BJ187" s="81">
        <f t="shared" si="134"/>
        <v>0</v>
      </c>
      <c r="BK187" s="81">
        <f t="shared" si="135"/>
        <v>0</v>
      </c>
      <c r="BL187" s="81">
        <f t="shared" si="136"/>
        <v>0</v>
      </c>
      <c r="BM187" s="81">
        <f t="shared" si="137"/>
        <v>0</v>
      </c>
      <c r="BN187" s="81">
        <f t="shared" si="138"/>
        <v>0</v>
      </c>
      <c r="BO187" s="81">
        <f t="shared" si="139"/>
        <v>0</v>
      </c>
      <c r="BP187" s="81">
        <f t="shared" si="140"/>
        <v>0</v>
      </c>
      <c r="BQ187" s="81">
        <f t="shared" si="141"/>
        <v>0</v>
      </c>
      <c r="BR187" s="81">
        <f t="shared" si="142"/>
        <v>0</v>
      </c>
      <c r="BS187" s="81">
        <f t="shared" si="143"/>
        <v>0</v>
      </c>
      <c r="BT187" s="89">
        <f t="shared" si="144"/>
        <v>0</v>
      </c>
    </row>
    <row r="188" spans="1:72">
      <c r="A188" s="79"/>
      <c r="B188" s="80"/>
      <c r="C188" s="80"/>
      <c r="D188" s="2301"/>
      <c r="E188" s="81">
        <f t="shared" si="145"/>
        <v>0</v>
      </c>
      <c r="F188" s="82"/>
      <c r="G188" s="83">
        <f t="shared" si="120"/>
        <v>0</v>
      </c>
      <c r="H188" s="84">
        <f t="shared" si="121"/>
        <v>0</v>
      </c>
      <c r="I188" s="85"/>
      <c r="J188" s="85"/>
      <c r="K188" s="85"/>
      <c r="L188" s="85"/>
      <c r="M188" s="85"/>
      <c r="N188" s="85"/>
      <c r="O188" s="85"/>
      <c r="P188" s="85"/>
      <c r="Q188" s="85"/>
      <c r="R188" s="85"/>
      <c r="S188" s="85"/>
      <c r="T188" s="85"/>
      <c r="U188" s="85"/>
      <c r="V188" s="85"/>
      <c r="W188" s="85"/>
      <c r="X188" s="85"/>
      <c r="Y188" s="85"/>
      <c r="Z188" s="85"/>
      <c r="AA188" s="85"/>
      <c r="AB188" s="85"/>
      <c r="AC188" s="81">
        <f t="shared" si="122"/>
        <v>0</v>
      </c>
      <c r="AD188" s="86"/>
      <c r="AE188" s="86"/>
      <c r="AF188" s="86"/>
      <c r="AG188" s="86"/>
      <c r="AH188" s="86"/>
      <c r="AI188" s="86"/>
      <c r="AJ188" s="86"/>
      <c r="AK188" s="86"/>
      <c r="AL188" s="86"/>
      <c r="AM188" s="86"/>
      <c r="AN188" s="86"/>
      <c r="AO188" s="86"/>
      <c r="AP188" s="86"/>
      <c r="AQ188" s="86"/>
      <c r="AR188" s="86"/>
      <c r="AS188" s="86"/>
      <c r="AT188" s="82"/>
      <c r="AU188" s="87"/>
      <c r="AV188" s="818">
        <f t="shared" si="146"/>
        <v>0</v>
      </c>
      <c r="AW188" s="818">
        <f t="shared" si="147"/>
        <v>0</v>
      </c>
      <c r="AX188" s="818">
        <f t="shared" si="148"/>
        <v>0</v>
      </c>
      <c r="AY188" s="88">
        <f t="shared" si="123"/>
        <v>0</v>
      </c>
      <c r="AZ188" s="81">
        <f t="shared" si="124"/>
        <v>0</v>
      </c>
      <c r="BA188" s="81">
        <f t="shared" si="125"/>
        <v>0</v>
      </c>
      <c r="BB188" s="81">
        <f t="shared" si="126"/>
        <v>0</v>
      </c>
      <c r="BC188" s="81">
        <f t="shared" si="127"/>
        <v>0</v>
      </c>
      <c r="BD188" s="81">
        <f t="shared" si="128"/>
        <v>0</v>
      </c>
      <c r="BE188" s="81">
        <f t="shared" si="129"/>
        <v>0</v>
      </c>
      <c r="BF188" s="81">
        <f t="shared" si="130"/>
        <v>0</v>
      </c>
      <c r="BG188" s="81">
        <f t="shared" si="131"/>
        <v>0</v>
      </c>
      <c r="BH188" s="81">
        <f t="shared" si="132"/>
        <v>0</v>
      </c>
      <c r="BI188" s="81">
        <f t="shared" si="133"/>
        <v>0</v>
      </c>
      <c r="BJ188" s="81">
        <f t="shared" si="134"/>
        <v>0</v>
      </c>
      <c r="BK188" s="81">
        <f t="shared" si="135"/>
        <v>0</v>
      </c>
      <c r="BL188" s="81">
        <f t="shared" si="136"/>
        <v>0</v>
      </c>
      <c r="BM188" s="81">
        <f t="shared" si="137"/>
        <v>0</v>
      </c>
      <c r="BN188" s="81">
        <f t="shared" si="138"/>
        <v>0</v>
      </c>
      <c r="BO188" s="81">
        <f t="shared" si="139"/>
        <v>0</v>
      </c>
      <c r="BP188" s="81">
        <f t="shared" si="140"/>
        <v>0</v>
      </c>
      <c r="BQ188" s="81">
        <f t="shared" si="141"/>
        <v>0</v>
      </c>
      <c r="BR188" s="81">
        <f t="shared" si="142"/>
        <v>0</v>
      </c>
      <c r="BS188" s="81">
        <f t="shared" si="143"/>
        <v>0</v>
      </c>
      <c r="BT188" s="89">
        <f t="shared" si="144"/>
        <v>0</v>
      </c>
    </row>
    <row r="189" spans="1:72">
      <c r="A189" s="79"/>
      <c r="B189" s="80"/>
      <c r="C189" s="80"/>
      <c r="D189" s="2301"/>
      <c r="E189" s="81">
        <f t="shared" si="145"/>
        <v>0</v>
      </c>
      <c r="F189" s="82"/>
      <c r="G189" s="83">
        <f t="shared" si="120"/>
        <v>0</v>
      </c>
      <c r="H189" s="84">
        <f t="shared" si="121"/>
        <v>0</v>
      </c>
      <c r="I189" s="85"/>
      <c r="J189" s="85"/>
      <c r="K189" s="85"/>
      <c r="L189" s="85"/>
      <c r="M189" s="85"/>
      <c r="N189" s="85"/>
      <c r="O189" s="85"/>
      <c r="P189" s="85"/>
      <c r="Q189" s="85"/>
      <c r="R189" s="85"/>
      <c r="S189" s="85"/>
      <c r="T189" s="85"/>
      <c r="U189" s="85"/>
      <c r="V189" s="85"/>
      <c r="W189" s="85"/>
      <c r="X189" s="85"/>
      <c r="Y189" s="85"/>
      <c r="Z189" s="85"/>
      <c r="AA189" s="85"/>
      <c r="AB189" s="85"/>
      <c r="AC189" s="81">
        <f t="shared" si="122"/>
        <v>0</v>
      </c>
      <c r="AD189" s="86"/>
      <c r="AE189" s="86"/>
      <c r="AF189" s="86"/>
      <c r="AG189" s="86"/>
      <c r="AH189" s="86"/>
      <c r="AI189" s="86"/>
      <c r="AJ189" s="86"/>
      <c r="AK189" s="86"/>
      <c r="AL189" s="86"/>
      <c r="AM189" s="86"/>
      <c r="AN189" s="86"/>
      <c r="AO189" s="86"/>
      <c r="AP189" s="86"/>
      <c r="AQ189" s="86"/>
      <c r="AR189" s="86"/>
      <c r="AS189" s="86"/>
      <c r="AT189" s="82"/>
      <c r="AU189" s="87"/>
      <c r="AV189" s="818">
        <f t="shared" si="146"/>
        <v>0</v>
      </c>
      <c r="AW189" s="818">
        <f t="shared" si="147"/>
        <v>0</v>
      </c>
      <c r="AX189" s="818">
        <f t="shared" si="148"/>
        <v>0</v>
      </c>
      <c r="AY189" s="88">
        <f t="shared" si="123"/>
        <v>0</v>
      </c>
      <c r="AZ189" s="81">
        <f t="shared" si="124"/>
        <v>0</v>
      </c>
      <c r="BA189" s="81">
        <f t="shared" si="125"/>
        <v>0</v>
      </c>
      <c r="BB189" s="81">
        <f t="shared" si="126"/>
        <v>0</v>
      </c>
      <c r="BC189" s="81">
        <f t="shared" si="127"/>
        <v>0</v>
      </c>
      <c r="BD189" s="81">
        <f t="shared" si="128"/>
        <v>0</v>
      </c>
      <c r="BE189" s="81">
        <f t="shared" si="129"/>
        <v>0</v>
      </c>
      <c r="BF189" s="81">
        <f t="shared" si="130"/>
        <v>0</v>
      </c>
      <c r="BG189" s="81">
        <f t="shared" si="131"/>
        <v>0</v>
      </c>
      <c r="BH189" s="81">
        <f t="shared" si="132"/>
        <v>0</v>
      </c>
      <c r="BI189" s="81">
        <f t="shared" si="133"/>
        <v>0</v>
      </c>
      <c r="BJ189" s="81">
        <f t="shared" si="134"/>
        <v>0</v>
      </c>
      <c r="BK189" s="81">
        <f t="shared" si="135"/>
        <v>0</v>
      </c>
      <c r="BL189" s="81">
        <f t="shared" si="136"/>
        <v>0</v>
      </c>
      <c r="BM189" s="81">
        <f t="shared" si="137"/>
        <v>0</v>
      </c>
      <c r="BN189" s="81">
        <f t="shared" si="138"/>
        <v>0</v>
      </c>
      <c r="BO189" s="81">
        <f t="shared" si="139"/>
        <v>0</v>
      </c>
      <c r="BP189" s="81">
        <f t="shared" si="140"/>
        <v>0</v>
      </c>
      <c r="BQ189" s="81">
        <f t="shared" si="141"/>
        <v>0</v>
      </c>
      <c r="BR189" s="81">
        <f t="shared" si="142"/>
        <v>0</v>
      </c>
      <c r="BS189" s="81">
        <f t="shared" si="143"/>
        <v>0</v>
      </c>
      <c r="BT189" s="89">
        <f t="shared" si="144"/>
        <v>0</v>
      </c>
    </row>
    <row r="190" spans="1:72">
      <c r="A190" s="79"/>
      <c r="B190" s="80"/>
      <c r="C190" s="80"/>
      <c r="D190" s="2301"/>
      <c r="E190" s="81">
        <f t="shared" si="145"/>
        <v>0</v>
      </c>
      <c r="F190" s="82"/>
      <c r="G190" s="83">
        <f t="shared" si="120"/>
        <v>0</v>
      </c>
      <c r="H190" s="84">
        <f t="shared" si="121"/>
        <v>0</v>
      </c>
      <c r="I190" s="85"/>
      <c r="J190" s="85"/>
      <c r="K190" s="85"/>
      <c r="L190" s="85"/>
      <c r="M190" s="85"/>
      <c r="N190" s="85"/>
      <c r="O190" s="85"/>
      <c r="P190" s="85"/>
      <c r="Q190" s="85"/>
      <c r="R190" s="85"/>
      <c r="S190" s="85"/>
      <c r="T190" s="85"/>
      <c r="U190" s="85"/>
      <c r="V190" s="85"/>
      <c r="W190" s="85"/>
      <c r="X190" s="85"/>
      <c r="Y190" s="85"/>
      <c r="Z190" s="85"/>
      <c r="AA190" s="85"/>
      <c r="AB190" s="85"/>
      <c r="AC190" s="81">
        <f t="shared" si="122"/>
        <v>0</v>
      </c>
      <c r="AD190" s="86"/>
      <c r="AE190" s="86"/>
      <c r="AF190" s="86"/>
      <c r="AG190" s="86"/>
      <c r="AH190" s="86"/>
      <c r="AI190" s="86"/>
      <c r="AJ190" s="86"/>
      <c r="AK190" s="86"/>
      <c r="AL190" s="86"/>
      <c r="AM190" s="86"/>
      <c r="AN190" s="86"/>
      <c r="AO190" s="86"/>
      <c r="AP190" s="86"/>
      <c r="AQ190" s="86"/>
      <c r="AR190" s="86"/>
      <c r="AS190" s="86"/>
      <c r="AT190" s="82"/>
      <c r="AU190" s="87"/>
      <c r="AV190" s="818">
        <f t="shared" si="146"/>
        <v>0</v>
      </c>
      <c r="AW190" s="818">
        <f t="shared" si="147"/>
        <v>0</v>
      </c>
      <c r="AX190" s="818">
        <f t="shared" si="148"/>
        <v>0</v>
      </c>
      <c r="AY190" s="88">
        <f t="shared" si="123"/>
        <v>0</v>
      </c>
      <c r="AZ190" s="81">
        <f t="shared" si="124"/>
        <v>0</v>
      </c>
      <c r="BA190" s="81">
        <f t="shared" si="125"/>
        <v>0</v>
      </c>
      <c r="BB190" s="81">
        <f t="shared" si="126"/>
        <v>0</v>
      </c>
      <c r="BC190" s="81">
        <f t="shared" si="127"/>
        <v>0</v>
      </c>
      <c r="BD190" s="81">
        <f t="shared" si="128"/>
        <v>0</v>
      </c>
      <c r="BE190" s="81">
        <f t="shared" si="129"/>
        <v>0</v>
      </c>
      <c r="BF190" s="81">
        <f t="shared" si="130"/>
        <v>0</v>
      </c>
      <c r="BG190" s="81">
        <f t="shared" si="131"/>
        <v>0</v>
      </c>
      <c r="BH190" s="81">
        <f t="shared" si="132"/>
        <v>0</v>
      </c>
      <c r="BI190" s="81">
        <f t="shared" si="133"/>
        <v>0</v>
      </c>
      <c r="BJ190" s="81">
        <f t="shared" si="134"/>
        <v>0</v>
      </c>
      <c r="BK190" s="81">
        <f t="shared" si="135"/>
        <v>0</v>
      </c>
      <c r="BL190" s="81">
        <f t="shared" si="136"/>
        <v>0</v>
      </c>
      <c r="BM190" s="81">
        <f t="shared" si="137"/>
        <v>0</v>
      </c>
      <c r="BN190" s="81">
        <f t="shared" si="138"/>
        <v>0</v>
      </c>
      <c r="BO190" s="81">
        <f t="shared" si="139"/>
        <v>0</v>
      </c>
      <c r="BP190" s="81">
        <f t="shared" si="140"/>
        <v>0</v>
      </c>
      <c r="BQ190" s="81">
        <f t="shared" si="141"/>
        <v>0</v>
      </c>
      <c r="BR190" s="81">
        <f t="shared" si="142"/>
        <v>0</v>
      </c>
      <c r="BS190" s="81">
        <f t="shared" si="143"/>
        <v>0</v>
      </c>
      <c r="BT190" s="89">
        <f t="shared" si="144"/>
        <v>0</v>
      </c>
    </row>
    <row r="191" spans="1:72">
      <c r="A191" s="79"/>
      <c r="B191" s="80"/>
      <c r="C191" s="80"/>
      <c r="D191" s="2301"/>
      <c r="E191" s="81">
        <f t="shared" si="145"/>
        <v>0</v>
      </c>
      <c r="F191" s="82"/>
      <c r="G191" s="83">
        <f t="shared" si="120"/>
        <v>0</v>
      </c>
      <c r="H191" s="84">
        <f t="shared" si="121"/>
        <v>0</v>
      </c>
      <c r="I191" s="85"/>
      <c r="J191" s="85"/>
      <c r="K191" s="85"/>
      <c r="L191" s="85"/>
      <c r="M191" s="85"/>
      <c r="N191" s="85"/>
      <c r="O191" s="85"/>
      <c r="P191" s="85"/>
      <c r="Q191" s="85"/>
      <c r="R191" s="85"/>
      <c r="S191" s="85"/>
      <c r="T191" s="85"/>
      <c r="U191" s="85"/>
      <c r="V191" s="85"/>
      <c r="W191" s="85"/>
      <c r="X191" s="85"/>
      <c r="Y191" s="85"/>
      <c r="Z191" s="85"/>
      <c r="AA191" s="85"/>
      <c r="AB191" s="85"/>
      <c r="AC191" s="81">
        <f t="shared" si="122"/>
        <v>0</v>
      </c>
      <c r="AD191" s="86"/>
      <c r="AE191" s="86"/>
      <c r="AF191" s="86"/>
      <c r="AG191" s="86"/>
      <c r="AH191" s="86"/>
      <c r="AI191" s="86"/>
      <c r="AJ191" s="86"/>
      <c r="AK191" s="86"/>
      <c r="AL191" s="86"/>
      <c r="AM191" s="86"/>
      <c r="AN191" s="86"/>
      <c r="AO191" s="86"/>
      <c r="AP191" s="86"/>
      <c r="AQ191" s="86"/>
      <c r="AR191" s="86"/>
      <c r="AS191" s="86"/>
      <c r="AT191" s="82"/>
      <c r="AU191" s="87"/>
      <c r="AV191" s="818">
        <f t="shared" si="146"/>
        <v>0</v>
      </c>
      <c r="AW191" s="818">
        <f t="shared" si="147"/>
        <v>0</v>
      </c>
      <c r="AX191" s="818">
        <f t="shared" si="148"/>
        <v>0</v>
      </c>
      <c r="AY191" s="88">
        <f t="shared" si="123"/>
        <v>0</v>
      </c>
      <c r="AZ191" s="81">
        <f t="shared" si="124"/>
        <v>0</v>
      </c>
      <c r="BA191" s="81">
        <f t="shared" si="125"/>
        <v>0</v>
      </c>
      <c r="BB191" s="81">
        <f t="shared" si="126"/>
        <v>0</v>
      </c>
      <c r="BC191" s="81">
        <f t="shared" si="127"/>
        <v>0</v>
      </c>
      <c r="BD191" s="81">
        <f t="shared" si="128"/>
        <v>0</v>
      </c>
      <c r="BE191" s="81">
        <f t="shared" si="129"/>
        <v>0</v>
      </c>
      <c r="BF191" s="81">
        <f t="shared" si="130"/>
        <v>0</v>
      </c>
      <c r="BG191" s="81">
        <f t="shared" si="131"/>
        <v>0</v>
      </c>
      <c r="BH191" s="81">
        <f t="shared" si="132"/>
        <v>0</v>
      </c>
      <c r="BI191" s="81">
        <f t="shared" si="133"/>
        <v>0</v>
      </c>
      <c r="BJ191" s="81">
        <f t="shared" si="134"/>
        <v>0</v>
      </c>
      <c r="BK191" s="81">
        <f t="shared" si="135"/>
        <v>0</v>
      </c>
      <c r="BL191" s="81">
        <f t="shared" si="136"/>
        <v>0</v>
      </c>
      <c r="BM191" s="81">
        <f t="shared" si="137"/>
        <v>0</v>
      </c>
      <c r="BN191" s="81">
        <f t="shared" si="138"/>
        <v>0</v>
      </c>
      <c r="BO191" s="81">
        <f t="shared" si="139"/>
        <v>0</v>
      </c>
      <c r="BP191" s="81">
        <f t="shared" si="140"/>
        <v>0</v>
      </c>
      <c r="BQ191" s="81">
        <f t="shared" si="141"/>
        <v>0</v>
      </c>
      <c r="BR191" s="81">
        <f t="shared" si="142"/>
        <v>0</v>
      </c>
      <c r="BS191" s="81">
        <f t="shared" si="143"/>
        <v>0</v>
      </c>
      <c r="BT191" s="89">
        <f t="shared" si="144"/>
        <v>0</v>
      </c>
    </row>
    <row r="192" spans="1:72">
      <c r="A192" s="79"/>
      <c r="B192" s="80"/>
      <c r="C192" s="80"/>
      <c r="D192" s="2301"/>
      <c r="E192" s="81">
        <f t="shared" si="145"/>
        <v>0</v>
      </c>
      <c r="F192" s="82"/>
      <c r="G192" s="83">
        <f t="shared" si="120"/>
        <v>0</v>
      </c>
      <c r="H192" s="84">
        <f t="shared" si="121"/>
        <v>0</v>
      </c>
      <c r="I192" s="85"/>
      <c r="J192" s="85"/>
      <c r="K192" s="85"/>
      <c r="L192" s="85"/>
      <c r="M192" s="85"/>
      <c r="N192" s="85"/>
      <c r="O192" s="85"/>
      <c r="P192" s="85"/>
      <c r="Q192" s="85"/>
      <c r="R192" s="85"/>
      <c r="S192" s="85"/>
      <c r="T192" s="85"/>
      <c r="U192" s="85"/>
      <c r="V192" s="85"/>
      <c r="W192" s="85"/>
      <c r="X192" s="85"/>
      <c r="Y192" s="85"/>
      <c r="Z192" s="85"/>
      <c r="AA192" s="85"/>
      <c r="AB192" s="85"/>
      <c r="AC192" s="81">
        <f t="shared" si="122"/>
        <v>0</v>
      </c>
      <c r="AD192" s="86"/>
      <c r="AE192" s="86"/>
      <c r="AF192" s="86"/>
      <c r="AG192" s="86"/>
      <c r="AH192" s="86"/>
      <c r="AI192" s="86"/>
      <c r="AJ192" s="86"/>
      <c r="AK192" s="86"/>
      <c r="AL192" s="86"/>
      <c r="AM192" s="86"/>
      <c r="AN192" s="86"/>
      <c r="AO192" s="86"/>
      <c r="AP192" s="86"/>
      <c r="AQ192" s="86"/>
      <c r="AR192" s="86"/>
      <c r="AS192" s="86"/>
      <c r="AT192" s="82"/>
      <c r="AU192" s="87"/>
      <c r="AV192" s="818">
        <f t="shared" si="146"/>
        <v>0</v>
      </c>
      <c r="AW192" s="818">
        <f t="shared" si="147"/>
        <v>0</v>
      </c>
      <c r="AX192" s="818">
        <f t="shared" si="148"/>
        <v>0</v>
      </c>
      <c r="AY192" s="88">
        <f t="shared" si="123"/>
        <v>0</v>
      </c>
      <c r="AZ192" s="81">
        <f t="shared" si="124"/>
        <v>0</v>
      </c>
      <c r="BA192" s="81">
        <f t="shared" si="125"/>
        <v>0</v>
      </c>
      <c r="BB192" s="81">
        <f t="shared" si="126"/>
        <v>0</v>
      </c>
      <c r="BC192" s="81">
        <f t="shared" si="127"/>
        <v>0</v>
      </c>
      <c r="BD192" s="81">
        <f t="shared" si="128"/>
        <v>0</v>
      </c>
      <c r="BE192" s="81">
        <f t="shared" si="129"/>
        <v>0</v>
      </c>
      <c r="BF192" s="81">
        <f t="shared" si="130"/>
        <v>0</v>
      </c>
      <c r="BG192" s="81">
        <f t="shared" si="131"/>
        <v>0</v>
      </c>
      <c r="BH192" s="81">
        <f t="shared" si="132"/>
        <v>0</v>
      </c>
      <c r="BI192" s="81">
        <f t="shared" si="133"/>
        <v>0</v>
      </c>
      <c r="BJ192" s="81">
        <f t="shared" si="134"/>
        <v>0</v>
      </c>
      <c r="BK192" s="81">
        <f t="shared" si="135"/>
        <v>0</v>
      </c>
      <c r="BL192" s="81">
        <f t="shared" si="136"/>
        <v>0</v>
      </c>
      <c r="BM192" s="81">
        <f t="shared" si="137"/>
        <v>0</v>
      </c>
      <c r="BN192" s="81">
        <f t="shared" si="138"/>
        <v>0</v>
      </c>
      <c r="BO192" s="81">
        <f t="shared" si="139"/>
        <v>0</v>
      </c>
      <c r="BP192" s="81">
        <f t="shared" si="140"/>
        <v>0</v>
      </c>
      <c r="BQ192" s="81">
        <f t="shared" si="141"/>
        <v>0</v>
      </c>
      <c r="BR192" s="81">
        <f t="shared" si="142"/>
        <v>0</v>
      </c>
      <c r="BS192" s="81">
        <f t="shared" si="143"/>
        <v>0</v>
      </c>
      <c r="BT192" s="89">
        <f t="shared" si="144"/>
        <v>0</v>
      </c>
    </row>
    <row r="193" spans="1:72">
      <c r="A193" s="79"/>
      <c r="B193" s="80"/>
      <c r="C193" s="80"/>
      <c r="D193" s="2301"/>
      <c r="E193" s="81">
        <f t="shared" si="145"/>
        <v>0</v>
      </c>
      <c r="F193" s="82"/>
      <c r="G193" s="83">
        <f t="shared" si="120"/>
        <v>0</v>
      </c>
      <c r="H193" s="84">
        <f t="shared" si="121"/>
        <v>0</v>
      </c>
      <c r="I193" s="85"/>
      <c r="J193" s="85"/>
      <c r="K193" s="85"/>
      <c r="L193" s="85"/>
      <c r="M193" s="85"/>
      <c r="N193" s="85"/>
      <c r="O193" s="85"/>
      <c r="P193" s="85"/>
      <c r="Q193" s="85"/>
      <c r="R193" s="85"/>
      <c r="S193" s="85"/>
      <c r="T193" s="85"/>
      <c r="U193" s="85"/>
      <c r="V193" s="85"/>
      <c r="W193" s="85"/>
      <c r="X193" s="85"/>
      <c r="Y193" s="85"/>
      <c r="Z193" s="85"/>
      <c r="AA193" s="85"/>
      <c r="AB193" s="85"/>
      <c r="AC193" s="81">
        <f t="shared" si="122"/>
        <v>0</v>
      </c>
      <c r="AD193" s="86"/>
      <c r="AE193" s="86"/>
      <c r="AF193" s="86"/>
      <c r="AG193" s="86"/>
      <c r="AH193" s="86"/>
      <c r="AI193" s="86"/>
      <c r="AJ193" s="86"/>
      <c r="AK193" s="86"/>
      <c r="AL193" s="86"/>
      <c r="AM193" s="86"/>
      <c r="AN193" s="86"/>
      <c r="AO193" s="86"/>
      <c r="AP193" s="86"/>
      <c r="AQ193" s="86"/>
      <c r="AR193" s="86"/>
      <c r="AS193" s="86"/>
      <c r="AT193" s="82"/>
      <c r="AU193" s="87"/>
      <c r="AV193" s="818">
        <f t="shared" si="146"/>
        <v>0</v>
      </c>
      <c r="AW193" s="818">
        <f t="shared" si="147"/>
        <v>0</v>
      </c>
      <c r="AX193" s="818">
        <f t="shared" si="148"/>
        <v>0</v>
      </c>
      <c r="AY193" s="88">
        <f t="shared" si="123"/>
        <v>0</v>
      </c>
      <c r="AZ193" s="81">
        <f t="shared" si="124"/>
        <v>0</v>
      </c>
      <c r="BA193" s="81">
        <f t="shared" si="125"/>
        <v>0</v>
      </c>
      <c r="BB193" s="81">
        <f t="shared" si="126"/>
        <v>0</v>
      </c>
      <c r="BC193" s="81">
        <f t="shared" si="127"/>
        <v>0</v>
      </c>
      <c r="BD193" s="81">
        <f t="shared" si="128"/>
        <v>0</v>
      </c>
      <c r="BE193" s="81">
        <f t="shared" si="129"/>
        <v>0</v>
      </c>
      <c r="BF193" s="81">
        <f t="shared" si="130"/>
        <v>0</v>
      </c>
      <c r="BG193" s="81">
        <f t="shared" si="131"/>
        <v>0</v>
      </c>
      <c r="BH193" s="81">
        <f t="shared" si="132"/>
        <v>0</v>
      </c>
      <c r="BI193" s="81">
        <f t="shared" si="133"/>
        <v>0</v>
      </c>
      <c r="BJ193" s="81">
        <f t="shared" si="134"/>
        <v>0</v>
      </c>
      <c r="BK193" s="81">
        <f t="shared" si="135"/>
        <v>0</v>
      </c>
      <c r="BL193" s="81">
        <f t="shared" si="136"/>
        <v>0</v>
      </c>
      <c r="BM193" s="81">
        <f t="shared" si="137"/>
        <v>0</v>
      </c>
      <c r="BN193" s="81">
        <f t="shared" si="138"/>
        <v>0</v>
      </c>
      <c r="BO193" s="81">
        <f t="shared" si="139"/>
        <v>0</v>
      </c>
      <c r="BP193" s="81">
        <f t="shared" si="140"/>
        <v>0</v>
      </c>
      <c r="BQ193" s="81">
        <f t="shared" si="141"/>
        <v>0</v>
      </c>
      <c r="BR193" s="81">
        <f t="shared" si="142"/>
        <v>0</v>
      </c>
      <c r="BS193" s="81">
        <f t="shared" si="143"/>
        <v>0</v>
      </c>
      <c r="BT193" s="89">
        <f t="shared" si="144"/>
        <v>0</v>
      </c>
    </row>
    <row r="194" spans="1:72">
      <c r="A194" s="79"/>
      <c r="B194" s="80"/>
      <c r="C194" s="80"/>
      <c r="D194" s="2301"/>
      <c r="E194" s="81">
        <f t="shared" si="145"/>
        <v>0</v>
      </c>
      <c r="F194" s="82"/>
      <c r="G194" s="83">
        <f t="shared" si="120"/>
        <v>0</v>
      </c>
      <c r="H194" s="84">
        <f t="shared" si="121"/>
        <v>0</v>
      </c>
      <c r="I194" s="85"/>
      <c r="J194" s="85"/>
      <c r="K194" s="85"/>
      <c r="L194" s="85"/>
      <c r="M194" s="85"/>
      <c r="N194" s="85"/>
      <c r="O194" s="85"/>
      <c r="P194" s="85"/>
      <c r="Q194" s="85"/>
      <c r="R194" s="85"/>
      <c r="S194" s="85"/>
      <c r="T194" s="85"/>
      <c r="U194" s="85"/>
      <c r="V194" s="85"/>
      <c r="W194" s="85"/>
      <c r="X194" s="85"/>
      <c r="Y194" s="85"/>
      <c r="Z194" s="85"/>
      <c r="AA194" s="85"/>
      <c r="AB194" s="85"/>
      <c r="AC194" s="81">
        <f t="shared" si="122"/>
        <v>0</v>
      </c>
      <c r="AD194" s="86"/>
      <c r="AE194" s="86"/>
      <c r="AF194" s="86"/>
      <c r="AG194" s="86"/>
      <c r="AH194" s="86"/>
      <c r="AI194" s="86"/>
      <c r="AJ194" s="86"/>
      <c r="AK194" s="86"/>
      <c r="AL194" s="86"/>
      <c r="AM194" s="86"/>
      <c r="AN194" s="86"/>
      <c r="AO194" s="86"/>
      <c r="AP194" s="86"/>
      <c r="AQ194" s="86"/>
      <c r="AR194" s="86"/>
      <c r="AS194" s="86"/>
      <c r="AT194" s="82"/>
      <c r="AU194" s="87"/>
      <c r="AV194" s="818">
        <f t="shared" si="146"/>
        <v>0</v>
      </c>
      <c r="AW194" s="818">
        <f t="shared" si="147"/>
        <v>0</v>
      </c>
      <c r="AX194" s="818">
        <f t="shared" si="148"/>
        <v>0</v>
      </c>
      <c r="AY194" s="88">
        <f t="shared" si="123"/>
        <v>0</v>
      </c>
      <c r="AZ194" s="81">
        <f t="shared" si="124"/>
        <v>0</v>
      </c>
      <c r="BA194" s="81">
        <f t="shared" si="125"/>
        <v>0</v>
      </c>
      <c r="BB194" s="81">
        <f t="shared" si="126"/>
        <v>0</v>
      </c>
      <c r="BC194" s="81">
        <f t="shared" si="127"/>
        <v>0</v>
      </c>
      <c r="BD194" s="81">
        <f t="shared" si="128"/>
        <v>0</v>
      </c>
      <c r="BE194" s="81">
        <f t="shared" si="129"/>
        <v>0</v>
      </c>
      <c r="BF194" s="81">
        <f t="shared" si="130"/>
        <v>0</v>
      </c>
      <c r="BG194" s="81">
        <f t="shared" si="131"/>
        <v>0</v>
      </c>
      <c r="BH194" s="81">
        <f t="shared" si="132"/>
        <v>0</v>
      </c>
      <c r="BI194" s="81">
        <f t="shared" si="133"/>
        <v>0</v>
      </c>
      <c r="BJ194" s="81">
        <f t="shared" si="134"/>
        <v>0</v>
      </c>
      <c r="BK194" s="81">
        <f t="shared" si="135"/>
        <v>0</v>
      </c>
      <c r="BL194" s="81">
        <f t="shared" si="136"/>
        <v>0</v>
      </c>
      <c r="BM194" s="81">
        <f t="shared" si="137"/>
        <v>0</v>
      </c>
      <c r="BN194" s="81">
        <f t="shared" si="138"/>
        <v>0</v>
      </c>
      <c r="BO194" s="81">
        <f t="shared" si="139"/>
        <v>0</v>
      </c>
      <c r="BP194" s="81">
        <f t="shared" si="140"/>
        <v>0</v>
      </c>
      <c r="BQ194" s="81">
        <f t="shared" si="141"/>
        <v>0</v>
      </c>
      <c r="BR194" s="81">
        <f t="shared" si="142"/>
        <v>0</v>
      </c>
      <c r="BS194" s="81">
        <f t="shared" si="143"/>
        <v>0</v>
      </c>
      <c r="BT194" s="89">
        <f t="shared" si="144"/>
        <v>0</v>
      </c>
    </row>
    <row r="195" spans="1:72">
      <c r="A195" s="79"/>
      <c r="B195" s="80"/>
      <c r="C195" s="80"/>
      <c r="D195" s="2301"/>
      <c r="E195" s="81">
        <f t="shared" si="145"/>
        <v>0</v>
      </c>
      <c r="F195" s="82"/>
      <c r="G195" s="83">
        <f t="shared" si="120"/>
        <v>0</v>
      </c>
      <c r="H195" s="84">
        <f t="shared" si="121"/>
        <v>0</v>
      </c>
      <c r="I195" s="85"/>
      <c r="J195" s="85"/>
      <c r="K195" s="85"/>
      <c r="L195" s="85"/>
      <c r="M195" s="85"/>
      <c r="N195" s="85"/>
      <c r="O195" s="85"/>
      <c r="P195" s="85"/>
      <c r="Q195" s="85"/>
      <c r="R195" s="85"/>
      <c r="S195" s="85"/>
      <c r="T195" s="85"/>
      <c r="U195" s="85"/>
      <c r="V195" s="85"/>
      <c r="W195" s="85"/>
      <c r="X195" s="85"/>
      <c r="Y195" s="85"/>
      <c r="Z195" s="85"/>
      <c r="AA195" s="85"/>
      <c r="AB195" s="85"/>
      <c r="AC195" s="81">
        <f t="shared" si="122"/>
        <v>0</v>
      </c>
      <c r="AD195" s="86"/>
      <c r="AE195" s="86"/>
      <c r="AF195" s="86"/>
      <c r="AG195" s="86"/>
      <c r="AH195" s="86"/>
      <c r="AI195" s="86"/>
      <c r="AJ195" s="86"/>
      <c r="AK195" s="86"/>
      <c r="AL195" s="86"/>
      <c r="AM195" s="86"/>
      <c r="AN195" s="86"/>
      <c r="AO195" s="86"/>
      <c r="AP195" s="86"/>
      <c r="AQ195" s="86"/>
      <c r="AR195" s="86"/>
      <c r="AS195" s="86"/>
      <c r="AT195" s="82"/>
      <c r="AU195" s="87"/>
      <c r="AV195" s="818">
        <f t="shared" si="146"/>
        <v>0</v>
      </c>
      <c r="AW195" s="818">
        <f t="shared" si="147"/>
        <v>0</v>
      </c>
      <c r="AX195" s="818">
        <f t="shared" si="148"/>
        <v>0</v>
      </c>
      <c r="AY195" s="88">
        <f t="shared" si="123"/>
        <v>0</v>
      </c>
      <c r="AZ195" s="81">
        <f t="shared" si="124"/>
        <v>0</v>
      </c>
      <c r="BA195" s="81">
        <f t="shared" si="125"/>
        <v>0</v>
      </c>
      <c r="BB195" s="81">
        <f t="shared" si="126"/>
        <v>0</v>
      </c>
      <c r="BC195" s="81">
        <f t="shared" si="127"/>
        <v>0</v>
      </c>
      <c r="BD195" s="81">
        <f t="shared" si="128"/>
        <v>0</v>
      </c>
      <c r="BE195" s="81">
        <f t="shared" si="129"/>
        <v>0</v>
      </c>
      <c r="BF195" s="81">
        <f t="shared" si="130"/>
        <v>0</v>
      </c>
      <c r="BG195" s="81">
        <f t="shared" si="131"/>
        <v>0</v>
      </c>
      <c r="BH195" s="81">
        <f t="shared" si="132"/>
        <v>0</v>
      </c>
      <c r="BI195" s="81">
        <f t="shared" si="133"/>
        <v>0</v>
      </c>
      <c r="BJ195" s="81">
        <f t="shared" si="134"/>
        <v>0</v>
      </c>
      <c r="BK195" s="81">
        <f t="shared" si="135"/>
        <v>0</v>
      </c>
      <c r="BL195" s="81">
        <f t="shared" si="136"/>
        <v>0</v>
      </c>
      <c r="BM195" s="81">
        <f t="shared" si="137"/>
        <v>0</v>
      </c>
      <c r="BN195" s="81">
        <f t="shared" si="138"/>
        <v>0</v>
      </c>
      <c r="BO195" s="81">
        <f t="shared" si="139"/>
        <v>0</v>
      </c>
      <c r="BP195" s="81">
        <f t="shared" si="140"/>
        <v>0</v>
      </c>
      <c r="BQ195" s="81">
        <f t="shared" si="141"/>
        <v>0</v>
      </c>
      <c r="BR195" s="81">
        <f t="shared" si="142"/>
        <v>0</v>
      </c>
      <c r="BS195" s="81">
        <f t="shared" si="143"/>
        <v>0</v>
      </c>
      <c r="BT195" s="89">
        <f t="shared" si="144"/>
        <v>0</v>
      </c>
    </row>
    <row r="196" spans="1:72">
      <c r="A196" s="79"/>
      <c r="B196" s="80"/>
      <c r="C196" s="80"/>
      <c r="D196" s="2301"/>
      <c r="E196" s="81">
        <f t="shared" si="145"/>
        <v>0</v>
      </c>
      <c r="F196" s="82"/>
      <c r="G196" s="83">
        <f t="shared" si="120"/>
        <v>0</v>
      </c>
      <c r="H196" s="84">
        <f t="shared" si="121"/>
        <v>0</v>
      </c>
      <c r="I196" s="85"/>
      <c r="J196" s="85"/>
      <c r="K196" s="85"/>
      <c r="L196" s="85"/>
      <c r="M196" s="85"/>
      <c r="N196" s="85"/>
      <c r="O196" s="85"/>
      <c r="P196" s="85"/>
      <c r="Q196" s="85"/>
      <c r="R196" s="85"/>
      <c r="S196" s="85"/>
      <c r="T196" s="85"/>
      <c r="U196" s="85"/>
      <c r="V196" s="85"/>
      <c r="W196" s="85"/>
      <c r="X196" s="85"/>
      <c r="Y196" s="85"/>
      <c r="Z196" s="85"/>
      <c r="AA196" s="85"/>
      <c r="AB196" s="85"/>
      <c r="AC196" s="81">
        <f t="shared" si="122"/>
        <v>0</v>
      </c>
      <c r="AD196" s="86"/>
      <c r="AE196" s="86"/>
      <c r="AF196" s="86"/>
      <c r="AG196" s="86"/>
      <c r="AH196" s="86"/>
      <c r="AI196" s="86"/>
      <c r="AJ196" s="86"/>
      <c r="AK196" s="86"/>
      <c r="AL196" s="86"/>
      <c r="AM196" s="86"/>
      <c r="AN196" s="86"/>
      <c r="AO196" s="86"/>
      <c r="AP196" s="86"/>
      <c r="AQ196" s="86"/>
      <c r="AR196" s="86"/>
      <c r="AS196" s="86"/>
      <c r="AT196" s="82"/>
      <c r="AU196" s="87"/>
      <c r="AV196" s="818">
        <f t="shared" si="146"/>
        <v>0</v>
      </c>
      <c r="AW196" s="818">
        <f t="shared" si="147"/>
        <v>0</v>
      </c>
      <c r="AX196" s="818">
        <f t="shared" si="148"/>
        <v>0</v>
      </c>
      <c r="AY196" s="88">
        <f t="shared" si="123"/>
        <v>0</v>
      </c>
      <c r="AZ196" s="81">
        <f t="shared" si="124"/>
        <v>0</v>
      </c>
      <c r="BA196" s="81">
        <f t="shared" si="125"/>
        <v>0</v>
      </c>
      <c r="BB196" s="81">
        <f t="shared" si="126"/>
        <v>0</v>
      </c>
      <c r="BC196" s="81">
        <f t="shared" si="127"/>
        <v>0</v>
      </c>
      <c r="BD196" s="81">
        <f t="shared" si="128"/>
        <v>0</v>
      </c>
      <c r="BE196" s="81">
        <f t="shared" si="129"/>
        <v>0</v>
      </c>
      <c r="BF196" s="81">
        <f t="shared" si="130"/>
        <v>0</v>
      </c>
      <c r="BG196" s="81">
        <f t="shared" si="131"/>
        <v>0</v>
      </c>
      <c r="BH196" s="81">
        <f t="shared" si="132"/>
        <v>0</v>
      </c>
      <c r="BI196" s="81">
        <f t="shared" si="133"/>
        <v>0</v>
      </c>
      <c r="BJ196" s="81">
        <f t="shared" si="134"/>
        <v>0</v>
      </c>
      <c r="BK196" s="81">
        <f t="shared" si="135"/>
        <v>0</v>
      </c>
      <c r="BL196" s="81">
        <f t="shared" si="136"/>
        <v>0</v>
      </c>
      <c r="BM196" s="81">
        <f t="shared" si="137"/>
        <v>0</v>
      </c>
      <c r="BN196" s="81">
        <f t="shared" si="138"/>
        <v>0</v>
      </c>
      <c r="BO196" s="81">
        <f t="shared" si="139"/>
        <v>0</v>
      </c>
      <c r="BP196" s="81">
        <f t="shared" si="140"/>
        <v>0</v>
      </c>
      <c r="BQ196" s="81">
        <f t="shared" si="141"/>
        <v>0</v>
      </c>
      <c r="BR196" s="81">
        <f t="shared" si="142"/>
        <v>0</v>
      </c>
      <c r="BS196" s="81">
        <f t="shared" si="143"/>
        <v>0</v>
      </c>
      <c r="BT196" s="89">
        <f t="shared" si="144"/>
        <v>0</v>
      </c>
    </row>
    <row r="197" spans="1:72">
      <c r="A197" s="79"/>
      <c r="B197" s="80"/>
      <c r="C197" s="80"/>
      <c r="D197" s="2301"/>
      <c r="E197" s="81">
        <f t="shared" si="145"/>
        <v>0</v>
      </c>
      <c r="F197" s="82"/>
      <c r="G197" s="83">
        <f t="shared" si="120"/>
        <v>0</v>
      </c>
      <c r="H197" s="84">
        <f t="shared" si="121"/>
        <v>0</v>
      </c>
      <c r="I197" s="85"/>
      <c r="J197" s="85"/>
      <c r="K197" s="85"/>
      <c r="L197" s="85"/>
      <c r="M197" s="85"/>
      <c r="N197" s="85"/>
      <c r="O197" s="85"/>
      <c r="P197" s="85"/>
      <c r="Q197" s="85"/>
      <c r="R197" s="85"/>
      <c r="S197" s="85"/>
      <c r="T197" s="85"/>
      <c r="U197" s="85"/>
      <c r="V197" s="85"/>
      <c r="W197" s="85"/>
      <c r="X197" s="85"/>
      <c r="Y197" s="85"/>
      <c r="Z197" s="85"/>
      <c r="AA197" s="85"/>
      <c r="AB197" s="85"/>
      <c r="AC197" s="81">
        <f t="shared" si="122"/>
        <v>0</v>
      </c>
      <c r="AD197" s="86"/>
      <c r="AE197" s="86"/>
      <c r="AF197" s="86"/>
      <c r="AG197" s="86"/>
      <c r="AH197" s="86"/>
      <c r="AI197" s="86"/>
      <c r="AJ197" s="86"/>
      <c r="AK197" s="86"/>
      <c r="AL197" s="86"/>
      <c r="AM197" s="86"/>
      <c r="AN197" s="86"/>
      <c r="AO197" s="86"/>
      <c r="AP197" s="86"/>
      <c r="AQ197" s="86"/>
      <c r="AR197" s="86"/>
      <c r="AS197" s="86"/>
      <c r="AT197" s="82"/>
      <c r="AU197" s="87"/>
      <c r="AV197" s="818">
        <f t="shared" si="146"/>
        <v>0</v>
      </c>
      <c r="AW197" s="818">
        <f t="shared" si="147"/>
        <v>0</v>
      </c>
      <c r="AX197" s="818">
        <f t="shared" si="148"/>
        <v>0</v>
      </c>
      <c r="AY197" s="88">
        <f t="shared" si="123"/>
        <v>0</v>
      </c>
      <c r="AZ197" s="81">
        <f t="shared" si="124"/>
        <v>0</v>
      </c>
      <c r="BA197" s="81">
        <f t="shared" si="125"/>
        <v>0</v>
      </c>
      <c r="BB197" s="81">
        <f t="shared" si="126"/>
        <v>0</v>
      </c>
      <c r="BC197" s="81">
        <f t="shared" si="127"/>
        <v>0</v>
      </c>
      <c r="BD197" s="81">
        <f t="shared" si="128"/>
        <v>0</v>
      </c>
      <c r="BE197" s="81">
        <f t="shared" si="129"/>
        <v>0</v>
      </c>
      <c r="BF197" s="81">
        <f t="shared" si="130"/>
        <v>0</v>
      </c>
      <c r="BG197" s="81">
        <f t="shared" si="131"/>
        <v>0</v>
      </c>
      <c r="BH197" s="81">
        <f t="shared" si="132"/>
        <v>0</v>
      </c>
      <c r="BI197" s="81">
        <f t="shared" si="133"/>
        <v>0</v>
      </c>
      <c r="BJ197" s="81">
        <f t="shared" si="134"/>
        <v>0</v>
      </c>
      <c r="BK197" s="81">
        <f t="shared" si="135"/>
        <v>0</v>
      </c>
      <c r="BL197" s="81">
        <f t="shared" si="136"/>
        <v>0</v>
      </c>
      <c r="BM197" s="81">
        <f t="shared" si="137"/>
        <v>0</v>
      </c>
      <c r="BN197" s="81">
        <f t="shared" si="138"/>
        <v>0</v>
      </c>
      <c r="BO197" s="81">
        <f t="shared" si="139"/>
        <v>0</v>
      </c>
      <c r="BP197" s="81">
        <f t="shared" si="140"/>
        <v>0</v>
      </c>
      <c r="BQ197" s="81">
        <f t="shared" si="141"/>
        <v>0</v>
      </c>
      <c r="BR197" s="81">
        <f t="shared" si="142"/>
        <v>0</v>
      </c>
      <c r="BS197" s="81">
        <f t="shared" si="143"/>
        <v>0</v>
      </c>
      <c r="BT197" s="89">
        <f t="shared" si="144"/>
        <v>0</v>
      </c>
    </row>
    <row r="198" spans="1:72">
      <c r="A198" s="79"/>
      <c r="B198" s="80"/>
      <c r="C198" s="80"/>
      <c r="D198" s="2301"/>
      <c r="E198" s="81">
        <f t="shared" si="145"/>
        <v>0</v>
      </c>
      <c r="F198" s="82"/>
      <c r="G198" s="83">
        <f t="shared" si="120"/>
        <v>0</v>
      </c>
      <c r="H198" s="84">
        <f t="shared" si="121"/>
        <v>0</v>
      </c>
      <c r="I198" s="85"/>
      <c r="J198" s="85"/>
      <c r="K198" s="85"/>
      <c r="L198" s="85"/>
      <c r="M198" s="85"/>
      <c r="N198" s="85"/>
      <c r="O198" s="85"/>
      <c r="P198" s="85"/>
      <c r="Q198" s="85"/>
      <c r="R198" s="85"/>
      <c r="S198" s="85"/>
      <c r="T198" s="85"/>
      <c r="U198" s="85"/>
      <c r="V198" s="85"/>
      <c r="W198" s="85"/>
      <c r="X198" s="85"/>
      <c r="Y198" s="85"/>
      <c r="Z198" s="85"/>
      <c r="AA198" s="85"/>
      <c r="AB198" s="85"/>
      <c r="AC198" s="81">
        <f t="shared" si="122"/>
        <v>0</v>
      </c>
      <c r="AD198" s="86"/>
      <c r="AE198" s="86"/>
      <c r="AF198" s="86"/>
      <c r="AG198" s="86"/>
      <c r="AH198" s="86"/>
      <c r="AI198" s="86"/>
      <c r="AJ198" s="86"/>
      <c r="AK198" s="86"/>
      <c r="AL198" s="86"/>
      <c r="AM198" s="86"/>
      <c r="AN198" s="86"/>
      <c r="AO198" s="86"/>
      <c r="AP198" s="86"/>
      <c r="AQ198" s="86"/>
      <c r="AR198" s="86"/>
      <c r="AS198" s="86"/>
      <c r="AT198" s="82"/>
      <c r="AU198" s="87"/>
      <c r="AV198" s="818">
        <f t="shared" si="146"/>
        <v>0</v>
      </c>
      <c r="AW198" s="818">
        <f t="shared" si="147"/>
        <v>0</v>
      </c>
      <c r="AX198" s="818">
        <f t="shared" si="148"/>
        <v>0</v>
      </c>
      <c r="AY198" s="88">
        <f t="shared" si="123"/>
        <v>0</v>
      </c>
      <c r="AZ198" s="81">
        <f t="shared" si="124"/>
        <v>0</v>
      </c>
      <c r="BA198" s="81">
        <f t="shared" si="125"/>
        <v>0</v>
      </c>
      <c r="BB198" s="81">
        <f t="shared" si="126"/>
        <v>0</v>
      </c>
      <c r="BC198" s="81">
        <f t="shared" si="127"/>
        <v>0</v>
      </c>
      <c r="BD198" s="81">
        <f t="shared" si="128"/>
        <v>0</v>
      </c>
      <c r="BE198" s="81">
        <f t="shared" si="129"/>
        <v>0</v>
      </c>
      <c r="BF198" s="81">
        <f t="shared" si="130"/>
        <v>0</v>
      </c>
      <c r="BG198" s="81">
        <f t="shared" si="131"/>
        <v>0</v>
      </c>
      <c r="BH198" s="81">
        <f t="shared" si="132"/>
        <v>0</v>
      </c>
      <c r="BI198" s="81">
        <f t="shared" si="133"/>
        <v>0</v>
      </c>
      <c r="BJ198" s="81">
        <f t="shared" si="134"/>
        <v>0</v>
      </c>
      <c r="BK198" s="81">
        <f t="shared" si="135"/>
        <v>0</v>
      </c>
      <c r="BL198" s="81">
        <f t="shared" si="136"/>
        <v>0</v>
      </c>
      <c r="BM198" s="81">
        <f t="shared" si="137"/>
        <v>0</v>
      </c>
      <c r="BN198" s="81">
        <f t="shared" si="138"/>
        <v>0</v>
      </c>
      <c r="BO198" s="81">
        <f t="shared" si="139"/>
        <v>0</v>
      </c>
      <c r="BP198" s="81">
        <f t="shared" si="140"/>
        <v>0</v>
      </c>
      <c r="BQ198" s="81">
        <f t="shared" si="141"/>
        <v>0</v>
      </c>
      <c r="BR198" s="81">
        <f t="shared" si="142"/>
        <v>0</v>
      </c>
      <c r="BS198" s="81">
        <f t="shared" si="143"/>
        <v>0</v>
      </c>
      <c r="BT198" s="89">
        <f t="shared" si="144"/>
        <v>0</v>
      </c>
    </row>
    <row r="199" spans="1:72">
      <c r="A199" s="79"/>
      <c r="B199" s="80"/>
      <c r="C199" s="80"/>
      <c r="D199" s="2301"/>
      <c r="E199" s="81">
        <f t="shared" si="145"/>
        <v>0</v>
      </c>
      <c r="F199" s="82"/>
      <c r="G199" s="83">
        <f t="shared" si="120"/>
        <v>0</v>
      </c>
      <c r="H199" s="84">
        <f t="shared" si="121"/>
        <v>0</v>
      </c>
      <c r="I199" s="85"/>
      <c r="J199" s="85"/>
      <c r="K199" s="85"/>
      <c r="L199" s="85"/>
      <c r="M199" s="85"/>
      <c r="N199" s="85"/>
      <c r="O199" s="85"/>
      <c r="P199" s="85"/>
      <c r="Q199" s="85"/>
      <c r="R199" s="85"/>
      <c r="S199" s="85"/>
      <c r="T199" s="85"/>
      <c r="U199" s="85"/>
      <c r="V199" s="85"/>
      <c r="W199" s="85"/>
      <c r="X199" s="85"/>
      <c r="Y199" s="85"/>
      <c r="Z199" s="85"/>
      <c r="AA199" s="85"/>
      <c r="AB199" s="85"/>
      <c r="AC199" s="81">
        <f t="shared" si="122"/>
        <v>0</v>
      </c>
      <c r="AD199" s="86"/>
      <c r="AE199" s="86"/>
      <c r="AF199" s="86"/>
      <c r="AG199" s="86"/>
      <c r="AH199" s="86"/>
      <c r="AI199" s="86"/>
      <c r="AJ199" s="86"/>
      <c r="AK199" s="86"/>
      <c r="AL199" s="86"/>
      <c r="AM199" s="86"/>
      <c r="AN199" s="86"/>
      <c r="AO199" s="86"/>
      <c r="AP199" s="86"/>
      <c r="AQ199" s="86"/>
      <c r="AR199" s="86"/>
      <c r="AS199" s="86"/>
      <c r="AT199" s="82"/>
      <c r="AU199" s="87"/>
      <c r="AV199" s="818">
        <f t="shared" si="146"/>
        <v>0</v>
      </c>
      <c r="AW199" s="818">
        <f t="shared" si="147"/>
        <v>0</v>
      </c>
      <c r="AX199" s="818">
        <f t="shared" si="148"/>
        <v>0</v>
      </c>
      <c r="AY199" s="88">
        <f t="shared" si="123"/>
        <v>0</v>
      </c>
      <c r="AZ199" s="81">
        <f t="shared" si="124"/>
        <v>0</v>
      </c>
      <c r="BA199" s="81">
        <f t="shared" si="125"/>
        <v>0</v>
      </c>
      <c r="BB199" s="81">
        <f t="shared" si="126"/>
        <v>0</v>
      </c>
      <c r="BC199" s="81">
        <f t="shared" si="127"/>
        <v>0</v>
      </c>
      <c r="BD199" s="81">
        <f t="shared" si="128"/>
        <v>0</v>
      </c>
      <c r="BE199" s="81">
        <f t="shared" si="129"/>
        <v>0</v>
      </c>
      <c r="BF199" s="81">
        <f t="shared" si="130"/>
        <v>0</v>
      </c>
      <c r="BG199" s="81">
        <f t="shared" si="131"/>
        <v>0</v>
      </c>
      <c r="BH199" s="81">
        <f t="shared" si="132"/>
        <v>0</v>
      </c>
      <c r="BI199" s="81">
        <f t="shared" si="133"/>
        <v>0</v>
      </c>
      <c r="BJ199" s="81">
        <f t="shared" si="134"/>
        <v>0</v>
      </c>
      <c r="BK199" s="81">
        <f t="shared" si="135"/>
        <v>0</v>
      </c>
      <c r="BL199" s="81">
        <f t="shared" si="136"/>
        <v>0</v>
      </c>
      <c r="BM199" s="81">
        <f t="shared" si="137"/>
        <v>0</v>
      </c>
      <c r="BN199" s="81">
        <f t="shared" si="138"/>
        <v>0</v>
      </c>
      <c r="BO199" s="81">
        <f t="shared" si="139"/>
        <v>0</v>
      </c>
      <c r="BP199" s="81">
        <f t="shared" si="140"/>
        <v>0</v>
      </c>
      <c r="BQ199" s="81">
        <f t="shared" si="141"/>
        <v>0</v>
      </c>
      <c r="BR199" s="81">
        <f t="shared" si="142"/>
        <v>0</v>
      </c>
      <c r="BS199" s="81">
        <f t="shared" si="143"/>
        <v>0</v>
      </c>
      <c r="BT199" s="89">
        <f t="shared" si="144"/>
        <v>0</v>
      </c>
    </row>
    <row r="200" spans="1:72">
      <c r="A200" s="79"/>
      <c r="B200" s="80"/>
      <c r="C200" s="80"/>
      <c r="D200" s="2301"/>
      <c r="E200" s="81">
        <f t="shared" si="145"/>
        <v>0</v>
      </c>
      <c r="F200" s="82"/>
      <c r="G200" s="83">
        <f t="shared" si="120"/>
        <v>0</v>
      </c>
      <c r="H200" s="84">
        <f t="shared" si="121"/>
        <v>0</v>
      </c>
      <c r="I200" s="85"/>
      <c r="J200" s="85"/>
      <c r="K200" s="85"/>
      <c r="L200" s="85"/>
      <c r="M200" s="85"/>
      <c r="N200" s="85"/>
      <c r="O200" s="85"/>
      <c r="P200" s="85"/>
      <c r="Q200" s="85"/>
      <c r="R200" s="85"/>
      <c r="S200" s="85"/>
      <c r="T200" s="85"/>
      <c r="U200" s="85"/>
      <c r="V200" s="85"/>
      <c r="W200" s="85"/>
      <c r="X200" s="85"/>
      <c r="Y200" s="85"/>
      <c r="Z200" s="85"/>
      <c r="AA200" s="85"/>
      <c r="AB200" s="85"/>
      <c r="AC200" s="81">
        <f t="shared" si="122"/>
        <v>0</v>
      </c>
      <c r="AD200" s="86"/>
      <c r="AE200" s="86"/>
      <c r="AF200" s="86"/>
      <c r="AG200" s="86"/>
      <c r="AH200" s="86"/>
      <c r="AI200" s="86"/>
      <c r="AJ200" s="86"/>
      <c r="AK200" s="86"/>
      <c r="AL200" s="86"/>
      <c r="AM200" s="86"/>
      <c r="AN200" s="86"/>
      <c r="AO200" s="86"/>
      <c r="AP200" s="86"/>
      <c r="AQ200" s="86"/>
      <c r="AR200" s="86"/>
      <c r="AS200" s="86"/>
      <c r="AT200" s="82"/>
      <c r="AU200" s="87"/>
      <c r="AV200" s="818">
        <f t="shared" si="146"/>
        <v>0</v>
      </c>
      <c r="AW200" s="818">
        <f t="shared" si="147"/>
        <v>0</v>
      </c>
      <c r="AX200" s="818">
        <f t="shared" si="148"/>
        <v>0</v>
      </c>
      <c r="AY200" s="88">
        <f t="shared" si="123"/>
        <v>0</v>
      </c>
      <c r="AZ200" s="81">
        <f t="shared" si="124"/>
        <v>0</v>
      </c>
      <c r="BA200" s="81">
        <f t="shared" si="125"/>
        <v>0</v>
      </c>
      <c r="BB200" s="81">
        <f t="shared" si="126"/>
        <v>0</v>
      </c>
      <c r="BC200" s="81">
        <f t="shared" si="127"/>
        <v>0</v>
      </c>
      <c r="BD200" s="81">
        <f t="shared" si="128"/>
        <v>0</v>
      </c>
      <c r="BE200" s="81">
        <f t="shared" si="129"/>
        <v>0</v>
      </c>
      <c r="BF200" s="81">
        <f t="shared" si="130"/>
        <v>0</v>
      </c>
      <c r="BG200" s="81">
        <f t="shared" si="131"/>
        <v>0</v>
      </c>
      <c r="BH200" s="81">
        <f t="shared" si="132"/>
        <v>0</v>
      </c>
      <c r="BI200" s="81">
        <f t="shared" si="133"/>
        <v>0</v>
      </c>
      <c r="BJ200" s="81">
        <f t="shared" si="134"/>
        <v>0</v>
      </c>
      <c r="BK200" s="81">
        <f t="shared" si="135"/>
        <v>0</v>
      </c>
      <c r="BL200" s="81">
        <f t="shared" si="136"/>
        <v>0</v>
      </c>
      <c r="BM200" s="81">
        <f t="shared" si="137"/>
        <v>0</v>
      </c>
      <c r="BN200" s="81">
        <f t="shared" si="138"/>
        <v>0</v>
      </c>
      <c r="BO200" s="81">
        <f t="shared" si="139"/>
        <v>0</v>
      </c>
      <c r="BP200" s="81">
        <f t="shared" si="140"/>
        <v>0</v>
      </c>
      <c r="BQ200" s="81">
        <f t="shared" si="141"/>
        <v>0</v>
      </c>
      <c r="BR200" s="81">
        <f t="shared" si="142"/>
        <v>0</v>
      </c>
      <c r="BS200" s="81">
        <f t="shared" si="143"/>
        <v>0</v>
      </c>
      <c r="BT200" s="89">
        <f t="shared" si="144"/>
        <v>0</v>
      </c>
    </row>
    <row r="201" spans="1:72">
      <c r="A201" s="79"/>
      <c r="B201" s="80"/>
      <c r="C201" s="80"/>
      <c r="D201" s="2301"/>
      <c r="E201" s="81">
        <f t="shared" si="145"/>
        <v>0</v>
      </c>
      <c r="F201" s="82"/>
      <c r="G201" s="83">
        <f t="shared" si="120"/>
        <v>0</v>
      </c>
      <c r="H201" s="84">
        <f t="shared" si="121"/>
        <v>0</v>
      </c>
      <c r="I201" s="85"/>
      <c r="J201" s="85"/>
      <c r="K201" s="85"/>
      <c r="L201" s="85"/>
      <c r="M201" s="85"/>
      <c r="N201" s="85"/>
      <c r="O201" s="85"/>
      <c r="P201" s="85"/>
      <c r="Q201" s="85"/>
      <c r="R201" s="85"/>
      <c r="S201" s="85"/>
      <c r="T201" s="85"/>
      <c r="U201" s="85"/>
      <c r="V201" s="85"/>
      <c r="W201" s="85"/>
      <c r="X201" s="85"/>
      <c r="Y201" s="85"/>
      <c r="Z201" s="85"/>
      <c r="AA201" s="85"/>
      <c r="AB201" s="85"/>
      <c r="AC201" s="81">
        <f t="shared" si="122"/>
        <v>0</v>
      </c>
      <c r="AD201" s="86"/>
      <c r="AE201" s="86"/>
      <c r="AF201" s="86"/>
      <c r="AG201" s="86"/>
      <c r="AH201" s="86"/>
      <c r="AI201" s="86"/>
      <c r="AJ201" s="86"/>
      <c r="AK201" s="86"/>
      <c r="AL201" s="86"/>
      <c r="AM201" s="86"/>
      <c r="AN201" s="86"/>
      <c r="AO201" s="86"/>
      <c r="AP201" s="86"/>
      <c r="AQ201" s="86"/>
      <c r="AR201" s="86"/>
      <c r="AS201" s="86"/>
      <c r="AT201" s="82"/>
      <c r="AU201" s="87"/>
      <c r="AV201" s="818">
        <f t="shared" si="146"/>
        <v>0</v>
      </c>
      <c r="AW201" s="818">
        <f t="shared" si="147"/>
        <v>0</v>
      </c>
      <c r="AX201" s="818">
        <f t="shared" si="148"/>
        <v>0</v>
      </c>
      <c r="AY201" s="88">
        <f t="shared" si="123"/>
        <v>0</v>
      </c>
      <c r="AZ201" s="81">
        <f t="shared" si="124"/>
        <v>0</v>
      </c>
      <c r="BA201" s="81">
        <f t="shared" si="125"/>
        <v>0</v>
      </c>
      <c r="BB201" s="81">
        <f t="shared" si="126"/>
        <v>0</v>
      </c>
      <c r="BC201" s="81">
        <f t="shared" si="127"/>
        <v>0</v>
      </c>
      <c r="BD201" s="81">
        <f t="shared" si="128"/>
        <v>0</v>
      </c>
      <c r="BE201" s="81">
        <f t="shared" si="129"/>
        <v>0</v>
      </c>
      <c r="BF201" s="81">
        <f t="shared" si="130"/>
        <v>0</v>
      </c>
      <c r="BG201" s="81">
        <f t="shared" si="131"/>
        <v>0</v>
      </c>
      <c r="BH201" s="81">
        <f t="shared" si="132"/>
        <v>0</v>
      </c>
      <c r="BI201" s="81">
        <f t="shared" si="133"/>
        <v>0</v>
      </c>
      <c r="BJ201" s="81">
        <f t="shared" si="134"/>
        <v>0</v>
      </c>
      <c r="BK201" s="81">
        <f t="shared" si="135"/>
        <v>0</v>
      </c>
      <c r="BL201" s="81">
        <f t="shared" si="136"/>
        <v>0</v>
      </c>
      <c r="BM201" s="81">
        <f t="shared" si="137"/>
        <v>0</v>
      </c>
      <c r="BN201" s="81">
        <f t="shared" si="138"/>
        <v>0</v>
      </c>
      <c r="BO201" s="81">
        <f t="shared" si="139"/>
        <v>0</v>
      </c>
      <c r="BP201" s="81">
        <f t="shared" si="140"/>
        <v>0</v>
      </c>
      <c r="BQ201" s="81">
        <f t="shared" si="141"/>
        <v>0</v>
      </c>
      <c r="BR201" s="81">
        <f t="shared" si="142"/>
        <v>0</v>
      </c>
      <c r="BS201" s="81">
        <f t="shared" si="143"/>
        <v>0</v>
      </c>
      <c r="BT201" s="89">
        <f t="shared" si="144"/>
        <v>0</v>
      </c>
    </row>
    <row r="202" spans="1:72">
      <c r="A202" s="79"/>
      <c r="B202" s="79"/>
      <c r="C202" s="79"/>
      <c r="D202" s="2301"/>
      <c r="E202" s="81">
        <f t="shared" si="145"/>
        <v>0</v>
      </c>
      <c r="F202" s="86"/>
      <c r="G202" s="83">
        <f t="shared" si="120"/>
        <v>0</v>
      </c>
      <c r="H202" s="84">
        <f t="shared" si="121"/>
        <v>0</v>
      </c>
      <c r="I202" s="90"/>
      <c r="J202" s="90"/>
      <c r="K202" s="85"/>
      <c r="L202" s="85"/>
      <c r="M202" s="85"/>
      <c r="N202" s="85"/>
      <c r="O202" s="85"/>
      <c r="P202" s="85"/>
      <c r="Q202" s="85"/>
      <c r="R202" s="85"/>
      <c r="S202" s="85"/>
      <c r="T202" s="85"/>
      <c r="U202" s="85"/>
      <c r="V202" s="85"/>
      <c r="W202" s="85"/>
      <c r="X202" s="85"/>
      <c r="Y202" s="85"/>
      <c r="Z202" s="85"/>
      <c r="AA202" s="85"/>
      <c r="AB202" s="85"/>
      <c r="AC202" s="81">
        <f t="shared" si="122"/>
        <v>0</v>
      </c>
      <c r="AD202" s="86"/>
      <c r="AE202" s="86"/>
      <c r="AF202" s="86"/>
      <c r="AG202" s="86"/>
      <c r="AH202" s="86"/>
      <c r="AI202" s="86"/>
      <c r="AJ202" s="86"/>
      <c r="AK202" s="86"/>
      <c r="AL202" s="86"/>
      <c r="AM202" s="86"/>
      <c r="AN202" s="86"/>
      <c r="AO202" s="86"/>
      <c r="AP202" s="86"/>
      <c r="AQ202" s="86"/>
      <c r="AR202" s="86"/>
      <c r="AS202" s="86"/>
      <c r="AT202" s="86"/>
      <c r="AU202" s="91"/>
      <c r="AV202" s="818">
        <f t="shared" si="146"/>
        <v>0</v>
      </c>
      <c r="AW202" s="818">
        <f t="shared" si="147"/>
        <v>0</v>
      </c>
      <c r="AX202" s="818">
        <f t="shared" si="148"/>
        <v>0</v>
      </c>
      <c r="AY202" s="88">
        <f t="shared" si="123"/>
        <v>0</v>
      </c>
      <c r="AZ202" s="81">
        <f t="shared" si="124"/>
        <v>0</v>
      </c>
      <c r="BA202" s="81">
        <f t="shared" si="125"/>
        <v>0</v>
      </c>
      <c r="BB202" s="81">
        <f t="shared" si="126"/>
        <v>0</v>
      </c>
      <c r="BC202" s="81">
        <f t="shared" si="127"/>
        <v>0</v>
      </c>
      <c r="BD202" s="81">
        <f t="shared" si="128"/>
        <v>0</v>
      </c>
      <c r="BE202" s="81">
        <f t="shared" si="129"/>
        <v>0</v>
      </c>
      <c r="BF202" s="81">
        <f t="shared" si="130"/>
        <v>0</v>
      </c>
      <c r="BG202" s="81">
        <f t="shared" si="131"/>
        <v>0</v>
      </c>
      <c r="BH202" s="81">
        <f t="shared" si="132"/>
        <v>0</v>
      </c>
      <c r="BI202" s="81">
        <f t="shared" si="133"/>
        <v>0</v>
      </c>
      <c r="BJ202" s="81">
        <f t="shared" si="134"/>
        <v>0</v>
      </c>
      <c r="BK202" s="81">
        <f t="shared" si="135"/>
        <v>0</v>
      </c>
      <c r="BL202" s="81">
        <f t="shared" si="136"/>
        <v>0</v>
      </c>
      <c r="BM202" s="81">
        <f t="shared" si="137"/>
        <v>0</v>
      </c>
      <c r="BN202" s="81">
        <f t="shared" si="138"/>
        <v>0</v>
      </c>
      <c r="BO202" s="81">
        <f t="shared" si="139"/>
        <v>0</v>
      </c>
      <c r="BP202" s="81">
        <f t="shared" si="140"/>
        <v>0</v>
      </c>
      <c r="BQ202" s="81">
        <f t="shared" si="141"/>
        <v>0</v>
      </c>
      <c r="BR202" s="81">
        <f t="shared" si="142"/>
        <v>0</v>
      </c>
      <c r="BS202" s="81">
        <f t="shared" si="143"/>
        <v>0</v>
      </c>
      <c r="BT202" s="89">
        <f t="shared" si="144"/>
        <v>0</v>
      </c>
    </row>
    <row r="203" spans="1:72">
      <c r="A203" s="79"/>
      <c r="B203" s="79"/>
      <c r="C203" s="79"/>
      <c r="D203" s="2301"/>
      <c r="E203" s="81">
        <f t="shared" si="145"/>
        <v>0</v>
      </c>
      <c r="F203" s="86"/>
      <c r="G203" s="83">
        <f t="shared" si="120"/>
        <v>0</v>
      </c>
      <c r="H203" s="84">
        <f t="shared" si="121"/>
        <v>0</v>
      </c>
      <c r="I203" s="85"/>
      <c r="J203" s="85"/>
      <c r="K203" s="85"/>
      <c r="L203" s="85"/>
      <c r="M203" s="85"/>
      <c r="N203" s="85"/>
      <c r="O203" s="85"/>
      <c r="P203" s="85"/>
      <c r="Q203" s="85"/>
      <c r="R203" s="85"/>
      <c r="S203" s="85"/>
      <c r="T203" s="85"/>
      <c r="U203" s="85"/>
      <c r="V203" s="85"/>
      <c r="W203" s="85"/>
      <c r="X203" s="85"/>
      <c r="Y203" s="85"/>
      <c r="Z203" s="85"/>
      <c r="AA203" s="85"/>
      <c r="AB203" s="85"/>
      <c r="AC203" s="81">
        <f t="shared" si="122"/>
        <v>0</v>
      </c>
      <c r="AD203" s="86"/>
      <c r="AE203" s="86"/>
      <c r="AF203" s="86"/>
      <c r="AG203" s="86"/>
      <c r="AH203" s="86"/>
      <c r="AI203" s="86"/>
      <c r="AJ203" s="86"/>
      <c r="AK203" s="86"/>
      <c r="AL203" s="86"/>
      <c r="AM203" s="86"/>
      <c r="AN203" s="86"/>
      <c r="AO203" s="86"/>
      <c r="AP203" s="86"/>
      <c r="AQ203" s="86"/>
      <c r="AR203" s="86"/>
      <c r="AS203" s="86"/>
      <c r="AT203" s="86"/>
      <c r="AU203" s="91"/>
      <c r="AV203" s="818">
        <f t="shared" si="146"/>
        <v>0</v>
      </c>
      <c r="AW203" s="818">
        <f t="shared" si="147"/>
        <v>0</v>
      </c>
      <c r="AX203" s="818">
        <f t="shared" si="148"/>
        <v>0</v>
      </c>
      <c r="AY203" s="88">
        <f t="shared" si="123"/>
        <v>0</v>
      </c>
      <c r="AZ203" s="81">
        <f t="shared" si="124"/>
        <v>0</v>
      </c>
      <c r="BA203" s="81">
        <f t="shared" si="125"/>
        <v>0</v>
      </c>
      <c r="BB203" s="81">
        <f t="shared" si="126"/>
        <v>0</v>
      </c>
      <c r="BC203" s="81">
        <f t="shared" si="127"/>
        <v>0</v>
      </c>
      <c r="BD203" s="81">
        <f t="shared" si="128"/>
        <v>0</v>
      </c>
      <c r="BE203" s="81">
        <f t="shared" si="129"/>
        <v>0</v>
      </c>
      <c r="BF203" s="81">
        <f t="shared" si="130"/>
        <v>0</v>
      </c>
      <c r="BG203" s="81">
        <f t="shared" si="131"/>
        <v>0</v>
      </c>
      <c r="BH203" s="81">
        <f t="shared" si="132"/>
        <v>0</v>
      </c>
      <c r="BI203" s="81">
        <f t="shared" si="133"/>
        <v>0</v>
      </c>
      <c r="BJ203" s="81">
        <f t="shared" si="134"/>
        <v>0</v>
      </c>
      <c r="BK203" s="81">
        <f t="shared" si="135"/>
        <v>0</v>
      </c>
      <c r="BL203" s="81">
        <f t="shared" si="136"/>
        <v>0</v>
      </c>
      <c r="BM203" s="81">
        <f t="shared" si="137"/>
        <v>0</v>
      </c>
      <c r="BN203" s="81">
        <f t="shared" si="138"/>
        <v>0</v>
      </c>
      <c r="BO203" s="81">
        <f t="shared" si="139"/>
        <v>0</v>
      </c>
      <c r="BP203" s="81">
        <f t="shared" si="140"/>
        <v>0</v>
      </c>
      <c r="BQ203" s="81">
        <f t="shared" si="141"/>
        <v>0</v>
      </c>
      <c r="BR203" s="81">
        <f t="shared" si="142"/>
        <v>0</v>
      </c>
      <c r="BS203" s="81">
        <f t="shared" si="143"/>
        <v>0</v>
      </c>
      <c r="BT203" s="89">
        <f t="shared" si="144"/>
        <v>0</v>
      </c>
    </row>
    <row r="204" spans="1:72">
      <c r="A204" s="79"/>
      <c r="B204" s="79"/>
      <c r="C204" s="79"/>
      <c r="D204" s="2301"/>
      <c r="E204" s="81">
        <f t="shared" si="145"/>
        <v>0</v>
      </c>
      <c r="F204" s="86"/>
      <c r="G204" s="83">
        <f t="shared" si="120"/>
        <v>0</v>
      </c>
      <c r="H204" s="84">
        <f t="shared" si="121"/>
        <v>0</v>
      </c>
      <c r="I204" s="85"/>
      <c r="J204" s="85"/>
      <c r="K204" s="85"/>
      <c r="L204" s="85"/>
      <c r="M204" s="85"/>
      <c r="N204" s="85"/>
      <c r="O204" s="85"/>
      <c r="P204" s="85"/>
      <c r="Q204" s="85"/>
      <c r="R204" s="85"/>
      <c r="S204" s="85"/>
      <c r="T204" s="85"/>
      <c r="U204" s="85"/>
      <c r="V204" s="85"/>
      <c r="W204" s="85"/>
      <c r="X204" s="85"/>
      <c r="Y204" s="85"/>
      <c r="Z204" s="85"/>
      <c r="AA204" s="85"/>
      <c r="AB204" s="85"/>
      <c r="AC204" s="81">
        <f t="shared" si="122"/>
        <v>0</v>
      </c>
      <c r="AD204" s="86"/>
      <c r="AE204" s="86"/>
      <c r="AF204" s="86"/>
      <c r="AG204" s="86"/>
      <c r="AH204" s="86"/>
      <c r="AI204" s="86"/>
      <c r="AJ204" s="86"/>
      <c r="AK204" s="86"/>
      <c r="AL204" s="86"/>
      <c r="AM204" s="86"/>
      <c r="AN204" s="86"/>
      <c r="AO204" s="86"/>
      <c r="AP204" s="86"/>
      <c r="AQ204" s="86"/>
      <c r="AR204" s="86"/>
      <c r="AS204" s="86"/>
      <c r="AT204" s="86"/>
      <c r="AU204" s="91"/>
      <c r="AV204" s="818">
        <f t="shared" si="146"/>
        <v>0</v>
      </c>
      <c r="AW204" s="818">
        <f t="shared" si="147"/>
        <v>0</v>
      </c>
      <c r="AX204" s="818">
        <f t="shared" si="148"/>
        <v>0</v>
      </c>
      <c r="AY204" s="88">
        <f t="shared" si="123"/>
        <v>0</v>
      </c>
      <c r="AZ204" s="81">
        <f t="shared" si="124"/>
        <v>0</v>
      </c>
      <c r="BA204" s="81">
        <f t="shared" si="125"/>
        <v>0</v>
      </c>
      <c r="BB204" s="81">
        <f t="shared" si="126"/>
        <v>0</v>
      </c>
      <c r="BC204" s="81">
        <f t="shared" si="127"/>
        <v>0</v>
      </c>
      <c r="BD204" s="81">
        <f t="shared" si="128"/>
        <v>0</v>
      </c>
      <c r="BE204" s="81">
        <f t="shared" si="129"/>
        <v>0</v>
      </c>
      <c r="BF204" s="81">
        <f t="shared" si="130"/>
        <v>0</v>
      </c>
      <c r="BG204" s="81">
        <f t="shared" si="131"/>
        <v>0</v>
      </c>
      <c r="BH204" s="81">
        <f t="shared" si="132"/>
        <v>0</v>
      </c>
      <c r="BI204" s="81">
        <f t="shared" si="133"/>
        <v>0</v>
      </c>
      <c r="BJ204" s="81">
        <f t="shared" si="134"/>
        <v>0</v>
      </c>
      <c r="BK204" s="81">
        <f t="shared" si="135"/>
        <v>0</v>
      </c>
      <c r="BL204" s="81">
        <f t="shared" si="136"/>
        <v>0</v>
      </c>
      <c r="BM204" s="81">
        <f t="shared" si="137"/>
        <v>0</v>
      </c>
      <c r="BN204" s="81">
        <f t="shared" si="138"/>
        <v>0</v>
      </c>
      <c r="BO204" s="81">
        <f t="shared" si="139"/>
        <v>0</v>
      </c>
      <c r="BP204" s="81">
        <f t="shared" si="140"/>
        <v>0</v>
      </c>
      <c r="BQ204" s="81">
        <f t="shared" si="141"/>
        <v>0</v>
      </c>
      <c r="BR204" s="81">
        <f t="shared" si="142"/>
        <v>0</v>
      </c>
      <c r="BS204" s="81">
        <f t="shared" si="143"/>
        <v>0</v>
      </c>
      <c r="BT204" s="89">
        <f t="shared" si="144"/>
        <v>0</v>
      </c>
    </row>
    <row r="205" spans="1:72">
      <c r="A205" s="79"/>
      <c r="B205" s="1179"/>
      <c r="C205" s="1180"/>
      <c r="D205" s="2301"/>
      <c r="E205" s="81">
        <f t="shared" ref="E205:E296" si="149">IF($C$3="是",ROUND($A$3*G205/$B$3,2),ROUND($A$3*(G205-AT205)/$B$3,2))</f>
        <v>0</v>
      </c>
      <c r="F205" s="82"/>
      <c r="G205" s="83">
        <f t="shared" ref="G205:G293" si="150">H205+AC205+AT205</f>
        <v>0</v>
      </c>
      <c r="H205" s="84">
        <f t="shared" ref="H205:H293" si="151">SUMIF(I$12:AB$12,"总值",I205:AB205)</f>
        <v>0</v>
      </c>
      <c r="I205" s="1180"/>
      <c r="J205" s="85"/>
      <c r="K205" s="1180"/>
      <c r="L205" s="85"/>
      <c r="M205" s="85"/>
      <c r="N205" s="85"/>
      <c r="O205" s="85"/>
      <c r="P205" s="85"/>
      <c r="Q205" s="85"/>
      <c r="R205" s="85"/>
      <c r="S205" s="85"/>
      <c r="T205" s="85"/>
      <c r="U205" s="85"/>
      <c r="V205" s="85"/>
      <c r="W205" s="85"/>
      <c r="X205" s="85"/>
      <c r="Y205" s="85"/>
      <c r="Z205" s="85"/>
      <c r="AA205" s="85"/>
      <c r="AB205" s="85"/>
      <c r="AC205" s="81">
        <f t="shared" ref="AC205:AC293" si="152">SUMIF(AD$12:AS$12,"总值",AD205:AS205)</f>
        <v>0</v>
      </c>
      <c r="AD205" s="86"/>
      <c r="AE205" s="86"/>
      <c r="AF205" s="1181"/>
      <c r="AG205" s="86"/>
      <c r="AH205" s="86"/>
      <c r="AI205" s="86"/>
      <c r="AJ205" s="86"/>
      <c r="AK205" s="86"/>
      <c r="AL205" s="86"/>
      <c r="AM205" s="86"/>
      <c r="AN205" s="1158"/>
      <c r="AO205" s="86"/>
      <c r="AP205" s="86"/>
      <c r="AQ205" s="86"/>
      <c r="AR205" s="86"/>
      <c r="AS205" s="86"/>
      <c r="AT205" s="82"/>
      <c r="AU205" s="87"/>
      <c r="AV205" s="818">
        <f t="shared" ref="AV205:AV296" si="153">A205</f>
        <v>0</v>
      </c>
      <c r="AW205" s="818">
        <f t="shared" ref="AW205:AW296" si="154">B205</f>
        <v>0</v>
      </c>
      <c r="AX205" s="818">
        <f t="shared" ref="AX205:AX296" si="155">C205</f>
        <v>0</v>
      </c>
      <c r="AY205" s="88">
        <f t="shared" ref="AY205:AY293" si="156">ROUND($AY$6*AZ205/$AZ$5,2)</f>
        <v>0</v>
      </c>
      <c r="AZ205" s="81">
        <f t="shared" ref="AZ205:AZ293" si="157">BA205+BL205</f>
        <v>0</v>
      </c>
      <c r="BA205" s="81">
        <f t="shared" ref="BA205:BA293" si="158">SUM(BB205:BK205)</f>
        <v>0</v>
      </c>
      <c r="BB205" s="81">
        <f t="shared" ref="BB205:BB293" si="159">IF($D205="是",I205-J205,0)</f>
        <v>0</v>
      </c>
      <c r="BC205" s="81">
        <f t="shared" ref="BC205:BC293" si="160">IF($D205="是",K205-L205,0)</f>
        <v>0</v>
      </c>
      <c r="BD205" s="81">
        <f t="shared" ref="BD205:BD293" si="161">IF($D205="是",M205-N205,0)</f>
        <v>0</v>
      </c>
      <c r="BE205" s="81">
        <f t="shared" ref="BE205:BE293" si="162">IF($D205="是",O205-P205,0)</f>
        <v>0</v>
      </c>
      <c r="BF205" s="81">
        <f t="shared" ref="BF205:BF293" si="163">IF($D205="是",Q205-R205,0)</f>
        <v>0</v>
      </c>
      <c r="BG205" s="81">
        <f t="shared" ref="BG205:BG293" si="164">IF($D205="是",S205-T205,0)</f>
        <v>0</v>
      </c>
      <c r="BH205" s="81">
        <f t="shared" ref="BH205:BH293" si="165">IF($D205="是",U205-V205,0)</f>
        <v>0</v>
      </c>
      <c r="BI205" s="81">
        <f t="shared" ref="BI205:BI293" si="166">IF($D205="是",W205-X205,0)</f>
        <v>0</v>
      </c>
      <c r="BJ205" s="81">
        <f t="shared" ref="BJ205:BJ293" si="167">IF($D205="是",Y205-Z205,0)</f>
        <v>0</v>
      </c>
      <c r="BK205" s="81">
        <f t="shared" ref="BK205:BK293" si="168">IF($D205="是",AA205-AB205,0)</f>
        <v>0</v>
      </c>
      <c r="BL205" s="81">
        <f t="shared" ref="BL205:BL293" si="169">SUM(BM205:BT205)</f>
        <v>0</v>
      </c>
      <c r="BM205" s="81">
        <f t="shared" ref="BM205:BM293" si="170">IF($D205="是",AD205-AE205,0)</f>
        <v>0</v>
      </c>
      <c r="BN205" s="81">
        <f t="shared" ref="BN205:BN293" si="171">IF($D205="是",AF205-AG205,0)</f>
        <v>0</v>
      </c>
      <c r="BO205" s="81">
        <f t="shared" ref="BO205:BO293" si="172">IF($D205="是",AH205-AI205,0)</f>
        <v>0</v>
      </c>
      <c r="BP205" s="81">
        <f t="shared" ref="BP205:BP293" si="173">IF($D205="是",AJ205-AK205,0)</f>
        <v>0</v>
      </c>
      <c r="BQ205" s="81">
        <f t="shared" ref="BQ205:BQ293" si="174">IF($D205="是",AL205-AM205,0)</f>
        <v>0</v>
      </c>
      <c r="BR205" s="81">
        <f t="shared" ref="BR205:BR293" si="175">IF($D205="是",AN205-AO205,0)</f>
        <v>0</v>
      </c>
      <c r="BS205" s="81">
        <f t="shared" ref="BS205:BS293" si="176">IF($D205="是",AP205-AQ205,0)</f>
        <v>0</v>
      </c>
      <c r="BT205" s="89">
        <f t="shared" ref="BT205:BT293" si="177">IF($D205="是",AR205-AS205,0)</f>
        <v>0</v>
      </c>
    </row>
    <row r="206" spans="1:72">
      <c r="A206" s="79"/>
      <c r="B206" s="1179"/>
      <c r="C206" s="1180"/>
      <c r="D206" s="2301"/>
      <c r="E206" s="81">
        <f t="shared" si="149"/>
        <v>0</v>
      </c>
      <c r="F206" s="82"/>
      <c r="G206" s="83">
        <f t="shared" si="150"/>
        <v>0</v>
      </c>
      <c r="H206" s="84">
        <f t="shared" si="151"/>
        <v>0</v>
      </c>
      <c r="I206" s="1180"/>
      <c r="J206" s="85"/>
      <c r="K206" s="1180"/>
      <c r="L206" s="85"/>
      <c r="M206" s="1158"/>
      <c r="N206" s="85"/>
      <c r="O206" s="85"/>
      <c r="P206" s="85"/>
      <c r="Q206" s="85"/>
      <c r="R206" s="85"/>
      <c r="S206" s="85"/>
      <c r="T206" s="85"/>
      <c r="U206" s="85"/>
      <c r="V206" s="85"/>
      <c r="W206" s="85"/>
      <c r="X206" s="85"/>
      <c r="Y206" s="85"/>
      <c r="Z206" s="85"/>
      <c r="AA206" s="85"/>
      <c r="AB206" s="85"/>
      <c r="AC206" s="81">
        <f t="shared" si="152"/>
        <v>0</v>
      </c>
      <c r="AD206" s="1158"/>
      <c r="AE206" s="86"/>
      <c r="AF206" s="1181"/>
      <c r="AG206" s="86"/>
      <c r="AH206" s="86"/>
      <c r="AI206" s="86"/>
      <c r="AJ206" s="86"/>
      <c r="AK206" s="86"/>
      <c r="AL206" s="1158"/>
      <c r="AM206" s="86"/>
      <c r="AN206" s="1158"/>
      <c r="AO206" s="86"/>
      <c r="AP206" s="86"/>
      <c r="AQ206" s="86"/>
      <c r="AR206" s="86"/>
      <c r="AS206" s="86"/>
      <c r="AT206" s="82"/>
      <c r="AU206" s="87"/>
      <c r="AV206" s="818">
        <f t="shared" si="153"/>
        <v>0</v>
      </c>
      <c r="AW206" s="818">
        <f t="shared" si="154"/>
        <v>0</v>
      </c>
      <c r="AX206" s="818">
        <f t="shared" si="155"/>
        <v>0</v>
      </c>
      <c r="AY206" s="88">
        <f t="shared" si="156"/>
        <v>0</v>
      </c>
      <c r="AZ206" s="81">
        <f t="shared" si="157"/>
        <v>0</v>
      </c>
      <c r="BA206" s="81">
        <f t="shared" si="158"/>
        <v>0</v>
      </c>
      <c r="BB206" s="81">
        <f t="shared" si="159"/>
        <v>0</v>
      </c>
      <c r="BC206" s="81">
        <f t="shared" si="160"/>
        <v>0</v>
      </c>
      <c r="BD206" s="81">
        <f t="shared" si="161"/>
        <v>0</v>
      </c>
      <c r="BE206" s="81">
        <f t="shared" si="162"/>
        <v>0</v>
      </c>
      <c r="BF206" s="81">
        <f t="shared" si="163"/>
        <v>0</v>
      </c>
      <c r="BG206" s="81">
        <f t="shared" si="164"/>
        <v>0</v>
      </c>
      <c r="BH206" s="81">
        <f t="shared" si="165"/>
        <v>0</v>
      </c>
      <c r="BI206" s="81">
        <f t="shared" si="166"/>
        <v>0</v>
      </c>
      <c r="BJ206" s="81">
        <f t="shared" si="167"/>
        <v>0</v>
      </c>
      <c r="BK206" s="81">
        <f t="shared" si="168"/>
        <v>0</v>
      </c>
      <c r="BL206" s="81">
        <f t="shared" si="169"/>
        <v>0</v>
      </c>
      <c r="BM206" s="81">
        <f t="shared" si="170"/>
        <v>0</v>
      </c>
      <c r="BN206" s="81">
        <f t="shared" si="171"/>
        <v>0</v>
      </c>
      <c r="BO206" s="81">
        <f t="shared" si="172"/>
        <v>0</v>
      </c>
      <c r="BP206" s="81">
        <f t="shared" si="173"/>
        <v>0</v>
      </c>
      <c r="BQ206" s="81">
        <f t="shared" si="174"/>
        <v>0</v>
      </c>
      <c r="BR206" s="81">
        <f t="shared" si="175"/>
        <v>0</v>
      </c>
      <c r="BS206" s="81">
        <f t="shared" si="176"/>
        <v>0</v>
      </c>
      <c r="BT206" s="89">
        <f t="shared" si="177"/>
        <v>0</v>
      </c>
    </row>
    <row r="207" spans="1:72">
      <c r="A207" s="79"/>
      <c r="B207" s="1179"/>
      <c r="C207" s="1180"/>
      <c r="D207" s="2301"/>
      <c r="E207" s="81">
        <f t="shared" si="149"/>
        <v>0</v>
      </c>
      <c r="F207" s="82"/>
      <c r="G207" s="83">
        <f t="shared" si="150"/>
        <v>0</v>
      </c>
      <c r="H207" s="84">
        <f t="shared" si="151"/>
        <v>0</v>
      </c>
      <c r="I207" s="1180"/>
      <c r="J207" s="85"/>
      <c r="K207" s="1180"/>
      <c r="L207" s="85"/>
      <c r="M207" s="1158"/>
      <c r="N207" s="85"/>
      <c r="O207" s="85"/>
      <c r="P207" s="85"/>
      <c r="Q207" s="85"/>
      <c r="R207" s="85"/>
      <c r="S207" s="85"/>
      <c r="T207" s="85"/>
      <c r="U207" s="85"/>
      <c r="V207" s="85"/>
      <c r="W207" s="85"/>
      <c r="X207" s="85"/>
      <c r="Y207" s="85"/>
      <c r="Z207" s="85"/>
      <c r="AA207" s="85"/>
      <c r="AB207" s="85"/>
      <c r="AC207" s="81">
        <f t="shared" si="152"/>
        <v>0</v>
      </c>
      <c r="AD207" s="86"/>
      <c r="AE207" s="86"/>
      <c r="AF207" s="1181"/>
      <c r="AG207" s="86"/>
      <c r="AH207" s="86"/>
      <c r="AI207" s="86"/>
      <c r="AJ207" s="86"/>
      <c r="AK207" s="86"/>
      <c r="AL207" s="1158"/>
      <c r="AM207" s="86"/>
      <c r="AN207" s="1158"/>
      <c r="AO207" s="86"/>
      <c r="AP207" s="86"/>
      <c r="AQ207" s="86"/>
      <c r="AR207" s="86"/>
      <c r="AS207" s="86"/>
      <c r="AT207" s="82"/>
      <c r="AU207" s="87"/>
      <c r="AV207" s="818">
        <f t="shared" si="153"/>
        <v>0</v>
      </c>
      <c r="AW207" s="818">
        <f t="shared" si="154"/>
        <v>0</v>
      </c>
      <c r="AX207" s="818">
        <f t="shared" si="155"/>
        <v>0</v>
      </c>
      <c r="AY207" s="88">
        <f t="shared" si="156"/>
        <v>0</v>
      </c>
      <c r="AZ207" s="81">
        <f t="shared" si="157"/>
        <v>0</v>
      </c>
      <c r="BA207" s="81">
        <f t="shared" si="158"/>
        <v>0</v>
      </c>
      <c r="BB207" s="81">
        <f t="shared" si="159"/>
        <v>0</v>
      </c>
      <c r="BC207" s="81">
        <f t="shared" si="160"/>
        <v>0</v>
      </c>
      <c r="BD207" s="81">
        <f t="shared" si="161"/>
        <v>0</v>
      </c>
      <c r="BE207" s="81">
        <f t="shared" si="162"/>
        <v>0</v>
      </c>
      <c r="BF207" s="81">
        <f t="shared" si="163"/>
        <v>0</v>
      </c>
      <c r="BG207" s="81">
        <f t="shared" si="164"/>
        <v>0</v>
      </c>
      <c r="BH207" s="81">
        <f t="shared" si="165"/>
        <v>0</v>
      </c>
      <c r="BI207" s="81">
        <f t="shared" si="166"/>
        <v>0</v>
      </c>
      <c r="BJ207" s="81">
        <f t="shared" si="167"/>
        <v>0</v>
      </c>
      <c r="BK207" s="81">
        <f t="shared" si="168"/>
        <v>0</v>
      </c>
      <c r="BL207" s="81">
        <f t="shared" si="169"/>
        <v>0</v>
      </c>
      <c r="BM207" s="81">
        <f t="shared" si="170"/>
        <v>0</v>
      </c>
      <c r="BN207" s="81">
        <f t="shared" si="171"/>
        <v>0</v>
      </c>
      <c r="BO207" s="81">
        <f t="shared" si="172"/>
        <v>0</v>
      </c>
      <c r="BP207" s="81">
        <f t="shared" si="173"/>
        <v>0</v>
      </c>
      <c r="BQ207" s="81">
        <f t="shared" si="174"/>
        <v>0</v>
      </c>
      <c r="BR207" s="81">
        <f t="shared" si="175"/>
        <v>0</v>
      </c>
      <c r="BS207" s="81">
        <f t="shared" si="176"/>
        <v>0</v>
      </c>
      <c r="BT207" s="89">
        <f t="shared" si="177"/>
        <v>0</v>
      </c>
    </row>
    <row r="208" spans="1:72">
      <c r="A208" s="79"/>
      <c r="B208" s="1179"/>
      <c r="C208" s="1180"/>
      <c r="D208" s="2301"/>
      <c r="E208" s="81">
        <f t="shared" si="149"/>
        <v>0</v>
      </c>
      <c r="F208" s="82"/>
      <c r="G208" s="83">
        <f t="shared" si="150"/>
        <v>0</v>
      </c>
      <c r="H208" s="84">
        <f t="shared" si="151"/>
        <v>0</v>
      </c>
      <c r="I208" s="1180"/>
      <c r="J208" s="85"/>
      <c r="K208" s="1180"/>
      <c r="L208" s="85"/>
      <c r="M208" s="85"/>
      <c r="N208" s="85"/>
      <c r="O208" s="1158"/>
      <c r="P208" s="85"/>
      <c r="Q208" s="85"/>
      <c r="R208" s="85"/>
      <c r="S208" s="85"/>
      <c r="T208" s="85"/>
      <c r="U208" s="85"/>
      <c r="V208" s="85"/>
      <c r="W208" s="85"/>
      <c r="X208" s="85"/>
      <c r="Y208" s="85"/>
      <c r="Z208" s="85"/>
      <c r="AA208" s="85"/>
      <c r="AB208" s="85"/>
      <c r="AC208" s="81">
        <f t="shared" si="152"/>
        <v>0</v>
      </c>
      <c r="AD208" s="86"/>
      <c r="AE208" s="86"/>
      <c r="AF208" s="1181"/>
      <c r="AG208" s="86"/>
      <c r="AH208" s="86"/>
      <c r="AI208" s="86"/>
      <c r="AJ208" s="86"/>
      <c r="AK208" s="86"/>
      <c r="AL208" s="86"/>
      <c r="AM208" s="86"/>
      <c r="AN208" s="1158"/>
      <c r="AO208" s="86"/>
      <c r="AP208" s="86"/>
      <c r="AQ208" s="86"/>
      <c r="AR208" s="86"/>
      <c r="AS208" s="86"/>
      <c r="AT208" s="82"/>
      <c r="AU208" s="87"/>
      <c r="AV208" s="818">
        <f t="shared" si="153"/>
        <v>0</v>
      </c>
      <c r="AW208" s="818">
        <f t="shared" si="154"/>
        <v>0</v>
      </c>
      <c r="AX208" s="818">
        <f t="shared" si="155"/>
        <v>0</v>
      </c>
      <c r="AY208" s="88">
        <f t="shared" si="156"/>
        <v>0</v>
      </c>
      <c r="AZ208" s="81">
        <f t="shared" si="157"/>
        <v>0</v>
      </c>
      <c r="BA208" s="81">
        <f t="shared" si="158"/>
        <v>0</v>
      </c>
      <c r="BB208" s="81">
        <f t="shared" si="159"/>
        <v>0</v>
      </c>
      <c r="BC208" s="81">
        <f t="shared" si="160"/>
        <v>0</v>
      </c>
      <c r="BD208" s="81">
        <f t="shared" si="161"/>
        <v>0</v>
      </c>
      <c r="BE208" s="81">
        <f t="shared" si="162"/>
        <v>0</v>
      </c>
      <c r="BF208" s="81">
        <f t="shared" si="163"/>
        <v>0</v>
      </c>
      <c r="BG208" s="81">
        <f t="shared" si="164"/>
        <v>0</v>
      </c>
      <c r="BH208" s="81">
        <f t="shared" si="165"/>
        <v>0</v>
      </c>
      <c r="BI208" s="81">
        <f t="shared" si="166"/>
        <v>0</v>
      </c>
      <c r="BJ208" s="81">
        <f t="shared" si="167"/>
        <v>0</v>
      </c>
      <c r="BK208" s="81">
        <f t="shared" si="168"/>
        <v>0</v>
      </c>
      <c r="BL208" s="81">
        <f t="shared" si="169"/>
        <v>0</v>
      </c>
      <c r="BM208" s="81">
        <f t="shared" si="170"/>
        <v>0</v>
      </c>
      <c r="BN208" s="81">
        <f t="shared" si="171"/>
        <v>0</v>
      </c>
      <c r="BO208" s="81">
        <f t="shared" si="172"/>
        <v>0</v>
      </c>
      <c r="BP208" s="81">
        <f t="shared" si="173"/>
        <v>0</v>
      </c>
      <c r="BQ208" s="81">
        <f t="shared" si="174"/>
        <v>0</v>
      </c>
      <c r="BR208" s="81">
        <f t="shared" si="175"/>
        <v>0</v>
      </c>
      <c r="BS208" s="81">
        <f t="shared" si="176"/>
        <v>0</v>
      </c>
      <c r="BT208" s="89">
        <f t="shared" si="177"/>
        <v>0</v>
      </c>
    </row>
    <row r="209" spans="1:72">
      <c r="A209" s="79"/>
      <c r="B209" s="1179"/>
      <c r="C209" s="1180"/>
      <c r="D209" s="2301"/>
      <c r="E209" s="81">
        <f t="shared" si="149"/>
        <v>0</v>
      </c>
      <c r="F209" s="82"/>
      <c r="G209" s="83">
        <f t="shared" si="150"/>
        <v>0</v>
      </c>
      <c r="H209" s="84">
        <f t="shared" si="151"/>
        <v>0</v>
      </c>
      <c r="I209" s="1180"/>
      <c r="J209" s="85"/>
      <c r="K209" s="1180"/>
      <c r="L209" s="85"/>
      <c r="M209" s="85"/>
      <c r="N209" s="85"/>
      <c r="O209" s="85"/>
      <c r="P209" s="85"/>
      <c r="Q209" s="85"/>
      <c r="R209" s="85"/>
      <c r="S209" s="85"/>
      <c r="T209" s="85"/>
      <c r="U209" s="85"/>
      <c r="V209" s="85"/>
      <c r="W209" s="85"/>
      <c r="X209" s="85"/>
      <c r="Y209" s="85"/>
      <c r="Z209" s="85"/>
      <c r="AA209" s="85"/>
      <c r="AB209" s="85"/>
      <c r="AC209" s="81">
        <f t="shared" si="152"/>
        <v>0</v>
      </c>
      <c r="AD209" s="86"/>
      <c r="AE209" s="86"/>
      <c r="AF209" s="1181"/>
      <c r="AG209" s="86"/>
      <c r="AH209" s="86"/>
      <c r="AI209" s="86"/>
      <c r="AJ209" s="86"/>
      <c r="AK209" s="86"/>
      <c r="AL209" s="86"/>
      <c r="AM209" s="86"/>
      <c r="AN209" s="86"/>
      <c r="AO209" s="86"/>
      <c r="AP209" s="86"/>
      <c r="AQ209" s="86"/>
      <c r="AR209" s="86"/>
      <c r="AS209" s="86"/>
      <c r="AT209" s="82"/>
      <c r="AU209" s="87"/>
      <c r="AV209" s="818">
        <f t="shared" si="153"/>
        <v>0</v>
      </c>
      <c r="AW209" s="818">
        <f t="shared" si="154"/>
        <v>0</v>
      </c>
      <c r="AX209" s="818">
        <f t="shared" si="155"/>
        <v>0</v>
      </c>
      <c r="AY209" s="88">
        <f t="shared" si="156"/>
        <v>0</v>
      </c>
      <c r="AZ209" s="81">
        <f t="shared" si="157"/>
        <v>0</v>
      </c>
      <c r="BA209" s="81">
        <f t="shared" si="158"/>
        <v>0</v>
      </c>
      <c r="BB209" s="81">
        <f t="shared" si="159"/>
        <v>0</v>
      </c>
      <c r="BC209" s="81">
        <f t="shared" si="160"/>
        <v>0</v>
      </c>
      <c r="BD209" s="81">
        <f t="shared" si="161"/>
        <v>0</v>
      </c>
      <c r="BE209" s="81">
        <f t="shared" si="162"/>
        <v>0</v>
      </c>
      <c r="BF209" s="81">
        <f t="shared" si="163"/>
        <v>0</v>
      </c>
      <c r="BG209" s="81">
        <f t="shared" si="164"/>
        <v>0</v>
      </c>
      <c r="BH209" s="81">
        <f t="shared" si="165"/>
        <v>0</v>
      </c>
      <c r="BI209" s="81">
        <f t="shared" si="166"/>
        <v>0</v>
      </c>
      <c r="BJ209" s="81">
        <f t="shared" si="167"/>
        <v>0</v>
      </c>
      <c r="BK209" s="81">
        <f t="shared" si="168"/>
        <v>0</v>
      </c>
      <c r="BL209" s="81">
        <f t="shared" si="169"/>
        <v>0</v>
      </c>
      <c r="BM209" s="81">
        <f t="shared" si="170"/>
        <v>0</v>
      </c>
      <c r="BN209" s="81">
        <f t="shared" si="171"/>
        <v>0</v>
      </c>
      <c r="BO209" s="81">
        <f t="shared" si="172"/>
        <v>0</v>
      </c>
      <c r="BP209" s="81">
        <f t="shared" si="173"/>
        <v>0</v>
      </c>
      <c r="BQ209" s="81">
        <f t="shared" si="174"/>
        <v>0</v>
      </c>
      <c r="BR209" s="81">
        <f t="shared" si="175"/>
        <v>0</v>
      </c>
      <c r="BS209" s="81">
        <f t="shared" si="176"/>
        <v>0</v>
      </c>
      <c r="BT209" s="89">
        <f t="shared" si="177"/>
        <v>0</v>
      </c>
    </row>
    <row r="210" spans="1:72">
      <c r="A210" s="79"/>
      <c r="B210" s="1179"/>
      <c r="C210" s="1180"/>
      <c r="D210" s="2301"/>
      <c r="E210" s="81">
        <f t="shared" si="149"/>
        <v>0</v>
      </c>
      <c r="F210" s="82"/>
      <c r="G210" s="83">
        <f t="shared" si="150"/>
        <v>0</v>
      </c>
      <c r="H210" s="84">
        <f t="shared" si="151"/>
        <v>0</v>
      </c>
      <c r="I210" s="1180"/>
      <c r="J210" s="85"/>
      <c r="K210" s="1180"/>
      <c r="L210" s="85"/>
      <c r="M210" s="85"/>
      <c r="N210" s="85"/>
      <c r="O210" s="85"/>
      <c r="P210" s="85"/>
      <c r="Q210" s="85"/>
      <c r="R210" s="85"/>
      <c r="S210" s="85"/>
      <c r="T210" s="85"/>
      <c r="U210" s="85"/>
      <c r="V210" s="85"/>
      <c r="W210" s="85"/>
      <c r="X210" s="85"/>
      <c r="Y210" s="85"/>
      <c r="Z210" s="85"/>
      <c r="AA210" s="85"/>
      <c r="AB210" s="85"/>
      <c r="AC210" s="81">
        <f t="shared" si="152"/>
        <v>0</v>
      </c>
      <c r="AD210" s="86"/>
      <c r="AE210" s="86"/>
      <c r="AF210" s="1181"/>
      <c r="AG210" s="86"/>
      <c r="AH210" s="86"/>
      <c r="AI210" s="86"/>
      <c r="AJ210" s="86"/>
      <c r="AK210" s="86"/>
      <c r="AL210" s="86"/>
      <c r="AM210" s="86"/>
      <c r="AN210" s="86"/>
      <c r="AO210" s="86"/>
      <c r="AP210" s="86"/>
      <c r="AQ210" s="86"/>
      <c r="AR210" s="86"/>
      <c r="AS210" s="86"/>
      <c r="AT210" s="82"/>
      <c r="AU210" s="87"/>
      <c r="AV210" s="818">
        <f t="shared" si="153"/>
        <v>0</v>
      </c>
      <c r="AW210" s="818">
        <f t="shared" si="154"/>
        <v>0</v>
      </c>
      <c r="AX210" s="818">
        <f t="shared" si="155"/>
        <v>0</v>
      </c>
      <c r="AY210" s="88">
        <f t="shared" si="156"/>
        <v>0</v>
      </c>
      <c r="AZ210" s="81">
        <f t="shared" si="157"/>
        <v>0</v>
      </c>
      <c r="BA210" s="81">
        <f t="shared" si="158"/>
        <v>0</v>
      </c>
      <c r="BB210" s="81">
        <f t="shared" si="159"/>
        <v>0</v>
      </c>
      <c r="BC210" s="81">
        <f t="shared" si="160"/>
        <v>0</v>
      </c>
      <c r="BD210" s="81">
        <f t="shared" si="161"/>
        <v>0</v>
      </c>
      <c r="BE210" s="81">
        <f t="shared" si="162"/>
        <v>0</v>
      </c>
      <c r="BF210" s="81">
        <f t="shared" si="163"/>
        <v>0</v>
      </c>
      <c r="BG210" s="81">
        <f t="shared" si="164"/>
        <v>0</v>
      </c>
      <c r="BH210" s="81">
        <f t="shared" si="165"/>
        <v>0</v>
      </c>
      <c r="BI210" s="81">
        <f t="shared" si="166"/>
        <v>0</v>
      </c>
      <c r="BJ210" s="81">
        <f t="shared" si="167"/>
        <v>0</v>
      </c>
      <c r="BK210" s="81">
        <f t="shared" si="168"/>
        <v>0</v>
      </c>
      <c r="BL210" s="81">
        <f t="shared" si="169"/>
        <v>0</v>
      </c>
      <c r="BM210" s="81">
        <f t="shared" si="170"/>
        <v>0</v>
      </c>
      <c r="BN210" s="81">
        <f t="shared" si="171"/>
        <v>0</v>
      </c>
      <c r="BO210" s="81">
        <f t="shared" si="172"/>
        <v>0</v>
      </c>
      <c r="BP210" s="81">
        <f t="shared" si="173"/>
        <v>0</v>
      </c>
      <c r="BQ210" s="81">
        <f t="shared" si="174"/>
        <v>0</v>
      </c>
      <c r="BR210" s="81">
        <f t="shared" si="175"/>
        <v>0</v>
      </c>
      <c r="BS210" s="81">
        <f t="shared" si="176"/>
        <v>0</v>
      </c>
      <c r="BT210" s="89">
        <f t="shared" si="177"/>
        <v>0</v>
      </c>
    </row>
    <row r="211" spans="1:72">
      <c r="A211" s="79"/>
      <c r="B211" s="1179"/>
      <c r="C211" s="1180"/>
      <c r="D211" s="2301"/>
      <c r="E211" s="81">
        <f t="shared" si="149"/>
        <v>0</v>
      </c>
      <c r="F211" s="82"/>
      <c r="G211" s="83">
        <f t="shared" si="150"/>
        <v>0</v>
      </c>
      <c r="H211" s="84">
        <f t="shared" si="151"/>
        <v>0</v>
      </c>
      <c r="I211" s="1180"/>
      <c r="J211" s="85"/>
      <c r="K211" s="1180"/>
      <c r="L211" s="85"/>
      <c r="M211" s="85"/>
      <c r="N211" s="85"/>
      <c r="O211" s="85"/>
      <c r="P211" s="85"/>
      <c r="Q211" s="85"/>
      <c r="R211" s="85"/>
      <c r="S211" s="85"/>
      <c r="T211" s="85"/>
      <c r="U211" s="85"/>
      <c r="V211" s="85"/>
      <c r="W211" s="85"/>
      <c r="X211" s="85"/>
      <c r="Y211" s="85"/>
      <c r="Z211" s="85"/>
      <c r="AA211" s="85"/>
      <c r="AB211" s="85"/>
      <c r="AC211" s="81">
        <f t="shared" si="152"/>
        <v>0</v>
      </c>
      <c r="AD211" s="86"/>
      <c r="AE211" s="86"/>
      <c r="AF211" s="1181"/>
      <c r="AG211" s="86"/>
      <c r="AH211" s="86"/>
      <c r="AI211" s="86"/>
      <c r="AJ211" s="86"/>
      <c r="AK211" s="86"/>
      <c r="AL211" s="86"/>
      <c r="AM211" s="86"/>
      <c r="AN211" s="86"/>
      <c r="AO211" s="86"/>
      <c r="AP211" s="86"/>
      <c r="AQ211" s="86"/>
      <c r="AR211" s="86"/>
      <c r="AS211" s="86"/>
      <c r="AT211" s="82"/>
      <c r="AU211" s="87"/>
      <c r="AV211" s="818">
        <f t="shared" si="153"/>
        <v>0</v>
      </c>
      <c r="AW211" s="818">
        <f t="shared" si="154"/>
        <v>0</v>
      </c>
      <c r="AX211" s="818">
        <f t="shared" si="155"/>
        <v>0</v>
      </c>
      <c r="AY211" s="88">
        <f t="shared" si="156"/>
        <v>0</v>
      </c>
      <c r="AZ211" s="81">
        <f t="shared" si="157"/>
        <v>0</v>
      </c>
      <c r="BA211" s="81">
        <f t="shared" si="158"/>
        <v>0</v>
      </c>
      <c r="BB211" s="81">
        <f t="shared" si="159"/>
        <v>0</v>
      </c>
      <c r="BC211" s="81">
        <f t="shared" si="160"/>
        <v>0</v>
      </c>
      <c r="BD211" s="81">
        <f t="shared" si="161"/>
        <v>0</v>
      </c>
      <c r="BE211" s="81">
        <f t="shared" si="162"/>
        <v>0</v>
      </c>
      <c r="BF211" s="81">
        <f t="shared" si="163"/>
        <v>0</v>
      </c>
      <c r="BG211" s="81">
        <f t="shared" si="164"/>
        <v>0</v>
      </c>
      <c r="BH211" s="81">
        <f t="shared" si="165"/>
        <v>0</v>
      </c>
      <c r="BI211" s="81">
        <f t="shared" si="166"/>
        <v>0</v>
      </c>
      <c r="BJ211" s="81">
        <f t="shared" si="167"/>
        <v>0</v>
      </c>
      <c r="BK211" s="81">
        <f t="shared" si="168"/>
        <v>0</v>
      </c>
      <c r="BL211" s="81">
        <f t="shared" si="169"/>
        <v>0</v>
      </c>
      <c r="BM211" s="81">
        <f t="shared" si="170"/>
        <v>0</v>
      </c>
      <c r="BN211" s="81">
        <f t="shared" si="171"/>
        <v>0</v>
      </c>
      <c r="BO211" s="81">
        <f t="shared" si="172"/>
        <v>0</v>
      </c>
      <c r="BP211" s="81">
        <f t="shared" si="173"/>
        <v>0</v>
      </c>
      <c r="BQ211" s="81">
        <f t="shared" si="174"/>
        <v>0</v>
      </c>
      <c r="BR211" s="81">
        <f t="shared" si="175"/>
        <v>0</v>
      </c>
      <c r="BS211" s="81">
        <f t="shared" si="176"/>
        <v>0</v>
      </c>
      <c r="BT211" s="89">
        <f t="shared" si="177"/>
        <v>0</v>
      </c>
    </row>
    <row r="212" spans="1:72">
      <c r="A212" s="79"/>
      <c r="B212" s="1179"/>
      <c r="C212" s="1180"/>
      <c r="D212" s="2301"/>
      <c r="E212" s="81">
        <f t="shared" si="149"/>
        <v>0</v>
      </c>
      <c r="F212" s="82"/>
      <c r="G212" s="83">
        <f t="shared" si="150"/>
        <v>0</v>
      </c>
      <c r="H212" s="84">
        <f t="shared" si="151"/>
        <v>0</v>
      </c>
      <c r="I212" s="1180"/>
      <c r="J212" s="85"/>
      <c r="K212" s="1180"/>
      <c r="L212" s="85"/>
      <c r="M212" s="85"/>
      <c r="N212" s="85"/>
      <c r="O212" s="85"/>
      <c r="P212" s="85"/>
      <c r="Q212" s="85"/>
      <c r="R212" s="85"/>
      <c r="S212" s="85"/>
      <c r="T212" s="85"/>
      <c r="U212" s="85"/>
      <c r="V212" s="85"/>
      <c r="W212" s="85"/>
      <c r="X212" s="85"/>
      <c r="Y212" s="85"/>
      <c r="Z212" s="85"/>
      <c r="AA212" s="85"/>
      <c r="AB212" s="85"/>
      <c r="AC212" s="81">
        <f t="shared" si="152"/>
        <v>0</v>
      </c>
      <c r="AD212" s="86"/>
      <c r="AE212" s="86"/>
      <c r="AF212" s="1180"/>
      <c r="AG212" s="86"/>
      <c r="AH212" s="86"/>
      <c r="AI212" s="86"/>
      <c r="AJ212" s="86"/>
      <c r="AK212" s="86"/>
      <c r="AL212" s="86"/>
      <c r="AM212" s="86"/>
      <c r="AN212" s="86"/>
      <c r="AO212" s="86"/>
      <c r="AP212" s="86"/>
      <c r="AQ212" s="86"/>
      <c r="AR212" s="86"/>
      <c r="AS212" s="86"/>
      <c r="AT212" s="82"/>
      <c r="AU212" s="87"/>
      <c r="AV212" s="818">
        <f t="shared" si="153"/>
        <v>0</v>
      </c>
      <c r="AW212" s="818">
        <f t="shared" si="154"/>
        <v>0</v>
      </c>
      <c r="AX212" s="818">
        <f t="shared" si="155"/>
        <v>0</v>
      </c>
      <c r="AY212" s="88">
        <f t="shared" si="156"/>
        <v>0</v>
      </c>
      <c r="AZ212" s="81">
        <f t="shared" si="157"/>
        <v>0</v>
      </c>
      <c r="BA212" s="81">
        <f t="shared" si="158"/>
        <v>0</v>
      </c>
      <c r="BB212" s="81">
        <f t="shared" si="159"/>
        <v>0</v>
      </c>
      <c r="BC212" s="81">
        <f t="shared" si="160"/>
        <v>0</v>
      </c>
      <c r="BD212" s="81">
        <f t="shared" si="161"/>
        <v>0</v>
      </c>
      <c r="BE212" s="81">
        <f t="shared" si="162"/>
        <v>0</v>
      </c>
      <c r="BF212" s="81">
        <f t="shared" si="163"/>
        <v>0</v>
      </c>
      <c r="BG212" s="81">
        <f t="shared" si="164"/>
        <v>0</v>
      </c>
      <c r="BH212" s="81">
        <f t="shared" si="165"/>
        <v>0</v>
      </c>
      <c r="BI212" s="81">
        <f t="shared" si="166"/>
        <v>0</v>
      </c>
      <c r="BJ212" s="81">
        <f t="shared" si="167"/>
        <v>0</v>
      </c>
      <c r="BK212" s="81">
        <f t="shared" si="168"/>
        <v>0</v>
      </c>
      <c r="BL212" s="81">
        <f t="shared" si="169"/>
        <v>0</v>
      </c>
      <c r="BM212" s="81">
        <f t="shared" si="170"/>
        <v>0</v>
      </c>
      <c r="BN212" s="81">
        <f t="shared" si="171"/>
        <v>0</v>
      </c>
      <c r="BO212" s="81">
        <f t="shared" si="172"/>
        <v>0</v>
      </c>
      <c r="BP212" s="81">
        <f t="shared" si="173"/>
        <v>0</v>
      </c>
      <c r="BQ212" s="81">
        <f t="shared" si="174"/>
        <v>0</v>
      </c>
      <c r="BR212" s="81">
        <f t="shared" si="175"/>
        <v>0</v>
      </c>
      <c r="BS212" s="81">
        <f t="shared" si="176"/>
        <v>0</v>
      </c>
      <c r="BT212" s="89">
        <f t="shared" si="177"/>
        <v>0</v>
      </c>
    </row>
    <row r="213" spans="1:72">
      <c r="A213" s="79"/>
      <c r="B213" s="1179"/>
      <c r="C213" s="1180"/>
      <c r="D213" s="2301"/>
      <c r="E213" s="81">
        <f t="shared" si="149"/>
        <v>0</v>
      </c>
      <c r="F213" s="82"/>
      <c r="G213" s="83">
        <f t="shared" si="150"/>
        <v>0</v>
      </c>
      <c r="H213" s="84">
        <f t="shared" si="151"/>
        <v>0</v>
      </c>
      <c r="I213" s="1180"/>
      <c r="J213" s="85"/>
      <c r="K213" s="1180"/>
      <c r="L213" s="85"/>
      <c r="M213" s="85"/>
      <c r="N213" s="85"/>
      <c r="O213" s="85"/>
      <c r="P213" s="85"/>
      <c r="Q213" s="85"/>
      <c r="R213" s="85"/>
      <c r="S213" s="85"/>
      <c r="T213" s="85"/>
      <c r="U213" s="85"/>
      <c r="V213" s="85"/>
      <c r="W213" s="85"/>
      <c r="X213" s="85"/>
      <c r="Y213" s="85"/>
      <c r="Z213" s="85"/>
      <c r="AA213" s="85"/>
      <c r="AB213" s="85"/>
      <c r="AC213" s="81">
        <f t="shared" si="152"/>
        <v>0</v>
      </c>
      <c r="AD213" s="86"/>
      <c r="AE213" s="86"/>
      <c r="AF213" s="1180"/>
      <c r="AG213" s="86"/>
      <c r="AH213" s="86"/>
      <c r="AI213" s="86"/>
      <c r="AJ213" s="86"/>
      <c r="AK213" s="86"/>
      <c r="AL213" s="86"/>
      <c r="AM213" s="86"/>
      <c r="AN213" s="86"/>
      <c r="AO213" s="86"/>
      <c r="AP213" s="86"/>
      <c r="AQ213" s="86"/>
      <c r="AR213" s="86"/>
      <c r="AS213" s="86"/>
      <c r="AT213" s="82"/>
      <c r="AU213" s="87"/>
      <c r="AV213" s="818">
        <f t="shared" si="153"/>
        <v>0</v>
      </c>
      <c r="AW213" s="818">
        <f t="shared" si="154"/>
        <v>0</v>
      </c>
      <c r="AX213" s="818">
        <f t="shared" si="155"/>
        <v>0</v>
      </c>
      <c r="AY213" s="88">
        <f t="shared" si="156"/>
        <v>0</v>
      </c>
      <c r="AZ213" s="81">
        <f t="shared" si="157"/>
        <v>0</v>
      </c>
      <c r="BA213" s="81">
        <f t="shared" si="158"/>
        <v>0</v>
      </c>
      <c r="BB213" s="81">
        <f t="shared" si="159"/>
        <v>0</v>
      </c>
      <c r="BC213" s="81">
        <f t="shared" si="160"/>
        <v>0</v>
      </c>
      <c r="BD213" s="81">
        <f t="shared" si="161"/>
        <v>0</v>
      </c>
      <c r="BE213" s="81">
        <f t="shared" si="162"/>
        <v>0</v>
      </c>
      <c r="BF213" s="81">
        <f t="shared" si="163"/>
        <v>0</v>
      </c>
      <c r="BG213" s="81">
        <f t="shared" si="164"/>
        <v>0</v>
      </c>
      <c r="BH213" s="81">
        <f t="shared" si="165"/>
        <v>0</v>
      </c>
      <c r="BI213" s="81">
        <f t="shared" si="166"/>
        <v>0</v>
      </c>
      <c r="BJ213" s="81">
        <f t="shared" si="167"/>
        <v>0</v>
      </c>
      <c r="BK213" s="81">
        <f t="shared" si="168"/>
        <v>0</v>
      </c>
      <c r="BL213" s="81">
        <f t="shared" si="169"/>
        <v>0</v>
      </c>
      <c r="BM213" s="81">
        <f t="shared" si="170"/>
        <v>0</v>
      </c>
      <c r="BN213" s="81">
        <f t="shared" si="171"/>
        <v>0</v>
      </c>
      <c r="BO213" s="81">
        <f t="shared" si="172"/>
        <v>0</v>
      </c>
      <c r="BP213" s="81">
        <f t="shared" si="173"/>
        <v>0</v>
      </c>
      <c r="BQ213" s="81">
        <f t="shared" si="174"/>
        <v>0</v>
      </c>
      <c r="BR213" s="81">
        <f t="shared" si="175"/>
        <v>0</v>
      </c>
      <c r="BS213" s="81">
        <f t="shared" si="176"/>
        <v>0</v>
      </c>
      <c r="BT213" s="89">
        <f t="shared" si="177"/>
        <v>0</v>
      </c>
    </row>
    <row r="214" spans="1:72">
      <c r="A214" s="79"/>
      <c r="B214" s="1179"/>
      <c r="C214" s="1180"/>
      <c r="D214" s="2301"/>
      <c r="E214" s="81">
        <f t="shared" si="149"/>
        <v>0</v>
      </c>
      <c r="F214" s="82"/>
      <c r="G214" s="83">
        <f t="shared" si="150"/>
        <v>0</v>
      </c>
      <c r="H214" s="84">
        <f t="shared" si="151"/>
        <v>0</v>
      </c>
      <c r="I214" s="1180"/>
      <c r="J214" s="85"/>
      <c r="K214" s="1180"/>
      <c r="L214" s="85"/>
      <c r="M214" s="85"/>
      <c r="N214" s="85"/>
      <c r="O214" s="85"/>
      <c r="P214" s="85"/>
      <c r="Q214" s="85"/>
      <c r="R214" s="85"/>
      <c r="S214" s="85"/>
      <c r="T214" s="85"/>
      <c r="U214" s="85"/>
      <c r="V214" s="85"/>
      <c r="W214" s="85"/>
      <c r="X214" s="85"/>
      <c r="Y214" s="85"/>
      <c r="Z214" s="85"/>
      <c r="AA214" s="85"/>
      <c r="AB214" s="85"/>
      <c r="AC214" s="81">
        <f t="shared" si="152"/>
        <v>0</v>
      </c>
      <c r="AD214" s="86"/>
      <c r="AE214" s="86"/>
      <c r="AF214" s="1180"/>
      <c r="AG214" s="86"/>
      <c r="AH214" s="86"/>
      <c r="AI214" s="86"/>
      <c r="AJ214" s="86"/>
      <c r="AK214" s="86"/>
      <c r="AL214" s="86"/>
      <c r="AM214" s="86"/>
      <c r="AN214" s="86"/>
      <c r="AO214" s="86"/>
      <c r="AP214" s="86"/>
      <c r="AQ214" s="86"/>
      <c r="AR214" s="86"/>
      <c r="AS214" s="86"/>
      <c r="AT214" s="82"/>
      <c r="AU214" s="87"/>
      <c r="AV214" s="818">
        <f t="shared" si="153"/>
        <v>0</v>
      </c>
      <c r="AW214" s="818">
        <f t="shared" si="154"/>
        <v>0</v>
      </c>
      <c r="AX214" s="818">
        <f t="shared" si="155"/>
        <v>0</v>
      </c>
      <c r="AY214" s="88">
        <f t="shared" si="156"/>
        <v>0</v>
      </c>
      <c r="AZ214" s="81">
        <f t="shared" si="157"/>
        <v>0</v>
      </c>
      <c r="BA214" s="81">
        <f t="shared" si="158"/>
        <v>0</v>
      </c>
      <c r="BB214" s="81">
        <f t="shared" si="159"/>
        <v>0</v>
      </c>
      <c r="BC214" s="81">
        <f t="shared" si="160"/>
        <v>0</v>
      </c>
      <c r="BD214" s="81">
        <f t="shared" si="161"/>
        <v>0</v>
      </c>
      <c r="BE214" s="81">
        <f t="shared" si="162"/>
        <v>0</v>
      </c>
      <c r="BF214" s="81">
        <f t="shared" si="163"/>
        <v>0</v>
      </c>
      <c r="BG214" s="81">
        <f t="shared" si="164"/>
        <v>0</v>
      </c>
      <c r="BH214" s="81">
        <f t="shared" si="165"/>
        <v>0</v>
      </c>
      <c r="BI214" s="81">
        <f t="shared" si="166"/>
        <v>0</v>
      </c>
      <c r="BJ214" s="81">
        <f t="shared" si="167"/>
        <v>0</v>
      </c>
      <c r="BK214" s="81">
        <f t="shared" si="168"/>
        <v>0</v>
      </c>
      <c r="BL214" s="81">
        <f t="shared" si="169"/>
        <v>0</v>
      </c>
      <c r="BM214" s="81">
        <f t="shared" si="170"/>
        <v>0</v>
      </c>
      <c r="BN214" s="81">
        <f t="shared" si="171"/>
        <v>0</v>
      </c>
      <c r="BO214" s="81">
        <f t="shared" si="172"/>
        <v>0</v>
      </c>
      <c r="BP214" s="81">
        <f t="shared" si="173"/>
        <v>0</v>
      </c>
      <c r="BQ214" s="81">
        <f t="shared" si="174"/>
        <v>0</v>
      </c>
      <c r="BR214" s="81">
        <f t="shared" si="175"/>
        <v>0</v>
      </c>
      <c r="BS214" s="81">
        <f t="shared" si="176"/>
        <v>0</v>
      </c>
      <c r="BT214" s="89">
        <f t="shared" si="177"/>
        <v>0</v>
      </c>
    </row>
    <row r="215" spans="1:72">
      <c r="A215" s="79"/>
      <c r="B215" s="1179"/>
      <c r="C215" s="1180"/>
      <c r="D215" s="2301"/>
      <c r="E215" s="81">
        <f t="shared" si="149"/>
        <v>0</v>
      </c>
      <c r="F215" s="82"/>
      <c r="G215" s="83">
        <f t="shared" si="150"/>
        <v>0</v>
      </c>
      <c r="H215" s="84">
        <f t="shared" si="151"/>
        <v>0</v>
      </c>
      <c r="I215" s="1180"/>
      <c r="J215" s="85"/>
      <c r="K215" s="1180"/>
      <c r="L215" s="85"/>
      <c r="M215" s="85"/>
      <c r="N215" s="85"/>
      <c r="O215" s="85"/>
      <c r="P215" s="85"/>
      <c r="Q215" s="85"/>
      <c r="R215" s="85"/>
      <c r="S215" s="85"/>
      <c r="T215" s="85"/>
      <c r="U215" s="85"/>
      <c r="V215" s="85"/>
      <c r="W215" s="85"/>
      <c r="X215" s="85"/>
      <c r="Y215" s="85"/>
      <c r="Z215" s="85"/>
      <c r="AA215" s="85"/>
      <c r="AB215" s="85"/>
      <c r="AC215" s="81">
        <f t="shared" si="152"/>
        <v>0</v>
      </c>
      <c r="AD215" s="86"/>
      <c r="AE215" s="86"/>
      <c r="AF215" s="1180"/>
      <c r="AG215" s="86"/>
      <c r="AH215" s="86"/>
      <c r="AI215" s="86"/>
      <c r="AJ215" s="86"/>
      <c r="AK215" s="86"/>
      <c r="AL215" s="86"/>
      <c r="AM215" s="86"/>
      <c r="AN215" s="86"/>
      <c r="AO215" s="86"/>
      <c r="AP215" s="86"/>
      <c r="AQ215" s="86"/>
      <c r="AR215" s="86"/>
      <c r="AS215" s="86"/>
      <c r="AT215" s="82"/>
      <c r="AU215" s="87"/>
      <c r="AV215" s="818">
        <f t="shared" si="153"/>
        <v>0</v>
      </c>
      <c r="AW215" s="818">
        <f t="shared" si="154"/>
        <v>0</v>
      </c>
      <c r="AX215" s="818">
        <f t="shared" si="155"/>
        <v>0</v>
      </c>
      <c r="AY215" s="88">
        <f t="shared" si="156"/>
        <v>0</v>
      </c>
      <c r="AZ215" s="81">
        <f t="shared" si="157"/>
        <v>0</v>
      </c>
      <c r="BA215" s="81">
        <f t="shared" si="158"/>
        <v>0</v>
      </c>
      <c r="BB215" s="81">
        <f t="shared" si="159"/>
        <v>0</v>
      </c>
      <c r="BC215" s="81">
        <f t="shared" si="160"/>
        <v>0</v>
      </c>
      <c r="BD215" s="81">
        <f t="shared" si="161"/>
        <v>0</v>
      </c>
      <c r="BE215" s="81">
        <f t="shared" si="162"/>
        <v>0</v>
      </c>
      <c r="BF215" s="81">
        <f t="shared" si="163"/>
        <v>0</v>
      </c>
      <c r="BG215" s="81">
        <f t="shared" si="164"/>
        <v>0</v>
      </c>
      <c r="BH215" s="81">
        <f t="shared" si="165"/>
        <v>0</v>
      </c>
      <c r="BI215" s="81">
        <f t="shared" si="166"/>
        <v>0</v>
      </c>
      <c r="BJ215" s="81">
        <f t="shared" si="167"/>
        <v>0</v>
      </c>
      <c r="BK215" s="81">
        <f t="shared" si="168"/>
        <v>0</v>
      </c>
      <c r="BL215" s="81">
        <f t="shared" si="169"/>
        <v>0</v>
      </c>
      <c r="BM215" s="81">
        <f t="shared" si="170"/>
        <v>0</v>
      </c>
      <c r="BN215" s="81">
        <f t="shared" si="171"/>
        <v>0</v>
      </c>
      <c r="BO215" s="81">
        <f t="shared" si="172"/>
        <v>0</v>
      </c>
      <c r="BP215" s="81">
        <f t="shared" si="173"/>
        <v>0</v>
      </c>
      <c r="BQ215" s="81">
        <f t="shared" si="174"/>
        <v>0</v>
      </c>
      <c r="BR215" s="81">
        <f t="shared" si="175"/>
        <v>0</v>
      </c>
      <c r="BS215" s="81">
        <f t="shared" si="176"/>
        <v>0</v>
      </c>
      <c r="BT215" s="89">
        <f t="shared" si="177"/>
        <v>0</v>
      </c>
    </row>
    <row r="216" spans="1:72">
      <c r="A216" s="79"/>
      <c r="B216" s="1179"/>
      <c r="C216" s="1180"/>
      <c r="D216" s="2301"/>
      <c r="E216" s="81">
        <f t="shared" si="149"/>
        <v>0</v>
      </c>
      <c r="F216" s="82"/>
      <c r="G216" s="83">
        <f t="shared" si="150"/>
        <v>0</v>
      </c>
      <c r="H216" s="84">
        <f t="shared" si="151"/>
        <v>0</v>
      </c>
      <c r="I216" s="1180"/>
      <c r="J216" s="85"/>
      <c r="K216" s="1180"/>
      <c r="L216" s="85"/>
      <c r="M216" s="85"/>
      <c r="N216" s="85"/>
      <c r="O216" s="85"/>
      <c r="P216" s="85"/>
      <c r="Q216" s="85"/>
      <c r="R216" s="85"/>
      <c r="S216" s="85"/>
      <c r="T216" s="85"/>
      <c r="U216" s="85"/>
      <c r="V216" s="85"/>
      <c r="W216" s="85"/>
      <c r="X216" s="85"/>
      <c r="Y216" s="85"/>
      <c r="Z216" s="85"/>
      <c r="AA216" s="85"/>
      <c r="AB216" s="85"/>
      <c r="AC216" s="81">
        <f t="shared" si="152"/>
        <v>0</v>
      </c>
      <c r="AD216" s="86"/>
      <c r="AE216" s="86"/>
      <c r="AF216" s="1180"/>
      <c r="AG216" s="86"/>
      <c r="AH216" s="86"/>
      <c r="AI216" s="86"/>
      <c r="AJ216" s="86"/>
      <c r="AK216" s="86"/>
      <c r="AL216" s="86"/>
      <c r="AM216" s="86"/>
      <c r="AN216" s="86"/>
      <c r="AO216" s="86"/>
      <c r="AP216" s="86"/>
      <c r="AQ216" s="86"/>
      <c r="AR216" s="86"/>
      <c r="AS216" s="86"/>
      <c r="AT216" s="82"/>
      <c r="AU216" s="87"/>
      <c r="AV216" s="818">
        <f t="shared" si="153"/>
        <v>0</v>
      </c>
      <c r="AW216" s="818">
        <f t="shared" si="154"/>
        <v>0</v>
      </c>
      <c r="AX216" s="818">
        <f t="shared" si="155"/>
        <v>0</v>
      </c>
      <c r="AY216" s="88">
        <f t="shared" si="156"/>
        <v>0</v>
      </c>
      <c r="AZ216" s="81">
        <f t="shared" si="157"/>
        <v>0</v>
      </c>
      <c r="BA216" s="81">
        <f t="shared" si="158"/>
        <v>0</v>
      </c>
      <c r="BB216" s="81">
        <f t="shared" si="159"/>
        <v>0</v>
      </c>
      <c r="BC216" s="81">
        <f t="shared" si="160"/>
        <v>0</v>
      </c>
      <c r="BD216" s="81">
        <f t="shared" si="161"/>
        <v>0</v>
      </c>
      <c r="BE216" s="81">
        <f t="shared" si="162"/>
        <v>0</v>
      </c>
      <c r="BF216" s="81">
        <f t="shared" si="163"/>
        <v>0</v>
      </c>
      <c r="BG216" s="81">
        <f t="shared" si="164"/>
        <v>0</v>
      </c>
      <c r="BH216" s="81">
        <f t="shared" si="165"/>
        <v>0</v>
      </c>
      <c r="BI216" s="81">
        <f t="shared" si="166"/>
        <v>0</v>
      </c>
      <c r="BJ216" s="81">
        <f t="shared" si="167"/>
        <v>0</v>
      </c>
      <c r="BK216" s="81">
        <f t="shared" si="168"/>
        <v>0</v>
      </c>
      <c r="BL216" s="81">
        <f t="shared" si="169"/>
        <v>0</v>
      </c>
      <c r="BM216" s="81">
        <f t="shared" si="170"/>
        <v>0</v>
      </c>
      <c r="BN216" s="81">
        <f t="shared" si="171"/>
        <v>0</v>
      </c>
      <c r="BO216" s="81">
        <f t="shared" si="172"/>
        <v>0</v>
      </c>
      <c r="BP216" s="81">
        <f t="shared" si="173"/>
        <v>0</v>
      </c>
      <c r="BQ216" s="81">
        <f t="shared" si="174"/>
        <v>0</v>
      </c>
      <c r="BR216" s="81">
        <f t="shared" si="175"/>
        <v>0</v>
      </c>
      <c r="BS216" s="81">
        <f t="shared" si="176"/>
        <v>0</v>
      </c>
      <c r="BT216" s="89">
        <f t="shared" si="177"/>
        <v>0</v>
      </c>
    </row>
    <row r="217" spans="1:72">
      <c r="A217" s="79"/>
      <c r="B217" s="1179"/>
      <c r="C217" s="1180"/>
      <c r="D217" s="2301"/>
      <c r="E217" s="81">
        <f t="shared" si="149"/>
        <v>0</v>
      </c>
      <c r="F217" s="82"/>
      <c r="G217" s="83">
        <f t="shared" si="150"/>
        <v>0</v>
      </c>
      <c r="H217" s="84">
        <f t="shared" si="151"/>
        <v>0</v>
      </c>
      <c r="I217" s="1180"/>
      <c r="J217" s="85"/>
      <c r="K217" s="1180"/>
      <c r="L217" s="85"/>
      <c r="M217" s="85"/>
      <c r="N217" s="85"/>
      <c r="O217" s="85"/>
      <c r="P217" s="85"/>
      <c r="Q217" s="85"/>
      <c r="R217" s="85"/>
      <c r="S217" s="85"/>
      <c r="T217" s="85"/>
      <c r="U217" s="85"/>
      <c r="V217" s="85"/>
      <c r="W217" s="85"/>
      <c r="X217" s="85"/>
      <c r="Y217" s="85"/>
      <c r="Z217" s="85"/>
      <c r="AA217" s="85"/>
      <c r="AB217" s="85"/>
      <c r="AC217" s="81">
        <f t="shared" si="152"/>
        <v>0</v>
      </c>
      <c r="AD217" s="86"/>
      <c r="AE217" s="86"/>
      <c r="AF217" s="1180"/>
      <c r="AG217" s="86"/>
      <c r="AH217" s="86"/>
      <c r="AI217" s="86"/>
      <c r="AJ217" s="86"/>
      <c r="AK217" s="86"/>
      <c r="AL217" s="86"/>
      <c r="AM217" s="86"/>
      <c r="AN217" s="86"/>
      <c r="AO217" s="86"/>
      <c r="AP217" s="86"/>
      <c r="AQ217" s="86"/>
      <c r="AR217" s="86"/>
      <c r="AS217" s="86"/>
      <c r="AT217" s="82"/>
      <c r="AU217" s="87"/>
      <c r="AV217" s="818">
        <f t="shared" si="153"/>
        <v>0</v>
      </c>
      <c r="AW217" s="818">
        <f t="shared" si="154"/>
        <v>0</v>
      </c>
      <c r="AX217" s="818">
        <f t="shared" si="155"/>
        <v>0</v>
      </c>
      <c r="AY217" s="88">
        <f t="shared" si="156"/>
        <v>0</v>
      </c>
      <c r="AZ217" s="81">
        <f t="shared" si="157"/>
        <v>0</v>
      </c>
      <c r="BA217" s="81">
        <f t="shared" si="158"/>
        <v>0</v>
      </c>
      <c r="BB217" s="81">
        <f t="shared" si="159"/>
        <v>0</v>
      </c>
      <c r="BC217" s="81">
        <f t="shared" si="160"/>
        <v>0</v>
      </c>
      <c r="BD217" s="81">
        <f t="shared" si="161"/>
        <v>0</v>
      </c>
      <c r="BE217" s="81">
        <f t="shared" si="162"/>
        <v>0</v>
      </c>
      <c r="BF217" s="81">
        <f t="shared" si="163"/>
        <v>0</v>
      </c>
      <c r="BG217" s="81">
        <f t="shared" si="164"/>
        <v>0</v>
      </c>
      <c r="BH217" s="81">
        <f t="shared" si="165"/>
        <v>0</v>
      </c>
      <c r="BI217" s="81">
        <f t="shared" si="166"/>
        <v>0</v>
      </c>
      <c r="BJ217" s="81">
        <f t="shared" si="167"/>
        <v>0</v>
      </c>
      <c r="BK217" s="81">
        <f t="shared" si="168"/>
        <v>0</v>
      </c>
      <c r="BL217" s="81">
        <f t="shared" si="169"/>
        <v>0</v>
      </c>
      <c r="BM217" s="81">
        <f t="shared" si="170"/>
        <v>0</v>
      </c>
      <c r="BN217" s="81">
        <f t="shared" si="171"/>
        <v>0</v>
      </c>
      <c r="BO217" s="81">
        <f t="shared" si="172"/>
        <v>0</v>
      </c>
      <c r="BP217" s="81">
        <f t="shared" si="173"/>
        <v>0</v>
      </c>
      <c r="BQ217" s="81">
        <f t="shared" si="174"/>
        <v>0</v>
      </c>
      <c r="BR217" s="81">
        <f t="shared" si="175"/>
        <v>0</v>
      </c>
      <c r="BS217" s="81">
        <f t="shared" si="176"/>
        <v>0</v>
      </c>
      <c r="BT217" s="89">
        <f t="shared" si="177"/>
        <v>0</v>
      </c>
    </row>
    <row r="218" spans="1:72">
      <c r="A218" s="79"/>
      <c r="B218" s="1179"/>
      <c r="C218" s="1180"/>
      <c r="D218" s="2301"/>
      <c r="E218" s="81">
        <f t="shared" si="149"/>
        <v>0</v>
      </c>
      <c r="F218" s="82"/>
      <c r="G218" s="83">
        <f t="shared" si="150"/>
        <v>0</v>
      </c>
      <c r="H218" s="84">
        <f t="shared" si="151"/>
        <v>0</v>
      </c>
      <c r="I218" s="1180"/>
      <c r="J218" s="85"/>
      <c r="K218" s="1180"/>
      <c r="L218" s="85"/>
      <c r="M218" s="85"/>
      <c r="N218" s="85"/>
      <c r="O218" s="85"/>
      <c r="P218" s="85"/>
      <c r="Q218" s="85"/>
      <c r="R218" s="85"/>
      <c r="S218" s="85"/>
      <c r="T218" s="85"/>
      <c r="U218" s="85"/>
      <c r="V218" s="85"/>
      <c r="W218" s="85"/>
      <c r="X218" s="85"/>
      <c r="Y218" s="85"/>
      <c r="Z218" s="85"/>
      <c r="AA218" s="85"/>
      <c r="AB218" s="85"/>
      <c r="AC218" s="81">
        <f t="shared" si="152"/>
        <v>0</v>
      </c>
      <c r="AD218" s="86"/>
      <c r="AE218" s="86"/>
      <c r="AF218" s="1180"/>
      <c r="AG218" s="86"/>
      <c r="AH218" s="86"/>
      <c r="AI218" s="86"/>
      <c r="AJ218" s="86"/>
      <c r="AK218" s="86"/>
      <c r="AL218" s="86"/>
      <c r="AM218" s="86"/>
      <c r="AN218" s="86"/>
      <c r="AO218" s="86"/>
      <c r="AP218" s="86"/>
      <c r="AQ218" s="86"/>
      <c r="AR218" s="86"/>
      <c r="AS218" s="86"/>
      <c r="AT218" s="82"/>
      <c r="AU218" s="87"/>
      <c r="AV218" s="818">
        <f t="shared" si="153"/>
        <v>0</v>
      </c>
      <c r="AW218" s="818">
        <f t="shared" si="154"/>
        <v>0</v>
      </c>
      <c r="AX218" s="818">
        <f t="shared" si="155"/>
        <v>0</v>
      </c>
      <c r="AY218" s="88">
        <f t="shared" si="156"/>
        <v>0</v>
      </c>
      <c r="AZ218" s="81">
        <f t="shared" si="157"/>
        <v>0</v>
      </c>
      <c r="BA218" s="81">
        <f t="shared" si="158"/>
        <v>0</v>
      </c>
      <c r="BB218" s="81">
        <f t="shared" si="159"/>
        <v>0</v>
      </c>
      <c r="BC218" s="81">
        <f t="shared" si="160"/>
        <v>0</v>
      </c>
      <c r="BD218" s="81">
        <f t="shared" si="161"/>
        <v>0</v>
      </c>
      <c r="BE218" s="81">
        <f t="shared" si="162"/>
        <v>0</v>
      </c>
      <c r="BF218" s="81">
        <f t="shared" si="163"/>
        <v>0</v>
      </c>
      <c r="BG218" s="81">
        <f t="shared" si="164"/>
        <v>0</v>
      </c>
      <c r="BH218" s="81">
        <f t="shared" si="165"/>
        <v>0</v>
      </c>
      <c r="BI218" s="81">
        <f t="shared" si="166"/>
        <v>0</v>
      </c>
      <c r="BJ218" s="81">
        <f t="shared" si="167"/>
        <v>0</v>
      </c>
      <c r="BK218" s="81">
        <f t="shared" si="168"/>
        <v>0</v>
      </c>
      <c r="BL218" s="81">
        <f t="shared" si="169"/>
        <v>0</v>
      </c>
      <c r="BM218" s="81">
        <f t="shared" si="170"/>
        <v>0</v>
      </c>
      <c r="BN218" s="81">
        <f t="shared" si="171"/>
        <v>0</v>
      </c>
      <c r="BO218" s="81">
        <f t="shared" si="172"/>
        <v>0</v>
      </c>
      <c r="BP218" s="81">
        <f t="shared" si="173"/>
        <v>0</v>
      </c>
      <c r="BQ218" s="81">
        <f t="shared" si="174"/>
        <v>0</v>
      </c>
      <c r="BR218" s="81">
        <f t="shared" si="175"/>
        <v>0</v>
      </c>
      <c r="BS218" s="81">
        <f t="shared" si="176"/>
        <v>0</v>
      </c>
      <c r="BT218" s="89">
        <f t="shared" si="177"/>
        <v>0</v>
      </c>
    </row>
    <row r="219" spans="1:72">
      <c r="A219" s="79"/>
      <c r="B219" s="1179"/>
      <c r="C219" s="1180"/>
      <c r="D219" s="2301"/>
      <c r="E219" s="81">
        <f t="shared" si="149"/>
        <v>0</v>
      </c>
      <c r="F219" s="82"/>
      <c r="G219" s="83">
        <f t="shared" si="150"/>
        <v>0</v>
      </c>
      <c r="H219" s="84">
        <f t="shared" si="151"/>
        <v>0</v>
      </c>
      <c r="I219" s="1180"/>
      <c r="J219" s="85"/>
      <c r="K219" s="1180"/>
      <c r="L219" s="85"/>
      <c r="M219" s="85"/>
      <c r="N219" s="85"/>
      <c r="O219" s="85"/>
      <c r="P219" s="85"/>
      <c r="Q219" s="85"/>
      <c r="R219" s="85"/>
      <c r="S219" s="85"/>
      <c r="T219" s="85"/>
      <c r="U219" s="85"/>
      <c r="V219" s="85"/>
      <c r="W219" s="85"/>
      <c r="X219" s="85"/>
      <c r="Y219" s="85"/>
      <c r="Z219" s="85"/>
      <c r="AA219" s="85"/>
      <c r="AB219" s="85"/>
      <c r="AC219" s="81">
        <f t="shared" si="152"/>
        <v>0</v>
      </c>
      <c r="AD219" s="86"/>
      <c r="AE219" s="86"/>
      <c r="AF219" s="1180"/>
      <c r="AG219" s="86"/>
      <c r="AH219" s="86"/>
      <c r="AI219" s="86"/>
      <c r="AJ219" s="86"/>
      <c r="AK219" s="86"/>
      <c r="AL219" s="86"/>
      <c r="AM219" s="86"/>
      <c r="AN219" s="86"/>
      <c r="AO219" s="86"/>
      <c r="AP219" s="86"/>
      <c r="AQ219" s="86"/>
      <c r="AR219" s="86"/>
      <c r="AS219" s="86"/>
      <c r="AT219" s="82"/>
      <c r="AU219" s="87"/>
      <c r="AV219" s="818">
        <f t="shared" si="153"/>
        <v>0</v>
      </c>
      <c r="AW219" s="818">
        <f t="shared" si="154"/>
        <v>0</v>
      </c>
      <c r="AX219" s="818">
        <f t="shared" si="155"/>
        <v>0</v>
      </c>
      <c r="AY219" s="88">
        <f t="shared" si="156"/>
        <v>0</v>
      </c>
      <c r="AZ219" s="81">
        <f t="shared" si="157"/>
        <v>0</v>
      </c>
      <c r="BA219" s="81">
        <f t="shared" si="158"/>
        <v>0</v>
      </c>
      <c r="BB219" s="81">
        <f t="shared" si="159"/>
        <v>0</v>
      </c>
      <c r="BC219" s="81">
        <f t="shared" si="160"/>
        <v>0</v>
      </c>
      <c r="BD219" s="81">
        <f t="shared" si="161"/>
        <v>0</v>
      </c>
      <c r="BE219" s="81">
        <f t="shared" si="162"/>
        <v>0</v>
      </c>
      <c r="BF219" s="81">
        <f t="shared" si="163"/>
        <v>0</v>
      </c>
      <c r="BG219" s="81">
        <f t="shared" si="164"/>
        <v>0</v>
      </c>
      <c r="BH219" s="81">
        <f t="shared" si="165"/>
        <v>0</v>
      </c>
      <c r="BI219" s="81">
        <f t="shared" si="166"/>
        <v>0</v>
      </c>
      <c r="BJ219" s="81">
        <f t="shared" si="167"/>
        <v>0</v>
      </c>
      <c r="BK219" s="81">
        <f t="shared" si="168"/>
        <v>0</v>
      </c>
      <c r="BL219" s="81">
        <f t="shared" si="169"/>
        <v>0</v>
      </c>
      <c r="BM219" s="81">
        <f t="shared" si="170"/>
        <v>0</v>
      </c>
      <c r="BN219" s="81">
        <f t="shared" si="171"/>
        <v>0</v>
      </c>
      <c r="BO219" s="81">
        <f t="shared" si="172"/>
        <v>0</v>
      </c>
      <c r="BP219" s="81">
        <f t="shared" si="173"/>
        <v>0</v>
      </c>
      <c r="BQ219" s="81">
        <f t="shared" si="174"/>
        <v>0</v>
      </c>
      <c r="BR219" s="81">
        <f t="shared" si="175"/>
        <v>0</v>
      </c>
      <c r="BS219" s="81">
        <f t="shared" si="176"/>
        <v>0</v>
      </c>
      <c r="BT219" s="89">
        <f t="shared" si="177"/>
        <v>0</v>
      </c>
    </row>
    <row r="220" spans="1:72">
      <c r="A220" s="79"/>
      <c r="B220" s="1179"/>
      <c r="C220" s="1180"/>
      <c r="D220" s="2301"/>
      <c r="E220" s="81">
        <f t="shared" si="149"/>
        <v>0</v>
      </c>
      <c r="F220" s="82"/>
      <c r="G220" s="83">
        <f t="shared" si="150"/>
        <v>0</v>
      </c>
      <c r="H220" s="84">
        <f t="shared" si="151"/>
        <v>0</v>
      </c>
      <c r="I220" s="1180"/>
      <c r="J220" s="85"/>
      <c r="K220" s="1180"/>
      <c r="L220" s="85"/>
      <c r="M220" s="85"/>
      <c r="N220" s="85"/>
      <c r="O220" s="85"/>
      <c r="P220" s="85"/>
      <c r="Q220" s="85"/>
      <c r="R220" s="85"/>
      <c r="S220" s="85"/>
      <c r="T220" s="85"/>
      <c r="U220" s="85"/>
      <c r="V220" s="85"/>
      <c r="W220" s="85"/>
      <c r="X220" s="85"/>
      <c r="Y220" s="85"/>
      <c r="Z220" s="85"/>
      <c r="AA220" s="85"/>
      <c r="AB220" s="85"/>
      <c r="AC220" s="81">
        <f t="shared" si="152"/>
        <v>0</v>
      </c>
      <c r="AD220" s="86"/>
      <c r="AE220" s="86"/>
      <c r="AF220" s="1180"/>
      <c r="AG220" s="86"/>
      <c r="AH220" s="86"/>
      <c r="AI220" s="86"/>
      <c r="AJ220" s="86"/>
      <c r="AK220" s="86"/>
      <c r="AL220" s="86"/>
      <c r="AM220" s="86"/>
      <c r="AN220" s="86"/>
      <c r="AO220" s="86"/>
      <c r="AP220" s="86"/>
      <c r="AQ220" s="86"/>
      <c r="AR220" s="86"/>
      <c r="AS220" s="86"/>
      <c r="AT220" s="82"/>
      <c r="AU220" s="87"/>
      <c r="AV220" s="818">
        <f t="shared" si="153"/>
        <v>0</v>
      </c>
      <c r="AW220" s="818">
        <f t="shared" si="154"/>
        <v>0</v>
      </c>
      <c r="AX220" s="818">
        <f t="shared" si="155"/>
        <v>0</v>
      </c>
      <c r="AY220" s="88">
        <f t="shared" si="156"/>
        <v>0</v>
      </c>
      <c r="AZ220" s="81">
        <f t="shared" si="157"/>
        <v>0</v>
      </c>
      <c r="BA220" s="81">
        <f t="shared" si="158"/>
        <v>0</v>
      </c>
      <c r="BB220" s="81">
        <f t="shared" si="159"/>
        <v>0</v>
      </c>
      <c r="BC220" s="81">
        <f t="shared" si="160"/>
        <v>0</v>
      </c>
      <c r="BD220" s="81">
        <f t="shared" si="161"/>
        <v>0</v>
      </c>
      <c r="BE220" s="81">
        <f t="shared" si="162"/>
        <v>0</v>
      </c>
      <c r="BF220" s="81">
        <f t="shared" si="163"/>
        <v>0</v>
      </c>
      <c r="BG220" s="81">
        <f t="shared" si="164"/>
        <v>0</v>
      </c>
      <c r="BH220" s="81">
        <f t="shared" si="165"/>
        <v>0</v>
      </c>
      <c r="BI220" s="81">
        <f t="shared" si="166"/>
        <v>0</v>
      </c>
      <c r="BJ220" s="81">
        <f t="shared" si="167"/>
        <v>0</v>
      </c>
      <c r="BK220" s="81">
        <f t="shared" si="168"/>
        <v>0</v>
      </c>
      <c r="BL220" s="81">
        <f t="shared" si="169"/>
        <v>0</v>
      </c>
      <c r="BM220" s="81">
        <f t="shared" si="170"/>
        <v>0</v>
      </c>
      <c r="BN220" s="81">
        <f t="shared" si="171"/>
        <v>0</v>
      </c>
      <c r="BO220" s="81">
        <f t="shared" si="172"/>
        <v>0</v>
      </c>
      <c r="BP220" s="81">
        <f t="shared" si="173"/>
        <v>0</v>
      </c>
      <c r="BQ220" s="81">
        <f t="shared" si="174"/>
        <v>0</v>
      </c>
      <c r="BR220" s="81">
        <f t="shared" si="175"/>
        <v>0</v>
      </c>
      <c r="BS220" s="81">
        <f t="shared" si="176"/>
        <v>0</v>
      </c>
      <c r="BT220" s="89">
        <f t="shared" si="177"/>
        <v>0</v>
      </c>
    </row>
    <row r="221" spans="1:72">
      <c r="A221" s="79"/>
      <c r="B221" s="1179"/>
      <c r="C221" s="1180"/>
      <c r="D221" s="2301"/>
      <c r="E221" s="81">
        <f t="shared" si="149"/>
        <v>0</v>
      </c>
      <c r="F221" s="82"/>
      <c r="G221" s="83">
        <f t="shared" si="150"/>
        <v>0</v>
      </c>
      <c r="H221" s="84">
        <f t="shared" si="151"/>
        <v>0</v>
      </c>
      <c r="I221" s="1180"/>
      <c r="J221" s="85"/>
      <c r="K221" s="1180"/>
      <c r="L221" s="85"/>
      <c r="M221" s="85"/>
      <c r="N221" s="85"/>
      <c r="O221" s="85"/>
      <c r="P221" s="85"/>
      <c r="Q221" s="85"/>
      <c r="R221" s="85"/>
      <c r="S221" s="85"/>
      <c r="T221" s="85"/>
      <c r="U221" s="85"/>
      <c r="V221" s="85"/>
      <c r="W221" s="85"/>
      <c r="X221" s="85"/>
      <c r="Y221" s="85"/>
      <c r="Z221" s="85"/>
      <c r="AA221" s="85"/>
      <c r="AB221" s="85"/>
      <c r="AC221" s="81">
        <f t="shared" si="152"/>
        <v>0</v>
      </c>
      <c r="AD221" s="86"/>
      <c r="AE221" s="86"/>
      <c r="AF221" s="1180"/>
      <c r="AG221" s="86"/>
      <c r="AH221" s="86"/>
      <c r="AI221" s="86"/>
      <c r="AJ221" s="86"/>
      <c r="AK221" s="86"/>
      <c r="AL221" s="86"/>
      <c r="AM221" s="86"/>
      <c r="AN221" s="86"/>
      <c r="AO221" s="86"/>
      <c r="AP221" s="86"/>
      <c r="AQ221" s="86"/>
      <c r="AR221" s="86"/>
      <c r="AS221" s="86"/>
      <c r="AT221" s="82"/>
      <c r="AU221" s="87"/>
      <c r="AV221" s="818">
        <f t="shared" si="153"/>
        <v>0</v>
      </c>
      <c r="AW221" s="818">
        <f t="shared" si="154"/>
        <v>0</v>
      </c>
      <c r="AX221" s="818">
        <f t="shared" si="155"/>
        <v>0</v>
      </c>
      <c r="AY221" s="88">
        <f t="shared" si="156"/>
        <v>0</v>
      </c>
      <c r="AZ221" s="81">
        <f t="shared" si="157"/>
        <v>0</v>
      </c>
      <c r="BA221" s="81">
        <f t="shared" si="158"/>
        <v>0</v>
      </c>
      <c r="BB221" s="81">
        <f t="shared" si="159"/>
        <v>0</v>
      </c>
      <c r="BC221" s="81">
        <f t="shared" si="160"/>
        <v>0</v>
      </c>
      <c r="BD221" s="81">
        <f t="shared" si="161"/>
        <v>0</v>
      </c>
      <c r="BE221" s="81">
        <f t="shared" si="162"/>
        <v>0</v>
      </c>
      <c r="BF221" s="81">
        <f t="shared" si="163"/>
        <v>0</v>
      </c>
      <c r="BG221" s="81">
        <f t="shared" si="164"/>
        <v>0</v>
      </c>
      <c r="BH221" s="81">
        <f t="shared" si="165"/>
        <v>0</v>
      </c>
      <c r="BI221" s="81">
        <f t="shared" si="166"/>
        <v>0</v>
      </c>
      <c r="BJ221" s="81">
        <f t="shared" si="167"/>
        <v>0</v>
      </c>
      <c r="BK221" s="81">
        <f t="shared" si="168"/>
        <v>0</v>
      </c>
      <c r="BL221" s="81">
        <f t="shared" si="169"/>
        <v>0</v>
      </c>
      <c r="BM221" s="81">
        <f t="shared" si="170"/>
        <v>0</v>
      </c>
      <c r="BN221" s="81">
        <f t="shared" si="171"/>
        <v>0</v>
      </c>
      <c r="BO221" s="81">
        <f t="shared" si="172"/>
        <v>0</v>
      </c>
      <c r="BP221" s="81">
        <f t="shared" si="173"/>
        <v>0</v>
      </c>
      <c r="BQ221" s="81">
        <f t="shared" si="174"/>
        <v>0</v>
      </c>
      <c r="BR221" s="81">
        <f t="shared" si="175"/>
        <v>0</v>
      </c>
      <c r="BS221" s="81">
        <f t="shared" si="176"/>
        <v>0</v>
      </c>
      <c r="BT221" s="89">
        <f t="shared" si="177"/>
        <v>0</v>
      </c>
    </row>
    <row r="222" spans="1:72">
      <c r="A222" s="79"/>
      <c r="B222" s="1179"/>
      <c r="C222" s="1180"/>
      <c r="D222" s="2301"/>
      <c r="E222" s="81">
        <f t="shared" si="149"/>
        <v>0</v>
      </c>
      <c r="F222" s="82"/>
      <c r="G222" s="83">
        <f t="shared" si="150"/>
        <v>0</v>
      </c>
      <c r="H222" s="84">
        <f t="shared" si="151"/>
        <v>0</v>
      </c>
      <c r="I222" s="1180"/>
      <c r="J222" s="85"/>
      <c r="K222" s="1180"/>
      <c r="L222" s="85"/>
      <c r="M222" s="85"/>
      <c r="N222" s="85"/>
      <c r="O222" s="85"/>
      <c r="P222" s="85"/>
      <c r="Q222" s="85"/>
      <c r="R222" s="85"/>
      <c r="S222" s="85"/>
      <c r="T222" s="85"/>
      <c r="U222" s="85"/>
      <c r="V222" s="85"/>
      <c r="W222" s="85"/>
      <c r="X222" s="85"/>
      <c r="Y222" s="85"/>
      <c r="Z222" s="85"/>
      <c r="AA222" s="85"/>
      <c r="AB222" s="85"/>
      <c r="AC222" s="81">
        <f t="shared" si="152"/>
        <v>0</v>
      </c>
      <c r="AD222" s="86"/>
      <c r="AE222" s="86"/>
      <c r="AF222" s="1180"/>
      <c r="AG222" s="86"/>
      <c r="AH222" s="86"/>
      <c r="AI222" s="86"/>
      <c r="AJ222" s="86"/>
      <c r="AK222" s="86"/>
      <c r="AL222" s="86"/>
      <c r="AM222" s="86"/>
      <c r="AN222" s="86"/>
      <c r="AO222" s="86"/>
      <c r="AP222" s="86"/>
      <c r="AQ222" s="86"/>
      <c r="AR222" s="86"/>
      <c r="AS222" s="86"/>
      <c r="AT222" s="82"/>
      <c r="AU222" s="87"/>
      <c r="AV222" s="818">
        <f t="shared" si="153"/>
        <v>0</v>
      </c>
      <c r="AW222" s="818">
        <f t="shared" si="154"/>
        <v>0</v>
      </c>
      <c r="AX222" s="818">
        <f t="shared" si="155"/>
        <v>0</v>
      </c>
      <c r="AY222" s="88">
        <f t="shared" si="156"/>
        <v>0</v>
      </c>
      <c r="AZ222" s="81">
        <f t="shared" si="157"/>
        <v>0</v>
      </c>
      <c r="BA222" s="81">
        <f t="shared" si="158"/>
        <v>0</v>
      </c>
      <c r="BB222" s="81">
        <f t="shared" si="159"/>
        <v>0</v>
      </c>
      <c r="BC222" s="81">
        <f t="shared" si="160"/>
        <v>0</v>
      </c>
      <c r="BD222" s="81">
        <f t="shared" si="161"/>
        <v>0</v>
      </c>
      <c r="BE222" s="81">
        <f t="shared" si="162"/>
        <v>0</v>
      </c>
      <c r="BF222" s="81">
        <f t="shared" si="163"/>
        <v>0</v>
      </c>
      <c r="BG222" s="81">
        <f t="shared" si="164"/>
        <v>0</v>
      </c>
      <c r="BH222" s="81">
        <f t="shared" si="165"/>
        <v>0</v>
      </c>
      <c r="BI222" s="81">
        <f t="shared" si="166"/>
        <v>0</v>
      </c>
      <c r="BJ222" s="81">
        <f t="shared" si="167"/>
        <v>0</v>
      </c>
      <c r="BK222" s="81">
        <f t="shared" si="168"/>
        <v>0</v>
      </c>
      <c r="BL222" s="81">
        <f t="shared" si="169"/>
        <v>0</v>
      </c>
      <c r="BM222" s="81">
        <f t="shared" si="170"/>
        <v>0</v>
      </c>
      <c r="BN222" s="81">
        <f t="shared" si="171"/>
        <v>0</v>
      </c>
      <c r="BO222" s="81">
        <f t="shared" si="172"/>
        <v>0</v>
      </c>
      <c r="BP222" s="81">
        <f t="shared" si="173"/>
        <v>0</v>
      </c>
      <c r="BQ222" s="81">
        <f t="shared" si="174"/>
        <v>0</v>
      </c>
      <c r="BR222" s="81">
        <f t="shared" si="175"/>
        <v>0</v>
      </c>
      <c r="BS222" s="81">
        <f t="shared" si="176"/>
        <v>0</v>
      </c>
      <c r="BT222" s="89">
        <f t="shared" si="177"/>
        <v>0</v>
      </c>
    </row>
    <row r="223" spans="1:72">
      <c r="A223" s="79"/>
      <c r="B223" s="1179"/>
      <c r="C223" s="1180"/>
      <c r="D223" s="2301"/>
      <c r="E223" s="81">
        <f t="shared" si="149"/>
        <v>0</v>
      </c>
      <c r="F223" s="82"/>
      <c r="G223" s="83">
        <f t="shared" si="150"/>
        <v>0</v>
      </c>
      <c r="H223" s="84">
        <f t="shared" si="151"/>
        <v>0</v>
      </c>
      <c r="I223" s="1180"/>
      <c r="J223" s="85"/>
      <c r="K223" s="1180"/>
      <c r="L223" s="85"/>
      <c r="M223" s="85"/>
      <c r="N223" s="85"/>
      <c r="O223" s="85"/>
      <c r="P223" s="85"/>
      <c r="Q223" s="85"/>
      <c r="R223" s="85"/>
      <c r="S223" s="85"/>
      <c r="T223" s="85"/>
      <c r="U223" s="85"/>
      <c r="V223" s="85"/>
      <c r="W223" s="85"/>
      <c r="X223" s="85"/>
      <c r="Y223" s="85"/>
      <c r="Z223" s="85"/>
      <c r="AA223" s="85"/>
      <c r="AB223" s="85"/>
      <c r="AC223" s="81">
        <f t="shared" si="152"/>
        <v>0</v>
      </c>
      <c r="AD223" s="86"/>
      <c r="AE223" s="86"/>
      <c r="AF223" s="1180"/>
      <c r="AG223" s="86"/>
      <c r="AH223" s="86"/>
      <c r="AI223" s="86"/>
      <c r="AJ223" s="86"/>
      <c r="AK223" s="86"/>
      <c r="AL223" s="86"/>
      <c r="AM223" s="86"/>
      <c r="AN223" s="86"/>
      <c r="AO223" s="86"/>
      <c r="AP223" s="86"/>
      <c r="AQ223" s="86"/>
      <c r="AR223" s="86"/>
      <c r="AS223" s="86"/>
      <c r="AT223" s="82"/>
      <c r="AU223" s="87"/>
      <c r="AV223" s="818">
        <f t="shared" si="153"/>
        <v>0</v>
      </c>
      <c r="AW223" s="818">
        <f t="shared" si="154"/>
        <v>0</v>
      </c>
      <c r="AX223" s="818">
        <f t="shared" si="155"/>
        <v>0</v>
      </c>
      <c r="AY223" s="88">
        <f t="shared" si="156"/>
        <v>0</v>
      </c>
      <c r="AZ223" s="81">
        <f t="shared" si="157"/>
        <v>0</v>
      </c>
      <c r="BA223" s="81">
        <f t="shared" si="158"/>
        <v>0</v>
      </c>
      <c r="BB223" s="81">
        <f t="shared" si="159"/>
        <v>0</v>
      </c>
      <c r="BC223" s="81">
        <f t="shared" si="160"/>
        <v>0</v>
      </c>
      <c r="BD223" s="81">
        <f t="shared" si="161"/>
        <v>0</v>
      </c>
      <c r="BE223" s="81">
        <f t="shared" si="162"/>
        <v>0</v>
      </c>
      <c r="BF223" s="81">
        <f t="shared" si="163"/>
        <v>0</v>
      </c>
      <c r="BG223" s="81">
        <f t="shared" si="164"/>
        <v>0</v>
      </c>
      <c r="BH223" s="81">
        <f t="shared" si="165"/>
        <v>0</v>
      </c>
      <c r="BI223" s="81">
        <f t="shared" si="166"/>
        <v>0</v>
      </c>
      <c r="BJ223" s="81">
        <f t="shared" si="167"/>
        <v>0</v>
      </c>
      <c r="BK223" s="81">
        <f t="shared" si="168"/>
        <v>0</v>
      </c>
      <c r="BL223" s="81">
        <f t="shared" si="169"/>
        <v>0</v>
      </c>
      <c r="BM223" s="81">
        <f t="shared" si="170"/>
        <v>0</v>
      </c>
      <c r="BN223" s="81">
        <f t="shared" si="171"/>
        <v>0</v>
      </c>
      <c r="BO223" s="81">
        <f t="shared" si="172"/>
        <v>0</v>
      </c>
      <c r="BP223" s="81">
        <f t="shared" si="173"/>
        <v>0</v>
      </c>
      <c r="BQ223" s="81">
        <f t="shared" si="174"/>
        <v>0</v>
      </c>
      <c r="BR223" s="81">
        <f t="shared" si="175"/>
        <v>0</v>
      </c>
      <c r="BS223" s="81">
        <f t="shared" si="176"/>
        <v>0</v>
      </c>
      <c r="BT223" s="89">
        <f t="shared" si="177"/>
        <v>0</v>
      </c>
    </row>
    <row r="224" spans="1:72">
      <c r="A224" s="79"/>
      <c r="B224" s="1179"/>
      <c r="C224" s="1180"/>
      <c r="D224" s="2301"/>
      <c r="E224" s="81">
        <f t="shared" si="149"/>
        <v>0</v>
      </c>
      <c r="F224" s="82"/>
      <c r="G224" s="83">
        <f t="shared" si="150"/>
        <v>0</v>
      </c>
      <c r="H224" s="84">
        <f t="shared" si="151"/>
        <v>0</v>
      </c>
      <c r="I224" s="1180"/>
      <c r="J224" s="85"/>
      <c r="K224" s="1180"/>
      <c r="L224" s="85"/>
      <c r="M224" s="85"/>
      <c r="N224" s="85"/>
      <c r="O224" s="85"/>
      <c r="P224" s="85"/>
      <c r="Q224" s="85"/>
      <c r="R224" s="85"/>
      <c r="S224" s="85"/>
      <c r="T224" s="85"/>
      <c r="U224" s="85"/>
      <c r="V224" s="85"/>
      <c r="W224" s="85"/>
      <c r="X224" s="85"/>
      <c r="Y224" s="85"/>
      <c r="Z224" s="85"/>
      <c r="AA224" s="85"/>
      <c r="AB224" s="85"/>
      <c r="AC224" s="81">
        <f t="shared" si="152"/>
        <v>0</v>
      </c>
      <c r="AD224" s="86"/>
      <c r="AE224" s="86"/>
      <c r="AF224" s="1180"/>
      <c r="AG224" s="86"/>
      <c r="AH224" s="86"/>
      <c r="AI224" s="86"/>
      <c r="AJ224" s="86"/>
      <c r="AK224" s="86"/>
      <c r="AL224" s="86"/>
      <c r="AM224" s="86"/>
      <c r="AN224" s="86"/>
      <c r="AO224" s="86"/>
      <c r="AP224" s="86"/>
      <c r="AQ224" s="86"/>
      <c r="AR224" s="86"/>
      <c r="AS224" s="86"/>
      <c r="AT224" s="82"/>
      <c r="AU224" s="87"/>
      <c r="AV224" s="818">
        <f t="shared" si="153"/>
        <v>0</v>
      </c>
      <c r="AW224" s="818">
        <f t="shared" si="154"/>
        <v>0</v>
      </c>
      <c r="AX224" s="818">
        <f t="shared" si="155"/>
        <v>0</v>
      </c>
      <c r="AY224" s="88">
        <f t="shared" si="156"/>
        <v>0</v>
      </c>
      <c r="AZ224" s="81">
        <f t="shared" si="157"/>
        <v>0</v>
      </c>
      <c r="BA224" s="81">
        <f t="shared" si="158"/>
        <v>0</v>
      </c>
      <c r="BB224" s="81">
        <f t="shared" si="159"/>
        <v>0</v>
      </c>
      <c r="BC224" s="81">
        <f t="shared" si="160"/>
        <v>0</v>
      </c>
      <c r="BD224" s="81">
        <f t="shared" si="161"/>
        <v>0</v>
      </c>
      <c r="BE224" s="81">
        <f t="shared" si="162"/>
        <v>0</v>
      </c>
      <c r="BF224" s="81">
        <f t="shared" si="163"/>
        <v>0</v>
      </c>
      <c r="BG224" s="81">
        <f t="shared" si="164"/>
        <v>0</v>
      </c>
      <c r="BH224" s="81">
        <f t="shared" si="165"/>
        <v>0</v>
      </c>
      <c r="BI224" s="81">
        <f t="shared" si="166"/>
        <v>0</v>
      </c>
      <c r="BJ224" s="81">
        <f t="shared" si="167"/>
        <v>0</v>
      </c>
      <c r="BK224" s="81">
        <f t="shared" si="168"/>
        <v>0</v>
      </c>
      <c r="BL224" s="81">
        <f t="shared" si="169"/>
        <v>0</v>
      </c>
      <c r="BM224" s="81">
        <f t="shared" si="170"/>
        <v>0</v>
      </c>
      <c r="BN224" s="81">
        <f t="shared" si="171"/>
        <v>0</v>
      </c>
      <c r="BO224" s="81">
        <f t="shared" si="172"/>
        <v>0</v>
      </c>
      <c r="BP224" s="81">
        <f t="shared" si="173"/>
        <v>0</v>
      </c>
      <c r="BQ224" s="81">
        <f t="shared" si="174"/>
        <v>0</v>
      </c>
      <c r="BR224" s="81">
        <f t="shared" si="175"/>
        <v>0</v>
      </c>
      <c r="BS224" s="81">
        <f t="shared" si="176"/>
        <v>0</v>
      </c>
      <c r="BT224" s="89">
        <f t="shared" si="177"/>
        <v>0</v>
      </c>
    </row>
    <row r="225" spans="1:72">
      <c r="A225" s="79"/>
      <c r="B225" s="1179"/>
      <c r="C225" s="1180"/>
      <c r="D225" s="2301"/>
      <c r="E225" s="81">
        <f t="shared" si="149"/>
        <v>0</v>
      </c>
      <c r="F225" s="82"/>
      <c r="G225" s="83">
        <f t="shared" si="150"/>
        <v>0</v>
      </c>
      <c r="H225" s="84">
        <f t="shared" si="151"/>
        <v>0</v>
      </c>
      <c r="I225" s="1180"/>
      <c r="J225" s="85"/>
      <c r="K225" s="1180"/>
      <c r="L225" s="85"/>
      <c r="M225" s="85"/>
      <c r="N225" s="85"/>
      <c r="O225" s="85"/>
      <c r="P225" s="85"/>
      <c r="Q225" s="85"/>
      <c r="R225" s="85"/>
      <c r="S225" s="85"/>
      <c r="T225" s="85"/>
      <c r="U225" s="85"/>
      <c r="V225" s="85"/>
      <c r="W225" s="85"/>
      <c r="X225" s="85"/>
      <c r="Y225" s="85"/>
      <c r="Z225" s="85"/>
      <c r="AA225" s="85"/>
      <c r="AB225" s="85"/>
      <c r="AC225" s="81">
        <f t="shared" si="152"/>
        <v>0</v>
      </c>
      <c r="AD225" s="86"/>
      <c r="AE225" s="86"/>
      <c r="AF225" s="1180"/>
      <c r="AG225" s="86"/>
      <c r="AH225" s="86"/>
      <c r="AI225" s="86"/>
      <c r="AJ225" s="86"/>
      <c r="AK225" s="86"/>
      <c r="AL225" s="86"/>
      <c r="AM225" s="86"/>
      <c r="AN225" s="86"/>
      <c r="AO225" s="86"/>
      <c r="AP225" s="86"/>
      <c r="AQ225" s="86"/>
      <c r="AR225" s="86"/>
      <c r="AS225" s="86"/>
      <c r="AT225" s="82"/>
      <c r="AU225" s="87"/>
      <c r="AV225" s="818">
        <f t="shared" si="153"/>
        <v>0</v>
      </c>
      <c r="AW225" s="818">
        <f t="shared" si="154"/>
        <v>0</v>
      </c>
      <c r="AX225" s="818">
        <f t="shared" si="155"/>
        <v>0</v>
      </c>
      <c r="AY225" s="88">
        <f t="shared" si="156"/>
        <v>0</v>
      </c>
      <c r="AZ225" s="81">
        <f t="shared" si="157"/>
        <v>0</v>
      </c>
      <c r="BA225" s="81">
        <f t="shared" si="158"/>
        <v>0</v>
      </c>
      <c r="BB225" s="81">
        <f t="shared" si="159"/>
        <v>0</v>
      </c>
      <c r="BC225" s="81">
        <f t="shared" si="160"/>
        <v>0</v>
      </c>
      <c r="BD225" s="81">
        <f t="shared" si="161"/>
        <v>0</v>
      </c>
      <c r="BE225" s="81">
        <f t="shared" si="162"/>
        <v>0</v>
      </c>
      <c r="BF225" s="81">
        <f t="shared" si="163"/>
        <v>0</v>
      </c>
      <c r="BG225" s="81">
        <f t="shared" si="164"/>
        <v>0</v>
      </c>
      <c r="BH225" s="81">
        <f t="shared" si="165"/>
        <v>0</v>
      </c>
      <c r="BI225" s="81">
        <f t="shared" si="166"/>
        <v>0</v>
      </c>
      <c r="BJ225" s="81">
        <f t="shared" si="167"/>
        <v>0</v>
      </c>
      <c r="BK225" s="81">
        <f t="shared" si="168"/>
        <v>0</v>
      </c>
      <c r="BL225" s="81">
        <f t="shared" si="169"/>
        <v>0</v>
      </c>
      <c r="BM225" s="81">
        <f t="shared" si="170"/>
        <v>0</v>
      </c>
      <c r="BN225" s="81">
        <f t="shared" si="171"/>
        <v>0</v>
      </c>
      <c r="BO225" s="81">
        <f t="shared" si="172"/>
        <v>0</v>
      </c>
      <c r="BP225" s="81">
        <f t="shared" si="173"/>
        <v>0</v>
      </c>
      <c r="BQ225" s="81">
        <f t="shared" si="174"/>
        <v>0</v>
      </c>
      <c r="BR225" s="81">
        <f t="shared" si="175"/>
        <v>0</v>
      </c>
      <c r="BS225" s="81">
        <f t="shared" si="176"/>
        <v>0</v>
      </c>
      <c r="BT225" s="89">
        <f t="shared" si="177"/>
        <v>0</v>
      </c>
    </row>
    <row r="226" spans="1:72">
      <c r="A226" s="79"/>
      <c r="B226" s="1179"/>
      <c r="C226" s="1180"/>
      <c r="D226" s="2301"/>
      <c r="E226" s="81">
        <f t="shared" si="149"/>
        <v>0</v>
      </c>
      <c r="F226" s="82"/>
      <c r="G226" s="83">
        <f t="shared" si="150"/>
        <v>0</v>
      </c>
      <c r="H226" s="84">
        <f t="shared" si="151"/>
        <v>0</v>
      </c>
      <c r="I226" s="1180"/>
      <c r="J226" s="85"/>
      <c r="K226" s="1180"/>
      <c r="L226" s="85"/>
      <c r="M226" s="85"/>
      <c r="N226" s="85"/>
      <c r="O226" s="85"/>
      <c r="P226" s="85"/>
      <c r="Q226" s="85"/>
      <c r="R226" s="85"/>
      <c r="S226" s="85"/>
      <c r="T226" s="85"/>
      <c r="U226" s="85"/>
      <c r="V226" s="85"/>
      <c r="W226" s="85"/>
      <c r="X226" s="85"/>
      <c r="Y226" s="85"/>
      <c r="Z226" s="85"/>
      <c r="AA226" s="85"/>
      <c r="AB226" s="85"/>
      <c r="AC226" s="81">
        <f t="shared" si="152"/>
        <v>0</v>
      </c>
      <c r="AD226" s="86"/>
      <c r="AE226" s="86"/>
      <c r="AF226" s="1180"/>
      <c r="AG226" s="86"/>
      <c r="AH226" s="86"/>
      <c r="AI226" s="86"/>
      <c r="AJ226" s="86"/>
      <c r="AK226" s="86"/>
      <c r="AL226" s="86"/>
      <c r="AM226" s="86"/>
      <c r="AN226" s="86"/>
      <c r="AO226" s="86"/>
      <c r="AP226" s="86"/>
      <c r="AQ226" s="86"/>
      <c r="AR226" s="86"/>
      <c r="AS226" s="86"/>
      <c r="AT226" s="82"/>
      <c r="AU226" s="87"/>
      <c r="AV226" s="818">
        <f t="shared" si="153"/>
        <v>0</v>
      </c>
      <c r="AW226" s="818">
        <f t="shared" si="154"/>
        <v>0</v>
      </c>
      <c r="AX226" s="818">
        <f t="shared" si="155"/>
        <v>0</v>
      </c>
      <c r="AY226" s="88">
        <f t="shared" si="156"/>
        <v>0</v>
      </c>
      <c r="AZ226" s="81">
        <f t="shared" si="157"/>
        <v>0</v>
      </c>
      <c r="BA226" s="81">
        <f t="shared" si="158"/>
        <v>0</v>
      </c>
      <c r="BB226" s="81">
        <f t="shared" si="159"/>
        <v>0</v>
      </c>
      <c r="BC226" s="81">
        <f t="shared" si="160"/>
        <v>0</v>
      </c>
      <c r="BD226" s="81">
        <f t="shared" si="161"/>
        <v>0</v>
      </c>
      <c r="BE226" s="81">
        <f t="shared" si="162"/>
        <v>0</v>
      </c>
      <c r="BF226" s="81">
        <f t="shared" si="163"/>
        <v>0</v>
      </c>
      <c r="BG226" s="81">
        <f t="shared" si="164"/>
        <v>0</v>
      </c>
      <c r="BH226" s="81">
        <f t="shared" si="165"/>
        <v>0</v>
      </c>
      <c r="BI226" s="81">
        <f t="shared" si="166"/>
        <v>0</v>
      </c>
      <c r="BJ226" s="81">
        <f t="shared" si="167"/>
        <v>0</v>
      </c>
      <c r="BK226" s="81">
        <f t="shared" si="168"/>
        <v>0</v>
      </c>
      <c r="BL226" s="81">
        <f t="shared" si="169"/>
        <v>0</v>
      </c>
      <c r="BM226" s="81">
        <f t="shared" si="170"/>
        <v>0</v>
      </c>
      <c r="BN226" s="81">
        <f t="shared" si="171"/>
        <v>0</v>
      </c>
      <c r="BO226" s="81">
        <f t="shared" si="172"/>
        <v>0</v>
      </c>
      <c r="BP226" s="81">
        <f t="shared" si="173"/>
        <v>0</v>
      </c>
      <c r="BQ226" s="81">
        <f t="shared" si="174"/>
        <v>0</v>
      </c>
      <c r="BR226" s="81">
        <f t="shared" si="175"/>
        <v>0</v>
      </c>
      <c r="BS226" s="81">
        <f t="shared" si="176"/>
        <v>0</v>
      </c>
      <c r="BT226" s="89">
        <f t="shared" si="177"/>
        <v>0</v>
      </c>
    </row>
    <row r="227" spans="1:72">
      <c r="A227" s="79"/>
      <c r="B227" s="1179"/>
      <c r="C227" s="1180"/>
      <c r="D227" s="2301"/>
      <c r="E227" s="81">
        <f t="shared" si="149"/>
        <v>0</v>
      </c>
      <c r="F227" s="82"/>
      <c r="G227" s="83">
        <f t="shared" si="150"/>
        <v>0</v>
      </c>
      <c r="H227" s="84">
        <f t="shared" si="151"/>
        <v>0</v>
      </c>
      <c r="I227" s="1180"/>
      <c r="J227" s="85"/>
      <c r="K227" s="1180"/>
      <c r="L227" s="85"/>
      <c r="M227" s="85"/>
      <c r="N227" s="85"/>
      <c r="O227" s="85"/>
      <c r="P227" s="85"/>
      <c r="Q227" s="85"/>
      <c r="R227" s="85"/>
      <c r="S227" s="85"/>
      <c r="T227" s="85"/>
      <c r="U227" s="85"/>
      <c r="V227" s="85"/>
      <c r="W227" s="85"/>
      <c r="X227" s="85"/>
      <c r="Y227" s="85"/>
      <c r="Z227" s="85"/>
      <c r="AA227" s="85"/>
      <c r="AB227" s="85"/>
      <c r="AC227" s="81">
        <f t="shared" si="152"/>
        <v>0</v>
      </c>
      <c r="AD227" s="86"/>
      <c r="AE227" s="86"/>
      <c r="AF227" s="1180"/>
      <c r="AG227" s="86"/>
      <c r="AH227" s="86"/>
      <c r="AI227" s="86"/>
      <c r="AJ227" s="86"/>
      <c r="AK227" s="86"/>
      <c r="AL227" s="86"/>
      <c r="AM227" s="86"/>
      <c r="AN227" s="86"/>
      <c r="AO227" s="86"/>
      <c r="AP227" s="86"/>
      <c r="AQ227" s="86"/>
      <c r="AR227" s="86"/>
      <c r="AS227" s="86"/>
      <c r="AT227" s="82"/>
      <c r="AU227" s="87"/>
      <c r="AV227" s="818">
        <f t="shared" si="153"/>
        <v>0</v>
      </c>
      <c r="AW227" s="818">
        <f t="shared" si="154"/>
        <v>0</v>
      </c>
      <c r="AX227" s="818">
        <f t="shared" si="155"/>
        <v>0</v>
      </c>
      <c r="AY227" s="88">
        <f t="shared" si="156"/>
        <v>0</v>
      </c>
      <c r="AZ227" s="81">
        <f t="shared" si="157"/>
        <v>0</v>
      </c>
      <c r="BA227" s="81">
        <f t="shared" si="158"/>
        <v>0</v>
      </c>
      <c r="BB227" s="81">
        <f t="shared" si="159"/>
        <v>0</v>
      </c>
      <c r="BC227" s="81">
        <f t="shared" si="160"/>
        <v>0</v>
      </c>
      <c r="BD227" s="81">
        <f t="shared" si="161"/>
        <v>0</v>
      </c>
      <c r="BE227" s="81">
        <f t="shared" si="162"/>
        <v>0</v>
      </c>
      <c r="BF227" s="81">
        <f t="shared" si="163"/>
        <v>0</v>
      </c>
      <c r="BG227" s="81">
        <f t="shared" si="164"/>
        <v>0</v>
      </c>
      <c r="BH227" s="81">
        <f t="shared" si="165"/>
        <v>0</v>
      </c>
      <c r="BI227" s="81">
        <f t="shared" si="166"/>
        <v>0</v>
      </c>
      <c r="BJ227" s="81">
        <f t="shared" si="167"/>
        <v>0</v>
      </c>
      <c r="BK227" s="81">
        <f t="shared" si="168"/>
        <v>0</v>
      </c>
      <c r="BL227" s="81">
        <f t="shared" si="169"/>
        <v>0</v>
      </c>
      <c r="BM227" s="81">
        <f t="shared" si="170"/>
        <v>0</v>
      </c>
      <c r="BN227" s="81">
        <f t="shared" si="171"/>
        <v>0</v>
      </c>
      <c r="BO227" s="81">
        <f t="shared" si="172"/>
        <v>0</v>
      </c>
      <c r="BP227" s="81">
        <f t="shared" si="173"/>
        <v>0</v>
      </c>
      <c r="BQ227" s="81">
        <f t="shared" si="174"/>
        <v>0</v>
      </c>
      <c r="BR227" s="81">
        <f t="shared" si="175"/>
        <v>0</v>
      </c>
      <c r="BS227" s="81">
        <f t="shared" si="176"/>
        <v>0</v>
      </c>
      <c r="BT227" s="89">
        <f t="shared" si="177"/>
        <v>0</v>
      </c>
    </row>
    <row r="228" spans="1:72">
      <c r="A228" s="79"/>
      <c r="B228" s="1179"/>
      <c r="C228" s="1180"/>
      <c r="D228" s="2301"/>
      <c r="E228" s="81">
        <f t="shared" si="149"/>
        <v>0</v>
      </c>
      <c r="F228" s="82"/>
      <c r="G228" s="83">
        <f t="shared" si="150"/>
        <v>0</v>
      </c>
      <c r="H228" s="84">
        <f t="shared" si="151"/>
        <v>0</v>
      </c>
      <c r="I228" s="1180"/>
      <c r="J228" s="85"/>
      <c r="K228" s="1180"/>
      <c r="L228" s="85"/>
      <c r="M228" s="85"/>
      <c r="N228" s="85"/>
      <c r="O228" s="85"/>
      <c r="P228" s="85"/>
      <c r="Q228" s="85"/>
      <c r="R228" s="85"/>
      <c r="S228" s="85"/>
      <c r="T228" s="85"/>
      <c r="U228" s="85"/>
      <c r="V228" s="85"/>
      <c r="W228" s="85"/>
      <c r="X228" s="85"/>
      <c r="Y228" s="85"/>
      <c r="Z228" s="85"/>
      <c r="AA228" s="85"/>
      <c r="AB228" s="85"/>
      <c r="AC228" s="81">
        <f t="shared" si="152"/>
        <v>0</v>
      </c>
      <c r="AD228" s="86"/>
      <c r="AE228" s="86"/>
      <c r="AF228" s="1180"/>
      <c r="AG228" s="86"/>
      <c r="AH228" s="86"/>
      <c r="AI228" s="86"/>
      <c r="AJ228" s="86"/>
      <c r="AK228" s="86"/>
      <c r="AL228" s="86"/>
      <c r="AM228" s="86"/>
      <c r="AN228" s="86"/>
      <c r="AO228" s="86"/>
      <c r="AP228" s="86"/>
      <c r="AQ228" s="86"/>
      <c r="AR228" s="86"/>
      <c r="AS228" s="86"/>
      <c r="AT228" s="82"/>
      <c r="AU228" s="87"/>
      <c r="AV228" s="818">
        <f t="shared" si="153"/>
        <v>0</v>
      </c>
      <c r="AW228" s="818">
        <f t="shared" si="154"/>
        <v>0</v>
      </c>
      <c r="AX228" s="818">
        <f t="shared" si="155"/>
        <v>0</v>
      </c>
      <c r="AY228" s="88">
        <f t="shared" si="156"/>
        <v>0</v>
      </c>
      <c r="AZ228" s="81">
        <f t="shared" si="157"/>
        <v>0</v>
      </c>
      <c r="BA228" s="81">
        <f t="shared" si="158"/>
        <v>0</v>
      </c>
      <c r="BB228" s="81">
        <f t="shared" si="159"/>
        <v>0</v>
      </c>
      <c r="BC228" s="81">
        <f t="shared" si="160"/>
        <v>0</v>
      </c>
      <c r="BD228" s="81">
        <f t="shared" si="161"/>
        <v>0</v>
      </c>
      <c r="BE228" s="81">
        <f t="shared" si="162"/>
        <v>0</v>
      </c>
      <c r="BF228" s="81">
        <f t="shared" si="163"/>
        <v>0</v>
      </c>
      <c r="BG228" s="81">
        <f t="shared" si="164"/>
        <v>0</v>
      </c>
      <c r="BH228" s="81">
        <f t="shared" si="165"/>
        <v>0</v>
      </c>
      <c r="BI228" s="81">
        <f t="shared" si="166"/>
        <v>0</v>
      </c>
      <c r="BJ228" s="81">
        <f t="shared" si="167"/>
        <v>0</v>
      </c>
      <c r="BK228" s="81">
        <f t="shared" si="168"/>
        <v>0</v>
      </c>
      <c r="BL228" s="81">
        <f t="shared" si="169"/>
        <v>0</v>
      </c>
      <c r="BM228" s="81">
        <f t="shared" si="170"/>
        <v>0</v>
      </c>
      <c r="BN228" s="81">
        <f t="shared" si="171"/>
        <v>0</v>
      </c>
      <c r="BO228" s="81">
        <f t="shared" si="172"/>
        <v>0</v>
      </c>
      <c r="BP228" s="81">
        <f t="shared" si="173"/>
        <v>0</v>
      </c>
      <c r="BQ228" s="81">
        <f t="shared" si="174"/>
        <v>0</v>
      </c>
      <c r="BR228" s="81">
        <f t="shared" si="175"/>
        <v>0</v>
      </c>
      <c r="BS228" s="81">
        <f t="shared" si="176"/>
        <v>0</v>
      </c>
      <c r="BT228" s="89">
        <f t="shared" si="177"/>
        <v>0</v>
      </c>
    </row>
    <row r="229" spans="1:72">
      <c r="A229" s="79"/>
      <c r="B229" s="1179"/>
      <c r="C229" s="1180"/>
      <c r="D229" s="2301"/>
      <c r="E229" s="81">
        <f t="shared" si="149"/>
        <v>0</v>
      </c>
      <c r="F229" s="82"/>
      <c r="G229" s="83">
        <f t="shared" si="150"/>
        <v>0</v>
      </c>
      <c r="H229" s="84">
        <f t="shared" si="151"/>
        <v>0</v>
      </c>
      <c r="I229" s="1180"/>
      <c r="J229" s="85"/>
      <c r="K229" s="1180"/>
      <c r="L229" s="85"/>
      <c r="M229" s="85"/>
      <c r="N229" s="85"/>
      <c r="O229" s="85"/>
      <c r="P229" s="85"/>
      <c r="Q229" s="85"/>
      <c r="R229" s="85"/>
      <c r="S229" s="85"/>
      <c r="T229" s="85"/>
      <c r="U229" s="85"/>
      <c r="V229" s="85"/>
      <c r="W229" s="85"/>
      <c r="X229" s="85"/>
      <c r="Y229" s="85"/>
      <c r="Z229" s="85"/>
      <c r="AA229" s="85"/>
      <c r="AB229" s="85"/>
      <c r="AC229" s="81">
        <f t="shared" si="152"/>
        <v>0</v>
      </c>
      <c r="AD229" s="86"/>
      <c r="AE229" s="86"/>
      <c r="AF229" s="1180"/>
      <c r="AG229" s="86"/>
      <c r="AH229" s="86"/>
      <c r="AI229" s="86"/>
      <c r="AJ229" s="86"/>
      <c r="AK229" s="86"/>
      <c r="AL229" s="86"/>
      <c r="AM229" s="86"/>
      <c r="AN229" s="86"/>
      <c r="AO229" s="86"/>
      <c r="AP229" s="86"/>
      <c r="AQ229" s="86"/>
      <c r="AR229" s="86"/>
      <c r="AS229" s="86"/>
      <c r="AT229" s="82"/>
      <c r="AU229" s="87"/>
      <c r="AV229" s="818">
        <f t="shared" si="153"/>
        <v>0</v>
      </c>
      <c r="AW229" s="818">
        <f t="shared" si="154"/>
        <v>0</v>
      </c>
      <c r="AX229" s="818">
        <f t="shared" si="155"/>
        <v>0</v>
      </c>
      <c r="AY229" s="88">
        <f t="shared" si="156"/>
        <v>0</v>
      </c>
      <c r="AZ229" s="81">
        <f t="shared" si="157"/>
        <v>0</v>
      </c>
      <c r="BA229" s="81">
        <f t="shared" si="158"/>
        <v>0</v>
      </c>
      <c r="BB229" s="81">
        <f t="shared" si="159"/>
        <v>0</v>
      </c>
      <c r="BC229" s="81">
        <f t="shared" si="160"/>
        <v>0</v>
      </c>
      <c r="BD229" s="81">
        <f t="shared" si="161"/>
        <v>0</v>
      </c>
      <c r="BE229" s="81">
        <f t="shared" si="162"/>
        <v>0</v>
      </c>
      <c r="BF229" s="81">
        <f t="shared" si="163"/>
        <v>0</v>
      </c>
      <c r="BG229" s="81">
        <f t="shared" si="164"/>
        <v>0</v>
      </c>
      <c r="BH229" s="81">
        <f t="shared" si="165"/>
        <v>0</v>
      </c>
      <c r="BI229" s="81">
        <f t="shared" si="166"/>
        <v>0</v>
      </c>
      <c r="BJ229" s="81">
        <f t="shared" si="167"/>
        <v>0</v>
      </c>
      <c r="BK229" s="81">
        <f t="shared" si="168"/>
        <v>0</v>
      </c>
      <c r="BL229" s="81">
        <f t="shared" si="169"/>
        <v>0</v>
      </c>
      <c r="BM229" s="81">
        <f t="shared" si="170"/>
        <v>0</v>
      </c>
      <c r="BN229" s="81">
        <f t="shared" si="171"/>
        <v>0</v>
      </c>
      <c r="BO229" s="81">
        <f t="shared" si="172"/>
        <v>0</v>
      </c>
      <c r="BP229" s="81">
        <f t="shared" si="173"/>
        <v>0</v>
      </c>
      <c r="BQ229" s="81">
        <f t="shared" si="174"/>
        <v>0</v>
      </c>
      <c r="BR229" s="81">
        <f t="shared" si="175"/>
        <v>0</v>
      </c>
      <c r="BS229" s="81">
        <f t="shared" si="176"/>
        <v>0</v>
      </c>
      <c r="BT229" s="89">
        <f t="shared" si="177"/>
        <v>0</v>
      </c>
    </row>
    <row r="230" spans="1:72">
      <c r="A230" s="79"/>
      <c r="B230" s="1179"/>
      <c r="C230" s="1180"/>
      <c r="D230" s="2301"/>
      <c r="E230" s="81">
        <f t="shared" si="149"/>
        <v>0</v>
      </c>
      <c r="F230" s="82"/>
      <c r="G230" s="83">
        <f t="shared" si="150"/>
        <v>0</v>
      </c>
      <c r="H230" s="84">
        <f t="shared" si="151"/>
        <v>0</v>
      </c>
      <c r="I230" s="1180"/>
      <c r="J230" s="85"/>
      <c r="K230" s="1180"/>
      <c r="L230" s="85"/>
      <c r="M230" s="85"/>
      <c r="N230" s="85"/>
      <c r="O230" s="85"/>
      <c r="P230" s="85"/>
      <c r="Q230" s="85"/>
      <c r="R230" s="85"/>
      <c r="S230" s="85"/>
      <c r="T230" s="85"/>
      <c r="U230" s="85"/>
      <c r="V230" s="85"/>
      <c r="W230" s="85"/>
      <c r="X230" s="85"/>
      <c r="Y230" s="85"/>
      <c r="Z230" s="85"/>
      <c r="AA230" s="85"/>
      <c r="AB230" s="85"/>
      <c r="AC230" s="81">
        <f t="shared" si="152"/>
        <v>0</v>
      </c>
      <c r="AD230" s="86"/>
      <c r="AE230" s="86"/>
      <c r="AF230" s="1180"/>
      <c r="AG230" s="86"/>
      <c r="AH230" s="86"/>
      <c r="AI230" s="86"/>
      <c r="AJ230" s="86"/>
      <c r="AK230" s="86"/>
      <c r="AL230" s="86"/>
      <c r="AM230" s="86"/>
      <c r="AN230" s="86"/>
      <c r="AO230" s="86"/>
      <c r="AP230" s="86"/>
      <c r="AQ230" s="86"/>
      <c r="AR230" s="86"/>
      <c r="AS230" s="86"/>
      <c r="AT230" s="82"/>
      <c r="AU230" s="87"/>
      <c r="AV230" s="818">
        <f t="shared" si="153"/>
        <v>0</v>
      </c>
      <c r="AW230" s="818">
        <f t="shared" si="154"/>
        <v>0</v>
      </c>
      <c r="AX230" s="818">
        <f t="shared" si="155"/>
        <v>0</v>
      </c>
      <c r="AY230" s="88">
        <f t="shared" si="156"/>
        <v>0</v>
      </c>
      <c r="AZ230" s="81">
        <f t="shared" si="157"/>
        <v>0</v>
      </c>
      <c r="BA230" s="81">
        <f t="shared" si="158"/>
        <v>0</v>
      </c>
      <c r="BB230" s="81">
        <f t="shared" si="159"/>
        <v>0</v>
      </c>
      <c r="BC230" s="81">
        <f t="shared" si="160"/>
        <v>0</v>
      </c>
      <c r="BD230" s="81">
        <f t="shared" si="161"/>
        <v>0</v>
      </c>
      <c r="BE230" s="81">
        <f t="shared" si="162"/>
        <v>0</v>
      </c>
      <c r="BF230" s="81">
        <f t="shared" si="163"/>
        <v>0</v>
      </c>
      <c r="BG230" s="81">
        <f t="shared" si="164"/>
        <v>0</v>
      </c>
      <c r="BH230" s="81">
        <f t="shared" si="165"/>
        <v>0</v>
      </c>
      <c r="BI230" s="81">
        <f t="shared" si="166"/>
        <v>0</v>
      </c>
      <c r="BJ230" s="81">
        <f t="shared" si="167"/>
        <v>0</v>
      </c>
      <c r="BK230" s="81">
        <f t="shared" si="168"/>
        <v>0</v>
      </c>
      <c r="BL230" s="81">
        <f t="shared" si="169"/>
        <v>0</v>
      </c>
      <c r="BM230" s="81">
        <f t="shared" si="170"/>
        <v>0</v>
      </c>
      <c r="BN230" s="81">
        <f t="shared" si="171"/>
        <v>0</v>
      </c>
      <c r="BO230" s="81">
        <f t="shared" si="172"/>
        <v>0</v>
      </c>
      <c r="BP230" s="81">
        <f t="shared" si="173"/>
        <v>0</v>
      </c>
      <c r="BQ230" s="81">
        <f t="shared" si="174"/>
        <v>0</v>
      </c>
      <c r="BR230" s="81">
        <f t="shared" si="175"/>
        <v>0</v>
      </c>
      <c r="BS230" s="81">
        <f t="shared" si="176"/>
        <v>0</v>
      </c>
      <c r="BT230" s="89">
        <f t="shared" si="177"/>
        <v>0</v>
      </c>
    </row>
    <row r="231" spans="1:72">
      <c r="A231" s="79"/>
      <c r="B231" s="1179"/>
      <c r="C231" s="1180"/>
      <c r="D231" s="2301"/>
      <c r="E231" s="81">
        <f t="shared" si="149"/>
        <v>0</v>
      </c>
      <c r="F231" s="82"/>
      <c r="G231" s="83">
        <f t="shared" si="150"/>
        <v>0</v>
      </c>
      <c r="H231" s="84">
        <f t="shared" si="151"/>
        <v>0</v>
      </c>
      <c r="I231" s="1180"/>
      <c r="J231" s="85"/>
      <c r="K231" s="1180"/>
      <c r="L231" s="85"/>
      <c r="M231" s="85"/>
      <c r="N231" s="85"/>
      <c r="O231" s="85"/>
      <c r="P231" s="85"/>
      <c r="Q231" s="85"/>
      <c r="R231" s="85"/>
      <c r="S231" s="85"/>
      <c r="T231" s="85"/>
      <c r="U231" s="85"/>
      <c r="V231" s="85"/>
      <c r="W231" s="85"/>
      <c r="X231" s="85"/>
      <c r="Y231" s="85"/>
      <c r="Z231" s="85"/>
      <c r="AA231" s="85"/>
      <c r="AB231" s="85"/>
      <c r="AC231" s="81">
        <f t="shared" si="152"/>
        <v>0</v>
      </c>
      <c r="AD231" s="86"/>
      <c r="AE231" s="86"/>
      <c r="AF231" s="1180"/>
      <c r="AG231" s="86"/>
      <c r="AH231" s="86"/>
      <c r="AI231" s="86"/>
      <c r="AJ231" s="86"/>
      <c r="AK231" s="86"/>
      <c r="AL231" s="86"/>
      <c r="AM231" s="86"/>
      <c r="AN231" s="86"/>
      <c r="AO231" s="86"/>
      <c r="AP231" s="86"/>
      <c r="AQ231" s="86"/>
      <c r="AR231" s="86"/>
      <c r="AS231" s="86"/>
      <c r="AT231" s="82"/>
      <c r="AU231" s="87"/>
      <c r="AV231" s="818">
        <f t="shared" si="153"/>
        <v>0</v>
      </c>
      <c r="AW231" s="818">
        <f t="shared" si="154"/>
        <v>0</v>
      </c>
      <c r="AX231" s="818">
        <f t="shared" si="155"/>
        <v>0</v>
      </c>
      <c r="AY231" s="88">
        <f t="shared" si="156"/>
        <v>0</v>
      </c>
      <c r="AZ231" s="81">
        <f t="shared" si="157"/>
        <v>0</v>
      </c>
      <c r="BA231" s="81">
        <f t="shared" si="158"/>
        <v>0</v>
      </c>
      <c r="BB231" s="81">
        <f t="shared" si="159"/>
        <v>0</v>
      </c>
      <c r="BC231" s="81">
        <f t="shared" si="160"/>
        <v>0</v>
      </c>
      <c r="BD231" s="81">
        <f t="shared" si="161"/>
        <v>0</v>
      </c>
      <c r="BE231" s="81">
        <f t="shared" si="162"/>
        <v>0</v>
      </c>
      <c r="BF231" s="81">
        <f t="shared" si="163"/>
        <v>0</v>
      </c>
      <c r="BG231" s="81">
        <f t="shared" si="164"/>
        <v>0</v>
      </c>
      <c r="BH231" s="81">
        <f t="shared" si="165"/>
        <v>0</v>
      </c>
      <c r="BI231" s="81">
        <f t="shared" si="166"/>
        <v>0</v>
      </c>
      <c r="BJ231" s="81">
        <f t="shared" si="167"/>
        <v>0</v>
      </c>
      <c r="BK231" s="81">
        <f t="shared" si="168"/>
        <v>0</v>
      </c>
      <c r="BL231" s="81">
        <f t="shared" si="169"/>
        <v>0</v>
      </c>
      <c r="BM231" s="81">
        <f t="shared" si="170"/>
        <v>0</v>
      </c>
      <c r="BN231" s="81">
        <f t="shared" si="171"/>
        <v>0</v>
      </c>
      <c r="BO231" s="81">
        <f t="shared" si="172"/>
        <v>0</v>
      </c>
      <c r="BP231" s="81">
        <f t="shared" si="173"/>
        <v>0</v>
      </c>
      <c r="BQ231" s="81">
        <f t="shared" si="174"/>
        <v>0</v>
      </c>
      <c r="BR231" s="81">
        <f t="shared" si="175"/>
        <v>0</v>
      </c>
      <c r="BS231" s="81">
        <f t="shared" si="176"/>
        <v>0</v>
      </c>
      <c r="BT231" s="89">
        <f t="shared" si="177"/>
        <v>0</v>
      </c>
    </row>
    <row r="232" spans="1:72">
      <c r="A232" s="79"/>
      <c r="B232" s="1179"/>
      <c r="C232" s="1180"/>
      <c r="D232" s="2301"/>
      <c r="E232" s="81">
        <f t="shared" si="149"/>
        <v>0</v>
      </c>
      <c r="F232" s="82"/>
      <c r="G232" s="83">
        <f t="shared" si="150"/>
        <v>0</v>
      </c>
      <c r="H232" s="84">
        <f t="shared" si="151"/>
        <v>0</v>
      </c>
      <c r="I232" s="1180"/>
      <c r="J232" s="85"/>
      <c r="K232" s="1180"/>
      <c r="L232" s="85"/>
      <c r="M232" s="85"/>
      <c r="N232" s="85"/>
      <c r="O232" s="85"/>
      <c r="P232" s="85"/>
      <c r="Q232" s="85"/>
      <c r="R232" s="85"/>
      <c r="S232" s="85"/>
      <c r="T232" s="85"/>
      <c r="U232" s="85"/>
      <c r="V232" s="85"/>
      <c r="W232" s="85"/>
      <c r="X232" s="85"/>
      <c r="Y232" s="85"/>
      <c r="Z232" s="85"/>
      <c r="AA232" s="85"/>
      <c r="AB232" s="85"/>
      <c r="AC232" s="81">
        <f t="shared" si="152"/>
        <v>0</v>
      </c>
      <c r="AD232" s="86"/>
      <c r="AE232" s="86"/>
      <c r="AF232" s="1180"/>
      <c r="AG232" s="86"/>
      <c r="AH232" s="86"/>
      <c r="AI232" s="86"/>
      <c r="AJ232" s="86"/>
      <c r="AK232" s="86"/>
      <c r="AL232" s="86"/>
      <c r="AM232" s="86"/>
      <c r="AN232" s="86"/>
      <c r="AO232" s="86"/>
      <c r="AP232" s="86"/>
      <c r="AQ232" s="86"/>
      <c r="AR232" s="86"/>
      <c r="AS232" s="86"/>
      <c r="AT232" s="82"/>
      <c r="AU232" s="87"/>
      <c r="AV232" s="818">
        <f t="shared" si="153"/>
        <v>0</v>
      </c>
      <c r="AW232" s="818">
        <f t="shared" si="154"/>
        <v>0</v>
      </c>
      <c r="AX232" s="818">
        <f t="shared" si="155"/>
        <v>0</v>
      </c>
      <c r="AY232" s="88">
        <f t="shared" si="156"/>
        <v>0</v>
      </c>
      <c r="AZ232" s="81">
        <f t="shared" si="157"/>
        <v>0</v>
      </c>
      <c r="BA232" s="81">
        <f t="shared" si="158"/>
        <v>0</v>
      </c>
      <c r="BB232" s="81">
        <f t="shared" si="159"/>
        <v>0</v>
      </c>
      <c r="BC232" s="81">
        <f t="shared" si="160"/>
        <v>0</v>
      </c>
      <c r="BD232" s="81">
        <f t="shared" si="161"/>
        <v>0</v>
      </c>
      <c r="BE232" s="81">
        <f t="shared" si="162"/>
        <v>0</v>
      </c>
      <c r="BF232" s="81">
        <f t="shared" si="163"/>
        <v>0</v>
      </c>
      <c r="BG232" s="81">
        <f t="shared" si="164"/>
        <v>0</v>
      </c>
      <c r="BH232" s="81">
        <f t="shared" si="165"/>
        <v>0</v>
      </c>
      <c r="BI232" s="81">
        <f t="shared" si="166"/>
        <v>0</v>
      </c>
      <c r="BJ232" s="81">
        <f t="shared" si="167"/>
        <v>0</v>
      </c>
      <c r="BK232" s="81">
        <f t="shared" si="168"/>
        <v>0</v>
      </c>
      <c r="BL232" s="81">
        <f t="shared" si="169"/>
        <v>0</v>
      </c>
      <c r="BM232" s="81">
        <f t="shared" si="170"/>
        <v>0</v>
      </c>
      <c r="BN232" s="81">
        <f t="shared" si="171"/>
        <v>0</v>
      </c>
      <c r="BO232" s="81">
        <f t="shared" si="172"/>
        <v>0</v>
      </c>
      <c r="BP232" s="81">
        <f t="shared" si="173"/>
        <v>0</v>
      </c>
      <c r="BQ232" s="81">
        <f t="shared" si="174"/>
        <v>0</v>
      </c>
      <c r="BR232" s="81">
        <f t="shared" si="175"/>
        <v>0</v>
      </c>
      <c r="BS232" s="81">
        <f t="shared" si="176"/>
        <v>0</v>
      </c>
      <c r="BT232" s="89">
        <f t="shared" si="177"/>
        <v>0</v>
      </c>
    </row>
    <row r="233" spans="1:72">
      <c r="A233" s="79"/>
      <c r="B233" s="1179"/>
      <c r="C233" s="1180"/>
      <c r="D233" s="2301"/>
      <c r="E233" s="81">
        <f t="shared" si="149"/>
        <v>0</v>
      </c>
      <c r="F233" s="82"/>
      <c r="G233" s="83">
        <f t="shared" si="150"/>
        <v>0</v>
      </c>
      <c r="H233" s="84">
        <f t="shared" si="151"/>
        <v>0</v>
      </c>
      <c r="I233" s="1180"/>
      <c r="J233" s="85"/>
      <c r="K233" s="1180"/>
      <c r="L233" s="85"/>
      <c r="M233" s="85"/>
      <c r="N233" s="85"/>
      <c r="O233" s="85"/>
      <c r="P233" s="85"/>
      <c r="Q233" s="85"/>
      <c r="R233" s="85"/>
      <c r="S233" s="85"/>
      <c r="T233" s="85"/>
      <c r="U233" s="85"/>
      <c r="V233" s="85"/>
      <c r="W233" s="85"/>
      <c r="X233" s="85"/>
      <c r="Y233" s="85"/>
      <c r="Z233" s="85"/>
      <c r="AA233" s="85"/>
      <c r="AB233" s="85"/>
      <c r="AC233" s="81">
        <f t="shared" si="152"/>
        <v>0</v>
      </c>
      <c r="AD233" s="86"/>
      <c r="AE233" s="86"/>
      <c r="AF233" s="1180"/>
      <c r="AG233" s="86"/>
      <c r="AH233" s="86"/>
      <c r="AI233" s="86"/>
      <c r="AJ233" s="86"/>
      <c r="AK233" s="86"/>
      <c r="AL233" s="86"/>
      <c r="AM233" s="86"/>
      <c r="AN233" s="86"/>
      <c r="AO233" s="86"/>
      <c r="AP233" s="86"/>
      <c r="AQ233" s="86"/>
      <c r="AR233" s="86"/>
      <c r="AS233" s="86"/>
      <c r="AT233" s="82"/>
      <c r="AU233" s="87"/>
      <c r="AV233" s="818">
        <f t="shared" si="153"/>
        <v>0</v>
      </c>
      <c r="AW233" s="818">
        <f t="shared" si="154"/>
        <v>0</v>
      </c>
      <c r="AX233" s="818">
        <f t="shared" si="155"/>
        <v>0</v>
      </c>
      <c r="AY233" s="88">
        <f t="shared" si="156"/>
        <v>0</v>
      </c>
      <c r="AZ233" s="81">
        <f t="shared" si="157"/>
        <v>0</v>
      </c>
      <c r="BA233" s="81">
        <f t="shared" si="158"/>
        <v>0</v>
      </c>
      <c r="BB233" s="81">
        <f t="shared" si="159"/>
        <v>0</v>
      </c>
      <c r="BC233" s="81">
        <f t="shared" si="160"/>
        <v>0</v>
      </c>
      <c r="BD233" s="81">
        <f t="shared" si="161"/>
        <v>0</v>
      </c>
      <c r="BE233" s="81">
        <f t="shared" si="162"/>
        <v>0</v>
      </c>
      <c r="BF233" s="81">
        <f t="shared" si="163"/>
        <v>0</v>
      </c>
      <c r="BG233" s="81">
        <f t="shared" si="164"/>
        <v>0</v>
      </c>
      <c r="BH233" s="81">
        <f t="shared" si="165"/>
        <v>0</v>
      </c>
      <c r="BI233" s="81">
        <f t="shared" si="166"/>
        <v>0</v>
      </c>
      <c r="BJ233" s="81">
        <f t="shared" si="167"/>
        <v>0</v>
      </c>
      <c r="BK233" s="81">
        <f t="shared" si="168"/>
        <v>0</v>
      </c>
      <c r="BL233" s="81">
        <f t="shared" si="169"/>
        <v>0</v>
      </c>
      <c r="BM233" s="81">
        <f t="shared" si="170"/>
        <v>0</v>
      </c>
      <c r="BN233" s="81">
        <f t="shared" si="171"/>
        <v>0</v>
      </c>
      <c r="BO233" s="81">
        <f t="shared" si="172"/>
        <v>0</v>
      </c>
      <c r="BP233" s="81">
        <f t="shared" si="173"/>
        <v>0</v>
      </c>
      <c r="BQ233" s="81">
        <f t="shared" si="174"/>
        <v>0</v>
      </c>
      <c r="BR233" s="81">
        <f t="shared" si="175"/>
        <v>0</v>
      </c>
      <c r="BS233" s="81">
        <f t="shared" si="176"/>
        <v>0</v>
      </c>
      <c r="BT233" s="89">
        <f t="shared" si="177"/>
        <v>0</v>
      </c>
    </row>
    <row r="234" spans="1:72">
      <c r="A234" s="79"/>
      <c r="B234" s="1179"/>
      <c r="C234" s="1180"/>
      <c r="D234" s="2301"/>
      <c r="E234" s="81">
        <f t="shared" si="149"/>
        <v>0</v>
      </c>
      <c r="F234" s="82"/>
      <c r="G234" s="83">
        <f t="shared" si="150"/>
        <v>0</v>
      </c>
      <c r="H234" s="84">
        <f t="shared" si="151"/>
        <v>0</v>
      </c>
      <c r="I234" s="1180"/>
      <c r="J234" s="85"/>
      <c r="K234" s="1180"/>
      <c r="L234" s="85"/>
      <c r="M234" s="85"/>
      <c r="N234" s="85"/>
      <c r="O234" s="85"/>
      <c r="P234" s="85"/>
      <c r="Q234" s="85"/>
      <c r="R234" s="85"/>
      <c r="S234" s="85"/>
      <c r="T234" s="85"/>
      <c r="U234" s="85"/>
      <c r="V234" s="85"/>
      <c r="W234" s="85"/>
      <c r="X234" s="85"/>
      <c r="Y234" s="85"/>
      <c r="Z234" s="85"/>
      <c r="AA234" s="85"/>
      <c r="AB234" s="85"/>
      <c r="AC234" s="81">
        <f t="shared" si="152"/>
        <v>0</v>
      </c>
      <c r="AD234" s="86"/>
      <c r="AE234" s="86"/>
      <c r="AF234" s="1180"/>
      <c r="AG234" s="86"/>
      <c r="AH234" s="86"/>
      <c r="AI234" s="86"/>
      <c r="AJ234" s="86"/>
      <c r="AK234" s="86"/>
      <c r="AL234" s="86"/>
      <c r="AM234" s="86"/>
      <c r="AN234" s="86"/>
      <c r="AO234" s="86"/>
      <c r="AP234" s="86"/>
      <c r="AQ234" s="86"/>
      <c r="AR234" s="86"/>
      <c r="AS234" s="86"/>
      <c r="AT234" s="82"/>
      <c r="AU234" s="87"/>
      <c r="AV234" s="818">
        <f t="shared" si="153"/>
        <v>0</v>
      </c>
      <c r="AW234" s="818">
        <f t="shared" si="154"/>
        <v>0</v>
      </c>
      <c r="AX234" s="818">
        <f t="shared" si="155"/>
        <v>0</v>
      </c>
      <c r="AY234" s="88">
        <f t="shared" si="156"/>
        <v>0</v>
      </c>
      <c r="AZ234" s="81">
        <f t="shared" si="157"/>
        <v>0</v>
      </c>
      <c r="BA234" s="81">
        <f t="shared" si="158"/>
        <v>0</v>
      </c>
      <c r="BB234" s="81">
        <f t="shared" si="159"/>
        <v>0</v>
      </c>
      <c r="BC234" s="81">
        <f t="shared" si="160"/>
        <v>0</v>
      </c>
      <c r="BD234" s="81">
        <f t="shared" si="161"/>
        <v>0</v>
      </c>
      <c r="BE234" s="81">
        <f t="shared" si="162"/>
        <v>0</v>
      </c>
      <c r="BF234" s="81">
        <f t="shared" si="163"/>
        <v>0</v>
      </c>
      <c r="BG234" s="81">
        <f t="shared" si="164"/>
        <v>0</v>
      </c>
      <c r="BH234" s="81">
        <f t="shared" si="165"/>
        <v>0</v>
      </c>
      <c r="BI234" s="81">
        <f t="shared" si="166"/>
        <v>0</v>
      </c>
      <c r="BJ234" s="81">
        <f t="shared" si="167"/>
        <v>0</v>
      </c>
      <c r="BK234" s="81">
        <f t="shared" si="168"/>
        <v>0</v>
      </c>
      <c r="BL234" s="81">
        <f t="shared" si="169"/>
        <v>0</v>
      </c>
      <c r="BM234" s="81">
        <f t="shared" si="170"/>
        <v>0</v>
      </c>
      <c r="BN234" s="81">
        <f t="shared" si="171"/>
        <v>0</v>
      </c>
      <c r="BO234" s="81">
        <f t="shared" si="172"/>
        <v>0</v>
      </c>
      <c r="BP234" s="81">
        <f t="shared" si="173"/>
        <v>0</v>
      </c>
      <c r="BQ234" s="81">
        <f t="shared" si="174"/>
        <v>0</v>
      </c>
      <c r="BR234" s="81">
        <f t="shared" si="175"/>
        <v>0</v>
      </c>
      <c r="BS234" s="81">
        <f t="shared" si="176"/>
        <v>0</v>
      </c>
      <c r="BT234" s="89">
        <f t="shared" si="177"/>
        <v>0</v>
      </c>
    </row>
    <row r="235" spans="1:72">
      <c r="A235" s="79"/>
      <c r="B235" s="1179"/>
      <c r="C235" s="1180"/>
      <c r="D235" s="2301"/>
      <c r="E235" s="81">
        <f t="shared" si="149"/>
        <v>0</v>
      </c>
      <c r="F235" s="82"/>
      <c r="G235" s="83">
        <f t="shared" si="150"/>
        <v>0</v>
      </c>
      <c r="H235" s="84">
        <f t="shared" si="151"/>
        <v>0</v>
      </c>
      <c r="I235" s="1180"/>
      <c r="J235" s="85"/>
      <c r="K235" s="1180"/>
      <c r="L235" s="85"/>
      <c r="M235" s="85"/>
      <c r="N235" s="85"/>
      <c r="O235" s="85"/>
      <c r="P235" s="85"/>
      <c r="Q235" s="85"/>
      <c r="R235" s="85"/>
      <c r="S235" s="85"/>
      <c r="T235" s="85"/>
      <c r="U235" s="85"/>
      <c r="V235" s="85"/>
      <c r="W235" s="85"/>
      <c r="X235" s="85"/>
      <c r="Y235" s="85"/>
      <c r="Z235" s="85"/>
      <c r="AA235" s="85"/>
      <c r="AB235" s="85"/>
      <c r="AC235" s="81">
        <f t="shared" si="152"/>
        <v>0</v>
      </c>
      <c r="AD235" s="86"/>
      <c r="AE235" s="86"/>
      <c r="AF235" s="1180"/>
      <c r="AG235" s="86"/>
      <c r="AH235" s="86"/>
      <c r="AI235" s="86"/>
      <c r="AJ235" s="86"/>
      <c r="AK235" s="86"/>
      <c r="AL235" s="86"/>
      <c r="AM235" s="86"/>
      <c r="AN235" s="86"/>
      <c r="AO235" s="86"/>
      <c r="AP235" s="86"/>
      <c r="AQ235" s="86"/>
      <c r="AR235" s="86"/>
      <c r="AS235" s="86"/>
      <c r="AT235" s="82"/>
      <c r="AU235" s="87"/>
      <c r="AV235" s="818">
        <f t="shared" si="153"/>
        <v>0</v>
      </c>
      <c r="AW235" s="818">
        <f t="shared" si="154"/>
        <v>0</v>
      </c>
      <c r="AX235" s="818">
        <f t="shared" si="155"/>
        <v>0</v>
      </c>
      <c r="AY235" s="88">
        <f t="shared" si="156"/>
        <v>0</v>
      </c>
      <c r="AZ235" s="81">
        <f t="shared" si="157"/>
        <v>0</v>
      </c>
      <c r="BA235" s="81">
        <f t="shared" si="158"/>
        <v>0</v>
      </c>
      <c r="BB235" s="81">
        <f t="shared" si="159"/>
        <v>0</v>
      </c>
      <c r="BC235" s="81">
        <f t="shared" si="160"/>
        <v>0</v>
      </c>
      <c r="BD235" s="81">
        <f t="shared" si="161"/>
        <v>0</v>
      </c>
      <c r="BE235" s="81">
        <f t="shared" si="162"/>
        <v>0</v>
      </c>
      <c r="BF235" s="81">
        <f t="shared" si="163"/>
        <v>0</v>
      </c>
      <c r="BG235" s="81">
        <f t="shared" si="164"/>
        <v>0</v>
      </c>
      <c r="BH235" s="81">
        <f t="shared" si="165"/>
        <v>0</v>
      </c>
      <c r="BI235" s="81">
        <f t="shared" si="166"/>
        <v>0</v>
      </c>
      <c r="BJ235" s="81">
        <f t="shared" si="167"/>
        <v>0</v>
      </c>
      <c r="BK235" s="81">
        <f t="shared" si="168"/>
        <v>0</v>
      </c>
      <c r="BL235" s="81">
        <f t="shared" si="169"/>
        <v>0</v>
      </c>
      <c r="BM235" s="81">
        <f t="shared" si="170"/>
        <v>0</v>
      </c>
      <c r="BN235" s="81">
        <f t="shared" si="171"/>
        <v>0</v>
      </c>
      <c r="BO235" s="81">
        <f t="shared" si="172"/>
        <v>0</v>
      </c>
      <c r="BP235" s="81">
        <f t="shared" si="173"/>
        <v>0</v>
      </c>
      <c r="BQ235" s="81">
        <f t="shared" si="174"/>
        <v>0</v>
      </c>
      <c r="BR235" s="81">
        <f t="shared" si="175"/>
        <v>0</v>
      </c>
      <c r="BS235" s="81">
        <f t="shared" si="176"/>
        <v>0</v>
      </c>
      <c r="BT235" s="89">
        <f t="shared" si="177"/>
        <v>0</v>
      </c>
    </row>
    <row r="236" spans="1:72">
      <c r="A236" s="79"/>
      <c r="B236" s="1179"/>
      <c r="C236" s="1180"/>
      <c r="D236" s="2301"/>
      <c r="E236" s="81">
        <f t="shared" si="149"/>
        <v>0</v>
      </c>
      <c r="F236" s="82"/>
      <c r="G236" s="83">
        <f t="shared" si="150"/>
        <v>0</v>
      </c>
      <c r="H236" s="84">
        <f t="shared" si="151"/>
        <v>0</v>
      </c>
      <c r="I236" s="1180"/>
      <c r="J236" s="85"/>
      <c r="K236" s="1180"/>
      <c r="L236" s="85"/>
      <c r="M236" s="85"/>
      <c r="N236" s="85"/>
      <c r="O236" s="85"/>
      <c r="P236" s="85"/>
      <c r="Q236" s="85"/>
      <c r="R236" s="85"/>
      <c r="S236" s="85"/>
      <c r="T236" s="85"/>
      <c r="U236" s="85"/>
      <c r="V236" s="85"/>
      <c r="W236" s="85"/>
      <c r="X236" s="85"/>
      <c r="Y236" s="85"/>
      <c r="Z236" s="85"/>
      <c r="AA236" s="85"/>
      <c r="AB236" s="85"/>
      <c r="AC236" s="81">
        <f t="shared" si="152"/>
        <v>0</v>
      </c>
      <c r="AD236" s="86"/>
      <c r="AE236" s="86"/>
      <c r="AF236" s="1180"/>
      <c r="AG236" s="86"/>
      <c r="AH236" s="86"/>
      <c r="AI236" s="86"/>
      <c r="AJ236" s="86"/>
      <c r="AK236" s="86"/>
      <c r="AL236" s="86"/>
      <c r="AM236" s="86"/>
      <c r="AN236" s="86"/>
      <c r="AO236" s="86"/>
      <c r="AP236" s="86"/>
      <c r="AQ236" s="86"/>
      <c r="AR236" s="86"/>
      <c r="AS236" s="86"/>
      <c r="AT236" s="82"/>
      <c r="AU236" s="87"/>
      <c r="AV236" s="818">
        <f t="shared" si="153"/>
        <v>0</v>
      </c>
      <c r="AW236" s="818">
        <f t="shared" si="154"/>
        <v>0</v>
      </c>
      <c r="AX236" s="818">
        <f t="shared" si="155"/>
        <v>0</v>
      </c>
      <c r="AY236" s="88">
        <f t="shared" si="156"/>
        <v>0</v>
      </c>
      <c r="AZ236" s="81">
        <f t="shared" si="157"/>
        <v>0</v>
      </c>
      <c r="BA236" s="81">
        <f t="shared" si="158"/>
        <v>0</v>
      </c>
      <c r="BB236" s="81">
        <f t="shared" si="159"/>
        <v>0</v>
      </c>
      <c r="BC236" s="81">
        <f t="shared" si="160"/>
        <v>0</v>
      </c>
      <c r="BD236" s="81">
        <f t="shared" si="161"/>
        <v>0</v>
      </c>
      <c r="BE236" s="81">
        <f t="shared" si="162"/>
        <v>0</v>
      </c>
      <c r="BF236" s="81">
        <f t="shared" si="163"/>
        <v>0</v>
      </c>
      <c r="BG236" s="81">
        <f t="shared" si="164"/>
        <v>0</v>
      </c>
      <c r="BH236" s="81">
        <f t="shared" si="165"/>
        <v>0</v>
      </c>
      <c r="BI236" s="81">
        <f t="shared" si="166"/>
        <v>0</v>
      </c>
      <c r="BJ236" s="81">
        <f t="shared" si="167"/>
        <v>0</v>
      </c>
      <c r="BK236" s="81">
        <f t="shared" si="168"/>
        <v>0</v>
      </c>
      <c r="BL236" s="81">
        <f t="shared" si="169"/>
        <v>0</v>
      </c>
      <c r="BM236" s="81">
        <f t="shared" si="170"/>
        <v>0</v>
      </c>
      <c r="BN236" s="81">
        <f t="shared" si="171"/>
        <v>0</v>
      </c>
      <c r="BO236" s="81">
        <f t="shared" si="172"/>
        <v>0</v>
      </c>
      <c r="BP236" s="81">
        <f t="shared" si="173"/>
        <v>0</v>
      </c>
      <c r="BQ236" s="81">
        <f t="shared" si="174"/>
        <v>0</v>
      </c>
      <c r="BR236" s="81">
        <f t="shared" si="175"/>
        <v>0</v>
      </c>
      <c r="BS236" s="81">
        <f t="shared" si="176"/>
        <v>0</v>
      </c>
      <c r="BT236" s="89">
        <f t="shared" si="177"/>
        <v>0</v>
      </c>
    </row>
    <row r="237" spans="1:72">
      <c r="A237" s="79"/>
      <c r="B237" s="1179"/>
      <c r="C237" s="1180"/>
      <c r="D237" s="2301"/>
      <c r="E237" s="81">
        <f t="shared" si="149"/>
        <v>0</v>
      </c>
      <c r="F237" s="82"/>
      <c r="G237" s="83">
        <f t="shared" si="150"/>
        <v>0</v>
      </c>
      <c r="H237" s="84">
        <f t="shared" si="151"/>
        <v>0</v>
      </c>
      <c r="I237" s="1180"/>
      <c r="J237" s="85"/>
      <c r="K237" s="1180"/>
      <c r="L237" s="85"/>
      <c r="M237" s="85"/>
      <c r="N237" s="85"/>
      <c r="O237" s="85"/>
      <c r="P237" s="85"/>
      <c r="Q237" s="85"/>
      <c r="R237" s="85"/>
      <c r="S237" s="85"/>
      <c r="T237" s="85"/>
      <c r="U237" s="85"/>
      <c r="V237" s="85"/>
      <c r="W237" s="85"/>
      <c r="X237" s="85"/>
      <c r="Y237" s="85"/>
      <c r="Z237" s="85"/>
      <c r="AA237" s="85"/>
      <c r="AB237" s="85"/>
      <c r="AC237" s="81">
        <f t="shared" si="152"/>
        <v>0</v>
      </c>
      <c r="AD237" s="86"/>
      <c r="AE237" s="86"/>
      <c r="AF237" s="1180"/>
      <c r="AG237" s="86"/>
      <c r="AH237" s="86"/>
      <c r="AI237" s="86"/>
      <c r="AJ237" s="86"/>
      <c r="AK237" s="86"/>
      <c r="AL237" s="86"/>
      <c r="AM237" s="86"/>
      <c r="AN237" s="86"/>
      <c r="AO237" s="86"/>
      <c r="AP237" s="86"/>
      <c r="AQ237" s="86"/>
      <c r="AR237" s="86"/>
      <c r="AS237" s="86"/>
      <c r="AT237" s="82"/>
      <c r="AU237" s="87"/>
      <c r="AV237" s="818">
        <f t="shared" si="153"/>
        <v>0</v>
      </c>
      <c r="AW237" s="818">
        <f t="shared" si="154"/>
        <v>0</v>
      </c>
      <c r="AX237" s="818">
        <f t="shared" si="155"/>
        <v>0</v>
      </c>
      <c r="AY237" s="88">
        <f t="shared" si="156"/>
        <v>0</v>
      </c>
      <c r="AZ237" s="81">
        <f t="shared" si="157"/>
        <v>0</v>
      </c>
      <c r="BA237" s="81">
        <f t="shared" si="158"/>
        <v>0</v>
      </c>
      <c r="BB237" s="81">
        <f t="shared" si="159"/>
        <v>0</v>
      </c>
      <c r="BC237" s="81">
        <f t="shared" si="160"/>
        <v>0</v>
      </c>
      <c r="BD237" s="81">
        <f t="shared" si="161"/>
        <v>0</v>
      </c>
      <c r="BE237" s="81">
        <f t="shared" si="162"/>
        <v>0</v>
      </c>
      <c r="BF237" s="81">
        <f t="shared" si="163"/>
        <v>0</v>
      </c>
      <c r="BG237" s="81">
        <f t="shared" si="164"/>
        <v>0</v>
      </c>
      <c r="BH237" s="81">
        <f t="shared" si="165"/>
        <v>0</v>
      </c>
      <c r="BI237" s="81">
        <f t="shared" si="166"/>
        <v>0</v>
      </c>
      <c r="BJ237" s="81">
        <f t="shared" si="167"/>
        <v>0</v>
      </c>
      <c r="BK237" s="81">
        <f t="shared" si="168"/>
        <v>0</v>
      </c>
      <c r="BL237" s="81">
        <f t="shared" si="169"/>
        <v>0</v>
      </c>
      <c r="BM237" s="81">
        <f t="shared" si="170"/>
        <v>0</v>
      </c>
      <c r="BN237" s="81">
        <f t="shared" si="171"/>
        <v>0</v>
      </c>
      <c r="BO237" s="81">
        <f t="shared" si="172"/>
        <v>0</v>
      </c>
      <c r="BP237" s="81">
        <f t="shared" si="173"/>
        <v>0</v>
      </c>
      <c r="BQ237" s="81">
        <f t="shared" si="174"/>
        <v>0</v>
      </c>
      <c r="BR237" s="81">
        <f t="shared" si="175"/>
        <v>0</v>
      </c>
      <c r="BS237" s="81">
        <f t="shared" si="176"/>
        <v>0</v>
      </c>
      <c r="BT237" s="89">
        <f t="shared" si="177"/>
        <v>0</v>
      </c>
    </row>
    <row r="238" spans="1:72">
      <c r="A238" s="79"/>
      <c r="B238" s="1179"/>
      <c r="C238" s="1180"/>
      <c r="D238" s="2301"/>
      <c r="E238" s="81">
        <f t="shared" si="149"/>
        <v>0</v>
      </c>
      <c r="F238" s="82"/>
      <c r="G238" s="83">
        <f t="shared" si="150"/>
        <v>0</v>
      </c>
      <c r="H238" s="84">
        <f t="shared" si="151"/>
        <v>0</v>
      </c>
      <c r="I238" s="1180"/>
      <c r="J238" s="85"/>
      <c r="K238" s="1180"/>
      <c r="L238" s="85"/>
      <c r="M238" s="85"/>
      <c r="N238" s="85"/>
      <c r="O238" s="85"/>
      <c r="P238" s="85"/>
      <c r="Q238" s="85"/>
      <c r="R238" s="85"/>
      <c r="S238" s="85"/>
      <c r="T238" s="85"/>
      <c r="U238" s="85"/>
      <c r="V238" s="85"/>
      <c r="W238" s="85"/>
      <c r="X238" s="85"/>
      <c r="Y238" s="85"/>
      <c r="Z238" s="85"/>
      <c r="AA238" s="85"/>
      <c r="AB238" s="85"/>
      <c r="AC238" s="81">
        <f t="shared" si="152"/>
        <v>0</v>
      </c>
      <c r="AD238" s="86"/>
      <c r="AE238" s="86"/>
      <c r="AF238" s="1180"/>
      <c r="AG238" s="86"/>
      <c r="AH238" s="86"/>
      <c r="AI238" s="86"/>
      <c r="AJ238" s="86"/>
      <c r="AK238" s="86"/>
      <c r="AL238" s="86"/>
      <c r="AM238" s="86"/>
      <c r="AN238" s="86"/>
      <c r="AO238" s="86"/>
      <c r="AP238" s="86"/>
      <c r="AQ238" s="86"/>
      <c r="AR238" s="86"/>
      <c r="AS238" s="86"/>
      <c r="AT238" s="82"/>
      <c r="AU238" s="87"/>
      <c r="AV238" s="818">
        <f t="shared" si="153"/>
        <v>0</v>
      </c>
      <c r="AW238" s="818">
        <f t="shared" si="154"/>
        <v>0</v>
      </c>
      <c r="AX238" s="818">
        <f t="shared" si="155"/>
        <v>0</v>
      </c>
      <c r="AY238" s="88">
        <f t="shared" si="156"/>
        <v>0</v>
      </c>
      <c r="AZ238" s="81">
        <f t="shared" si="157"/>
        <v>0</v>
      </c>
      <c r="BA238" s="81">
        <f t="shared" si="158"/>
        <v>0</v>
      </c>
      <c r="BB238" s="81">
        <f t="shared" si="159"/>
        <v>0</v>
      </c>
      <c r="BC238" s="81">
        <f t="shared" si="160"/>
        <v>0</v>
      </c>
      <c r="BD238" s="81">
        <f t="shared" si="161"/>
        <v>0</v>
      </c>
      <c r="BE238" s="81">
        <f t="shared" si="162"/>
        <v>0</v>
      </c>
      <c r="BF238" s="81">
        <f t="shared" si="163"/>
        <v>0</v>
      </c>
      <c r="BG238" s="81">
        <f t="shared" si="164"/>
        <v>0</v>
      </c>
      <c r="BH238" s="81">
        <f t="shared" si="165"/>
        <v>0</v>
      </c>
      <c r="BI238" s="81">
        <f t="shared" si="166"/>
        <v>0</v>
      </c>
      <c r="BJ238" s="81">
        <f t="shared" si="167"/>
        <v>0</v>
      </c>
      <c r="BK238" s="81">
        <f t="shared" si="168"/>
        <v>0</v>
      </c>
      <c r="BL238" s="81">
        <f t="shared" si="169"/>
        <v>0</v>
      </c>
      <c r="BM238" s="81">
        <f t="shared" si="170"/>
        <v>0</v>
      </c>
      <c r="BN238" s="81">
        <f t="shared" si="171"/>
        <v>0</v>
      </c>
      <c r="BO238" s="81">
        <f t="shared" si="172"/>
        <v>0</v>
      </c>
      <c r="BP238" s="81">
        <f t="shared" si="173"/>
        <v>0</v>
      </c>
      <c r="BQ238" s="81">
        <f t="shared" si="174"/>
        <v>0</v>
      </c>
      <c r="BR238" s="81">
        <f t="shared" si="175"/>
        <v>0</v>
      </c>
      <c r="BS238" s="81">
        <f t="shared" si="176"/>
        <v>0</v>
      </c>
      <c r="BT238" s="89">
        <f t="shared" si="177"/>
        <v>0</v>
      </c>
    </row>
    <row r="239" spans="1:72">
      <c r="A239" s="79"/>
      <c r="B239" s="1179"/>
      <c r="C239" s="1180"/>
      <c r="D239" s="2301"/>
      <c r="E239" s="81">
        <f t="shared" si="149"/>
        <v>0</v>
      </c>
      <c r="F239" s="82"/>
      <c r="G239" s="83">
        <f t="shared" si="150"/>
        <v>0</v>
      </c>
      <c r="H239" s="84">
        <f t="shared" si="151"/>
        <v>0</v>
      </c>
      <c r="I239" s="1180"/>
      <c r="J239" s="85"/>
      <c r="K239" s="1180"/>
      <c r="L239" s="85"/>
      <c r="M239" s="1180"/>
      <c r="N239" s="85"/>
      <c r="O239" s="85"/>
      <c r="P239" s="85"/>
      <c r="Q239" s="85"/>
      <c r="R239" s="85"/>
      <c r="S239" s="85"/>
      <c r="T239" s="85"/>
      <c r="U239" s="85"/>
      <c r="V239" s="85"/>
      <c r="W239" s="85"/>
      <c r="X239" s="85"/>
      <c r="Y239" s="85"/>
      <c r="Z239" s="85"/>
      <c r="AA239" s="85"/>
      <c r="AB239" s="85"/>
      <c r="AC239" s="81">
        <f t="shared" si="152"/>
        <v>0</v>
      </c>
      <c r="AD239" s="86"/>
      <c r="AE239" s="86"/>
      <c r="AF239" s="1180"/>
      <c r="AG239" s="86"/>
      <c r="AH239" s="86"/>
      <c r="AI239" s="86"/>
      <c r="AJ239" s="86"/>
      <c r="AK239" s="86"/>
      <c r="AL239" s="86"/>
      <c r="AM239" s="86"/>
      <c r="AN239" s="86"/>
      <c r="AO239" s="86"/>
      <c r="AP239" s="86"/>
      <c r="AQ239" s="86"/>
      <c r="AR239" s="86"/>
      <c r="AS239" s="86"/>
      <c r="AT239" s="82"/>
      <c r="AU239" s="87"/>
      <c r="AV239" s="818">
        <f t="shared" si="153"/>
        <v>0</v>
      </c>
      <c r="AW239" s="818">
        <f t="shared" si="154"/>
        <v>0</v>
      </c>
      <c r="AX239" s="818">
        <f t="shared" si="155"/>
        <v>0</v>
      </c>
      <c r="AY239" s="88">
        <f t="shared" si="156"/>
        <v>0</v>
      </c>
      <c r="AZ239" s="81">
        <f t="shared" si="157"/>
        <v>0</v>
      </c>
      <c r="BA239" s="81">
        <f t="shared" si="158"/>
        <v>0</v>
      </c>
      <c r="BB239" s="81">
        <f t="shared" si="159"/>
        <v>0</v>
      </c>
      <c r="BC239" s="81">
        <f t="shared" si="160"/>
        <v>0</v>
      </c>
      <c r="BD239" s="81">
        <f t="shared" si="161"/>
        <v>0</v>
      </c>
      <c r="BE239" s="81">
        <f t="shared" si="162"/>
        <v>0</v>
      </c>
      <c r="BF239" s="81">
        <f t="shared" si="163"/>
        <v>0</v>
      </c>
      <c r="BG239" s="81">
        <f t="shared" si="164"/>
        <v>0</v>
      </c>
      <c r="BH239" s="81">
        <f t="shared" si="165"/>
        <v>0</v>
      </c>
      <c r="BI239" s="81">
        <f t="shared" si="166"/>
        <v>0</v>
      </c>
      <c r="BJ239" s="81">
        <f t="shared" si="167"/>
        <v>0</v>
      </c>
      <c r="BK239" s="81">
        <f t="shared" si="168"/>
        <v>0</v>
      </c>
      <c r="BL239" s="81">
        <f t="shared" si="169"/>
        <v>0</v>
      </c>
      <c r="BM239" s="81">
        <f t="shared" si="170"/>
        <v>0</v>
      </c>
      <c r="BN239" s="81">
        <f t="shared" si="171"/>
        <v>0</v>
      </c>
      <c r="BO239" s="81">
        <f t="shared" si="172"/>
        <v>0</v>
      </c>
      <c r="BP239" s="81">
        <f t="shared" si="173"/>
        <v>0</v>
      </c>
      <c r="BQ239" s="81">
        <f t="shared" si="174"/>
        <v>0</v>
      </c>
      <c r="BR239" s="81">
        <f t="shared" si="175"/>
        <v>0</v>
      </c>
      <c r="BS239" s="81">
        <f t="shared" si="176"/>
        <v>0</v>
      </c>
      <c r="BT239" s="89">
        <f t="shared" si="177"/>
        <v>0</v>
      </c>
    </row>
    <row r="240" spans="1:72">
      <c r="A240" s="79"/>
      <c r="B240" s="80"/>
      <c r="C240" s="80"/>
      <c r="D240" s="2301"/>
      <c r="E240" s="81">
        <f t="shared" si="149"/>
        <v>0</v>
      </c>
      <c r="F240" s="82"/>
      <c r="G240" s="83">
        <f t="shared" si="150"/>
        <v>0</v>
      </c>
      <c r="H240" s="84">
        <f t="shared" si="151"/>
        <v>0</v>
      </c>
      <c r="I240" s="85"/>
      <c r="J240" s="85"/>
      <c r="K240" s="85"/>
      <c r="L240" s="85"/>
      <c r="M240" s="85"/>
      <c r="N240" s="85"/>
      <c r="O240" s="85"/>
      <c r="P240" s="85"/>
      <c r="Q240" s="85"/>
      <c r="R240" s="85"/>
      <c r="S240" s="85"/>
      <c r="T240" s="85"/>
      <c r="U240" s="85"/>
      <c r="V240" s="85"/>
      <c r="W240" s="85"/>
      <c r="X240" s="85"/>
      <c r="Y240" s="85"/>
      <c r="Z240" s="85"/>
      <c r="AA240" s="85"/>
      <c r="AB240" s="85"/>
      <c r="AC240" s="81">
        <f t="shared" si="152"/>
        <v>0</v>
      </c>
      <c r="AD240" s="86"/>
      <c r="AE240" s="86"/>
      <c r="AF240" s="86"/>
      <c r="AG240" s="86"/>
      <c r="AH240" s="86"/>
      <c r="AI240" s="86"/>
      <c r="AJ240" s="86"/>
      <c r="AK240" s="86"/>
      <c r="AL240" s="86"/>
      <c r="AM240" s="86"/>
      <c r="AN240" s="86"/>
      <c r="AO240" s="86"/>
      <c r="AP240" s="86"/>
      <c r="AQ240" s="86"/>
      <c r="AR240" s="86"/>
      <c r="AS240" s="86"/>
      <c r="AT240" s="82"/>
      <c r="AU240" s="87"/>
      <c r="AV240" s="818">
        <f t="shared" si="153"/>
        <v>0</v>
      </c>
      <c r="AW240" s="818">
        <f t="shared" si="154"/>
        <v>0</v>
      </c>
      <c r="AX240" s="818">
        <f t="shared" si="155"/>
        <v>0</v>
      </c>
      <c r="AY240" s="88">
        <f t="shared" si="156"/>
        <v>0</v>
      </c>
      <c r="AZ240" s="81">
        <f t="shared" si="157"/>
        <v>0</v>
      </c>
      <c r="BA240" s="81">
        <f t="shared" si="158"/>
        <v>0</v>
      </c>
      <c r="BB240" s="81">
        <f t="shared" si="159"/>
        <v>0</v>
      </c>
      <c r="BC240" s="81">
        <f t="shared" si="160"/>
        <v>0</v>
      </c>
      <c r="BD240" s="81">
        <f t="shared" si="161"/>
        <v>0</v>
      </c>
      <c r="BE240" s="81">
        <f t="shared" si="162"/>
        <v>0</v>
      </c>
      <c r="BF240" s="81">
        <f t="shared" si="163"/>
        <v>0</v>
      </c>
      <c r="BG240" s="81">
        <f t="shared" si="164"/>
        <v>0</v>
      </c>
      <c r="BH240" s="81">
        <f t="shared" si="165"/>
        <v>0</v>
      </c>
      <c r="BI240" s="81">
        <f t="shared" si="166"/>
        <v>0</v>
      </c>
      <c r="BJ240" s="81">
        <f t="shared" si="167"/>
        <v>0</v>
      </c>
      <c r="BK240" s="81">
        <f t="shared" si="168"/>
        <v>0</v>
      </c>
      <c r="BL240" s="81">
        <f t="shared" si="169"/>
        <v>0</v>
      </c>
      <c r="BM240" s="81">
        <f t="shared" si="170"/>
        <v>0</v>
      </c>
      <c r="BN240" s="81">
        <f t="shared" si="171"/>
        <v>0</v>
      </c>
      <c r="BO240" s="81">
        <f t="shared" si="172"/>
        <v>0</v>
      </c>
      <c r="BP240" s="81">
        <f t="shared" si="173"/>
        <v>0</v>
      </c>
      <c r="BQ240" s="81">
        <f t="shared" si="174"/>
        <v>0</v>
      </c>
      <c r="BR240" s="81">
        <f t="shared" si="175"/>
        <v>0</v>
      </c>
      <c r="BS240" s="81">
        <f t="shared" si="176"/>
        <v>0</v>
      </c>
      <c r="BT240" s="89">
        <f t="shared" si="177"/>
        <v>0</v>
      </c>
    </row>
    <row r="241" spans="1:72">
      <c r="A241" s="79"/>
      <c r="B241" s="80"/>
      <c r="C241" s="80"/>
      <c r="D241" s="2301"/>
      <c r="E241" s="81">
        <f t="shared" si="149"/>
        <v>0</v>
      </c>
      <c r="F241" s="82"/>
      <c r="G241" s="83">
        <f t="shared" si="150"/>
        <v>0</v>
      </c>
      <c r="H241" s="84">
        <f t="shared" si="151"/>
        <v>0</v>
      </c>
      <c r="I241" s="85"/>
      <c r="J241" s="85"/>
      <c r="K241" s="85"/>
      <c r="L241" s="85"/>
      <c r="M241" s="85"/>
      <c r="N241" s="85"/>
      <c r="O241" s="85"/>
      <c r="P241" s="85"/>
      <c r="Q241" s="85"/>
      <c r="R241" s="85"/>
      <c r="S241" s="85"/>
      <c r="T241" s="85"/>
      <c r="U241" s="85"/>
      <c r="V241" s="85"/>
      <c r="W241" s="85"/>
      <c r="X241" s="85"/>
      <c r="Y241" s="85"/>
      <c r="Z241" s="85"/>
      <c r="AA241" s="85"/>
      <c r="AB241" s="85"/>
      <c r="AC241" s="81">
        <f t="shared" si="152"/>
        <v>0</v>
      </c>
      <c r="AD241" s="86"/>
      <c r="AE241" s="86"/>
      <c r="AF241" s="86"/>
      <c r="AG241" s="86"/>
      <c r="AH241" s="86"/>
      <c r="AI241" s="86"/>
      <c r="AJ241" s="86"/>
      <c r="AK241" s="86"/>
      <c r="AL241" s="86"/>
      <c r="AM241" s="86"/>
      <c r="AN241" s="86"/>
      <c r="AO241" s="86"/>
      <c r="AP241" s="86"/>
      <c r="AQ241" s="86"/>
      <c r="AR241" s="86"/>
      <c r="AS241" s="86"/>
      <c r="AT241" s="82"/>
      <c r="AU241" s="87"/>
      <c r="AV241" s="818">
        <f t="shared" si="153"/>
        <v>0</v>
      </c>
      <c r="AW241" s="818">
        <f t="shared" si="154"/>
        <v>0</v>
      </c>
      <c r="AX241" s="818">
        <f t="shared" si="155"/>
        <v>0</v>
      </c>
      <c r="AY241" s="88">
        <f t="shared" si="156"/>
        <v>0</v>
      </c>
      <c r="AZ241" s="81">
        <f t="shared" si="157"/>
        <v>0</v>
      </c>
      <c r="BA241" s="81">
        <f t="shared" si="158"/>
        <v>0</v>
      </c>
      <c r="BB241" s="81">
        <f t="shared" si="159"/>
        <v>0</v>
      </c>
      <c r="BC241" s="81">
        <f t="shared" si="160"/>
        <v>0</v>
      </c>
      <c r="BD241" s="81">
        <f t="shared" si="161"/>
        <v>0</v>
      </c>
      <c r="BE241" s="81">
        <f t="shared" si="162"/>
        <v>0</v>
      </c>
      <c r="BF241" s="81">
        <f t="shared" si="163"/>
        <v>0</v>
      </c>
      <c r="BG241" s="81">
        <f t="shared" si="164"/>
        <v>0</v>
      </c>
      <c r="BH241" s="81">
        <f t="shared" si="165"/>
        <v>0</v>
      </c>
      <c r="BI241" s="81">
        <f t="shared" si="166"/>
        <v>0</v>
      </c>
      <c r="BJ241" s="81">
        <f t="shared" si="167"/>
        <v>0</v>
      </c>
      <c r="BK241" s="81">
        <f t="shared" si="168"/>
        <v>0</v>
      </c>
      <c r="BL241" s="81">
        <f t="shared" si="169"/>
        <v>0</v>
      </c>
      <c r="BM241" s="81">
        <f t="shared" si="170"/>
        <v>0</v>
      </c>
      <c r="BN241" s="81">
        <f t="shared" si="171"/>
        <v>0</v>
      </c>
      <c r="BO241" s="81">
        <f t="shared" si="172"/>
        <v>0</v>
      </c>
      <c r="BP241" s="81">
        <f t="shared" si="173"/>
        <v>0</v>
      </c>
      <c r="BQ241" s="81">
        <f t="shared" si="174"/>
        <v>0</v>
      </c>
      <c r="BR241" s="81">
        <f t="shared" si="175"/>
        <v>0</v>
      </c>
      <c r="BS241" s="81">
        <f t="shared" si="176"/>
        <v>0</v>
      </c>
      <c r="BT241" s="89">
        <f t="shared" si="177"/>
        <v>0</v>
      </c>
    </row>
    <row r="242" spans="1:72">
      <c r="A242" s="79"/>
      <c r="B242" s="80"/>
      <c r="C242" s="80"/>
      <c r="D242" s="2301"/>
      <c r="E242" s="81">
        <f t="shared" si="149"/>
        <v>0</v>
      </c>
      <c r="F242" s="82"/>
      <c r="G242" s="83">
        <f t="shared" si="150"/>
        <v>0</v>
      </c>
      <c r="H242" s="84">
        <f t="shared" si="151"/>
        <v>0</v>
      </c>
      <c r="I242" s="85"/>
      <c r="J242" s="85"/>
      <c r="K242" s="85"/>
      <c r="L242" s="85"/>
      <c r="M242" s="85"/>
      <c r="N242" s="85"/>
      <c r="O242" s="85"/>
      <c r="P242" s="85"/>
      <c r="Q242" s="85"/>
      <c r="R242" s="85"/>
      <c r="S242" s="85"/>
      <c r="T242" s="85"/>
      <c r="U242" s="85"/>
      <c r="V242" s="85"/>
      <c r="W242" s="85"/>
      <c r="X242" s="85"/>
      <c r="Y242" s="85"/>
      <c r="Z242" s="85"/>
      <c r="AA242" s="85"/>
      <c r="AB242" s="85"/>
      <c r="AC242" s="81">
        <f t="shared" si="152"/>
        <v>0</v>
      </c>
      <c r="AD242" s="86"/>
      <c r="AE242" s="86"/>
      <c r="AF242" s="86"/>
      <c r="AG242" s="86"/>
      <c r="AH242" s="86"/>
      <c r="AI242" s="86"/>
      <c r="AJ242" s="86"/>
      <c r="AK242" s="86"/>
      <c r="AL242" s="86"/>
      <c r="AM242" s="86"/>
      <c r="AN242" s="86"/>
      <c r="AO242" s="86"/>
      <c r="AP242" s="86"/>
      <c r="AQ242" s="86"/>
      <c r="AR242" s="86"/>
      <c r="AS242" s="86"/>
      <c r="AT242" s="82"/>
      <c r="AU242" s="87"/>
      <c r="AV242" s="818">
        <f t="shared" si="153"/>
        <v>0</v>
      </c>
      <c r="AW242" s="818">
        <f t="shared" si="154"/>
        <v>0</v>
      </c>
      <c r="AX242" s="818">
        <f t="shared" si="155"/>
        <v>0</v>
      </c>
      <c r="AY242" s="88">
        <f t="shared" si="156"/>
        <v>0</v>
      </c>
      <c r="AZ242" s="81">
        <f t="shared" si="157"/>
        <v>0</v>
      </c>
      <c r="BA242" s="81">
        <f t="shared" si="158"/>
        <v>0</v>
      </c>
      <c r="BB242" s="81">
        <f t="shared" si="159"/>
        <v>0</v>
      </c>
      <c r="BC242" s="81">
        <f t="shared" si="160"/>
        <v>0</v>
      </c>
      <c r="BD242" s="81">
        <f t="shared" si="161"/>
        <v>0</v>
      </c>
      <c r="BE242" s="81">
        <f t="shared" si="162"/>
        <v>0</v>
      </c>
      <c r="BF242" s="81">
        <f t="shared" si="163"/>
        <v>0</v>
      </c>
      <c r="BG242" s="81">
        <f t="shared" si="164"/>
        <v>0</v>
      </c>
      <c r="BH242" s="81">
        <f t="shared" si="165"/>
        <v>0</v>
      </c>
      <c r="BI242" s="81">
        <f t="shared" si="166"/>
        <v>0</v>
      </c>
      <c r="BJ242" s="81">
        <f t="shared" si="167"/>
        <v>0</v>
      </c>
      <c r="BK242" s="81">
        <f t="shared" si="168"/>
        <v>0</v>
      </c>
      <c r="BL242" s="81">
        <f t="shared" si="169"/>
        <v>0</v>
      </c>
      <c r="BM242" s="81">
        <f t="shared" si="170"/>
        <v>0</v>
      </c>
      <c r="BN242" s="81">
        <f t="shared" si="171"/>
        <v>0</v>
      </c>
      <c r="BO242" s="81">
        <f t="shared" si="172"/>
        <v>0</v>
      </c>
      <c r="BP242" s="81">
        <f t="shared" si="173"/>
        <v>0</v>
      </c>
      <c r="BQ242" s="81">
        <f t="shared" si="174"/>
        <v>0</v>
      </c>
      <c r="BR242" s="81">
        <f t="shared" si="175"/>
        <v>0</v>
      </c>
      <c r="BS242" s="81">
        <f t="shared" si="176"/>
        <v>0</v>
      </c>
      <c r="BT242" s="89">
        <f t="shared" si="177"/>
        <v>0</v>
      </c>
    </row>
    <row r="243" spans="1:72">
      <c r="A243" s="79"/>
      <c r="B243" s="80"/>
      <c r="C243" s="80"/>
      <c r="D243" s="2301"/>
      <c r="E243" s="81">
        <f t="shared" si="149"/>
        <v>0</v>
      </c>
      <c r="F243" s="82"/>
      <c r="G243" s="83">
        <f t="shared" si="150"/>
        <v>0</v>
      </c>
      <c r="H243" s="84">
        <f t="shared" si="151"/>
        <v>0</v>
      </c>
      <c r="I243" s="85"/>
      <c r="J243" s="85"/>
      <c r="K243" s="85"/>
      <c r="L243" s="85"/>
      <c r="M243" s="85"/>
      <c r="N243" s="85"/>
      <c r="O243" s="85"/>
      <c r="P243" s="85"/>
      <c r="Q243" s="85"/>
      <c r="R243" s="85"/>
      <c r="S243" s="85"/>
      <c r="T243" s="85"/>
      <c r="U243" s="85"/>
      <c r="V243" s="85"/>
      <c r="W243" s="85"/>
      <c r="X243" s="85"/>
      <c r="Y243" s="85"/>
      <c r="Z243" s="85"/>
      <c r="AA243" s="85"/>
      <c r="AB243" s="85"/>
      <c r="AC243" s="81">
        <f t="shared" si="152"/>
        <v>0</v>
      </c>
      <c r="AD243" s="86"/>
      <c r="AE243" s="86"/>
      <c r="AF243" s="86"/>
      <c r="AG243" s="86"/>
      <c r="AH243" s="86"/>
      <c r="AI243" s="86"/>
      <c r="AJ243" s="86"/>
      <c r="AK243" s="86"/>
      <c r="AL243" s="86"/>
      <c r="AM243" s="86"/>
      <c r="AN243" s="86"/>
      <c r="AO243" s="86"/>
      <c r="AP243" s="86"/>
      <c r="AQ243" s="86"/>
      <c r="AR243" s="86"/>
      <c r="AS243" s="86"/>
      <c r="AT243" s="82"/>
      <c r="AU243" s="87"/>
      <c r="AV243" s="818">
        <f t="shared" si="153"/>
        <v>0</v>
      </c>
      <c r="AW243" s="818">
        <f t="shared" si="154"/>
        <v>0</v>
      </c>
      <c r="AX243" s="818">
        <f t="shared" si="155"/>
        <v>0</v>
      </c>
      <c r="AY243" s="88">
        <f t="shared" si="156"/>
        <v>0</v>
      </c>
      <c r="AZ243" s="81">
        <f t="shared" si="157"/>
        <v>0</v>
      </c>
      <c r="BA243" s="81">
        <f t="shared" si="158"/>
        <v>0</v>
      </c>
      <c r="BB243" s="81">
        <f t="shared" si="159"/>
        <v>0</v>
      </c>
      <c r="BC243" s="81">
        <f t="shared" si="160"/>
        <v>0</v>
      </c>
      <c r="BD243" s="81">
        <f t="shared" si="161"/>
        <v>0</v>
      </c>
      <c r="BE243" s="81">
        <f t="shared" si="162"/>
        <v>0</v>
      </c>
      <c r="BF243" s="81">
        <f t="shared" si="163"/>
        <v>0</v>
      </c>
      <c r="BG243" s="81">
        <f t="shared" si="164"/>
        <v>0</v>
      </c>
      <c r="BH243" s="81">
        <f t="shared" si="165"/>
        <v>0</v>
      </c>
      <c r="BI243" s="81">
        <f t="shared" si="166"/>
        <v>0</v>
      </c>
      <c r="BJ243" s="81">
        <f t="shared" si="167"/>
        <v>0</v>
      </c>
      <c r="BK243" s="81">
        <f t="shared" si="168"/>
        <v>0</v>
      </c>
      <c r="BL243" s="81">
        <f t="shared" si="169"/>
        <v>0</v>
      </c>
      <c r="BM243" s="81">
        <f t="shared" si="170"/>
        <v>0</v>
      </c>
      <c r="BN243" s="81">
        <f t="shared" si="171"/>
        <v>0</v>
      </c>
      <c r="BO243" s="81">
        <f t="shared" si="172"/>
        <v>0</v>
      </c>
      <c r="BP243" s="81">
        <f t="shared" si="173"/>
        <v>0</v>
      </c>
      <c r="BQ243" s="81">
        <f t="shared" si="174"/>
        <v>0</v>
      </c>
      <c r="BR243" s="81">
        <f t="shared" si="175"/>
        <v>0</v>
      </c>
      <c r="BS243" s="81">
        <f t="shared" si="176"/>
        <v>0</v>
      </c>
      <c r="BT243" s="89">
        <f t="shared" si="177"/>
        <v>0</v>
      </c>
    </row>
    <row r="244" spans="1:72">
      <c r="A244" s="79"/>
      <c r="B244" s="80"/>
      <c r="C244" s="80"/>
      <c r="D244" s="2301"/>
      <c r="E244" s="81">
        <f t="shared" si="149"/>
        <v>0</v>
      </c>
      <c r="F244" s="82"/>
      <c r="G244" s="83">
        <f t="shared" si="150"/>
        <v>0</v>
      </c>
      <c r="H244" s="84">
        <f t="shared" si="151"/>
        <v>0</v>
      </c>
      <c r="I244" s="85"/>
      <c r="J244" s="85"/>
      <c r="K244" s="85"/>
      <c r="L244" s="85"/>
      <c r="M244" s="85"/>
      <c r="N244" s="85"/>
      <c r="O244" s="85"/>
      <c r="P244" s="85"/>
      <c r="Q244" s="85"/>
      <c r="R244" s="85"/>
      <c r="S244" s="85"/>
      <c r="T244" s="85"/>
      <c r="U244" s="85"/>
      <c r="V244" s="85"/>
      <c r="W244" s="85"/>
      <c r="X244" s="85"/>
      <c r="Y244" s="85"/>
      <c r="Z244" s="85"/>
      <c r="AA244" s="85"/>
      <c r="AB244" s="85"/>
      <c r="AC244" s="81">
        <f t="shared" si="152"/>
        <v>0</v>
      </c>
      <c r="AD244" s="86"/>
      <c r="AE244" s="86"/>
      <c r="AF244" s="86"/>
      <c r="AG244" s="86"/>
      <c r="AH244" s="86"/>
      <c r="AI244" s="86"/>
      <c r="AJ244" s="86"/>
      <c r="AK244" s="86"/>
      <c r="AL244" s="86"/>
      <c r="AM244" s="86"/>
      <c r="AN244" s="86"/>
      <c r="AO244" s="86"/>
      <c r="AP244" s="86"/>
      <c r="AQ244" s="86"/>
      <c r="AR244" s="86"/>
      <c r="AS244" s="86"/>
      <c r="AT244" s="82"/>
      <c r="AU244" s="87"/>
      <c r="AV244" s="818">
        <f t="shared" si="153"/>
        <v>0</v>
      </c>
      <c r="AW244" s="818">
        <f t="shared" si="154"/>
        <v>0</v>
      </c>
      <c r="AX244" s="818">
        <f t="shared" si="155"/>
        <v>0</v>
      </c>
      <c r="AY244" s="88">
        <f t="shared" si="156"/>
        <v>0</v>
      </c>
      <c r="AZ244" s="81">
        <f t="shared" si="157"/>
        <v>0</v>
      </c>
      <c r="BA244" s="81">
        <f t="shared" si="158"/>
        <v>0</v>
      </c>
      <c r="BB244" s="81">
        <f t="shared" si="159"/>
        <v>0</v>
      </c>
      <c r="BC244" s="81">
        <f t="shared" si="160"/>
        <v>0</v>
      </c>
      <c r="BD244" s="81">
        <f t="shared" si="161"/>
        <v>0</v>
      </c>
      <c r="BE244" s="81">
        <f t="shared" si="162"/>
        <v>0</v>
      </c>
      <c r="BF244" s="81">
        <f t="shared" si="163"/>
        <v>0</v>
      </c>
      <c r="BG244" s="81">
        <f t="shared" si="164"/>
        <v>0</v>
      </c>
      <c r="BH244" s="81">
        <f t="shared" si="165"/>
        <v>0</v>
      </c>
      <c r="BI244" s="81">
        <f t="shared" si="166"/>
        <v>0</v>
      </c>
      <c r="BJ244" s="81">
        <f t="shared" si="167"/>
        <v>0</v>
      </c>
      <c r="BK244" s="81">
        <f t="shared" si="168"/>
        <v>0</v>
      </c>
      <c r="BL244" s="81">
        <f t="shared" si="169"/>
        <v>0</v>
      </c>
      <c r="BM244" s="81">
        <f t="shared" si="170"/>
        <v>0</v>
      </c>
      <c r="BN244" s="81">
        <f t="shared" si="171"/>
        <v>0</v>
      </c>
      <c r="BO244" s="81">
        <f t="shared" si="172"/>
        <v>0</v>
      </c>
      <c r="BP244" s="81">
        <f t="shared" si="173"/>
        <v>0</v>
      </c>
      <c r="BQ244" s="81">
        <f t="shared" si="174"/>
        <v>0</v>
      </c>
      <c r="BR244" s="81">
        <f t="shared" si="175"/>
        <v>0</v>
      </c>
      <c r="BS244" s="81">
        <f t="shared" si="176"/>
        <v>0</v>
      </c>
      <c r="BT244" s="89">
        <f t="shared" si="177"/>
        <v>0</v>
      </c>
    </row>
    <row r="245" spans="1:72">
      <c r="A245" s="79"/>
      <c r="B245" s="80"/>
      <c r="C245" s="80"/>
      <c r="D245" s="2301"/>
      <c r="E245" s="81">
        <f t="shared" si="149"/>
        <v>0</v>
      </c>
      <c r="F245" s="82"/>
      <c r="G245" s="83">
        <f t="shared" si="150"/>
        <v>0</v>
      </c>
      <c r="H245" s="84">
        <f t="shared" si="151"/>
        <v>0</v>
      </c>
      <c r="I245" s="85"/>
      <c r="J245" s="85"/>
      <c r="K245" s="85"/>
      <c r="L245" s="85"/>
      <c r="M245" s="85"/>
      <c r="N245" s="85"/>
      <c r="O245" s="85"/>
      <c r="P245" s="85"/>
      <c r="Q245" s="85"/>
      <c r="R245" s="85"/>
      <c r="S245" s="85"/>
      <c r="T245" s="85"/>
      <c r="U245" s="85"/>
      <c r="V245" s="85"/>
      <c r="W245" s="85"/>
      <c r="X245" s="85"/>
      <c r="Y245" s="85"/>
      <c r="Z245" s="85"/>
      <c r="AA245" s="85"/>
      <c r="AB245" s="85"/>
      <c r="AC245" s="81">
        <f t="shared" si="152"/>
        <v>0</v>
      </c>
      <c r="AD245" s="86"/>
      <c r="AE245" s="86"/>
      <c r="AF245" s="86"/>
      <c r="AG245" s="86"/>
      <c r="AH245" s="86"/>
      <c r="AI245" s="86"/>
      <c r="AJ245" s="86"/>
      <c r="AK245" s="86"/>
      <c r="AL245" s="86"/>
      <c r="AM245" s="86"/>
      <c r="AN245" s="86"/>
      <c r="AO245" s="86"/>
      <c r="AP245" s="86"/>
      <c r="AQ245" s="86"/>
      <c r="AR245" s="86"/>
      <c r="AS245" s="86"/>
      <c r="AT245" s="82"/>
      <c r="AU245" s="87"/>
      <c r="AV245" s="818">
        <f t="shared" si="153"/>
        <v>0</v>
      </c>
      <c r="AW245" s="818">
        <f t="shared" si="154"/>
        <v>0</v>
      </c>
      <c r="AX245" s="818">
        <f t="shared" si="155"/>
        <v>0</v>
      </c>
      <c r="AY245" s="88">
        <f t="shared" si="156"/>
        <v>0</v>
      </c>
      <c r="AZ245" s="81">
        <f t="shared" si="157"/>
        <v>0</v>
      </c>
      <c r="BA245" s="81">
        <f t="shared" si="158"/>
        <v>0</v>
      </c>
      <c r="BB245" s="81">
        <f t="shared" si="159"/>
        <v>0</v>
      </c>
      <c r="BC245" s="81">
        <f t="shared" si="160"/>
        <v>0</v>
      </c>
      <c r="BD245" s="81">
        <f t="shared" si="161"/>
        <v>0</v>
      </c>
      <c r="BE245" s="81">
        <f t="shared" si="162"/>
        <v>0</v>
      </c>
      <c r="BF245" s="81">
        <f t="shared" si="163"/>
        <v>0</v>
      </c>
      <c r="BG245" s="81">
        <f t="shared" si="164"/>
        <v>0</v>
      </c>
      <c r="BH245" s="81">
        <f t="shared" si="165"/>
        <v>0</v>
      </c>
      <c r="BI245" s="81">
        <f t="shared" si="166"/>
        <v>0</v>
      </c>
      <c r="BJ245" s="81">
        <f t="shared" si="167"/>
        <v>0</v>
      </c>
      <c r="BK245" s="81">
        <f t="shared" si="168"/>
        <v>0</v>
      </c>
      <c r="BL245" s="81">
        <f t="shared" si="169"/>
        <v>0</v>
      </c>
      <c r="BM245" s="81">
        <f t="shared" si="170"/>
        <v>0</v>
      </c>
      <c r="BN245" s="81">
        <f t="shared" si="171"/>
        <v>0</v>
      </c>
      <c r="BO245" s="81">
        <f t="shared" si="172"/>
        <v>0</v>
      </c>
      <c r="BP245" s="81">
        <f t="shared" si="173"/>
        <v>0</v>
      </c>
      <c r="BQ245" s="81">
        <f t="shared" si="174"/>
        <v>0</v>
      </c>
      <c r="BR245" s="81">
        <f t="shared" si="175"/>
        <v>0</v>
      </c>
      <c r="BS245" s="81">
        <f t="shared" si="176"/>
        <v>0</v>
      </c>
      <c r="BT245" s="89">
        <f t="shared" si="177"/>
        <v>0</v>
      </c>
    </row>
    <row r="246" spans="1:72">
      <c r="A246" s="79"/>
      <c r="B246" s="80"/>
      <c r="C246" s="80"/>
      <c r="D246" s="2301"/>
      <c r="E246" s="81">
        <f t="shared" si="149"/>
        <v>0</v>
      </c>
      <c r="F246" s="82"/>
      <c r="G246" s="83">
        <f t="shared" si="150"/>
        <v>0</v>
      </c>
      <c r="H246" s="84">
        <f t="shared" si="151"/>
        <v>0</v>
      </c>
      <c r="I246" s="85"/>
      <c r="J246" s="85"/>
      <c r="K246" s="85"/>
      <c r="L246" s="85"/>
      <c r="M246" s="85"/>
      <c r="N246" s="85"/>
      <c r="O246" s="85"/>
      <c r="P246" s="85"/>
      <c r="Q246" s="85"/>
      <c r="R246" s="85"/>
      <c r="S246" s="85"/>
      <c r="T246" s="85"/>
      <c r="U246" s="85"/>
      <c r="V246" s="85"/>
      <c r="W246" s="85"/>
      <c r="X246" s="85"/>
      <c r="Y246" s="85"/>
      <c r="Z246" s="85"/>
      <c r="AA246" s="85"/>
      <c r="AB246" s="85"/>
      <c r="AC246" s="81">
        <f t="shared" si="152"/>
        <v>0</v>
      </c>
      <c r="AD246" s="86"/>
      <c r="AE246" s="86"/>
      <c r="AF246" s="86"/>
      <c r="AG246" s="86"/>
      <c r="AH246" s="86"/>
      <c r="AI246" s="86"/>
      <c r="AJ246" s="86"/>
      <c r="AK246" s="86"/>
      <c r="AL246" s="86"/>
      <c r="AM246" s="86"/>
      <c r="AN246" s="86"/>
      <c r="AO246" s="86"/>
      <c r="AP246" s="86"/>
      <c r="AQ246" s="86"/>
      <c r="AR246" s="86"/>
      <c r="AS246" s="86"/>
      <c r="AT246" s="82"/>
      <c r="AU246" s="87"/>
      <c r="AV246" s="818">
        <f t="shared" si="153"/>
        <v>0</v>
      </c>
      <c r="AW246" s="818">
        <f t="shared" si="154"/>
        <v>0</v>
      </c>
      <c r="AX246" s="818">
        <f t="shared" si="155"/>
        <v>0</v>
      </c>
      <c r="AY246" s="88">
        <f t="shared" si="156"/>
        <v>0</v>
      </c>
      <c r="AZ246" s="81">
        <f t="shared" si="157"/>
        <v>0</v>
      </c>
      <c r="BA246" s="81">
        <f t="shared" si="158"/>
        <v>0</v>
      </c>
      <c r="BB246" s="81">
        <f t="shared" si="159"/>
        <v>0</v>
      </c>
      <c r="BC246" s="81">
        <f t="shared" si="160"/>
        <v>0</v>
      </c>
      <c r="BD246" s="81">
        <f t="shared" si="161"/>
        <v>0</v>
      </c>
      <c r="BE246" s="81">
        <f t="shared" si="162"/>
        <v>0</v>
      </c>
      <c r="BF246" s="81">
        <f t="shared" si="163"/>
        <v>0</v>
      </c>
      <c r="BG246" s="81">
        <f t="shared" si="164"/>
        <v>0</v>
      </c>
      <c r="BH246" s="81">
        <f t="shared" si="165"/>
        <v>0</v>
      </c>
      <c r="BI246" s="81">
        <f t="shared" si="166"/>
        <v>0</v>
      </c>
      <c r="BJ246" s="81">
        <f t="shared" si="167"/>
        <v>0</v>
      </c>
      <c r="BK246" s="81">
        <f t="shared" si="168"/>
        <v>0</v>
      </c>
      <c r="BL246" s="81">
        <f t="shared" si="169"/>
        <v>0</v>
      </c>
      <c r="BM246" s="81">
        <f t="shared" si="170"/>
        <v>0</v>
      </c>
      <c r="BN246" s="81">
        <f t="shared" si="171"/>
        <v>0</v>
      </c>
      <c r="BO246" s="81">
        <f t="shared" si="172"/>
        <v>0</v>
      </c>
      <c r="BP246" s="81">
        <f t="shared" si="173"/>
        <v>0</v>
      </c>
      <c r="BQ246" s="81">
        <f t="shared" si="174"/>
        <v>0</v>
      </c>
      <c r="BR246" s="81">
        <f t="shared" si="175"/>
        <v>0</v>
      </c>
      <c r="BS246" s="81">
        <f t="shared" si="176"/>
        <v>0</v>
      </c>
      <c r="BT246" s="89">
        <f t="shared" si="177"/>
        <v>0</v>
      </c>
    </row>
    <row r="247" spans="1:72">
      <c r="A247" s="79"/>
      <c r="B247" s="80"/>
      <c r="C247" s="80"/>
      <c r="D247" s="2301"/>
      <c r="E247" s="81">
        <f t="shared" si="149"/>
        <v>0</v>
      </c>
      <c r="F247" s="82"/>
      <c r="G247" s="83">
        <f t="shared" si="150"/>
        <v>0</v>
      </c>
      <c r="H247" s="84">
        <f t="shared" si="151"/>
        <v>0</v>
      </c>
      <c r="I247" s="85"/>
      <c r="J247" s="85"/>
      <c r="K247" s="85"/>
      <c r="L247" s="85"/>
      <c r="M247" s="85"/>
      <c r="N247" s="85"/>
      <c r="O247" s="85"/>
      <c r="P247" s="85"/>
      <c r="Q247" s="85"/>
      <c r="R247" s="85"/>
      <c r="S247" s="85"/>
      <c r="T247" s="85"/>
      <c r="U247" s="85"/>
      <c r="V247" s="85"/>
      <c r="W247" s="85"/>
      <c r="X247" s="85"/>
      <c r="Y247" s="85"/>
      <c r="Z247" s="85"/>
      <c r="AA247" s="85"/>
      <c r="AB247" s="85"/>
      <c r="AC247" s="81">
        <f t="shared" si="152"/>
        <v>0</v>
      </c>
      <c r="AD247" s="86"/>
      <c r="AE247" s="86"/>
      <c r="AF247" s="86"/>
      <c r="AG247" s="86"/>
      <c r="AH247" s="86"/>
      <c r="AI247" s="86"/>
      <c r="AJ247" s="86"/>
      <c r="AK247" s="86"/>
      <c r="AL247" s="86"/>
      <c r="AM247" s="86"/>
      <c r="AN247" s="86"/>
      <c r="AO247" s="86"/>
      <c r="AP247" s="86"/>
      <c r="AQ247" s="86"/>
      <c r="AR247" s="86"/>
      <c r="AS247" s="86"/>
      <c r="AT247" s="82"/>
      <c r="AU247" s="87"/>
      <c r="AV247" s="818">
        <f t="shared" si="153"/>
        <v>0</v>
      </c>
      <c r="AW247" s="818">
        <f t="shared" si="154"/>
        <v>0</v>
      </c>
      <c r="AX247" s="818">
        <f t="shared" si="155"/>
        <v>0</v>
      </c>
      <c r="AY247" s="88">
        <f t="shared" si="156"/>
        <v>0</v>
      </c>
      <c r="AZ247" s="81">
        <f t="shared" si="157"/>
        <v>0</v>
      </c>
      <c r="BA247" s="81">
        <f t="shared" si="158"/>
        <v>0</v>
      </c>
      <c r="BB247" s="81">
        <f t="shared" si="159"/>
        <v>0</v>
      </c>
      <c r="BC247" s="81">
        <f t="shared" si="160"/>
        <v>0</v>
      </c>
      <c r="BD247" s="81">
        <f t="shared" si="161"/>
        <v>0</v>
      </c>
      <c r="BE247" s="81">
        <f t="shared" si="162"/>
        <v>0</v>
      </c>
      <c r="BF247" s="81">
        <f t="shared" si="163"/>
        <v>0</v>
      </c>
      <c r="BG247" s="81">
        <f t="shared" si="164"/>
        <v>0</v>
      </c>
      <c r="BH247" s="81">
        <f t="shared" si="165"/>
        <v>0</v>
      </c>
      <c r="BI247" s="81">
        <f t="shared" si="166"/>
        <v>0</v>
      </c>
      <c r="BJ247" s="81">
        <f t="shared" si="167"/>
        <v>0</v>
      </c>
      <c r="BK247" s="81">
        <f t="shared" si="168"/>
        <v>0</v>
      </c>
      <c r="BL247" s="81">
        <f t="shared" si="169"/>
        <v>0</v>
      </c>
      <c r="BM247" s="81">
        <f t="shared" si="170"/>
        <v>0</v>
      </c>
      <c r="BN247" s="81">
        <f t="shared" si="171"/>
        <v>0</v>
      </c>
      <c r="BO247" s="81">
        <f t="shared" si="172"/>
        <v>0</v>
      </c>
      <c r="BP247" s="81">
        <f t="shared" si="173"/>
        <v>0</v>
      </c>
      <c r="BQ247" s="81">
        <f t="shared" si="174"/>
        <v>0</v>
      </c>
      <c r="BR247" s="81">
        <f t="shared" si="175"/>
        <v>0</v>
      </c>
      <c r="BS247" s="81">
        <f t="shared" si="176"/>
        <v>0</v>
      </c>
      <c r="BT247" s="89">
        <f t="shared" si="177"/>
        <v>0</v>
      </c>
    </row>
    <row r="248" spans="1:72">
      <c r="A248" s="79"/>
      <c r="B248" s="80"/>
      <c r="C248" s="80"/>
      <c r="D248" s="2301"/>
      <c r="E248" s="81">
        <f t="shared" si="149"/>
        <v>0</v>
      </c>
      <c r="F248" s="82"/>
      <c r="G248" s="83">
        <f t="shared" si="150"/>
        <v>0</v>
      </c>
      <c r="H248" s="84">
        <f t="shared" si="151"/>
        <v>0</v>
      </c>
      <c r="I248" s="85"/>
      <c r="J248" s="85"/>
      <c r="K248" s="85"/>
      <c r="L248" s="85"/>
      <c r="M248" s="85"/>
      <c r="N248" s="85"/>
      <c r="O248" s="85"/>
      <c r="P248" s="85"/>
      <c r="Q248" s="85"/>
      <c r="R248" s="85"/>
      <c r="S248" s="85"/>
      <c r="T248" s="85"/>
      <c r="U248" s="85"/>
      <c r="V248" s="85"/>
      <c r="W248" s="85"/>
      <c r="X248" s="85"/>
      <c r="Y248" s="85"/>
      <c r="Z248" s="85"/>
      <c r="AA248" s="85"/>
      <c r="AB248" s="85"/>
      <c r="AC248" s="81">
        <f t="shared" si="152"/>
        <v>0</v>
      </c>
      <c r="AD248" s="86"/>
      <c r="AE248" s="86"/>
      <c r="AF248" s="86"/>
      <c r="AG248" s="86"/>
      <c r="AH248" s="86"/>
      <c r="AI248" s="86"/>
      <c r="AJ248" s="86"/>
      <c r="AK248" s="86"/>
      <c r="AL248" s="86"/>
      <c r="AM248" s="86"/>
      <c r="AN248" s="86"/>
      <c r="AO248" s="86"/>
      <c r="AP248" s="86"/>
      <c r="AQ248" s="86"/>
      <c r="AR248" s="86"/>
      <c r="AS248" s="86"/>
      <c r="AT248" s="82"/>
      <c r="AU248" s="87"/>
      <c r="AV248" s="818">
        <f t="shared" si="153"/>
        <v>0</v>
      </c>
      <c r="AW248" s="818">
        <f t="shared" si="154"/>
        <v>0</v>
      </c>
      <c r="AX248" s="818">
        <f t="shared" si="155"/>
        <v>0</v>
      </c>
      <c r="AY248" s="88">
        <f t="shared" si="156"/>
        <v>0</v>
      </c>
      <c r="AZ248" s="81">
        <f t="shared" si="157"/>
        <v>0</v>
      </c>
      <c r="BA248" s="81">
        <f t="shared" si="158"/>
        <v>0</v>
      </c>
      <c r="BB248" s="81">
        <f t="shared" si="159"/>
        <v>0</v>
      </c>
      <c r="BC248" s="81">
        <f t="shared" si="160"/>
        <v>0</v>
      </c>
      <c r="BD248" s="81">
        <f t="shared" si="161"/>
        <v>0</v>
      </c>
      <c r="BE248" s="81">
        <f t="shared" si="162"/>
        <v>0</v>
      </c>
      <c r="BF248" s="81">
        <f t="shared" si="163"/>
        <v>0</v>
      </c>
      <c r="BG248" s="81">
        <f t="shared" si="164"/>
        <v>0</v>
      </c>
      <c r="BH248" s="81">
        <f t="shared" si="165"/>
        <v>0</v>
      </c>
      <c r="BI248" s="81">
        <f t="shared" si="166"/>
        <v>0</v>
      </c>
      <c r="BJ248" s="81">
        <f t="shared" si="167"/>
        <v>0</v>
      </c>
      <c r="BK248" s="81">
        <f t="shared" si="168"/>
        <v>0</v>
      </c>
      <c r="BL248" s="81">
        <f t="shared" si="169"/>
        <v>0</v>
      </c>
      <c r="BM248" s="81">
        <f t="shared" si="170"/>
        <v>0</v>
      </c>
      <c r="BN248" s="81">
        <f t="shared" si="171"/>
        <v>0</v>
      </c>
      <c r="BO248" s="81">
        <f t="shared" si="172"/>
        <v>0</v>
      </c>
      <c r="BP248" s="81">
        <f t="shared" si="173"/>
        <v>0</v>
      </c>
      <c r="BQ248" s="81">
        <f t="shared" si="174"/>
        <v>0</v>
      </c>
      <c r="BR248" s="81">
        <f t="shared" si="175"/>
        <v>0</v>
      </c>
      <c r="BS248" s="81">
        <f t="shared" si="176"/>
        <v>0</v>
      </c>
      <c r="BT248" s="89">
        <f t="shared" si="177"/>
        <v>0</v>
      </c>
    </row>
    <row r="249" spans="1:72">
      <c r="A249" s="79"/>
      <c r="B249" s="80"/>
      <c r="C249" s="80"/>
      <c r="D249" s="2301"/>
      <c r="E249" s="81">
        <f t="shared" si="149"/>
        <v>0</v>
      </c>
      <c r="F249" s="82"/>
      <c r="G249" s="83">
        <f t="shared" si="150"/>
        <v>0</v>
      </c>
      <c r="H249" s="84">
        <f t="shared" si="151"/>
        <v>0</v>
      </c>
      <c r="I249" s="85"/>
      <c r="J249" s="85"/>
      <c r="K249" s="85"/>
      <c r="L249" s="85"/>
      <c r="M249" s="85"/>
      <c r="N249" s="85"/>
      <c r="O249" s="85"/>
      <c r="P249" s="85"/>
      <c r="Q249" s="85"/>
      <c r="R249" s="85"/>
      <c r="S249" s="85"/>
      <c r="T249" s="85"/>
      <c r="U249" s="85"/>
      <c r="V249" s="85"/>
      <c r="W249" s="85"/>
      <c r="X249" s="85"/>
      <c r="Y249" s="85"/>
      <c r="Z249" s="85"/>
      <c r="AA249" s="85"/>
      <c r="AB249" s="85"/>
      <c r="AC249" s="81">
        <f t="shared" si="152"/>
        <v>0</v>
      </c>
      <c r="AD249" s="86"/>
      <c r="AE249" s="86"/>
      <c r="AF249" s="86"/>
      <c r="AG249" s="86"/>
      <c r="AH249" s="86"/>
      <c r="AI249" s="86"/>
      <c r="AJ249" s="86"/>
      <c r="AK249" s="86"/>
      <c r="AL249" s="86"/>
      <c r="AM249" s="86"/>
      <c r="AN249" s="86"/>
      <c r="AO249" s="86"/>
      <c r="AP249" s="86"/>
      <c r="AQ249" s="86"/>
      <c r="AR249" s="86"/>
      <c r="AS249" s="86"/>
      <c r="AT249" s="82"/>
      <c r="AU249" s="87"/>
      <c r="AV249" s="818">
        <f t="shared" si="153"/>
        <v>0</v>
      </c>
      <c r="AW249" s="818">
        <f t="shared" si="154"/>
        <v>0</v>
      </c>
      <c r="AX249" s="818">
        <f t="shared" si="155"/>
        <v>0</v>
      </c>
      <c r="AY249" s="88">
        <f t="shared" si="156"/>
        <v>0</v>
      </c>
      <c r="AZ249" s="81">
        <f t="shared" si="157"/>
        <v>0</v>
      </c>
      <c r="BA249" s="81">
        <f t="shared" si="158"/>
        <v>0</v>
      </c>
      <c r="BB249" s="81">
        <f t="shared" si="159"/>
        <v>0</v>
      </c>
      <c r="BC249" s="81">
        <f t="shared" si="160"/>
        <v>0</v>
      </c>
      <c r="BD249" s="81">
        <f t="shared" si="161"/>
        <v>0</v>
      </c>
      <c r="BE249" s="81">
        <f t="shared" si="162"/>
        <v>0</v>
      </c>
      <c r="BF249" s="81">
        <f t="shared" si="163"/>
        <v>0</v>
      </c>
      <c r="BG249" s="81">
        <f t="shared" si="164"/>
        <v>0</v>
      </c>
      <c r="BH249" s="81">
        <f t="shared" si="165"/>
        <v>0</v>
      </c>
      <c r="BI249" s="81">
        <f t="shared" si="166"/>
        <v>0</v>
      </c>
      <c r="BJ249" s="81">
        <f t="shared" si="167"/>
        <v>0</v>
      </c>
      <c r="BK249" s="81">
        <f t="shared" si="168"/>
        <v>0</v>
      </c>
      <c r="BL249" s="81">
        <f t="shared" si="169"/>
        <v>0</v>
      </c>
      <c r="BM249" s="81">
        <f t="shared" si="170"/>
        <v>0</v>
      </c>
      <c r="BN249" s="81">
        <f t="shared" si="171"/>
        <v>0</v>
      </c>
      <c r="BO249" s="81">
        <f t="shared" si="172"/>
        <v>0</v>
      </c>
      <c r="BP249" s="81">
        <f t="shared" si="173"/>
        <v>0</v>
      </c>
      <c r="BQ249" s="81">
        <f t="shared" si="174"/>
        <v>0</v>
      </c>
      <c r="BR249" s="81">
        <f t="shared" si="175"/>
        <v>0</v>
      </c>
      <c r="BS249" s="81">
        <f t="shared" si="176"/>
        <v>0</v>
      </c>
      <c r="BT249" s="89">
        <f t="shared" si="177"/>
        <v>0</v>
      </c>
    </row>
    <row r="250" spans="1:72">
      <c r="A250" s="79"/>
      <c r="B250" s="80"/>
      <c r="C250" s="80"/>
      <c r="D250" s="2301"/>
      <c r="E250" s="81">
        <f t="shared" si="149"/>
        <v>0</v>
      </c>
      <c r="F250" s="82"/>
      <c r="G250" s="83">
        <f t="shared" si="150"/>
        <v>0</v>
      </c>
      <c r="H250" s="84">
        <f t="shared" si="151"/>
        <v>0</v>
      </c>
      <c r="I250" s="85"/>
      <c r="J250" s="85"/>
      <c r="K250" s="85"/>
      <c r="L250" s="85"/>
      <c r="M250" s="85"/>
      <c r="N250" s="85"/>
      <c r="O250" s="85"/>
      <c r="P250" s="85"/>
      <c r="Q250" s="85"/>
      <c r="R250" s="85"/>
      <c r="S250" s="85"/>
      <c r="T250" s="85"/>
      <c r="U250" s="85"/>
      <c r="V250" s="85"/>
      <c r="W250" s="85"/>
      <c r="X250" s="85"/>
      <c r="Y250" s="85"/>
      <c r="Z250" s="85"/>
      <c r="AA250" s="85"/>
      <c r="AB250" s="85"/>
      <c r="AC250" s="81">
        <f t="shared" si="152"/>
        <v>0</v>
      </c>
      <c r="AD250" s="86"/>
      <c r="AE250" s="86"/>
      <c r="AF250" s="86"/>
      <c r="AG250" s="86"/>
      <c r="AH250" s="86"/>
      <c r="AI250" s="86"/>
      <c r="AJ250" s="86"/>
      <c r="AK250" s="86"/>
      <c r="AL250" s="86"/>
      <c r="AM250" s="86"/>
      <c r="AN250" s="86"/>
      <c r="AO250" s="86"/>
      <c r="AP250" s="86"/>
      <c r="AQ250" s="86"/>
      <c r="AR250" s="86"/>
      <c r="AS250" s="86"/>
      <c r="AT250" s="82"/>
      <c r="AU250" s="87"/>
      <c r="AV250" s="818">
        <f t="shared" si="153"/>
        <v>0</v>
      </c>
      <c r="AW250" s="818">
        <f t="shared" si="154"/>
        <v>0</v>
      </c>
      <c r="AX250" s="818">
        <f t="shared" si="155"/>
        <v>0</v>
      </c>
      <c r="AY250" s="88">
        <f t="shared" si="156"/>
        <v>0</v>
      </c>
      <c r="AZ250" s="81">
        <f t="shared" si="157"/>
        <v>0</v>
      </c>
      <c r="BA250" s="81">
        <f t="shared" si="158"/>
        <v>0</v>
      </c>
      <c r="BB250" s="81">
        <f t="shared" si="159"/>
        <v>0</v>
      </c>
      <c r="BC250" s="81">
        <f t="shared" si="160"/>
        <v>0</v>
      </c>
      <c r="BD250" s="81">
        <f t="shared" si="161"/>
        <v>0</v>
      </c>
      <c r="BE250" s="81">
        <f t="shared" si="162"/>
        <v>0</v>
      </c>
      <c r="BF250" s="81">
        <f t="shared" si="163"/>
        <v>0</v>
      </c>
      <c r="BG250" s="81">
        <f t="shared" si="164"/>
        <v>0</v>
      </c>
      <c r="BH250" s="81">
        <f t="shared" si="165"/>
        <v>0</v>
      </c>
      <c r="BI250" s="81">
        <f t="shared" si="166"/>
        <v>0</v>
      </c>
      <c r="BJ250" s="81">
        <f t="shared" si="167"/>
        <v>0</v>
      </c>
      <c r="BK250" s="81">
        <f t="shared" si="168"/>
        <v>0</v>
      </c>
      <c r="BL250" s="81">
        <f t="shared" si="169"/>
        <v>0</v>
      </c>
      <c r="BM250" s="81">
        <f t="shared" si="170"/>
        <v>0</v>
      </c>
      <c r="BN250" s="81">
        <f t="shared" si="171"/>
        <v>0</v>
      </c>
      <c r="BO250" s="81">
        <f t="shared" si="172"/>
        <v>0</v>
      </c>
      <c r="BP250" s="81">
        <f t="shared" si="173"/>
        <v>0</v>
      </c>
      <c r="BQ250" s="81">
        <f t="shared" si="174"/>
        <v>0</v>
      </c>
      <c r="BR250" s="81">
        <f t="shared" si="175"/>
        <v>0</v>
      </c>
      <c r="BS250" s="81">
        <f t="shared" si="176"/>
        <v>0</v>
      </c>
      <c r="BT250" s="89">
        <f t="shared" si="177"/>
        <v>0</v>
      </c>
    </row>
    <row r="251" spans="1:72">
      <c r="A251" s="79"/>
      <c r="B251" s="80"/>
      <c r="C251" s="80"/>
      <c r="D251" s="2301"/>
      <c r="E251" s="81">
        <f t="shared" si="149"/>
        <v>0</v>
      </c>
      <c r="F251" s="82"/>
      <c r="G251" s="83">
        <f t="shared" si="150"/>
        <v>0</v>
      </c>
      <c r="H251" s="84">
        <f t="shared" si="151"/>
        <v>0</v>
      </c>
      <c r="I251" s="85"/>
      <c r="J251" s="85"/>
      <c r="K251" s="85"/>
      <c r="L251" s="85"/>
      <c r="M251" s="85"/>
      <c r="N251" s="85"/>
      <c r="O251" s="85"/>
      <c r="P251" s="85"/>
      <c r="Q251" s="85"/>
      <c r="R251" s="85"/>
      <c r="S251" s="85"/>
      <c r="T251" s="85"/>
      <c r="U251" s="85"/>
      <c r="V251" s="85"/>
      <c r="W251" s="85"/>
      <c r="X251" s="85"/>
      <c r="Y251" s="85"/>
      <c r="Z251" s="85"/>
      <c r="AA251" s="85"/>
      <c r="AB251" s="85"/>
      <c r="AC251" s="81">
        <f t="shared" si="152"/>
        <v>0</v>
      </c>
      <c r="AD251" s="86"/>
      <c r="AE251" s="86"/>
      <c r="AF251" s="86"/>
      <c r="AG251" s="86"/>
      <c r="AH251" s="86"/>
      <c r="AI251" s="86"/>
      <c r="AJ251" s="86"/>
      <c r="AK251" s="86"/>
      <c r="AL251" s="86"/>
      <c r="AM251" s="86"/>
      <c r="AN251" s="86"/>
      <c r="AO251" s="86"/>
      <c r="AP251" s="86"/>
      <c r="AQ251" s="86"/>
      <c r="AR251" s="86"/>
      <c r="AS251" s="86"/>
      <c r="AT251" s="82"/>
      <c r="AU251" s="87"/>
      <c r="AV251" s="818">
        <f t="shared" si="153"/>
        <v>0</v>
      </c>
      <c r="AW251" s="818">
        <f t="shared" si="154"/>
        <v>0</v>
      </c>
      <c r="AX251" s="818">
        <f t="shared" si="155"/>
        <v>0</v>
      </c>
      <c r="AY251" s="88">
        <f t="shared" si="156"/>
        <v>0</v>
      </c>
      <c r="AZ251" s="81">
        <f t="shared" si="157"/>
        <v>0</v>
      </c>
      <c r="BA251" s="81">
        <f t="shared" si="158"/>
        <v>0</v>
      </c>
      <c r="BB251" s="81">
        <f t="shared" si="159"/>
        <v>0</v>
      </c>
      <c r="BC251" s="81">
        <f t="shared" si="160"/>
        <v>0</v>
      </c>
      <c r="BD251" s="81">
        <f t="shared" si="161"/>
        <v>0</v>
      </c>
      <c r="BE251" s="81">
        <f t="shared" si="162"/>
        <v>0</v>
      </c>
      <c r="BF251" s="81">
        <f t="shared" si="163"/>
        <v>0</v>
      </c>
      <c r="BG251" s="81">
        <f t="shared" si="164"/>
        <v>0</v>
      </c>
      <c r="BH251" s="81">
        <f t="shared" si="165"/>
        <v>0</v>
      </c>
      <c r="BI251" s="81">
        <f t="shared" si="166"/>
        <v>0</v>
      </c>
      <c r="BJ251" s="81">
        <f t="shared" si="167"/>
        <v>0</v>
      </c>
      <c r="BK251" s="81">
        <f t="shared" si="168"/>
        <v>0</v>
      </c>
      <c r="BL251" s="81">
        <f t="shared" si="169"/>
        <v>0</v>
      </c>
      <c r="BM251" s="81">
        <f t="shared" si="170"/>
        <v>0</v>
      </c>
      <c r="BN251" s="81">
        <f t="shared" si="171"/>
        <v>0</v>
      </c>
      <c r="BO251" s="81">
        <f t="shared" si="172"/>
        <v>0</v>
      </c>
      <c r="BP251" s="81">
        <f t="shared" si="173"/>
        <v>0</v>
      </c>
      <c r="BQ251" s="81">
        <f t="shared" si="174"/>
        <v>0</v>
      </c>
      <c r="BR251" s="81">
        <f t="shared" si="175"/>
        <v>0</v>
      </c>
      <c r="BS251" s="81">
        <f t="shared" si="176"/>
        <v>0</v>
      </c>
      <c r="BT251" s="89">
        <f t="shared" si="177"/>
        <v>0</v>
      </c>
    </row>
    <row r="252" spans="1:72">
      <c r="A252" s="79"/>
      <c r="B252" s="80"/>
      <c r="C252" s="80"/>
      <c r="D252" s="2301"/>
      <c r="E252" s="81">
        <f t="shared" si="149"/>
        <v>0</v>
      </c>
      <c r="F252" s="82"/>
      <c r="G252" s="83">
        <f t="shared" si="150"/>
        <v>0</v>
      </c>
      <c r="H252" s="84">
        <f t="shared" si="151"/>
        <v>0</v>
      </c>
      <c r="I252" s="85"/>
      <c r="J252" s="85"/>
      <c r="K252" s="85"/>
      <c r="L252" s="85"/>
      <c r="M252" s="85"/>
      <c r="N252" s="85"/>
      <c r="O252" s="85"/>
      <c r="P252" s="85"/>
      <c r="Q252" s="85"/>
      <c r="R252" s="85"/>
      <c r="S252" s="85"/>
      <c r="T252" s="85"/>
      <c r="U252" s="85"/>
      <c r="V252" s="85"/>
      <c r="W252" s="85"/>
      <c r="X252" s="85"/>
      <c r="Y252" s="85"/>
      <c r="Z252" s="85"/>
      <c r="AA252" s="85"/>
      <c r="AB252" s="85"/>
      <c r="AC252" s="81">
        <f t="shared" si="152"/>
        <v>0</v>
      </c>
      <c r="AD252" s="86"/>
      <c r="AE252" s="86"/>
      <c r="AF252" s="86"/>
      <c r="AG252" s="86"/>
      <c r="AH252" s="86"/>
      <c r="AI252" s="86"/>
      <c r="AJ252" s="86"/>
      <c r="AK252" s="86"/>
      <c r="AL252" s="86"/>
      <c r="AM252" s="86"/>
      <c r="AN252" s="86"/>
      <c r="AO252" s="86"/>
      <c r="AP252" s="86"/>
      <c r="AQ252" s="86"/>
      <c r="AR252" s="86"/>
      <c r="AS252" s="86"/>
      <c r="AT252" s="82"/>
      <c r="AU252" s="87"/>
      <c r="AV252" s="818">
        <f t="shared" si="153"/>
        <v>0</v>
      </c>
      <c r="AW252" s="818">
        <f t="shared" si="154"/>
        <v>0</v>
      </c>
      <c r="AX252" s="818">
        <f t="shared" si="155"/>
        <v>0</v>
      </c>
      <c r="AY252" s="88">
        <f t="shared" si="156"/>
        <v>0</v>
      </c>
      <c r="AZ252" s="81">
        <f t="shared" si="157"/>
        <v>0</v>
      </c>
      <c r="BA252" s="81">
        <f t="shared" si="158"/>
        <v>0</v>
      </c>
      <c r="BB252" s="81">
        <f t="shared" si="159"/>
        <v>0</v>
      </c>
      <c r="BC252" s="81">
        <f t="shared" si="160"/>
        <v>0</v>
      </c>
      <c r="BD252" s="81">
        <f t="shared" si="161"/>
        <v>0</v>
      </c>
      <c r="BE252" s="81">
        <f t="shared" si="162"/>
        <v>0</v>
      </c>
      <c r="BF252" s="81">
        <f t="shared" si="163"/>
        <v>0</v>
      </c>
      <c r="BG252" s="81">
        <f t="shared" si="164"/>
        <v>0</v>
      </c>
      <c r="BH252" s="81">
        <f t="shared" si="165"/>
        <v>0</v>
      </c>
      <c r="BI252" s="81">
        <f t="shared" si="166"/>
        <v>0</v>
      </c>
      <c r="BJ252" s="81">
        <f t="shared" si="167"/>
        <v>0</v>
      </c>
      <c r="BK252" s="81">
        <f t="shared" si="168"/>
        <v>0</v>
      </c>
      <c r="BL252" s="81">
        <f t="shared" si="169"/>
        <v>0</v>
      </c>
      <c r="BM252" s="81">
        <f t="shared" si="170"/>
        <v>0</v>
      </c>
      <c r="BN252" s="81">
        <f t="shared" si="171"/>
        <v>0</v>
      </c>
      <c r="BO252" s="81">
        <f t="shared" si="172"/>
        <v>0</v>
      </c>
      <c r="BP252" s="81">
        <f t="shared" si="173"/>
        <v>0</v>
      </c>
      <c r="BQ252" s="81">
        <f t="shared" si="174"/>
        <v>0</v>
      </c>
      <c r="BR252" s="81">
        <f t="shared" si="175"/>
        <v>0</v>
      </c>
      <c r="BS252" s="81">
        <f t="shared" si="176"/>
        <v>0</v>
      </c>
      <c r="BT252" s="89">
        <f t="shared" si="177"/>
        <v>0</v>
      </c>
    </row>
    <row r="253" spans="1:72">
      <c r="A253" s="79"/>
      <c r="B253" s="80"/>
      <c r="C253" s="80"/>
      <c r="D253" s="2301"/>
      <c r="E253" s="81">
        <f t="shared" si="149"/>
        <v>0</v>
      </c>
      <c r="F253" s="82"/>
      <c r="G253" s="83">
        <f t="shared" si="150"/>
        <v>0</v>
      </c>
      <c r="H253" s="84">
        <f t="shared" si="151"/>
        <v>0</v>
      </c>
      <c r="I253" s="85"/>
      <c r="J253" s="85"/>
      <c r="K253" s="85"/>
      <c r="L253" s="85"/>
      <c r="M253" s="85"/>
      <c r="N253" s="85"/>
      <c r="O253" s="85"/>
      <c r="P253" s="85"/>
      <c r="Q253" s="85"/>
      <c r="R253" s="85"/>
      <c r="S253" s="85"/>
      <c r="T253" s="85"/>
      <c r="U253" s="85"/>
      <c r="V253" s="85"/>
      <c r="W253" s="85"/>
      <c r="X253" s="85"/>
      <c r="Y253" s="85"/>
      <c r="Z253" s="85"/>
      <c r="AA253" s="85"/>
      <c r="AB253" s="85"/>
      <c r="AC253" s="81">
        <f t="shared" si="152"/>
        <v>0</v>
      </c>
      <c r="AD253" s="86"/>
      <c r="AE253" s="86"/>
      <c r="AF253" s="86"/>
      <c r="AG253" s="86"/>
      <c r="AH253" s="86"/>
      <c r="AI253" s="86"/>
      <c r="AJ253" s="86"/>
      <c r="AK253" s="86"/>
      <c r="AL253" s="86"/>
      <c r="AM253" s="86"/>
      <c r="AN253" s="86"/>
      <c r="AO253" s="86"/>
      <c r="AP253" s="86"/>
      <c r="AQ253" s="86"/>
      <c r="AR253" s="86"/>
      <c r="AS253" s="86"/>
      <c r="AT253" s="82"/>
      <c r="AU253" s="87"/>
      <c r="AV253" s="818">
        <f t="shared" si="153"/>
        <v>0</v>
      </c>
      <c r="AW253" s="818">
        <f t="shared" si="154"/>
        <v>0</v>
      </c>
      <c r="AX253" s="818">
        <f t="shared" si="155"/>
        <v>0</v>
      </c>
      <c r="AY253" s="88">
        <f t="shared" si="156"/>
        <v>0</v>
      </c>
      <c r="AZ253" s="81">
        <f t="shared" si="157"/>
        <v>0</v>
      </c>
      <c r="BA253" s="81">
        <f t="shared" si="158"/>
        <v>0</v>
      </c>
      <c r="BB253" s="81">
        <f t="shared" si="159"/>
        <v>0</v>
      </c>
      <c r="BC253" s="81">
        <f t="shared" si="160"/>
        <v>0</v>
      </c>
      <c r="BD253" s="81">
        <f t="shared" si="161"/>
        <v>0</v>
      </c>
      <c r="BE253" s="81">
        <f t="shared" si="162"/>
        <v>0</v>
      </c>
      <c r="BF253" s="81">
        <f t="shared" si="163"/>
        <v>0</v>
      </c>
      <c r="BG253" s="81">
        <f t="shared" si="164"/>
        <v>0</v>
      </c>
      <c r="BH253" s="81">
        <f t="shared" si="165"/>
        <v>0</v>
      </c>
      <c r="BI253" s="81">
        <f t="shared" si="166"/>
        <v>0</v>
      </c>
      <c r="BJ253" s="81">
        <f t="shared" si="167"/>
        <v>0</v>
      </c>
      <c r="BK253" s="81">
        <f t="shared" si="168"/>
        <v>0</v>
      </c>
      <c r="BL253" s="81">
        <f t="shared" si="169"/>
        <v>0</v>
      </c>
      <c r="BM253" s="81">
        <f t="shared" si="170"/>
        <v>0</v>
      </c>
      <c r="BN253" s="81">
        <f t="shared" si="171"/>
        <v>0</v>
      </c>
      <c r="BO253" s="81">
        <f t="shared" si="172"/>
        <v>0</v>
      </c>
      <c r="BP253" s="81">
        <f t="shared" si="173"/>
        <v>0</v>
      </c>
      <c r="BQ253" s="81">
        <f t="shared" si="174"/>
        <v>0</v>
      </c>
      <c r="BR253" s="81">
        <f t="shared" si="175"/>
        <v>0</v>
      </c>
      <c r="BS253" s="81">
        <f t="shared" si="176"/>
        <v>0</v>
      </c>
      <c r="BT253" s="89">
        <f t="shared" si="177"/>
        <v>0</v>
      </c>
    </row>
    <row r="254" spans="1:72">
      <c r="A254" s="79"/>
      <c r="B254" s="80"/>
      <c r="C254" s="80"/>
      <c r="D254" s="2301"/>
      <c r="E254" s="81">
        <f t="shared" si="149"/>
        <v>0</v>
      </c>
      <c r="F254" s="82"/>
      <c r="G254" s="83">
        <f t="shared" si="150"/>
        <v>0</v>
      </c>
      <c r="H254" s="84">
        <f t="shared" si="151"/>
        <v>0</v>
      </c>
      <c r="I254" s="85"/>
      <c r="J254" s="85"/>
      <c r="K254" s="85"/>
      <c r="L254" s="85"/>
      <c r="M254" s="85"/>
      <c r="N254" s="85"/>
      <c r="O254" s="85"/>
      <c r="P254" s="85"/>
      <c r="Q254" s="85"/>
      <c r="R254" s="85"/>
      <c r="S254" s="85"/>
      <c r="T254" s="85"/>
      <c r="U254" s="85"/>
      <c r="V254" s="85"/>
      <c r="W254" s="85"/>
      <c r="X254" s="85"/>
      <c r="Y254" s="85"/>
      <c r="Z254" s="85"/>
      <c r="AA254" s="85"/>
      <c r="AB254" s="85"/>
      <c r="AC254" s="81">
        <f t="shared" si="152"/>
        <v>0</v>
      </c>
      <c r="AD254" s="86"/>
      <c r="AE254" s="86"/>
      <c r="AF254" s="86"/>
      <c r="AG254" s="86"/>
      <c r="AH254" s="86"/>
      <c r="AI254" s="86"/>
      <c r="AJ254" s="86"/>
      <c r="AK254" s="86"/>
      <c r="AL254" s="86"/>
      <c r="AM254" s="86"/>
      <c r="AN254" s="86"/>
      <c r="AO254" s="86"/>
      <c r="AP254" s="86"/>
      <c r="AQ254" s="86"/>
      <c r="AR254" s="86"/>
      <c r="AS254" s="86"/>
      <c r="AT254" s="82"/>
      <c r="AU254" s="87"/>
      <c r="AV254" s="818">
        <f t="shared" si="153"/>
        <v>0</v>
      </c>
      <c r="AW254" s="818">
        <f t="shared" si="154"/>
        <v>0</v>
      </c>
      <c r="AX254" s="818">
        <f t="shared" si="155"/>
        <v>0</v>
      </c>
      <c r="AY254" s="88">
        <f t="shared" si="156"/>
        <v>0</v>
      </c>
      <c r="AZ254" s="81">
        <f t="shared" si="157"/>
        <v>0</v>
      </c>
      <c r="BA254" s="81">
        <f t="shared" si="158"/>
        <v>0</v>
      </c>
      <c r="BB254" s="81">
        <f t="shared" si="159"/>
        <v>0</v>
      </c>
      <c r="BC254" s="81">
        <f t="shared" si="160"/>
        <v>0</v>
      </c>
      <c r="BD254" s="81">
        <f t="shared" si="161"/>
        <v>0</v>
      </c>
      <c r="BE254" s="81">
        <f t="shared" si="162"/>
        <v>0</v>
      </c>
      <c r="BF254" s="81">
        <f t="shared" si="163"/>
        <v>0</v>
      </c>
      <c r="BG254" s="81">
        <f t="shared" si="164"/>
        <v>0</v>
      </c>
      <c r="BH254" s="81">
        <f t="shared" si="165"/>
        <v>0</v>
      </c>
      <c r="BI254" s="81">
        <f t="shared" si="166"/>
        <v>0</v>
      </c>
      <c r="BJ254" s="81">
        <f t="shared" si="167"/>
        <v>0</v>
      </c>
      <c r="BK254" s="81">
        <f t="shared" si="168"/>
        <v>0</v>
      </c>
      <c r="BL254" s="81">
        <f t="shared" si="169"/>
        <v>0</v>
      </c>
      <c r="BM254" s="81">
        <f t="shared" si="170"/>
        <v>0</v>
      </c>
      <c r="BN254" s="81">
        <f t="shared" si="171"/>
        <v>0</v>
      </c>
      <c r="BO254" s="81">
        <f t="shared" si="172"/>
        <v>0</v>
      </c>
      <c r="BP254" s="81">
        <f t="shared" si="173"/>
        <v>0</v>
      </c>
      <c r="BQ254" s="81">
        <f t="shared" si="174"/>
        <v>0</v>
      </c>
      <c r="BR254" s="81">
        <f t="shared" si="175"/>
        <v>0</v>
      </c>
      <c r="BS254" s="81">
        <f t="shared" si="176"/>
        <v>0</v>
      </c>
      <c r="BT254" s="89">
        <f t="shared" si="177"/>
        <v>0</v>
      </c>
    </row>
    <row r="255" spans="1:72">
      <c r="A255" s="79"/>
      <c r="B255" s="80"/>
      <c r="C255" s="80"/>
      <c r="D255" s="2301"/>
      <c r="E255" s="81">
        <f t="shared" si="149"/>
        <v>0</v>
      </c>
      <c r="F255" s="82"/>
      <c r="G255" s="83">
        <f t="shared" si="150"/>
        <v>0</v>
      </c>
      <c r="H255" s="84">
        <f t="shared" si="151"/>
        <v>0</v>
      </c>
      <c r="I255" s="85"/>
      <c r="J255" s="85"/>
      <c r="K255" s="85"/>
      <c r="L255" s="85"/>
      <c r="M255" s="85"/>
      <c r="N255" s="85"/>
      <c r="O255" s="85"/>
      <c r="P255" s="85"/>
      <c r="Q255" s="85"/>
      <c r="R255" s="85"/>
      <c r="S255" s="85"/>
      <c r="T255" s="85"/>
      <c r="U255" s="85"/>
      <c r="V255" s="85"/>
      <c r="W255" s="85"/>
      <c r="X255" s="85"/>
      <c r="Y255" s="85"/>
      <c r="Z255" s="85"/>
      <c r="AA255" s="85"/>
      <c r="AB255" s="85"/>
      <c r="AC255" s="81">
        <f t="shared" si="152"/>
        <v>0</v>
      </c>
      <c r="AD255" s="86"/>
      <c r="AE255" s="86"/>
      <c r="AF255" s="86"/>
      <c r="AG255" s="86"/>
      <c r="AH255" s="86"/>
      <c r="AI255" s="86"/>
      <c r="AJ255" s="86"/>
      <c r="AK255" s="86"/>
      <c r="AL255" s="86"/>
      <c r="AM255" s="86"/>
      <c r="AN255" s="86"/>
      <c r="AO255" s="86"/>
      <c r="AP255" s="86"/>
      <c r="AQ255" s="86"/>
      <c r="AR255" s="86"/>
      <c r="AS255" s="86"/>
      <c r="AT255" s="82"/>
      <c r="AU255" s="87"/>
      <c r="AV255" s="818">
        <f t="shared" si="153"/>
        <v>0</v>
      </c>
      <c r="AW255" s="818">
        <f t="shared" si="154"/>
        <v>0</v>
      </c>
      <c r="AX255" s="818">
        <f t="shared" si="155"/>
        <v>0</v>
      </c>
      <c r="AY255" s="88">
        <f t="shared" si="156"/>
        <v>0</v>
      </c>
      <c r="AZ255" s="81">
        <f t="shared" si="157"/>
        <v>0</v>
      </c>
      <c r="BA255" s="81">
        <f t="shared" si="158"/>
        <v>0</v>
      </c>
      <c r="BB255" s="81">
        <f t="shared" si="159"/>
        <v>0</v>
      </c>
      <c r="BC255" s="81">
        <f t="shared" si="160"/>
        <v>0</v>
      </c>
      <c r="BD255" s="81">
        <f t="shared" si="161"/>
        <v>0</v>
      </c>
      <c r="BE255" s="81">
        <f t="shared" si="162"/>
        <v>0</v>
      </c>
      <c r="BF255" s="81">
        <f t="shared" si="163"/>
        <v>0</v>
      </c>
      <c r="BG255" s="81">
        <f t="shared" si="164"/>
        <v>0</v>
      </c>
      <c r="BH255" s="81">
        <f t="shared" si="165"/>
        <v>0</v>
      </c>
      <c r="BI255" s="81">
        <f t="shared" si="166"/>
        <v>0</v>
      </c>
      <c r="BJ255" s="81">
        <f t="shared" si="167"/>
        <v>0</v>
      </c>
      <c r="BK255" s="81">
        <f t="shared" si="168"/>
        <v>0</v>
      </c>
      <c r="BL255" s="81">
        <f t="shared" si="169"/>
        <v>0</v>
      </c>
      <c r="BM255" s="81">
        <f t="shared" si="170"/>
        <v>0</v>
      </c>
      <c r="BN255" s="81">
        <f t="shared" si="171"/>
        <v>0</v>
      </c>
      <c r="BO255" s="81">
        <f t="shared" si="172"/>
        <v>0</v>
      </c>
      <c r="BP255" s="81">
        <f t="shared" si="173"/>
        <v>0</v>
      </c>
      <c r="BQ255" s="81">
        <f t="shared" si="174"/>
        <v>0</v>
      </c>
      <c r="BR255" s="81">
        <f t="shared" si="175"/>
        <v>0</v>
      </c>
      <c r="BS255" s="81">
        <f t="shared" si="176"/>
        <v>0</v>
      </c>
      <c r="BT255" s="89">
        <f t="shared" si="177"/>
        <v>0</v>
      </c>
    </row>
    <row r="256" spans="1:72">
      <c r="A256" s="79"/>
      <c r="B256" s="80"/>
      <c r="C256" s="80"/>
      <c r="D256" s="2301"/>
      <c r="E256" s="81">
        <f t="shared" si="149"/>
        <v>0</v>
      </c>
      <c r="F256" s="82"/>
      <c r="G256" s="83">
        <f t="shared" si="150"/>
        <v>0</v>
      </c>
      <c r="H256" s="84">
        <f t="shared" si="151"/>
        <v>0</v>
      </c>
      <c r="I256" s="85"/>
      <c r="J256" s="85"/>
      <c r="K256" s="85"/>
      <c r="L256" s="85"/>
      <c r="M256" s="85"/>
      <c r="N256" s="85"/>
      <c r="O256" s="85"/>
      <c r="P256" s="85"/>
      <c r="Q256" s="85"/>
      <c r="R256" s="85"/>
      <c r="S256" s="85"/>
      <c r="T256" s="85"/>
      <c r="U256" s="85"/>
      <c r="V256" s="85"/>
      <c r="W256" s="85"/>
      <c r="X256" s="85"/>
      <c r="Y256" s="85"/>
      <c r="Z256" s="85"/>
      <c r="AA256" s="85"/>
      <c r="AB256" s="85"/>
      <c r="AC256" s="81">
        <f t="shared" si="152"/>
        <v>0</v>
      </c>
      <c r="AD256" s="86"/>
      <c r="AE256" s="86"/>
      <c r="AF256" s="86"/>
      <c r="AG256" s="86"/>
      <c r="AH256" s="86"/>
      <c r="AI256" s="86"/>
      <c r="AJ256" s="86"/>
      <c r="AK256" s="86"/>
      <c r="AL256" s="86"/>
      <c r="AM256" s="86"/>
      <c r="AN256" s="86"/>
      <c r="AO256" s="86"/>
      <c r="AP256" s="86"/>
      <c r="AQ256" s="86"/>
      <c r="AR256" s="86"/>
      <c r="AS256" s="86"/>
      <c r="AT256" s="82"/>
      <c r="AU256" s="87"/>
      <c r="AV256" s="818">
        <f t="shared" si="153"/>
        <v>0</v>
      </c>
      <c r="AW256" s="818">
        <f t="shared" si="154"/>
        <v>0</v>
      </c>
      <c r="AX256" s="818">
        <f t="shared" si="155"/>
        <v>0</v>
      </c>
      <c r="AY256" s="88">
        <f t="shared" si="156"/>
        <v>0</v>
      </c>
      <c r="AZ256" s="81">
        <f t="shared" si="157"/>
        <v>0</v>
      </c>
      <c r="BA256" s="81">
        <f t="shared" si="158"/>
        <v>0</v>
      </c>
      <c r="BB256" s="81">
        <f t="shared" si="159"/>
        <v>0</v>
      </c>
      <c r="BC256" s="81">
        <f t="shared" si="160"/>
        <v>0</v>
      </c>
      <c r="BD256" s="81">
        <f t="shared" si="161"/>
        <v>0</v>
      </c>
      <c r="BE256" s="81">
        <f t="shared" si="162"/>
        <v>0</v>
      </c>
      <c r="BF256" s="81">
        <f t="shared" si="163"/>
        <v>0</v>
      </c>
      <c r="BG256" s="81">
        <f t="shared" si="164"/>
        <v>0</v>
      </c>
      <c r="BH256" s="81">
        <f t="shared" si="165"/>
        <v>0</v>
      </c>
      <c r="BI256" s="81">
        <f t="shared" si="166"/>
        <v>0</v>
      </c>
      <c r="BJ256" s="81">
        <f t="shared" si="167"/>
        <v>0</v>
      </c>
      <c r="BK256" s="81">
        <f t="shared" si="168"/>
        <v>0</v>
      </c>
      <c r="BL256" s="81">
        <f t="shared" si="169"/>
        <v>0</v>
      </c>
      <c r="BM256" s="81">
        <f t="shared" si="170"/>
        <v>0</v>
      </c>
      <c r="BN256" s="81">
        <f t="shared" si="171"/>
        <v>0</v>
      </c>
      <c r="BO256" s="81">
        <f t="shared" si="172"/>
        <v>0</v>
      </c>
      <c r="BP256" s="81">
        <f t="shared" si="173"/>
        <v>0</v>
      </c>
      <c r="BQ256" s="81">
        <f t="shared" si="174"/>
        <v>0</v>
      </c>
      <c r="BR256" s="81">
        <f t="shared" si="175"/>
        <v>0</v>
      </c>
      <c r="BS256" s="81">
        <f t="shared" si="176"/>
        <v>0</v>
      </c>
      <c r="BT256" s="89">
        <f t="shared" si="177"/>
        <v>0</v>
      </c>
    </row>
    <row r="257" spans="1:72">
      <c r="A257" s="79"/>
      <c r="B257" s="80"/>
      <c r="C257" s="80"/>
      <c r="D257" s="2301"/>
      <c r="E257" s="81">
        <f t="shared" si="149"/>
        <v>0</v>
      </c>
      <c r="F257" s="82"/>
      <c r="G257" s="83">
        <f t="shared" si="150"/>
        <v>0</v>
      </c>
      <c r="H257" s="84">
        <f t="shared" si="151"/>
        <v>0</v>
      </c>
      <c r="I257" s="85"/>
      <c r="J257" s="85"/>
      <c r="K257" s="85"/>
      <c r="L257" s="85"/>
      <c r="M257" s="85"/>
      <c r="N257" s="85"/>
      <c r="O257" s="85"/>
      <c r="P257" s="85"/>
      <c r="Q257" s="85"/>
      <c r="R257" s="85"/>
      <c r="S257" s="85"/>
      <c r="T257" s="85"/>
      <c r="U257" s="85"/>
      <c r="V257" s="85"/>
      <c r="W257" s="85"/>
      <c r="X257" s="85"/>
      <c r="Y257" s="85"/>
      <c r="Z257" s="85"/>
      <c r="AA257" s="85"/>
      <c r="AB257" s="85"/>
      <c r="AC257" s="81">
        <f t="shared" si="152"/>
        <v>0</v>
      </c>
      <c r="AD257" s="86"/>
      <c r="AE257" s="86"/>
      <c r="AF257" s="86"/>
      <c r="AG257" s="86"/>
      <c r="AH257" s="86"/>
      <c r="AI257" s="86"/>
      <c r="AJ257" s="86"/>
      <c r="AK257" s="86"/>
      <c r="AL257" s="86"/>
      <c r="AM257" s="86"/>
      <c r="AN257" s="86"/>
      <c r="AO257" s="86"/>
      <c r="AP257" s="86"/>
      <c r="AQ257" s="86"/>
      <c r="AR257" s="86"/>
      <c r="AS257" s="86"/>
      <c r="AT257" s="82"/>
      <c r="AU257" s="87"/>
      <c r="AV257" s="818">
        <f t="shared" si="153"/>
        <v>0</v>
      </c>
      <c r="AW257" s="818">
        <f t="shared" si="154"/>
        <v>0</v>
      </c>
      <c r="AX257" s="818">
        <f t="shared" si="155"/>
        <v>0</v>
      </c>
      <c r="AY257" s="88">
        <f t="shared" si="156"/>
        <v>0</v>
      </c>
      <c r="AZ257" s="81">
        <f t="shared" si="157"/>
        <v>0</v>
      </c>
      <c r="BA257" s="81">
        <f t="shared" si="158"/>
        <v>0</v>
      </c>
      <c r="BB257" s="81">
        <f t="shared" si="159"/>
        <v>0</v>
      </c>
      <c r="BC257" s="81">
        <f t="shared" si="160"/>
        <v>0</v>
      </c>
      <c r="BD257" s="81">
        <f t="shared" si="161"/>
        <v>0</v>
      </c>
      <c r="BE257" s="81">
        <f t="shared" si="162"/>
        <v>0</v>
      </c>
      <c r="BF257" s="81">
        <f t="shared" si="163"/>
        <v>0</v>
      </c>
      <c r="BG257" s="81">
        <f t="shared" si="164"/>
        <v>0</v>
      </c>
      <c r="BH257" s="81">
        <f t="shared" si="165"/>
        <v>0</v>
      </c>
      <c r="BI257" s="81">
        <f t="shared" si="166"/>
        <v>0</v>
      </c>
      <c r="BJ257" s="81">
        <f t="shared" si="167"/>
        <v>0</v>
      </c>
      <c r="BK257" s="81">
        <f t="shared" si="168"/>
        <v>0</v>
      </c>
      <c r="BL257" s="81">
        <f t="shared" si="169"/>
        <v>0</v>
      </c>
      <c r="BM257" s="81">
        <f t="shared" si="170"/>
        <v>0</v>
      </c>
      <c r="BN257" s="81">
        <f t="shared" si="171"/>
        <v>0</v>
      </c>
      <c r="BO257" s="81">
        <f t="shared" si="172"/>
        <v>0</v>
      </c>
      <c r="BP257" s="81">
        <f t="shared" si="173"/>
        <v>0</v>
      </c>
      <c r="BQ257" s="81">
        <f t="shared" si="174"/>
        <v>0</v>
      </c>
      <c r="BR257" s="81">
        <f t="shared" si="175"/>
        <v>0</v>
      </c>
      <c r="BS257" s="81">
        <f t="shared" si="176"/>
        <v>0</v>
      </c>
      <c r="BT257" s="89">
        <f t="shared" si="177"/>
        <v>0</v>
      </c>
    </row>
    <row r="258" spans="1:72">
      <c r="A258" s="79"/>
      <c r="B258" s="80"/>
      <c r="C258" s="80"/>
      <c r="D258" s="2301"/>
      <c r="E258" s="81">
        <f t="shared" si="149"/>
        <v>0</v>
      </c>
      <c r="F258" s="82"/>
      <c r="G258" s="83">
        <f t="shared" si="150"/>
        <v>0</v>
      </c>
      <c r="H258" s="84">
        <f t="shared" si="151"/>
        <v>0</v>
      </c>
      <c r="I258" s="85"/>
      <c r="J258" s="85"/>
      <c r="K258" s="85"/>
      <c r="L258" s="85"/>
      <c r="M258" s="85"/>
      <c r="N258" s="85"/>
      <c r="O258" s="85"/>
      <c r="P258" s="85"/>
      <c r="Q258" s="85"/>
      <c r="R258" s="85"/>
      <c r="S258" s="85"/>
      <c r="T258" s="85"/>
      <c r="U258" s="85"/>
      <c r="V258" s="85"/>
      <c r="W258" s="85"/>
      <c r="X258" s="85"/>
      <c r="Y258" s="85"/>
      <c r="Z258" s="85"/>
      <c r="AA258" s="85"/>
      <c r="AB258" s="85"/>
      <c r="AC258" s="81">
        <f t="shared" si="152"/>
        <v>0</v>
      </c>
      <c r="AD258" s="86"/>
      <c r="AE258" s="86"/>
      <c r="AF258" s="86"/>
      <c r="AG258" s="86"/>
      <c r="AH258" s="86"/>
      <c r="AI258" s="86"/>
      <c r="AJ258" s="86"/>
      <c r="AK258" s="86"/>
      <c r="AL258" s="86"/>
      <c r="AM258" s="86"/>
      <c r="AN258" s="86"/>
      <c r="AO258" s="86"/>
      <c r="AP258" s="86"/>
      <c r="AQ258" s="86"/>
      <c r="AR258" s="86"/>
      <c r="AS258" s="86"/>
      <c r="AT258" s="82"/>
      <c r="AU258" s="87"/>
      <c r="AV258" s="818">
        <f t="shared" si="153"/>
        <v>0</v>
      </c>
      <c r="AW258" s="818">
        <f t="shared" si="154"/>
        <v>0</v>
      </c>
      <c r="AX258" s="818">
        <f t="shared" si="155"/>
        <v>0</v>
      </c>
      <c r="AY258" s="88">
        <f t="shared" si="156"/>
        <v>0</v>
      </c>
      <c r="AZ258" s="81">
        <f t="shared" si="157"/>
        <v>0</v>
      </c>
      <c r="BA258" s="81">
        <f t="shared" si="158"/>
        <v>0</v>
      </c>
      <c r="BB258" s="81">
        <f t="shared" si="159"/>
        <v>0</v>
      </c>
      <c r="BC258" s="81">
        <f t="shared" si="160"/>
        <v>0</v>
      </c>
      <c r="BD258" s="81">
        <f t="shared" si="161"/>
        <v>0</v>
      </c>
      <c r="BE258" s="81">
        <f t="shared" si="162"/>
        <v>0</v>
      </c>
      <c r="BF258" s="81">
        <f t="shared" si="163"/>
        <v>0</v>
      </c>
      <c r="BG258" s="81">
        <f t="shared" si="164"/>
        <v>0</v>
      </c>
      <c r="BH258" s="81">
        <f t="shared" si="165"/>
        <v>0</v>
      </c>
      <c r="BI258" s="81">
        <f t="shared" si="166"/>
        <v>0</v>
      </c>
      <c r="BJ258" s="81">
        <f t="shared" si="167"/>
        <v>0</v>
      </c>
      <c r="BK258" s="81">
        <f t="shared" si="168"/>
        <v>0</v>
      </c>
      <c r="BL258" s="81">
        <f t="shared" si="169"/>
        <v>0</v>
      </c>
      <c r="BM258" s="81">
        <f t="shared" si="170"/>
        <v>0</v>
      </c>
      <c r="BN258" s="81">
        <f t="shared" si="171"/>
        <v>0</v>
      </c>
      <c r="BO258" s="81">
        <f t="shared" si="172"/>
        <v>0</v>
      </c>
      <c r="BP258" s="81">
        <f t="shared" si="173"/>
        <v>0</v>
      </c>
      <c r="BQ258" s="81">
        <f t="shared" si="174"/>
        <v>0</v>
      </c>
      <c r="BR258" s="81">
        <f t="shared" si="175"/>
        <v>0</v>
      </c>
      <c r="BS258" s="81">
        <f t="shared" si="176"/>
        <v>0</v>
      </c>
      <c r="BT258" s="89">
        <f t="shared" si="177"/>
        <v>0</v>
      </c>
    </row>
    <row r="259" spans="1:72">
      <c r="A259" s="79"/>
      <c r="B259" s="80"/>
      <c r="C259" s="80"/>
      <c r="D259" s="2301"/>
      <c r="E259" s="81">
        <f t="shared" si="149"/>
        <v>0</v>
      </c>
      <c r="F259" s="82"/>
      <c r="G259" s="83">
        <f t="shared" si="150"/>
        <v>0</v>
      </c>
      <c r="H259" s="84">
        <f t="shared" si="151"/>
        <v>0</v>
      </c>
      <c r="I259" s="85"/>
      <c r="J259" s="85"/>
      <c r="K259" s="85"/>
      <c r="L259" s="85"/>
      <c r="M259" s="85"/>
      <c r="N259" s="85"/>
      <c r="O259" s="85"/>
      <c r="P259" s="85"/>
      <c r="Q259" s="85"/>
      <c r="R259" s="85"/>
      <c r="S259" s="85"/>
      <c r="T259" s="85"/>
      <c r="U259" s="85"/>
      <c r="V259" s="85"/>
      <c r="W259" s="85"/>
      <c r="X259" s="85"/>
      <c r="Y259" s="85"/>
      <c r="Z259" s="85"/>
      <c r="AA259" s="85"/>
      <c r="AB259" s="85"/>
      <c r="AC259" s="81">
        <f t="shared" si="152"/>
        <v>0</v>
      </c>
      <c r="AD259" s="86"/>
      <c r="AE259" s="86"/>
      <c r="AF259" s="86"/>
      <c r="AG259" s="86"/>
      <c r="AH259" s="86"/>
      <c r="AI259" s="86"/>
      <c r="AJ259" s="86"/>
      <c r="AK259" s="86"/>
      <c r="AL259" s="86"/>
      <c r="AM259" s="86"/>
      <c r="AN259" s="86"/>
      <c r="AO259" s="86"/>
      <c r="AP259" s="86"/>
      <c r="AQ259" s="86"/>
      <c r="AR259" s="86"/>
      <c r="AS259" s="86"/>
      <c r="AT259" s="82"/>
      <c r="AU259" s="87"/>
      <c r="AV259" s="818">
        <f t="shared" si="153"/>
        <v>0</v>
      </c>
      <c r="AW259" s="818">
        <f t="shared" si="154"/>
        <v>0</v>
      </c>
      <c r="AX259" s="818">
        <f t="shared" si="155"/>
        <v>0</v>
      </c>
      <c r="AY259" s="88">
        <f t="shared" si="156"/>
        <v>0</v>
      </c>
      <c r="AZ259" s="81">
        <f t="shared" si="157"/>
        <v>0</v>
      </c>
      <c r="BA259" s="81">
        <f t="shared" si="158"/>
        <v>0</v>
      </c>
      <c r="BB259" s="81">
        <f t="shared" si="159"/>
        <v>0</v>
      </c>
      <c r="BC259" s="81">
        <f t="shared" si="160"/>
        <v>0</v>
      </c>
      <c r="BD259" s="81">
        <f t="shared" si="161"/>
        <v>0</v>
      </c>
      <c r="BE259" s="81">
        <f t="shared" si="162"/>
        <v>0</v>
      </c>
      <c r="BF259" s="81">
        <f t="shared" si="163"/>
        <v>0</v>
      </c>
      <c r="BG259" s="81">
        <f t="shared" si="164"/>
        <v>0</v>
      </c>
      <c r="BH259" s="81">
        <f t="shared" si="165"/>
        <v>0</v>
      </c>
      <c r="BI259" s="81">
        <f t="shared" si="166"/>
        <v>0</v>
      </c>
      <c r="BJ259" s="81">
        <f t="shared" si="167"/>
        <v>0</v>
      </c>
      <c r="BK259" s="81">
        <f t="shared" si="168"/>
        <v>0</v>
      </c>
      <c r="BL259" s="81">
        <f t="shared" si="169"/>
        <v>0</v>
      </c>
      <c r="BM259" s="81">
        <f t="shared" si="170"/>
        <v>0</v>
      </c>
      <c r="BN259" s="81">
        <f t="shared" si="171"/>
        <v>0</v>
      </c>
      <c r="BO259" s="81">
        <f t="shared" si="172"/>
        <v>0</v>
      </c>
      <c r="BP259" s="81">
        <f t="shared" si="173"/>
        <v>0</v>
      </c>
      <c r="BQ259" s="81">
        <f t="shared" si="174"/>
        <v>0</v>
      </c>
      <c r="BR259" s="81">
        <f t="shared" si="175"/>
        <v>0</v>
      </c>
      <c r="BS259" s="81">
        <f t="shared" si="176"/>
        <v>0</v>
      </c>
      <c r="BT259" s="89">
        <f t="shared" si="177"/>
        <v>0</v>
      </c>
    </row>
    <row r="260" spans="1:72">
      <c r="A260" s="79"/>
      <c r="B260" s="80"/>
      <c r="C260" s="80"/>
      <c r="D260" s="2301"/>
      <c r="E260" s="81">
        <f t="shared" si="149"/>
        <v>0</v>
      </c>
      <c r="F260" s="82"/>
      <c r="G260" s="83">
        <f t="shared" si="150"/>
        <v>0</v>
      </c>
      <c r="H260" s="84">
        <f t="shared" si="151"/>
        <v>0</v>
      </c>
      <c r="I260" s="85"/>
      <c r="J260" s="85"/>
      <c r="K260" s="85"/>
      <c r="L260" s="85"/>
      <c r="M260" s="85"/>
      <c r="N260" s="85"/>
      <c r="O260" s="85"/>
      <c r="P260" s="85"/>
      <c r="Q260" s="85"/>
      <c r="R260" s="85"/>
      <c r="S260" s="85"/>
      <c r="T260" s="85"/>
      <c r="U260" s="85"/>
      <c r="V260" s="85"/>
      <c r="W260" s="85"/>
      <c r="X260" s="85"/>
      <c r="Y260" s="85"/>
      <c r="Z260" s="85"/>
      <c r="AA260" s="85"/>
      <c r="AB260" s="85"/>
      <c r="AC260" s="81">
        <f t="shared" si="152"/>
        <v>0</v>
      </c>
      <c r="AD260" s="86"/>
      <c r="AE260" s="86"/>
      <c r="AF260" s="86"/>
      <c r="AG260" s="86"/>
      <c r="AH260" s="86"/>
      <c r="AI260" s="86"/>
      <c r="AJ260" s="86"/>
      <c r="AK260" s="86"/>
      <c r="AL260" s="86"/>
      <c r="AM260" s="86"/>
      <c r="AN260" s="86"/>
      <c r="AO260" s="86"/>
      <c r="AP260" s="86"/>
      <c r="AQ260" s="86"/>
      <c r="AR260" s="86"/>
      <c r="AS260" s="86"/>
      <c r="AT260" s="82"/>
      <c r="AU260" s="87"/>
      <c r="AV260" s="818">
        <f t="shared" si="153"/>
        <v>0</v>
      </c>
      <c r="AW260" s="818">
        <f t="shared" si="154"/>
        <v>0</v>
      </c>
      <c r="AX260" s="818">
        <f t="shared" si="155"/>
        <v>0</v>
      </c>
      <c r="AY260" s="88">
        <f t="shared" si="156"/>
        <v>0</v>
      </c>
      <c r="AZ260" s="81">
        <f t="shared" si="157"/>
        <v>0</v>
      </c>
      <c r="BA260" s="81">
        <f t="shared" si="158"/>
        <v>0</v>
      </c>
      <c r="BB260" s="81">
        <f t="shared" si="159"/>
        <v>0</v>
      </c>
      <c r="BC260" s="81">
        <f t="shared" si="160"/>
        <v>0</v>
      </c>
      <c r="BD260" s="81">
        <f t="shared" si="161"/>
        <v>0</v>
      </c>
      <c r="BE260" s="81">
        <f t="shared" si="162"/>
        <v>0</v>
      </c>
      <c r="BF260" s="81">
        <f t="shared" si="163"/>
        <v>0</v>
      </c>
      <c r="BG260" s="81">
        <f t="shared" si="164"/>
        <v>0</v>
      </c>
      <c r="BH260" s="81">
        <f t="shared" si="165"/>
        <v>0</v>
      </c>
      <c r="BI260" s="81">
        <f t="shared" si="166"/>
        <v>0</v>
      </c>
      <c r="BJ260" s="81">
        <f t="shared" si="167"/>
        <v>0</v>
      </c>
      <c r="BK260" s="81">
        <f t="shared" si="168"/>
        <v>0</v>
      </c>
      <c r="BL260" s="81">
        <f t="shared" si="169"/>
        <v>0</v>
      </c>
      <c r="BM260" s="81">
        <f t="shared" si="170"/>
        <v>0</v>
      </c>
      <c r="BN260" s="81">
        <f t="shared" si="171"/>
        <v>0</v>
      </c>
      <c r="BO260" s="81">
        <f t="shared" si="172"/>
        <v>0</v>
      </c>
      <c r="BP260" s="81">
        <f t="shared" si="173"/>
        <v>0</v>
      </c>
      <c r="BQ260" s="81">
        <f t="shared" si="174"/>
        <v>0</v>
      </c>
      <c r="BR260" s="81">
        <f t="shared" si="175"/>
        <v>0</v>
      </c>
      <c r="BS260" s="81">
        <f t="shared" si="176"/>
        <v>0</v>
      </c>
      <c r="BT260" s="89">
        <f t="shared" si="177"/>
        <v>0</v>
      </c>
    </row>
    <row r="261" spans="1:72">
      <c r="A261" s="79"/>
      <c r="B261" s="80"/>
      <c r="C261" s="80"/>
      <c r="D261" s="2301"/>
      <c r="E261" s="81">
        <f t="shared" si="149"/>
        <v>0</v>
      </c>
      <c r="F261" s="82"/>
      <c r="G261" s="83">
        <f t="shared" si="150"/>
        <v>0</v>
      </c>
      <c r="H261" s="84">
        <f t="shared" si="151"/>
        <v>0</v>
      </c>
      <c r="I261" s="85"/>
      <c r="J261" s="85"/>
      <c r="K261" s="85"/>
      <c r="L261" s="85"/>
      <c r="M261" s="85"/>
      <c r="N261" s="85"/>
      <c r="O261" s="85"/>
      <c r="P261" s="85"/>
      <c r="Q261" s="85"/>
      <c r="R261" s="85"/>
      <c r="S261" s="85"/>
      <c r="T261" s="85"/>
      <c r="U261" s="85"/>
      <c r="V261" s="85"/>
      <c r="W261" s="85"/>
      <c r="X261" s="85"/>
      <c r="Y261" s="85"/>
      <c r="Z261" s="85"/>
      <c r="AA261" s="85"/>
      <c r="AB261" s="85"/>
      <c r="AC261" s="81">
        <f t="shared" si="152"/>
        <v>0</v>
      </c>
      <c r="AD261" s="86"/>
      <c r="AE261" s="86"/>
      <c r="AF261" s="86"/>
      <c r="AG261" s="86"/>
      <c r="AH261" s="86"/>
      <c r="AI261" s="86"/>
      <c r="AJ261" s="86"/>
      <c r="AK261" s="86"/>
      <c r="AL261" s="86"/>
      <c r="AM261" s="86"/>
      <c r="AN261" s="86"/>
      <c r="AO261" s="86"/>
      <c r="AP261" s="86"/>
      <c r="AQ261" s="86"/>
      <c r="AR261" s="86"/>
      <c r="AS261" s="86"/>
      <c r="AT261" s="82"/>
      <c r="AU261" s="87"/>
      <c r="AV261" s="818">
        <f t="shared" si="153"/>
        <v>0</v>
      </c>
      <c r="AW261" s="818">
        <f t="shared" si="154"/>
        <v>0</v>
      </c>
      <c r="AX261" s="818">
        <f t="shared" si="155"/>
        <v>0</v>
      </c>
      <c r="AY261" s="88">
        <f t="shared" si="156"/>
        <v>0</v>
      </c>
      <c r="AZ261" s="81">
        <f t="shared" si="157"/>
        <v>0</v>
      </c>
      <c r="BA261" s="81">
        <f t="shared" si="158"/>
        <v>0</v>
      </c>
      <c r="BB261" s="81">
        <f t="shared" si="159"/>
        <v>0</v>
      </c>
      <c r="BC261" s="81">
        <f t="shared" si="160"/>
        <v>0</v>
      </c>
      <c r="BD261" s="81">
        <f t="shared" si="161"/>
        <v>0</v>
      </c>
      <c r="BE261" s="81">
        <f t="shared" si="162"/>
        <v>0</v>
      </c>
      <c r="BF261" s="81">
        <f t="shared" si="163"/>
        <v>0</v>
      </c>
      <c r="BG261" s="81">
        <f t="shared" si="164"/>
        <v>0</v>
      </c>
      <c r="BH261" s="81">
        <f t="shared" si="165"/>
        <v>0</v>
      </c>
      <c r="BI261" s="81">
        <f t="shared" si="166"/>
        <v>0</v>
      </c>
      <c r="BJ261" s="81">
        <f t="shared" si="167"/>
        <v>0</v>
      </c>
      <c r="BK261" s="81">
        <f t="shared" si="168"/>
        <v>0</v>
      </c>
      <c r="BL261" s="81">
        <f t="shared" si="169"/>
        <v>0</v>
      </c>
      <c r="BM261" s="81">
        <f t="shared" si="170"/>
        <v>0</v>
      </c>
      <c r="BN261" s="81">
        <f t="shared" si="171"/>
        <v>0</v>
      </c>
      <c r="BO261" s="81">
        <f t="shared" si="172"/>
        <v>0</v>
      </c>
      <c r="BP261" s="81">
        <f t="shared" si="173"/>
        <v>0</v>
      </c>
      <c r="BQ261" s="81">
        <f t="shared" si="174"/>
        <v>0</v>
      </c>
      <c r="BR261" s="81">
        <f t="shared" si="175"/>
        <v>0</v>
      </c>
      <c r="BS261" s="81">
        <f t="shared" si="176"/>
        <v>0</v>
      </c>
      <c r="BT261" s="89">
        <f t="shared" si="177"/>
        <v>0</v>
      </c>
    </row>
    <row r="262" spans="1:72">
      <c r="A262" s="79"/>
      <c r="B262" s="80"/>
      <c r="C262" s="80"/>
      <c r="D262" s="2301"/>
      <c r="E262" s="81">
        <f t="shared" si="149"/>
        <v>0</v>
      </c>
      <c r="F262" s="82"/>
      <c r="G262" s="83">
        <f t="shared" si="150"/>
        <v>0</v>
      </c>
      <c r="H262" s="84">
        <f t="shared" si="151"/>
        <v>0</v>
      </c>
      <c r="I262" s="85"/>
      <c r="J262" s="85"/>
      <c r="K262" s="85"/>
      <c r="L262" s="85"/>
      <c r="M262" s="85"/>
      <c r="N262" s="85"/>
      <c r="O262" s="85"/>
      <c r="P262" s="85"/>
      <c r="Q262" s="85"/>
      <c r="R262" s="85"/>
      <c r="S262" s="85"/>
      <c r="T262" s="85"/>
      <c r="U262" s="85"/>
      <c r="V262" s="85"/>
      <c r="W262" s="85"/>
      <c r="X262" s="85"/>
      <c r="Y262" s="85"/>
      <c r="Z262" s="85"/>
      <c r="AA262" s="85"/>
      <c r="AB262" s="85"/>
      <c r="AC262" s="81">
        <f t="shared" si="152"/>
        <v>0</v>
      </c>
      <c r="AD262" s="86"/>
      <c r="AE262" s="86"/>
      <c r="AF262" s="86"/>
      <c r="AG262" s="86"/>
      <c r="AH262" s="86"/>
      <c r="AI262" s="86"/>
      <c r="AJ262" s="86"/>
      <c r="AK262" s="86"/>
      <c r="AL262" s="86"/>
      <c r="AM262" s="86"/>
      <c r="AN262" s="86"/>
      <c r="AO262" s="86"/>
      <c r="AP262" s="86"/>
      <c r="AQ262" s="86"/>
      <c r="AR262" s="86"/>
      <c r="AS262" s="86"/>
      <c r="AT262" s="82"/>
      <c r="AU262" s="87"/>
      <c r="AV262" s="818">
        <f t="shared" si="153"/>
        <v>0</v>
      </c>
      <c r="AW262" s="818">
        <f t="shared" si="154"/>
        <v>0</v>
      </c>
      <c r="AX262" s="818">
        <f t="shared" si="155"/>
        <v>0</v>
      </c>
      <c r="AY262" s="88">
        <f t="shared" si="156"/>
        <v>0</v>
      </c>
      <c r="AZ262" s="81">
        <f t="shared" si="157"/>
        <v>0</v>
      </c>
      <c r="BA262" s="81">
        <f t="shared" si="158"/>
        <v>0</v>
      </c>
      <c r="BB262" s="81">
        <f t="shared" si="159"/>
        <v>0</v>
      </c>
      <c r="BC262" s="81">
        <f t="shared" si="160"/>
        <v>0</v>
      </c>
      <c r="BD262" s="81">
        <f t="shared" si="161"/>
        <v>0</v>
      </c>
      <c r="BE262" s="81">
        <f t="shared" si="162"/>
        <v>0</v>
      </c>
      <c r="BF262" s="81">
        <f t="shared" si="163"/>
        <v>0</v>
      </c>
      <c r="BG262" s="81">
        <f t="shared" si="164"/>
        <v>0</v>
      </c>
      <c r="BH262" s="81">
        <f t="shared" si="165"/>
        <v>0</v>
      </c>
      <c r="BI262" s="81">
        <f t="shared" si="166"/>
        <v>0</v>
      </c>
      <c r="BJ262" s="81">
        <f t="shared" si="167"/>
        <v>0</v>
      </c>
      <c r="BK262" s="81">
        <f t="shared" si="168"/>
        <v>0</v>
      </c>
      <c r="BL262" s="81">
        <f t="shared" si="169"/>
        <v>0</v>
      </c>
      <c r="BM262" s="81">
        <f t="shared" si="170"/>
        <v>0</v>
      </c>
      <c r="BN262" s="81">
        <f t="shared" si="171"/>
        <v>0</v>
      </c>
      <c r="BO262" s="81">
        <f t="shared" si="172"/>
        <v>0</v>
      </c>
      <c r="BP262" s="81">
        <f t="shared" si="173"/>
        <v>0</v>
      </c>
      <c r="BQ262" s="81">
        <f t="shared" si="174"/>
        <v>0</v>
      </c>
      <c r="BR262" s="81">
        <f t="shared" si="175"/>
        <v>0</v>
      </c>
      <c r="BS262" s="81">
        <f t="shared" si="176"/>
        <v>0</v>
      </c>
      <c r="BT262" s="89">
        <f t="shared" si="177"/>
        <v>0</v>
      </c>
    </row>
    <row r="263" spans="1:72">
      <c r="A263" s="79"/>
      <c r="B263" s="80"/>
      <c r="C263" s="80"/>
      <c r="D263" s="2301"/>
      <c r="E263" s="81">
        <f t="shared" si="149"/>
        <v>0</v>
      </c>
      <c r="F263" s="82"/>
      <c r="G263" s="83">
        <f t="shared" si="150"/>
        <v>0</v>
      </c>
      <c r="H263" s="84">
        <f t="shared" si="151"/>
        <v>0</v>
      </c>
      <c r="I263" s="85"/>
      <c r="J263" s="85"/>
      <c r="K263" s="85"/>
      <c r="L263" s="85"/>
      <c r="M263" s="85"/>
      <c r="N263" s="85"/>
      <c r="O263" s="85"/>
      <c r="P263" s="85"/>
      <c r="Q263" s="85"/>
      <c r="R263" s="85"/>
      <c r="S263" s="85"/>
      <c r="T263" s="85"/>
      <c r="U263" s="85"/>
      <c r="V263" s="85"/>
      <c r="W263" s="85"/>
      <c r="X263" s="85"/>
      <c r="Y263" s="85"/>
      <c r="Z263" s="85"/>
      <c r="AA263" s="85"/>
      <c r="AB263" s="85"/>
      <c r="AC263" s="81">
        <f t="shared" si="152"/>
        <v>0</v>
      </c>
      <c r="AD263" s="86"/>
      <c r="AE263" s="86"/>
      <c r="AF263" s="86"/>
      <c r="AG263" s="86"/>
      <c r="AH263" s="86"/>
      <c r="AI263" s="86"/>
      <c r="AJ263" s="86"/>
      <c r="AK263" s="86"/>
      <c r="AL263" s="86"/>
      <c r="AM263" s="86"/>
      <c r="AN263" s="86"/>
      <c r="AO263" s="86"/>
      <c r="AP263" s="86"/>
      <c r="AQ263" s="86"/>
      <c r="AR263" s="86"/>
      <c r="AS263" s="86"/>
      <c r="AT263" s="82"/>
      <c r="AU263" s="87"/>
      <c r="AV263" s="818">
        <f t="shared" si="153"/>
        <v>0</v>
      </c>
      <c r="AW263" s="818">
        <f t="shared" si="154"/>
        <v>0</v>
      </c>
      <c r="AX263" s="818">
        <f t="shared" si="155"/>
        <v>0</v>
      </c>
      <c r="AY263" s="88">
        <f t="shared" si="156"/>
        <v>0</v>
      </c>
      <c r="AZ263" s="81">
        <f t="shared" si="157"/>
        <v>0</v>
      </c>
      <c r="BA263" s="81">
        <f t="shared" si="158"/>
        <v>0</v>
      </c>
      <c r="BB263" s="81">
        <f t="shared" si="159"/>
        <v>0</v>
      </c>
      <c r="BC263" s="81">
        <f t="shared" si="160"/>
        <v>0</v>
      </c>
      <c r="BD263" s="81">
        <f t="shared" si="161"/>
        <v>0</v>
      </c>
      <c r="BE263" s="81">
        <f t="shared" si="162"/>
        <v>0</v>
      </c>
      <c r="BF263" s="81">
        <f t="shared" si="163"/>
        <v>0</v>
      </c>
      <c r="BG263" s="81">
        <f t="shared" si="164"/>
        <v>0</v>
      </c>
      <c r="BH263" s="81">
        <f t="shared" si="165"/>
        <v>0</v>
      </c>
      <c r="BI263" s="81">
        <f t="shared" si="166"/>
        <v>0</v>
      </c>
      <c r="BJ263" s="81">
        <f t="shared" si="167"/>
        <v>0</v>
      </c>
      <c r="BK263" s="81">
        <f t="shared" si="168"/>
        <v>0</v>
      </c>
      <c r="BL263" s="81">
        <f t="shared" si="169"/>
        <v>0</v>
      </c>
      <c r="BM263" s="81">
        <f t="shared" si="170"/>
        <v>0</v>
      </c>
      <c r="BN263" s="81">
        <f t="shared" si="171"/>
        <v>0</v>
      </c>
      <c r="BO263" s="81">
        <f t="shared" si="172"/>
        <v>0</v>
      </c>
      <c r="BP263" s="81">
        <f t="shared" si="173"/>
        <v>0</v>
      </c>
      <c r="BQ263" s="81">
        <f t="shared" si="174"/>
        <v>0</v>
      </c>
      <c r="BR263" s="81">
        <f t="shared" si="175"/>
        <v>0</v>
      </c>
      <c r="BS263" s="81">
        <f t="shared" si="176"/>
        <v>0</v>
      </c>
      <c r="BT263" s="89">
        <f t="shared" si="177"/>
        <v>0</v>
      </c>
    </row>
    <row r="264" spans="1:72">
      <c r="A264" s="79"/>
      <c r="B264" s="80"/>
      <c r="C264" s="80"/>
      <c r="D264" s="2301"/>
      <c r="E264" s="81">
        <f t="shared" si="149"/>
        <v>0</v>
      </c>
      <c r="F264" s="82"/>
      <c r="G264" s="83">
        <f t="shared" si="150"/>
        <v>0</v>
      </c>
      <c r="H264" s="84">
        <f t="shared" si="151"/>
        <v>0</v>
      </c>
      <c r="I264" s="85"/>
      <c r="J264" s="85"/>
      <c r="K264" s="85"/>
      <c r="L264" s="85"/>
      <c r="M264" s="85"/>
      <c r="N264" s="85"/>
      <c r="O264" s="85"/>
      <c r="P264" s="85"/>
      <c r="Q264" s="85"/>
      <c r="R264" s="85"/>
      <c r="S264" s="85"/>
      <c r="T264" s="85"/>
      <c r="U264" s="85"/>
      <c r="V264" s="85"/>
      <c r="W264" s="85"/>
      <c r="X264" s="85"/>
      <c r="Y264" s="85"/>
      <c r="Z264" s="85"/>
      <c r="AA264" s="85"/>
      <c r="AB264" s="85"/>
      <c r="AC264" s="81">
        <f t="shared" si="152"/>
        <v>0</v>
      </c>
      <c r="AD264" s="86"/>
      <c r="AE264" s="86"/>
      <c r="AF264" s="86"/>
      <c r="AG264" s="86"/>
      <c r="AH264" s="86"/>
      <c r="AI264" s="86"/>
      <c r="AJ264" s="86"/>
      <c r="AK264" s="86"/>
      <c r="AL264" s="86"/>
      <c r="AM264" s="86"/>
      <c r="AN264" s="86"/>
      <c r="AO264" s="86"/>
      <c r="AP264" s="86"/>
      <c r="AQ264" s="86"/>
      <c r="AR264" s="86"/>
      <c r="AS264" s="86"/>
      <c r="AT264" s="82"/>
      <c r="AU264" s="87"/>
      <c r="AV264" s="818">
        <f t="shared" si="153"/>
        <v>0</v>
      </c>
      <c r="AW264" s="818">
        <f t="shared" si="154"/>
        <v>0</v>
      </c>
      <c r="AX264" s="818">
        <f t="shared" si="155"/>
        <v>0</v>
      </c>
      <c r="AY264" s="88">
        <f t="shared" si="156"/>
        <v>0</v>
      </c>
      <c r="AZ264" s="81">
        <f t="shared" si="157"/>
        <v>0</v>
      </c>
      <c r="BA264" s="81">
        <f t="shared" si="158"/>
        <v>0</v>
      </c>
      <c r="BB264" s="81">
        <f t="shared" si="159"/>
        <v>0</v>
      </c>
      <c r="BC264" s="81">
        <f t="shared" si="160"/>
        <v>0</v>
      </c>
      <c r="BD264" s="81">
        <f t="shared" si="161"/>
        <v>0</v>
      </c>
      <c r="BE264" s="81">
        <f t="shared" si="162"/>
        <v>0</v>
      </c>
      <c r="BF264" s="81">
        <f t="shared" si="163"/>
        <v>0</v>
      </c>
      <c r="BG264" s="81">
        <f t="shared" si="164"/>
        <v>0</v>
      </c>
      <c r="BH264" s="81">
        <f t="shared" si="165"/>
        <v>0</v>
      </c>
      <c r="BI264" s="81">
        <f t="shared" si="166"/>
        <v>0</v>
      </c>
      <c r="BJ264" s="81">
        <f t="shared" si="167"/>
        <v>0</v>
      </c>
      <c r="BK264" s="81">
        <f t="shared" si="168"/>
        <v>0</v>
      </c>
      <c r="BL264" s="81">
        <f t="shared" si="169"/>
        <v>0</v>
      </c>
      <c r="BM264" s="81">
        <f t="shared" si="170"/>
        <v>0</v>
      </c>
      <c r="BN264" s="81">
        <f t="shared" si="171"/>
        <v>0</v>
      </c>
      <c r="BO264" s="81">
        <f t="shared" si="172"/>
        <v>0</v>
      </c>
      <c r="BP264" s="81">
        <f t="shared" si="173"/>
        <v>0</v>
      </c>
      <c r="BQ264" s="81">
        <f t="shared" si="174"/>
        <v>0</v>
      </c>
      <c r="BR264" s="81">
        <f t="shared" si="175"/>
        <v>0</v>
      </c>
      <c r="BS264" s="81">
        <f t="shared" si="176"/>
        <v>0</v>
      </c>
      <c r="BT264" s="89">
        <f t="shared" si="177"/>
        <v>0</v>
      </c>
    </row>
    <row r="265" spans="1:72">
      <c r="A265" s="79"/>
      <c r="B265" s="80"/>
      <c r="C265" s="80"/>
      <c r="D265" s="2301"/>
      <c r="E265" s="81">
        <f t="shared" si="149"/>
        <v>0</v>
      </c>
      <c r="F265" s="82"/>
      <c r="G265" s="83">
        <f t="shared" si="150"/>
        <v>0</v>
      </c>
      <c r="H265" s="84">
        <f t="shared" si="151"/>
        <v>0</v>
      </c>
      <c r="I265" s="85"/>
      <c r="J265" s="85"/>
      <c r="K265" s="85"/>
      <c r="L265" s="85"/>
      <c r="M265" s="85"/>
      <c r="N265" s="85"/>
      <c r="O265" s="85"/>
      <c r="P265" s="85"/>
      <c r="Q265" s="85"/>
      <c r="R265" s="85"/>
      <c r="S265" s="85"/>
      <c r="T265" s="85"/>
      <c r="U265" s="85"/>
      <c r="V265" s="85"/>
      <c r="W265" s="85"/>
      <c r="X265" s="85"/>
      <c r="Y265" s="85"/>
      <c r="Z265" s="85"/>
      <c r="AA265" s="85"/>
      <c r="AB265" s="85"/>
      <c r="AC265" s="81">
        <f t="shared" si="152"/>
        <v>0</v>
      </c>
      <c r="AD265" s="86"/>
      <c r="AE265" s="86"/>
      <c r="AF265" s="86"/>
      <c r="AG265" s="86"/>
      <c r="AH265" s="86"/>
      <c r="AI265" s="86"/>
      <c r="AJ265" s="86"/>
      <c r="AK265" s="86"/>
      <c r="AL265" s="86"/>
      <c r="AM265" s="86"/>
      <c r="AN265" s="86"/>
      <c r="AO265" s="86"/>
      <c r="AP265" s="86"/>
      <c r="AQ265" s="86"/>
      <c r="AR265" s="86"/>
      <c r="AS265" s="86"/>
      <c r="AT265" s="82"/>
      <c r="AU265" s="87"/>
      <c r="AV265" s="818">
        <f t="shared" si="153"/>
        <v>0</v>
      </c>
      <c r="AW265" s="818">
        <f t="shared" si="154"/>
        <v>0</v>
      </c>
      <c r="AX265" s="818">
        <f t="shared" si="155"/>
        <v>0</v>
      </c>
      <c r="AY265" s="88">
        <f t="shared" si="156"/>
        <v>0</v>
      </c>
      <c r="AZ265" s="81">
        <f t="shared" si="157"/>
        <v>0</v>
      </c>
      <c r="BA265" s="81">
        <f t="shared" si="158"/>
        <v>0</v>
      </c>
      <c r="BB265" s="81">
        <f t="shared" si="159"/>
        <v>0</v>
      </c>
      <c r="BC265" s="81">
        <f t="shared" si="160"/>
        <v>0</v>
      </c>
      <c r="BD265" s="81">
        <f t="shared" si="161"/>
        <v>0</v>
      </c>
      <c r="BE265" s="81">
        <f t="shared" si="162"/>
        <v>0</v>
      </c>
      <c r="BF265" s="81">
        <f t="shared" si="163"/>
        <v>0</v>
      </c>
      <c r="BG265" s="81">
        <f t="shared" si="164"/>
        <v>0</v>
      </c>
      <c r="BH265" s="81">
        <f t="shared" si="165"/>
        <v>0</v>
      </c>
      <c r="BI265" s="81">
        <f t="shared" si="166"/>
        <v>0</v>
      </c>
      <c r="BJ265" s="81">
        <f t="shared" si="167"/>
        <v>0</v>
      </c>
      <c r="BK265" s="81">
        <f t="shared" si="168"/>
        <v>0</v>
      </c>
      <c r="BL265" s="81">
        <f t="shared" si="169"/>
        <v>0</v>
      </c>
      <c r="BM265" s="81">
        <f t="shared" si="170"/>
        <v>0</v>
      </c>
      <c r="BN265" s="81">
        <f t="shared" si="171"/>
        <v>0</v>
      </c>
      <c r="BO265" s="81">
        <f t="shared" si="172"/>
        <v>0</v>
      </c>
      <c r="BP265" s="81">
        <f t="shared" si="173"/>
        <v>0</v>
      </c>
      <c r="BQ265" s="81">
        <f t="shared" si="174"/>
        <v>0</v>
      </c>
      <c r="BR265" s="81">
        <f t="shared" si="175"/>
        <v>0</v>
      </c>
      <c r="BS265" s="81">
        <f t="shared" si="176"/>
        <v>0</v>
      </c>
      <c r="BT265" s="89">
        <f t="shared" si="177"/>
        <v>0</v>
      </c>
    </row>
    <row r="266" spans="1:72">
      <c r="A266" s="79"/>
      <c r="B266" s="80"/>
      <c r="C266" s="80"/>
      <c r="D266" s="2301"/>
      <c r="E266" s="81">
        <f t="shared" si="149"/>
        <v>0</v>
      </c>
      <c r="F266" s="82"/>
      <c r="G266" s="83">
        <f t="shared" si="150"/>
        <v>0</v>
      </c>
      <c r="H266" s="84">
        <f t="shared" si="151"/>
        <v>0</v>
      </c>
      <c r="I266" s="85"/>
      <c r="J266" s="85"/>
      <c r="K266" s="85"/>
      <c r="L266" s="85"/>
      <c r="M266" s="85"/>
      <c r="N266" s="85"/>
      <c r="O266" s="85"/>
      <c r="P266" s="85"/>
      <c r="Q266" s="85"/>
      <c r="R266" s="85"/>
      <c r="S266" s="85"/>
      <c r="T266" s="85"/>
      <c r="U266" s="85"/>
      <c r="V266" s="85"/>
      <c r="W266" s="85"/>
      <c r="X266" s="85"/>
      <c r="Y266" s="85"/>
      <c r="Z266" s="85"/>
      <c r="AA266" s="85"/>
      <c r="AB266" s="85"/>
      <c r="AC266" s="81">
        <f t="shared" si="152"/>
        <v>0</v>
      </c>
      <c r="AD266" s="86"/>
      <c r="AE266" s="86"/>
      <c r="AF266" s="86"/>
      <c r="AG266" s="86"/>
      <c r="AH266" s="86"/>
      <c r="AI266" s="86"/>
      <c r="AJ266" s="86"/>
      <c r="AK266" s="86"/>
      <c r="AL266" s="86"/>
      <c r="AM266" s="86"/>
      <c r="AN266" s="86"/>
      <c r="AO266" s="86"/>
      <c r="AP266" s="86"/>
      <c r="AQ266" s="86"/>
      <c r="AR266" s="86"/>
      <c r="AS266" s="86"/>
      <c r="AT266" s="82"/>
      <c r="AU266" s="87"/>
      <c r="AV266" s="818">
        <f t="shared" si="153"/>
        <v>0</v>
      </c>
      <c r="AW266" s="818">
        <f t="shared" si="154"/>
        <v>0</v>
      </c>
      <c r="AX266" s="818">
        <f t="shared" si="155"/>
        <v>0</v>
      </c>
      <c r="AY266" s="88">
        <f t="shared" si="156"/>
        <v>0</v>
      </c>
      <c r="AZ266" s="81">
        <f t="shared" si="157"/>
        <v>0</v>
      </c>
      <c r="BA266" s="81">
        <f t="shared" si="158"/>
        <v>0</v>
      </c>
      <c r="BB266" s="81">
        <f t="shared" si="159"/>
        <v>0</v>
      </c>
      <c r="BC266" s="81">
        <f t="shared" si="160"/>
        <v>0</v>
      </c>
      <c r="BD266" s="81">
        <f t="shared" si="161"/>
        <v>0</v>
      </c>
      <c r="BE266" s="81">
        <f t="shared" si="162"/>
        <v>0</v>
      </c>
      <c r="BF266" s="81">
        <f t="shared" si="163"/>
        <v>0</v>
      </c>
      <c r="BG266" s="81">
        <f t="shared" si="164"/>
        <v>0</v>
      </c>
      <c r="BH266" s="81">
        <f t="shared" si="165"/>
        <v>0</v>
      </c>
      <c r="BI266" s="81">
        <f t="shared" si="166"/>
        <v>0</v>
      </c>
      <c r="BJ266" s="81">
        <f t="shared" si="167"/>
        <v>0</v>
      </c>
      <c r="BK266" s="81">
        <f t="shared" si="168"/>
        <v>0</v>
      </c>
      <c r="BL266" s="81">
        <f t="shared" si="169"/>
        <v>0</v>
      </c>
      <c r="BM266" s="81">
        <f t="shared" si="170"/>
        <v>0</v>
      </c>
      <c r="BN266" s="81">
        <f t="shared" si="171"/>
        <v>0</v>
      </c>
      <c r="BO266" s="81">
        <f t="shared" si="172"/>
        <v>0</v>
      </c>
      <c r="BP266" s="81">
        <f t="shared" si="173"/>
        <v>0</v>
      </c>
      <c r="BQ266" s="81">
        <f t="shared" si="174"/>
        <v>0</v>
      </c>
      <c r="BR266" s="81">
        <f t="shared" si="175"/>
        <v>0</v>
      </c>
      <c r="BS266" s="81">
        <f t="shared" si="176"/>
        <v>0</v>
      </c>
      <c r="BT266" s="89">
        <f t="shared" si="177"/>
        <v>0</v>
      </c>
    </row>
    <row r="267" spans="1:72">
      <c r="A267" s="79"/>
      <c r="B267" s="80"/>
      <c r="C267" s="80"/>
      <c r="D267" s="2301"/>
      <c r="E267" s="81">
        <f t="shared" si="149"/>
        <v>0</v>
      </c>
      <c r="F267" s="82"/>
      <c r="G267" s="83">
        <f t="shared" si="150"/>
        <v>0</v>
      </c>
      <c r="H267" s="84">
        <f t="shared" si="151"/>
        <v>0</v>
      </c>
      <c r="I267" s="85"/>
      <c r="J267" s="85"/>
      <c r="K267" s="85"/>
      <c r="L267" s="85"/>
      <c r="M267" s="85"/>
      <c r="N267" s="85"/>
      <c r="O267" s="85"/>
      <c r="P267" s="85"/>
      <c r="Q267" s="85"/>
      <c r="R267" s="85"/>
      <c r="S267" s="85"/>
      <c r="T267" s="85"/>
      <c r="U267" s="85"/>
      <c r="V267" s="85"/>
      <c r="W267" s="85"/>
      <c r="X267" s="85"/>
      <c r="Y267" s="85"/>
      <c r="Z267" s="85"/>
      <c r="AA267" s="85"/>
      <c r="AB267" s="85"/>
      <c r="AC267" s="81">
        <f t="shared" si="152"/>
        <v>0</v>
      </c>
      <c r="AD267" s="86"/>
      <c r="AE267" s="86"/>
      <c r="AF267" s="86"/>
      <c r="AG267" s="86"/>
      <c r="AH267" s="86"/>
      <c r="AI267" s="86"/>
      <c r="AJ267" s="86"/>
      <c r="AK267" s="86"/>
      <c r="AL267" s="86"/>
      <c r="AM267" s="86"/>
      <c r="AN267" s="86"/>
      <c r="AO267" s="86"/>
      <c r="AP267" s="86"/>
      <c r="AQ267" s="86"/>
      <c r="AR267" s="86"/>
      <c r="AS267" s="86"/>
      <c r="AT267" s="82"/>
      <c r="AU267" s="87"/>
      <c r="AV267" s="818">
        <f t="shared" si="153"/>
        <v>0</v>
      </c>
      <c r="AW267" s="818">
        <f t="shared" si="154"/>
        <v>0</v>
      </c>
      <c r="AX267" s="818">
        <f t="shared" si="155"/>
        <v>0</v>
      </c>
      <c r="AY267" s="88">
        <f t="shared" si="156"/>
        <v>0</v>
      </c>
      <c r="AZ267" s="81">
        <f t="shared" si="157"/>
        <v>0</v>
      </c>
      <c r="BA267" s="81">
        <f t="shared" si="158"/>
        <v>0</v>
      </c>
      <c r="BB267" s="81">
        <f t="shared" si="159"/>
        <v>0</v>
      </c>
      <c r="BC267" s="81">
        <f t="shared" si="160"/>
        <v>0</v>
      </c>
      <c r="BD267" s="81">
        <f t="shared" si="161"/>
        <v>0</v>
      </c>
      <c r="BE267" s="81">
        <f t="shared" si="162"/>
        <v>0</v>
      </c>
      <c r="BF267" s="81">
        <f t="shared" si="163"/>
        <v>0</v>
      </c>
      <c r="BG267" s="81">
        <f t="shared" si="164"/>
        <v>0</v>
      </c>
      <c r="BH267" s="81">
        <f t="shared" si="165"/>
        <v>0</v>
      </c>
      <c r="BI267" s="81">
        <f t="shared" si="166"/>
        <v>0</v>
      </c>
      <c r="BJ267" s="81">
        <f t="shared" si="167"/>
        <v>0</v>
      </c>
      <c r="BK267" s="81">
        <f t="shared" si="168"/>
        <v>0</v>
      </c>
      <c r="BL267" s="81">
        <f t="shared" si="169"/>
        <v>0</v>
      </c>
      <c r="BM267" s="81">
        <f t="shared" si="170"/>
        <v>0</v>
      </c>
      <c r="BN267" s="81">
        <f t="shared" si="171"/>
        <v>0</v>
      </c>
      <c r="BO267" s="81">
        <f t="shared" si="172"/>
        <v>0</v>
      </c>
      <c r="BP267" s="81">
        <f t="shared" si="173"/>
        <v>0</v>
      </c>
      <c r="BQ267" s="81">
        <f t="shared" si="174"/>
        <v>0</v>
      </c>
      <c r="BR267" s="81">
        <f t="shared" si="175"/>
        <v>0</v>
      </c>
      <c r="BS267" s="81">
        <f t="shared" si="176"/>
        <v>0</v>
      </c>
      <c r="BT267" s="89">
        <f t="shared" si="177"/>
        <v>0</v>
      </c>
    </row>
    <row r="268" spans="1:72">
      <c r="A268" s="79"/>
      <c r="B268" s="80"/>
      <c r="C268" s="80"/>
      <c r="D268" s="2301"/>
      <c r="E268" s="81">
        <f t="shared" si="149"/>
        <v>0</v>
      </c>
      <c r="F268" s="82"/>
      <c r="G268" s="83">
        <f t="shared" si="150"/>
        <v>0</v>
      </c>
      <c r="H268" s="84">
        <f t="shared" si="151"/>
        <v>0</v>
      </c>
      <c r="I268" s="85"/>
      <c r="J268" s="85"/>
      <c r="K268" s="85"/>
      <c r="L268" s="85"/>
      <c r="M268" s="85"/>
      <c r="N268" s="85"/>
      <c r="O268" s="85"/>
      <c r="P268" s="85"/>
      <c r="Q268" s="85"/>
      <c r="R268" s="85"/>
      <c r="S268" s="85"/>
      <c r="T268" s="85"/>
      <c r="U268" s="85"/>
      <c r="V268" s="85"/>
      <c r="W268" s="85"/>
      <c r="X268" s="85"/>
      <c r="Y268" s="85"/>
      <c r="Z268" s="85"/>
      <c r="AA268" s="85"/>
      <c r="AB268" s="85"/>
      <c r="AC268" s="81">
        <f t="shared" si="152"/>
        <v>0</v>
      </c>
      <c r="AD268" s="86"/>
      <c r="AE268" s="86"/>
      <c r="AF268" s="86"/>
      <c r="AG268" s="86"/>
      <c r="AH268" s="86"/>
      <c r="AI268" s="86"/>
      <c r="AJ268" s="86"/>
      <c r="AK268" s="86"/>
      <c r="AL268" s="86"/>
      <c r="AM268" s="86"/>
      <c r="AN268" s="86"/>
      <c r="AO268" s="86"/>
      <c r="AP268" s="86"/>
      <c r="AQ268" s="86"/>
      <c r="AR268" s="86"/>
      <c r="AS268" s="86"/>
      <c r="AT268" s="82"/>
      <c r="AU268" s="87"/>
      <c r="AV268" s="818">
        <f t="shared" si="153"/>
        <v>0</v>
      </c>
      <c r="AW268" s="818">
        <f t="shared" si="154"/>
        <v>0</v>
      </c>
      <c r="AX268" s="818">
        <f t="shared" si="155"/>
        <v>0</v>
      </c>
      <c r="AY268" s="88">
        <f t="shared" si="156"/>
        <v>0</v>
      </c>
      <c r="AZ268" s="81">
        <f t="shared" si="157"/>
        <v>0</v>
      </c>
      <c r="BA268" s="81">
        <f t="shared" si="158"/>
        <v>0</v>
      </c>
      <c r="BB268" s="81">
        <f t="shared" si="159"/>
        <v>0</v>
      </c>
      <c r="BC268" s="81">
        <f t="shared" si="160"/>
        <v>0</v>
      </c>
      <c r="BD268" s="81">
        <f t="shared" si="161"/>
        <v>0</v>
      </c>
      <c r="BE268" s="81">
        <f t="shared" si="162"/>
        <v>0</v>
      </c>
      <c r="BF268" s="81">
        <f t="shared" si="163"/>
        <v>0</v>
      </c>
      <c r="BG268" s="81">
        <f t="shared" si="164"/>
        <v>0</v>
      </c>
      <c r="BH268" s="81">
        <f t="shared" si="165"/>
        <v>0</v>
      </c>
      <c r="BI268" s="81">
        <f t="shared" si="166"/>
        <v>0</v>
      </c>
      <c r="BJ268" s="81">
        <f t="shared" si="167"/>
        <v>0</v>
      </c>
      <c r="BK268" s="81">
        <f t="shared" si="168"/>
        <v>0</v>
      </c>
      <c r="BL268" s="81">
        <f t="shared" si="169"/>
        <v>0</v>
      </c>
      <c r="BM268" s="81">
        <f t="shared" si="170"/>
        <v>0</v>
      </c>
      <c r="BN268" s="81">
        <f t="shared" si="171"/>
        <v>0</v>
      </c>
      <c r="BO268" s="81">
        <f t="shared" si="172"/>
        <v>0</v>
      </c>
      <c r="BP268" s="81">
        <f t="shared" si="173"/>
        <v>0</v>
      </c>
      <c r="BQ268" s="81">
        <f t="shared" si="174"/>
        <v>0</v>
      </c>
      <c r="BR268" s="81">
        <f t="shared" si="175"/>
        <v>0</v>
      </c>
      <c r="BS268" s="81">
        <f t="shared" si="176"/>
        <v>0</v>
      </c>
      <c r="BT268" s="89">
        <f t="shared" si="177"/>
        <v>0</v>
      </c>
    </row>
    <row r="269" spans="1:72">
      <c r="A269" s="79"/>
      <c r="B269" s="80"/>
      <c r="C269" s="80"/>
      <c r="D269" s="2301"/>
      <c r="E269" s="81">
        <f t="shared" si="149"/>
        <v>0</v>
      </c>
      <c r="F269" s="82"/>
      <c r="G269" s="83">
        <f t="shared" si="150"/>
        <v>0</v>
      </c>
      <c r="H269" s="84">
        <f t="shared" si="151"/>
        <v>0</v>
      </c>
      <c r="I269" s="85"/>
      <c r="J269" s="85"/>
      <c r="K269" s="85"/>
      <c r="L269" s="85"/>
      <c r="M269" s="85"/>
      <c r="N269" s="85"/>
      <c r="O269" s="85"/>
      <c r="P269" s="85"/>
      <c r="Q269" s="85"/>
      <c r="R269" s="85"/>
      <c r="S269" s="85"/>
      <c r="T269" s="85"/>
      <c r="U269" s="85"/>
      <c r="V269" s="85"/>
      <c r="W269" s="85"/>
      <c r="X269" s="85"/>
      <c r="Y269" s="85"/>
      <c r="Z269" s="85"/>
      <c r="AA269" s="85"/>
      <c r="AB269" s="85"/>
      <c r="AC269" s="81">
        <f t="shared" si="152"/>
        <v>0</v>
      </c>
      <c r="AD269" s="86"/>
      <c r="AE269" s="86"/>
      <c r="AF269" s="86"/>
      <c r="AG269" s="86"/>
      <c r="AH269" s="86"/>
      <c r="AI269" s="86"/>
      <c r="AJ269" s="86"/>
      <c r="AK269" s="86"/>
      <c r="AL269" s="86"/>
      <c r="AM269" s="86"/>
      <c r="AN269" s="86"/>
      <c r="AO269" s="86"/>
      <c r="AP269" s="86"/>
      <c r="AQ269" s="86"/>
      <c r="AR269" s="86"/>
      <c r="AS269" s="86"/>
      <c r="AT269" s="82"/>
      <c r="AU269" s="87"/>
      <c r="AV269" s="818">
        <f t="shared" si="153"/>
        <v>0</v>
      </c>
      <c r="AW269" s="818">
        <f t="shared" si="154"/>
        <v>0</v>
      </c>
      <c r="AX269" s="818">
        <f t="shared" si="155"/>
        <v>0</v>
      </c>
      <c r="AY269" s="88">
        <f t="shared" si="156"/>
        <v>0</v>
      </c>
      <c r="AZ269" s="81">
        <f t="shared" si="157"/>
        <v>0</v>
      </c>
      <c r="BA269" s="81">
        <f t="shared" si="158"/>
        <v>0</v>
      </c>
      <c r="BB269" s="81">
        <f t="shared" si="159"/>
        <v>0</v>
      </c>
      <c r="BC269" s="81">
        <f t="shared" si="160"/>
        <v>0</v>
      </c>
      <c r="BD269" s="81">
        <f t="shared" si="161"/>
        <v>0</v>
      </c>
      <c r="BE269" s="81">
        <f t="shared" si="162"/>
        <v>0</v>
      </c>
      <c r="BF269" s="81">
        <f t="shared" si="163"/>
        <v>0</v>
      </c>
      <c r="BG269" s="81">
        <f t="shared" si="164"/>
        <v>0</v>
      </c>
      <c r="BH269" s="81">
        <f t="shared" si="165"/>
        <v>0</v>
      </c>
      <c r="BI269" s="81">
        <f t="shared" si="166"/>
        <v>0</v>
      </c>
      <c r="BJ269" s="81">
        <f t="shared" si="167"/>
        <v>0</v>
      </c>
      <c r="BK269" s="81">
        <f t="shared" si="168"/>
        <v>0</v>
      </c>
      <c r="BL269" s="81">
        <f t="shared" si="169"/>
        <v>0</v>
      </c>
      <c r="BM269" s="81">
        <f t="shared" si="170"/>
        <v>0</v>
      </c>
      <c r="BN269" s="81">
        <f t="shared" si="171"/>
        <v>0</v>
      </c>
      <c r="BO269" s="81">
        <f t="shared" si="172"/>
        <v>0</v>
      </c>
      <c r="BP269" s="81">
        <f t="shared" si="173"/>
        <v>0</v>
      </c>
      <c r="BQ269" s="81">
        <f t="shared" si="174"/>
        <v>0</v>
      </c>
      <c r="BR269" s="81">
        <f t="shared" si="175"/>
        <v>0</v>
      </c>
      <c r="BS269" s="81">
        <f t="shared" si="176"/>
        <v>0</v>
      </c>
      <c r="BT269" s="89">
        <f t="shared" si="177"/>
        <v>0</v>
      </c>
    </row>
    <row r="270" spans="1:72">
      <c r="A270" s="79"/>
      <c r="B270" s="80"/>
      <c r="C270" s="80"/>
      <c r="D270" s="2301"/>
      <c r="E270" s="81">
        <f t="shared" si="149"/>
        <v>0</v>
      </c>
      <c r="F270" s="82"/>
      <c r="G270" s="83">
        <f t="shared" si="150"/>
        <v>0</v>
      </c>
      <c r="H270" s="84">
        <f t="shared" si="151"/>
        <v>0</v>
      </c>
      <c r="I270" s="85"/>
      <c r="J270" s="85"/>
      <c r="K270" s="85"/>
      <c r="L270" s="85"/>
      <c r="M270" s="85"/>
      <c r="N270" s="85"/>
      <c r="O270" s="85"/>
      <c r="P270" s="85"/>
      <c r="Q270" s="85"/>
      <c r="R270" s="85"/>
      <c r="S270" s="85"/>
      <c r="T270" s="85"/>
      <c r="U270" s="85"/>
      <c r="V270" s="85"/>
      <c r="W270" s="85"/>
      <c r="X270" s="85"/>
      <c r="Y270" s="85"/>
      <c r="Z270" s="85"/>
      <c r="AA270" s="85"/>
      <c r="AB270" s="85"/>
      <c r="AC270" s="81">
        <f t="shared" si="152"/>
        <v>0</v>
      </c>
      <c r="AD270" s="86"/>
      <c r="AE270" s="86"/>
      <c r="AF270" s="86"/>
      <c r="AG270" s="86"/>
      <c r="AH270" s="86"/>
      <c r="AI270" s="86"/>
      <c r="AJ270" s="86"/>
      <c r="AK270" s="86"/>
      <c r="AL270" s="86"/>
      <c r="AM270" s="86"/>
      <c r="AN270" s="86"/>
      <c r="AO270" s="86"/>
      <c r="AP270" s="86"/>
      <c r="AQ270" s="86"/>
      <c r="AR270" s="86"/>
      <c r="AS270" s="86"/>
      <c r="AT270" s="82"/>
      <c r="AU270" s="87"/>
      <c r="AV270" s="818">
        <f t="shared" si="153"/>
        <v>0</v>
      </c>
      <c r="AW270" s="818">
        <f t="shared" si="154"/>
        <v>0</v>
      </c>
      <c r="AX270" s="818">
        <f t="shared" si="155"/>
        <v>0</v>
      </c>
      <c r="AY270" s="88">
        <f t="shared" si="156"/>
        <v>0</v>
      </c>
      <c r="AZ270" s="81">
        <f t="shared" si="157"/>
        <v>0</v>
      </c>
      <c r="BA270" s="81">
        <f t="shared" si="158"/>
        <v>0</v>
      </c>
      <c r="BB270" s="81">
        <f t="shared" si="159"/>
        <v>0</v>
      </c>
      <c r="BC270" s="81">
        <f t="shared" si="160"/>
        <v>0</v>
      </c>
      <c r="BD270" s="81">
        <f t="shared" si="161"/>
        <v>0</v>
      </c>
      <c r="BE270" s="81">
        <f t="shared" si="162"/>
        <v>0</v>
      </c>
      <c r="BF270" s="81">
        <f t="shared" si="163"/>
        <v>0</v>
      </c>
      <c r="BG270" s="81">
        <f t="shared" si="164"/>
        <v>0</v>
      </c>
      <c r="BH270" s="81">
        <f t="shared" si="165"/>
        <v>0</v>
      </c>
      <c r="BI270" s="81">
        <f t="shared" si="166"/>
        <v>0</v>
      </c>
      <c r="BJ270" s="81">
        <f t="shared" si="167"/>
        <v>0</v>
      </c>
      <c r="BK270" s="81">
        <f t="shared" si="168"/>
        <v>0</v>
      </c>
      <c r="BL270" s="81">
        <f t="shared" si="169"/>
        <v>0</v>
      </c>
      <c r="BM270" s="81">
        <f t="shared" si="170"/>
        <v>0</v>
      </c>
      <c r="BN270" s="81">
        <f t="shared" si="171"/>
        <v>0</v>
      </c>
      <c r="BO270" s="81">
        <f t="shared" si="172"/>
        <v>0</v>
      </c>
      <c r="BP270" s="81">
        <f t="shared" si="173"/>
        <v>0</v>
      </c>
      <c r="BQ270" s="81">
        <f t="shared" si="174"/>
        <v>0</v>
      </c>
      <c r="BR270" s="81">
        <f t="shared" si="175"/>
        <v>0</v>
      </c>
      <c r="BS270" s="81">
        <f t="shared" si="176"/>
        <v>0</v>
      </c>
      <c r="BT270" s="89">
        <f t="shared" si="177"/>
        <v>0</v>
      </c>
    </row>
    <row r="271" spans="1:72">
      <c r="A271" s="79"/>
      <c r="B271" s="80"/>
      <c r="C271" s="80"/>
      <c r="D271" s="2301"/>
      <c r="E271" s="81">
        <f t="shared" si="149"/>
        <v>0</v>
      </c>
      <c r="F271" s="82"/>
      <c r="G271" s="83">
        <f t="shared" si="150"/>
        <v>0</v>
      </c>
      <c r="H271" s="84">
        <f t="shared" si="151"/>
        <v>0</v>
      </c>
      <c r="I271" s="85"/>
      <c r="J271" s="85"/>
      <c r="K271" s="85"/>
      <c r="L271" s="85"/>
      <c r="M271" s="85"/>
      <c r="N271" s="85"/>
      <c r="O271" s="85"/>
      <c r="P271" s="85"/>
      <c r="Q271" s="85"/>
      <c r="R271" s="85"/>
      <c r="S271" s="85"/>
      <c r="T271" s="85"/>
      <c r="U271" s="85"/>
      <c r="V271" s="85"/>
      <c r="W271" s="85"/>
      <c r="X271" s="85"/>
      <c r="Y271" s="85"/>
      <c r="Z271" s="85"/>
      <c r="AA271" s="85"/>
      <c r="AB271" s="85"/>
      <c r="AC271" s="81">
        <f t="shared" si="152"/>
        <v>0</v>
      </c>
      <c r="AD271" s="86"/>
      <c r="AE271" s="86"/>
      <c r="AF271" s="86"/>
      <c r="AG271" s="86"/>
      <c r="AH271" s="86"/>
      <c r="AI271" s="86"/>
      <c r="AJ271" s="86"/>
      <c r="AK271" s="86"/>
      <c r="AL271" s="86"/>
      <c r="AM271" s="86"/>
      <c r="AN271" s="86"/>
      <c r="AO271" s="86"/>
      <c r="AP271" s="86"/>
      <c r="AQ271" s="86"/>
      <c r="AR271" s="86"/>
      <c r="AS271" s="86"/>
      <c r="AT271" s="82"/>
      <c r="AU271" s="87"/>
      <c r="AV271" s="818">
        <f t="shared" si="153"/>
        <v>0</v>
      </c>
      <c r="AW271" s="818">
        <f t="shared" si="154"/>
        <v>0</v>
      </c>
      <c r="AX271" s="818">
        <f t="shared" si="155"/>
        <v>0</v>
      </c>
      <c r="AY271" s="88">
        <f t="shared" si="156"/>
        <v>0</v>
      </c>
      <c r="AZ271" s="81">
        <f t="shared" si="157"/>
        <v>0</v>
      </c>
      <c r="BA271" s="81">
        <f t="shared" si="158"/>
        <v>0</v>
      </c>
      <c r="BB271" s="81">
        <f t="shared" si="159"/>
        <v>0</v>
      </c>
      <c r="BC271" s="81">
        <f t="shared" si="160"/>
        <v>0</v>
      </c>
      <c r="BD271" s="81">
        <f t="shared" si="161"/>
        <v>0</v>
      </c>
      <c r="BE271" s="81">
        <f t="shared" si="162"/>
        <v>0</v>
      </c>
      <c r="BF271" s="81">
        <f t="shared" si="163"/>
        <v>0</v>
      </c>
      <c r="BG271" s="81">
        <f t="shared" si="164"/>
        <v>0</v>
      </c>
      <c r="BH271" s="81">
        <f t="shared" si="165"/>
        <v>0</v>
      </c>
      <c r="BI271" s="81">
        <f t="shared" si="166"/>
        <v>0</v>
      </c>
      <c r="BJ271" s="81">
        <f t="shared" si="167"/>
        <v>0</v>
      </c>
      <c r="BK271" s="81">
        <f t="shared" si="168"/>
        <v>0</v>
      </c>
      <c r="BL271" s="81">
        <f t="shared" si="169"/>
        <v>0</v>
      </c>
      <c r="BM271" s="81">
        <f t="shared" si="170"/>
        <v>0</v>
      </c>
      <c r="BN271" s="81">
        <f t="shared" si="171"/>
        <v>0</v>
      </c>
      <c r="BO271" s="81">
        <f t="shared" si="172"/>
        <v>0</v>
      </c>
      <c r="BP271" s="81">
        <f t="shared" si="173"/>
        <v>0</v>
      </c>
      <c r="BQ271" s="81">
        <f t="shared" si="174"/>
        <v>0</v>
      </c>
      <c r="BR271" s="81">
        <f t="shared" si="175"/>
        <v>0</v>
      </c>
      <c r="BS271" s="81">
        <f t="shared" si="176"/>
        <v>0</v>
      </c>
      <c r="BT271" s="89">
        <f t="shared" si="177"/>
        <v>0</v>
      </c>
    </row>
    <row r="272" spans="1:72">
      <c r="A272" s="79"/>
      <c r="B272" s="80"/>
      <c r="C272" s="80"/>
      <c r="D272" s="2301"/>
      <c r="E272" s="81">
        <f t="shared" si="149"/>
        <v>0</v>
      </c>
      <c r="F272" s="82"/>
      <c r="G272" s="83">
        <f t="shared" si="150"/>
        <v>0</v>
      </c>
      <c r="H272" s="84">
        <f t="shared" si="151"/>
        <v>0</v>
      </c>
      <c r="I272" s="85"/>
      <c r="J272" s="85"/>
      <c r="K272" s="85"/>
      <c r="L272" s="85"/>
      <c r="M272" s="85"/>
      <c r="N272" s="85"/>
      <c r="O272" s="85"/>
      <c r="P272" s="85"/>
      <c r="Q272" s="85"/>
      <c r="R272" s="85"/>
      <c r="S272" s="85"/>
      <c r="T272" s="85"/>
      <c r="U272" s="85"/>
      <c r="V272" s="85"/>
      <c r="W272" s="85"/>
      <c r="X272" s="85"/>
      <c r="Y272" s="85"/>
      <c r="Z272" s="85"/>
      <c r="AA272" s="85"/>
      <c r="AB272" s="85"/>
      <c r="AC272" s="81">
        <f t="shared" si="152"/>
        <v>0</v>
      </c>
      <c r="AD272" s="86"/>
      <c r="AE272" s="86"/>
      <c r="AF272" s="86"/>
      <c r="AG272" s="86"/>
      <c r="AH272" s="86"/>
      <c r="AI272" s="86"/>
      <c r="AJ272" s="86"/>
      <c r="AK272" s="86"/>
      <c r="AL272" s="86"/>
      <c r="AM272" s="86"/>
      <c r="AN272" s="86"/>
      <c r="AO272" s="86"/>
      <c r="AP272" s="86"/>
      <c r="AQ272" s="86"/>
      <c r="AR272" s="86"/>
      <c r="AS272" s="86"/>
      <c r="AT272" s="82"/>
      <c r="AU272" s="87"/>
      <c r="AV272" s="818">
        <f t="shared" si="153"/>
        <v>0</v>
      </c>
      <c r="AW272" s="818">
        <f t="shared" si="154"/>
        <v>0</v>
      </c>
      <c r="AX272" s="818">
        <f t="shared" si="155"/>
        <v>0</v>
      </c>
      <c r="AY272" s="88">
        <f t="shared" si="156"/>
        <v>0</v>
      </c>
      <c r="AZ272" s="81">
        <f t="shared" si="157"/>
        <v>0</v>
      </c>
      <c r="BA272" s="81">
        <f t="shared" si="158"/>
        <v>0</v>
      </c>
      <c r="BB272" s="81">
        <f t="shared" si="159"/>
        <v>0</v>
      </c>
      <c r="BC272" s="81">
        <f t="shared" si="160"/>
        <v>0</v>
      </c>
      <c r="BD272" s="81">
        <f t="shared" si="161"/>
        <v>0</v>
      </c>
      <c r="BE272" s="81">
        <f t="shared" si="162"/>
        <v>0</v>
      </c>
      <c r="BF272" s="81">
        <f t="shared" si="163"/>
        <v>0</v>
      </c>
      <c r="BG272" s="81">
        <f t="shared" si="164"/>
        <v>0</v>
      </c>
      <c r="BH272" s="81">
        <f t="shared" si="165"/>
        <v>0</v>
      </c>
      <c r="BI272" s="81">
        <f t="shared" si="166"/>
        <v>0</v>
      </c>
      <c r="BJ272" s="81">
        <f t="shared" si="167"/>
        <v>0</v>
      </c>
      <c r="BK272" s="81">
        <f t="shared" si="168"/>
        <v>0</v>
      </c>
      <c r="BL272" s="81">
        <f t="shared" si="169"/>
        <v>0</v>
      </c>
      <c r="BM272" s="81">
        <f t="shared" si="170"/>
        <v>0</v>
      </c>
      <c r="BN272" s="81">
        <f t="shared" si="171"/>
        <v>0</v>
      </c>
      <c r="BO272" s="81">
        <f t="shared" si="172"/>
        <v>0</v>
      </c>
      <c r="BP272" s="81">
        <f t="shared" si="173"/>
        <v>0</v>
      </c>
      <c r="BQ272" s="81">
        <f t="shared" si="174"/>
        <v>0</v>
      </c>
      <c r="BR272" s="81">
        <f t="shared" si="175"/>
        <v>0</v>
      </c>
      <c r="BS272" s="81">
        <f t="shared" si="176"/>
        <v>0</v>
      </c>
      <c r="BT272" s="89">
        <f t="shared" si="177"/>
        <v>0</v>
      </c>
    </row>
    <row r="273" spans="1:72">
      <c r="A273" s="79"/>
      <c r="B273" s="80"/>
      <c r="C273" s="80"/>
      <c r="D273" s="2301"/>
      <c r="E273" s="81">
        <f t="shared" si="149"/>
        <v>0</v>
      </c>
      <c r="F273" s="82"/>
      <c r="G273" s="83">
        <f t="shared" si="150"/>
        <v>0</v>
      </c>
      <c r="H273" s="84">
        <f t="shared" si="151"/>
        <v>0</v>
      </c>
      <c r="I273" s="85"/>
      <c r="J273" s="85"/>
      <c r="K273" s="85"/>
      <c r="L273" s="85"/>
      <c r="M273" s="85"/>
      <c r="N273" s="85"/>
      <c r="O273" s="85"/>
      <c r="P273" s="85"/>
      <c r="Q273" s="85"/>
      <c r="R273" s="85"/>
      <c r="S273" s="85"/>
      <c r="T273" s="85"/>
      <c r="U273" s="85"/>
      <c r="V273" s="85"/>
      <c r="W273" s="85"/>
      <c r="X273" s="85"/>
      <c r="Y273" s="85"/>
      <c r="Z273" s="85"/>
      <c r="AA273" s="85"/>
      <c r="AB273" s="85"/>
      <c r="AC273" s="81">
        <f t="shared" si="152"/>
        <v>0</v>
      </c>
      <c r="AD273" s="86"/>
      <c r="AE273" s="86"/>
      <c r="AF273" s="86"/>
      <c r="AG273" s="86"/>
      <c r="AH273" s="86"/>
      <c r="AI273" s="86"/>
      <c r="AJ273" s="86"/>
      <c r="AK273" s="86"/>
      <c r="AL273" s="86"/>
      <c r="AM273" s="86"/>
      <c r="AN273" s="86"/>
      <c r="AO273" s="86"/>
      <c r="AP273" s="86"/>
      <c r="AQ273" s="86"/>
      <c r="AR273" s="86"/>
      <c r="AS273" s="86"/>
      <c r="AT273" s="82"/>
      <c r="AU273" s="87"/>
      <c r="AV273" s="818">
        <f t="shared" si="153"/>
        <v>0</v>
      </c>
      <c r="AW273" s="818">
        <f t="shared" si="154"/>
        <v>0</v>
      </c>
      <c r="AX273" s="818">
        <f t="shared" si="155"/>
        <v>0</v>
      </c>
      <c r="AY273" s="88">
        <f t="shared" si="156"/>
        <v>0</v>
      </c>
      <c r="AZ273" s="81">
        <f t="shared" si="157"/>
        <v>0</v>
      </c>
      <c r="BA273" s="81">
        <f t="shared" si="158"/>
        <v>0</v>
      </c>
      <c r="BB273" s="81">
        <f t="shared" si="159"/>
        <v>0</v>
      </c>
      <c r="BC273" s="81">
        <f t="shared" si="160"/>
        <v>0</v>
      </c>
      <c r="BD273" s="81">
        <f t="shared" si="161"/>
        <v>0</v>
      </c>
      <c r="BE273" s="81">
        <f t="shared" si="162"/>
        <v>0</v>
      </c>
      <c r="BF273" s="81">
        <f t="shared" si="163"/>
        <v>0</v>
      </c>
      <c r="BG273" s="81">
        <f t="shared" si="164"/>
        <v>0</v>
      </c>
      <c r="BH273" s="81">
        <f t="shared" si="165"/>
        <v>0</v>
      </c>
      <c r="BI273" s="81">
        <f t="shared" si="166"/>
        <v>0</v>
      </c>
      <c r="BJ273" s="81">
        <f t="shared" si="167"/>
        <v>0</v>
      </c>
      <c r="BK273" s="81">
        <f t="shared" si="168"/>
        <v>0</v>
      </c>
      <c r="BL273" s="81">
        <f t="shared" si="169"/>
        <v>0</v>
      </c>
      <c r="BM273" s="81">
        <f t="shared" si="170"/>
        <v>0</v>
      </c>
      <c r="BN273" s="81">
        <f t="shared" si="171"/>
        <v>0</v>
      </c>
      <c r="BO273" s="81">
        <f t="shared" si="172"/>
        <v>0</v>
      </c>
      <c r="BP273" s="81">
        <f t="shared" si="173"/>
        <v>0</v>
      </c>
      <c r="BQ273" s="81">
        <f t="shared" si="174"/>
        <v>0</v>
      </c>
      <c r="BR273" s="81">
        <f t="shared" si="175"/>
        <v>0</v>
      </c>
      <c r="BS273" s="81">
        <f t="shared" si="176"/>
        <v>0</v>
      </c>
      <c r="BT273" s="89">
        <f t="shared" si="177"/>
        <v>0</v>
      </c>
    </row>
    <row r="274" spans="1:72">
      <c r="A274" s="79"/>
      <c r="B274" s="80"/>
      <c r="C274" s="80"/>
      <c r="D274" s="2301"/>
      <c r="E274" s="81">
        <f t="shared" si="149"/>
        <v>0</v>
      </c>
      <c r="F274" s="82"/>
      <c r="G274" s="83">
        <f t="shared" si="150"/>
        <v>0</v>
      </c>
      <c r="H274" s="84">
        <f t="shared" si="151"/>
        <v>0</v>
      </c>
      <c r="I274" s="85"/>
      <c r="J274" s="85"/>
      <c r="K274" s="85"/>
      <c r="L274" s="85"/>
      <c r="M274" s="85"/>
      <c r="N274" s="85"/>
      <c r="O274" s="85"/>
      <c r="P274" s="85"/>
      <c r="Q274" s="85"/>
      <c r="R274" s="85"/>
      <c r="S274" s="85"/>
      <c r="T274" s="85"/>
      <c r="U274" s="85"/>
      <c r="V274" s="85"/>
      <c r="W274" s="85"/>
      <c r="X274" s="85"/>
      <c r="Y274" s="85"/>
      <c r="Z274" s="85"/>
      <c r="AA274" s="85"/>
      <c r="AB274" s="85"/>
      <c r="AC274" s="81">
        <f t="shared" si="152"/>
        <v>0</v>
      </c>
      <c r="AD274" s="86"/>
      <c r="AE274" s="86"/>
      <c r="AF274" s="86"/>
      <c r="AG274" s="86"/>
      <c r="AH274" s="86"/>
      <c r="AI274" s="86"/>
      <c r="AJ274" s="86"/>
      <c r="AK274" s="86"/>
      <c r="AL274" s="86"/>
      <c r="AM274" s="86"/>
      <c r="AN274" s="86"/>
      <c r="AO274" s="86"/>
      <c r="AP274" s="86"/>
      <c r="AQ274" s="86"/>
      <c r="AR274" s="86"/>
      <c r="AS274" s="86"/>
      <c r="AT274" s="82"/>
      <c r="AU274" s="87"/>
      <c r="AV274" s="818">
        <f t="shared" si="153"/>
        <v>0</v>
      </c>
      <c r="AW274" s="818">
        <f t="shared" si="154"/>
        <v>0</v>
      </c>
      <c r="AX274" s="818">
        <f t="shared" si="155"/>
        <v>0</v>
      </c>
      <c r="AY274" s="88">
        <f t="shared" si="156"/>
        <v>0</v>
      </c>
      <c r="AZ274" s="81">
        <f t="shared" si="157"/>
        <v>0</v>
      </c>
      <c r="BA274" s="81">
        <f t="shared" si="158"/>
        <v>0</v>
      </c>
      <c r="BB274" s="81">
        <f t="shared" si="159"/>
        <v>0</v>
      </c>
      <c r="BC274" s="81">
        <f t="shared" si="160"/>
        <v>0</v>
      </c>
      <c r="BD274" s="81">
        <f t="shared" si="161"/>
        <v>0</v>
      </c>
      <c r="BE274" s="81">
        <f t="shared" si="162"/>
        <v>0</v>
      </c>
      <c r="BF274" s="81">
        <f t="shared" si="163"/>
        <v>0</v>
      </c>
      <c r="BG274" s="81">
        <f t="shared" si="164"/>
        <v>0</v>
      </c>
      <c r="BH274" s="81">
        <f t="shared" si="165"/>
        <v>0</v>
      </c>
      <c r="BI274" s="81">
        <f t="shared" si="166"/>
        <v>0</v>
      </c>
      <c r="BJ274" s="81">
        <f t="shared" si="167"/>
        <v>0</v>
      </c>
      <c r="BK274" s="81">
        <f t="shared" si="168"/>
        <v>0</v>
      </c>
      <c r="BL274" s="81">
        <f t="shared" si="169"/>
        <v>0</v>
      </c>
      <c r="BM274" s="81">
        <f t="shared" si="170"/>
        <v>0</v>
      </c>
      <c r="BN274" s="81">
        <f t="shared" si="171"/>
        <v>0</v>
      </c>
      <c r="BO274" s="81">
        <f t="shared" si="172"/>
        <v>0</v>
      </c>
      <c r="BP274" s="81">
        <f t="shared" si="173"/>
        <v>0</v>
      </c>
      <c r="BQ274" s="81">
        <f t="shared" si="174"/>
        <v>0</v>
      </c>
      <c r="BR274" s="81">
        <f t="shared" si="175"/>
        <v>0</v>
      </c>
      <c r="BS274" s="81">
        <f t="shared" si="176"/>
        <v>0</v>
      </c>
      <c r="BT274" s="89">
        <f t="shared" si="177"/>
        <v>0</v>
      </c>
    </row>
    <row r="275" spans="1:72">
      <c r="A275" s="79"/>
      <c r="B275" s="80"/>
      <c r="C275" s="80"/>
      <c r="D275" s="2301"/>
      <c r="E275" s="81">
        <f t="shared" si="149"/>
        <v>0</v>
      </c>
      <c r="F275" s="82"/>
      <c r="G275" s="83">
        <f t="shared" si="150"/>
        <v>0</v>
      </c>
      <c r="H275" s="84">
        <f t="shared" si="151"/>
        <v>0</v>
      </c>
      <c r="I275" s="85"/>
      <c r="J275" s="85"/>
      <c r="K275" s="85"/>
      <c r="L275" s="85"/>
      <c r="M275" s="85"/>
      <c r="N275" s="85"/>
      <c r="O275" s="85"/>
      <c r="P275" s="85"/>
      <c r="Q275" s="85"/>
      <c r="R275" s="85"/>
      <c r="S275" s="85"/>
      <c r="T275" s="85"/>
      <c r="U275" s="85"/>
      <c r="V275" s="85"/>
      <c r="W275" s="85"/>
      <c r="X275" s="85"/>
      <c r="Y275" s="85"/>
      <c r="Z275" s="85"/>
      <c r="AA275" s="85"/>
      <c r="AB275" s="85"/>
      <c r="AC275" s="81">
        <f t="shared" si="152"/>
        <v>0</v>
      </c>
      <c r="AD275" s="86"/>
      <c r="AE275" s="86"/>
      <c r="AF275" s="86"/>
      <c r="AG275" s="86"/>
      <c r="AH275" s="86"/>
      <c r="AI275" s="86"/>
      <c r="AJ275" s="86"/>
      <c r="AK275" s="86"/>
      <c r="AL275" s="86"/>
      <c r="AM275" s="86"/>
      <c r="AN275" s="86"/>
      <c r="AO275" s="86"/>
      <c r="AP275" s="86"/>
      <c r="AQ275" s="86"/>
      <c r="AR275" s="86"/>
      <c r="AS275" s="86"/>
      <c r="AT275" s="82"/>
      <c r="AU275" s="87"/>
      <c r="AV275" s="818">
        <f t="shared" si="153"/>
        <v>0</v>
      </c>
      <c r="AW275" s="818">
        <f t="shared" si="154"/>
        <v>0</v>
      </c>
      <c r="AX275" s="818">
        <f t="shared" si="155"/>
        <v>0</v>
      </c>
      <c r="AY275" s="88">
        <f t="shared" si="156"/>
        <v>0</v>
      </c>
      <c r="AZ275" s="81">
        <f t="shared" si="157"/>
        <v>0</v>
      </c>
      <c r="BA275" s="81">
        <f t="shared" si="158"/>
        <v>0</v>
      </c>
      <c r="BB275" s="81">
        <f t="shared" si="159"/>
        <v>0</v>
      </c>
      <c r="BC275" s="81">
        <f t="shared" si="160"/>
        <v>0</v>
      </c>
      <c r="BD275" s="81">
        <f t="shared" si="161"/>
        <v>0</v>
      </c>
      <c r="BE275" s="81">
        <f t="shared" si="162"/>
        <v>0</v>
      </c>
      <c r="BF275" s="81">
        <f t="shared" si="163"/>
        <v>0</v>
      </c>
      <c r="BG275" s="81">
        <f t="shared" si="164"/>
        <v>0</v>
      </c>
      <c r="BH275" s="81">
        <f t="shared" si="165"/>
        <v>0</v>
      </c>
      <c r="BI275" s="81">
        <f t="shared" si="166"/>
        <v>0</v>
      </c>
      <c r="BJ275" s="81">
        <f t="shared" si="167"/>
        <v>0</v>
      </c>
      <c r="BK275" s="81">
        <f t="shared" si="168"/>
        <v>0</v>
      </c>
      <c r="BL275" s="81">
        <f t="shared" si="169"/>
        <v>0</v>
      </c>
      <c r="BM275" s="81">
        <f t="shared" si="170"/>
        <v>0</v>
      </c>
      <c r="BN275" s="81">
        <f t="shared" si="171"/>
        <v>0</v>
      </c>
      <c r="BO275" s="81">
        <f t="shared" si="172"/>
        <v>0</v>
      </c>
      <c r="BP275" s="81">
        <f t="shared" si="173"/>
        <v>0</v>
      </c>
      <c r="BQ275" s="81">
        <f t="shared" si="174"/>
        <v>0</v>
      </c>
      <c r="BR275" s="81">
        <f t="shared" si="175"/>
        <v>0</v>
      </c>
      <c r="BS275" s="81">
        <f t="shared" si="176"/>
        <v>0</v>
      </c>
      <c r="BT275" s="89">
        <f t="shared" si="177"/>
        <v>0</v>
      </c>
    </row>
    <row r="276" spans="1:72">
      <c r="A276" s="79"/>
      <c r="B276" s="80"/>
      <c r="C276" s="80"/>
      <c r="D276" s="2301"/>
      <c r="E276" s="81">
        <f t="shared" si="149"/>
        <v>0</v>
      </c>
      <c r="F276" s="82"/>
      <c r="G276" s="83">
        <f t="shared" si="150"/>
        <v>0</v>
      </c>
      <c r="H276" s="84">
        <f t="shared" si="151"/>
        <v>0</v>
      </c>
      <c r="I276" s="85"/>
      <c r="J276" s="85"/>
      <c r="K276" s="85"/>
      <c r="L276" s="85"/>
      <c r="M276" s="85"/>
      <c r="N276" s="85"/>
      <c r="O276" s="85"/>
      <c r="P276" s="85"/>
      <c r="Q276" s="85"/>
      <c r="R276" s="85"/>
      <c r="S276" s="85"/>
      <c r="T276" s="85"/>
      <c r="U276" s="85"/>
      <c r="V276" s="85"/>
      <c r="W276" s="85"/>
      <c r="X276" s="85"/>
      <c r="Y276" s="85"/>
      <c r="Z276" s="85"/>
      <c r="AA276" s="85"/>
      <c r="AB276" s="85"/>
      <c r="AC276" s="81">
        <f t="shared" si="152"/>
        <v>0</v>
      </c>
      <c r="AD276" s="86"/>
      <c r="AE276" s="86"/>
      <c r="AF276" s="86"/>
      <c r="AG276" s="86"/>
      <c r="AH276" s="86"/>
      <c r="AI276" s="86"/>
      <c r="AJ276" s="86"/>
      <c r="AK276" s="86"/>
      <c r="AL276" s="86"/>
      <c r="AM276" s="86"/>
      <c r="AN276" s="86"/>
      <c r="AO276" s="86"/>
      <c r="AP276" s="86"/>
      <c r="AQ276" s="86"/>
      <c r="AR276" s="86"/>
      <c r="AS276" s="86"/>
      <c r="AT276" s="82"/>
      <c r="AU276" s="87"/>
      <c r="AV276" s="818">
        <f t="shared" si="153"/>
        <v>0</v>
      </c>
      <c r="AW276" s="818">
        <f t="shared" si="154"/>
        <v>0</v>
      </c>
      <c r="AX276" s="818">
        <f t="shared" si="155"/>
        <v>0</v>
      </c>
      <c r="AY276" s="88">
        <f t="shared" si="156"/>
        <v>0</v>
      </c>
      <c r="AZ276" s="81">
        <f t="shared" si="157"/>
        <v>0</v>
      </c>
      <c r="BA276" s="81">
        <f t="shared" si="158"/>
        <v>0</v>
      </c>
      <c r="BB276" s="81">
        <f t="shared" si="159"/>
        <v>0</v>
      </c>
      <c r="BC276" s="81">
        <f t="shared" si="160"/>
        <v>0</v>
      </c>
      <c r="BD276" s="81">
        <f t="shared" si="161"/>
        <v>0</v>
      </c>
      <c r="BE276" s="81">
        <f t="shared" si="162"/>
        <v>0</v>
      </c>
      <c r="BF276" s="81">
        <f t="shared" si="163"/>
        <v>0</v>
      </c>
      <c r="BG276" s="81">
        <f t="shared" si="164"/>
        <v>0</v>
      </c>
      <c r="BH276" s="81">
        <f t="shared" si="165"/>
        <v>0</v>
      </c>
      <c r="BI276" s="81">
        <f t="shared" si="166"/>
        <v>0</v>
      </c>
      <c r="BJ276" s="81">
        <f t="shared" si="167"/>
        <v>0</v>
      </c>
      <c r="BK276" s="81">
        <f t="shared" si="168"/>
        <v>0</v>
      </c>
      <c r="BL276" s="81">
        <f t="shared" si="169"/>
        <v>0</v>
      </c>
      <c r="BM276" s="81">
        <f t="shared" si="170"/>
        <v>0</v>
      </c>
      <c r="BN276" s="81">
        <f t="shared" si="171"/>
        <v>0</v>
      </c>
      <c r="BO276" s="81">
        <f t="shared" si="172"/>
        <v>0</v>
      </c>
      <c r="BP276" s="81">
        <f t="shared" si="173"/>
        <v>0</v>
      </c>
      <c r="BQ276" s="81">
        <f t="shared" si="174"/>
        <v>0</v>
      </c>
      <c r="BR276" s="81">
        <f t="shared" si="175"/>
        <v>0</v>
      </c>
      <c r="BS276" s="81">
        <f t="shared" si="176"/>
        <v>0</v>
      </c>
      <c r="BT276" s="89">
        <f t="shared" si="177"/>
        <v>0</v>
      </c>
    </row>
    <row r="277" spans="1:72">
      <c r="A277" s="79"/>
      <c r="B277" s="80"/>
      <c r="C277" s="80"/>
      <c r="D277" s="2301"/>
      <c r="E277" s="81">
        <f t="shared" si="149"/>
        <v>0</v>
      </c>
      <c r="F277" s="82"/>
      <c r="G277" s="83">
        <f t="shared" si="150"/>
        <v>0</v>
      </c>
      <c r="H277" s="84">
        <f t="shared" si="151"/>
        <v>0</v>
      </c>
      <c r="I277" s="85"/>
      <c r="J277" s="85"/>
      <c r="K277" s="85"/>
      <c r="L277" s="85"/>
      <c r="M277" s="85"/>
      <c r="N277" s="85"/>
      <c r="O277" s="85"/>
      <c r="P277" s="85"/>
      <c r="Q277" s="85"/>
      <c r="R277" s="85"/>
      <c r="S277" s="85"/>
      <c r="T277" s="85"/>
      <c r="U277" s="85"/>
      <c r="V277" s="85"/>
      <c r="W277" s="85"/>
      <c r="X277" s="85"/>
      <c r="Y277" s="85"/>
      <c r="Z277" s="85"/>
      <c r="AA277" s="85"/>
      <c r="AB277" s="85"/>
      <c r="AC277" s="81">
        <f t="shared" si="152"/>
        <v>0</v>
      </c>
      <c r="AD277" s="86"/>
      <c r="AE277" s="86"/>
      <c r="AF277" s="86"/>
      <c r="AG277" s="86"/>
      <c r="AH277" s="86"/>
      <c r="AI277" s="86"/>
      <c r="AJ277" s="86"/>
      <c r="AK277" s="86"/>
      <c r="AL277" s="86"/>
      <c r="AM277" s="86"/>
      <c r="AN277" s="86"/>
      <c r="AO277" s="86"/>
      <c r="AP277" s="86"/>
      <c r="AQ277" s="86"/>
      <c r="AR277" s="86"/>
      <c r="AS277" s="86"/>
      <c r="AT277" s="82"/>
      <c r="AU277" s="87"/>
      <c r="AV277" s="818">
        <f t="shared" si="153"/>
        <v>0</v>
      </c>
      <c r="AW277" s="818">
        <f t="shared" si="154"/>
        <v>0</v>
      </c>
      <c r="AX277" s="818">
        <f t="shared" si="155"/>
        <v>0</v>
      </c>
      <c r="AY277" s="88">
        <f t="shared" si="156"/>
        <v>0</v>
      </c>
      <c r="AZ277" s="81">
        <f t="shared" si="157"/>
        <v>0</v>
      </c>
      <c r="BA277" s="81">
        <f t="shared" si="158"/>
        <v>0</v>
      </c>
      <c r="BB277" s="81">
        <f t="shared" si="159"/>
        <v>0</v>
      </c>
      <c r="BC277" s="81">
        <f t="shared" si="160"/>
        <v>0</v>
      </c>
      <c r="BD277" s="81">
        <f t="shared" si="161"/>
        <v>0</v>
      </c>
      <c r="BE277" s="81">
        <f t="shared" si="162"/>
        <v>0</v>
      </c>
      <c r="BF277" s="81">
        <f t="shared" si="163"/>
        <v>0</v>
      </c>
      <c r="BG277" s="81">
        <f t="shared" si="164"/>
        <v>0</v>
      </c>
      <c r="BH277" s="81">
        <f t="shared" si="165"/>
        <v>0</v>
      </c>
      <c r="BI277" s="81">
        <f t="shared" si="166"/>
        <v>0</v>
      </c>
      <c r="BJ277" s="81">
        <f t="shared" si="167"/>
        <v>0</v>
      </c>
      <c r="BK277" s="81">
        <f t="shared" si="168"/>
        <v>0</v>
      </c>
      <c r="BL277" s="81">
        <f t="shared" si="169"/>
        <v>0</v>
      </c>
      <c r="BM277" s="81">
        <f t="shared" si="170"/>
        <v>0</v>
      </c>
      <c r="BN277" s="81">
        <f t="shared" si="171"/>
        <v>0</v>
      </c>
      <c r="BO277" s="81">
        <f t="shared" si="172"/>
        <v>0</v>
      </c>
      <c r="BP277" s="81">
        <f t="shared" si="173"/>
        <v>0</v>
      </c>
      <c r="BQ277" s="81">
        <f t="shared" si="174"/>
        <v>0</v>
      </c>
      <c r="BR277" s="81">
        <f t="shared" si="175"/>
        <v>0</v>
      </c>
      <c r="BS277" s="81">
        <f t="shared" si="176"/>
        <v>0</v>
      </c>
      <c r="BT277" s="89">
        <f t="shared" si="177"/>
        <v>0</v>
      </c>
    </row>
    <row r="278" spans="1:72">
      <c r="A278" s="79"/>
      <c r="B278" s="80"/>
      <c r="C278" s="80"/>
      <c r="D278" s="2301"/>
      <c r="E278" s="81">
        <f t="shared" si="149"/>
        <v>0</v>
      </c>
      <c r="F278" s="82"/>
      <c r="G278" s="83">
        <f t="shared" si="150"/>
        <v>0</v>
      </c>
      <c r="H278" s="84">
        <f t="shared" si="151"/>
        <v>0</v>
      </c>
      <c r="I278" s="85"/>
      <c r="J278" s="85"/>
      <c r="K278" s="85"/>
      <c r="L278" s="85"/>
      <c r="M278" s="85"/>
      <c r="N278" s="85"/>
      <c r="O278" s="85"/>
      <c r="P278" s="85"/>
      <c r="Q278" s="85"/>
      <c r="R278" s="85"/>
      <c r="S278" s="85"/>
      <c r="T278" s="85"/>
      <c r="U278" s="85"/>
      <c r="V278" s="85"/>
      <c r="W278" s="85"/>
      <c r="X278" s="85"/>
      <c r="Y278" s="85"/>
      <c r="Z278" s="85"/>
      <c r="AA278" s="85"/>
      <c r="AB278" s="85"/>
      <c r="AC278" s="81">
        <f t="shared" si="152"/>
        <v>0</v>
      </c>
      <c r="AD278" s="86"/>
      <c r="AE278" s="86"/>
      <c r="AF278" s="86"/>
      <c r="AG278" s="86"/>
      <c r="AH278" s="86"/>
      <c r="AI278" s="86"/>
      <c r="AJ278" s="86"/>
      <c r="AK278" s="86"/>
      <c r="AL278" s="86"/>
      <c r="AM278" s="86"/>
      <c r="AN278" s="86"/>
      <c r="AO278" s="86"/>
      <c r="AP278" s="86"/>
      <c r="AQ278" s="86"/>
      <c r="AR278" s="86"/>
      <c r="AS278" s="86"/>
      <c r="AT278" s="82"/>
      <c r="AU278" s="87"/>
      <c r="AV278" s="818">
        <f t="shared" si="153"/>
        <v>0</v>
      </c>
      <c r="AW278" s="818">
        <f t="shared" si="154"/>
        <v>0</v>
      </c>
      <c r="AX278" s="818">
        <f t="shared" si="155"/>
        <v>0</v>
      </c>
      <c r="AY278" s="88">
        <f t="shared" si="156"/>
        <v>0</v>
      </c>
      <c r="AZ278" s="81">
        <f t="shared" si="157"/>
        <v>0</v>
      </c>
      <c r="BA278" s="81">
        <f t="shared" si="158"/>
        <v>0</v>
      </c>
      <c r="BB278" s="81">
        <f t="shared" si="159"/>
        <v>0</v>
      </c>
      <c r="BC278" s="81">
        <f t="shared" si="160"/>
        <v>0</v>
      </c>
      <c r="BD278" s="81">
        <f t="shared" si="161"/>
        <v>0</v>
      </c>
      <c r="BE278" s="81">
        <f t="shared" si="162"/>
        <v>0</v>
      </c>
      <c r="BF278" s="81">
        <f t="shared" si="163"/>
        <v>0</v>
      </c>
      <c r="BG278" s="81">
        <f t="shared" si="164"/>
        <v>0</v>
      </c>
      <c r="BH278" s="81">
        <f t="shared" si="165"/>
        <v>0</v>
      </c>
      <c r="BI278" s="81">
        <f t="shared" si="166"/>
        <v>0</v>
      </c>
      <c r="BJ278" s="81">
        <f t="shared" si="167"/>
        <v>0</v>
      </c>
      <c r="BK278" s="81">
        <f t="shared" si="168"/>
        <v>0</v>
      </c>
      <c r="BL278" s="81">
        <f t="shared" si="169"/>
        <v>0</v>
      </c>
      <c r="BM278" s="81">
        <f t="shared" si="170"/>
        <v>0</v>
      </c>
      <c r="BN278" s="81">
        <f t="shared" si="171"/>
        <v>0</v>
      </c>
      <c r="BO278" s="81">
        <f t="shared" si="172"/>
        <v>0</v>
      </c>
      <c r="BP278" s="81">
        <f t="shared" si="173"/>
        <v>0</v>
      </c>
      <c r="BQ278" s="81">
        <f t="shared" si="174"/>
        <v>0</v>
      </c>
      <c r="BR278" s="81">
        <f t="shared" si="175"/>
        <v>0</v>
      </c>
      <c r="BS278" s="81">
        <f t="shared" si="176"/>
        <v>0</v>
      </c>
      <c r="BT278" s="89">
        <f t="shared" si="177"/>
        <v>0</v>
      </c>
    </row>
    <row r="279" spans="1:72">
      <c r="A279" s="79"/>
      <c r="B279" s="80"/>
      <c r="C279" s="80"/>
      <c r="D279" s="2301"/>
      <c r="E279" s="81">
        <f t="shared" si="149"/>
        <v>0</v>
      </c>
      <c r="F279" s="82"/>
      <c r="G279" s="83">
        <f t="shared" si="150"/>
        <v>0</v>
      </c>
      <c r="H279" s="84">
        <f t="shared" si="151"/>
        <v>0</v>
      </c>
      <c r="I279" s="85"/>
      <c r="J279" s="85"/>
      <c r="K279" s="85"/>
      <c r="L279" s="85"/>
      <c r="M279" s="85"/>
      <c r="N279" s="85"/>
      <c r="O279" s="85"/>
      <c r="P279" s="85"/>
      <c r="Q279" s="85"/>
      <c r="R279" s="85"/>
      <c r="S279" s="85"/>
      <c r="T279" s="85"/>
      <c r="U279" s="85"/>
      <c r="V279" s="85"/>
      <c r="W279" s="85"/>
      <c r="X279" s="85"/>
      <c r="Y279" s="85"/>
      <c r="Z279" s="85"/>
      <c r="AA279" s="85"/>
      <c r="AB279" s="85"/>
      <c r="AC279" s="81">
        <f t="shared" si="152"/>
        <v>0</v>
      </c>
      <c r="AD279" s="86"/>
      <c r="AE279" s="86"/>
      <c r="AF279" s="86"/>
      <c r="AG279" s="86"/>
      <c r="AH279" s="86"/>
      <c r="AI279" s="86"/>
      <c r="AJ279" s="86"/>
      <c r="AK279" s="86"/>
      <c r="AL279" s="86"/>
      <c r="AM279" s="86"/>
      <c r="AN279" s="86"/>
      <c r="AO279" s="86"/>
      <c r="AP279" s="86"/>
      <c r="AQ279" s="86"/>
      <c r="AR279" s="86"/>
      <c r="AS279" s="86"/>
      <c r="AT279" s="82"/>
      <c r="AU279" s="87"/>
      <c r="AV279" s="818">
        <f t="shared" si="153"/>
        <v>0</v>
      </c>
      <c r="AW279" s="818">
        <f t="shared" si="154"/>
        <v>0</v>
      </c>
      <c r="AX279" s="818">
        <f t="shared" si="155"/>
        <v>0</v>
      </c>
      <c r="AY279" s="88">
        <f t="shared" si="156"/>
        <v>0</v>
      </c>
      <c r="AZ279" s="81">
        <f t="shared" si="157"/>
        <v>0</v>
      </c>
      <c r="BA279" s="81">
        <f t="shared" si="158"/>
        <v>0</v>
      </c>
      <c r="BB279" s="81">
        <f t="shared" si="159"/>
        <v>0</v>
      </c>
      <c r="BC279" s="81">
        <f t="shared" si="160"/>
        <v>0</v>
      </c>
      <c r="BD279" s="81">
        <f t="shared" si="161"/>
        <v>0</v>
      </c>
      <c r="BE279" s="81">
        <f t="shared" si="162"/>
        <v>0</v>
      </c>
      <c r="BF279" s="81">
        <f t="shared" si="163"/>
        <v>0</v>
      </c>
      <c r="BG279" s="81">
        <f t="shared" si="164"/>
        <v>0</v>
      </c>
      <c r="BH279" s="81">
        <f t="shared" si="165"/>
        <v>0</v>
      </c>
      <c r="BI279" s="81">
        <f t="shared" si="166"/>
        <v>0</v>
      </c>
      <c r="BJ279" s="81">
        <f t="shared" si="167"/>
        <v>0</v>
      </c>
      <c r="BK279" s="81">
        <f t="shared" si="168"/>
        <v>0</v>
      </c>
      <c r="BL279" s="81">
        <f t="shared" si="169"/>
        <v>0</v>
      </c>
      <c r="BM279" s="81">
        <f t="shared" si="170"/>
        <v>0</v>
      </c>
      <c r="BN279" s="81">
        <f t="shared" si="171"/>
        <v>0</v>
      </c>
      <c r="BO279" s="81">
        <f t="shared" si="172"/>
        <v>0</v>
      </c>
      <c r="BP279" s="81">
        <f t="shared" si="173"/>
        <v>0</v>
      </c>
      <c r="BQ279" s="81">
        <f t="shared" si="174"/>
        <v>0</v>
      </c>
      <c r="BR279" s="81">
        <f t="shared" si="175"/>
        <v>0</v>
      </c>
      <c r="BS279" s="81">
        <f t="shared" si="176"/>
        <v>0</v>
      </c>
      <c r="BT279" s="89">
        <f t="shared" si="177"/>
        <v>0</v>
      </c>
    </row>
    <row r="280" spans="1:72">
      <c r="A280" s="79"/>
      <c r="B280" s="80"/>
      <c r="C280" s="80"/>
      <c r="D280" s="2301"/>
      <c r="E280" s="81">
        <f t="shared" si="149"/>
        <v>0</v>
      </c>
      <c r="F280" s="82"/>
      <c r="G280" s="83">
        <f t="shared" si="150"/>
        <v>0</v>
      </c>
      <c r="H280" s="84">
        <f t="shared" si="151"/>
        <v>0</v>
      </c>
      <c r="I280" s="85"/>
      <c r="J280" s="85"/>
      <c r="K280" s="85"/>
      <c r="L280" s="85"/>
      <c r="M280" s="85"/>
      <c r="N280" s="85"/>
      <c r="O280" s="85"/>
      <c r="P280" s="85"/>
      <c r="Q280" s="85"/>
      <c r="R280" s="85"/>
      <c r="S280" s="85"/>
      <c r="T280" s="85"/>
      <c r="U280" s="85"/>
      <c r="V280" s="85"/>
      <c r="W280" s="85"/>
      <c r="X280" s="85"/>
      <c r="Y280" s="85"/>
      <c r="Z280" s="85"/>
      <c r="AA280" s="85"/>
      <c r="AB280" s="85"/>
      <c r="AC280" s="81">
        <f t="shared" si="152"/>
        <v>0</v>
      </c>
      <c r="AD280" s="86"/>
      <c r="AE280" s="86"/>
      <c r="AF280" s="86"/>
      <c r="AG280" s="86"/>
      <c r="AH280" s="86"/>
      <c r="AI280" s="86"/>
      <c r="AJ280" s="86"/>
      <c r="AK280" s="86"/>
      <c r="AL280" s="86"/>
      <c r="AM280" s="86"/>
      <c r="AN280" s="86"/>
      <c r="AO280" s="86"/>
      <c r="AP280" s="86"/>
      <c r="AQ280" s="86"/>
      <c r="AR280" s="86"/>
      <c r="AS280" s="86"/>
      <c r="AT280" s="82"/>
      <c r="AU280" s="87"/>
      <c r="AV280" s="818">
        <f t="shared" si="153"/>
        <v>0</v>
      </c>
      <c r="AW280" s="818">
        <f t="shared" si="154"/>
        <v>0</v>
      </c>
      <c r="AX280" s="818">
        <f t="shared" si="155"/>
        <v>0</v>
      </c>
      <c r="AY280" s="88">
        <f t="shared" si="156"/>
        <v>0</v>
      </c>
      <c r="AZ280" s="81">
        <f t="shared" si="157"/>
        <v>0</v>
      </c>
      <c r="BA280" s="81">
        <f t="shared" si="158"/>
        <v>0</v>
      </c>
      <c r="BB280" s="81">
        <f t="shared" si="159"/>
        <v>0</v>
      </c>
      <c r="BC280" s="81">
        <f t="shared" si="160"/>
        <v>0</v>
      </c>
      <c r="BD280" s="81">
        <f t="shared" si="161"/>
        <v>0</v>
      </c>
      <c r="BE280" s="81">
        <f t="shared" si="162"/>
        <v>0</v>
      </c>
      <c r="BF280" s="81">
        <f t="shared" si="163"/>
        <v>0</v>
      </c>
      <c r="BG280" s="81">
        <f t="shared" si="164"/>
        <v>0</v>
      </c>
      <c r="BH280" s="81">
        <f t="shared" si="165"/>
        <v>0</v>
      </c>
      <c r="BI280" s="81">
        <f t="shared" si="166"/>
        <v>0</v>
      </c>
      <c r="BJ280" s="81">
        <f t="shared" si="167"/>
        <v>0</v>
      </c>
      <c r="BK280" s="81">
        <f t="shared" si="168"/>
        <v>0</v>
      </c>
      <c r="BL280" s="81">
        <f t="shared" si="169"/>
        <v>0</v>
      </c>
      <c r="BM280" s="81">
        <f t="shared" si="170"/>
        <v>0</v>
      </c>
      <c r="BN280" s="81">
        <f t="shared" si="171"/>
        <v>0</v>
      </c>
      <c r="BO280" s="81">
        <f t="shared" si="172"/>
        <v>0</v>
      </c>
      <c r="BP280" s="81">
        <f t="shared" si="173"/>
        <v>0</v>
      </c>
      <c r="BQ280" s="81">
        <f t="shared" si="174"/>
        <v>0</v>
      </c>
      <c r="BR280" s="81">
        <f t="shared" si="175"/>
        <v>0</v>
      </c>
      <c r="BS280" s="81">
        <f t="shared" si="176"/>
        <v>0</v>
      </c>
      <c r="BT280" s="89">
        <f t="shared" si="177"/>
        <v>0</v>
      </c>
    </row>
    <row r="281" spans="1:72">
      <c r="A281" s="79"/>
      <c r="B281" s="80"/>
      <c r="C281" s="80"/>
      <c r="D281" s="2301"/>
      <c r="E281" s="81">
        <f t="shared" si="149"/>
        <v>0</v>
      </c>
      <c r="F281" s="82"/>
      <c r="G281" s="83">
        <f t="shared" si="150"/>
        <v>0</v>
      </c>
      <c r="H281" s="84">
        <f t="shared" si="151"/>
        <v>0</v>
      </c>
      <c r="I281" s="85"/>
      <c r="J281" s="85"/>
      <c r="K281" s="85"/>
      <c r="L281" s="85"/>
      <c r="M281" s="85"/>
      <c r="N281" s="85"/>
      <c r="O281" s="85"/>
      <c r="P281" s="85"/>
      <c r="Q281" s="85"/>
      <c r="R281" s="85"/>
      <c r="S281" s="85"/>
      <c r="T281" s="85"/>
      <c r="U281" s="85"/>
      <c r="V281" s="85"/>
      <c r="W281" s="85"/>
      <c r="X281" s="85"/>
      <c r="Y281" s="85"/>
      <c r="Z281" s="85"/>
      <c r="AA281" s="85"/>
      <c r="AB281" s="85"/>
      <c r="AC281" s="81">
        <f t="shared" si="152"/>
        <v>0</v>
      </c>
      <c r="AD281" s="86"/>
      <c r="AE281" s="86"/>
      <c r="AF281" s="86"/>
      <c r="AG281" s="86"/>
      <c r="AH281" s="86"/>
      <c r="AI281" s="86"/>
      <c r="AJ281" s="86"/>
      <c r="AK281" s="86"/>
      <c r="AL281" s="86"/>
      <c r="AM281" s="86"/>
      <c r="AN281" s="86"/>
      <c r="AO281" s="86"/>
      <c r="AP281" s="86"/>
      <c r="AQ281" s="86"/>
      <c r="AR281" s="86"/>
      <c r="AS281" s="86"/>
      <c r="AT281" s="82"/>
      <c r="AU281" s="87"/>
      <c r="AV281" s="818">
        <f t="shared" si="153"/>
        <v>0</v>
      </c>
      <c r="AW281" s="818">
        <f t="shared" si="154"/>
        <v>0</v>
      </c>
      <c r="AX281" s="818">
        <f t="shared" si="155"/>
        <v>0</v>
      </c>
      <c r="AY281" s="88">
        <f t="shared" si="156"/>
        <v>0</v>
      </c>
      <c r="AZ281" s="81">
        <f t="shared" si="157"/>
        <v>0</v>
      </c>
      <c r="BA281" s="81">
        <f t="shared" si="158"/>
        <v>0</v>
      </c>
      <c r="BB281" s="81">
        <f t="shared" si="159"/>
        <v>0</v>
      </c>
      <c r="BC281" s="81">
        <f t="shared" si="160"/>
        <v>0</v>
      </c>
      <c r="BD281" s="81">
        <f t="shared" si="161"/>
        <v>0</v>
      </c>
      <c r="BE281" s="81">
        <f t="shared" si="162"/>
        <v>0</v>
      </c>
      <c r="BF281" s="81">
        <f t="shared" si="163"/>
        <v>0</v>
      </c>
      <c r="BG281" s="81">
        <f t="shared" si="164"/>
        <v>0</v>
      </c>
      <c r="BH281" s="81">
        <f t="shared" si="165"/>
        <v>0</v>
      </c>
      <c r="BI281" s="81">
        <f t="shared" si="166"/>
        <v>0</v>
      </c>
      <c r="BJ281" s="81">
        <f t="shared" si="167"/>
        <v>0</v>
      </c>
      <c r="BK281" s="81">
        <f t="shared" si="168"/>
        <v>0</v>
      </c>
      <c r="BL281" s="81">
        <f t="shared" si="169"/>
        <v>0</v>
      </c>
      <c r="BM281" s="81">
        <f t="shared" si="170"/>
        <v>0</v>
      </c>
      <c r="BN281" s="81">
        <f t="shared" si="171"/>
        <v>0</v>
      </c>
      <c r="BO281" s="81">
        <f t="shared" si="172"/>
        <v>0</v>
      </c>
      <c r="BP281" s="81">
        <f t="shared" si="173"/>
        <v>0</v>
      </c>
      <c r="BQ281" s="81">
        <f t="shared" si="174"/>
        <v>0</v>
      </c>
      <c r="BR281" s="81">
        <f t="shared" si="175"/>
        <v>0</v>
      </c>
      <c r="BS281" s="81">
        <f t="shared" si="176"/>
        <v>0</v>
      </c>
      <c r="BT281" s="89">
        <f t="shared" si="177"/>
        <v>0</v>
      </c>
    </row>
    <row r="282" spans="1:72">
      <c r="A282" s="79"/>
      <c r="B282" s="80"/>
      <c r="C282" s="80"/>
      <c r="D282" s="2301"/>
      <c r="E282" s="81">
        <f t="shared" si="149"/>
        <v>0</v>
      </c>
      <c r="F282" s="82"/>
      <c r="G282" s="83">
        <f t="shared" si="150"/>
        <v>0</v>
      </c>
      <c r="H282" s="84">
        <f t="shared" si="151"/>
        <v>0</v>
      </c>
      <c r="I282" s="85"/>
      <c r="J282" s="85"/>
      <c r="K282" s="85"/>
      <c r="L282" s="85"/>
      <c r="M282" s="85"/>
      <c r="N282" s="85"/>
      <c r="O282" s="85"/>
      <c r="P282" s="85"/>
      <c r="Q282" s="85"/>
      <c r="R282" s="85"/>
      <c r="S282" s="85"/>
      <c r="T282" s="85"/>
      <c r="U282" s="85"/>
      <c r="V282" s="85"/>
      <c r="W282" s="85"/>
      <c r="X282" s="85"/>
      <c r="Y282" s="85"/>
      <c r="Z282" s="85"/>
      <c r="AA282" s="85"/>
      <c r="AB282" s="85"/>
      <c r="AC282" s="81">
        <f t="shared" si="152"/>
        <v>0</v>
      </c>
      <c r="AD282" s="86"/>
      <c r="AE282" s="86"/>
      <c r="AF282" s="86"/>
      <c r="AG282" s="86"/>
      <c r="AH282" s="86"/>
      <c r="AI282" s="86"/>
      <c r="AJ282" s="86"/>
      <c r="AK282" s="86"/>
      <c r="AL282" s="86"/>
      <c r="AM282" s="86"/>
      <c r="AN282" s="86"/>
      <c r="AO282" s="86"/>
      <c r="AP282" s="86"/>
      <c r="AQ282" s="86"/>
      <c r="AR282" s="86"/>
      <c r="AS282" s="86"/>
      <c r="AT282" s="82"/>
      <c r="AU282" s="87"/>
      <c r="AV282" s="818">
        <f t="shared" si="153"/>
        <v>0</v>
      </c>
      <c r="AW282" s="818">
        <f t="shared" si="154"/>
        <v>0</v>
      </c>
      <c r="AX282" s="818">
        <f t="shared" si="155"/>
        <v>0</v>
      </c>
      <c r="AY282" s="88">
        <f t="shared" si="156"/>
        <v>0</v>
      </c>
      <c r="AZ282" s="81">
        <f t="shared" si="157"/>
        <v>0</v>
      </c>
      <c r="BA282" s="81">
        <f t="shared" si="158"/>
        <v>0</v>
      </c>
      <c r="BB282" s="81">
        <f t="shared" si="159"/>
        <v>0</v>
      </c>
      <c r="BC282" s="81">
        <f t="shared" si="160"/>
        <v>0</v>
      </c>
      <c r="BD282" s="81">
        <f t="shared" si="161"/>
        <v>0</v>
      </c>
      <c r="BE282" s="81">
        <f t="shared" si="162"/>
        <v>0</v>
      </c>
      <c r="BF282" s="81">
        <f t="shared" si="163"/>
        <v>0</v>
      </c>
      <c r="BG282" s="81">
        <f t="shared" si="164"/>
        <v>0</v>
      </c>
      <c r="BH282" s="81">
        <f t="shared" si="165"/>
        <v>0</v>
      </c>
      <c r="BI282" s="81">
        <f t="shared" si="166"/>
        <v>0</v>
      </c>
      <c r="BJ282" s="81">
        <f t="shared" si="167"/>
        <v>0</v>
      </c>
      <c r="BK282" s="81">
        <f t="shared" si="168"/>
        <v>0</v>
      </c>
      <c r="BL282" s="81">
        <f t="shared" si="169"/>
        <v>0</v>
      </c>
      <c r="BM282" s="81">
        <f t="shared" si="170"/>
        <v>0</v>
      </c>
      <c r="BN282" s="81">
        <f t="shared" si="171"/>
        <v>0</v>
      </c>
      <c r="BO282" s="81">
        <f t="shared" si="172"/>
        <v>0</v>
      </c>
      <c r="BP282" s="81">
        <f t="shared" si="173"/>
        <v>0</v>
      </c>
      <c r="BQ282" s="81">
        <f t="shared" si="174"/>
        <v>0</v>
      </c>
      <c r="BR282" s="81">
        <f t="shared" si="175"/>
        <v>0</v>
      </c>
      <c r="BS282" s="81">
        <f t="shared" si="176"/>
        <v>0</v>
      </c>
      <c r="BT282" s="89">
        <f t="shared" si="177"/>
        <v>0</v>
      </c>
    </row>
    <row r="283" spans="1:72">
      <c r="A283" s="79"/>
      <c r="B283" s="80"/>
      <c r="C283" s="80"/>
      <c r="D283" s="2301"/>
      <c r="E283" s="81">
        <f t="shared" si="149"/>
        <v>0</v>
      </c>
      <c r="F283" s="82"/>
      <c r="G283" s="83">
        <f t="shared" si="150"/>
        <v>0</v>
      </c>
      <c r="H283" s="84">
        <f t="shared" si="151"/>
        <v>0</v>
      </c>
      <c r="I283" s="85"/>
      <c r="J283" s="85"/>
      <c r="K283" s="85"/>
      <c r="L283" s="85"/>
      <c r="M283" s="85"/>
      <c r="N283" s="85"/>
      <c r="O283" s="85"/>
      <c r="P283" s="85"/>
      <c r="Q283" s="85"/>
      <c r="R283" s="85"/>
      <c r="S283" s="85"/>
      <c r="T283" s="85"/>
      <c r="U283" s="85"/>
      <c r="V283" s="85"/>
      <c r="W283" s="85"/>
      <c r="X283" s="85"/>
      <c r="Y283" s="85"/>
      <c r="Z283" s="85"/>
      <c r="AA283" s="85"/>
      <c r="AB283" s="85"/>
      <c r="AC283" s="81">
        <f t="shared" si="152"/>
        <v>0</v>
      </c>
      <c r="AD283" s="86"/>
      <c r="AE283" s="86"/>
      <c r="AF283" s="86"/>
      <c r="AG283" s="86"/>
      <c r="AH283" s="86"/>
      <c r="AI283" s="86"/>
      <c r="AJ283" s="86"/>
      <c r="AK283" s="86"/>
      <c r="AL283" s="86"/>
      <c r="AM283" s="86"/>
      <c r="AN283" s="86"/>
      <c r="AO283" s="86"/>
      <c r="AP283" s="86"/>
      <c r="AQ283" s="86"/>
      <c r="AR283" s="86"/>
      <c r="AS283" s="86"/>
      <c r="AT283" s="82"/>
      <c r="AU283" s="87"/>
      <c r="AV283" s="818">
        <f t="shared" si="153"/>
        <v>0</v>
      </c>
      <c r="AW283" s="818">
        <f t="shared" si="154"/>
        <v>0</v>
      </c>
      <c r="AX283" s="818">
        <f t="shared" si="155"/>
        <v>0</v>
      </c>
      <c r="AY283" s="88">
        <f t="shared" si="156"/>
        <v>0</v>
      </c>
      <c r="AZ283" s="81">
        <f t="shared" si="157"/>
        <v>0</v>
      </c>
      <c r="BA283" s="81">
        <f t="shared" si="158"/>
        <v>0</v>
      </c>
      <c r="BB283" s="81">
        <f t="shared" si="159"/>
        <v>0</v>
      </c>
      <c r="BC283" s="81">
        <f t="shared" si="160"/>
        <v>0</v>
      </c>
      <c r="BD283" s="81">
        <f t="shared" si="161"/>
        <v>0</v>
      </c>
      <c r="BE283" s="81">
        <f t="shared" si="162"/>
        <v>0</v>
      </c>
      <c r="BF283" s="81">
        <f t="shared" si="163"/>
        <v>0</v>
      </c>
      <c r="BG283" s="81">
        <f t="shared" si="164"/>
        <v>0</v>
      </c>
      <c r="BH283" s="81">
        <f t="shared" si="165"/>
        <v>0</v>
      </c>
      <c r="BI283" s="81">
        <f t="shared" si="166"/>
        <v>0</v>
      </c>
      <c r="BJ283" s="81">
        <f t="shared" si="167"/>
        <v>0</v>
      </c>
      <c r="BK283" s="81">
        <f t="shared" si="168"/>
        <v>0</v>
      </c>
      <c r="BL283" s="81">
        <f t="shared" si="169"/>
        <v>0</v>
      </c>
      <c r="BM283" s="81">
        <f t="shared" si="170"/>
        <v>0</v>
      </c>
      <c r="BN283" s="81">
        <f t="shared" si="171"/>
        <v>0</v>
      </c>
      <c r="BO283" s="81">
        <f t="shared" si="172"/>
        <v>0</v>
      </c>
      <c r="BP283" s="81">
        <f t="shared" si="173"/>
        <v>0</v>
      </c>
      <c r="BQ283" s="81">
        <f t="shared" si="174"/>
        <v>0</v>
      </c>
      <c r="BR283" s="81">
        <f t="shared" si="175"/>
        <v>0</v>
      </c>
      <c r="BS283" s="81">
        <f t="shared" si="176"/>
        <v>0</v>
      </c>
      <c r="BT283" s="89">
        <f t="shared" si="177"/>
        <v>0</v>
      </c>
    </row>
    <row r="284" spans="1:72">
      <c r="A284" s="79"/>
      <c r="B284" s="80"/>
      <c r="C284" s="80"/>
      <c r="D284" s="2301"/>
      <c r="E284" s="81">
        <f t="shared" si="149"/>
        <v>0</v>
      </c>
      <c r="F284" s="82"/>
      <c r="G284" s="83">
        <f t="shared" si="150"/>
        <v>0</v>
      </c>
      <c r="H284" s="84">
        <f t="shared" si="151"/>
        <v>0</v>
      </c>
      <c r="I284" s="85"/>
      <c r="J284" s="85"/>
      <c r="K284" s="85"/>
      <c r="L284" s="85"/>
      <c r="M284" s="85"/>
      <c r="N284" s="85"/>
      <c r="O284" s="85"/>
      <c r="P284" s="85"/>
      <c r="Q284" s="85"/>
      <c r="R284" s="85"/>
      <c r="S284" s="85"/>
      <c r="T284" s="85"/>
      <c r="U284" s="85"/>
      <c r="V284" s="85"/>
      <c r="W284" s="85"/>
      <c r="X284" s="85"/>
      <c r="Y284" s="85"/>
      <c r="Z284" s="85"/>
      <c r="AA284" s="85"/>
      <c r="AB284" s="85"/>
      <c r="AC284" s="81">
        <f t="shared" si="152"/>
        <v>0</v>
      </c>
      <c r="AD284" s="86"/>
      <c r="AE284" s="86"/>
      <c r="AF284" s="86"/>
      <c r="AG284" s="86"/>
      <c r="AH284" s="86"/>
      <c r="AI284" s="86"/>
      <c r="AJ284" s="86"/>
      <c r="AK284" s="86"/>
      <c r="AL284" s="86"/>
      <c r="AM284" s="86"/>
      <c r="AN284" s="86"/>
      <c r="AO284" s="86"/>
      <c r="AP284" s="86"/>
      <c r="AQ284" s="86"/>
      <c r="AR284" s="86"/>
      <c r="AS284" s="86"/>
      <c r="AT284" s="82"/>
      <c r="AU284" s="87"/>
      <c r="AV284" s="818">
        <f t="shared" si="153"/>
        <v>0</v>
      </c>
      <c r="AW284" s="818">
        <f t="shared" si="154"/>
        <v>0</v>
      </c>
      <c r="AX284" s="818">
        <f t="shared" si="155"/>
        <v>0</v>
      </c>
      <c r="AY284" s="88">
        <f t="shared" si="156"/>
        <v>0</v>
      </c>
      <c r="AZ284" s="81">
        <f t="shared" si="157"/>
        <v>0</v>
      </c>
      <c r="BA284" s="81">
        <f t="shared" si="158"/>
        <v>0</v>
      </c>
      <c r="BB284" s="81">
        <f t="shared" si="159"/>
        <v>0</v>
      </c>
      <c r="BC284" s="81">
        <f t="shared" si="160"/>
        <v>0</v>
      </c>
      <c r="BD284" s="81">
        <f t="shared" si="161"/>
        <v>0</v>
      </c>
      <c r="BE284" s="81">
        <f t="shared" si="162"/>
        <v>0</v>
      </c>
      <c r="BF284" s="81">
        <f t="shared" si="163"/>
        <v>0</v>
      </c>
      <c r="BG284" s="81">
        <f t="shared" si="164"/>
        <v>0</v>
      </c>
      <c r="BH284" s="81">
        <f t="shared" si="165"/>
        <v>0</v>
      </c>
      <c r="BI284" s="81">
        <f t="shared" si="166"/>
        <v>0</v>
      </c>
      <c r="BJ284" s="81">
        <f t="shared" si="167"/>
        <v>0</v>
      </c>
      <c r="BK284" s="81">
        <f t="shared" si="168"/>
        <v>0</v>
      </c>
      <c r="BL284" s="81">
        <f t="shared" si="169"/>
        <v>0</v>
      </c>
      <c r="BM284" s="81">
        <f t="shared" si="170"/>
        <v>0</v>
      </c>
      <c r="BN284" s="81">
        <f t="shared" si="171"/>
        <v>0</v>
      </c>
      <c r="BO284" s="81">
        <f t="shared" si="172"/>
        <v>0</v>
      </c>
      <c r="BP284" s="81">
        <f t="shared" si="173"/>
        <v>0</v>
      </c>
      <c r="BQ284" s="81">
        <f t="shared" si="174"/>
        <v>0</v>
      </c>
      <c r="BR284" s="81">
        <f t="shared" si="175"/>
        <v>0</v>
      </c>
      <c r="BS284" s="81">
        <f t="shared" si="176"/>
        <v>0</v>
      </c>
      <c r="BT284" s="89">
        <f t="shared" si="177"/>
        <v>0</v>
      </c>
    </row>
    <row r="285" spans="1:72">
      <c r="A285" s="79"/>
      <c r="B285" s="80"/>
      <c r="C285" s="80"/>
      <c r="D285" s="2301"/>
      <c r="E285" s="81">
        <f t="shared" si="149"/>
        <v>0</v>
      </c>
      <c r="F285" s="82"/>
      <c r="G285" s="83">
        <f t="shared" si="150"/>
        <v>0</v>
      </c>
      <c r="H285" s="84">
        <f t="shared" si="151"/>
        <v>0</v>
      </c>
      <c r="I285" s="85"/>
      <c r="J285" s="85"/>
      <c r="K285" s="85"/>
      <c r="L285" s="85"/>
      <c r="M285" s="85"/>
      <c r="N285" s="85"/>
      <c r="O285" s="85"/>
      <c r="P285" s="85"/>
      <c r="Q285" s="85"/>
      <c r="R285" s="85"/>
      <c r="S285" s="85"/>
      <c r="T285" s="85"/>
      <c r="U285" s="85"/>
      <c r="V285" s="85"/>
      <c r="W285" s="85"/>
      <c r="X285" s="85"/>
      <c r="Y285" s="85"/>
      <c r="Z285" s="85"/>
      <c r="AA285" s="85"/>
      <c r="AB285" s="85"/>
      <c r="AC285" s="81">
        <f t="shared" si="152"/>
        <v>0</v>
      </c>
      <c r="AD285" s="86"/>
      <c r="AE285" s="86"/>
      <c r="AF285" s="86"/>
      <c r="AG285" s="86"/>
      <c r="AH285" s="86"/>
      <c r="AI285" s="86"/>
      <c r="AJ285" s="86"/>
      <c r="AK285" s="86"/>
      <c r="AL285" s="86"/>
      <c r="AM285" s="86"/>
      <c r="AN285" s="86"/>
      <c r="AO285" s="86"/>
      <c r="AP285" s="86"/>
      <c r="AQ285" s="86"/>
      <c r="AR285" s="86"/>
      <c r="AS285" s="86"/>
      <c r="AT285" s="82"/>
      <c r="AU285" s="87"/>
      <c r="AV285" s="818">
        <f t="shared" si="153"/>
        <v>0</v>
      </c>
      <c r="AW285" s="818">
        <f t="shared" si="154"/>
        <v>0</v>
      </c>
      <c r="AX285" s="818">
        <f t="shared" si="155"/>
        <v>0</v>
      </c>
      <c r="AY285" s="88">
        <f t="shared" si="156"/>
        <v>0</v>
      </c>
      <c r="AZ285" s="81">
        <f t="shared" si="157"/>
        <v>0</v>
      </c>
      <c r="BA285" s="81">
        <f t="shared" si="158"/>
        <v>0</v>
      </c>
      <c r="BB285" s="81">
        <f t="shared" si="159"/>
        <v>0</v>
      </c>
      <c r="BC285" s="81">
        <f t="shared" si="160"/>
        <v>0</v>
      </c>
      <c r="BD285" s="81">
        <f t="shared" si="161"/>
        <v>0</v>
      </c>
      <c r="BE285" s="81">
        <f t="shared" si="162"/>
        <v>0</v>
      </c>
      <c r="BF285" s="81">
        <f t="shared" si="163"/>
        <v>0</v>
      </c>
      <c r="BG285" s="81">
        <f t="shared" si="164"/>
        <v>0</v>
      </c>
      <c r="BH285" s="81">
        <f t="shared" si="165"/>
        <v>0</v>
      </c>
      <c r="BI285" s="81">
        <f t="shared" si="166"/>
        <v>0</v>
      </c>
      <c r="BJ285" s="81">
        <f t="shared" si="167"/>
        <v>0</v>
      </c>
      <c r="BK285" s="81">
        <f t="shared" si="168"/>
        <v>0</v>
      </c>
      <c r="BL285" s="81">
        <f t="shared" si="169"/>
        <v>0</v>
      </c>
      <c r="BM285" s="81">
        <f t="shared" si="170"/>
        <v>0</v>
      </c>
      <c r="BN285" s="81">
        <f t="shared" si="171"/>
        <v>0</v>
      </c>
      <c r="BO285" s="81">
        <f t="shared" si="172"/>
        <v>0</v>
      </c>
      <c r="BP285" s="81">
        <f t="shared" si="173"/>
        <v>0</v>
      </c>
      <c r="BQ285" s="81">
        <f t="shared" si="174"/>
        <v>0</v>
      </c>
      <c r="BR285" s="81">
        <f t="shared" si="175"/>
        <v>0</v>
      </c>
      <c r="BS285" s="81">
        <f t="shared" si="176"/>
        <v>0</v>
      </c>
      <c r="BT285" s="89">
        <f t="shared" si="177"/>
        <v>0</v>
      </c>
    </row>
    <row r="286" spans="1:72">
      <c r="A286" s="79"/>
      <c r="B286" s="80"/>
      <c r="C286" s="80"/>
      <c r="D286" s="2301"/>
      <c r="E286" s="81">
        <f t="shared" si="149"/>
        <v>0</v>
      </c>
      <c r="F286" s="82"/>
      <c r="G286" s="83">
        <f t="shared" si="150"/>
        <v>0</v>
      </c>
      <c r="H286" s="84">
        <f t="shared" si="151"/>
        <v>0</v>
      </c>
      <c r="I286" s="85"/>
      <c r="J286" s="85"/>
      <c r="K286" s="85"/>
      <c r="L286" s="85"/>
      <c r="M286" s="85"/>
      <c r="N286" s="85"/>
      <c r="O286" s="85"/>
      <c r="P286" s="85"/>
      <c r="Q286" s="85"/>
      <c r="R286" s="85"/>
      <c r="S286" s="85"/>
      <c r="T286" s="85"/>
      <c r="U286" s="85"/>
      <c r="V286" s="85"/>
      <c r="W286" s="85"/>
      <c r="X286" s="85"/>
      <c r="Y286" s="85"/>
      <c r="Z286" s="85"/>
      <c r="AA286" s="85"/>
      <c r="AB286" s="85"/>
      <c r="AC286" s="81">
        <f t="shared" si="152"/>
        <v>0</v>
      </c>
      <c r="AD286" s="86"/>
      <c r="AE286" s="86"/>
      <c r="AF286" s="86"/>
      <c r="AG286" s="86"/>
      <c r="AH286" s="86"/>
      <c r="AI286" s="86"/>
      <c r="AJ286" s="86"/>
      <c r="AK286" s="86"/>
      <c r="AL286" s="86"/>
      <c r="AM286" s="86"/>
      <c r="AN286" s="86"/>
      <c r="AO286" s="86"/>
      <c r="AP286" s="86"/>
      <c r="AQ286" s="86"/>
      <c r="AR286" s="86"/>
      <c r="AS286" s="86"/>
      <c r="AT286" s="82"/>
      <c r="AU286" s="87"/>
      <c r="AV286" s="818">
        <f t="shared" si="153"/>
        <v>0</v>
      </c>
      <c r="AW286" s="818">
        <f t="shared" si="154"/>
        <v>0</v>
      </c>
      <c r="AX286" s="818">
        <f t="shared" si="155"/>
        <v>0</v>
      </c>
      <c r="AY286" s="88">
        <f t="shared" si="156"/>
        <v>0</v>
      </c>
      <c r="AZ286" s="81">
        <f t="shared" si="157"/>
        <v>0</v>
      </c>
      <c r="BA286" s="81">
        <f t="shared" si="158"/>
        <v>0</v>
      </c>
      <c r="BB286" s="81">
        <f t="shared" si="159"/>
        <v>0</v>
      </c>
      <c r="BC286" s="81">
        <f t="shared" si="160"/>
        <v>0</v>
      </c>
      <c r="BD286" s="81">
        <f t="shared" si="161"/>
        <v>0</v>
      </c>
      <c r="BE286" s="81">
        <f t="shared" si="162"/>
        <v>0</v>
      </c>
      <c r="BF286" s="81">
        <f t="shared" si="163"/>
        <v>0</v>
      </c>
      <c r="BG286" s="81">
        <f t="shared" si="164"/>
        <v>0</v>
      </c>
      <c r="BH286" s="81">
        <f t="shared" si="165"/>
        <v>0</v>
      </c>
      <c r="BI286" s="81">
        <f t="shared" si="166"/>
        <v>0</v>
      </c>
      <c r="BJ286" s="81">
        <f t="shared" si="167"/>
        <v>0</v>
      </c>
      <c r="BK286" s="81">
        <f t="shared" si="168"/>
        <v>0</v>
      </c>
      <c r="BL286" s="81">
        <f t="shared" si="169"/>
        <v>0</v>
      </c>
      <c r="BM286" s="81">
        <f t="shared" si="170"/>
        <v>0</v>
      </c>
      <c r="BN286" s="81">
        <f t="shared" si="171"/>
        <v>0</v>
      </c>
      <c r="BO286" s="81">
        <f t="shared" si="172"/>
        <v>0</v>
      </c>
      <c r="BP286" s="81">
        <f t="shared" si="173"/>
        <v>0</v>
      </c>
      <c r="BQ286" s="81">
        <f t="shared" si="174"/>
        <v>0</v>
      </c>
      <c r="BR286" s="81">
        <f t="shared" si="175"/>
        <v>0</v>
      </c>
      <c r="BS286" s="81">
        <f t="shared" si="176"/>
        <v>0</v>
      </c>
      <c r="BT286" s="89">
        <f t="shared" si="177"/>
        <v>0</v>
      </c>
    </row>
    <row r="287" spans="1:72">
      <c r="A287" s="79"/>
      <c r="B287" s="80"/>
      <c r="C287" s="80"/>
      <c r="D287" s="2301"/>
      <c r="E287" s="81">
        <f t="shared" si="149"/>
        <v>0</v>
      </c>
      <c r="F287" s="82"/>
      <c r="G287" s="83">
        <f t="shared" si="150"/>
        <v>0</v>
      </c>
      <c r="H287" s="84">
        <f t="shared" si="151"/>
        <v>0</v>
      </c>
      <c r="I287" s="85"/>
      <c r="J287" s="85"/>
      <c r="K287" s="85"/>
      <c r="L287" s="85"/>
      <c r="M287" s="85"/>
      <c r="N287" s="85"/>
      <c r="O287" s="85"/>
      <c r="P287" s="85"/>
      <c r="Q287" s="85"/>
      <c r="R287" s="85"/>
      <c r="S287" s="85"/>
      <c r="T287" s="85"/>
      <c r="U287" s="85"/>
      <c r="V287" s="85"/>
      <c r="W287" s="85"/>
      <c r="X287" s="85"/>
      <c r="Y287" s="85"/>
      <c r="Z287" s="85"/>
      <c r="AA287" s="85"/>
      <c r="AB287" s="85"/>
      <c r="AC287" s="81">
        <f t="shared" si="152"/>
        <v>0</v>
      </c>
      <c r="AD287" s="86"/>
      <c r="AE287" s="86"/>
      <c r="AF287" s="86"/>
      <c r="AG287" s="86"/>
      <c r="AH287" s="86"/>
      <c r="AI287" s="86"/>
      <c r="AJ287" s="86"/>
      <c r="AK287" s="86"/>
      <c r="AL287" s="86"/>
      <c r="AM287" s="86"/>
      <c r="AN287" s="86"/>
      <c r="AO287" s="86"/>
      <c r="AP287" s="86"/>
      <c r="AQ287" s="86"/>
      <c r="AR287" s="86"/>
      <c r="AS287" s="86"/>
      <c r="AT287" s="82"/>
      <c r="AU287" s="87"/>
      <c r="AV287" s="818">
        <f t="shared" si="153"/>
        <v>0</v>
      </c>
      <c r="AW287" s="818">
        <f t="shared" si="154"/>
        <v>0</v>
      </c>
      <c r="AX287" s="818">
        <f t="shared" si="155"/>
        <v>0</v>
      </c>
      <c r="AY287" s="88">
        <f t="shared" si="156"/>
        <v>0</v>
      </c>
      <c r="AZ287" s="81">
        <f t="shared" si="157"/>
        <v>0</v>
      </c>
      <c r="BA287" s="81">
        <f t="shared" si="158"/>
        <v>0</v>
      </c>
      <c r="BB287" s="81">
        <f t="shared" si="159"/>
        <v>0</v>
      </c>
      <c r="BC287" s="81">
        <f t="shared" si="160"/>
        <v>0</v>
      </c>
      <c r="BD287" s="81">
        <f t="shared" si="161"/>
        <v>0</v>
      </c>
      <c r="BE287" s="81">
        <f t="shared" si="162"/>
        <v>0</v>
      </c>
      <c r="BF287" s="81">
        <f t="shared" si="163"/>
        <v>0</v>
      </c>
      <c r="BG287" s="81">
        <f t="shared" si="164"/>
        <v>0</v>
      </c>
      <c r="BH287" s="81">
        <f t="shared" si="165"/>
        <v>0</v>
      </c>
      <c r="BI287" s="81">
        <f t="shared" si="166"/>
        <v>0</v>
      </c>
      <c r="BJ287" s="81">
        <f t="shared" si="167"/>
        <v>0</v>
      </c>
      <c r="BK287" s="81">
        <f t="shared" si="168"/>
        <v>0</v>
      </c>
      <c r="BL287" s="81">
        <f t="shared" si="169"/>
        <v>0</v>
      </c>
      <c r="BM287" s="81">
        <f t="shared" si="170"/>
        <v>0</v>
      </c>
      <c r="BN287" s="81">
        <f t="shared" si="171"/>
        <v>0</v>
      </c>
      <c r="BO287" s="81">
        <f t="shared" si="172"/>
        <v>0</v>
      </c>
      <c r="BP287" s="81">
        <f t="shared" si="173"/>
        <v>0</v>
      </c>
      <c r="BQ287" s="81">
        <f t="shared" si="174"/>
        <v>0</v>
      </c>
      <c r="BR287" s="81">
        <f t="shared" si="175"/>
        <v>0</v>
      </c>
      <c r="BS287" s="81">
        <f t="shared" si="176"/>
        <v>0</v>
      </c>
      <c r="BT287" s="89">
        <f t="shared" si="177"/>
        <v>0</v>
      </c>
    </row>
    <row r="288" spans="1:72">
      <c r="A288" s="79"/>
      <c r="B288" s="80"/>
      <c r="C288" s="80"/>
      <c r="D288" s="2301"/>
      <c r="E288" s="81">
        <f t="shared" si="149"/>
        <v>0</v>
      </c>
      <c r="F288" s="82"/>
      <c r="G288" s="83">
        <f t="shared" si="150"/>
        <v>0</v>
      </c>
      <c r="H288" s="84">
        <f t="shared" si="151"/>
        <v>0</v>
      </c>
      <c r="I288" s="85"/>
      <c r="J288" s="85"/>
      <c r="K288" s="85"/>
      <c r="L288" s="85"/>
      <c r="M288" s="85"/>
      <c r="N288" s="85"/>
      <c r="O288" s="85"/>
      <c r="P288" s="85"/>
      <c r="Q288" s="85"/>
      <c r="R288" s="85"/>
      <c r="S288" s="85"/>
      <c r="T288" s="85"/>
      <c r="U288" s="85"/>
      <c r="V288" s="85"/>
      <c r="W288" s="85"/>
      <c r="X288" s="85"/>
      <c r="Y288" s="85"/>
      <c r="Z288" s="85"/>
      <c r="AA288" s="85"/>
      <c r="AB288" s="85"/>
      <c r="AC288" s="81">
        <f t="shared" si="152"/>
        <v>0</v>
      </c>
      <c r="AD288" s="86"/>
      <c r="AE288" s="86"/>
      <c r="AF288" s="86"/>
      <c r="AG288" s="86"/>
      <c r="AH288" s="86"/>
      <c r="AI288" s="86"/>
      <c r="AJ288" s="86"/>
      <c r="AK288" s="86"/>
      <c r="AL288" s="86"/>
      <c r="AM288" s="86"/>
      <c r="AN288" s="86"/>
      <c r="AO288" s="86"/>
      <c r="AP288" s="86"/>
      <c r="AQ288" s="86"/>
      <c r="AR288" s="86"/>
      <c r="AS288" s="86"/>
      <c r="AT288" s="82"/>
      <c r="AU288" s="87"/>
      <c r="AV288" s="818">
        <f t="shared" si="153"/>
        <v>0</v>
      </c>
      <c r="AW288" s="818">
        <f t="shared" si="154"/>
        <v>0</v>
      </c>
      <c r="AX288" s="818">
        <f t="shared" si="155"/>
        <v>0</v>
      </c>
      <c r="AY288" s="88">
        <f t="shared" si="156"/>
        <v>0</v>
      </c>
      <c r="AZ288" s="81">
        <f t="shared" si="157"/>
        <v>0</v>
      </c>
      <c r="BA288" s="81">
        <f t="shared" si="158"/>
        <v>0</v>
      </c>
      <c r="BB288" s="81">
        <f t="shared" si="159"/>
        <v>0</v>
      </c>
      <c r="BC288" s="81">
        <f t="shared" si="160"/>
        <v>0</v>
      </c>
      <c r="BD288" s="81">
        <f t="shared" si="161"/>
        <v>0</v>
      </c>
      <c r="BE288" s="81">
        <f t="shared" si="162"/>
        <v>0</v>
      </c>
      <c r="BF288" s="81">
        <f t="shared" si="163"/>
        <v>0</v>
      </c>
      <c r="BG288" s="81">
        <f t="shared" si="164"/>
        <v>0</v>
      </c>
      <c r="BH288" s="81">
        <f t="shared" si="165"/>
        <v>0</v>
      </c>
      <c r="BI288" s="81">
        <f t="shared" si="166"/>
        <v>0</v>
      </c>
      <c r="BJ288" s="81">
        <f t="shared" si="167"/>
        <v>0</v>
      </c>
      <c r="BK288" s="81">
        <f t="shared" si="168"/>
        <v>0</v>
      </c>
      <c r="BL288" s="81">
        <f t="shared" si="169"/>
        <v>0</v>
      </c>
      <c r="BM288" s="81">
        <f t="shared" si="170"/>
        <v>0</v>
      </c>
      <c r="BN288" s="81">
        <f t="shared" si="171"/>
        <v>0</v>
      </c>
      <c r="BO288" s="81">
        <f t="shared" si="172"/>
        <v>0</v>
      </c>
      <c r="BP288" s="81">
        <f t="shared" si="173"/>
        <v>0</v>
      </c>
      <c r="BQ288" s="81">
        <f t="shared" si="174"/>
        <v>0</v>
      </c>
      <c r="BR288" s="81">
        <f t="shared" si="175"/>
        <v>0</v>
      </c>
      <c r="BS288" s="81">
        <f t="shared" si="176"/>
        <v>0</v>
      </c>
      <c r="BT288" s="89">
        <f t="shared" si="177"/>
        <v>0</v>
      </c>
    </row>
    <row r="289" spans="1:72">
      <c r="A289" s="79"/>
      <c r="B289" s="80"/>
      <c r="C289" s="80"/>
      <c r="D289" s="2301"/>
      <c r="E289" s="81">
        <f t="shared" si="149"/>
        <v>0</v>
      </c>
      <c r="F289" s="82"/>
      <c r="G289" s="83">
        <f t="shared" si="150"/>
        <v>0</v>
      </c>
      <c r="H289" s="84">
        <f t="shared" si="151"/>
        <v>0</v>
      </c>
      <c r="I289" s="85"/>
      <c r="J289" s="85"/>
      <c r="K289" s="85"/>
      <c r="L289" s="85"/>
      <c r="M289" s="85"/>
      <c r="N289" s="85"/>
      <c r="O289" s="85"/>
      <c r="P289" s="85"/>
      <c r="Q289" s="85"/>
      <c r="R289" s="85"/>
      <c r="S289" s="85"/>
      <c r="T289" s="85"/>
      <c r="U289" s="85"/>
      <c r="V289" s="85"/>
      <c r="W289" s="85"/>
      <c r="X289" s="85"/>
      <c r="Y289" s="85"/>
      <c r="Z289" s="85"/>
      <c r="AA289" s="85"/>
      <c r="AB289" s="85"/>
      <c r="AC289" s="81">
        <f t="shared" si="152"/>
        <v>0</v>
      </c>
      <c r="AD289" s="86"/>
      <c r="AE289" s="86"/>
      <c r="AF289" s="86"/>
      <c r="AG289" s="86"/>
      <c r="AH289" s="86"/>
      <c r="AI289" s="86"/>
      <c r="AJ289" s="86"/>
      <c r="AK289" s="86"/>
      <c r="AL289" s="86"/>
      <c r="AM289" s="86"/>
      <c r="AN289" s="86"/>
      <c r="AO289" s="86"/>
      <c r="AP289" s="86"/>
      <c r="AQ289" s="86"/>
      <c r="AR289" s="86"/>
      <c r="AS289" s="86"/>
      <c r="AT289" s="82"/>
      <c r="AU289" s="87"/>
      <c r="AV289" s="818">
        <f t="shared" si="153"/>
        <v>0</v>
      </c>
      <c r="AW289" s="818">
        <f t="shared" si="154"/>
        <v>0</v>
      </c>
      <c r="AX289" s="818">
        <f t="shared" si="155"/>
        <v>0</v>
      </c>
      <c r="AY289" s="88">
        <f t="shared" si="156"/>
        <v>0</v>
      </c>
      <c r="AZ289" s="81">
        <f t="shared" si="157"/>
        <v>0</v>
      </c>
      <c r="BA289" s="81">
        <f t="shared" si="158"/>
        <v>0</v>
      </c>
      <c r="BB289" s="81">
        <f t="shared" si="159"/>
        <v>0</v>
      </c>
      <c r="BC289" s="81">
        <f t="shared" si="160"/>
        <v>0</v>
      </c>
      <c r="BD289" s="81">
        <f t="shared" si="161"/>
        <v>0</v>
      </c>
      <c r="BE289" s="81">
        <f t="shared" si="162"/>
        <v>0</v>
      </c>
      <c r="BF289" s="81">
        <f t="shared" si="163"/>
        <v>0</v>
      </c>
      <c r="BG289" s="81">
        <f t="shared" si="164"/>
        <v>0</v>
      </c>
      <c r="BH289" s="81">
        <f t="shared" si="165"/>
        <v>0</v>
      </c>
      <c r="BI289" s="81">
        <f t="shared" si="166"/>
        <v>0</v>
      </c>
      <c r="BJ289" s="81">
        <f t="shared" si="167"/>
        <v>0</v>
      </c>
      <c r="BK289" s="81">
        <f t="shared" si="168"/>
        <v>0</v>
      </c>
      <c r="BL289" s="81">
        <f t="shared" si="169"/>
        <v>0</v>
      </c>
      <c r="BM289" s="81">
        <f t="shared" si="170"/>
        <v>0</v>
      </c>
      <c r="BN289" s="81">
        <f t="shared" si="171"/>
        <v>0</v>
      </c>
      <c r="BO289" s="81">
        <f t="shared" si="172"/>
        <v>0</v>
      </c>
      <c r="BP289" s="81">
        <f t="shared" si="173"/>
        <v>0</v>
      </c>
      <c r="BQ289" s="81">
        <f t="shared" si="174"/>
        <v>0</v>
      </c>
      <c r="BR289" s="81">
        <f t="shared" si="175"/>
        <v>0</v>
      </c>
      <c r="BS289" s="81">
        <f t="shared" si="176"/>
        <v>0</v>
      </c>
      <c r="BT289" s="89">
        <f t="shared" si="177"/>
        <v>0</v>
      </c>
    </row>
    <row r="290" spans="1:72">
      <c r="A290" s="79"/>
      <c r="B290" s="80"/>
      <c r="C290" s="80"/>
      <c r="D290" s="2301"/>
      <c r="E290" s="81">
        <f t="shared" si="149"/>
        <v>0</v>
      </c>
      <c r="F290" s="82"/>
      <c r="G290" s="83">
        <f t="shared" si="150"/>
        <v>0</v>
      </c>
      <c r="H290" s="84">
        <f t="shared" si="151"/>
        <v>0</v>
      </c>
      <c r="I290" s="85"/>
      <c r="J290" s="85"/>
      <c r="K290" s="85"/>
      <c r="L290" s="85"/>
      <c r="M290" s="85"/>
      <c r="N290" s="85"/>
      <c r="O290" s="85"/>
      <c r="P290" s="85"/>
      <c r="Q290" s="85"/>
      <c r="R290" s="85"/>
      <c r="S290" s="85"/>
      <c r="T290" s="85"/>
      <c r="U290" s="85"/>
      <c r="V290" s="85"/>
      <c r="W290" s="85"/>
      <c r="X290" s="85"/>
      <c r="Y290" s="85"/>
      <c r="Z290" s="85"/>
      <c r="AA290" s="85"/>
      <c r="AB290" s="85"/>
      <c r="AC290" s="81">
        <f t="shared" si="152"/>
        <v>0</v>
      </c>
      <c r="AD290" s="86"/>
      <c r="AE290" s="86"/>
      <c r="AF290" s="86"/>
      <c r="AG290" s="86"/>
      <c r="AH290" s="86"/>
      <c r="AI290" s="86"/>
      <c r="AJ290" s="86"/>
      <c r="AK290" s="86"/>
      <c r="AL290" s="86"/>
      <c r="AM290" s="86"/>
      <c r="AN290" s="86"/>
      <c r="AO290" s="86"/>
      <c r="AP290" s="86"/>
      <c r="AQ290" s="86"/>
      <c r="AR290" s="86"/>
      <c r="AS290" s="86"/>
      <c r="AT290" s="82"/>
      <c r="AU290" s="87"/>
      <c r="AV290" s="818">
        <f t="shared" si="153"/>
        <v>0</v>
      </c>
      <c r="AW290" s="818">
        <f t="shared" si="154"/>
        <v>0</v>
      </c>
      <c r="AX290" s="818">
        <f t="shared" si="155"/>
        <v>0</v>
      </c>
      <c r="AY290" s="88">
        <f t="shared" si="156"/>
        <v>0</v>
      </c>
      <c r="AZ290" s="81">
        <f t="shared" si="157"/>
        <v>0</v>
      </c>
      <c r="BA290" s="81">
        <f t="shared" si="158"/>
        <v>0</v>
      </c>
      <c r="BB290" s="81">
        <f t="shared" si="159"/>
        <v>0</v>
      </c>
      <c r="BC290" s="81">
        <f t="shared" si="160"/>
        <v>0</v>
      </c>
      <c r="BD290" s="81">
        <f t="shared" si="161"/>
        <v>0</v>
      </c>
      <c r="BE290" s="81">
        <f t="shared" si="162"/>
        <v>0</v>
      </c>
      <c r="BF290" s="81">
        <f t="shared" si="163"/>
        <v>0</v>
      </c>
      <c r="BG290" s="81">
        <f t="shared" si="164"/>
        <v>0</v>
      </c>
      <c r="BH290" s="81">
        <f t="shared" si="165"/>
        <v>0</v>
      </c>
      <c r="BI290" s="81">
        <f t="shared" si="166"/>
        <v>0</v>
      </c>
      <c r="BJ290" s="81">
        <f t="shared" si="167"/>
        <v>0</v>
      </c>
      <c r="BK290" s="81">
        <f t="shared" si="168"/>
        <v>0</v>
      </c>
      <c r="BL290" s="81">
        <f t="shared" si="169"/>
        <v>0</v>
      </c>
      <c r="BM290" s="81">
        <f t="shared" si="170"/>
        <v>0</v>
      </c>
      <c r="BN290" s="81">
        <f t="shared" si="171"/>
        <v>0</v>
      </c>
      <c r="BO290" s="81">
        <f t="shared" si="172"/>
        <v>0</v>
      </c>
      <c r="BP290" s="81">
        <f t="shared" si="173"/>
        <v>0</v>
      </c>
      <c r="BQ290" s="81">
        <f t="shared" si="174"/>
        <v>0</v>
      </c>
      <c r="BR290" s="81">
        <f t="shared" si="175"/>
        <v>0</v>
      </c>
      <c r="BS290" s="81">
        <f t="shared" si="176"/>
        <v>0</v>
      </c>
      <c r="BT290" s="89">
        <f t="shared" si="177"/>
        <v>0</v>
      </c>
    </row>
    <row r="291" spans="1:72">
      <c r="A291" s="79"/>
      <c r="B291" s="80"/>
      <c r="C291" s="80"/>
      <c r="D291" s="2301"/>
      <c r="E291" s="81">
        <f t="shared" si="149"/>
        <v>0</v>
      </c>
      <c r="F291" s="82"/>
      <c r="G291" s="83">
        <f t="shared" si="150"/>
        <v>0</v>
      </c>
      <c r="H291" s="84">
        <f t="shared" si="151"/>
        <v>0</v>
      </c>
      <c r="I291" s="85"/>
      <c r="J291" s="85"/>
      <c r="K291" s="85"/>
      <c r="L291" s="85"/>
      <c r="M291" s="85"/>
      <c r="N291" s="85"/>
      <c r="O291" s="85"/>
      <c r="P291" s="85"/>
      <c r="Q291" s="85"/>
      <c r="R291" s="85"/>
      <c r="S291" s="85"/>
      <c r="T291" s="85"/>
      <c r="U291" s="85"/>
      <c r="V291" s="85"/>
      <c r="W291" s="85"/>
      <c r="X291" s="85"/>
      <c r="Y291" s="85"/>
      <c r="Z291" s="85"/>
      <c r="AA291" s="85"/>
      <c r="AB291" s="85"/>
      <c r="AC291" s="81">
        <f t="shared" si="152"/>
        <v>0</v>
      </c>
      <c r="AD291" s="86"/>
      <c r="AE291" s="86"/>
      <c r="AF291" s="86"/>
      <c r="AG291" s="86"/>
      <c r="AH291" s="86"/>
      <c r="AI291" s="86"/>
      <c r="AJ291" s="86"/>
      <c r="AK291" s="86"/>
      <c r="AL291" s="86"/>
      <c r="AM291" s="86"/>
      <c r="AN291" s="86"/>
      <c r="AO291" s="86"/>
      <c r="AP291" s="86"/>
      <c r="AQ291" s="86"/>
      <c r="AR291" s="86"/>
      <c r="AS291" s="86"/>
      <c r="AT291" s="82"/>
      <c r="AU291" s="87"/>
      <c r="AV291" s="818">
        <f t="shared" si="153"/>
        <v>0</v>
      </c>
      <c r="AW291" s="818">
        <f t="shared" si="154"/>
        <v>0</v>
      </c>
      <c r="AX291" s="818">
        <f t="shared" si="155"/>
        <v>0</v>
      </c>
      <c r="AY291" s="88">
        <f t="shared" si="156"/>
        <v>0</v>
      </c>
      <c r="AZ291" s="81">
        <f t="shared" si="157"/>
        <v>0</v>
      </c>
      <c r="BA291" s="81">
        <f t="shared" si="158"/>
        <v>0</v>
      </c>
      <c r="BB291" s="81">
        <f t="shared" si="159"/>
        <v>0</v>
      </c>
      <c r="BC291" s="81">
        <f t="shared" si="160"/>
        <v>0</v>
      </c>
      <c r="BD291" s="81">
        <f t="shared" si="161"/>
        <v>0</v>
      </c>
      <c r="BE291" s="81">
        <f t="shared" si="162"/>
        <v>0</v>
      </c>
      <c r="BF291" s="81">
        <f t="shared" si="163"/>
        <v>0</v>
      </c>
      <c r="BG291" s="81">
        <f t="shared" si="164"/>
        <v>0</v>
      </c>
      <c r="BH291" s="81">
        <f t="shared" si="165"/>
        <v>0</v>
      </c>
      <c r="BI291" s="81">
        <f t="shared" si="166"/>
        <v>0</v>
      </c>
      <c r="BJ291" s="81">
        <f t="shared" si="167"/>
        <v>0</v>
      </c>
      <c r="BK291" s="81">
        <f t="shared" si="168"/>
        <v>0</v>
      </c>
      <c r="BL291" s="81">
        <f t="shared" si="169"/>
        <v>0</v>
      </c>
      <c r="BM291" s="81">
        <f t="shared" si="170"/>
        <v>0</v>
      </c>
      <c r="BN291" s="81">
        <f t="shared" si="171"/>
        <v>0</v>
      </c>
      <c r="BO291" s="81">
        <f t="shared" si="172"/>
        <v>0</v>
      </c>
      <c r="BP291" s="81">
        <f t="shared" si="173"/>
        <v>0</v>
      </c>
      <c r="BQ291" s="81">
        <f t="shared" si="174"/>
        <v>0</v>
      </c>
      <c r="BR291" s="81">
        <f t="shared" si="175"/>
        <v>0</v>
      </c>
      <c r="BS291" s="81">
        <f t="shared" si="176"/>
        <v>0</v>
      </c>
      <c r="BT291" s="89">
        <f t="shared" si="177"/>
        <v>0</v>
      </c>
    </row>
    <row r="292" spans="1:72">
      <c r="A292" s="79"/>
      <c r="B292" s="80"/>
      <c r="C292" s="80"/>
      <c r="D292" s="2301"/>
      <c r="E292" s="81">
        <f t="shared" si="149"/>
        <v>0</v>
      </c>
      <c r="F292" s="82"/>
      <c r="G292" s="83">
        <f t="shared" si="150"/>
        <v>0</v>
      </c>
      <c r="H292" s="84">
        <f t="shared" si="151"/>
        <v>0</v>
      </c>
      <c r="I292" s="85"/>
      <c r="J292" s="85"/>
      <c r="K292" s="85"/>
      <c r="L292" s="85"/>
      <c r="M292" s="85"/>
      <c r="N292" s="85"/>
      <c r="O292" s="85"/>
      <c r="P292" s="85"/>
      <c r="Q292" s="85"/>
      <c r="R292" s="85"/>
      <c r="S292" s="85"/>
      <c r="T292" s="85"/>
      <c r="U292" s="85"/>
      <c r="V292" s="85"/>
      <c r="W292" s="85"/>
      <c r="X292" s="85"/>
      <c r="Y292" s="85"/>
      <c r="Z292" s="85"/>
      <c r="AA292" s="85"/>
      <c r="AB292" s="85"/>
      <c r="AC292" s="81">
        <f t="shared" si="152"/>
        <v>0</v>
      </c>
      <c r="AD292" s="86"/>
      <c r="AE292" s="86"/>
      <c r="AF292" s="86"/>
      <c r="AG292" s="86"/>
      <c r="AH292" s="86"/>
      <c r="AI292" s="86"/>
      <c r="AJ292" s="86"/>
      <c r="AK292" s="86"/>
      <c r="AL292" s="86"/>
      <c r="AM292" s="86"/>
      <c r="AN292" s="86"/>
      <c r="AO292" s="86"/>
      <c r="AP292" s="86"/>
      <c r="AQ292" s="86"/>
      <c r="AR292" s="86"/>
      <c r="AS292" s="86"/>
      <c r="AT292" s="82"/>
      <c r="AU292" s="87"/>
      <c r="AV292" s="818">
        <f t="shared" si="153"/>
        <v>0</v>
      </c>
      <c r="AW292" s="818">
        <f t="shared" si="154"/>
        <v>0</v>
      </c>
      <c r="AX292" s="818">
        <f t="shared" si="155"/>
        <v>0</v>
      </c>
      <c r="AY292" s="88">
        <f t="shared" si="156"/>
        <v>0</v>
      </c>
      <c r="AZ292" s="81">
        <f t="shared" si="157"/>
        <v>0</v>
      </c>
      <c r="BA292" s="81">
        <f t="shared" si="158"/>
        <v>0</v>
      </c>
      <c r="BB292" s="81">
        <f t="shared" si="159"/>
        <v>0</v>
      </c>
      <c r="BC292" s="81">
        <f t="shared" si="160"/>
        <v>0</v>
      </c>
      <c r="BD292" s="81">
        <f t="shared" si="161"/>
        <v>0</v>
      </c>
      <c r="BE292" s="81">
        <f t="shared" si="162"/>
        <v>0</v>
      </c>
      <c r="BF292" s="81">
        <f t="shared" si="163"/>
        <v>0</v>
      </c>
      <c r="BG292" s="81">
        <f t="shared" si="164"/>
        <v>0</v>
      </c>
      <c r="BH292" s="81">
        <f t="shared" si="165"/>
        <v>0</v>
      </c>
      <c r="BI292" s="81">
        <f t="shared" si="166"/>
        <v>0</v>
      </c>
      <c r="BJ292" s="81">
        <f t="shared" si="167"/>
        <v>0</v>
      </c>
      <c r="BK292" s="81">
        <f t="shared" si="168"/>
        <v>0</v>
      </c>
      <c r="BL292" s="81">
        <f t="shared" si="169"/>
        <v>0</v>
      </c>
      <c r="BM292" s="81">
        <f t="shared" si="170"/>
        <v>0</v>
      </c>
      <c r="BN292" s="81">
        <f t="shared" si="171"/>
        <v>0</v>
      </c>
      <c r="BO292" s="81">
        <f t="shared" si="172"/>
        <v>0</v>
      </c>
      <c r="BP292" s="81">
        <f t="shared" si="173"/>
        <v>0</v>
      </c>
      <c r="BQ292" s="81">
        <f t="shared" si="174"/>
        <v>0</v>
      </c>
      <c r="BR292" s="81">
        <f t="shared" si="175"/>
        <v>0</v>
      </c>
      <c r="BS292" s="81">
        <f t="shared" si="176"/>
        <v>0</v>
      </c>
      <c r="BT292" s="89">
        <f t="shared" si="177"/>
        <v>0</v>
      </c>
    </row>
    <row r="293" spans="1:72">
      <c r="A293" s="79"/>
      <c r="B293" s="80"/>
      <c r="C293" s="80"/>
      <c r="D293" s="2301"/>
      <c r="E293" s="81">
        <f t="shared" si="149"/>
        <v>0</v>
      </c>
      <c r="F293" s="82"/>
      <c r="G293" s="83">
        <f t="shared" si="150"/>
        <v>0</v>
      </c>
      <c r="H293" s="84">
        <f t="shared" si="151"/>
        <v>0</v>
      </c>
      <c r="I293" s="85"/>
      <c r="J293" s="85"/>
      <c r="K293" s="85"/>
      <c r="L293" s="85"/>
      <c r="M293" s="85"/>
      <c r="N293" s="85"/>
      <c r="O293" s="85"/>
      <c r="P293" s="85"/>
      <c r="Q293" s="85"/>
      <c r="R293" s="85"/>
      <c r="S293" s="85"/>
      <c r="T293" s="85"/>
      <c r="U293" s="85"/>
      <c r="V293" s="85"/>
      <c r="W293" s="85"/>
      <c r="X293" s="85"/>
      <c r="Y293" s="85"/>
      <c r="Z293" s="85"/>
      <c r="AA293" s="85"/>
      <c r="AB293" s="85"/>
      <c r="AC293" s="81">
        <f t="shared" si="152"/>
        <v>0</v>
      </c>
      <c r="AD293" s="86"/>
      <c r="AE293" s="86"/>
      <c r="AF293" s="86"/>
      <c r="AG293" s="86"/>
      <c r="AH293" s="86"/>
      <c r="AI293" s="86"/>
      <c r="AJ293" s="86"/>
      <c r="AK293" s="86"/>
      <c r="AL293" s="86"/>
      <c r="AM293" s="86"/>
      <c r="AN293" s="86"/>
      <c r="AO293" s="86"/>
      <c r="AP293" s="86"/>
      <c r="AQ293" s="86"/>
      <c r="AR293" s="86"/>
      <c r="AS293" s="86"/>
      <c r="AT293" s="82"/>
      <c r="AU293" s="87"/>
      <c r="AV293" s="818">
        <f t="shared" si="153"/>
        <v>0</v>
      </c>
      <c r="AW293" s="818">
        <f t="shared" si="154"/>
        <v>0</v>
      </c>
      <c r="AX293" s="818">
        <f t="shared" si="155"/>
        <v>0</v>
      </c>
      <c r="AY293" s="88">
        <f t="shared" si="156"/>
        <v>0</v>
      </c>
      <c r="AZ293" s="81">
        <f t="shared" si="157"/>
        <v>0</v>
      </c>
      <c r="BA293" s="81">
        <f t="shared" si="158"/>
        <v>0</v>
      </c>
      <c r="BB293" s="81">
        <f t="shared" si="159"/>
        <v>0</v>
      </c>
      <c r="BC293" s="81">
        <f t="shared" si="160"/>
        <v>0</v>
      </c>
      <c r="BD293" s="81">
        <f t="shared" si="161"/>
        <v>0</v>
      </c>
      <c r="BE293" s="81">
        <f t="shared" si="162"/>
        <v>0</v>
      </c>
      <c r="BF293" s="81">
        <f t="shared" si="163"/>
        <v>0</v>
      </c>
      <c r="BG293" s="81">
        <f t="shared" si="164"/>
        <v>0</v>
      </c>
      <c r="BH293" s="81">
        <f t="shared" si="165"/>
        <v>0</v>
      </c>
      <c r="BI293" s="81">
        <f t="shared" si="166"/>
        <v>0</v>
      </c>
      <c r="BJ293" s="81">
        <f t="shared" si="167"/>
        <v>0</v>
      </c>
      <c r="BK293" s="81">
        <f t="shared" si="168"/>
        <v>0</v>
      </c>
      <c r="BL293" s="81">
        <f t="shared" si="169"/>
        <v>0</v>
      </c>
      <c r="BM293" s="81">
        <f t="shared" si="170"/>
        <v>0</v>
      </c>
      <c r="BN293" s="81">
        <f t="shared" si="171"/>
        <v>0</v>
      </c>
      <c r="BO293" s="81">
        <f t="shared" si="172"/>
        <v>0</v>
      </c>
      <c r="BP293" s="81">
        <f t="shared" si="173"/>
        <v>0</v>
      </c>
      <c r="BQ293" s="81">
        <f t="shared" si="174"/>
        <v>0</v>
      </c>
      <c r="BR293" s="81">
        <f t="shared" si="175"/>
        <v>0</v>
      </c>
      <c r="BS293" s="81">
        <f t="shared" si="176"/>
        <v>0</v>
      </c>
      <c r="BT293" s="89">
        <f t="shared" si="177"/>
        <v>0</v>
      </c>
    </row>
    <row r="294" spans="1:72">
      <c r="A294" s="79"/>
      <c r="B294" s="79"/>
      <c r="C294" s="79"/>
      <c r="D294" s="2301"/>
      <c r="E294" s="81">
        <f t="shared" si="149"/>
        <v>0</v>
      </c>
      <c r="F294" s="86"/>
      <c r="G294" s="83">
        <f t="shared" ref="G294:G325" si="178">H294+AC294+AT294</f>
        <v>0</v>
      </c>
      <c r="H294" s="84">
        <f t="shared" ref="H294:H325" si="179">SUMIF(I$12:AB$12,"总值",I294:AB294)</f>
        <v>0</v>
      </c>
      <c r="I294" s="90"/>
      <c r="J294" s="90"/>
      <c r="K294" s="85"/>
      <c r="L294" s="85"/>
      <c r="M294" s="85"/>
      <c r="N294" s="85"/>
      <c r="O294" s="85"/>
      <c r="P294" s="85"/>
      <c r="Q294" s="85"/>
      <c r="R294" s="85"/>
      <c r="S294" s="85"/>
      <c r="T294" s="85"/>
      <c r="U294" s="85"/>
      <c r="V294" s="85"/>
      <c r="W294" s="85"/>
      <c r="X294" s="85"/>
      <c r="Y294" s="85"/>
      <c r="Z294" s="85"/>
      <c r="AA294" s="85"/>
      <c r="AB294" s="85"/>
      <c r="AC294" s="81">
        <f t="shared" ref="AC294:AC325" si="180">SUMIF(AD$12:AS$12,"总值",AD294:AS294)</f>
        <v>0</v>
      </c>
      <c r="AD294" s="86"/>
      <c r="AE294" s="86"/>
      <c r="AF294" s="86"/>
      <c r="AG294" s="86"/>
      <c r="AH294" s="86"/>
      <c r="AI294" s="86"/>
      <c r="AJ294" s="86"/>
      <c r="AK294" s="86"/>
      <c r="AL294" s="86"/>
      <c r="AM294" s="86"/>
      <c r="AN294" s="86"/>
      <c r="AO294" s="86"/>
      <c r="AP294" s="86"/>
      <c r="AQ294" s="86"/>
      <c r="AR294" s="86"/>
      <c r="AS294" s="86"/>
      <c r="AT294" s="86"/>
      <c r="AU294" s="91"/>
      <c r="AV294" s="818">
        <f t="shared" si="153"/>
        <v>0</v>
      </c>
      <c r="AW294" s="818">
        <f t="shared" si="154"/>
        <v>0</v>
      </c>
      <c r="AX294" s="818">
        <f t="shared" si="155"/>
        <v>0</v>
      </c>
      <c r="AY294" s="88">
        <f t="shared" ref="AY294:AY325" si="181">ROUND($AY$6*AZ294/$AZ$5,2)</f>
        <v>0</v>
      </c>
      <c r="AZ294" s="81">
        <f t="shared" ref="AZ294:AZ325" si="182">BA294+BL294</f>
        <v>0</v>
      </c>
      <c r="BA294" s="81">
        <f t="shared" ref="BA294:BA325" si="183">SUM(BB294:BK294)</f>
        <v>0</v>
      </c>
      <c r="BB294" s="81">
        <f t="shared" ref="BB294:BB325" si="184">IF($D294="是",I294-J294,0)</f>
        <v>0</v>
      </c>
      <c r="BC294" s="81">
        <f t="shared" ref="BC294:BC325" si="185">IF($D294="是",K294-L294,0)</f>
        <v>0</v>
      </c>
      <c r="BD294" s="81">
        <f t="shared" ref="BD294:BD325" si="186">IF($D294="是",M294-N294,0)</f>
        <v>0</v>
      </c>
      <c r="BE294" s="81">
        <f t="shared" ref="BE294:BE325" si="187">IF($D294="是",O294-P294,0)</f>
        <v>0</v>
      </c>
      <c r="BF294" s="81">
        <f t="shared" ref="BF294:BF325" si="188">IF($D294="是",Q294-R294,0)</f>
        <v>0</v>
      </c>
      <c r="BG294" s="81">
        <f t="shared" ref="BG294:BG325" si="189">IF($D294="是",S294-T294,0)</f>
        <v>0</v>
      </c>
      <c r="BH294" s="81">
        <f t="shared" ref="BH294:BH325" si="190">IF($D294="是",U294-V294,0)</f>
        <v>0</v>
      </c>
      <c r="BI294" s="81">
        <f t="shared" ref="BI294:BI325" si="191">IF($D294="是",W294-X294,0)</f>
        <v>0</v>
      </c>
      <c r="BJ294" s="81">
        <f t="shared" ref="BJ294:BJ325" si="192">IF($D294="是",Y294-Z294,0)</f>
        <v>0</v>
      </c>
      <c r="BK294" s="81">
        <f t="shared" ref="BK294:BK325" si="193">IF($D294="是",AA294-AB294,0)</f>
        <v>0</v>
      </c>
      <c r="BL294" s="81">
        <f t="shared" ref="BL294:BL325" si="194">SUM(BM294:BT294)</f>
        <v>0</v>
      </c>
      <c r="BM294" s="81">
        <f t="shared" ref="BM294:BM325" si="195">IF($D294="是",AD294-AE294,0)</f>
        <v>0</v>
      </c>
      <c r="BN294" s="81">
        <f t="shared" ref="BN294:BN325" si="196">IF($D294="是",AF294-AG294,0)</f>
        <v>0</v>
      </c>
      <c r="BO294" s="81">
        <f t="shared" ref="BO294:BO325" si="197">IF($D294="是",AH294-AI294,0)</f>
        <v>0</v>
      </c>
      <c r="BP294" s="81">
        <f t="shared" ref="BP294:BP325" si="198">IF($D294="是",AJ294-AK294,0)</f>
        <v>0</v>
      </c>
      <c r="BQ294" s="81">
        <f t="shared" ref="BQ294:BQ325" si="199">IF($D294="是",AL294-AM294,0)</f>
        <v>0</v>
      </c>
      <c r="BR294" s="81">
        <f t="shared" ref="BR294:BR325" si="200">IF($D294="是",AN294-AO294,0)</f>
        <v>0</v>
      </c>
      <c r="BS294" s="81">
        <f t="shared" ref="BS294:BS325" si="201">IF($D294="是",AP294-AQ294,0)</f>
        <v>0</v>
      </c>
      <c r="BT294" s="89">
        <f t="shared" ref="BT294:BT325" si="202">IF($D294="是",AR294-AS294,0)</f>
        <v>0</v>
      </c>
    </row>
    <row r="295" spans="1:72">
      <c r="A295" s="79"/>
      <c r="B295" s="79"/>
      <c r="C295" s="79"/>
      <c r="D295" s="2301"/>
      <c r="E295" s="81">
        <f t="shared" si="149"/>
        <v>0</v>
      </c>
      <c r="F295" s="86"/>
      <c r="G295" s="83">
        <f t="shared" si="178"/>
        <v>0</v>
      </c>
      <c r="H295" s="84">
        <f t="shared" si="179"/>
        <v>0</v>
      </c>
      <c r="I295" s="85"/>
      <c r="J295" s="85"/>
      <c r="K295" s="85"/>
      <c r="L295" s="85"/>
      <c r="M295" s="85"/>
      <c r="N295" s="85"/>
      <c r="O295" s="85"/>
      <c r="P295" s="85"/>
      <c r="Q295" s="85"/>
      <c r="R295" s="85"/>
      <c r="S295" s="85"/>
      <c r="T295" s="85"/>
      <c r="U295" s="85"/>
      <c r="V295" s="85"/>
      <c r="W295" s="85"/>
      <c r="X295" s="85"/>
      <c r="Y295" s="85"/>
      <c r="Z295" s="85"/>
      <c r="AA295" s="85"/>
      <c r="AB295" s="85"/>
      <c r="AC295" s="81">
        <f t="shared" si="180"/>
        <v>0</v>
      </c>
      <c r="AD295" s="86"/>
      <c r="AE295" s="86"/>
      <c r="AF295" s="86"/>
      <c r="AG295" s="86"/>
      <c r="AH295" s="86"/>
      <c r="AI295" s="86"/>
      <c r="AJ295" s="86"/>
      <c r="AK295" s="86"/>
      <c r="AL295" s="86"/>
      <c r="AM295" s="86"/>
      <c r="AN295" s="86"/>
      <c r="AO295" s="86"/>
      <c r="AP295" s="86"/>
      <c r="AQ295" s="86"/>
      <c r="AR295" s="86"/>
      <c r="AS295" s="86"/>
      <c r="AT295" s="86"/>
      <c r="AU295" s="91"/>
      <c r="AV295" s="818">
        <f t="shared" si="153"/>
        <v>0</v>
      </c>
      <c r="AW295" s="818">
        <f t="shared" si="154"/>
        <v>0</v>
      </c>
      <c r="AX295" s="818">
        <f t="shared" si="155"/>
        <v>0</v>
      </c>
      <c r="AY295" s="88">
        <f t="shared" si="181"/>
        <v>0</v>
      </c>
      <c r="AZ295" s="81">
        <f t="shared" si="182"/>
        <v>0</v>
      </c>
      <c r="BA295" s="81">
        <f t="shared" si="183"/>
        <v>0</v>
      </c>
      <c r="BB295" s="81">
        <f t="shared" si="184"/>
        <v>0</v>
      </c>
      <c r="BC295" s="81">
        <f t="shared" si="185"/>
        <v>0</v>
      </c>
      <c r="BD295" s="81">
        <f t="shared" si="186"/>
        <v>0</v>
      </c>
      <c r="BE295" s="81">
        <f t="shared" si="187"/>
        <v>0</v>
      </c>
      <c r="BF295" s="81">
        <f t="shared" si="188"/>
        <v>0</v>
      </c>
      <c r="BG295" s="81">
        <f t="shared" si="189"/>
        <v>0</v>
      </c>
      <c r="BH295" s="81">
        <f t="shared" si="190"/>
        <v>0</v>
      </c>
      <c r="BI295" s="81">
        <f t="shared" si="191"/>
        <v>0</v>
      </c>
      <c r="BJ295" s="81">
        <f t="shared" si="192"/>
        <v>0</v>
      </c>
      <c r="BK295" s="81">
        <f t="shared" si="193"/>
        <v>0</v>
      </c>
      <c r="BL295" s="81">
        <f t="shared" si="194"/>
        <v>0</v>
      </c>
      <c r="BM295" s="81">
        <f t="shared" si="195"/>
        <v>0</v>
      </c>
      <c r="BN295" s="81">
        <f t="shared" si="196"/>
        <v>0</v>
      </c>
      <c r="BO295" s="81">
        <f t="shared" si="197"/>
        <v>0</v>
      </c>
      <c r="BP295" s="81">
        <f t="shared" si="198"/>
        <v>0</v>
      </c>
      <c r="BQ295" s="81">
        <f t="shared" si="199"/>
        <v>0</v>
      </c>
      <c r="BR295" s="81">
        <f t="shared" si="200"/>
        <v>0</v>
      </c>
      <c r="BS295" s="81">
        <f t="shared" si="201"/>
        <v>0</v>
      </c>
      <c r="BT295" s="89">
        <f t="shared" si="202"/>
        <v>0</v>
      </c>
    </row>
    <row r="296" spans="1:72">
      <c r="A296" s="79"/>
      <c r="B296" s="79"/>
      <c r="C296" s="79"/>
      <c r="D296" s="2301"/>
      <c r="E296" s="81">
        <f t="shared" si="149"/>
        <v>0</v>
      </c>
      <c r="F296" s="86"/>
      <c r="G296" s="83">
        <f t="shared" si="178"/>
        <v>0</v>
      </c>
      <c r="H296" s="84">
        <f t="shared" si="179"/>
        <v>0</v>
      </c>
      <c r="I296" s="85"/>
      <c r="J296" s="85"/>
      <c r="K296" s="85"/>
      <c r="L296" s="85"/>
      <c r="M296" s="85"/>
      <c r="N296" s="85"/>
      <c r="O296" s="85"/>
      <c r="P296" s="85"/>
      <c r="Q296" s="85"/>
      <c r="R296" s="85"/>
      <c r="S296" s="85"/>
      <c r="T296" s="85"/>
      <c r="U296" s="85"/>
      <c r="V296" s="85"/>
      <c r="W296" s="85"/>
      <c r="X296" s="85"/>
      <c r="Y296" s="85"/>
      <c r="Z296" s="85"/>
      <c r="AA296" s="85"/>
      <c r="AB296" s="85"/>
      <c r="AC296" s="81">
        <f t="shared" si="180"/>
        <v>0</v>
      </c>
      <c r="AD296" s="86"/>
      <c r="AE296" s="86"/>
      <c r="AF296" s="86"/>
      <c r="AG296" s="86"/>
      <c r="AH296" s="86"/>
      <c r="AI296" s="86"/>
      <c r="AJ296" s="86"/>
      <c r="AK296" s="86"/>
      <c r="AL296" s="86"/>
      <c r="AM296" s="86"/>
      <c r="AN296" s="86"/>
      <c r="AO296" s="86"/>
      <c r="AP296" s="86"/>
      <c r="AQ296" s="86"/>
      <c r="AR296" s="86"/>
      <c r="AS296" s="86"/>
      <c r="AT296" s="86"/>
      <c r="AU296" s="91"/>
      <c r="AV296" s="818">
        <f t="shared" si="153"/>
        <v>0</v>
      </c>
      <c r="AW296" s="818">
        <f t="shared" si="154"/>
        <v>0</v>
      </c>
      <c r="AX296" s="818">
        <f t="shared" si="155"/>
        <v>0</v>
      </c>
      <c r="AY296" s="88">
        <f t="shared" si="181"/>
        <v>0</v>
      </c>
      <c r="AZ296" s="81">
        <f t="shared" si="182"/>
        <v>0</v>
      </c>
      <c r="BA296" s="81">
        <f t="shared" si="183"/>
        <v>0</v>
      </c>
      <c r="BB296" s="81">
        <f t="shared" si="184"/>
        <v>0</v>
      </c>
      <c r="BC296" s="81">
        <f t="shared" si="185"/>
        <v>0</v>
      </c>
      <c r="BD296" s="81">
        <f t="shared" si="186"/>
        <v>0</v>
      </c>
      <c r="BE296" s="81">
        <f t="shared" si="187"/>
        <v>0</v>
      </c>
      <c r="BF296" s="81">
        <f t="shared" si="188"/>
        <v>0</v>
      </c>
      <c r="BG296" s="81">
        <f t="shared" si="189"/>
        <v>0</v>
      </c>
      <c r="BH296" s="81">
        <f t="shared" si="190"/>
        <v>0</v>
      </c>
      <c r="BI296" s="81">
        <f t="shared" si="191"/>
        <v>0</v>
      </c>
      <c r="BJ296" s="81">
        <f t="shared" si="192"/>
        <v>0</v>
      </c>
      <c r="BK296" s="81">
        <f t="shared" si="193"/>
        <v>0</v>
      </c>
      <c r="BL296" s="81">
        <f t="shared" si="194"/>
        <v>0</v>
      </c>
      <c r="BM296" s="81">
        <f t="shared" si="195"/>
        <v>0</v>
      </c>
      <c r="BN296" s="81">
        <f t="shared" si="196"/>
        <v>0</v>
      </c>
      <c r="BO296" s="81">
        <f t="shared" si="197"/>
        <v>0</v>
      </c>
      <c r="BP296" s="81">
        <f t="shared" si="198"/>
        <v>0</v>
      </c>
      <c r="BQ296" s="81">
        <f t="shared" si="199"/>
        <v>0</v>
      </c>
      <c r="BR296" s="81">
        <f t="shared" si="200"/>
        <v>0</v>
      </c>
      <c r="BS296" s="81">
        <f t="shared" si="201"/>
        <v>0</v>
      </c>
      <c r="BT296" s="89">
        <f t="shared" si="202"/>
        <v>0</v>
      </c>
    </row>
    <row r="297" spans="1:72">
      <c r="A297" s="79"/>
      <c r="B297" s="1179"/>
      <c r="C297" s="1180"/>
      <c r="D297" s="2301"/>
      <c r="E297" s="81">
        <f t="shared" ref="E297:E328" si="203">IF($C$3="是",ROUND($A$3*G297/$B$3,2),ROUND($A$3*(G297-AT297)/$B$3,2))</f>
        <v>0</v>
      </c>
      <c r="F297" s="82"/>
      <c r="G297" s="83">
        <f t="shared" si="178"/>
        <v>0</v>
      </c>
      <c r="H297" s="84">
        <f t="shared" si="179"/>
        <v>0</v>
      </c>
      <c r="I297" s="1180"/>
      <c r="J297" s="85"/>
      <c r="K297" s="1180"/>
      <c r="L297" s="85"/>
      <c r="M297" s="85"/>
      <c r="N297" s="85"/>
      <c r="O297" s="85"/>
      <c r="P297" s="85"/>
      <c r="Q297" s="85"/>
      <c r="R297" s="85"/>
      <c r="S297" s="85"/>
      <c r="T297" s="85"/>
      <c r="U297" s="85"/>
      <c r="V297" s="85"/>
      <c r="W297" s="85"/>
      <c r="X297" s="85"/>
      <c r="Y297" s="85"/>
      <c r="Z297" s="85"/>
      <c r="AA297" s="85"/>
      <c r="AB297" s="85"/>
      <c r="AC297" s="81">
        <f t="shared" si="180"/>
        <v>0</v>
      </c>
      <c r="AD297" s="86"/>
      <c r="AE297" s="86"/>
      <c r="AF297" s="1181"/>
      <c r="AG297" s="86"/>
      <c r="AH297" s="86"/>
      <c r="AI297" s="86"/>
      <c r="AJ297" s="86"/>
      <c r="AK297" s="86"/>
      <c r="AL297" s="86"/>
      <c r="AM297" s="86"/>
      <c r="AN297" s="1158"/>
      <c r="AO297" s="86"/>
      <c r="AP297" s="86"/>
      <c r="AQ297" s="86"/>
      <c r="AR297" s="86"/>
      <c r="AS297" s="86"/>
      <c r="AT297" s="82"/>
      <c r="AU297" s="87"/>
      <c r="AV297" s="818">
        <f t="shared" ref="AV297:AV328" si="204">A297</f>
        <v>0</v>
      </c>
      <c r="AW297" s="818">
        <f t="shared" ref="AW297:AW328" si="205">B297</f>
        <v>0</v>
      </c>
      <c r="AX297" s="818">
        <f t="shared" ref="AX297:AX328" si="206">C297</f>
        <v>0</v>
      </c>
      <c r="AY297" s="88">
        <f t="shared" si="181"/>
        <v>0</v>
      </c>
      <c r="AZ297" s="81">
        <f t="shared" si="182"/>
        <v>0</v>
      </c>
      <c r="BA297" s="81">
        <f t="shared" si="183"/>
        <v>0</v>
      </c>
      <c r="BB297" s="81">
        <f t="shared" si="184"/>
        <v>0</v>
      </c>
      <c r="BC297" s="81">
        <f t="shared" si="185"/>
        <v>0</v>
      </c>
      <c r="BD297" s="81">
        <f t="shared" si="186"/>
        <v>0</v>
      </c>
      <c r="BE297" s="81">
        <f t="shared" si="187"/>
        <v>0</v>
      </c>
      <c r="BF297" s="81">
        <f t="shared" si="188"/>
        <v>0</v>
      </c>
      <c r="BG297" s="81">
        <f t="shared" si="189"/>
        <v>0</v>
      </c>
      <c r="BH297" s="81">
        <f t="shared" si="190"/>
        <v>0</v>
      </c>
      <c r="BI297" s="81">
        <f t="shared" si="191"/>
        <v>0</v>
      </c>
      <c r="BJ297" s="81">
        <f t="shared" si="192"/>
        <v>0</v>
      </c>
      <c r="BK297" s="81">
        <f t="shared" si="193"/>
        <v>0</v>
      </c>
      <c r="BL297" s="81">
        <f t="shared" si="194"/>
        <v>0</v>
      </c>
      <c r="BM297" s="81">
        <f t="shared" si="195"/>
        <v>0</v>
      </c>
      <c r="BN297" s="81">
        <f t="shared" si="196"/>
        <v>0</v>
      </c>
      <c r="BO297" s="81">
        <f t="shared" si="197"/>
        <v>0</v>
      </c>
      <c r="BP297" s="81">
        <f t="shared" si="198"/>
        <v>0</v>
      </c>
      <c r="BQ297" s="81">
        <f t="shared" si="199"/>
        <v>0</v>
      </c>
      <c r="BR297" s="81">
        <f t="shared" si="200"/>
        <v>0</v>
      </c>
      <c r="BS297" s="81">
        <f t="shared" si="201"/>
        <v>0</v>
      </c>
      <c r="BT297" s="89">
        <f t="shared" si="202"/>
        <v>0</v>
      </c>
    </row>
    <row r="298" spans="1:72">
      <c r="A298" s="79"/>
      <c r="B298" s="1179"/>
      <c r="C298" s="1180"/>
      <c r="D298" s="2301"/>
      <c r="E298" s="81">
        <f t="shared" si="203"/>
        <v>0</v>
      </c>
      <c r="F298" s="82"/>
      <c r="G298" s="83">
        <f t="shared" si="178"/>
        <v>0</v>
      </c>
      <c r="H298" s="84">
        <f t="shared" si="179"/>
        <v>0</v>
      </c>
      <c r="I298" s="1180"/>
      <c r="J298" s="85"/>
      <c r="K298" s="1180"/>
      <c r="L298" s="85"/>
      <c r="M298" s="1158"/>
      <c r="N298" s="85"/>
      <c r="O298" s="85"/>
      <c r="P298" s="85"/>
      <c r="Q298" s="85"/>
      <c r="R298" s="85"/>
      <c r="S298" s="85"/>
      <c r="T298" s="85"/>
      <c r="U298" s="85"/>
      <c r="V298" s="85"/>
      <c r="W298" s="85"/>
      <c r="X298" s="85"/>
      <c r="Y298" s="85"/>
      <c r="Z298" s="85"/>
      <c r="AA298" s="85"/>
      <c r="AB298" s="85"/>
      <c r="AC298" s="81">
        <f t="shared" si="180"/>
        <v>0</v>
      </c>
      <c r="AD298" s="1158"/>
      <c r="AE298" s="86"/>
      <c r="AF298" s="1181"/>
      <c r="AG298" s="86"/>
      <c r="AH298" s="86"/>
      <c r="AI298" s="86"/>
      <c r="AJ298" s="86"/>
      <c r="AK298" s="86"/>
      <c r="AL298" s="1158"/>
      <c r="AM298" s="86"/>
      <c r="AN298" s="1158"/>
      <c r="AO298" s="86"/>
      <c r="AP298" s="86"/>
      <c r="AQ298" s="86"/>
      <c r="AR298" s="86"/>
      <c r="AS298" s="86"/>
      <c r="AT298" s="82"/>
      <c r="AU298" s="87"/>
      <c r="AV298" s="818">
        <f t="shared" si="204"/>
        <v>0</v>
      </c>
      <c r="AW298" s="818">
        <f t="shared" si="205"/>
        <v>0</v>
      </c>
      <c r="AX298" s="818">
        <f t="shared" si="206"/>
        <v>0</v>
      </c>
      <c r="AY298" s="88">
        <f t="shared" si="181"/>
        <v>0</v>
      </c>
      <c r="AZ298" s="81">
        <f t="shared" si="182"/>
        <v>0</v>
      </c>
      <c r="BA298" s="81">
        <f t="shared" si="183"/>
        <v>0</v>
      </c>
      <c r="BB298" s="81">
        <f t="shared" si="184"/>
        <v>0</v>
      </c>
      <c r="BC298" s="81">
        <f t="shared" si="185"/>
        <v>0</v>
      </c>
      <c r="BD298" s="81">
        <f t="shared" si="186"/>
        <v>0</v>
      </c>
      <c r="BE298" s="81">
        <f t="shared" si="187"/>
        <v>0</v>
      </c>
      <c r="BF298" s="81">
        <f t="shared" si="188"/>
        <v>0</v>
      </c>
      <c r="BG298" s="81">
        <f t="shared" si="189"/>
        <v>0</v>
      </c>
      <c r="BH298" s="81">
        <f t="shared" si="190"/>
        <v>0</v>
      </c>
      <c r="BI298" s="81">
        <f t="shared" si="191"/>
        <v>0</v>
      </c>
      <c r="BJ298" s="81">
        <f t="shared" si="192"/>
        <v>0</v>
      </c>
      <c r="BK298" s="81">
        <f t="shared" si="193"/>
        <v>0</v>
      </c>
      <c r="BL298" s="81">
        <f t="shared" si="194"/>
        <v>0</v>
      </c>
      <c r="BM298" s="81">
        <f t="shared" si="195"/>
        <v>0</v>
      </c>
      <c r="BN298" s="81">
        <f t="shared" si="196"/>
        <v>0</v>
      </c>
      <c r="BO298" s="81">
        <f t="shared" si="197"/>
        <v>0</v>
      </c>
      <c r="BP298" s="81">
        <f t="shared" si="198"/>
        <v>0</v>
      </c>
      <c r="BQ298" s="81">
        <f t="shared" si="199"/>
        <v>0</v>
      </c>
      <c r="BR298" s="81">
        <f t="shared" si="200"/>
        <v>0</v>
      </c>
      <c r="BS298" s="81">
        <f t="shared" si="201"/>
        <v>0</v>
      </c>
      <c r="BT298" s="89">
        <f t="shared" si="202"/>
        <v>0</v>
      </c>
    </row>
    <row r="299" spans="1:72">
      <c r="A299" s="79"/>
      <c r="B299" s="1179"/>
      <c r="C299" s="1180"/>
      <c r="D299" s="2301"/>
      <c r="E299" s="81">
        <f t="shared" si="203"/>
        <v>0</v>
      </c>
      <c r="F299" s="82"/>
      <c r="G299" s="83">
        <f t="shared" si="178"/>
        <v>0</v>
      </c>
      <c r="H299" s="84">
        <f t="shared" si="179"/>
        <v>0</v>
      </c>
      <c r="I299" s="1180"/>
      <c r="J299" s="85"/>
      <c r="K299" s="1180"/>
      <c r="L299" s="85"/>
      <c r="M299" s="1158"/>
      <c r="N299" s="85"/>
      <c r="O299" s="85"/>
      <c r="P299" s="85"/>
      <c r="Q299" s="85"/>
      <c r="R299" s="85"/>
      <c r="S299" s="85"/>
      <c r="T299" s="85"/>
      <c r="U299" s="85"/>
      <c r="V299" s="85"/>
      <c r="W299" s="85"/>
      <c r="X299" s="85"/>
      <c r="Y299" s="85"/>
      <c r="Z299" s="85"/>
      <c r="AA299" s="85"/>
      <c r="AB299" s="85"/>
      <c r="AC299" s="81">
        <f t="shared" si="180"/>
        <v>0</v>
      </c>
      <c r="AD299" s="86"/>
      <c r="AE299" s="86"/>
      <c r="AF299" s="1181"/>
      <c r="AG299" s="86"/>
      <c r="AH299" s="86"/>
      <c r="AI299" s="86"/>
      <c r="AJ299" s="86"/>
      <c r="AK299" s="86"/>
      <c r="AL299" s="1158"/>
      <c r="AM299" s="86"/>
      <c r="AN299" s="1158"/>
      <c r="AO299" s="86"/>
      <c r="AP299" s="86"/>
      <c r="AQ299" s="86"/>
      <c r="AR299" s="86"/>
      <c r="AS299" s="86"/>
      <c r="AT299" s="82"/>
      <c r="AU299" s="87"/>
      <c r="AV299" s="818">
        <f t="shared" si="204"/>
        <v>0</v>
      </c>
      <c r="AW299" s="818">
        <f t="shared" si="205"/>
        <v>0</v>
      </c>
      <c r="AX299" s="818">
        <f t="shared" si="206"/>
        <v>0</v>
      </c>
      <c r="AY299" s="88">
        <f t="shared" si="181"/>
        <v>0</v>
      </c>
      <c r="AZ299" s="81">
        <f t="shared" si="182"/>
        <v>0</v>
      </c>
      <c r="BA299" s="81">
        <f t="shared" si="183"/>
        <v>0</v>
      </c>
      <c r="BB299" s="81">
        <f t="shared" si="184"/>
        <v>0</v>
      </c>
      <c r="BC299" s="81">
        <f t="shared" si="185"/>
        <v>0</v>
      </c>
      <c r="BD299" s="81">
        <f t="shared" si="186"/>
        <v>0</v>
      </c>
      <c r="BE299" s="81">
        <f t="shared" si="187"/>
        <v>0</v>
      </c>
      <c r="BF299" s="81">
        <f t="shared" si="188"/>
        <v>0</v>
      </c>
      <c r="BG299" s="81">
        <f t="shared" si="189"/>
        <v>0</v>
      </c>
      <c r="BH299" s="81">
        <f t="shared" si="190"/>
        <v>0</v>
      </c>
      <c r="BI299" s="81">
        <f t="shared" si="191"/>
        <v>0</v>
      </c>
      <c r="BJ299" s="81">
        <f t="shared" si="192"/>
        <v>0</v>
      </c>
      <c r="BK299" s="81">
        <f t="shared" si="193"/>
        <v>0</v>
      </c>
      <c r="BL299" s="81">
        <f t="shared" si="194"/>
        <v>0</v>
      </c>
      <c r="BM299" s="81">
        <f t="shared" si="195"/>
        <v>0</v>
      </c>
      <c r="BN299" s="81">
        <f t="shared" si="196"/>
        <v>0</v>
      </c>
      <c r="BO299" s="81">
        <f t="shared" si="197"/>
        <v>0</v>
      </c>
      <c r="BP299" s="81">
        <f t="shared" si="198"/>
        <v>0</v>
      </c>
      <c r="BQ299" s="81">
        <f t="shared" si="199"/>
        <v>0</v>
      </c>
      <c r="BR299" s="81">
        <f t="shared" si="200"/>
        <v>0</v>
      </c>
      <c r="BS299" s="81">
        <f t="shared" si="201"/>
        <v>0</v>
      </c>
      <c r="BT299" s="89">
        <f t="shared" si="202"/>
        <v>0</v>
      </c>
    </row>
    <row r="300" spans="1:72">
      <c r="A300" s="79"/>
      <c r="B300" s="1179"/>
      <c r="C300" s="1180"/>
      <c r="D300" s="2301"/>
      <c r="E300" s="81">
        <f t="shared" si="203"/>
        <v>0</v>
      </c>
      <c r="F300" s="82"/>
      <c r="G300" s="83">
        <f t="shared" si="178"/>
        <v>0</v>
      </c>
      <c r="H300" s="84">
        <f t="shared" si="179"/>
        <v>0</v>
      </c>
      <c r="I300" s="1180"/>
      <c r="J300" s="85"/>
      <c r="K300" s="1180"/>
      <c r="L300" s="85"/>
      <c r="M300" s="85"/>
      <c r="N300" s="85"/>
      <c r="O300" s="1158"/>
      <c r="P300" s="85"/>
      <c r="Q300" s="85"/>
      <c r="R300" s="85"/>
      <c r="S300" s="85"/>
      <c r="T300" s="85"/>
      <c r="U300" s="85"/>
      <c r="V300" s="85"/>
      <c r="W300" s="85"/>
      <c r="X300" s="85"/>
      <c r="Y300" s="85"/>
      <c r="Z300" s="85"/>
      <c r="AA300" s="85"/>
      <c r="AB300" s="85"/>
      <c r="AC300" s="81">
        <f t="shared" si="180"/>
        <v>0</v>
      </c>
      <c r="AD300" s="86"/>
      <c r="AE300" s="86"/>
      <c r="AF300" s="1181"/>
      <c r="AG300" s="86"/>
      <c r="AH300" s="86"/>
      <c r="AI300" s="86"/>
      <c r="AJ300" s="86"/>
      <c r="AK300" s="86"/>
      <c r="AL300" s="86"/>
      <c r="AM300" s="86"/>
      <c r="AN300" s="1158"/>
      <c r="AO300" s="86"/>
      <c r="AP300" s="86"/>
      <c r="AQ300" s="86"/>
      <c r="AR300" s="86"/>
      <c r="AS300" s="86"/>
      <c r="AT300" s="82"/>
      <c r="AU300" s="87"/>
      <c r="AV300" s="818">
        <f t="shared" si="204"/>
        <v>0</v>
      </c>
      <c r="AW300" s="818">
        <f t="shared" si="205"/>
        <v>0</v>
      </c>
      <c r="AX300" s="818">
        <f t="shared" si="206"/>
        <v>0</v>
      </c>
      <c r="AY300" s="88">
        <f t="shared" si="181"/>
        <v>0</v>
      </c>
      <c r="AZ300" s="81">
        <f t="shared" si="182"/>
        <v>0</v>
      </c>
      <c r="BA300" s="81">
        <f t="shared" si="183"/>
        <v>0</v>
      </c>
      <c r="BB300" s="81">
        <f t="shared" si="184"/>
        <v>0</v>
      </c>
      <c r="BC300" s="81">
        <f t="shared" si="185"/>
        <v>0</v>
      </c>
      <c r="BD300" s="81">
        <f t="shared" si="186"/>
        <v>0</v>
      </c>
      <c r="BE300" s="81">
        <f t="shared" si="187"/>
        <v>0</v>
      </c>
      <c r="BF300" s="81">
        <f t="shared" si="188"/>
        <v>0</v>
      </c>
      <c r="BG300" s="81">
        <f t="shared" si="189"/>
        <v>0</v>
      </c>
      <c r="BH300" s="81">
        <f t="shared" si="190"/>
        <v>0</v>
      </c>
      <c r="BI300" s="81">
        <f t="shared" si="191"/>
        <v>0</v>
      </c>
      <c r="BJ300" s="81">
        <f t="shared" si="192"/>
        <v>0</v>
      </c>
      <c r="BK300" s="81">
        <f t="shared" si="193"/>
        <v>0</v>
      </c>
      <c r="BL300" s="81">
        <f t="shared" si="194"/>
        <v>0</v>
      </c>
      <c r="BM300" s="81">
        <f t="shared" si="195"/>
        <v>0</v>
      </c>
      <c r="BN300" s="81">
        <f t="shared" si="196"/>
        <v>0</v>
      </c>
      <c r="BO300" s="81">
        <f t="shared" si="197"/>
        <v>0</v>
      </c>
      <c r="BP300" s="81">
        <f t="shared" si="198"/>
        <v>0</v>
      </c>
      <c r="BQ300" s="81">
        <f t="shared" si="199"/>
        <v>0</v>
      </c>
      <c r="BR300" s="81">
        <f t="shared" si="200"/>
        <v>0</v>
      </c>
      <c r="BS300" s="81">
        <f t="shared" si="201"/>
        <v>0</v>
      </c>
      <c r="BT300" s="89">
        <f t="shared" si="202"/>
        <v>0</v>
      </c>
    </row>
    <row r="301" spans="1:72">
      <c r="A301" s="79"/>
      <c r="B301" s="1179"/>
      <c r="C301" s="1180"/>
      <c r="D301" s="2301"/>
      <c r="E301" s="81">
        <f t="shared" si="203"/>
        <v>0</v>
      </c>
      <c r="F301" s="82"/>
      <c r="G301" s="83">
        <f t="shared" si="178"/>
        <v>0</v>
      </c>
      <c r="H301" s="84">
        <f t="shared" si="179"/>
        <v>0</v>
      </c>
      <c r="I301" s="1180"/>
      <c r="J301" s="85"/>
      <c r="K301" s="1180"/>
      <c r="L301" s="85"/>
      <c r="M301" s="85"/>
      <c r="N301" s="85"/>
      <c r="O301" s="85"/>
      <c r="P301" s="85"/>
      <c r="Q301" s="85"/>
      <c r="R301" s="85"/>
      <c r="S301" s="85"/>
      <c r="T301" s="85"/>
      <c r="U301" s="85"/>
      <c r="V301" s="85"/>
      <c r="W301" s="85"/>
      <c r="X301" s="85"/>
      <c r="Y301" s="85"/>
      <c r="Z301" s="85"/>
      <c r="AA301" s="85"/>
      <c r="AB301" s="85"/>
      <c r="AC301" s="81">
        <f t="shared" si="180"/>
        <v>0</v>
      </c>
      <c r="AD301" s="86"/>
      <c r="AE301" s="86"/>
      <c r="AF301" s="1181"/>
      <c r="AG301" s="86"/>
      <c r="AH301" s="86"/>
      <c r="AI301" s="86"/>
      <c r="AJ301" s="86"/>
      <c r="AK301" s="86"/>
      <c r="AL301" s="86"/>
      <c r="AM301" s="86"/>
      <c r="AN301" s="86"/>
      <c r="AO301" s="86"/>
      <c r="AP301" s="86"/>
      <c r="AQ301" s="86"/>
      <c r="AR301" s="86"/>
      <c r="AS301" s="86"/>
      <c r="AT301" s="82"/>
      <c r="AU301" s="87"/>
      <c r="AV301" s="818">
        <f t="shared" si="204"/>
        <v>0</v>
      </c>
      <c r="AW301" s="818">
        <f t="shared" si="205"/>
        <v>0</v>
      </c>
      <c r="AX301" s="818">
        <f t="shared" si="206"/>
        <v>0</v>
      </c>
      <c r="AY301" s="88">
        <f t="shared" si="181"/>
        <v>0</v>
      </c>
      <c r="AZ301" s="81">
        <f t="shared" si="182"/>
        <v>0</v>
      </c>
      <c r="BA301" s="81">
        <f t="shared" si="183"/>
        <v>0</v>
      </c>
      <c r="BB301" s="81">
        <f t="shared" si="184"/>
        <v>0</v>
      </c>
      <c r="BC301" s="81">
        <f t="shared" si="185"/>
        <v>0</v>
      </c>
      <c r="BD301" s="81">
        <f t="shared" si="186"/>
        <v>0</v>
      </c>
      <c r="BE301" s="81">
        <f t="shared" si="187"/>
        <v>0</v>
      </c>
      <c r="BF301" s="81">
        <f t="shared" si="188"/>
        <v>0</v>
      </c>
      <c r="BG301" s="81">
        <f t="shared" si="189"/>
        <v>0</v>
      </c>
      <c r="BH301" s="81">
        <f t="shared" si="190"/>
        <v>0</v>
      </c>
      <c r="BI301" s="81">
        <f t="shared" si="191"/>
        <v>0</v>
      </c>
      <c r="BJ301" s="81">
        <f t="shared" si="192"/>
        <v>0</v>
      </c>
      <c r="BK301" s="81">
        <f t="shared" si="193"/>
        <v>0</v>
      </c>
      <c r="BL301" s="81">
        <f t="shared" si="194"/>
        <v>0</v>
      </c>
      <c r="BM301" s="81">
        <f t="shared" si="195"/>
        <v>0</v>
      </c>
      <c r="BN301" s="81">
        <f t="shared" si="196"/>
        <v>0</v>
      </c>
      <c r="BO301" s="81">
        <f t="shared" si="197"/>
        <v>0</v>
      </c>
      <c r="BP301" s="81">
        <f t="shared" si="198"/>
        <v>0</v>
      </c>
      <c r="BQ301" s="81">
        <f t="shared" si="199"/>
        <v>0</v>
      </c>
      <c r="BR301" s="81">
        <f t="shared" si="200"/>
        <v>0</v>
      </c>
      <c r="BS301" s="81">
        <f t="shared" si="201"/>
        <v>0</v>
      </c>
      <c r="BT301" s="89">
        <f t="shared" si="202"/>
        <v>0</v>
      </c>
    </row>
    <row r="302" spans="1:72">
      <c r="A302" s="79"/>
      <c r="B302" s="1179"/>
      <c r="C302" s="1180"/>
      <c r="D302" s="2301"/>
      <c r="E302" s="81">
        <f t="shared" si="203"/>
        <v>0</v>
      </c>
      <c r="F302" s="82"/>
      <c r="G302" s="83">
        <f t="shared" si="178"/>
        <v>0</v>
      </c>
      <c r="H302" s="84">
        <f t="shared" si="179"/>
        <v>0</v>
      </c>
      <c r="I302" s="1180"/>
      <c r="J302" s="85"/>
      <c r="K302" s="1180"/>
      <c r="L302" s="85"/>
      <c r="M302" s="85"/>
      <c r="N302" s="85"/>
      <c r="O302" s="85"/>
      <c r="P302" s="85"/>
      <c r="Q302" s="85"/>
      <c r="R302" s="85"/>
      <c r="S302" s="85"/>
      <c r="T302" s="85"/>
      <c r="U302" s="85"/>
      <c r="V302" s="85"/>
      <c r="W302" s="85"/>
      <c r="X302" s="85"/>
      <c r="Y302" s="85"/>
      <c r="Z302" s="85"/>
      <c r="AA302" s="85"/>
      <c r="AB302" s="85"/>
      <c r="AC302" s="81">
        <f t="shared" si="180"/>
        <v>0</v>
      </c>
      <c r="AD302" s="86"/>
      <c r="AE302" s="86"/>
      <c r="AF302" s="1181"/>
      <c r="AG302" s="86"/>
      <c r="AH302" s="86"/>
      <c r="AI302" s="86"/>
      <c r="AJ302" s="86"/>
      <c r="AK302" s="86"/>
      <c r="AL302" s="86"/>
      <c r="AM302" s="86"/>
      <c r="AN302" s="86"/>
      <c r="AO302" s="86"/>
      <c r="AP302" s="86"/>
      <c r="AQ302" s="86"/>
      <c r="AR302" s="86"/>
      <c r="AS302" s="86"/>
      <c r="AT302" s="82"/>
      <c r="AU302" s="87"/>
      <c r="AV302" s="818">
        <f t="shared" si="204"/>
        <v>0</v>
      </c>
      <c r="AW302" s="818">
        <f t="shared" si="205"/>
        <v>0</v>
      </c>
      <c r="AX302" s="818">
        <f t="shared" si="206"/>
        <v>0</v>
      </c>
      <c r="AY302" s="88">
        <f t="shared" si="181"/>
        <v>0</v>
      </c>
      <c r="AZ302" s="81">
        <f t="shared" si="182"/>
        <v>0</v>
      </c>
      <c r="BA302" s="81">
        <f t="shared" si="183"/>
        <v>0</v>
      </c>
      <c r="BB302" s="81">
        <f t="shared" si="184"/>
        <v>0</v>
      </c>
      <c r="BC302" s="81">
        <f t="shared" si="185"/>
        <v>0</v>
      </c>
      <c r="BD302" s="81">
        <f t="shared" si="186"/>
        <v>0</v>
      </c>
      <c r="BE302" s="81">
        <f t="shared" si="187"/>
        <v>0</v>
      </c>
      <c r="BF302" s="81">
        <f t="shared" si="188"/>
        <v>0</v>
      </c>
      <c r="BG302" s="81">
        <f t="shared" si="189"/>
        <v>0</v>
      </c>
      <c r="BH302" s="81">
        <f t="shared" si="190"/>
        <v>0</v>
      </c>
      <c r="BI302" s="81">
        <f t="shared" si="191"/>
        <v>0</v>
      </c>
      <c r="BJ302" s="81">
        <f t="shared" si="192"/>
        <v>0</v>
      </c>
      <c r="BK302" s="81">
        <f t="shared" si="193"/>
        <v>0</v>
      </c>
      <c r="BL302" s="81">
        <f t="shared" si="194"/>
        <v>0</v>
      </c>
      <c r="BM302" s="81">
        <f t="shared" si="195"/>
        <v>0</v>
      </c>
      <c r="BN302" s="81">
        <f t="shared" si="196"/>
        <v>0</v>
      </c>
      <c r="BO302" s="81">
        <f t="shared" si="197"/>
        <v>0</v>
      </c>
      <c r="BP302" s="81">
        <f t="shared" si="198"/>
        <v>0</v>
      </c>
      <c r="BQ302" s="81">
        <f t="shared" si="199"/>
        <v>0</v>
      </c>
      <c r="BR302" s="81">
        <f t="shared" si="200"/>
        <v>0</v>
      </c>
      <c r="BS302" s="81">
        <f t="shared" si="201"/>
        <v>0</v>
      </c>
      <c r="BT302" s="89">
        <f t="shared" si="202"/>
        <v>0</v>
      </c>
    </row>
    <row r="303" spans="1:72">
      <c r="A303" s="79"/>
      <c r="B303" s="1179"/>
      <c r="C303" s="1180"/>
      <c r="D303" s="2301"/>
      <c r="E303" s="81">
        <f t="shared" si="203"/>
        <v>0</v>
      </c>
      <c r="F303" s="82"/>
      <c r="G303" s="83">
        <f t="shared" si="178"/>
        <v>0</v>
      </c>
      <c r="H303" s="84">
        <f t="shared" si="179"/>
        <v>0</v>
      </c>
      <c r="I303" s="1180"/>
      <c r="J303" s="85"/>
      <c r="K303" s="1180"/>
      <c r="L303" s="85"/>
      <c r="M303" s="85"/>
      <c r="N303" s="85"/>
      <c r="O303" s="85"/>
      <c r="P303" s="85"/>
      <c r="Q303" s="85"/>
      <c r="R303" s="85"/>
      <c r="S303" s="85"/>
      <c r="T303" s="85"/>
      <c r="U303" s="85"/>
      <c r="V303" s="85"/>
      <c r="W303" s="85"/>
      <c r="X303" s="85"/>
      <c r="Y303" s="85"/>
      <c r="Z303" s="85"/>
      <c r="AA303" s="85"/>
      <c r="AB303" s="85"/>
      <c r="AC303" s="81">
        <f t="shared" si="180"/>
        <v>0</v>
      </c>
      <c r="AD303" s="86"/>
      <c r="AE303" s="86"/>
      <c r="AF303" s="1181"/>
      <c r="AG303" s="86"/>
      <c r="AH303" s="86"/>
      <c r="AI303" s="86"/>
      <c r="AJ303" s="86"/>
      <c r="AK303" s="86"/>
      <c r="AL303" s="86"/>
      <c r="AM303" s="86"/>
      <c r="AN303" s="86"/>
      <c r="AO303" s="86"/>
      <c r="AP303" s="86"/>
      <c r="AQ303" s="86"/>
      <c r="AR303" s="86"/>
      <c r="AS303" s="86"/>
      <c r="AT303" s="82"/>
      <c r="AU303" s="87"/>
      <c r="AV303" s="818">
        <f t="shared" si="204"/>
        <v>0</v>
      </c>
      <c r="AW303" s="818">
        <f t="shared" si="205"/>
        <v>0</v>
      </c>
      <c r="AX303" s="818">
        <f t="shared" si="206"/>
        <v>0</v>
      </c>
      <c r="AY303" s="88">
        <f t="shared" si="181"/>
        <v>0</v>
      </c>
      <c r="AZ303" s="81">
        <f t="shared" si="182"/>
        <v>0</v>
      </c>
      <c r="BA303" s="81">
        <f t="shared" si="183"/>
        <v>0</v>
      </c>
      <c r="BB303" s="81">
        <f t="shared" si="184"/>
        <v>0</v>
      </c>
      <c r="BC303" s="81">
        <f t="shared" si="185"/>
        <v>0</v>
      </c>
      <c r="BD303" s="81">
        <f t="shared" si="186"/>
        <v>0</v>
      </c>
      <c r="BE303" s="81">
        <f t="shared" si="187"/>
        <v>0</v>
      </c>
      <c r="BF303" s="81">
        <f t="shared" si="188"/>
        <v>0</v>
      </c>
      <c r="BG303" s="81">
        <f t="shared" si="189"/>
        <v>0</v>
      </c>
      <c r="BH303" s="81">
        <f t="shared" si="190"/>
        <v>0</v>
      </c>
      <c r="BI303" s="81">
        <f t="shared" si="191"/>
        <v>0</v>
      </c>
      <c r="BJ303" s="81">
        <f t="shared" si="192"/>
        <v>0</v>
      </c>
      <c r="BK303" s="81">
        <f t="shared" si="193"/>
        <v>0</v>
      </c>
      <c r="BL303" s="81">
        <f t="shared" si="194"/>
        <v>0</v>
      </c>
      <c r="BM303" s="81">
        <f t="shared" si="195"/>
        <v>0</v>
      </c>
      <c r="BN303" s="81">
        <f t="shared" si="196"/>
        <v>0</v>
      </c>
      <c r="BO303" s="81">
        <f t="shared" si="197"/>
        <v>0</v>
      </c>
      <c r="BP303" s="81">
        <f t="shared" si="198"/>
        <v>0</v>
      </c>
      <c r="BQ303" s="81">
        <f t="shared" si="199"/>
        <v>0</v>
      </c>
      <c r="BR303" s="81">
        <f t="shared" si="200"/>
        <v>0</v>
      </c>
      <c r="BS303" s="81">
        <f t="shared" si="201"/>
        <v>0</v>
      </c>
      <c r="BT303" s="89">
        <f t="shared" si="202"/>
        <v>0</v>
      </c>
    </row>
    <row r="304" spans="1:72">
      <c r="A304" s="79"/>
      <c r="B304" s="1179"/>
      <c r="C304" s="1180"/>
      <c r="D304" s="2301"/>
      <c r="E304" s="81">
        <f t="shared" si="203"/>
        <v>0</v>
      </c>
      <c r="F304" s="82"/>
      <c r="G304" s="83">
        <f t="shared" si="178"/>
        <v>0</v>
      </c>
      <c r="H304" s="84">
        <f t="shared" si="179"/>
        <v>0</v>
      </c>
      <c r="I304" s="1180"/>
      <c r="J304" s="85"/>
      <c r="K304" s="1180"/>
      <c r="L304" s="85"/>
      <c r="M304" s="85"/>
      <c r="N304" s="85"/>
      <c r="O304" s="85"/>
      <c r="P304" s="85"/>
      <c r="Q304" s="85"/>
      <c r="R304" s="85"/>
      <c r="S304" s="85"/>
      <c r="T304" s="85"/>
      <c r="U304" s="85"/>
      <c r="V304" s="85"/>
      <c r="W304" s="85"/>
      <c r="X304" s="85"/>
      <c r="Y304" s="85"/>
      <c r="Z304" s="85"/>
      <c r="AA304" s="85"/>
      <c r="AB304" s="85"/>
      <c r="AC304" s="81">
        <f t="shared" si="180"/>
        <v>0</v>
      </c>
      <c r="AD304" s="86"/>
      <c r="AE304" s="86"/>
      <c r="AF304" s="1180"/>
      <c r="AG304" s="86"/>
      <c r="AH304" s="86"/>
      <c r="AI304" s="86"/>
      <c r="AJ304" s="86"/>
      <c r="AK304" s="86"/>
      <c r="AL304" s="86"/>
      <c r="AM304" s="86"/>
      <c r="AN304" s="86"/>
      <c r="AO304" s="86"/>
      <c r="AP304" s="86"/>
      <c r="AQ304" s="86"/>
      <c r="AR304" s="86"/>
      <c r="AS304" s="86"/>
      <c r="AT304" s="82"/>
      <c r="AU304" s="87"/>
      <c r="AV304" s="818">
        <f t="shared" si="204"/>
        <v>0</v>
      </c>
      <c r="AW304" s="818">
        <f t="shared" si="205"/>
        <v>0</v>
      </c>
      <c r="AX304" s="818">
        <f t="shared" si="206"/>
        <v>0</v>
      </c>
      <c r="AY304" s="88">
        <f t="shared" si="181"/>
        <v>0</v>
      </c>
      <c r="AZ304" s="81">
        <f t="shared" si="182"/>
        <v>0</v>
      </c>
      <c r="BA304" s="81">
        <f t="shared" si="183"/>
        <v>0</v>
      </c>
      <c r="BB304" s="81">
        <f t="shared" si="184"/>
        <v>0</v>
      </c>
      <c r="BC304" s="81">
        <f t="shared" si="185"/>
        <v>0</v>
      </c>
      <c r="BD304" s="81">
        <f t="shared" si="186"/>
        <v>0</v>
      </c>
      <c r="BE304" s="81">
        <f t="shared" si="187"/>
        <v>0</v>
      </c>
      <c r="BF304" s="81">
        <f t="shared" si="188"/>
        <v>0</v>
      </c>
      <c r="BG304" s="81">
        <f t="shared" si="189"/>
        <v>0</v>
      </c>
      <c r="BH304" s="81">
        <f t="shared" si="190"/>
        <v>0</v>
      </c>
      <c r="BI304" s="81">
        <f t="shared" si="191"/>
        <v>0</v>
      </c>
      <c r="BJ304" s="81">
        <f t="shared" si="192"/>
        <v>0</v>
      </c>
      <c r="BK304" s="81">
        <f t="shared" si="193"/>
        <v>0</v>
      </c>
      <c r="BL304" s="81">
        <f t="shared" si="194"/>
        <v>0</v>
      </c>
      <c r="BM304" s="81">
        <f t="shared" si="195"/>
        <v>0</v>
      </c>
      <c r="BN304" s="81">
        <f t="shared" si="196"/>
        <v>0</v>
      </c>
      <c r="BO304" s="81">
        <f t="shared" si="197"/>
        <v>0</v>
      </c>
      <c r="BP304" s="81">
        <f t="shared" si="198"/>
        <v>0</v>
      </c>
      <c r="BQ304" s="81">
        <f t="shared" si="199"/>
        <v>0</v>
      </c>
      <c r="BR304" s="81">
        <f t="shared" si="200"/>
        <v>0</v>
      </c>
      <c r="BS304" s="81">
        <f t="shared" si="201"/>
        <v>0</v>
      </c>
      <c r="BT304" s="89">
        <f t="shared" si="202"/>
        <v>0</v>
      </c>
    </row>
    <row r="305" spans="1:72">
      <c r="A305" s="79"/>
      <c r="B305" s="1179"/>
      <c r="C305" s="1180"/>
      <c r="D305" s="2301"/>
      <c r="E305" s="81">
        <f t="shared" si="203"/>
        <v>0</v>
      </c>
      <c r="F305" s="82"/>
      <c r="G305" s="83">
        <f t="shared" si="178"/>
        <v>0</v>
      </c>
      <c r="H305" s="84">
        <f t="shared" si="179"/>
        <v>0</v>
      </c>
      <c r="I305" s="1180"/>
      <c r="J305" s="85"/>
      <c r="K305" s="1180"/>
      <c r="L305" s="85"/>
      <c r="M305" s="85"/>
      <c r="N305" s="85"/>
      <c r="O305" s="85"/>
      <c r="P305" s="85"/>
      <c r="Q305" s="85"/>
      <c r="R305" s="85"/>
      <c r="S305" s="85"/>
      <c r="T305" s="85"/>
      <c r="U305" s="85"/>
      <c r="V305" s="85"/>
      <c r="W305" s="85"/>
      <c r="X305" s="85"/>
      <c r="Y305" s="85"/>
      <c r="Z305" s="85"/>
      <c r="AA305" s="85"/>
      <c r="AB305" s="85"/>
      <c r="AC305" s="81">
        <f t="shared" si="180"/>
        <v>0</v>
      </c>
      <c r="AD305" s="86"/>
      <c r="AE305" s="86"/>
      <c r="AF305" s="1180"/>
      <c r="AG305" s="86"/>
      <c r="AH305" s="86"/>
      <c r="AI305" s="86"/>
      <c r="AJ305" s="86"/>
      <c r="AK305" s="86"/>
      <c r="AL305" s="86"/>
      <c r="AM305" s="86"/>
      <c r="AN305" s="86"/>
      <c r="AO305" s="86"/>
      <c r="AP305" s="86"/>
      <c r="AQ305" s="86"/>
      <c r="AR305" s="86"/>
      <c r="AS305" s="86"/>
      <c r="AT305" s="82"/>
      <c r="AU305" s="87"/>
      <c r="AV305" s="818">
        <f t="shared" si="204"/>
        <v>0</v>
      </c>
      <c r="AW305" s="818">
        <f t="shared" si="205"/>
        <v>0</v>
      </c>
      <c r="AX305" s="818">
        <f t="shared" si="206"/>
        <v>0</v>
      </c>
      <c r="AY305" s="88">
        <f t="shared" si="181"/>
        <v>0</v>
      </c>
      <c r="AZ305" s="81">
        <f t="shared" si="182"/>
        <v>0</v>
      </c>
      <c r="BA305" s="81">
        <f t="shared" si="183"/>
        <v>0</v>
      </c>
      <c r="BB305" s="81">
        <f t="shared" si="184"/>
        <v>0</v>
      </c>
      <c r="BC305" s="81">
        <f t="shared" si="185"/>
        <v>0</v>
      </c>
      <c r="BD305" s="81">
        <f t="shared" si="186"/>
        <v>0</v>
      </c>
      <c r="BE305" s="81">
        <f t="shared" si="187"/>
        <v>0</v>
      </c>
      <c r="BF305" s="81">
        <f t="shared" si="188"/>
        <v>0</v>
      </c>
      <c r="BG305" s="81">
        <f t="shared" si="189"/>
        <v>0</v>
      </c>
      <c r="BH305" s="81">
        <f t="shared" si="190"/>
        <v>0</v>
      </c>
      <c r="BI305" s="81">
        <f t="shared" si="191"/>
        <v>0</v>
      </c>
      <c r="BJ305" s="81">
        <f t="shared" si="192"/>
        <v>0</v>
      </c>
      <c r="BK305" s="81">
        <f t="shared" si="193"/>
        <v>0</v>
      </c>
      <c r="BL305" s="81">
        <f t="shared" si="194"/>
        <v>0</v>
      </c>
      <c r="BM305" s="81">
        <f t="shared" si="195"/>
        <v>0</v>
      </c>
      <c r="BN305" s="81">
        <f t="shared" si="196"/>
        <v>0</v>
      </c>
      <c r="BO305" s="81">
        <f t="shared" si="197"/>
        <v>0</v>
      </c>
      <c r="BP305" s="81">
        <f t="shared" si="198"/>
        <v>0</v>
      </c>
      <c r="BQ305" s="81">
        <f t="shared" si="199"/>
        <v>0</v>
      </c>
      <c r="BR305" s="81">
        <f t="shared" si="200"/>
        <v>0</v>
      </c>
      <c r="BS305" s="81">
        <f t="shared" si="201"/>
        <v>0</v>
      </c>
      <c r="BT305" s="89">
        <f t="shared" si="202"/>
        <v>0</v>
      </c>
    </row>
    <row r="306" spans="1:72">
      <c r="A306" s="79"/>
      <c r="B306" s="1179"/>
      <c r="C306" s="1180"/>
      <c r="D306" s="2301"/>
      <c r="E306" s="81">
        <f t="shared" si="203"/>
        <v>0</v>
      </c>
      <c r="F306" s="82"/>
      <c r="G306" s="83">
        <f t="shared" si="178"/>
        <v>0</v>
      </c>
      <c r="H306" s="84">
        <f t="shared" si="179"/>
        <v>0</v>
      </c>
      <c r="I306" s="1180"/>
      <c r="J306" s="85"/>
      <c r="K306" s="1180"/>
      <c r="L306" s="85"/>
      <c r="M306" s="85"/>
      <c r="N306" s="85"/>
      <c r="O306" s="85"/>
      <c r="P306" s="85"/>
      <c r="Q306" s="85"/>
      <c r="R306" s="85"/>
      <c r="S306" s="85"/>
      <c r="T306" s="85"/>
      <c r="U306" s="85"/>
      <c r="V306" s="85"/>
      <c r="W306" s="85"/>
      <c r="X306" s="85"/>
      <c r="Y306" s="85"/>
      <c r="Z306" s="85"/>
      <c r="AA306" s="85"/>
      <c r="AB306" s="85"/>
      <c r="AC306" s="81">
        <f t="shared" si="180"/>
        <v>0</v>
      </c>
      <c r="AD306" s="86"/>
      <c r="AE306" s="86"/>
      <c r="AF306" s="1180"/>
      <c r="AG306" s="86"/>
      <c r="AH306" s="86"/>
      <c r="AI306" s="86"/>
      <c r="AJ306" s="86"/>
      <c r="AK306" s="86"/>
      <c r="AL306" s="86"/>
      <c r="AM306" s="86"/>
      <c r="AN306" s="86"/>
      <c r="AO306" s="86"/>
      <c r="AP306" s="86"/>
      <c r="AQ306" s="86"/>
      <c r="AR306" s="86"/>
      <c r="AS306" s="86"/>
      <c r="AT306" s="82"/>
      <c r="AU306" s="87"/>
      <c r="AV306" s="818">
        <f t="shared" si="204"/>
        <v>0</v>
      </c>
      <c r="AW306" s="818">
        <f t="shared" si="205"/>
        <v>0</v>
      </c>
      <c r="AX306" s="818">
        <f t="shared" si="206"/>
        <v>0</v>
      </c>
      <c r="AY306" s="88">
        <f t="shared" si="181"/>
        <v>0</v>
      </c>
      <c r="AZ306" s="81">
        <f t="shared" si="182"/>
        <v>0</v>
      </c>
      <c r="BA306" s="81">
        <f t="shared" si="183"/>
        <v>0</v>
      </c>
      <c r="BB306" s="81">
        <f t="shared" si="184"/>
        <v>0</v>
      </c>
      <c r="BC306" s="81">
        <f t="shared" si="185"/>
        <v>0</v>
      </c>
      <c r="BD306" s="81">
        <f t="shared" si="186"/>
        <v>0</v>
      </c>
      <c r="BE306" s="81">
        <f t="shared" si="187"/>
        <v>0</v>
      </c>
      <c r="BF306" s="81">
        <f t="shared" si="188"/>
        <v>0</v>
      </c>
      <c r="BG306" s="81">
        <f t="shared" si="189"/>
        <v>0</v>
      </c>
      <c r="BH306" s="81">
        <f t="shared" si="190"/>
        <v>0</v>
      </c>
      <c r="BI306" s="81">
        <f t="shared" si="191"/>
        <v>0</v>
      </c>
      <c r="BJ306" s="81">
        <f t="shared" si="192"/>
        <v>0</v>
      </c>
      <c r="BK306" s="81">
        <f t="shared" si="193"/>
        <v>0</v>
      </c>
      <c r="BL306" s="81">
        <f t="shared" si="194"/>
        <v>0</v>
      </c>
      <c r="BM306" s="81">
        <f t="shared" si="195"/>
        <v>0</v>
      </c>
      <c r="BN306" s="81">
        <f t="shared" si="196"/>
        <v>0</v>
      </c>
      <c r="BO306" s="81">
        <f t="shared" si="197"/>
        <v>0</v>
      </c>
      <c r="BP306" s="81">
        <f t="shared" si="198"/>
        <v>0</v>
      </c>
      <c r="BQ306" s="81">
        <f t="shared" si="199"/>
        <v>0</v>
      </c>
      <c r="BR306" s="81">
        <f t="shared" si="200"/>
        <v>0</v>
      </c>
      <c r="BS306" s="81">
        <f t="shared" si="201"/>
        <v>0</v>
      </c>
      <c r="BT306" s="89">
        <f t="shared" si="202"/>
        <v>0</v>
      </c>
    </row>
    <row r="307" spans="1:72">
      <c r="A307" s="79"/>
      <c r="B307" s="1179"/>
      <c r="C307" s="1180"/>
      <c r="D307" s="2301"/>
      <c r="E307" s="81">
        <f t="shared" si="203"/>
        <v>0</v>
      </c>
      <c r="F307" s="82"/>
      <c r="G307" s="83">
        <f t="shared" si="178"/>
        <v>0</v>
      </c>
      <c r="H307" s="84">
        <f t="shared" si="179"/>
        <v>0</v>
      </c>
      <c r="I307" s="1180"/>
      <c r="J307" s="85"/>
      <c r="K307" s="1180"/>
      <c r="L307" s="85"/>
      <c r="M307" s="85"/>
      <c r="N307" s="85"/>
      <c r="O307" s="85"/>
      <c r="P307" s="85"/>
      <c r="Q307" s="85"/>
      <c r="R307" s="85"/>
      <c r="S307" s="85"/>
      <c r="T307" s="85"/>
      <c r="U307" s="85"/>
      <c r="V307" s="85"/>
      <c r="W307" s="85"/>
      <c r="X307" s="85"/>
      <c r="Y307" s="85"/>
      <c r="Z307" s="85"/>
      <c r="AA307" s="85"/>
      <c r="AB307" s="85"/>
      <c r="AC307" s="81">
        <f t="shared" si="180"/>
        <v>0</v>
      </c>
      <c r="AD307" s="86"/>
      <c r="AE307" s="86"/>
      <c r="AF307" s="1180"/>
      <c r="AG307" s="86"/>
      <c r="AH307" s="86"/>
      <c r="AI307" s="86"/>
      <c r="AJ307" s="86"/>
      <c r="AK307" s="86"/>
      <c r="AL307" s="86"/>
      <c r="AM307" s="86"/>
      <c r="AN307" s="86"/>
      <c r="AO307" s="86"/>
      <c r="AP307" s="86"/>
      <c r="AQ307" s="86"/>
      <c r="AR307" s="86"/>
      <c r="AS307" s="86"/>
      <c r="AT307" s="82"/>
      <c r="AU307" s="87"/>
      <c r="AV307" s="818">
        <f t="shared" si="204"/>
        <v>0</v>
      </c>
      <c r="AW307" s="818">
        <f t="shared" si="205"/>
        <v>0</v>
      </c>
      <c r="AX307" s="818">
        <f t="shared" si="206"/>
        <v>0</v>
      </c>
      <c r="AY307" s="88">
        <f t="shared" si="181"/>
        <v>0</v>
      </c>
      <c r="AZ307" s="81">
        <f t="shared" si="182"/>
        <v>0</v>
      </c>
      <c r="BA307" s="81">
        <f t="shared" si="183"/>
        <v>0</v>
      </c>
      <c r="BB307" s="81">
        <f t="shared" si="184"/>
        <v>0</v>
      </c>
      <c r="BC307" s="81">
        <f t="shared" si="185"/>
        <v>0</v>
      </c>
      <c r="BD307" s="81">
        <f t="shared" si="186"/>
        <v>0</v>
      </c>
      <c r="BE307" s="81">
        <f t="shared" si="187"/>
        <v>0</v>
      </c>
      <c r="BF307" s="81">
        <f t="shared" si="188"/>
        <v>0</v>
      </c>
      <c r="BG307" s="81">
        <f t="shared" si="189"/>
        <v>0</v>
      </c>
      <c r="BH307" s="81">
        <f t="shared" si="190"/>
        <v>0</v>
      </c>
      <c r="BI307" s="81">
        <f t="shared" si="191"/>
        <v>0</v>
      </c>
      <c r="BJ307" s="81">
        <f t="shared" si="192"/>
        <v>0</v>
      </c>
      <c r="BK307" s="81">
        <f t="shared" si="193"/>
        <v>0</v>
      </c>
      <c r="BL307" s="81">
        <f t="shared" si="194"/>
        <v>0</v>
      </c>
      <c r="BM307" s="81">
        <f t="shared" si="195"/>
        <v>0</v>
      </c>
      <c r="BN307" s="81">
        <f t="shared" si="196"/>
        <v>0</v>
      </c>
      <c r="BO307" s="81">
        <f t="shared" si="197"/>
        <v>0</v>
      </c>
      <c r="BP307" s="81">
        <f t="shared" si="198"/>
        <v>0</v>
      </c>
      <c r="BQ307" s="81">
        <f t="shared" si="199"/>
        <v>0</v>
      </c>
      <c r="BR307" s="81">
        <f t="shared" si="200"/>
        <v>0</v>
      </c>
      <c r="BS307" s="81">
        <f t="shared" si="201"/>
        <v>0</v>
      </c>
      <c r="BT307" s="89">
        <f t="shared" si="202"/>
        <v>0</v>
      </c>
    </row>
    <row r="308" spans="1:72">
      <c r="A308" s="79"/>
      <c r="B308" s="1179"/>
      <c r="C308" s="1180"/>
      <c r="D308" s="2301"/>
      <c r="E308" s="81">
        <f t="shared" si="203"/>
        <v>0</v>
      </c>
      <c r="F308" s="82"/>
      <c r="G308" s="83">
        <f t="shared" si="178"/>
        <v>0</v>
      </c>
      <c r="H308" s="84">
        <f t="shared" si="179"/>
        <v>0</v>
      </c>
      <c r="I308" s="1180"/>
      <c r="J308" s="85"/>
      <c r="K308" s="1180"/>
      <c r="L308" s="85"/>
      <c r="M308" s="85"/>
      <c r="N308" s="85"/>
      <c r="O308" s="85"/>
      <c r="P308" s="85"/>
      <c r="Q308" s="85"/>
      <c r="R308" s="85"/>
      <c r="S308" s="85"/>
      <c r="T308" s="85"/>
      <c r="U308" s="85"/>
      <c r="V308" s="85"/>
      <c r="W308" s="85"/>
      <c r="X308" s="85"/>
      <c r="Y308" s="85"/>
      <c r="Z308" s="85"/>
      <c r="AA308" s="85"/>
      <c r="AB308" s="85"/>
      <c r="AC308" s="81">
        <f t="shared" si="180"/>
        <v>0</v>
      </c>
      <c r="AD308" s="86"/>
      <c r="AE308" s="86"/>
      <c r="AF308" s="1180"/>
      <c r="AG308" s="86"/>
      <c r="AH308" s="86"/>
      <c r="AI308" s="86"/>
      <c r="AJ308" s="86"/>
      <c r="AK308" s="86"/>
      <c r="AL308" s="86"/>
      <c r="AM308" s="86"/>
      <c r="AN308" s="86"/>
      <c r="AO308" s="86"/>
      <c r="AP308" s="86"/>
      <c r="AQ308" s="86"/>
      <c r="AR308" s="86"/>
      <c r="AS308" s="86"/>
      <c r="AT308" s="82"/>
      <c r="AU308" s="87"/>
      <c r="AV308" s="818">
        <f t="shared" si="204"/>
        <v>0</v>
      </c>
      <c r="AW308" s="818">
        <f t="shared" si="205"/>
        <v>0</v>
      </c>
      <c r="AX308" s="818">
        <f t="shared" si="206"/>
        <v>0</v>
      </c>
      <c r="AY308" s="88">
        <f t="shared" si="181"/>
        <v>0</v>
      </c>
      <c r="AZ308" s="81">
        <f t="shared" si="182"/>
        <v>0</v>
      </c>
      <c r="BA308" s="81">
        <f t="shared" si="183"/>
        <v>0</v>
      </c>
      <c r="BB308" s="81">
        <f t="shared" si="184"/>
        <v>0</v>
      </c>
      <c r="BC308" s="81">
        <f t="shared" si="185"/>
        <v>0</v>
      </c>
      <c r="BD308" s="81">
        <f t="shared" si="186"/>
        <v>0</v>
      </c>
      <c r="BE308" s="81">
        <f t="shared" si="187"/>
        <v>0</v>
      </c>
      <c r="BF308" s="81">
        <f t="shared" si="188"/>
        <v>0</v>
      </c>
      <c r="BG308" s="81">
        <f t="shared" si="189"/>
        <v>0</v>
      </c>
      <c r="BH308" s="81">
        <f t="shared" si="190"/>
        <v>0</v>
      </c>
      <c r="BI308" s="81">
        <f t="shared" si="191"/>
        <v>0</v>
      </c>
      <c r="BJ308" s="81">
        <f t="shared" si="192"/>
        <v>0</v>
      </c>
      <c r="BK308" s="81">
        <f t="shared" si="193"/>
        <v>0</v>
      </c>
      <c r="BL308" s="81">
        <f t="shared" si="194"/>
        <v>0</v>
      </c>
      <c r="BM308" s="81">
        <f t="shared" si="195"/>
        <v>0</v>
      </c>
      <c r="BN308" s="81">
        <f t="shared" si="196"/>
        <v>0</v>
      </c>
      <c r="BO308" s="81">
        <f t="shared" si="197"/>
        <v>0</v>
      </c>
      <c r="BP308" s="81">
        <f t="shared" si="198"/>
        <v>0</v>
      </c>
      <c r="BQ308" s="81">
        <f t="shared" si="199"/>
        <v>0</v>
      </c>
      <c r="BR308" s="81">
        <f t="shared" si="200"/>
        <v>0</v>
      </c>
      <c r="BS308" s="81">
        <f t="shared" si="201"/>
        <v>0</v>
      </c>
      <c r="BT308" s="89">
        <f t="shared" si="202"/>
        <v>0</v>
      </c>
    </row>
    <row r="309" spans="1:72">
      <c r="A309" s="79"/>
      <c r="B309" s="1179"/>
      <c r="C309" s="1180"/>
      <c r="D309" s="2301"/>
      <c r="E309" s="81">
        <f t="shared" si="203"/>
        <v>0</v>
      </c>
      <c r="F309" s="82"/>
      <c r="G309" s="83">
        <f t="shared" si="178"/>
        <v>0</v>
      </c>
      <c r="H309" s="84">
        <f t="shared" si="179"/>
        <v>0</v>
      </c>
      <c r="I309" s="1180"/>
      <c r="J309" s="85"/>
      <c r="K309" s="1180"/>
      <c r="L309" s="85"/>
      <c r="M309" s="85"/>
      <c r="N309" s="85"/>
      <c r="O309" s="85"/>
      <c r="P309" s="85"/>
      <c r="Q309" s="85"/>
      <c r="R309" s="85"/>
      <c r="S309" s="85"/>
      <c r="T309" s="85"/>
      <c r="U309" s="85"/>
      <c r="V309" s="85"/>
      <c r="W309" s="85"/>
      <c r="X309" s="85"/>
      <c r="Y309" s="85"/>
      <c r="Z309" s="85"/>
      <c r="AA309" s="85"/>
      <c r="AB309" s="85"/>
      <c r="AC309" s="81">
        <f t="shared" si="180"/>
        <v>0</v>
      </c>
      <c r="AD309" s="86"/>
      <c r="AE309" s="86"/>
      <c r="AF309" s="1180"/>
      <c r="AG309" s="86"/>
      <c r="AH309" s="86"/>
      <c r="AI309" s="86"/>
      <c r="AJ309" s="86"/>
      <c r="AK309" s="86"/>
      <c r="AL309" s="86"/>
      <c r="AM309" s="86"/>
      <c r="AN309" s="86"/>
      <c r="AO309" s="86"/>
      <c r="AP309" s="86"/>
      <c r="AQ309" s="86"/>
      <c r="AR309" s="86"/>
      <c r="AS309" s="86"/>
      <c r="AT309" s="82"/>
      <c r="AU309" s="87"/>
      <c r="AV309" s="818">
        <f t="shared" si="204"/>
        <v>0</v>
      </c>
      <c r="AW309" s="818">
        <f t="shared" si="205"/>
        <v>0</v>
      </c>
      <c r="AX309" s="818">
        <f t="shared" si="206"/>
        <v>0</v>
      </c>
      <c r="AY309" s="88">
        <f t="shared" si="181"/>
        <v>0</v>
      </c>
      <c r="AZ309" s="81">
        <f t="shared" si="182"/>
        <v>0</v>
      </c>
      <c r="BA309" s="81">
        <f t="shared" si="183"/>
        <v>0</v>
      </c>
      <c r="BB309" s="81">
        <f t="shared" si="184"/>
        <v>0</v>
      </c>
      <c r="BC309" s="81">
        <f t="shared" si="185"/>
        <v>0</v>
      </c>
      <c r="BD309" s="81">
        <f t="shared" si="186"/>
        <v>0</v>
      </c>
      <c r="BE309" s="81">
        <f t="shared" si="187"/>
        <v>0</v>
      </c>
      <c r="BF309" s="81">
        <f t="shared" si="188"/>
        <v>0</v>
      </c>
      <c r="BG309" s="81">
        <f t="shared" si="189"/>
        <v>0</v>
      </c>
      <c r="BH309" s="81">
        <f t="shared" si="190"/>
        <v>0</v>
      </c>
      <c r="BI309" s="81">
        <f t="shared" si="191"/>
        <v>0</v>
      </c>
      <c r="BJ309" s="81">
        <f t="shared" si="192"/>
        <v>0</v>
      </c>
      <c r="BK309" s="81">
        <f t="shared" si="193"/>
        <v>0</v>
      </c>
      <c r="BL309" s="81">
        <f t="shared" si="194"/>
        <v>0</v>
      </c>
      <c r="BM309" s="81">
        <f t="shared" si="195"/>
        <v>0</v>
      </c>
      <c r="BN309" s="81">
        <f t="shared" si="196"/>
        <v>0</v>
      </c>
      <c r="BO309" s="81">
        <f t="shared" si="197"/>
        <v>0</v>
      </c>
      <c r="BP309" s="81">
        <f t="shared" si="198"/>
        <v>0</v>
      </c>
      <c r="BQ309" s="81">
        <f t="shared" si="199"/>
        <v>0</v>
      </c>
      <c r="BR309" s="81">
        <f t="shared" si="200"/>
        <v>0</v>
      </c>
      <c r="BS309" s="81">
        <f t="shared" si="201"/>
        <v>0</v>
      </c>
      <c r="BT309" s="89">
        <f t="shared" si="202"/>
        <v>0</v>
      </c>
    </row>
    <row r="310" spans="1:72">
      <c r="A310" s="79"/>
      <c r="B310" s="1179"/>
      <c r="C310" s="1180"/>
      <c r="D310" s="2301"/>
      <c r="E310" s="81">
        <f t="shared" si="203"/>
        <v>0</v>
      </c>
      <c r="F310" s="82"/>
      <c r="G310" s="83">
        <f t="shared" si="178"/>
        <v>0</v>
      </c>
      <c r="H310" s="84">
        <f t="shared" si="179"/>
        <v>0</v>
      </c>
      <c r="I310" s="1180"/>
      <c r="J310" s="85"/>
      <c r="K310" s="1180"/>
      <c r="L310" s="85"/>
      <c r="M310" s="85"/>
      <c r="N310" s="85"/>
      <c r="O310" s="85"/>
      <c r="P310" s="85"/>
      <c r="Q310" s="85"/>
      <c r="R310" s="85"/>
      <c r="S310" s="85"/>
      <c r="T310" s="85"/>
      <c r="U310" s="85"/>
      <c r="V310" s="85"/>
      <c r="W310" s="85"/>
      <c r="X310" s="85"/>
      <c r="Y310" s="85"/>
      <c r="Z310" s="85"/>
      <c r="AA310" s="85"/>
      <c r="AB310" s="85"/>
      <c r="AC310" s="81">
        <f t="shared" si="180"/>
        <v>0</v>
      </c>
      <c r="AD310" s="86"/>
      <c r="AE310" s="86"/>
      <c r="AF310" s="1180"/>
      <c r="AG310" s="86"/>
      <c r="AH310" s="86"/>
      <c r="AI310" s="86"/>
      <c r="AJ310" s="86"/>
      <c r="AK310" s="86"/>
      <c r="AL310" s="86"/>
      <c r="AM310" s="86"/>
      <c r="AN310" s="86"/>
      <c r="AO310" s="86"/>
      <c r="AP310" s="86"/>
      <c r="AQ310" s="86"/>
      <c r="AR310" s="86"/>
      <c r="AS310" s="86"/>
      <c r="AT310" s="82"/>
      <c r="AU310" s="87"/>
      <c r="AV310" s="818">
        <f t="shared" si="204"/>
        <v>0</v>
      </c>
      <c r="AW310" s="818">
        <f t="shared" si="205"/>
        <v>0</v>
      </c>
      <c r="AX310" s="818">
        <f t="shared" si="206"/>
        <v>0</v>
      </c>
      <c r="AY310" s="88">
        <f t="shared" si="181"/>
        <v>0</v>
      </c>
      <c r="AZ310" s="81">
        <f t="shared" si="182"/>
        <v>0</v>
      </c>
      <c r="BA310" s="81">
        <f t="shared" si="183"/>
        <v>0</v>
      </c>
      <c r="BB310" s="81">
        <f t="shared" si="184"/>
        <v>0</v>
      </c>
      <c r="BC310" s="81">
        <f t="shared" si="185"/>
        <v>0</v>
      </c>
      <c r="BD310" s="81">
        <f t="shared" si="186"/>
        <v>0</v>
      </c>
      <c r="BE310" s="81">
        <f t="shared" si="187"/>
        <v>0</v>
      </c>
      <c r="BF310" s="81">
        <f t="shared" si="188"/>
        <v>0</v>
      </c>
      <c r="BG310" s="81">
        <f t="shared" si="189"/>
        <v>0</v>
      </c>
      <c r="BH310" s="81">
        <f t="shared" si="190"/>
        <v>0</v>
      </c>
      <c r="BI310" s="81">
        <f t="shared" si="191"/>
        <v>0</v>
      </c>
      <c r="BJ310" s="81">
        <f t="shared" si="192"/>
        <v>0</v>
      </c>
      <c r="BK310" s="81">
        <f t="shared" si="193"/>
        <v>0</v>
      </c>
      <c r="BL310" s="81">
        <f t="shared" si="194"/>
        <v>0</v>
      </c>
      <c r="BM310" s="81">
        <f t="shared" si="195"/>
        <v>0</v>
      </c>
      <c r="BN310" s="81">
        <f t="shared" si="196"/>
        <v>0</v>
      </c>
      <c r="BO310" s="81">
        <f t="shared" si="197"/>
        <v>0</v>
      </c>
      <c r="BP310" s="81">
        <f t="shared" si="198"/>
        <v>0</v>
      </c>
      <c r="BQ310" s="81">
        <f t="shared" si="199"/>
        <v>0</v>
      </c>
      <c r="BR310" s="81">
        <f t="shared" si="200"/>
        <v>0</v>
      </c>
      <c r="BS310" s="81">
        <f t="shared" si="201"/>
        <v>0</v>
      </c>
      <c r="BT310" s="89">
        <f t="shared" si="202"/>
        <v>0</v>
      </c>
    </row>
    <row r="311" spans="1:72">
      <c r="A311" s="79"/>
      <c r="B311" s="1179"/>
      <c r="C311" s="1180"/>
      <c r="D311" s="2301"/>
      <c r="E311" s="81">
        <f t="shared" si="203"/>
        <v>0</v>
      </c>
      <c r="F311" s="82"/>
      <c r="G311" s="83">
        <f t="shared" si="178"/>
        <v>0</v>
      </c>
      <c r="H311" s="84">
        <f t="shared" si="179"/>
        <v>0</v>
      </c>
      <c r="I311" s="1180"/>
      <c r="J311" s="85"/>
      <c r="K311" s="1180"/>
      <c r="L311" s="85"/>
      <c r="M311" s="85"/>
      <c r="N311" s="85"/>
      <c r="O311" s="85"/>
      <c r="P311" s="85"/>
      <c r="Q311" s="85"/>
      <c r="R311" s="85"/>
      <c r="S311" s="85"/>
      <c r="T311" s="85"/>
      <c r="U311" s="85"/>
      <c r="V311" s="85"/>
      <c r="W311" s="85"/>
      <c r="X311" s="85"/>
      <c r="Y311" s="85"/>
      <c r="Z311" s="85"/>
      <c r="AA311" s="85"/>
      <c r="AB311" s="85"/>
      <c r="AC311" s="81">
        <f t="shared" si="180"/>
        <v>0</v>
      </c>
      <c r="AD311" s="86"/>
      <c r="AE311" s="86"/>
      <c r="AF311" s="1180"/>
      <c r="AG311" s="86"/>
      <c r="AH311" s="86"/>
      <c r="AI311" s="86"/>
      <c r="AJ311" s="86"/>
      <c r="AK311" s="86"/>
      <c r="AL311" s="86"/>
      <c r="AM311" s="86"/>
      <c r="AN311" s="86"/>
      <c r="AO311" s="86"/>
      <c r="AP311" s="86"/>
      <c r="AQ311" s="86"/>
      <c r="AR311" s="86"/>
      <c r="AS311" s="86"/>
      <c r="AT311" s="82"/>
      <c r="AU311" s="87"/>
      <c r="AV311" s="818">
        <f t="shared" si="204"/>
        <v>0</v>
      </c>
      <c r="AW311" s="818">
        <f t="shared" si="205"/>
        <v>0</v>
      </c>
      <c r="AX311" s="818">
        <f t="shared" si="206"/>
        <v>0</v>
      </c>
      <c r="AY311" s="88">
        <f t="shared" si="181"/>
        <v>0</v>
      </c>
      <c r="AZ311" s="81">
        <f t="shared" si="182"/>
        <v>0</v>
      </c>
      <c r="BA311" s="81">
        <f t="shared" si="183"/>
        <v>0</v>
      </c>
      <c r="BB311" s="81">
        <f t="shared" si="184"/>
        <v>0</v>
      </c>
      <c r="BC311" s="81">
        <f t="shared" si="185"/>
        <v>0</v>
      </c>
      <c r="BD311" s="81">
        <f t="shared" si="186"/>
        <v>0</v>
      </c>
      <c r="BE311" s="81">
        <f t="shared" si="187"/>
        <v>0</v>
      </c>
      <c r="BF311" s="81">
        <f t="shared" si="188"/>
        <v>0</v>
      </c>
      <c r="BG311" s="81">
        <f t="shared" si="189"/>
        <v>0</v>
      </c>
      <c r="BH311" s="81">
        <f t="shared" si="190"/>
        <v>0</v>
      </c>
      <c r="BI311" s="81">
        <f t="shared" si="191"/>
        <v>0</v>
      </c>
      <c r="BJ311" s="81">
        <f t="shared" si="192"/>
        <v>0</v>
      </c>
      <c r="BK311" s="81">
        <f t="shared" si="193"/>
        <v>0</v>
      </c>
      <c r="BL311" s="81">
        <f t="shared" si="194"/>
        <v>0</v>
      </c>
      <c r="BM311" s="81">
        <f t="shared" si="195"/>
        <v>0</v>
      </c>
      <c r="BN311" s="81">
        <f t="shared" si="196"/>
        <v>0</v>
      </c>
      <c r="BO311" s="81">
        <f t="shared" si="197"/>
        <v>0</v>
      </c>
      <c r="BP311" s="81">
        <f t="shared" si="198"/>
        <v>0</v>
      </c>
      <c r="BQ311" s="81">
        <f t="shared" si="199"/>
        <v>0</v>
      </c>
      <c r="BR311" s="81">
        <f t="shared" si="200"/>
        <v>0</v>
      </c>
      <c r="BS311" s="81">
        <f t="shared" si="201"/>
        <v>0</v>
      </c>
      <c r="BT311" s="89">
        <f t="shared" si="202"/>
        <v>0</v>
      </c>
    </row>
    <row r="312" spans="1:72">
      <c r="A312" s="79"/>
      <c r="B312" s="1179"/>
      <c r="C312" s="1180"/>
      <c r="D312" s="2301"/>
      <c r="E312" s="81">
        <f t="shared" si="203"/>
        <v>0</v>
      </c>
      <c r="F312" s="82"/>
      <c r="G312" s="83">
        <f t="shared" si="178"/>
        <v>0</v>
      </c>
      <c r="H312" s="84">
        <f t="shared" si="179"/>
        <v>0</v>
      </c>
      <c r="I312" s="1180"/>
      <c r="J312" s="85"/>
      <c r="K312" s="1180"/>
      <c r="L312" s="85"/>
      <c r="M312" s="85"/>
      <c r="N312" s="85"/>
      <c r="O312" s="85"/>
      <c r="P312" s="85"/>
      <c r="Q312" s="85"/>
      <c r="R312" s="85"/>
      <c r="S312" s="85"/>
      <c r="T312" s="85"/>
      <c r="U312" s="85"/>
      <c r="V312" s="85"/>
      <c r="W312" s="85"/>
      <c r="X312" s="85"/>
      <c r="Y312" s="85"/>
      <c r="Z312" s="85"/>
      <c r="AA312" s="85"/>
      <c r="AB312" s="85"/>
      <c r="AC312" s="81">
        <f t="shared" si="180"/>
        <v>0</v>
      </c>
      <c r="AD312" s="86"/>
      <c r="AE312" s="86"/>
      <c r="AF312" s="1180"/>
      <c r="AG312" s="86"/>
      <c r="AH312" s="86"/>
      <c r="AI312" s="86"/>
      <c r="AJ312" s="86"/>
      <c r="AK312" s="86"/>
      <c r="AL312" s="86"/>
      <c r="AM312" s="86"/>
      <c r="AN312" s="86"/>
      <c r="AO312" s="86"/>
      <c r="AP312" s="86"/>
      <c r="AQ312" s="86"/>
      <c r="AR312" s="86"/>
      <c r="AS312" s="86"/>
      <c r="AT312" s="82"/>
      <c r="AU312" s="87"/>
      <c r="AV312" s="818">
        <f t="shared" si="204"/>
        <v>0</v>
      </c>
      <c r="AW312" s="818">
        <f t="shared" si="205"/>
        <v>0</v>
      </c>
      <c r="AX312" s="818">
        <f t="shared" si="206"/>
        <v>0</v>
      </c>
      <c r="AY312" s="88">
        <f t="shared" si="181"/>
        <v>0</v>
      </c>
      <c r="AZ312" s="81">
        <f t="shared" si="182"/>
        <v>0</v>
      </c>
      <c r="BA312" s="81">
        <f t="shared" si="183"/>
        <v>0</v>
      </c>
      <c r="BB312" s="81">
        <f t="shared" si="184"/>
        <v>0</v>
      </c>
      <c r="BC312" s="81">
        <f t="shared" si="185"/>
        <v>0</v>
      </c>
      <c r="BD312" s="81">
        <f t="shared" si="186"/>
        <v>0</v>
      </c>
      <c r="BE312" s="81">
        <f t="shared" si="187"/>
        <v>0</v>
      </c>
      <c r="BF312" s="81">
        <f t="shared" si="188"/>
        <v>0</v>
      </c>
      <c r="BG312" s="81">
        <f t="shared" si="189"/>
        <v>0</v>
      </c>
      <c r="BH312" s="81">
        <f t="shared" si="190"/>
        <v>0</v>
      </c>
      <c r="BI312" s="81">
        <f t="shared" si="191"/>
        <v>0</v>
      </c>
      <c r="BJ312" s="81">
        <f t="shared" si="192"/>
        <v>0</v>
      </c>
      <c r="BK312" s="81">
        <f t="shared" si="193"/>
        <v>0</v>
      </c>
      <c r="BL312" s="81">
        <f t="shared" si="194"/>
        <v>0</v>
      </c>
      <c r="BM312" s="81">
        <f t="shared" si="195"/>
        <v>0</v>
      </c>
      <c r="BN312" s="81">
        <f t="shared" si="196"/>
        <v>0</v>
      </c>
      <c r="BO312" s="81">
        <f t="shared" si="197"/>
        <v>0</v>
      </c>
      <c r="BP312" s="81">
        <f t="shared" si="198"/>
        <v>0</v>
      </c>
      <c r="BQ312" s="81">
        <f t="shared" si="199"/>
        <v>0</v>
      </c>
      <c r="BR312" s="81">
        <f t="shared" si="200"/>
        <v>0</v>
      </c>
      <c r="BS312" s="81">
        <f t="shared" si="201"/>
        <v>0</v>
      </c>
      <c r="BT312" s="89">
        <f t="shared" si="202"/>
        <v>0</v>
      </c>
    </row>
    <row r="313" spans="1:72">
      <c r="A313" s="79"/>
      <c r="B313" s="1179"/>
      <c r="C313" s="1180"/>
      <c r="D313" s="2301"/>
      <c r="E313" s="81">
        <f t="shared" si="203"/>
        <v>0</v>
      </c>
      <c r="F313" s="82"/>
      <c r="G313" s="83">
        <f t="shared" si="178"/>
        <v>0</v>
      </c>
      <c r="H313" s="84">
        <f t="shared" si="179"/>
        <v>0</v>
      </c>
      <c r="I313" s="1180"/>
      <c r="J313" s="85"/>
      <c r="K313" s="1180"/>
      <c r="L313" s="85"/>
      <c r="M313" s="85"/>
      <c r="N313" s="85"/>
      <c r="O313" s="85"/>
      <c r="P313" s="85"/>
      <c r="Q313" s="85"/>
      <c r="R313" s="85"/>
      <c r="S313" s="85"/>
      <c r="T313" s="85"/>
      <c r="U313" s="85"/>
      <c r="V313" s="85"/>
      <c r="W313" s="85"/>
      <c r="X313" s="85"/>
      <c r="Y313" s="85"/>
      <c r="Z313" s="85"/>
      <c r="AA313" s="85"/>
      <c r="AB313" s="85"/>
      <c r="AC313" s="81">
        <f t="shared" si="180"/>
        <v>0</v>
      </c>
      <c r="AD313" s="86"/>
      <c r="AE313" s="86"/>
      <c r="AF313" s="1180"/>
      <c r="AG313" s="86"/>
      <c r="AH313" s="86"/>
      <c r="AI313" s="86"/>
      <c r="AJ313" s="86"/>
      <c r="AK313" s="86"/>
      <c r="AL313" s="86"/>
      <c r="AM313" s="86"/>
      <c r="AN313" s="86"/>
      <c r="AO313" s="86"/>
      <c r="AP313" s="86"/>
      <c r="AQ313" s="86"/>
      <c r="AR313" s="86"/>
      <c r="AS313" s="86"/>
      <c r="AT313" s="82"/>
      <c r="AU313" s="87"/>
      <c r="AV313" s="818">
        <f t="shared" si="204"/>
        <v>0</v>
      </c>
      <c r="AW313" s="818">
        <f t="shared" si="205"/>
        <v>0</v>
      </c>
      <c r="AX313" s="818">
        <f t="shared" si="206"/>
        <v>0</v>
      </c>
      <c r="AY313" s="88">
        <f t="shared" si="181"/>
        <v>0</v>
      </c>
      <c r="AZ313" s="81">
        <f t="shared" si="182"/>
        <v>0</v>
      </c>
      <c r="BA313" s="81">
        <f t="shared" si="183"/>
        <v>0</v>
      </c>
      <c r="BB313" s="81">
        <f t="shared" si="184"/>
        <v>0</v>
      </c>
      <c r="BC313" s="81">
        <f t="shared" si="185"/>
        <v>0</v>
      </c>
      <c r="BD313" s="81">
        <f t="shared" si="186"/>
        <v>0</v>
      </c>
      <c r="BE313" s="81">
        <f t="shared" si="187"/>
        <v>0</v>
      </c>
      <c r="BF313" s="81">
        <f t="shared" si="188"/>
        <v>0</v>
      </c>
      <c r="BG313" s="81">
        <f t="shared" si="189"/>
        <v>0</v>
      </c>
      <c r="BH313" s="81">
        <f t="shared" si="190"/>
        <v>0</v>
      </c>
      <c r="BI313" s="81">
        <f t="shared" si="191"/>
        <v>0</v>
      </c>
      <c r="BJ313" s="81">
        <f t="shared" si="192"/>
        <v>0</v>
      </c>
      <c r="BK313" s="81">
        <f t="shared" si="193"/>
        <v>0</v>
      </c>
      <c r="BL313" s="81">
        <f t="shared" si="194"/>
        <v>0</v>
      </c>
      <c r="BM313" s="81">
        <f t="shared" si="195"/>
        <v>0</v>
      </c>
      <c r="BN313" s="81">
        <f t="shared" si="196"/>
        <v>0</v>
      </c>
      <c r="BO313" s="81">
        <f t="shared" si="197"/>
        <v>0</v>
      </c>
      <c r="BP313" s="81">
        <f t="shared" si="198"/>
        <v>0</v>
      </c>
      <c r="BQ313" s="81">
        <f t="shared" si="199"/>
        <v>0</v>
      </c>
      <c r="BR313" s="81">
        <f t="shared" si="200"/>
        <v>0</v>
      </c>
      <c r="BS313" s="81">
        <f t="shared" si="201"/>
        <v>0</v>
      </c>
      <c r="BT313" s="89">
        <f t="shared" si="202"/>
        <v>0</v>
      </c>
    </row>
    <row r="314" spans="1:72">
      <c r="A314" s="79"/>
      <c r="B314" s="1179"/>
      <c r="C314" s="1180"/>
      <c r="D314" s="2301"/>
      <c r="E314" s="81">
        <f t="shared" si="203"/>
        <v>0</v>
      </c>
      <c r="F314" s="82"/>
      <c r="G314" s="83">
        <f t="shared" si="178"/>
        <v>0</v>
      </c>
      <c r="H314" s="84">
        <f t="shared" si="179"/>
        <v>0</v>
      </c>
      <c r="I314" s="1180"/>
      <c r="J314" s="85"/>
      <c r="K314" s="1180"/>
      <c r="L314" s="85"/>
      <c r="M314" s="85"/>
      <c r="N314" s="85"/>
      <c r="O314" s="85"/>
      <c r="P314" s="85"/>
      <c r="Q314" s="85"/>
      <c r="R314" s="85"/>
      <c r="S314" s="85"/>
      <c r="T314" s="85"/>
      <c r="U314" s="85"/>
      <c r="V314" s="85"/>
      <c r="W314" s="85"/>
      <c r="X314" s="85"/>
      <c r="Y314" s="85"/>
      <c r="Z314" s="85"/>
      <c r="AA314" s="85"/>
      <c r="AB314" s="85"/>
      <c r="AC314" s="81">
        <f t="shared" si="180"/>
        <v>0</v>
      </c>
      <c r="AD314" s="86"/>
      <c r="AE314" s="86"/>
      <c r="AF314" s="1180"/>
      <c r="AG314" s="86"/>
      <c r="AH314" s="86"/>
      <c r="AI314" s="86"/>
      <c r="AJ314" s="86"/>
      <c r="AK314" s="86"/>
      <c r="AL314" s="86"/>
      <c r="AM314" s="86"/>
      <c r="AN314" s="86"/>
      <c r="AO314" s="86"/>
      <c r="AP314" s="86"/>
      <c r="AQ314" s="86"/>
      <c r="AR314" s="86"/>
      <c r="AS314" s="86"/>
      <c r="AT314" s="82"/>
      <c r="AU314" s="87"/>
      <c r="AV314" s="818">
        <f t="shared" si="204"/>
        <v>0</v>
      </c>
      <c r="AW314" s="818">
        <f t="shared" si="205"/>
        <v>0</v>
      </c>
      <c r="AX314" s="818">
        <f t="shared" si="206"/>
        <v>0</v>
      </c>
      <c r="AY314" s="88">
        <f t="shared" si="181"/>
        <v>0</v>
      </c>
      <c r="AZ314" s="81">
        <f t="shared" si="182"/>
        <v>0</v>
      </c>
      <c r="BA314" s="81">
        <f t="shared" si="183"/>
        <v>0</v>
      </c>
      <c r="BB314" s="81">
        <f t="shared" si="184"/>
        <v>0</v>
      </c>
      <c r="BC314" s="81">
        <f t="shared" si="185"/>
        <v>0</v>
      </c>
      <c r="BD314" s="81">
        <f t="shared" si="186"/>
        <v>0</v>
      </c>
      <c r="BE314" s="81">
        <f t="shared" si="187"/>
        <v>0</v>
      </c>
      <c r="BF314" s="81">
        <f t="shared" si="188"/>
        <v>0</v>
      </c>
      <c r="BG314" s="81">
        <f t="shared" si="189"/>
        <v>0</v>
      </c>
      <c r="BH314" s="81">
        <f t="shared" si="190"/>
        <v>0</v>
      </c>
      <c r="BI314" s="81">
        <f t="shared" si="191"/>
        <v>0</v>
      </c>
      <c r="BJ314" s="81">
        <f t="shared" si="192"/>
        <v>0</v>
      </c>
      <c r="BK314" s="81">
        <f t="shared" si="193"/>
        <v>0</v>
      </c>
      <c r="BL314" s="81">
        <f t="shared" si="194"/>
        <v>0</v>
      </c>
      <c r="BM314" s="81">
        <f t="shared" si="195"/>
        <v>0</v>
      </c>
      <c r="BN314" s="81">
        <f t="shared" si="196"/>
        <v>0</v>
      </c>
      <c r="BO314" s="81">
        <f t="shared" si="197"/>
        <v>0</v>
      </c>
      <c r="BP314" s="81">
        <f t="shared" si="198"/>
        <v>0</v>
      </c>
      <c r="BQ314" s="81">
        <f t="shared" si="199"/>
        <v>0</v>
      </c>
      <c r="BR314" s="81">
        <f t="shared" si="200"/>
        <v>0</v>
      </c>
      <c r="BS314" s="81">
        <f t="shared" si="201"/>
        <v>0</v>
      </c>
      <c r="BT314" s="89">
        <f t="shared" si="202"/>
        <v>0</v>
      </c>
    </row>
    <row r="315" spans="1:72">
      <c r="A315" s="79"/>
      <c r="B315" s="1179"/>
      <c r="C315" s="1180"/>
      <c r="D315" s="2301"/>
      <c r="E315" s="81">
        <f t="shared" si="203"/>
        <v>0</v>
      </c>
      <c r="F315" s="82"/>
      <c r="G315" s="83">
        <f t="shared" si="178"/>
        <v>0</v>
      </c>
      <c r="H315" s="84">
        <f t="shared" si="179"/>
        <v>0</v>
      </c>
      <c r="I315" s="1180"/>
      <c r="J315" s="85"/>
      <c r="K315" s="1180"/>
      <c r="L315" s="85"/>
      <c r="M315" s="85"/>
      <c r="N315" s="85"/>
      <c r="O315" s="85"/>
      <c r="P315" s="85"/>
      <c r="Q315" s="85"/>
      <c r="R315" s="85"/>
      <c r="S315" s="85"/>
      <c r="T315" s="85"/>
      <c r="U315" s="85"/>
      <c r="V315" s="85"/>
      <c r="W315" s="85"/>
      <c r="X315" s="85"/>
      <c r="Y315" s="85"/>
      <c r="Z315" s="85"/>
      <c r="AA315" s="85"/>
      <c r="AB315" s="85"/>
      <c r="AC315" s="81">
        <f t="shared" si="180"/>
        <v>0</v>
      </c>
      <c r="AD315" s="86"/>
      <c r="AE315" s="86"/>
      <c r="AF315" s="1180"/>
      <c r="AG315" s="86"/>
      <c r="AH315" s="86"/>
      <c r="AI315" s="86"/>
      <c r="AJ315" s="86"/>
      <c r="AK315" s="86"/>
      <c r="AL315" s="86"/>
      <c r="AM315" s="86"/>
      <c r="AN315" s="86"/>
      <c r="AO315" s="86"/>
      <c r="AP315" s="86"/>
      <c r="AQ315" s="86"/>
      <c r="AR315" s="86"/>
      <c r="AS315" s="86"/>
      <c r="AT315" s="82"/>
      <c r="AU315" s="87"/>
      <c r="AV315" s="818">
        <f t="shared" si="204"/>
        <v>0</v>
      </c>
      <c r="AW315" s="818">
        <f t="shared" si="205"/>
        <v>0</v>
      </c>
      <c r="AX315" s="818">
        <f t="shared" si="206"/>
        <v>0</v>
      </c>
      <c r="AY315" s="88">
        <f t="shared" si="181"/>
        <v>0</v>
      </c>
      <c r="AZ315" s="81">
        <f t="shared" si="182"/>
        <v>0</v>
      </c>
      <c r="BA315" s="81">
        <f t="shared" si="183"/>
        <v>0</v>
      </c>
      <c r="BB315" s="81">
        <f t="shared" si="184"/>
        <v>0</v>
      </c>
      <c r="BC315" s="81">
        <f t="shared" si="185"/>
        <v>0</v>
      </c>
      <c r="BD315" s="81">
        <f t="shared" si="186"/>
        <v>0</v>
      </c>
      <c r="BE315" s="81">
        <f t="shared" si="187"/>
        <v>0</v>
      </c>
      <c r="BF315" s="81">
        <f t="shared" si="188"/>
        <v>0</v>
      </c>
      <c r="BG315" s="81">
        <f t="shared" si="189"/>
        <v>0</v>
      </c>
      <c r="BH315" s="81">
        <f t="shared" si="190"/>
        <v>0</v>
      </c>
      <c r="BI315" s="81">
        <f t="shared" si="191"/>
        <v>0</v>
      </c>
      <c r="BJ315" s="81">
        <f t="shared" si="192"/>
        <v>0</v>
      </c>
      <c r="BK315" s="81">
        <f t="shared" si="193"/>
        <v>0</v>
      </c>
      <c r="BL315" s="81">
        <f t="shared" si="194"/>
        <v>0</v>
      </c>
      <c r="BM315" s="81">
        <f t="shared" si="195"/>
        <v>0</v>
      </c>
      <c r="BN315" s="81">
        <f t="shared" si="196"/>
        <v>0</v>
      </c>
      <c r="BO315" s="81">
        <f t="shared" si="197"/>
        <v>0</v>
      </c>
      <c r="BP315" s="81">
        <f t="shared" si="198"/>
        <v>0</v>
      </c>
      <c r="BQ315" s="81">
        <f t="shared" si="199"/>
        <v>0</v>
      </c>
      <c r="BR315" s="81">
        <f t="shared" si="200"/>
        <v>0</v>
      </c>
      <c r="BS315" s="81">
        <f t="shared" si="201"/>
        <v>0</v>
      </c>
      <c r="BT315" s="89">
        <f t="shared" si="202"/>
        <v>0</v>
      </c>
    </row>
    <row r="316" spans="1:72">
      <c r="A316" s="79"/>
      <c r="B316" s="1179"/>
      <c r="C316" s="1180"/>
      <c r="D316" s="2301"/>
      <c r="E316" s="81">
        <f t="shared" si="203"/>
        <v>0</v>
      </c>
      <c r="F316" s="82"/>
      <c r="G316" s="83">
        <f t="shared" si="178"/>
        <v>0</v>
      </c>
      <c r="H316" s="84">
        <f t="shared" si="179"/>
        <v>0</v>
      </c>
      <c r="I316" s="1180"/>
      <c r="J316" s="85"/>
      <c r="K316" s="1180"/>
      <c r="L316" s="85"/>
      <c r="M316" s="85"/>
      <c r="N316" s="85"/>
      <c r="O316" s="85"/>
      <c r="P316" s="85"/>
      <c r="Q316" s="85"/>
      <c r="R316" s="85"/>
      <c r="S316" s="85"/>
      <c r="T316" s="85"/>
      <c r="U316" s="85"/>
      <c r="V316" s="85"/>
      <c r="W316" s="85"/>
      <c r="X316" s="85"/>
      <c r="Y316" s="85"/>
      <c r="Z316" s="85"/>
      <c r="AA316" s="85"/>
      <c r="AB316" s="85"/>
      <c r="AC316" s="81">
        <f t="shared" si="180"/>
        <v>0</v>
      </c>
      <c r="AD316" s="86"/>
      <c r="AE316" s="86"/>
      <c r="AF316" s="1180"/>
      <c r="AG316" s="86"/>
      <c r="AH316" s="86"/>
      <c r="AI316" s="86"/>
      <c r="AJ316" s="86"/>
      <c r="AK316" s="86"/>
      <c r="AL316" s="86"/>
      <c r="AM316" s="86"/>
      <c r="AN316" s="86"/>
      <c r="AO316" s="86"/>
      <c r="AP316" s="86"/>
      <c r="AQ316" s="86"/>
      <c r="AR316" s="86"/>
      <c r="AS316" s="86"/>
      <c r="AT316" s="82"/>
      <c r="AU316" s="87"/>
      <c r="AV316" s="818">
        <f t="shared" si="204"/>
        <v>0</v>
      </c>
      <c r="AW316" s="818">
        <f t="shared" si="205"/>
        <v>0</v>
      </c>
      <c r="AX316" s="818">
        <f t="shared" si="206"/>
        <v>0</v>
      </c>
      <c r="AY316" s="88">
        <f t="shared" si="181"/>
        <v>0</v>
      </c>
      <c r="AZ316" s="81">
        <f t="shared" si="182"/>
        <v>0</v>
      </c>
      <c r="BA316" s="81">
        <f t="shared" si="183"/>
        <v>0</v>
      </c>
      <c r="BB316" s="81">
        <f t="shared" si="184"/>
        <v>0</v>
      </c>
      <c r="BC316" s="81">
        <f t="shared" si="185"/>
        <v>0</v>
      </c>
      <c r="BD316" s="81">
        <f t="shared" si="186"/>
        <v>0</v>
      </c>
      <c r="BE316" s="81">
        <f t="shared" si="187"/>
        <v>0</v>
      </c>
      <c r="BF316" s="81">
        <f t="shared" si="188"/>
        <v>0</v>
      </c>
      <c r="BG316" s="81">
        <f t="shared" si="189"/>
        <v>0</v>
      </c>
      <c r="BH316" s="81">
        <f t="shared" si="190"/>
        <v>0</v>
      </c>
      <c r="BI316" s="81">
        <f t="shared" si="191"/>
        <v>0</v>
      </c>
      <c r="BJ316" s="81">
        <f t="shared" si="192"/>
        <v>0</v>
      </c>
      <c r="BK316" s="81">
        <f t="shared" si="193"/>
        <v>0</v>
      </c>
      <c r="BL316" s="81">
        <f t="shared" si="194"/>
        <v>0</v>
      </c>
      <c r="BM316" s="81">
        <f t="shared" si="195"/>
        <v>0</v>
      </c>
      <c r="BN316" s="81">
        <f t="shared" si="196"/>
        <v>0</v>
      </c>
      <c r="BO316" s="81">
        <f t="shared" si="197"/>
        <v>0</v>
      </c>
      <c r="BP316" s="81">
        <f t="shared" si="198"/>
        <v>0</v>
      </c>
      <c r="BQ316" s="81">
        <f t="shared" si="199"/>
        <v>0</v>
      </c>
      <c r="BR316" s="81">
        <f t="shared" si="200"/>
        <v>0</v>
      </c>
      <c r="BS316" s="81">
        <f t="shared" si="201"/>
        <v>0</v>
      </c>
      <c r="BT316" s="89">
        <f t="shared" si="202"/>
        <v>0</v>
      </c>
    </row>
    <row r="317" spans="1:72">
      <c r="A317" s="79"/>
      <c r="B317" s="1179"/>
      <c r="C317" s="1180"/>
      <c r="D317" s="2301"/>
      <c r="E317" s="81">
        <f t="shared" si="203"/>
        <v>0</v>
      </c>
      <c r="F317" s="82"/>
      <c r="G317" s="83">
        <f t="shared" si="178"/>
        <v>0</v>
      </c>
      <c r="H317" s="84">
        <f t="shared" si="179"/>
        <v>0</v>
      </c>
      <c r="I317" s="1180"/>
      <c r="J317" s="85"/>
      <c r="K317" s="1180"/>
      <c r="L317" s="85"/>
      <c r="M317" s="85"/>
      <c r="N317" s="85"/>
      <c r="O317" s="85"/>
      <c r="P317" s="85"/>
      <c r="Q317" s="85"/>
      <c r="R317" s="85"/>
      <c r="S317" s="85"/>
      <c r="T317" s="85"/>
      <c r="U317" s="85"/>
      <c r="V317" s="85"/>
      <c r="W317" s="85"/>
      <c r="X317" s="85"/>
      <c r="Y317" s="85"/>
      <c r="Z317" s="85"/>
      <c r="AA317" s="85"/>
      <c r="AB317" s="85"/>
      <c r="AC317" s="81">
        <f t="shared" si="180"/>
        <v>0</v>
      </c>
      <c r="AD317" s="86"/>
      <c r="AE317" s="86"/>
      <c r="AF317" s="1180"/>
      <c r="AG317" s="86"/>
      <c r="AH317" s="86"/>
      <c r="AI317" s="86"/>
      <c r="AJ317" s="86"/>
      <c r="AK317" s="86"/>
      <c r="AL317" s="86"/>
      <c r="AM317" s="86"/>
      <c r="AN317" s="86"/>
      <c r="AO317" s="86"/>
      <c r="AP317" s="86"/>
      <c r="AQ317" s="86"/>
      <c r="AR317" s="86"/>
      <c r="AS317" s="86"/>
      <c r="AT317" s="82"/>
      <c r="AU317" s="87"/>
      <c r="AV317" s="818">
        <f t="shared" si="204"/>
        <v>0</v>
      </c>
      <c r="AW317" s="818">
        <f t="shared" si="205"/>
        <v>0</v>
      </c>
      <c r="AX317" s="818">
        <f t="shared" si="206"/>
        <v>0</v>
      </c>
      <c r="AY317" s="88">
        <f t="shared" si="181"/>
        <v>0</v>
      </c>
      <c r="AZ317" s="81">
        <f t="shared" si="182"/>
        <v>0</v>
      </c>
      <c r="BA317" s="81">
        <f t="shared" si="183"/>
        <v>0</v>
      </c>
      <c r="BB317" s="81">
        <f t="shared" si="184"/>
        <v>0</v>
      </c>
      <c r="BC317" s="81">
        <f t="shared" si="185"/>
        <v>0</v>
      </c>
      <c r="BD317" s="81">
        <f t="shared" si="186"/>
        <v>0</v>
      </c>
      <c r="BE317" s="81">
        <f t="shared" si="187"/>
        <v>0</v>
      </c>
      <c r="BF317" s="81">
        <f t="shared" si="188"/>
        <v>0</v>
      </c>
      <c r="BG317" s="81">
        <f t="shared" si="189"/>
        <v>0</v>
      </c>
      <c r="BH317" s="81">
        <f t="shared" si="190"/>
        <v>0</v>
      </c>
      <c r="BI317" s="81">
        <f t="shared" si="191"/>
        <v>0</v>
      </c>
      <c r="BJ317" s="81">
        <f t="shared" si="192"/>
        <v>0</v>
      </c>
      <c r="BK317" s="81">
        <f t="shared" si="193"/>
        <v>0</v>
      </c>
      <c r="BL317" s="81">
        <f t="shared" si="194"/>
        <v>0</v>
      </c>
      <c r="BM317" s="81">
        <f t="shared" si="195"/>
        <v>0</v>
      </c>
      <c r="BN317" s="81">
        <f t="shared" si="196"/>
        <v>0</v>
      </c>
      <c r="BO317" s="81">
        <f t="shared" si="197"/>
        <v>0</v>
      </c>
      <c r="BP317" s="81">
        <f t="shared" si="198"/>
        <v>0</v>
      </c>
      <c r="BQ317" s="81">
        <f t="shared" si="199"/>
        <v>0</v>
      </c>
      <c r="BR317" s="81">
        <f t="shared" si="200"/>
        <v>0</v>
      </c>
      <c r="BS317" s="81">
        <f t="shared" si="201"/>
        <v>0</v>
      </c>
      <c r="BT317" s="89">
        <f t="shared" si="202"/>
        <v>0</v>
      </c>
    </row>
    <row r="318" spans="1:72">
      <c r="A318" s="79"/>
      <c r="B318" s="1179"/>
      <c r="C318" s="1180"/>
      <c r="D318" s="2301"/>
      <c r="E318" s="81">
        <f t="shared" si="203"/>
        <v>0</v>
      </c>
      <c r="F318" s="82"/>
      <c r="G318" s="83">
        <f t="shared" si="178"/>
        <v>0</v>
      </c>
      <c r="H318" s="84">
        <f t="shared" si="179"/>
        <v>0</v>
      </c>
      <c r="I318" s="1180"/>
      <c r="J318" s="85"/>
      <c r="K318" s="1180"/>
      <c r="L318" s="85"/>
      <c r="M318" s="85"/>
      <c r="N318" s="85"/>
      <c r="O318" s="85"/>
      <c r="P318" s="85"/>
      <c r="Q318" s="85"/>
      <c r="R318" s="85"/>
      <c r="S318" s="85"/>
      <c r="T318" s="85"/>
      <c r="U318" s="85"/>
      <c r="V318" s="85"/>
      <c r="W318" s="85"/>
      <c r="X318" s="85"/>
      <c r="Y318" s="85"/>
      <c r="Z318" s="85"/>
      <c r="AA318" s="85"/>
      <c r="AB318" s="85"/>
      <c r="AC318" s="81">
        <f t="shared" si="180"/>
        <v>0</v>
      </c>
      <c r="AD318" s="86"/>
      <c r="AE318" s="86"/>
      <c r="AF318" s="1180"/>
      <c r="AG318" s="86"/>
      <c r="AH318" s="86"/>
      <c r="AI318" s="86"/>
      <c r="AJ318" s="86"/>
      <c r="AK318" s="86"/>
      <c r="AL318" s="86"/>
      <c r="AM318" s="86"/>
      <c r="AN318" s="86"/>
      <c r="AO318" s="86"/>
      <c r="AP318" s="86"/>
      <c r="AQ318" s="86"/>
      <c r="AR318" s="86"/>
      <c r="AS318" s="86"/>
      <c r="AT318" s="82"/>
      <c r="AU318" s="87"/>
      <c r="AV318" s="818">
        <f t="shared" si="204"/>
        <v>0</v>
      </c>
      <c r="AW318" s="818">
        <f t="shared" si="205"/>
        <v>0</v>
      </c>
      <c r="AX318" s="818">
        <f t="shared" si="206"/>
        <v>0</v>
      </c>
      <c r="AY318" s="88">
        <f t="shared" si="181"/>
        <v>0</v>
      </c>
      <c r="AZ318" s="81">
        <f t="shared" si="182"/>
        <v>0</v>
      </c>
      <c r="BA318" s="81">
        <f t="shared" si="183"/>
        <v>0</v>
      </c>
      <c r="BB318" s="81">
        <f t="shared" si="184"/>
        <v>0</v>
      </c>
      <c r="BC318" s="81">
        <f t="shared" si="185"/>
        <v>0</v>
      </c>
      <c r="BD318" s="81">
        <f t="shared" si="186"/>
        <v>0</v>
      </c>
      <c r="BE318" s="81">
        <f t="shared" si="187"/>
        <v>0</v>
      </c>
      <c r="BF318" s="81">
        <f t="shared" si="188"/>
        <v>0</v>
      </c>
      <c r="BG318" s="81">
        <f t="shared" si="189"/>
        <v>0</v>
      </c>
      <c r="BH318" s="81">
        <f t="shared" si="190"/>
        <v>0</v>
      </c>
      <c r="BI318" s="81">
        <f t="shared" si="191"/>
        <v>0</v>
      </c>
      <c r="BJ318" s="81">
        <f t="shared" si="192"/>
        <v>0</v>
      </c>
      <c r="BK318" s="81">
        <f t="shared" si="193"/>
        <v>0</v>
      </c>
      <c r="BL318" s="81">
        <f t="shared" si="194"/>
        <v>0</v>
      </c>
      <c r="BM318" s="81">
        <f t="shared" si="195"/>
        <v>0</v>
      </c>
      <c r="BN318" s="81">
        <f t="shared" si="196"/>
        <v>0</v>
      </c>
      <c r="BO318" s="81">
        <f t="shared" si="197"/>
        <v>0</v>
      </c>
      <c r="BP318" s="81">
        <f t="shared" si="198"/>
        <v>0</v>
      </c>
      <c r="BQ318" s="81">
        <f t="shared" si="199"/>
        <v>0</v>
      </c>
      <c r="BR318" s="81">
        <f t="shared" si="200"/>
        <v>0</v>
      </c>
      <c r="BS318" s="81">
        <f t="shared" si="201"/>
        <v>0</v>
      </c>
      <c r="BT318" s="89">
        <f t="shared" si="202"/>
        <v>0</v>
      </c>
    </row>
    <row r="319" spans="1:72">
      <c r="A319" s="79"/>
      <c r="B319" s="1179"/>
      <c r="C319" s="1180"/>
      <c r="D319" s="2301"/>
      <c r="E319" s="81">
        <f t="shared" si="203"/>
        <v>0</v>
      </c>
      <c r="F319" s="82"/>
      <c r="G319" s="83">
        <f t="shared" si="178"/>
        <v>0</v>
      </c>
      <c r="H319" s="84">
        <f t="shared" si="179"/>
        <v>0</v>
      </c>
      <c r="I319" s="1180"/>
      <c r="J319" s="85"/>
      <c r="K319" s="1180"/>
      <c r="L319" s="85"/>
      <c r="M319" s="85"/>
      <c r="N319" s="85"/>
      <c r="O319" s="85"/>
      <c r="P319" s="85"/>
      <c r="Q319" s="85"/>
      <c r="R319" s="85"/>
      <c r="S319" s="85"/>
      <c r="T319" s="85"/>
      <c r="U319" s="85"/>
      <c r="V319" s="85"/>
      <c r="W319" s="85"/>
      <c r="X319" s="85"/>
      <c r="Y319" s="85"/>
      <c r="Z319" s="85"/>
      <c r="AA319" s="85"/>
      <c r="AB319" s="85"/>
      <c r="AC319" s="81">
        <f t="shared" si="180"/>
        <v>0</v>
      </c>
      <c r="AD319" s="86"/>
      <c r="AE319" s="86"/>
      <c r="AF319" s="1180"/>
      <c r="AG319" s="86"/>
      <c r="AH319" s="86"/>
      <c r="AI319" s="86"/>
      <c r="AJ319" s="86"/>
      <c r="AK319" s="86"/>
      <c r="AL319" s="86"/>
      <c r="AM319" s="86"/>
      <c r="AN319" s="86"/>
      <c r="AO319" s="86"/>
      <c r="AP319" s="86"/>
      <c r="AQ319" s="86"/>
      <c r="AR319" s="86"/>
      <c r="AS319" s="86"/>
      <c r="AT319" s="82"/>
      <c r="AU319" s="87"/>
      <c r="AV319" s="818">
        <f t="shared" si="204"/>
        <v>0</v>
      </c>
      <c r="AW319" s="818">
        <f t="shared" si="205"/>
        <v>0</v>
      </c>
      <c r="AX319" s="818">
        <f t="shared" si="206"/>
        <v>0</v>
      </c>
      <c r="AY319" s="88">
        <f t="shared" si="181"/>
        <v>0</v>
      </c>
      <c r="AZ319" s="81">
        <f t="shared" si="182"/>
        <v>0</v>
      </c>
      <c r="BA319" s="81">
        <f t="shared" si="183"/>
        <v>0</v>
      </c>
      <c r="BB319" s="81">
        <f t="shared" si="184"/>
        <v>0</v>
      </c>
      <c r="BC319" s="81">
        <f t="shared" si="185"/>
        <v>0</v>
      </c>
      <c r="BD319" s="81">
        <f t="shared" si="186"/>
        <v>0</v>
      </c>
      <c r="BE319" s="81">
        <f t="shared" si="187"/>
        <v>0</v>
      </c>
      <c r="BF319" s="81">
        <f t="shared" si="188"/>
        <v>0</v>
      </c>
      <c r="BG319" s="81">
        <f t="shared" si="189"/>
        <v>0</v>
      </c>
      <c r="BH319" s="81">
        <f t="shared" si="190"/>
        <v>0</v>
      </c>
      <c r="BI319" s="81">
        <f t="shared" si="191"/>
        <v>0</v>
      </c>
      <c r="BJ319" s="81">
        <f t="shared" si="192"/>
        <v>0</v>
      </c>
      <c r="BK319" s="81">
        <f t="shared" si="193"/>
        <v>0</v>
      </c>
      <c r="BL319" s="81">
        <f t="shared" si="194"/>
        <v>0</v>
      </c>
      <c r="BM319" s="81">
        <f t="shared" si="195"/>
        <v>0</v>
      </c>
      <c r="BN319" s="81">
        <f t="shared" si="196"/>
        <v>0</v>
      </c>
      <c r="BO319" s="81">
        <f t="shared" si="197"/>
        <v>0</v>
      </c>
      <c r="BP319" s="81">
        <f t="shared" si="198"/>
        <v>0</v>
      </c>
      <c r="BQ319" s="81">
        <f t="shared" si="199"/>
        <v>0</v>
      </c>
      <c r="BR319" s="81">
        <f t="shared" si="200"/>
        <v>0</v>
      </c>
      <c r="BS319" s="81">
        <f t="shared" si="201"/>
        <v>0</v>
      </c>
      <c r="BT319" s="89">
        <f t="shared" si="202"/>
        <v>0</v>
      </c>
    </row>
    <row r="320" spans="1:72">
      <c r="A320" s="79"/>
      <c r="B320" s="1179"/>
      <c r="C320" s="1180"/>
      <c r="D320" s="2301"/>
      <c r="E320" s="81">
        <f t="shared" si="203"/>
        <v>0</v>
      </c>
      <c r="F320" s="82"/>
      <c r="G320" s="83">
        <f t="shared" si="178"/>
        <v>0</v>
      </c>
      <c r="H320" s="84">
        <f t="shared" si="179"/>
        <v>0</v>
      </c>
      <c r="I320" s="1180"/>
      <c r="J320" s="85"/>
      <c r="K320" s="1180"/>
      <c r="L320" s="85"/>
      <c r="M320" s="85"/>
      <c r="N320" s="85"/>
      <c r="O320" s="85"/>
      <c r="P320" s="85"/>
      <c r="Q320" s="85"/>
      <c r="R320" s="85"/>
      <c r="S320" s="85"/>
      <c r="T320" s="85"/>
      <c r="U320" s="85"/>
      <c r="V320" s="85"/>
      <c r="W320" s="85"/>
      <c r="X320" s="85"/>
      <c r="Y320" s="85"/>
      <c r="Z320" s="85"/>
      <c r="AA320" s="85"/>
      <c r="AB320" s="85"/>
      <c r="AC320" s="81">
        <f t="shared" si="180"/>
        <v>0</v>
      </c>
      <c r="AD320" s="86"/>
      <c r="AE320" s="86"/>
      <c r="AF320" s="1180"/>
      <c r="AG320" s="86"/>
      <c r="AH320" s="86"/>
      <c r="AI320" s="86"/>
      <c r="AJ320" s="86"/>
      <c r="AK320" s="86"/>
      <c r="AL320" s="86"/>
      <c r="AM320" s="86"/>
      <c r="AN320" s="86"/>
      <c r="AO320" s="86"/>
      <c r="AP320" s="86"/>
      <c r="AQ320" s="86"/>
      <c r="AR320" s="86"/>
      <c r="AS320" s="86"/>
      <c r="AT320" s="82"/>
      <c r="AU320" s="87"/>
      <c r="AV320" s="818">
        <f t="shared" si="204"/>
        <v>0</v>
      </c>
      <c r="AW320" s="818">
        <f t="shared" si="205"/>
        <v>0</v>
      </c>
      <c r="AX320" s="818">
        <f t="shared" si="206"/>
        <v>0</v>
      </c>
      <c r="AY320" s="88">
        <f t="shared" si="181"/>
        <v>0</v>
      </c>
      <c r="AZ320" s="81">
        <f t="shared" si="182"/>
        <v>0</v>
      </c>
      <c r="BA320" s="81">
        <f t="shared" si="183"/>
        <v>0</v>
      </c>
      <c r="BB320" s="81">
        <f t="shared" si="184"/>
        <v>0</v>
      </c>
      <c r="BC320" s="81">
        <f t="shared" si="185"/>
        <v>0</v>
      </c>
      <c r="BD320" s="81">
        <f t="shared" si="186"/>
        <v>0</v>
      </c>
      <c r="BE320" s="81">
        <f t="shared" si="187"/>
        <v>0</v>
      </c>
      <c r="BF320" s="81">
        <f t="shared" si="188"/>
        <v>0</v>
      </c>
      <c r="BG320" s="81">
        <f t="shared" si="189"/>
        <v>0</v>
      </c>
      <c r="BH320" s="81">
        <f t="shared" si="190"/>
        <v>0</v>
      </c>
      <c r="BI320" s="81">
        <f t="shared" si="191"/>
        <v>0</v>
      </c>
      <c r="BJ320" s="81">
        <f t="shared" si="192"/>
        <v>0</v>
      </c>
      <c r="BK320" s="81">
        <f t="shared" si="193"/>
        <v>0</v>
      </c>
      <c r="BL320" s="81">
        <f t="shared" si="194"/>
        <v>0</v>
      </c>
      <c r="BM320" s="81">
        <f t="shared" si="195"/>
        <v>0</v>
      </c>
      <c r="BN320" s="81">
        <f t="shared" si="196"/>
        <v>0</v>
      </c>
      <c r="BO320" s="81">
        <f t="shared" si="197"/>
        <v>0</v>
      </c>
      <c r="BP320" s="81">
        <f t="shared" si="198"/>
        <v>0</v>
      </c>
      <c r="BQ320" s="81">
        <f t="shared" si="199"/>
        <v>0</v>
      </c>
      <c r="BR320" s="81">
        <f t="shared" si="200"/>
        <v>0</v>
      </c>
      <c r="BS320" s="81">
        <f t="shared" si="201"/>
        <v>0</v>
      </c>
      <c r="BT320" s="89">
        <f t="shared" si="202"/>
        <v>0</v>
      </c>
    </row>
    <row r="321" spans="1:72">
      <c r="A321" s="79"/>
      <c r="B321" s="1179"/>
      <c r="C321" s="1180"/>
      <c r="D321" s="2301"/>
      <c r="E321" s="81">
        <f t="shared" si="203"/>
        <v>0</v>
      </c>
      <c r="F321" s="82"/>
      <c r="G321" s="83">
        <f t="shared" si="178"/>
        <v>0</v>
      </c>
      <c r="H321" s="84">
        <f t="shared" si="179"/>
        <v>0</v>
      </c>
      <c r="I321" s="1180"/>
      <c r="J321" s="85"/>
      <c r="K321" s="1180"/>
      <c r="L321" s="85"/>
      <c r="M321" s="85"/>
      <c r="N321" s="85"/>
      <c r="O321" s="85"/>
      <c r="P321" s="85"/>
      <c r="Q321" s="85"/>
      <c r="R321" s="85"/>
      <c r="S321" s="85"/>
      <c r="T321" s="85"/>
      <c r="U321" s="85"/>
      <c r="V321" s="85"/>
      <c r="W321" s="85"/>
      <c r="X321" s="85"/>
      <c r="Y321" s="85"/>
      <c r="Z321" s="85"/>
      <c r="AA321" s="85"/>
      <c r="AB321" s="85"/>
      <c r="AC321" s="81">
        <f t="shared" si="180"/>
        <v>0</v>
      </c>
      <c r="AD321" s="86"/>
      <c r="AE321" s="86"/>
      <c r="AF321" s="1180"/>
      <c r="AG321" s="86"/>
      <c r="AH321" s="86"/>
      <c r="AI321" s="86"/>
      <c r="AJ321" s="86"/>
      <c r="AK321" s="86"/>
      <c r="AL321" s="86"/>
      <c r="AM321" s="86"/>
      <c r="AN321" s="86"/>
      <c r="AO321" s="86"/>
      <c r="AP321" s="86"/>
      <c r="AQ321" s="86"/>
      <c r="AR321" s="86"/>
      <c r="AS321" s="86"/>
      <c r="AT321" s="82"/>
      <c r="AU321" s="87"/>
      <c r="AV321" s="818">
        <f t="shared" si="204"/>
        <v>0</v>
      </c>
      <c r="AW321" s="818">
        <f t="shared" si="205"/>
        <v>0</v>
      </c>
      <c r="AX321" s="818">
        <f t="shared" si="206"/>
        <v>0</v>
      </c>
      <c r="AY321" s="88">
        <f t="shared" si="181"/>
        <v>0</v>
      </c>
      <c r="AZ321" s="81">
        <f t="shared" si="182"/>
        <v>0</v>
      </c>
      <c r="BA321" s="81">
        <f t="shared" si="183"/>
        <v>0</v>
      </c>
      <c r="BB321" s="81">
        <f t="shared" si="184"/>
        <v>0</v>
      </c>
      <c r="BC321" s="81">
        <f t="shared" si="185"/>
        <v>0</v>
      </c>
      <c r="BD321" s="81">
        <f t="shared" si="186"/>
        <v>0</v>
      </c>
      <c r="BE321" s="81">
        <f t="shared" si="187"/>
        <v>0</v>
      </c>
      <c r="BF321" s="81">
        <f t="shared" si="188"/>
        <v>0</v>
      </c>
      <c r="BG321" s="81">
        <f t="shared" si="189"/>
        <v>0</v>
      </c>
      <c r="BH321" s="81">
        <f t="shared" si="190"/>
        <v>0</v>
      </c>
      <c r="BI321" s="81">
        <f t="shared" si="191"/>
        <v>0</v>
      </c>
      <c r="BJ321" s="81">
        <f t="shared" si="192"/>
        <v>0</v>
      </c>
      <c r="BK321" s="81">
        <f t="shared" si="193"/>
        <v>0</v>
      </c>
      <c r="BL321" s="81">
        <f t="shared" si="194"/>
        <v>0</v>
      </c>
      <c r="BM321" s="81">
        <f t="shared" si="195"/>
        <v>0</v>
      </c>
      <c r="BN321" s="81">
        <f t="shared" si="196"/>
        <v>0</v>
      </c>
      <c r="BO321" s="81">
        <f t="shared" si="197"/>
        <v>0</v>
      </c>
      <c r="BP321" s="81">
        <f t="shared" si="198"/>
        <v>0</v>
      </c>
      <c r="BQ321" s="81">
        <f t="shared" si="199"/>
        <v>0</v>
      </c>
      <c r="BR321" s="81">
        <f t="shared" si="200"/>
        <v>0</v>
      </c>
      <c r="BS321" s="81">
        <f t="shared" si="201"/>
        <v>0</v>
      </c>
      <c r="BT321" s="89">
        <f t="shared" si="202"/>
        <v>0</v>
      </c>
    </row>
    <row r="322" spans="1:72">
      <c r="A322" s="79"/>
      <c r="B322" s="1179"/>
      <c r="C322" s="1180"/>
      <c r="D322" s="2301"/>
      <c r="E322" s="81">
        <f t="shared" si="203"/>
        <v>0</v>
      </c>
      <c r="F322" s="82"/>
      <c r="G322" s="83">
        <f t="shared" si="178"/>
        <v>0</v>
      </c>
      <c r="H322" s="84">
        <f t="shared" si="179"/>
        <v>0</v>
      </c>
      <c r="I322" s="1180"/>
      <c r="J322" s="85"/>
      <c r="K322" s="1180"/>
      <c r="L322" s="85"/>
      <c r="M322" s="85"/>
      <c r="N322" s="85"/>
      <c r="O322" s="85"/>
      <c r="P322" s="85"/>
      <c r="Q322" s="85"/>
      <c r="R322" s="85"/>
      <c r="S322" s="85"/>
      <c r="T322" s="85"/>
      <c r="U322" s="85"/>
      <c r="V322" s="85"/>
      <c r="W322" s="85"/>
      <c r="X322" s="85"/>
      <c r="Y322" s="85"/>
      <c r="Z322" s="85"/>
      <c r="AA322" s="85"/>
      <c r="AB322" s="85"/>
      <c r="AC322" s="81">
        <f t="shared" si="180"/>
        <v>0</v>
      </c>
      <c r="AD322" s="86"/>
      <c r="AE322" s="86"/>
      <c r="AF322" s="1180"/>
      <c r="AG322" s="86"/>
      <c r="AH322" s="86"/>
      <c r="AI322" s="86"/>
      <c r="AJ322" s="86"/>
      <c r="AK322" s="86"/>
      <c r="AL322" s="86"/>
      <c r="AM322" s="86"/>
      <c r="AN322" s="86"/>
      <c r="AO322" s="86"/>
      <c r="AP322" s="86"/>
      <c r="AQ322" s="86"/>
      <c r="AR322" s="86"/>
      <c r="AS322" s="86"/>
      <c r="AT322" s="82"/>
      <c r="AU322" s="87"/>
      <c r="AV322" s="818">
        <f t="shared" si="204"/>
        <v>0</v>
      </c>
      <c r="AW322" s="818">
        <f t="shared" si="205"/>
        <v>0</v>
      </c>
      <c r="AX322" s="818">
        <f t="shared" si="206"/>
        <v>0</v>
      </c>
      <c r="AY322" s="88">
        <f t="shared" si="181"/>
        <v>0</v>
      </c>
      <c r="AZ322" s="81">
        <f t="shared" si="182"/>
        <v>0</v>
      </c>
      <c r="BA322" s="81">
        <f t="shared" si="183"/>
        <v>0</v>
      </c>
      <c r="BB322" s="81">
        <f t="shared" si="184"/>
        <v>0</v>
      </c>
      <c r="BC322" s="81">
        <f t="shared" si="185"/>
        <v>0</v>
      </c>
      <c r="BD322" s="81">
        <f t="shared" si="186"/>
        <v>0</v>
      </c>
      <c r="BE322" s="81">
        <f t="shared" si="187"/>
        <v>0</v>
      </c>
      <c r="BF322" s="81">
        <f t="shared" si="188"/>
        <v>0</v>
      </c>
      <c r="BG322" s="81">
        <f t="shared" si="189"/>
        <v>0</v>
      </c>
      <c r="BH322" s="81">
        <f t="shared" si="190"/>
        <v>0</v>
      </c>
      <c r="BI322" s="81">
        <f t="shared" si="191"/>
        <v>0</v>
      </c>
      <c r="BJ322" s="81">
        <f t="shared" si="192"/>
        <v>0</v>
      </c>
      <c r="BK322" s="81">
        <f t="shared" si="193"/>
        <v>0</v>
      </c>
      <c r="BL322" s="81">
        <f t="shared" si="194"/>
        <v>0</v>
      </c>
      <c r="BM322" s="81">
        <f t="shared" si="195"/>
        <v>0</v>
      </c>
      <c r="BN322" s="81">
        <f t="shared" si="196"/>
        <v>0</v>
      </c>
      <c r="BO322" s="81">
        <f t="shared" si="197"/>
        <v>0</v>
      </c>
      <c r="BP322" s="81">
        <f t="shared" si="198"/>
        <v>0</v>
      </c>
      <c r="BQ322" s="81">
        <f t="shared" si="199"/>
        <v>0</v>
      </c>
      <c r="BR322" s="81">
        <f t="shared" si="200"/>
        <v>0</v>
      </c>
      <c r="BS322" s="81">
        <f t="shared" si="201"/>
        <v>0</v>
      </c>
      <c r="BT322" s="89">
        <f t="shared" si="202"/>
        <v>0</v>
      </c>
    </row>
    <row r="323" spans="1:72">
      <c r="A323" s="79"/>
      <c r="B323" s="1179"/>
      <c r="C323" s="1180"/>
      <c r="D323" s="2301"/>
      <c r="E323" s="81">
        <f t="shared" si="203"/>
        <v>0</v>
      </c>
      <c r="F323" s="82"/>
      <c r="G323" s="83">
        <f t="shared" si="178"/>
        <v>0</v>
      </c>
      <c r="H323" s="84">
        <f t="shared" si="179"/>
        <v>0</v>
      </c>
      <c r="I323" s="1180"/>
      <c r="J323" s="85"/>
      <c r="K323" s="1180"/>
      <c r="L323" s="85"/>
      <c r="M323" s="85"/>
      <c r="N323" s="85"/>
      <c r="O323" s="85"/>
      <c r="P323" s="85"/>
      <c r="Q323" s="85"/>
      <c r="R323" s="85"/>
      <c r="S323" s="85"/>
      <c r="T323" s="85"/>
      <c r="U323" s="85"/>
      <c r="V323" s="85"/>
      <c r="W323" s="85"/>
      <c r="X323" s="85"/>
      <c r="Y323" s="85"/>
      <c r="Z323" s="85"/>
      <c r="AA323" s="85"/>
      <c r="AB323" s="85"/>
      <c r="AC323" s="81">
        <f t="shared" si="180"/>
        <v>0</v>
      </c>
      <c r="AD323" s="86"/>
      <c r="AE323" s="86"/>
      <c r="AF323" s="1180"/>
      <c r="AG323" s="86"/>
      <c r="AH323" s="86"/>
      <c r="AI323" s="86"/>
      <c r="AJ323" s="86"/>
      <c r="AK323" s="86"/>
      <c r="AL323" s="86"/>
      <c r="AM323" s="86"/>
      <c r="AN323" s="86"/>
      <c r="AO323" s="86"/>
      <c r="AP323" s="86"/>
      <c r="AQ323" s="86"/>
      <c r="AR323" s="86"/>
      <c r="AS323" s="86"/>
      <c r="AT323" s="82"/>
      <c r="AU323" s="87"/>
      <c r="AV323" s="818">
        <f t="shared" si="204"/>
        <v>0</v>
      </c>
      <c r="AW323" s="818">
        <f t="shared" si="205"/>
        <v>0</v>
      </c>
      <c r="AX323" s="818">
        <f t="shared" si="206"/>
        <v>0</v>
      </c>
      <c r="AY323" s="88">
        <f t="shared" si="181"/>
        <v>0</v>
      </c>
      <c r="AZ323" s="81">
        <f t="shared" si="182"/>
        <v>0</v>
      </c>
      <c r="BA323" s="81">
        <f t="shared" si="183"/>
        <v>0</v>
      </c>
      <c r="BB323" s="81">
        <f t="shared" si="184"/>
        <v>0</v>
      </c>
      <c r="BC323" s="81">
        <f t="shared" si="185"/>
        <v>0</v>
      </c>
      <c r="BD323" s="81">
        <f t="shared" si="186"/>
        <v>0</v>
      </c>
      <c r="BE323" s="81">
        <f t="shared" si="187"/>
        <v>0</v>
      </c>
      <c r="BF323" s="81">
        <f t="shared" si="188"/>
        <v>0</v>
      </c>
      <c r="BG323" s="81">
        <f t="shared" si="189"/>
        <v>0</v>
      </c>
      <c r="BH323" s="81">
        <f t="shared" si="190"/>
        <v>0</v>
      </c>
      <c r="BI323" s="81">
        <f t="shared" si="191"/>
        <v>0</v>
      </c>
      <c r="BJ323" s="81">
        <f t="shared" si="192"/>
        <v>0</v>
      </c>
      <c r="BK323" s="81">
        <f t="shared" si="193"/>
        <v>0</v>
      </c>
      <c r="BL323" s="81">
        <f t="shared" si="194"/>
        <v>0</v>
      </c>
      <c r="BM323" s="81">
        <f t="shared" si="195"/>
        <v>0</v>
      </c>
      <c r="BN323" s="81">
        <f t="shared" si="196"/>
        <v>0</v>
      </c>
      <c r="BO323" s="81">
        <f t="shared" si="197"/>
        <v>0</v>
      </c>
      <c r="BP323" s="81">
        <f t="shared" si="198"/>
        <v>0</v>
      </c>
      <c r="BQ323" s="81">
        <f t="shared" si="199"/>
        <v>0</v>
      </c>
      <c r="BR323" s="81">
        <f t="shared" si="200"/>
        <v>0</v>
      </c>
      <c r="BS323" s="81">
        <f t="shared" si="201"/>
        <v>0</v>
      </c>
      <c r="BT323" s="89">
        <f t="shared" si="202"/>
        <v>0</v>
      </c>
    </row>
    <row r="324" spans="1:72">
      <c r="A324" s="79"/>
      <c r="B324" s="1179"/>
      <c r="C324" s="1180"/>
      <c r="D324" s="2301"/>
      <c r="E324" s="81">
        <f t="shared" si="203"/>
        <v>0</v>
      </c>
      <c r="F324" s="82"/>
      <c r="G324" s="83">
        <f t="shared" si="178"/>
        <v>0</v>
      </c>
      <c r="H324" s="84">
        <f t="shared" si="179"/>
        <v>0</v>
      </c>
      <c r="I324" s="1180"/>
      <c r="J324" s="85"/>
      <c r="K324" s="1180"/>
      <c r="L324" s="85"/>
      <c r="M324" s="85"/>
      <c r="N324" s="85"/>
      <c r="O324" s="85"/>
      <c r="P324" s="85"/>
      <c r="Q324" s="85"/>
      <c r="R324" s="85"/>
      <c r="S324" s="85"/>
      <c r="T324" s="85"/>
      <c r="U324" s="85"/>
      <c r="V324" s="85"/>
      <c r="W324" s="85"/>
      <c r="X324" s="85"/>
      <c r="Y324" s="85"/>
      <c r="Z324" s="85"/>
      <c r="AA324" s="85"/>
      <c r="AB324" s="85"/>
      <c r="AC324" s="81">
        <f t="shared" si="180"/>
        <v>0</v>
      </c>
      <c r="AD324" s="86"/>
      <c r="AE324" s="86"/>
      <c r="AF324" s="1180"/>
      <c r="AG324" s="86"/>
      <c r="AH324" s="86"/>
      <c r="AI324" s="86"/>
      <c r="AJ324" s="86"/>
      <c r="AK324" s="86"/>
      <c r="AL324" s="86"/>
      <c r="AM324" s="86"/>
      <c r="AN324" s="86"/>
      <c r="AO324" s="86"/>
      <c r="AP324" s="86"/>
      <c r="AQ324" s="86"/>
      <c r="AR324" s="86"/>
      <c r="AS324" s="86"/>
      <c r="AT324" s="82"/>
      <c r="AU324" s="87"/>
      <c r="AV324" s="818">
        <f t="shared" si="204"/>
        <v>0</v>
      </c>
      <c r="AW324" s="818">
        <f t="shared" si="205"/>
        <v>0</v>
      </c>
      <c r="AX324" s="818">
        <f t="shared" si="206"/>
        <v>0</v>
      </c>
      <c r="AY324" s="88">
        <f t="shared" si="181"/>
        <v>0</v>
      </c>
      <c r="AZ324" s="81">
        <f t="shared" si="182"/>
        <v>0</v>
      </c>
      <c r="BA324" s="81">
        <f t="shared" si="183"/>
        <v>0</v>
      </c>
      <c r="BB324" s="81">
        <f t="shared" si="184"/>
        <v>0</v>
      </c>
      <c r="BC324" s="81">
        <f t="shared" si="185"/>
        <v>0</v>
      </c>
      <c r="BD324" s="81">
        <f t="shared" si="186"/>
        <v>0</v>
      </c>
      <c r="BE324" s="81">
        <f t="shared" si="187"/>
        <v>0</v>
      </c>
      <c r="BF324" s="81">
        <f t="shared" si="188"/>
        <v>0</v>
      </c>
      <c r="BG324" s="81">
        <f t="shared" si="189"/>
        <v>0</v>
      </c>
      <c r="BH324" s="81">
        <f t="shared" si="190"/>
        <v>0</v>
      </c>
      <c r="BI324" s="81">
        <f t="shared" si="191"/>
        <v>0</v>
      </c>
      <c r="BJ324" s="81">
        <f t="shared" si="192"/>
        <v>0</v>
      </c>
      <c r="BK324" s="81">
        <f t="shared" si="193"/>
        <v>0</v>
      </c>
      <c r="BL324" s="81">
        <f t="shared" si="194"/>
        <v>0</v>
      </c>
      <c r="BM324" s="81">
        <f t="shared" si="195"/>
        <v>0</v>
      </c>
      <c r="BN324" s="81">
        <f t="shared" si="196"/>
        <v>0</v>
      </c>
      <c r="BO324" s="81">
        <f t="shared" si="197"/>
        <v>0</v>
      </c>
      <c r="BP324" s="81">
        <f t="shared" si="198"/>
        <v>0</v>
      </c>
      <c r="BQ324" s="81">
        <f t="shared" si="199"/>
        <v>0</v>
      </c>
      <c r="BR324" s="81">
        <f t="shared" si="200"/>
        <v>0</v>
      </c>
      <c r="BS324" s="81">
        <f t="shared" si="201"/>
        <v>0</v>
      </c>
      <c r="BT324" s="89">
        <f t="shared" si="202"/>
        <v>0</v>
      </c>
    </row>
    <row r="325" spans="1:72">
      <c r="A325" s="79"/>
      <c r="B325" s="1179"/>
      <c r="C325" s="1180"/>
      <c r="D325" s="2301"/>
      <c r="E325" s="81">
        <f t="shared" si="203"/>
        <v>0</v>
      </c>
      <c r="F325" s="82"/>
      <c r="G325" s="83">
        <f t="shared" si="178"/>
        <v>0</v>
      </c>
      <c r="H325" s="84">
        <f t="shared" si="179"/>
        <v>0</v>
      </c>
      <c r="I325" s="1180"/>
      <c r="J325" s="85"/>
      <c r="K325" s="1180"/>
      <c r="L325" s="85"/>
      <c r="M325" s="85"/>
      <c r="N325" s="85"/>
      <c r="O325" s="85"/>
      <c r="P325" s="85"/>
      <c r="Q325" s="85"/>
      <c r="R325" s="85"/>
      <c r="S325" s="85"/>
      <c r="T325" s="85"/>
      <c r="U325" s="85"/>
      <c r="V325" s="85"/>
      <c r="W325" s="85"/>
      <c r="X325" s="85"/>
      <c r="Y325" s="85"/>
      <c r="Z325" s="85"/>
      <c r="AA325" s="85"/>
      <c r="AB325" s="85"/>
      <c r="AC325" s="81">
        <f t="shared" si="180"/>
        <v>0</v>
      </c>
      <c r="AD325" s="86"/>
      <c r="AE325" s="86"/>
      <c r="AF325" s="1180"/>
      <c r="AG325" s="86"/>
      <c r="AH325" s="86"/>
      <c r="AI325" s="86"/>
      <c r="AJ325" s="86"/>
      <c r="AK325" s="86"/>
      <c r="AL325" s="86"/>
      <c r="AM325" s="86"/>
      <c r="AN325" s="86"/>
      <c r="AO325" s="86"/>
      <c r="AP325" s="86"/>
      <c r="AQ325" s="86"/>
      <c r="AR325" s="86"/>
      <c r="AS325" s="86"/>
      <c r="AT325" s="82"/>
      <c r="AU325" s="87"/>
      <c r="AV325" s="818">
        <f t="shared" si="204"/>
        <v>0</v>
      </c>
      <c r="AW325" s="818">
        <f t="shared" si="205"/>
        <v>0</v>
      </c>
      <c r="AX325" s="818">
        <f t="shared" si="206"/>
        <v>0</v>
      </c>
      <c r="AY325" s="88">
        <f t="shared" si="181"/>
        <v>0</v>
      </c>
      <c r="AZ325" s="81">
        <f t="shared" si="182"/>
        <v>0</v>
      </c>
      <c r="BA325" s="81">
        <f t="shared" si="183"/>
        <v>0</v>
      </c>
      <c r="BB325" s="81">
        <f t="shared" si="184"/>
        <v>0</v>
      </c>
      <c r="BC325" s="81">
        <f t="shared" si="185"/>
        <v>0</v>
      </c>
      <c r="BD325" s="81">
        <f t="shared" si="186"/>
        <v>0</v>
      </c>
      <c r="BE325" s="81">
        <f t="shared" si="187"/>
        <v>0</v>
      </c>
      <c r="BF325" s="81">
        <f t="shared" si="188"/>
        <v>0</v>
      </c>
      <c r="BG325" s="81">
        <f t="shared" si="189"/>
        <v>0</v>
      </c>
      <c r="BH325" s="81">
        <f t="shared" si="190"/>
        <v>0</v>
      </c>
      <c r="BI325" s="81">
        <f t="shared" si="191"/>
        <v>0</v>
      </c>
      <c r="BJ325" s="81">
        <f t="shared" si="192"/>
        <v>0</v>
      </c>
      <c r="BK325" s="81">
        <f t="shared" si="193"/>
        <v>0</v>
      </c>
      <c r="BL325" s="81">
        <f t="shared" si="194"/>
        <v>0</v>
      </c>
      <c r="BM325" s="81">
        <f t="shared" si="195"/>
        <v>0</v>
      </c>
      <c r="BN325" s="81">
        <f t="shared" si="196"/>
        <v>0</v>
      </c>
      <c r="BO325" s="81">
        <f t="shared" si="197"/>
        <v>0</v>
      </c>
      <c r="BP325" s="81">
        <f t="shared" si="198"/>
        <v>0</v>
      </c>
      <c r="BQ325" s="81">
        <f t="shared" si="199"/>
        <v>0</v>
      </c>
      <c r="BR325" s="81">
        <f t="shared" si="200"/>
        <v>0</v>
      </c>
      <c r="BS325" s="81">
        <f t="shared" si="201"/>
        <v>0</v>
      </c>
      <c r="BT325" s="89">
        <f t="shared" si="202"/>
        <v>0</v>
      </c>
    </row>
    <row r="326" spans="1:72">
      <c r="A326" s="79"/>
      <c r="B326" s="1179"/>
      <c r="C326" s="1180"/>
      <c r="D326" s="2301"/>
      <c r="E326" s="81">
        <f t="shared" si="203"/>
        <v>0</v>
      </c>
      <c r="F326" s="82"/>
      <c r="G326" s="83">
        <f t="shared" ref="G326:G357" si="207">H326+AC326+AT326</f>
        <v>0</v>
      </c>
      <c r="H326" s="84">
        <f t="shared" ref="H326:H357" si="208">SUMIF(I$12:AB$12,"总值",I326:AB326)</f>
        <v>0</v>
      </c>
      <c r="I326" s="1180"/>
      <c r="J326" s="85"/>
      <c r="K326" s="1180"/>
      <c r="L326" s="85"/>
      <c r="M326" s="85"/>
      <c r="N326" s="85"/>
      <c r="O326" s="85"/>
      <c r="P326" s="85"/>
      <c r="Q326" s="85"/>
      <c r="R326" s="85"/>
      <c r="S326" s="85"/>
      <c r="T326" s="85"/>
      <c r="U326" s="85"/>
      <c r="V326" s="85"/>
      <c r="W326" s="85"/>
      <c r="X326" s="85"/>
      <c r="Y326" s="85"/>
      <c r="Z326" s="85"/>
      <c r="AA326" s="85"/>
      <c r="AB326" s="85"/>
      <c r="AC326" s="81">
        <f t="shared" ref="AC326:AC357" si="209">SUMIF(AD$12:AS$12,"总值",AD326:AS326)</f>
        <v>0</v>
      </c>
      <c r="AD326" s="86"/>
      <c r="AE326" s="86"/>
      <c r="AF326" s="1180"/>
      <c r="AG326" s="86"/>
      <c r="AH326" s="86"/>
      <c r="AI326" s="86"/>
      <c r="AJ326" s="86"/>
      <c r="AK326" s="86"/>
      <c r="AL326" s="86"/>
      <c r="AM326" s="86"/>
      <c r="AN326" s="86"/>
      <c r="AO326" s="86"/>
      <c r="AP326" s="86"/>
      <c r="AQ326" s="86"/>
      <c r="AR326" s="86"/>
      <c r="AS326" s="86"/>
      <c r="AT326" s="82"/>
      <c r="AU326" s="87"/>
      <c r="AV326" s="818">
        <f t="shared" si="204"/>
        <v>0</v>
      </c>
      <c r="AW326" s="818">
        <f t="shared" si="205"/>
        <v>0</v>
      </c>
      <c r="AX326" s="818">
        <f t="shared" si="206"/>
        <v>0</v>
      </c>
      <c r="AY326" s="88">
        <f t="shared" ref="AY326:AY357" si="210">ROUND($AY$6*AZ326/$AZ$5,2)</f>
        <v>0</v>
      </c>
      <c r="AZ326" s="81">
        <f t="shared" ref="AZ326:AZ357" si="211">BA326+BL326</f>
        <v>0</v>
      </c>
      <c r="BA326" s="81">
        <f t="shared" ref="BA326:BA357" si="212">SUM(BB326:BK326)</f>
        <v>0</v>
      </c>
      <c r="BB326" s="81">
        <f t="shared" ref="BB326:BB357" si="213">IF($D326="是",I326-J326,0)</f>
        <v>0</v>
      </c>
      <c r="BC326" s="81">
        <f t="shared" ref="BC326:BC357" si="214">IF($D326="是",K326-L326,0)</f>
        <v>0</v>
      </c>
      <c r="BD326" s="81">
        <f t="shared" ref="BD326:BD357" si="215">IF($D326="是",M326-N326,0)</f>
        <v>0</v>
      </c>
      <c r="BE326" s="81">
        <f t="shared" ref="BE326:BE357" si="216">IF($D326="是",O326-P326,0)</f>
        <v>0</v>
      </c>
      <c r="BF326" s="81">
        <f t="shared" ref="BF326:BF357" si="217">IF($D326="是",Q326-R326,0)</f>
        <v>0</v>
      </c>
      <c r="BG326" s="81">
        <f t="shared" ref="BG326:BG357" si="218">IF($D326="是",S326-T326,0)</f>
        <v>0</v>
      </c>
      <c r="BH326" s="81">
        <f t="shared" ref="BH326:BH357" si="219">IF($D326="是",U326-V326,0)</f>
        <v>0</v>
      </c>
      <c r="BI326" s="81">
        <f t="shared" ref="BI326:BI357" si="220">IF($D326="是",W326-X326,0)</f>
        <v>0</v>
      </c>
      <c r="BJ326" s="81">
        <f t="shared" ref="BJ326:BJ357" si="221">IF($D326="是",Y326-Z326,0)</f>
        <v>0</v>
      </c>
      <c r="BK326" s="81">
        <f t="shared" ref="BK326:BK357" si="222">IF($D326="是",AA326-AB326,0)</f>
        <v>0</v>
      </c>
      <c r="BL326" s="81">
        <f t="shared" ref="BL326:BL357" si="223">SUM(BM326:BT326)</f>
        <v>0</v>
      </c>
      <c r="BM326" s="81">
        <f t="shared" ref="BM326:BM357" si="224">IF($D326="是",AD326-AE326,0)</f>
        <v>0</v>
      </c>
      <c r="BN326" s="81">
        <f t="shared" ref="BN326:BN357" si="225">IF($D326="是",AF326-AG326,0)</f>
        <v>0</v>
      </c>
      <c r="BO326" s="81">
        <f t="shared" ref="BO326:BO357" si="226">IF($D326="是",AH326-AI326,0)</f>
        <v>0</v>
      </c>
      <c r="BP326" s="81">
        <f t="shared" ref="BP326:BP357" si="227">IF($D326="是",AJ326-AK326,0)</f>
        <v>0</v>
      </c>
      <c r="BQ326" s="81">
        <f t="shared" ref="BQ326:BQ357" si="228">IF($D326="是",AL326-AM326,0)</f>
        <v>0</v>
      </c>
      <c r="BR326" s="81">
        <f t="shared" ref="BR326:BR357" si="229">IF($D326="是",AN326-AO326,0)</f>
        <v>0</v>
      </c>
      <c r="BS326" s="81">
        <f t="shared" ref="BS326:BS357" si="230">IF($D326="是",AP326-AQ326,0)</f>
        <v>0</v>
      </c>
      <c r="BT326" s="89">
        <f t="shared" ref="BT326:BT357" si="231">IF($D326="是",AR326-AS326,0)</f>
        <v>0</v>
      </c>
    </row>
    <row r="327" spans="1:72">
      <c r="A327" s="79"/>
      <c r="B327" s="1179"/>
      <c r="C327" s="1180"/>
      <c r="D327" s="2301"/>
      <c r="E327" s="81">
        <f t="shared" si="203"/>
        <v>0</v>
      </c>
      <c r="F327" s="82"/>
      <c r="G327" s="83">
        <f t="shared" si="207"/>
        <v>0</v>
      </c>
      <c r="H327" s="84">
        <f t="shared" si="208"/>
        <v>0</v>
      </c>
      <c r="I327" s="1180"/>
      <c r="J327" s="85"/>
      <c r="K327" s="1180"/>
      <c r="L327" s="85"/>
      <c r="M327" s="85"/>
      <c r="N327" s="85"/>
      <c r="O327" s="85"/>
      <c r="P327" s="85"/>
      <c r="Q327" s="85"/>
      <c r="R327" s="85"/>
      <c r="S327" s="85"/>
      <c r="T327" s="85"/>
      <c r="U327" s="85"/>
      <c r="V327" s="85"/>
      <c r="W327" s="85"/>
      <c r="X327" s="85"/>
      <c r="Y327" s="85"/>
      <c r="Z327" s="85"/>
      <c r="AA327" s="85"/>
      <c r="AB327" s="85"/>
      <c r="AC327" s="81">
        <f t="shared" si="209"/>
        <v>0</v>
      </c>
      <c r="AD327" s="86"/>
      <c r="AE327" s="86"/>
      <c r="AF327" s="1180"/>
      <c r="AG327" s="86"/>
      <c r="AH327" s="86"/>
      <c r="AI327" s="86"/>
      <c r="AJ327" s="86"/>
      <c r="AK327" s="86"/>
      <c r="AL327" s="86"/>
      <c r="AM327" s="86"/>
      <c r="AN327" s="86"/>
      <c r="AO327" s="86"/>
      <c r="AP327" s="86"/>
      <c r="AQ327" s="86"/>
      <c r="AR327" s="86"/>
      <c r="AS327" s="86"/>
      <c r="AT327" s="82"/>
      <c r="AU327" s="87"/>
      <c r="AV327" s="818">
        <f t="shared" si="204"/>
        <v>0</v>
      </c>
      <c r="AW327" s="818">
        <f t="shared" si="205"/>
        <v>0</v>
      </c>
      <c r="AX327" s="818">
        <f t="shared" si="206"/>
        <v>0</v>
      </c>
      <c r="AY327" s="88">
        <f t="shared" si="210"/>
        <v>0</v>
      </c>
      <c r="AZ327" s="81">
        <f t="shared" si="211"/>
        <v>0</v>
      </c>
      <c r="BA327" s="81">
        <f t="shared" si="212"/>
        <v>0</v>
      </c>
      <c r="BB327" s="81">
        <f t="shared" si="213"/>
        <v>0</v>
      </c>
      <c r="BC327" s="81">
        <f t="shared" si="214"/>
        <v>0</v>
      </c>
      <c r="BD327" s="81">
        <f t="shared" si="215"/>
        <v>0</v>
      </c>
      <c r="BE327" s="81">
        <f t="shared" si="216"/>
        <v>0</v>
      </c>
      <c r="BF327" s="81">
        <f t="shared" si="217"/>
        <v>0</v>
      </c>
      <c r="BG327" s="81">
        <f t="shared" si="218"/>
        <v>0</v>
      </c>
      <c r="BH327" s="81">
        <f t="shared" si="219"/>
        <v>0</v>
      </c>
      <c r="BI327" s="81">
        <f t="shared" si="220"/>
        <v>0</v>
      </c>
      <c r="BJ327" s="81">
        <f t="shared" si="221"/>
        <v>0</v>
      </c>
      <c r="BK327" s="81">
        <f t="shared" si="222"/>
        <v>0</v>
      </c>
      <c r="BL327" s="81">
        <f t="shared" si="223"/>
        <v>0</v>
      </c>
      <c r="BM327" s="81">
        <f t="shared" si="224"/>
        <v>0</v>
      </c>
      <c r="BN327" s="81">
        <f t="shared" si="225"/>
        <v>0</v>
      </c>
      <c r="BO327" s="81">
        <f t="shared" si="226"/>
        <v>0</v>
      </c>
      <c r="BP327" s="81">
        <f t="shared" si="227"/>
        <v>0</v>
      </c>
      <c r="BQ327" s="81">
        <f t="shared" si="228"/>
        <v>0</v>
      </c>
      <c r="BR327" s="81">
        <f t="shared" si="229"/>
        <v>0</v>
      </c>
      <c r="BS327" s="81">
        <f t="shared" si="230"/>
        <v>0</v>
      </c>
      <c r="BT327" s="89">
        <f t="shared" si="231"/>
        <v>0</v>
      </c>
    </row>
    <row r="328" spans="1:72">
      <c r="A328" s="79"/>
      <c r="B328" s="1179"/>
      <c r="C328" s="1180"/>
      <c r="D328" s="2301"/>
      <c r="E328" s="81">
        <f t="shared" si="203"/>
        <v>0</v>
      </c>
      <c r="F328" s="82"/>
      <c r="G328" s="83">
        <f t="shared" si="207"/>
        <v>0</v>
      </c>
      <c r="H328" s="84">
        <f t="shared" si="208"/>
        <v>0</v>
      </c>
      <c r="I328" s="1180"/>
      <c r="J328" s="85"/>
      <c r="K328" s="1180"/>
      <c r="L328" s="85"/>
      <c r="M328" s="85"/>
      <c r="N328" s="85"/>
      <c r="O328" s="85"/>
      <c r="P328" s="85"/>
      <c r="Q328" s="85"/>
      <c r="R328" s="85"/>
      <c r="S328" s="85"/>
      <c r="T328" s="85"/>
      <c r="U328" s="85"/>
      <c r="V328" s="85"/>
      <c r="W328" s="85"/>
      <c r="X328" s="85"/>
      <c r="Y328" s="85"/>
      <c r="Z328" s="85"/>
      <c r="AA328" s="85"/>
      <c r="AB328" s="85"/>
      <c r="AC328" s="81">
        <f t="shared" si="209"/>
        <v>0</v>
      </c>
      <c r="AD328" s="86"/>
      <c r="AE328" s="86"/>
      <c r="AF328" s="1180"/>
      <c r="AG328" s="86"/>
      <c r="AH328" s="86"/>
      <c r="AI328" s="86"/>
      <c r="AJ328" s="86"/>
      <c r="AK328" s="86"/>
      <c r="AL328" s="86"/>
      <c r="AM328" s="86"/>
      <c r="AN328" s="86"/>
      <c r="AO328" s="86"/>
      <c r="AP328" s="86"/>
      <c r="AQ328" s="86"/>
      <c r="AR328" s="86"/>
      <c r="AS328" s="86"/>
      <c r="AT328" s="82"/>
      <c r="AU328" s="87"/>
      <c r="AV328" s="818">
        <f t="shared" si="204"/>
        <v>0</v>
      </c>
      <c r="AW328" s="818">
        <f t="shared" si="205"/>
        <v>0</v>
      </c>
      <c r="AX328" s="818">
        <f t="shared" si="206"/>
        <v>0</v>
      </c>
      <c r="AY328" s="88">
        <f t="shared" si="210"/>
        <v>0</v>
      </c>
      <c r="AZ328" s="81">
        <f t="shared" si="211"/>
        <v>0</v>
      </c>
      <c r="BA328" s="81">
        <f t="shared" si="212"/>
        <v>0</v>
      </c>
      <c r="BB328" s="81">
        <f t="shared" si="213"/>
        <v>0</v>
      </c>
      <c r="BC328" s="81">
        <f t="shared" si="214"/>
        <v>0</v>
      </c>
      <c r="BD328" s="81">
        <f t="shared" si="215"/>
        <v>0</v>
      </c>
      <c r="BE328" s="81">
        <f t="shared" si="216"/>
        <v>0</v>
      </c>
      <c r="BF328" s="81">
        <f t="shared" si="217"/>
        <v>0</v>
      </c>
      <c r="BG328" s="81">
        <f t="shared" si="218"/>
        <v>0</v>
      </c>
      <c r="BH328" s="81">
        <f t="shared" si="219"/>
        <v>0</v>
      </c>
      <c r="BI328" s="81">
        <f t="shared" si="220"/>
        <v>0</v>
      </c>
      <c r="BJ328" s="81">
        <f t="shared" si="221"/>
        <v>0</v>
      </c>
      <c r="BK328" s="81">
        <f t="shared" si="222"/>
        <v>0</v>
      </c>
      <c r="BL328" s="81">
        <f t="shared" si="223"/>
        <v>0</v>
      </c>
      <c r="BM328" s="81">
        <f t="shared" si="224"/>
        <v>0</v>
      </c>
      <c r="BN328" s="81">
        <f t="shared" si="225"/>
        <v>0</v>
      </c>
      <c r="BO328" s="81">
        <f t="shared" si="226"/>
        <v>0</v>
      </c>
      <c r="BP328" s="81">
        <f t="shared" si="227"/>
        <v>0</v>
      </c>
      <c r="BQ328" s="81">
        <f t="shared" si="228"/>
        <v>0</v>
      </c>
      <c r="BR328" s="81">
        <f t="shared" si="229"/>
        <v>0</v>
      </c>
      <c r="BS328" s="81">
        <f t="shared" si="230"/>
        <v>0</v>
      </c>
      <c r="BT328" s="89">
        <f t="shared" si="231"/>
        <v>0</v>
      </c>
    </row>
    <row r="329" spans="1:72">
      <c r="A329" s="79"/>
      <c r="B329" s="1179"/>
      <c r="C329" s="1180"/>
      <c r="D329" s="2301"/>
      <c r="E329" s="81">
        <f t="shared" ref="E329:E360" si="232">IF($C$3="是",ROUND($A$3*G329/$B$3,2),ROUND($A$3*(G329-AT329)/$B$3,2))</f>
        <v>0</v>
      </c>
      <c r="F329" s="82"/>
      <c r="G329" s="83">
        <f t="shared" si="207"/>
        <v>0</v>
      </c>
      <c r="H329" s="84">
        <f t="shared" si="208"/>
        <v>0</v>
      </c>
      <c r="I329" s="1180"/>
      <c r="J329" s="85"/>
      <c r="K329" s="1180"/>
      <c r="L329" s="85"/>
      <c r="M329" s="85"/>
      <c r="N329" s="85"/>
      <c r="O329" s="85"/>
      <c r="P329" s="85"/>
      <c r="Q329" s="85"/>
      <c r="R329" s="85"/>
      <c r="S329" s="85"/>
      <c r="T329" s="85"/>
      <c r="U329" s="85"/>
      <c r="V329" s="85"/>
      <c r="W329" s="85"/>
      <c r="X329" s="85"/>
      <c r="Y329" s="85"/>
      <c r="Z329" s="85"/>
      <c r="AA329" s="85"/>
      <c r="AB329" s="85"/>
      <c r="AC329" s="81">
        <f t="shared" si="209"/>
        <v>0</v>
      </c>
      <c r="AD329" s="86"/>
      <c r="AE329" s="86"/>
      <c r="AF329" s="1180"/>
      <c r="AG329" s="86"/>
      <c r="AH329" s="86"/>
      <c r="AI329" s="86"/>
      <c r="AJ329" s="86"/>
      <c r="AK329" s="86"/>
      <c r="AL329" s="86"/>
      <c r="AM329" s="86"/>
      <c r="AN329" s="86"/>
      <c r="AO329" s="86"/>
      <c r="AP329" s="86"/>
      <c r="AQ329" s="86"/>
      <c r="AR329" s="86"/>
      <c r="AS329" s="86"/>
      <c r="AT329" s="82"/>
      <c r="AU329" s="87"/>
      <c r="AV329" s="818">
        <f t="shared" ref="AV329:AV360" si="233">A329</f>
        <v>0</v>
      </c>
      <c r="AW329" s="818">
        <f t="shared" ref="AW329:AW360" si="234">B329</f>
        <v>0</v>
      </c>
      <c r="AX329" s="818">
        <f t="shared" ref="AX329:AX360" si="235">C329</f>
        <v>0</v>
      </c>
      <c r="AY329" s="88">
        <f t="shared" si="210"/>
        <v>0</v>
      </c>
      <c r="AZ329" s="81">
        <f t="shared" si="211"/>
        <v>0</v>
      </c>
      <c r="BA329" s="81">
        <f t="shared" si="212"/>
        <v>0</v>
      </c>
      <c r="BB329" s="81">
        <f t="shared" si="213"/>
        <v>0</v>
      </c>
      <c r="BC329" s="81">
        <f t="shared" si="214"/>
        <v>0</v>
      </c>
      <c r="BD329" s="81">
        <f t="shared" si="215"/>
        <v>0</v>
      </c>
      <c r="BE329" s="81">
        <f t="shared" si="216"/>
        <v>0</v>
      </c>
      <c r="BF329" s="81">
        <f t="shared" si="217"/>
        <v>0</v>
      </c>
      <c r="BG329" s="81">
        <f t="shared" si="218"/>
        <v>0</v>
      </c>
      <c r="BH329" s="81">
        <f t="shared" si="219"/>
        <v>0</v>
      </c>
      <c r="BI329" s="81">
        <f t="shared" si="220"/>
        <v>0</v>
      </c>
      <c r="BJ329" s="81">
        <f t="shared" si="221"/>
        <v>0</v>
      </c>
      <c r="BK329" s="81">
        <f t="shared" si="222"/>
        <v>0</v>
      </c>
      <c r="BL329" s="81">
        <f t="shared" si="223"/>
        <v>0</v>
      </c>
      <c r="BM329" s="81">
        <f t="shared" si="224"/>
        <v>0</v>
      </c>
      <c r="BN329" s="81">
        <f t="shared" si="225"/>
        <v>0</v>
      </c>
      <c r="BO329" s="81">
        <f t="shared" si="226"/>
        <v>0</v>
      </c>
      <c r="BP329" s="81">
        <f t="shared" si="227"/>
        <v>0</v>
      </c>
      <c r="BQ329" s="81">
        <f t="shared" si="228"/>
        <v>0</v>
      </c>
      <c r="BR329" s="81">
        <f t="shared" si="229"/>
        <v>0</v>
      </c>
      <c r="BS329" s="81">
        <f t="shared" si="230"/>
        <v>0</v>
      </c>
      <c r="BT329" s="89">
        <f t="shared" si="231"/>
        <v>0</v>
      </c>
    </row>
    <row r="330" spans="1:72">
      <c r="A330" s="79"/>
      <c r="B330" s="1179"/>
      <c r="C330" s="1180"/>
      <c r="D330" s="2301"/>
      <c r="E330" s="81">
        <f t="shared" si="232"/>
        <v>0</v>
      </c>
      <c r="F330" s="82"/>
      <c r="G330" s="83">
        <f t="shared" si="207"/>
        <v>0</v>
      </c>
      <c r="H330" s="84">
        <f t="shared" si="208"/>
        <v>0</v>
      </c>
      <c r="I330" s="1180"/>
      <c r="J330" s="85"/>
      <c r="K330" s="1180"/>
      <c r="L330" s="85"/>
      <c r="M330" s="85"/>
      <c r="N330" s="85"/>
      <c r="O330" s="85"/>
      <c r="P330" s="85"/>
      <c r="Q330" s="85"/>
      <c r="R330" s="85"/>
      <c r="S330" s="85"/>
      <c r="T330" s="85"/>
      <c r="U330" s="85"/>
      <c r="V330" s="85"/>
      <c r="W330" s="85"/>
      <c r="X330" s="85"/>
      <c r="Y330" s="85"/>
      <c r="Z330" s="85"/>
      <c r="AA330" s="85"/>
      <c r="AB330" s="85"/>
      <c r="AC330" s="81">
        <f t="shared" si="209"/>
        <v>0</v>
      </c>
      <c r="AD330" s="86"/>
      <c r="AE330" s="86"/>
      <c r="AF330" s="1180"/>
      <c r="AG330" s="86"/>
      <c r="AH330" s="86"/>
      <c r="AI330" s="86"/>
      <c r="AJ330" s="86"/>
      <c r="AK330" s="86"/>
      <c r="AL330" s="86"/>
      <c r="AM330" s="86"/>
      <c r="AN330" s="86"/>
      <c r="AO330" s="86"/>
      <c r="AP330" s="86"/>
      <c r="AQ330" s="86"/>
      <c r="AR330" s="86"/>
      <c r="AS330" s="86"/>
      <c r="AT330" s="82"/>
      <c r="AU330" s="87"/>
      <c r="AV330" s="818">
        <f t="shared" si="233"/>
        <v>0</v>
      </c>
      <c r="AW330" s="818">
        <f t="shared" si="234"/>
        <v>0</v>
      </c>
      <c r="AX330" s="818">
        <f t="shared" si="235"/>
        <v>0</v>
      </c>
      <c r="AY330" s="88">
        <f t="shared" si="210"/>
        <v>0</v>
      </c>
      <c r="AZ330" s="81">
        <f t="shared" si="211"/>
        <v>0</v>
      </c>
      <c r="BA330" s="81">
        <f t="shared" si="212"/>
        <v>0</v>
      </c>
      <c r="BB330" s="81">
        <f t="shared" si="213"/>
        <v>0</v>
      </c>
      <c r="BC330" s="81">
        <f t="shared" si="214"/>
        <v>0</v>
      </c>
      <c r="BD330" s="81">
        <f t="shared" si="215"/>
        <v>0</v>
      </c>
      <c r="BE330" s="81">
        <f t="shared" si="216"/>
        <v>0</v>
      </c>
      <c r="BF330" s="81">
        <f t="shared" si="217"/>
        <v>0</v>
      </c>
      <c r="BG330" s="81">
        <f t="shared" si="218"/>
        <v>0</v>
      </c>
      <c r="BH330" s="81">
        <f t="shared" si="219"/>
        <v>0</v>
      </c>
      <c r="BI330" s="81">
        <f t="shared" si="220"/>
        <v>0</v>
      </c>
      <c r="BJ330" s="81">
        <f t="shared" si="221"/>
        <v>0</v>
      </c>
      <c r="BK330" s="81">
        <f t="shared" si="222"/>
        <v>0</v>
      </c>
      <c r="BL330" s="81">
        <f t="shared" si="223"/>
        <v>0</v>
      </c>
      <c r="BM330" s="81">
        <f t="shared" si="224"/>
        <v>0</v>
      </c>
      <c r="BN330" s="81">
        <f t="shared" si="225"/>
        <v>0</v>
      </c>
      <c r="BO330" s="81">
        <f t="shared" si="226"/>
        <v>0</v>
      </c>
      <c r="BP330" s="81">
        <f t="shared" si="227"/>
        <v>0</v>
      </c>
      <c r="BQ330" s="81">
        <f t="shared" si="228"/>
        <v>0</v>
      </c>
      <c r="BR330" s="81">
        <f t="shared" si="229"/>
        <v>0</v>
      </c>
      <c r="BS330" s="81">
        <f t="shared" si="230"/>
        <v>0</v>
      </c>
      <c r="BT330" s="89">
        <f t="shared" si="231"/>
        <v>0</v>
      </c>
    </row>
    <row r="331" spans="1:72">
      <c r="A331" s="79"/>
      <c r="B331" s="1179"/>
      <c r="C331" s="1180"/>
      <c r="D331" s="2301"/>
      <c r="E331" s="81">
        <f t="shared" si="232"/>
        <v>0</v>
      </c>
      <c r="F331" s="82"/>
      <c r="G331" s="83">
        <f t="shared" si="207"/>
        <v>0</v>
      </c>
      <c r="H331" s="84">
        <f t="shared" si="208"/>
        <v>0</v>
      </c>
      <c r="I331" s="1180"/>
      <c r="J331" s="85"/>
      <c r="K331" s="1180"/>
      <c r="L331" s="85"/>
      <c r="M331" s="1180"/>
      <c r="N331" s="85"/>
      <c r="O331" s="85"/>
      <c r="P331" s="85"/>
      <c r="Q331" s="85"/>
      <c r="R331" s="85"/>
      <c r="S331" s="85"/>
      <c r="T331" s="85"/>
      <c r="U331" s="85"/>
      <c r="V331" s="85"/>
      <c r="W331" s="85"/>
      <c r="X331" s="85"/>
      <c r="Y331" s="85"/>
      <c r="Z331" s="85"/>
      <c r="AA331" s="85"/>
      <c r="AB331" s="85"/>
      <c r="AC331" s="81">
        <f t="shared" si="209"/>
        <v>0</v>
      </c>
      <c r="AD331" s="86"/>
      <c r="AE331" s="86"/>
      <c r="AF331" s="1180"/>
      <c r="AG331" s="86"/>
      <c r="AH331" s="86"/>
      <c r="AI331" s="86"/>
      <c r="AJ331" s="86"/>
      <c r="AK331" s="86"/>
      <c r="AL331" s="86"/>
      <c r="AM331" s="86"/>
      <c r="AN331" s="86"/>
      <c r="AO331" s="86"/>
      <c r="AP331" s="86"/>
      <c r="AQ331" s="86"/>
      <c r="AR331" s="86"/>
      <c r="AS331" s="86"/>
      <c r="AT331" s="82"/>
      <c r="AU331" s="87"/>
      <c r="AV331" s="818">
        <f t="shared" si="233"/>
        <v>0</v>
      </c>
      <c r="AW331" s="818">
        <f t="shared" si="234"/>
        <v>0</v>
      </c>
      <c r="AX331" s="818">
        <f t="shared" si="235"/>
        <v>0</v>
      </c>
      <c r="AY331" s="88">
        <f t="shared" si="210"/>
        <v>0</v>
      </c>
      <c r="AZ331" s="81">
        <f t="shared" si="211"/>
        <v>0</v>
      </c>
      <c r="BA331" s="81">
        <f t="shared" si="212"/>
        <v>0</v>
      </c>
      <c r="BB331" s="81">
        <f t="shared" si="213"/>
        <v>0</v>
      </c>
      <c r="BC331" s="81">
        <f t="shared" si="214"/>
        <v>0</v>
      </c>
      <c r="BD331" s="81">
        <f t="shared" si="215"/>
        <v>0</v>
      </c>
      <c r="BE331" s="81">
        <f t="shared" si="216"/>
        <v>0</v>
      </c>
      <c r="BF331" s="81">
        <f t="shared" si="217"/>
        <v>0</v>
      </c>
      <c r="BG331" s="81">
        <f t="shared" si="218"/>
        <v>0</v>
      </c>
      <c r="BH331" s="81">
        <f t="shared" si="219"/>
        <v>0</v>
      </c>
      <c r="BI331" s="81">
        <f t="shared" si="220"/>
        <v>0</v>
      </c>
      <c r="BJ331" s="81">
        <f t="shared" si="221"/>
        <v>0</v>
      </c>
      <c r="BK331" s="81">
        <f t="shared" si="222"/>
        <v>0</v>
      </c>
      <c r="BL331" s="81">
        <f t="shared" si="223"/>
        <v>0</v>
      </c>
      <c r="BM331" s="81">
        <f t="shared" si="224"/>
        <v>0</v>
      </c>
      <c r="BN331" s="81">
        <f t="shared" si="225"/>
        <v>0</v>
      </c>
      <c r="BO331" s="81">
        <f t="shared" si="226"/>
        <v>0</v>
      </c>
      <c r="BP331" s="81">
        <f t="shared" si="227"/>
        <v>0</v>
      </c>
      <c r="BQ331" s="81">
        <f t="shared" si="228"/>
        <v>0</v>
      </c>
      <c r="BR331" s="81">
        <f t="shared" si="229"/>
        <v>0</v>
      </c>
      <c r="BS331" s="81">
        <f t="shared" si="230"/>
        <v>0</v>
      </c>
      <c r="BT331" s="89">
        <f t="shared" si="231"/>
        <v>0</v>
      </c>
    </row>
    <row r="332" spans="1:72">
      <c r="A332" s="79"/>
      <c r="B332" s="80"/>
      <c r="C332" s="80"/>
      <c r="D332" s="2301"/>
      <c r="E332" s="81">
        <f t="shared" si="232"/>
        <v>0</v>
      </c>
      <c r="F332" s="82"/>
      <c r="G332" s="83">
        <f t="shared" si="207"/>
        <v>0</v>
      </c>
      <c r="H332" s="84">
        <f t="shared" si="208"/>
        <v>0</v>
      </c>
      <c r="I332" s="85"/>
      <c r="J332" s="85"/>
      <c r="K332" s="85"/>
      <c r="L332" s="85"/>
      <c r="M332" s="85"/>
      <c r="N332" s="85"/>
      <c r="O332" s="85"/>
      <c r="P332" s="85"/>
      <c r="Q332" s="85"/>
      <c r="R332" s="85"/>
      <c r="S332" s="85"/>
      <c r="T332" s="85"/>
      <c r="U332" s="85"/>
      <c r="V332" s="85"/>
      <c r="W332" s="85"/>
      <c r="X332" s="85"/>
      <c r="Y332" s="85"/>
      <c r="Z332" s="85"/>
      <c r="AA332" s="85"/>
      <c r="AB332" s="85"/>
      <c r="AC332" s="81">
        <f t="shared" si="209"/>
        <v>0</v>
      </c>
      <c r="AD332" s="86"/>
      <c r="AE332" s="86"/>
      <c r="AF332" s="86"/>
      <c r="AG332" s="86"/>
      <c r="AH332" s="86"/>
      <c r="AI332" s="86"/>
      <c r="AJ332" s="86"/>
      <c r="AK332" s="86"/>
      <c r="AL332" s="86"/>
      <c r="AM332" s="86"/>
      <c r="AN332" s="86"/>
      <c r="AO332" s="86"/>
      <c r="AP332" s="86"/>
      <c r="AQ332" s="86"/>
      <c r="AR332" s="86"/>
      <c r="AS332" s="86"/>
      <c r="AT332" s="82"/>
      <c r="AU332" s="87"/>
      <c r="AV332" s="818">
        <f t="shared" si="233"/>
        <v>0</v>
      </c>
      <c r="AW332" s="818">
        <f t="shared" si="234"/>
        <v>0</v>
      </c>
      <c r="AX332" s="818">
        <f t="shared" si="235"/>
        <v>0</v>
      </c>
      <c r="AY332" s="88">
        <f t="shared" si="210"/>
        <v>0</v>
      </c>
      <c r="AZ332" s="81">
        <f t="shared" si="211"/>
        <v>0</v>
      </c>
      <c r="BA332" s="81">
        <f t="shared" si="212"/>
        <v>0</v>
      </c>
      <c r="BB332" s="81">
        <f t="shared" si="213"/>
        <v>0</v>
      </c>
      <c r="BC332" s="81">
        <f t="shared" si="214"/>
        <v>0</v>
      </c>
      <c r="BD332" s="81">
        <f t="shared" si="215"/>
        <v>0</v>
      </c>
      <c r="BE332" s="81">
        <f t="shared" si="216"/>
        <v>0</v>
      </c>
      <c r="BF332" s="81">
        <f t="shared" si="217"/>
        <v>0</v>
      </c>
      <c r="BG332" s="81">
        <f t="shared" si="218"/>
        <v>0</v>
      </c>
      <c r="BH332" s="81">
        <f t="shared" si="219"/>
        <v>0</v>
      </c>
      <c r="BI332" s="81">
        <f t="shared" si="220"/>
        <v>0</v>
      </c>
      <c r="BJ332" s="81">
        <f t="shared" si="221"/>
        <v>0</v>
      </c>
      <c r="BK332" s="81">
        <f t="shared" si="222"/>
        <v>0</v>
      </c>
      <c r="BL332" s="81">
        <f t="shared" si="223"/>
        <v>0</v>
      </c>
      <c r="BM332" s="81">
        <f t="shared" si="224"/>
        <v>0</v>
      </c>
      <c r="BN332" s="81">
        <f t="shared" si="225"/>
        <v>0</v>
      </c>
      <c r="BO332" s="81">
        <f t="shared" si="226"/>
        <v>0</v>
      </c>
      <c r="BP332" s="81">
        <f t="shared" si="227"/>
        <v>0</v>
      </c>
      <c r="BQ332" s="81">
        <f t="shared" si="228"/>
        <v>0</v>
      </c>
      <c r="BR332" s="81">
        <f t="shared" si="229"/>
        <v>0</v>
      </c>
      <c r="BS332" s="81">
        <f t="shared" si="230"/>
        <v>0</v>
      </c>
      <c r="BT332" s="89">
        <f t="shared" si="231"/>
        <v>0</v>
      </c>
    </row>
    <row r="333" spans="1:72">
      <c r="A333" s="79"/>
      <c r="B333" s="80"/>
      <c r="C333" s="80"/>
      <c r="D333" s="2301"/>
      <c r="E333" s="81">
        <f t="shared" si="232"/>
        <v>0</v>
      </c>
      <c r="F333" s="82"/>
      <c r="G333" s="83">
        <f t="shared" si="207"/>
        <v>0</v>
      </c>
      <c r="H333" s="84">
        <f t="shared" si="208"/>
        <v>0</v>
      </c>
      <c r="I333" s="85"/>
      <c r="J333" s="85"/>
      <c r="K333" s="85"/>
      <c r="L333" s="85"/>
      <c r="M333" s="85"/>
      <c r="N333" s="85"/>
      <c r="O333" s="85"/>
      <c r="P333" s="85"/>
      <c r="Q333" s="85"/>
      <c r="R333" s="85"/>
      <c r="S333" s="85"/>
      <c r="T333" s="85"/>
      <c r="U333" s="85"/>
      <c r="V333" s="85"/>
      <c r="W333" s="85"/>
      <c r="X333" s="85"/>
      <c r="Y333" s="85"/>
      <c r="Z333" s="85"/>
      <c r="AA333" s="85"/>
      <c r="AB333" s="85"/>
      <c r="AC333" s="81">
        <f t="shared" si="209"/>
        <v>0</v>
      </c>
      <c r="AD333" s="86"/>
      <c r="AE333" s="86"/>
      <c r="AF333" s="86"/>
      <c r="AG333" s="86"/>
      <c r="AH333" s="86"/>
      <c r="AI333" s="86"/>
      <c r="AJ333" s="86"/>
      <c r="AK333" s="86"/>
      <c r="AL333" s="86"/>
      <c r="AM333" s="86"/>
      <c r="AN333" s="86"/>
      <c r="AO333" s="86"/>
      <c r="AP333" s="86"/>
      <c r="AQ333" s="86"/>
      <c r="AR333" s="86"/>
      <c r="AS333" s="86"/>
      <c r="AT333" s="82"/>
      <c r="AU333" s="87"/>
      <c r="AV333" s="818">
        <f t="shared" si="233"/>
        <v>0</v>
      </c>
      <c r="AW333" s="818">
        <f t="shared" si="234"/>
        <v>0</v>
      </c>
      <c r="AX333" s="818">
        <f t="shared" si="235"/>
        <v>0</v>
      </c>
      <c r="AY333" s="88">
        <f t="shared" si="210"/>
        <v>0</v>
      </c>
      <c r="AZ333" s="81">
        <f t="shared" si="211"/>
        <v>0</v>
      </c>
      <c r="BA333" s="81">
        <f t="shared" si="212"/>
        <v>0</v>
      </c>
      <c r="BB333" s="81">
        <f t="shared" si="213"/>
        <v>0</v>
      </c>
      <c r="BC333" s="81">
        <f t="shared" si="214"/>
        <v>0</v>
      </c>
      <c r="BD333" s="81">
        <f t="shared" si="215"/>
        <v>0</v>
      </c>
      <c r="BE333" s="81">
        <f t="shared" si="216"/>
        <v>0</v>
      </c>
      <c r="BF333" s="81">
        <f t="shared" si="217"/>
        <v>0</v>
      </c>
      <c r="BG333" s="81">
        <f t="shared" si="218"/>
        <v>0</v>
      </c>
      <c r="BH333" s="81">
        <f t="shared" si="219"/>
        <v>0</v>
      </c>
      <c r="BI333" s="81">
        <f t="shared" si="220"/>
        <v>0</v>
      </c>
      <c r="BJ333" s="81">
        <f t="shared" si="221"/>
        <v>0</v>
      </c>
      <c r="BK333" s="81">
        <f t="shared" si="222"/>
        <v>0</v>
      </c>
      <c r="BL333" s="81">
        <f t="shared" si="223"/>
        <v>0</v>
      </c>
      <c r="BM333" s="81">
        <f t="shared" si="224"/>
        <v>0</v>
      </c>
      <c r="BN333" s="81">
        <f t="shared" si="225"/>
        <v>0</v>
      </c>
      <c r="BO333" s="81">
        <f t="shared" si="226"/>
        <v>0</v>
      </c>
      <c r="BP333" s="81">
        <f t="shared" si="227"/>
        <v>0</v>
      </c>
      <c r="BQ333" s="81">
        <f t="shared" si="228"/>
        <v>0</v>
      </c>
      <c r="BR333" s="81">
        <f t="shared" si="229"/>
        <v>0</v>
      </c>
      <c r="BS333" s="81">
        <f t="shared" si="230"/>
        <v>0</v>
      </c>
      <c r="BT333" s="89">
        <f t="shared" si="231"/>
        <v>0</v>
      </c>
    </row>
    <row r="334" spans="1:72">
      <c r="A334" s="79"/>
      <c r="B334" s="80"/>
      <c r="C334" s="80"/>
      <c r="D334" s="2301"/>
      <c r="E334" s="81">
        <f t="shared" si="232"/>
        <v>0</v>
      </c>
      <c r="F334" s="82"/>
      <c r="G334" s="83">
        <f t="shared" si="207"/>
        <v>0</v>
      </c>
      <c r="H334" s="84">
        <f t="shared" si="208"/>
        <v>0</v>
      </c>
      <c r="I334" s="85"/>
      <c r="J334" s="85"/>
      <c r="K334" s="85"/>
      <c r="L334" s="85"/>
      <c r="M334" s="85"/>
      <c r="N334" s="85"/>
      <c r="O334" s="85"/>
      <c r="P334" s="85"/>
      <c r="Q334" s="85"/>
      <c r="R334" s="85"/>
      <c r="S334" s="85"/>
      <c r="T334" s="85"/>
      <c r="U334" s="85"/>
      <c r="V334" s="85"/>
      <c r="W334" s="85"/>
      <c r="X334" s="85"/>
      <c r="Y334" s="85"/>
      <c r="Z334" s="85"/>
      <c r="AA334" s="85"/>
      <c r="AB334" s="85"/>
      <c r="AC334" s="81">
        <f t="shared" si="209"/>
        <v>0</v>
      </c>
      <c r="AD334" s="86"/>
      <c r="AE334" s="86"/>
      <c r="AF334" s="86"/>
      <c r="AG334" s="86"/>
      <c r="AH334" s="86"/>
      <c r="AI334" s="86"/>
      <c r="AJ334" s="86"/>
      <c r="AK334" s="86"/>
      <c r="AL334" s="86"/>
      <c r="AM334" s="86"/>
      <c r="AN334" s="86"/>
      <c r="AO334" s="86"/>
      <c r="AP334" s="86"/>
      <c r="AQ334" s="86"/>
      <c r="AR334" s="86"/>
      <c r="AS334" s="86"/>
      <c r="AT334" s="82"/>
      <c r="AU334" s="87"/>
      <c r="AV334" s="818">
        <f t="shared" si="233"/>
        <v>0</v>
      </c>
      <c r="AW334" s="818">
        <f t="shared" si="234"/>
        <v>0</v>
      </c>
      <c r="AX334" s="818">
        <f t="shared" si="235"/>
        <v>0</v>
      </c>
      <c r="AY334" s="88">
        <f t="shared" si="210"/>
        <v>0</v>
      </c>
      <c r="AZ334" s="81">
        <f t="shared" si="211"/>
        <v>0</v>
      </c>
      <c r="BA334" s="81">
        <f t="shared" si="212"/>
        <v>0</v>
      </c>
      <c r="BB334" s="81">
        <f t="shared" si="213"/>
        <v>0</v>
      </c>
      <c r="BC334" s="81">
        <f t="shared" si="214"/>
        <v>0</v>
      </c>
      <c r="BD334" s="81">
        <f t="shared" si="215"/>
        <v>0</v>
      </c>
      <c r="BE334" s="81">
        <f t="shared" si="216"/>
        <v>0</v>
      </c>
      <c r="BF334" s="81">
        <f t="shared" si="217"/>
        <v>0</v>
      </c>
      <c r="BG334" s="81">
        <f t="shared" si="218"/>
        <v>0</v>
      </c>
      <c r="BH334" s="81">
        <f t="shared" si="219"/>
        <v>0</v>
      </c>
      <c r="BI334" s="81">
        <f t="shared" si="220"/>
        <v>0</v>
      </c>
      <c r="BJ334" s="81">
        <f t="shared" si="221"/>
        <v>0</v>
      </c>
      <c r="BK334" s="81">
        <f t="shared" si="222"/>
        <v>0</v>
      </c>
      <c r="BL334" s="81">
        <f t="shared" si="223"/>
        <v>0</v>
      </c>
      <c r="BM334" s="81">
        <f t="shared" si="224"/>
        <v>0</v>
      </c>
      <c r="BN334" s="81">
        <f t="shared" si="225"/>
        <v>0</v>
      </c>
      <c r="BO334" s="81">
        <f t="shared" si="226"/>
        <v>0</v>
      </c>
      <c r="BP334" s="81">
        <f t="shared" si="227"/>
        <v>0</v>
      </c>
      <c r="BQ334" s="81">
        <f t="shared" si="228"/>
        <v>0</v>
      </c>
      <c r="BR334" s="81">
        <f t="shared" si="229"/>
        <v>0</v>
      </c>
      <c r="BS334" s="81">
        <f t="shared" si="230"/>
        <v>0</v>
      </c>
      <c r="BT334" s="89">
        <f t="shared" si="231"/>
        <v>0</v>
      </c>
    </row>
    <row r="335" spans="1:72">
      <c r="A335" s="79"/>
      <c r="B335" s="80"/>
      <c r="C335" s="80"/>
      <c r="D335" s="2301"/>
      <c r="E335" s="81">
        <f t="shared" si="232"/>
        <v>0</v>
      </c>
      <c r="F335" s="82"/>
      <c r="G335" s="83">
        <f t="shared" si="207"/>
        <v>0</v>
      </c>
      <c r="H335" s="84">
        <f t="shared" si="208"/>
        <v>0</v>
      </c>
      <c r="I335" s="85"/>
      <c r="J335" s="85"/>
      <c r="K335" s="85"/>
      <c r="L335" s="85"/>
      <c r="M335" s="85"/>
      <c r="N335" s="85"/>
      <c r="O335" s="85"/>
      <c r="P335" s="85"/>
      <c r="Q335" s="85"/>
      <c r="R335" s="85"/>
      <c r="S335" s="85"/>
      <c r="T335" s="85"/>
      <c r="U335" s="85"/>
      <c r="V335" s="85"/>
      <c r="W335" s="85"/>
      <c r="X335" s="85"/>
      <c r="Y335" s="85"/>
      <c r="Z335" s="85"/>
      <c r="AA335" s="85"/>
      <c r="AB335" s="85"/>
      <c r="AC335" s="81">
        <f t="shared" si="209"/>
        <v>0</v>
      </c>
      <c r="AD335" s="86"/>
      <c r="AE335" s="86"/>
      <c r="AF335" s="86"/>
      <c r="AG335" s="86"/>
      <c r="AH335" s="86"/>
      <c r="AI335" s="86"/>
      <c r="AJ335" s="86"/>
      <c r="AK335" s="86"/>
      <c r="AL335" s="86"/>
      <c r="AM335" s="86"/>
      <c r="AN335" s="86"/>
      <c r="AO335" s="86"/>
      <c r="AP335" s="86"/>
      <c r="AQ335" s="86"/>
      <c r="AR335" s="86"/>
      <c r="AS335" s="86"/>
      <c r="AT335" s="82"/>
      <c r="AU335" s="87"/>
      <c r="AV335" s="818">
        <f t="shared" si="233"/>
        <v>0</v>
      </c>
      <c r="AW335" s="818">
        <f t="shared" si="234"/>
        <v>0</v>
      </c>
      <c r="AX335" s="818">
        <f t="shared" si="235"/>
        <v>0</v>
      </c>
      <c r="AY335" s="88">
        <f t="shared" si="210"/>
        <v>0</v>
      </c>
      <c r="AZ335" s="81">
        <f t="shared" si="211"/>
        <v>0</v>
      </c>
      <c r="BA335" s="81">
        <f t="shared" si="212"/>
        <v>0</v>
      </c>
      <c r="BB335" s="81">
        <f t="shared" si="213"/>
        <v>0</v>
      </c>
      <c r="BC335" s="81">
        <f t="shared" si="214"/>
        <v>0</v>
      </c>
      <c r="BD335" s="81">
        <f t="shared" si="215"/>
        <v>0</v>
      </c>
      <c r="BE335" s="81">
        <f t="shared" si="216"/>
        <v>0</v>
      </c>
      <c r="BF335" s="81">
        <f t="shared" si="217"/>
        <v>0</v>
      </c>
      <c r="BG335" s="81">
        <f t="shared" si="218"/>
        <v>0</v>
      </c>
      <c r="BH335" s="81">
        <f t="shared" si="219"/>
        <v>0</v>
      </c>
      <c r="BI335" s="81">
        <f t="shared" si="220"/>
        <v>0</v>
      </c>
      <c r="BJ335" s="81">
        <f t="shared" si="221"/>
        <v>0</v>
      </c>
      <c r="BK335" s="81">
        <f t="shared" si="222"/>
        <v>0</v>
      </c>
      <c r="BL335" s="81">
        <f t="shared" si="223"/>
        <v>0</v>
      </c>
      <c r="BM335" s="81">
        <f t="shared" si="224"/>
        <v>0</v>
      </c>
      <c r="BN335" s="81">
        <f t="shared" si="225"/>
        <v>0</v>
      </c>
      <c r="BO335" s="81">
        <f t="shared" si="226"/>
        <v>0</v>
      </c>
      <c r="BP335" s="81">
        <f t="shared" si="227"/>
        <v>0</v>
      </c>
      <c r="BQ335" s="81">
        <f t="shared" si="228"/>
        <v>0</v>
      </c>
      <c r="BR335" s="81">
        <f t="shared" si="229"/>
        <v>0</v>
      </c>
      <c r="BS335" s="81">
        <f t="shared" si="230"/>
        <v>0</v>
      </c>
      <c r="BT335" s="89">
        <f t="shared" si="231"/>
        <v>0</v>
      </c>
    </row>
    <row r="336" spans="1:72">
      <c r="A336" s="79"/>
      <c r="B336" s="80"/>
      <c r="C336" s="80"/>
      <c r="D336" s="2301"/>
      <c r="E336" s="81">
        <f t="shared" si="232"/>
        <v>0</v>
      </c>
      <c r="F336" s="82"/>
      <c r="G336" s="83">
        <f t="shared" si="207"/>
        <v>0</v>
      </c>
      <c r="H336" s="84">
        <f t="shared" si="208"/>
        <v>0</v>
      </c>
      <c r="I336" s="85"/>
      <c r="J336" s="85"/>
      <c r="K336" s="85"/>
      <c r="L336" s="85"/>
      <c r="M336" s="85"/>
      <c r="N336" s="85"/>
      <c r="O336" s="85"/>
      <c r="P336" s="85"/>
      <c r="Q336" s="85"/>
      <c r="R336" s="85"/>
      <c r="S336" s="85"/>
      <c r="T336" s="85"/>
      <c r="U336" s="85"/>
      <c r="V336" s="85"/>
      <c r="W336" s="85"/>
      <c r="X336" s="85"/>
      <c r="Y336" s="85"/>
      <c r="Z336" s="85"/>
      <c r="AA336" s="85"/>
      <c r="AB336" s="85"/>
      <c r="AC336" s="81">
        <f t="shared" si="209"/>
        <v>0</v>
      </c>
      <c r="AD336" s="86"/>
      <c r="AE336" s="86"/>
      <c r="AF336" s="86"/>
      <c r="AG336" s="86"/>
      <c r="AH336" s="86"/>
      <c r="AI336" s="86"/>
      <c r="AJ336" s="86"/>
      <c r="AK336" s="86"/>
      <c r="AL336" s="86"/>
      <c r="AM336" s="86"/>
      <c r="AN336" s="86"/>
      <c r="AO336" s="86"/>
      <c r="AP336" s="86"/>
      <c r="AQ336" s="86"/>
      <c r="AR336" s="86"/>
      <c r="AS336" s="86"/>
      <c r="AT336" s="82"/>
      <c r="AU336" s="87"/>
      <c r="AV336" s="818">
        <f t="shared" si="233"/>
        <v>0</v>
      </c>
      <c r="AW336" s="818">
        <f t="shared" si="234"/>
        <v>0</v>
      </c>
      <c r="AX336" s="818">
        <f t="shared" si="235"/>
        <v>0</v>
      </c>
      <c r="AY336" s="88">
        <f t="shared" si="210"/>
        <v>0</v>
      </c>
      <c r="AZ336" s="81">
        <f t="shared" si="211"/>
        <v>0</v>
      </c>
      <c r="BA336" s="81">
        <f t="shared" si="212"/>
        <v>0</v>
      </c>
      <c r="BB336" s="81">
        <f t="shared" si="213"/>
        <v>0</v>
      </c>
      <c r="BC336" s="81">
        <f t="shared" si="214"/>
        <v>0</v>
      </c>
      <c r="BD336" s="81">
        <f t="shared" si="215"/>
        <v>0</v>
      </c>
      <c r="BE336" s="81">
        <f t="shared" si="216"/>
        <v>0</v>
      </c>
      <c r="BF336" s="81">
        <f t="shared" si="217"/>
        <v>0</v>
      </c>
      <c r="BG336" s="81">
        <f t="shared" si="218"/>
        <v>0</v>
      </c>
      <c r="BH336" s="81">
        <f t="shared" si="219"/>
        <v>0</v>
      </c>
      <c r="BI336" s="81">
        <f t="shared" si="220"/>
        <v>0</v>
      </c>
      <c r="BJ336" s="81">
        <f t="shared" si="221"/>
        <v>0</v>
      </c>
      <c r="BK336" s="81">
        <f t="shared" si="222"/>
        <v>0</v>
      </c>
      <c r="BL336" s="81">
        <f t="shared" si="223"/>
        <v>0</v>
      </c>
      <c r="BM336" s="81">
        <f t="shared" si="224"/>
        <v>0</v>
      </c>
      <c r="BN336" s="81">
        <f t="shared" si="225"/>
        <v>0</v>
      </c>
      <c r="BO336" s="81">
        <f t="shared" si="226"/>
        <v>0</v>
      </c>
      <c r="BP336" s="81">
        <f t="shared" si="227"/>
        <v>0</v>
      </c>
      <c r="BQ336" s="81">
        <f t="shared" si="228"/>
        <v>0</v>
      </c>
      <c r="BR336" s="81">
        <f t="shared" si="229"/>
        <v>0</v>
      </c>
      <c r="BS336" s="81">
        <f t="shared" si="230"/>
        <v>0</v>
      </c>
      <c r="BT336" s="89">
        <f t="shared" si="231"/>
        <v>0</v>
      </c>
    </row>
    <row r="337" spans="1:72">
      <c r="A337" s="79"/>
      <c r="B337" s="80"/>
      <c r="C337" s="80"/>
      <c r="D337" s="2301"/>
      <c r="E337" s="81">
        <f t="shared" si="232"/>
        <v>0</v>
      </c>
      <c r="F337" s="82"/>
      <c r="G337" s="83">
        <f t="shared" si="207"/>
        <v>0</v>
      </c>
      <c r="H337" s="84">
        <f t="shared" si="208"/>
        <v>0</v>
      </c>
      <c r="I337" s="85"/>
      <c r="J337" s="85"/>
      <c r="K337" s="85"/>
      <c r="L337" s="85"/>
      <c r="M337" s="85"/>
      <c r="N337" s="85"/>
      <c r="O337" s="85"/>
      <c r="P337" s="85"/>
      <c r="Q337" s="85"/>
      <c r="R337" s="85"/>
      <c r="S337" s="85"/>
      <c r="T337" s="85"/>
      <c r="U337" s="85"/>
      <c r="V337" s="85"/>
      <c r="W337" s="85"/>
      <c r="X337" s="85"/>
      <c r="Y337" s="85"/>
      <c r="Z337" s="85"/>
      <c r="AA337" s="85"/>
      <c r="AB337" s="85"/>
      <c r="AC337" s="81">
        <f t="shared" si="209"/>
        <v>0</v>
      </c>
      <c r="AD337" s="86"/>
      <c r="AE337" s="86"/>
      <c r="AF337" s="86"/>
      <c r="AG337" s="86"/>
      <c r="AH337" s="86"/>
      <c r="AI337" s="86"/>
      <c r="AJ337" s="86"/>
      <c r="AK337" s="86"/>
      <c r="AL337" s="86"/>
      <c r="AM337" s="86"/>
      <c r="AN337" s="86"/>
      <c r="AO337" s="86"/>
      <c r="AP337" s="86"/>
      <c r="AQ337" s="86"/>
      <c r="AR337" s="86"/>
      <c r="AS337" s="86"/>
      <c r="AT337" s="82"/>
      <c r="AU337" s="87"/>
      <c r="AV337" s="818">
        <f t="shared" si="233"/>
        <v>0</v>
      </c>
      <c r="AW337" s="818">
        <f t="shared" si="234"/>
        <v>0</v>
      </c>
      <c r="AX337" s="818">
        <f t="shared" si="235"/>
        <v>0</v>
      </c>
      <c r="AY337" s="88">
        <f t="shared" si="210"/>
        <v>0</v>
      </c>
      <c r="AZ337" s="81">
        <f t="shared" si="211"/>
        <v>0</v>
      </c>
      <c r="BA337" s="81">
        <f t="shared" si="212"/>
        <v>0</v>
      </c>
      <c r="BB337" s="81">
        <f t="shared" si="213"/>
        <v>0</v>
      </c>
      <c r="BC337" s="81">
        <f t="shared" si="214"/>
        <v>0</v>
      </c>
      <c r="BD337" s="81">
        <f t="shared" si="215"/>
        <v>0</v>
      </c>
      <c r="BE337" s="81">
        <f t="shared" si="216"/>
        <v>0</v>
      </c>
      <c r="BF337" s="81">
        <f t="shared" si="217"/>
        <v>0</v>
      </c>
      <c r="BG337" s="81">
        <f t="shared" si="218"/>
        <v>0</v>
      </c>
      <c r="BH337" s="81">
        <f t="shared" si="219"/>
        <v>0</v>
      </c>
      <c r="BI337" s="81">
        <f t="shared" si="220"/>
        <v>0</v>
      </c>
      <c r="BJ337" s="81">
        <f t="shared" si="221"/>
        <v>0</v>
      </c>
      <c r="BK337" s="81">
        <f t="shared" si="222"/>
        <v>0</v>
      </c>
      <c r="BL337" s="81">
        <f t="shared" si="223"/>
        <v>0</v>
      </c>
      <c r="BM337" s="81">
        <f t="shared" si="224"/>
        <v>0</v>
      </c>
      <c r="BN337" s="81">
        <f t="shared" si="225"/>
        <v>0</v>
      </c>
      <c r="BO337" s="81">
        <f t="shared" si="226"/>
        <v>0</v>
      </c>
      <c r="BP337" s="81">
        <f t="shared" si="227"/>
        <v>0</v>
      </c>
      <c r="BQ337" s="81">
        <f t="shared" si="228"/>
        <v>0</v>
      </c>
      <c r="BR337" s="81">
        <f t="shared" si="229"/>
        <v>0</v>
      </c>
      <c r="BS337" s="81">
        <f t="shared" si="230"/>
        <v>0</v>
      </c>
      <c r="BT337" s="89">
        <f t="shared" si="231"/>
        <v>0</v>
      </c>
    </row>
    <row r="338" spans="1:72">
      <c r="A338" s="79"/>
      <c r="B338" s="80"/>
      <c r="C338" s="80"/>
      <c r="D338" s="2301"/>
      <c r="E338" s="81">
        <f t="shared" si="232"/>
        <v>0</v>
      </c>
      <c r="F338" s="82"/>
      <c r="G338" s="83">
        <f t="shared" si="207"/>
        <v>0</v>
      </c>
      <c r="H338" s="84">
        <f t="shared" si="208"/>
        <v>0</v>
      </c>
      <c r="I338" s="85"/>
      <c r="J338" s="85"/>
      <c r="K338" s="85"/>
      <c r="L338" s="85"/>
      <c r="M338" s="85"/>
      <c r="N338" s="85"/>
      <c r="O338" s="85"/>
      <c r="P338" s="85"/>
      <c r="Q338" s="85"/>
      <c r="R338" s="85"/>
      <c r="S338" s="85"/>
      <c r="T338" s="85"/>
      <c r="U338" s="85"/>
      <c r="V338" s="85"/>
      <c r="W338" s="85"/>
      <c r="X338" s="85"/>
      <c r="Y338" s="85"/>
      <c r="Z338" s="85"/>
      <c r="AA338" s="85"/>
      <c r="AB338" s="85"/>
      <c r="AC338" s="81">
        <f t="shared" si="209"/>
        <v>0</v>
      </c>
      <c r="AD338" s="86"/>
      <c r="AE338" s="86"/>
      <c r="AF338" s="86"/>
      <c r="AG338" s="86"/>
      <c r="AH338" s="86"/>
      <c r="AI338" s="86"/>
      <c r="AJ338" s="86"/>
      <c r="AK338" s="86"/>
      <c r="AL338" s="86"/>
      <c r="AM338" s="86"/>
      <c r="AN338" s="86"/>
      <c r="AO338" s="86"/>
      <c r="AP338" s="86"/>
      <c r="AQ338" s="86"/>
      <c r="AR338" s="86"/>
      <c r="AS338" s="86"/>
      <c r="AT338" s="82"/>
      <c r="AU338" s="87"/>
      <c r="AV338" s="818">
        <f t="shared" si="233"/>
        <v>0</v>
      </c>
      <c r="AW338" s="818">
        <f t="shared" si="234"/>
        <v>0</v>
      </c>
      <c r="AX338" s="818">
        <f t="shared" si="235"/>
        <v>0</v>
      </c>
      <c r="AY338" s="88">
        <f t="shared" si="210"/>
        <v>0</v>
      </c>
      <c r="AZ338" s="81">
        <f t="shared" si="211"/>
        <v>0</v>
      </c>
      <c r="BA338" s="81">
        <f t="shared" si="212"/>
        <v>0</v>
      </c>
      <c r="BB338" s="81">
        <f t="shared" si="213"/>
        <v>0</v>
      </c>
      <c r="BC338" s="81">
        <f t="shared" si="214"/>
        <v>0</v>
      </c>
      <c r="BD338" s="81">
        <f t="shared" si="215"/>
        <v>0</v>
      </c>
      <c r="BE338" s="81">
        <f t="shared" si="216"/>
        <v>0</v>
      </c>
      <c r="BF338" s="81">
        <f t="shared" si="217"/>
        <v>0</v>
      </c>
      <c r="BG338" s="81">
        <f t="shared" si="218"/>
        <v>0</v>
      </c>
      <c r="BH338" s="81">
        <f t="shared" si="219"/>
        <v>0</v>
      </c>
      <c r="BI338" s="81">
        <f t="shared" si="220"/>
        <v>0</v>
      </c>
      <c r="BJ338" s="81">
        <f t="shared" si="221"/>
        <v>0</v>
      </c>
      <c r="BK338" s="81">
        <f t="shared" si="222"/>
        <v>0</v>
      </c>
      <c r="BL338" s="81">
        <f t="shared" si="223"/>
        <v>0</v>
      </c>
      <c r="BM338" s="81">
        <f t="shared" si="224"/>
        <v>0</v>
      </c>
      <c r="BN338" s="81">
        <f t="shared" si="225"/>
        <v>0</v>
      </c>
      <c r="BO338" s="81">
        <f t="shared" si="226"/>
        <v>0</v>
      </c>
      <c r="BP338" s="81">
        <f t="shared" si="227"/>
        <v>0</v>
      </c>
      <c r="BQ338" s="81">
        <f t="shared" si="228"/>
        <v>0</v>
      </c>
      <c r="BR338" s="81">
        <f t="shared" si="229"/>
        <v>0</v>
      </c>
      <c r="BS338" s="81">
        <f t="shared" si="230"/>
        <v>0</v>
      </c>
      <c r="BT338" s="89">
        <f t="shared" si="231"/>
        <v>0</v>
      </c>
    </row>
    <row r="339" spans="1:72">
      <c r="A339" s="79"/>
      <c r="B339" s="80"/>
      <c r="C339" s="80"/>
      <c r="D339" s="2301"/>
      <c r="E339" s="81">
        <f t="shared" si="232"/>
        <v>0</v>
      </c>
      <c r="F339" s="82"/>
      <c r="G339" s="83">
        <f t="shared" si="207"/>
        <v>0</v>
      </c>
      <c r="H339" s="84">
        <f t="shared" si="208"/>
        <v>0</v>
      </c>
      <c r="I339" s="85"/>
      <c r="J339" s="85"/>
      <c r="K339" s="85"/>
      <c r="L339" s="85"/>
      <c r="M339" s="85"/>
      <c r="N339" s="85"/>
      <c r="O339" s="85"/>
      <c r="P339" s="85"/>
      <c r="Q339" s="85"/>
      <c r="R339" s="85"/>
      <c r="S339" s="85"/>
      <c r="T339" s="85"/>
      <c r="U339" s="85"/>
      <c r="V339" s="85"/>
      <c r="W339" s="85"/>
      <c r="X339" s="85"/>
      <c r="Y339" s="85"/>
      <c r="Z339" s="85"/>
      <c r="AA339" s="85"/>
      <c r="AB339" s="85"/>
      <c r="AC339" s="81">
        <f t="shared" si="209"/>
        <v>0</v>
      </c>
      <c r="AD339" s="86"/>
      <c r="AE339" s="86"/>
      <c r="AF339" s="86"/>
      <c r="AG339" s="86"/>
      <c r="AH339" s="86"/>
      <c r="AI339" s="86"/>
      <c r="AJ339" s="86"/>
      <c r="AK339" s="86"/>
      <c r="AL339" s="86"/>
      <c r="AM339" s="86"/>
      <c r="AN339" s="86"/>
      <c r="AO339" s="86"/>
      <c r="AP339" s="86"/>
      <c r="AQ339" s="86"/>
      <c r="AR339" s="86"/>
      <c r="AS339" s="86"/>
      <c r="AT339" s="82"/>
      <c r="AU339" s="87"/>
      <c r="AV339" s="818">
        <f t="shared" si="233"/>
        <v>0</v>
      </c>
      <c r="AW339" s="818">
        <f t="shared" si="234"/>
        <v>0</v>
      </c>
      <c r="AX339" s="818">
        <f t="shared" si="235"/>
        <v>0</v>
      </c>
      <c r="AY339" s="88">
        <f t="shared" si="210"/>
        <v>0</v>
      </c>
      <c r="AZ339" s="81">
        <f t="shared" si="211"/>
        <v>0</v>
      </c>
      <c r="BA339" s="81">
        <f t="shared" si="212"/>
        <v>0</v>
      </c>
      <c r="BB339" s="81">
        <f t="shared" si="213"/>
        <v>0</v>
      </c>
      <c r="BC339" s="81">
        <f t="shared" si="214"/>
        <v>0</v>
      </c>
      <c r="BD339" s="81">
        <f t="shared" si="215"/>
        <v>0</v>
      </c>
      <c r="BE339" s="81">
        <f t="shared" si="216"/>
        <v>0</v>
      </c>
      <c r="BF339" s="81">
        <f t="shared" si="217"/>
        <v>0</v>
      </c>
      <c r="BG339" s="81">
        <f t="shared" si="218"/>
        <v>0</v>
      </c>
      <c r="BH339" s="81">
        <f t="shared" si="219"/>
        <v>0</v>
      </c>
      <c r="BI339" s="81">
        <f t="shared" si="220"/>
        <v>0</v>
      </c>
      <c r="BJ339" s="81">
        <f t="shared" si="221"/>
        <v>0</v>
      </c>
      <c r="BK339" s="81">
        <f t="shared" si="222"/>
        <v>0</v>
      </c>
      <c r="BL339" s="81">
        <f t="shared" si="223"/>
        <v>0</v>
      </c>
      <c r="BM339" s="81">
        <f t="shared" si="224"/>
        <v>0</v>
      </c>
      <c r="BN339" s="81">
        <f t="shared" si="225"/>
        <v>0</v>
      </c>
      <c r="BO339" s="81">
        <f t="shared" si="226"/>
        <v>0</v>
      </c>
      <c r="BP339" s="81">
        <f t="shared" si="227"/>
        <v>0</v>
      </c>
      <c r="BQ339" s="81">
        <f t="shared" si="228"/>
        <v>0</v>
      </c>
      <c r="BR339" s="81">
        <f t="shared" si="229"/>
        <v>0</v>
      </c>
      <c r="BS339" s="81">
        <f t="shared" si="230"/>
        <v>0</v>
      </c>
      <c r="BT339" s="89">
        <f t="shared" si="231"/>
        <v>0</v>
      </c>
    </row>
    <row r="340" spans="1:72">
      <c r="A340" s="79"/>
      <c r="B340" s="80"/>
      <c r="C340" s="80"/>
      <c r="D340" s="2301"/>
      <c r="E340" s="81">
        <f t="shared" si="232"/>
        <v>0</v>
      </c>
      <c r="F340" s="82"/>
      <c r="G340" s="83">
        <f t="shared" si="207"/>
        <v>0</v>
      </c>
      <c r="H340" s="84">
        <f t="shared" si="208"/>
        <v>0</v>
      </c>
      <c r="I340" s="85"/>
      <c r="J340" s="85"/>
      <c r="K340" s="85"/>
      <c r="L340" s="85"/>
      <c r="M340" s="85"/>
      <c r="N340" s="85"/>
      <c r="O340" s="85"/>
      <c r="P340" s="85"/>
      <c r="Q340" s="85"/>
      <c r="R340" s="85"/>
      <c r="S340" s="85"/>
      <c r="T340" s="85"/>
      <c r="U340" s="85"/>
      <c r="V340" s="85"/>
      <c r="W340" s="85"/>
      <c r="X340" s="85"/>
      <c r="Y340" s="85"/>
      <c r="Z340" s="85"/>
      <c r="AA340" s="85"/>
      <c r="AB340" s="85"/>
      <c r="AC340" s="81">
        <f t="shared" si="209"/>
        <v>0</v>
      </c>
      <c r="AD340" s="86"/>
      <c r="AE340" s="86"/>
      <c r="AF340" s="86"/>
      <c r="AG340" s="86"/>
      <c r="AH340" s="86"/>
      <c r="AI340" s="86"/>
      <c r="AJ340" s="86"/>
      <c r="AK340" s="86"/>
      <c r="AL340" s="86"/>
      <c r="AM340" s="86"/>
      <c r="AN340" s="86"/>
      <c r="AO340" s="86"/>
      <c r="AP340" s="86"/>
      <c r="AQ340" s="86"/>
      <c r="AR340" s="86"/>
      <c r="AS340" s="86"/>
      <c r="AT340" s="82"/>
      <c r="AU340" s="87"/>
      <c r="AV340" s="818">
        <f t="shared" si="233"/>
        <v>0</v>
      </c>
      <c r="AW340" s="818">
        <f t="shared" si="234"/>
        <v>0</v>
      </c>
      <c r="AX340" s="818">
        <f t="shared" si="235"/>
        <v>0</v>
      </c>
      <c r="AY340" s="88">
        <f t="shared" si="210"/>
        <v>0</v>
      </c>
      <c r="AZ340" s="81">
        <f t="shared" si="211"/>
        <v>0</v>
      </c>
      <c r="BA340" s="81">
        <f t="shared" si="212"/>
        <v>0</v>
      </c>
      <c r="BB340" s="81">
        <f t="shared" si="213"/>
        <v>0</v>
      </c>
      <c r="BC340" s="81">
        <f t="shared" si="214"/>
        <v>0</v>
      </c>
      <c r="BD340" s="81">
        <f t="shared" si="215"/>
        <v>0</v>
      </c>
      <c r="BE340" s="81">
        <f t="shared" si="216"/>
        <v>0</v>
      </c>
      <c r="BF340" s="81">
        <f t="shared" si="217"/>
        <v>0</v>
      </c>
      <c r="BG340" s="81">
        <f t="shared" si="218"/>
        <v>0</v>
      </c>
      <c r="BH340" s="81">
        <f t="shared" si="219"/>
        <v>0</v>
      </c>
      <c r="BI340" s="81">
        <f t="shared" si="220"/>
        <v>0</v>
      </c>
      <c r="BJ340" s="81">
        <f t="shared" si="221"/>
        <v>0</v>
      </c>
      <c r="BK340" s="81">
        <f t="shared" si="222"/>
        <v>0</v>
      </c>
      <c r="BL340" s="81">
        <f t="shared" si="223"/>
        <v>0</v>
      </c>
      <c r="BM340" s="81">
        <f t="shared" si="224"/>
        <v>0</v>
      </c>
      <c r="BN340" s="81">
        <f t="shared" si="225"/>
        <v>0</v>
      </c>
      <c r="BO340" s="81">
        <f t="shared" si="226"/>
        <v>0</v>
      </c>
      <c r="BP340" s="81">
        <f t="shared" si="227"/>
        <v>0</v>
      </c>
      <c r="BQ340" s="81">
        <f t="shared" si="228"/>
        <v>0</v>
      </c>
      <c r="BR340" s="81">
        <f t="shared" si="229"/>
        <v>0</v>
      </c>
      <c r="BS340" s="81">
        <f t="shared" si="230"/>
        <v>0</v>
      </c>
      <c r="BT340" s="89">
        <f t="shared" si="231"/>
        <v>0</v>
      </c>
    </row>
    <row r="341" spans="1:72">
      <c r="A341" s="79"/>
      <c r="B341" s="80"/>
      <c r="C341" s="80"/>
      <c r="D341" s="2301"/>
      <c r="E341" s="81">
        <f t="shared" si="232"/>
        <v>0</v>
      </c>
      <c r="F341" s="82"/>
      <c r="G341" s="83">
        <f t="shared" si="207"/>
        <v>0</v>
      </c>
      <c r="H341" s="84">
        <f t="shared" si="208"/>
        <v>0</v>
      </c>
      <c r="I341" s="85"/>
      <c r="J341" s="85"/>
      <c r="K341" s="85"/>
      <c r="L341" s="85"/>
      <c r="M341" s="85"/>
      <c r="N341" s="85"/>
      <c r="O341" s="85"/>
      <c r="P341" s="85"/>
      <c r="Q341" s="85"/>
      <c r="R341" s="85"/>
      <c r="S341" s="85"/>
      <c r="T341" s="85"/>
      <c r="U341" s="85"/>
      <c r="V341" s="85"/>
      <c r="W341" s="85"/>
      <c r="X341" s="85"/>
      <c r="Y341" s="85"/>
      <c r="Z341" s="85"/>
      <c r="AA341" s="85"/>
      <c r="AB341" s="85"/>
      <c r="AC341" s="81">
        <f t="shared" si="209"/>
        <v>0</v>
      </c>
      <c r="AD341" s="86"/>
      <c r="AE341" s="86"/>
      <c r="AF341" s="86"/>
      <c r="AG341" s="86"/>
      <c r="AH341" s="86"/>
      <c r="AI341" s="86"/>
      <c r="AJ341" s="86"/>
      <c r="AK341" s="86"/>
      <c r="AL341" s="86"/>
      <c r="AM341" s="86"/>
      <c r="AN341" s="86"/>
      <c r="AO341" s="86"/>
      <c r="AP341" s="86"/>
      <c r="AQ341" s="86"/>
      <c r="AR341" s="86"/>
      <c r="AS341" s="86"/>
      <c r="AT341" s="82"/>
      <c r="AU341" s="87"/>
      <c r="AV341" s="818">
        <f t="shared" si="233"/>
        <v>0</v>
      </c>
      <c r="AW341" s="818">
        <f t="shared" si="234"/>
        <v>0</v>
      </c>
      <c r="AX341" s="818">
        <f t="shared" si="235"/>
        <v>0</v>
      </c>
      <c r="AY341" s="88">
        <f t="shared" si="210"/>
        <v>0</v>
      </c>
      <c r="AZ341" s="81">
        <f t="shared" si="211"/>
        <v>0</v>
      </c>
      <c r="BA341" s="81">
        <f t="shared" si="212"/>
        <v>0</v>
      </c>
      <c r="BB341" s="81">
        <f t="shared" si="213"/>
        <v>0</v>
      </c>
      <c r="BC341" s="81">
        <f t="shared" si="214"/>
        <v>0</v>
      </c>
      <c r="BD341" s="81">
        <f t="shared" si="215"/>
        <v>0</v>
      </c>
      <c r="BE341" s="81">
        <f t="shared" si="216"/>
        <v>0</v>
      </c>
      <c r="BF341" s="81">
        <f t="shared" si="217"/>
        <v>0</v>
      </c>
      <c r="BG341" s="81">
        <f t="shared" si="218"/>
        <v>0</v>
      </c>
      <c r="BH341" s="81">
        <f t="shared" si="219"/>
        <v>0</v>
      </c>
      <c r="BI341" s="81">
        <f t="shared" si="220"/>
        <v>0</v>
      </c>
      <c r="BJ341" s="81">
        <f t="shared" si="221"/>
        <v>0</v>
      </c>
      <c r="BK341" s="81">
        <f t="shared" si="222"/>
        <v>0</v>
      </c>
      <c r="BL341" s="81">
        <f t="shared" si="223"/>
        <v>0</v>
      </c>
      <c r="BM341" s="81">
        <f t="shared" si="224"/>
        <v>0</v>
      </c>
      <c r="BN341" s="81">
        <f t="shared" si="225"/>
        <v>0</v>
      </c>
      <c r="BO341" s="81">
        <f t="shared" si="226"/>
        <v>0</v>
      </c>
      <c r="BP341" s="81">
        <f t="shared" si="227"/>
        <v>0</v>
      </c>
      <c r="BQ341" s="81">
        <f t="shared" si="228"/>
        <v>0</v>
      </c>
      <c r="BR341" s="81">
        <f t="shared" si="229"/>
        <v>0</v>
      </c>
      <c r="BS341" s="81">
        <f t="shared" si="230"/>
        <v>0</v>
      </c>
      <c r="BT341" s="89">
        <f t="shared" si="231"/>
        <v>0</v>
      </c>
    </row>
    <row r="342" spans="1:72">
      <c r="A342" s="79"/>
      <c r="B342" s="80"/>
      <c r="C342" s="80"/>
      <c r="D342" s="2301"/>
      <c r="E342" s="81">
        <f t="shared" si="232"/>
        <v>0</v>
      </c>
      <c r="F342" s="82"/>
      <c r="G342" s="83">
        <f t="shared" si="207"/>
        <v>0</v>
      </c>
      <c r="H342" s="84">
        <f t="shared" si="208"/>
        <v>0</v>
      </c>
      <c r="I342" s="85"/>
      <c r="J342" s="85"/>
      <c r="K342" s="85"/>
      <c r="L342" s="85"/>
      <c r="M342" s="85"/>
      <c r="N342" s="85"/>
      <c r="O342" s="85"/>
      <c r="P342" s="85"/>
      <c r="Q342" s="85"/>
      <c r="R342" s="85"/>
      <c r="S342" s="85"/>
      <c r="T342" s="85"/>
      <c r="U342" s="85"/>
      <c r="V342" s="85"/>
      <c r="W342" s="85"/>
      <c r="X342" s="85"/>
      <c r="Y342" s="85"/>
      <c r="Z342" s="85"/>
      <c r="AA342" s="85"/>
      <c r="AB342" s="85"/>
      <c r="AC342" s="81">
        <f t="shared" si="209"/>
        <v>0</v>
      </c>
      <c r="AD342" s="86"/>
      <c r="AE342" s="86"/>
      <c r="AF342" s="86"/>
      <c r="AG342" s="86"/>
      <c r="AH342" s="86"/>
      <c r="AI342" s="86"/>
      <c r="AJ342" s="86"/>
      <c r="AK342" s="86"/>
      <c r="AL342" s="86"/>
      <c r="AM342" s="86"/>
      <c r="AN342" s="86"/>
      <c r="AO342" s="86"/>
      <c r="AP342" s="86"/>
      <c r="AQ342" s="86"/>
      <c r="AR342" s="86"/>
      <c r="AS342" s="86"/>
      <c r="AT342" s="82"/>
      <c r="AU342" s="87"/>
      <c r="AV342" s="818">
        <f t="shared" si="233"/>
        <v>0</v>
      </c>
      <c r="AW342" s="818">
        <f t="shared" si="234"/>
        <v>0</v>
      </c>
      <c r="AX342" s="818">
        <f t="shared" si="235"/>
        <v>0</v>
      </c>
      <c r="AY342" s="88">
        <f t="shared" si="210"/>
        <v>0</v>
      </c>
      <c r="AZ342" s="81">
        <f t="shared" si="211"/>
        <v>0</v>
      </c>
      <c r="BA342" s="81">
        <f t="shared" si="212"/>
        <v>0</v>
      </c>
      <c r="BB342" s="81">
        <f t="shared" si="213"/>
        <v>0</v>
      </c>
      <c r="BC342" s="81">
        <f t="shared" si="214"/>
        <v>0</v>
      </c>
      <c r="BD342" s="81">
        <f t="shared" si="215"/>
        <v>0</v>
      </c>
      <c r="BE342" s="81">
        <f t="shared" si="216"/>
        <v>0</v>
      </c>
      <c r="BF342" s="81">
        <f t="shared" si="217"/>
        <v>0</v>
      </c>
      <c r="BG342" s="81">
        <f t="shared" si="218"/>
        <v>0</v>
      </c>
      <c r="BH342" s="81">
        <f t="shared" si="219"/>
        <v>0</v>
      </c>
      <c r="BI342" s="81">
        <f t="shared" si="220"/>
        <v>0</v>
      </c>
      <c r="BJ342" s="81">
        <f t="shared" si="221"/>
        <v>0</v>
      </c>
      <c r="BK342" s="81">
        <f t="shared" si="222"/>
        <v>0</v>
      </c>
      <c r="BL342" s="81">
        <f t="shared" si="223"/>
        <v>0</v>
      </c>
      <c r="BM342" s="81">
        <f t="shared" si="224"/>
        <v>0</v>
      </c>
      <c r="BN342" s="81">
        <f t="shared" si="225"/>
        <v>0</v>
      </c>
      <c r="BO342" s="81">
        <f t="shared" si="226"/>
        <v>0</v>
      </c>
      <c r="BP342" s="81">
        <f t="shared" si="227"/>
        <v>0</v>
      </c>
      <c r="BQ342" s="81">
        <f t="shared" si="228"/>
        <v>0</v>
      </c>
      <c r="BR342" s="81">
        <f t="shared" si="229"/>
        <v>0</v>
      </c>
      <c r="BS342" s="81">
        <f t="shared" si="230"/>
        <v>0</v>
      </c>
      <c r="BT342" s="89">
        <f t="shared" si="231"/>
        <v>0</v>
      </c>
    </row>
    <row r="343" spans="1:72">
      <c r="A343" s="79"/>
      <c r="B343" s="80"/>
      <c r="C343" s="80"/>
      <c r="D343" s="2301"/>
      <c r="E343" s="81">
        <f t="shared" si="232"/>
        <v>0</v>
      </c>
      <c r="F343" s="82"/>
      <c r="G343" s="83">
        <f t="shared" si="207"/>
        <v>0</v>
      </c>
      <c r="H343" s="84">
        <f t="shared" si="208"/>
        <v>0</v>
      </c>
      <c r="I343" s="85"/>
      <c r="J343" s="85"/>
      <c r="K343" s="85"/>
      <c r="L343" s="85"/>
      <c r="M343" s="85"/>
      <c r="N343" s="85"/>
      <c r="O343" s="85"/>
      <c r="P343" s="85"/>
      <c r="Q343" s="85"/>
      <c r="R343" s="85"/>
      <c r="S343" s="85"/>
      <c r="T343" s="85"/>
      <c r="U343" s="85"/>
      <c r="V343" s="85"/>
      <c r="W343" s="85"/>
      <c r="X343" s="85"/>
      <c r="Y343" s="85"/>
      <c r="Z343" s="85"/>
      <c r="AA343" s="85"/>
      <c r="AB343" s="85"/>
      <c r="AC343" s="81">
        <f t="shared" si="209"/>
        <v>0</v>
      </c>
      <c r="AD343" s="86"/>
      <c r="AE343" s="86"/>
      <c r="AF343" s="86"/>
      <c r="AG343" s="86"/>
      <c r="AH343" s="86"/>
      <c r="AI343" s="86"/>
      <c r="AJ343" s="86"/>
      <c r="AK343" s="86"/>
      <c r="AL343" s="86"/>
      <c r="AM343" s="86"/>
      <c r="AN343" s="86"/>
      <c r="AO343" s="86"/>
      <c r="AP343" s="86"/>
      <c r="AQ343" s="86"/>
      <c r="AR343" s="86"/>
      <c r="AS343" s="86"/>
      <c r="AT343" s="82"/>
      <c r="AU343" s="87"/>
      <c r="AV343" s="818">
        <f t="shared" si="233"/>
        <v>0</v>
      </c>
      <c r="AW343" s="818">
        <f t="shared" si="234"/>
        <v>0</v>
      </c>
      <c r="AX343" s="818">
        <f t="shared" si="235"/>
        <v>0</v>
      </c>
      <c r="AY343" s="88">
        <f t="shared" si="210"/>
        <v>0</v>
      </c>
      <c r="AZ343" s="81">
        <f t="shared" si="211"/>
        <v>0</v>
      </c>
      <c r="BA343" s="81">
        <f t="shared" si="212"/>
        <v>0</v>
      </c>
      <c r="BB343" s="81">
        <f t="shared" si="213"/>
        <v>0</v>
      </c>
      <c r="BC343" s="81">
        <f t="shared" si="214"/>
        <v>0</v>
      </c>
      <c r="BD343" s="81">
        <f t="shared" si="215"/>
        <v>0</v>
      </c>
      <c r="BE343" s="81">
        <f t="shared" si="216"/>
        <v>0</v>
      </c>
      <c r="BF343" s="81">
        <f t="shared" si="217"/>
        <v>0</v>
      </c>
      <c r="BG343" s="81">
        <f t="shared" si="218"/>
        <v>0</v>
      </c>
      <c r="BH343" s="81">
        <f t="shared" si="219"/>
        <v>0</v>
      </c>
      <c r="BI343" s="81">
        <f t="shared" si="220"/>
        <v>0</v>
      </c>
      <c r="BJ343" s="81">
        <f t="shared" si="221"/>
        <v>0</v>
      </c>
      <c r="BK343" s="81">
        <f t="shared" si="222"/>
        <v>0</v>
      </c>
      <c r="BL343" s="81">
        <f t="shared" si="223"/>
        <v>0</v>
      </c>
      <c r="BM343" s="81">
        <f t="shared" si="224"/>
        <v>0</v>
      </c>
      <c r="BN343" s="81">
        <f t="shared" si="225"/>
        <v>0</v>
      </c>
      <c r="BO343" s="81">
        <f t="shared" si="226"/>
        <v>0</v>
      </c>
      <c r="BP343" s="81">
        <f t="shared" si="227"/>
        <v>0</v>
      </c>
      <c r="BQ343" s="81">
        <f t="shared" si="228"/>
        <v>0</v>
      </c>
      <c r="BR343" s="81">
        <f t="shared" si="229"/>
        <v>0</v>
      </c>
      <c r="BS343" s="81">
        <f t="shared" si="230"/>
        <v>0</v>
      </c>
      <c r="BT343" s="89">
        <f t="shared" si="231"/>
        <v>0</v>
      </c>
    </row>
    <row r="344" spans="1:72">
      <c r="A344" s="79"/>
      <c r="B344" s="80"/>
      <c r="C344" s="80"/>
      <c r="D344" s="2301"/>
      <c r="E344" s="81">
        <f t="shared" si="232"/>
        <v>0</v>
      </c>
      <c r="F344" s="82"/>
      <c r="G344" s="83">
        <f t="shared" si="207"/>
        <v>0</v>
      </c>
      <c r="H344" s="84">
        <f t="shared" si="208"/>
        <v>0</v>
      </c>
      <c r="I344" s="85"/>
      <c r="J344" s="85"/>
      <c r="K344" s="85"/>
      <c r="L344" s="85"/>
      <c r="M344" s="85"/>
      <c r="N344" s="85"/>
      <c r="O344" s="85"/>
      <c r="P344" s="85"/>
      <c r="Q344" s="85"/>
      <c r="R344" s="85"/>
      <c r="S344" s="85"/>
      <c r="T344" s="85"/>
      <c r="U344" s="85"/>
      <c r="V344" s="85"/>
      <c r="W344" s="85"/>
      <c r="X344" s="85"/>
      <c r="Y344" s="85"/>
      <c r="Z344" s="85"/>
      <c r="AA344" s="85"/>
      <c r="AB344" s="85"/>
      <c r="AC344" s="81">
        <f t="shared" si="209"/>
        <v>0</v>
      </c>
      <c r="AD344" s="86"/>
      <c r="AE344" s="86"/>
      <c r="AF344" s="86"/>
      <c r="AG344" s="86"/>
      <c r="AH344" s="86"/>
      <c r="AI344" s="86"/>
      <c r="AJ344" s="86"/>
      <c r="AK344" s="86"/>
      <c r="AL344" s="86"/>
      <c r="AM344" s="86"/>
      <c r="AN344" s="86"/>
      <c r="AO344" s="86"/>
      <c r="AP344" s="86"/>
      <c r="AQ344" s="86"/>
      <c r="AR344" s="86"/>
      <c r="AS344" s="86"/>
      <c r="AT344" s="82"/>
      <c r="AU344" s="87"/>
      <c r="AV344" s="818">
        <f t="shared" si="233"/>
        <v>0</v>
      </c>
      <c r="AW344" s="818">
        <f t="shared" si="234"/>
        <v>0</v>
      </c>
      <c r="AX344" s="818">
        <f t="shared" si="235"/>
        <v>0</v>
      </c>
      <c r="AY344" s="88">
        <f t="shared" si="210"/>
        <v>0</v>
      </c>
      <c r="AZ344" s="81">
        <f t="shared" si="211"/>
        <v>0</v>
      </c>
      <c r="BA344" s="81">
        <f t="shared" si="212"/>
        <v>0</v>
      </c>
      <c r="BB344" s="81">
        <f t="shared" si="213"/>
        <v>0</v>
      </c>
      <c r="BC344" s="81">
        <f t="shared" si="214"/>
        <v>0</v>
      </c>
      <c r="BD344" s="81">
        <f t="shared" si="215"/>
        <v>0</v>
      </c>
      <c r="BE344" s="81">
        <f t="shared" si="216"/>
        <v>0</v>
      </c>
      <c r="BF344" s="81">
        <f t="shared" si="217"/>
        <v>0</v>
      </c>
      <c r="BG344" s="81">
        <f t="shared" si="218"/>
        <v>0</v>
      </c>
      <c r="BH344" s="81">
        <f t="shared" si="219"/>
        <v>0</v>
      </c>
      <c r="BI344" s="81">
        <f t="shared" si="220"/>
        <v>0</v>
      </c>
      <c r="BJ344" s="81">
        <f t="shared" si="221"/>
        <v>0</v>
      </c>
      <c r="BK344" s="81">
        <f t="shared" si="222"/>
        <v>0</v>
      </c>
      <c r="BL344" s="81">
        <f t="shared" si="223"/>
        <v>0</v>
      </c>
      <c r="BM344" s="81">
        <f t="shared" si="224"/>
        <v>0</v>
      </c>
      <c r="BN344" s="81">
        <f t="shared" si="225"/>
        <v>0</v>
      </c>
      <c r="BO344" s="81">
        <f t="shared" si="226"/>
        <v>0</v>
      </c>
      <c r="BP344" s="81">
        <f t="shared" si="227"/>
        <v>0</v>
      </c>
      <c r="BQ344" s="81">
        <f t="shared" si="228"/>
        <v>0</v>
      </c>
      <c r="BR344" s="81">
        <f t="shared" si="229"/>
        <v>0</v>
      </c>
      <c r="BS344" s="81">
        <f t="shared" si="230"/>
        <v>0</v>
      </c>
      <c r="BT344" s="89">
        <f t="shared" si="231"/>
        <v>0</v>
      </c>
    </row>
    <row r="345" spans="1:72">
      <c r="A345" s="79"/>
      <c r="B345" s="80"/>
      <c r="C345" s="80"/>
      <c r="D345" s="2301"/>
      <c r="E345" s="81">
        <f t="shared" si="232"/>
        <v>0</v>
      </c>
      <c r="F345" s="82"/>
      <c r="G345" s="83">
        <f t="shared" si="207"/>
        <v>0</v>
      </c>
      <c r="H345" s="84">
        <f t="shared" si="208"/>
        <v>0</v>
      </c>
      <c r="I345" s="85"/>
      <c r="J345" s="85"/>
      <c r="K345" s="85"/>
      <c r="L345" s="85"/>
      <c r="M345" s="85"/>
      <c r="N345" s="85"/>
      <c r="O345" s="85"/>
      <c r="P345" s="85"/>
      <c r="Q345" s="85"/>
      <c r="R345" s="85"/>
      <c r="S345" s="85"/>
      <c r="T345" s="85"/>
      <c r="U345" s="85"/>
      <c r="V345" s="85"/>
      <c r="W345" s="85"/>
      <c r="X345" s="85"/>
      <c r="Y345" s="85"/>
      <c r="Z345" s="85"/>
      <c r="AA345" s="85"/>
      <c r="AB345" s="85"/>
      <c r="AC345" s="81">
        <f t="shared" si="209"/>
        <v>0</v>
      </c>
      <c r="AD345" s="86"/>
      <c r="AE345" s="86"/>
      <c r="AF345" s="86"/>
      <c r="AG345" s="86"/>
      <c r="AH345" s="86"/>
      <c r="AI345" s="86"/>
      <c r="AJ345" s="86"/>
      <c r="AK345" s="86"/>
      <c r="AL345" s="86"/>
      <c r="AM345" s="86"/>
      <c r="AN345" s="86"/>
      <c r="AO345" s="86"/>
      <c r="AP345" s="86"/>
      <c r="AQ345" s="86"/>
      <c r="AR345" s="86"/>
      <c r="AS345" s="86"/>
      <c r="AT345" s="82"/>
      <c r="AU345" s="87"/>
      <c r="AV345" s="818">
        <f t="shared" si="233"/>
        <v>0</v>
      </c>
      <c r="AW345" s="818">
        <f t="shared" si="234"/>
        <v>0</v>
      </c>
      <c r="AX345" s="818">
        <f t="shared" si="235"/>
        <v>0</v>
      </c>
      <c r="AY345" s="88">
        <f t="shared" si="210"/>
        <v>0</v>
      </c>
      <c r="AZ345" s="81">
        <f t="shared" si="211"/>
        <v>0</v>
      </c>
      <c r="BA345" s="81">
        <f t="shared" si="212"/>
        <v>0</v>
      </c>
      <c r="BB345" s="81">
        <f t="shared" si="213"/>
        <v>0</v>
      </c>
      <c r="BC345" s="81">
        <f t="shared" si="214"/>
        <v>0</v>
      </c>
      <c r="BD345" s="81">
        <f t="shared" si="215"/>
        <v>0</v>
      </c>
      <c r="BE345" s="81">
        <f t="shared" si="216"/>
        <v>0</v>
      </c>
      <c r="BF345" s="81">
        <f t="shared" si="217"/>
        <v>0</v>
      </c>
      <c r="BG345" s="81">
        <f t="shared" si="218"/>
        <v>0</v>
      </c>
      <c r="BH345" s="81">
        <f t="shared" si="219"/>
        <v>0</v>
      </c>
      <c r="BI345" s="81">
        <f t="shared" si="220"/>
        <v>0</v>
      </c>
      <c r="BJ345" s="81">
        <f t="shared" si="221"/>
        <v>0</v>
      </c>
      <c r="BK345" s="81">
        <f t="shared" si="222"/>
        <v>0</v>
      </c>
      <c r="BL345" s="81">
        <f t="shared" si="223"/>
        <v>0</v>
      </c>
      <c r="BM345" s="81">
        <f t="shared" si="224"/>
        <v>0</v>
      </c>
      <c r="BN345" s="81">
        <f t="shared" si="225"/>
        <v>0</v>
      </c>
      <c r="BO345" s="81">
        <f t="shared" si="226"/>
        <v>0</v>
      </c>
      <c r="BP345" s="81">
        <f t="shared" si="227"/>
        <v>0</v>
      </c>
      <c r="BQ345" s="81">
        <f t="shared" si="228"/>
        <v>0</v>
      </c>
      <c r="BR345" s="81">
        <f t="shared" si="229"/>
        <v>0</v>
      </c>
      <c r="BS345" s="81">
        <f t="shared" si="230"/>
        <v>0</v>
      </c>
      <c r="BT345" s="89">
        <f t="shared" si="231"/>
        <v>0</v>
      </c>
    </row>
    <row r="346" spans="1:72">
      <c r="A346" s="79"/>
      <c r="B346" s="80"/>
      <c r="C346" s="80"/>
      <c r="D346" s="2301"/>
      <c r="E346" s="81">
        <f t="shared" si="232"/>
        <v>0</v>
      </c>
      <c r="F346" s="82"/>
      <c r="G346" s="83">
        <f t="shared" si="207"/>
        <v>0</v>
      </c>
      <c r="H346" s="84">
        <f t="shared" si="208"/>
        <v>0</v>
      </c>
      <c r="I346" s="85"/>
      <c r="J346" s="85"/>
      <c r="K346" s="85"/>
      <c r="L346" s="85"/>
      <c r="M346" s="85"/>
      <c r="N346" s="85"/>
      <c r="O346" s="85"/>
      <c r="P346" s="85"/>
      <c r="Q346" s="85"/>
      <c r="R346" s="85"/>
      <c r="S346" s="85"/>
      <c r="T346" s="85"/>
      <c r="U346" s="85"/>
      <c r="V346" s="85"/>
      <c r="W346" s="85"/>
      <c r="X346" s="85"/>
      <c r="Y346" s="85"/>
      <c r="Z346" s="85"/>
      <c r="AA346" s="85"/>
      <c r="AB346" s="85"/>
      <c r="AC346" s="81">
        <f t="shared" si="209"/>
        <v>0</v>
      </c>
      <c r="AD346" s="86"/>
      <c r="AE346" s="86"/>
      <c r="AF346" s="86"/>
      <c r="AG346" s="86"/>
      <c r="AH346" s="86"/>
      <c r="AI346" s="86"/>
      <c r="AJ346" s="86"/>
      <c r="AK346" s="86"/>
      <c r="AL346" s="86"/>
      <c r="AM346" s="86"/>
      <c r="AN346" s="86"/>
      <c r="AO346" s="86"/>
      <c r="AP346" s="86"/>
      <c r="AQ346" s="86"/>
      <c r="AR346" s="86"/>
      <c r="AS346" s="86"/>
      <c r="AT346" s="82"/>
      <c r="AU346" s="87"/>
      <c r="AV346" s="818">
        <f t="shared" si="233"/>
        <v>0</v>
      </c>
      <c r="AW346" s="818">
        <f t="shared" si="234"/>
        <v>0</v>
      </c>
      <c r="AX346" s="818">
        <f t="shared" si="235"/>
        <v>0</v>
      </c>
      <c r="AY346" s="88">
        <f t="shared" si="210"/>
        <v>0</v>
      </c>
      <c r="AZ346" s="81">
        <f t="shared" si="211"/>
        <v>0</v>
      </c>
      <c r="BA346" s="81">
        <f t="shared" si="212"/>
        <v>0</v>
      </c>
      <c r="BB346" s="81">
        <f t="shared" si="213"/>
        <v>0</v>
      </c>
      <c r="BC346" s="81">
        <f t="shared" si="214"/>
        <v>0</v>
      </c>
      <c r="BD346" s="81">
        <f t="shared" si="215"/>
        <v>0</v>
      </c>
      <c r="BE346" s="81">
        <f t="shared" si="216"/>
        <v>0</v>
      </c>
      <c r="BF346" s="81">
        <f t="shared" si="217"/>
        <v>0</v>
      </c>
      <c r="BG346" s="81">
        <f t="shared" si="218"/>
        <v>0</v>
      </c>
      <c r="BH346" s="81">
        <f t="shared" si="219"/>
        <v>0</v>
      </c>
      <c r="BI346" s="81">
        <f t="shared" si="220"/>
        <v>0</v>
      </c>
      <c r="BJ346" s="81">
        <f t="shared" si="221"/>
        <v>0</v>
      </c>
      <c r="BK346" s="81">
        <f t="shared" si="222"/>
        <v>0</v>
      </c>
      <c r="BL346" s="81">
        <f t="shared" si="223"/>
        <v>0</v>
      </c>
      <c r="BM346" s="81">
        <f t="shared" si="224"/>
        <v>0</v>
      </c>
      <c r="BN346" s="81">
        <f t="shared" si="225"/>
        <v>0</v>
      </c>
      <c r="BO346" s="81">
        <f t="shared" si="226"/>
        <v>0</v>
      </c>
      <c r="BP346" s="81">
        <f t="shared" si="227"/>
        <v>0</v>
      </c>
      <c r="BQ346" s="81">
        <f t="shared" si="228"/>
        <v>0</v>
      </c>
      <c r="BR346" s="81">
        <f t="shared" si="229"/>
        <v>0</v>
      </c>
      <c r="BS346" s="81">
        <f t="shared" si="230"/>
        <v>0</v>
      </c>
      <c r="BT346" s="89">
        <f t="shared" si="231"/>
        <v>0</v>
      </c>
    </row>
    <row r="347" spans="1:72">
      <c r="A347" s="79"/>
      <c r="B347" s="80"/>
      <c r="C347" s="80"/>
      <c r="D347" s="2301"/>
      <c r="E347" s="81">
        <f t="shared" si="232"/>
        <v>0</v>
      </c>
      <c r="F347" s="82"/>
      <c r="G347" s="83">
        <f t="shared" si="207"/>
        <v>0</v>
      </c>
      <c r="H347" s="84">
        <f t="shared" si="208"/>
        <v>0</v>
      </c>
      <c r="I347" s="85"/>
      <c r="J347" s="85"/>
      <c r="K347" s="85"/>
      <c r="L347" s="85"/>
      <c r="M347" s="85"/>
      <c r="N347" s="85"/>
      <c r="O347" s="85"/>
      <c r="P347" s="85"/>
      <c r="Q347" s="85"/>
      <c r="R347" s="85"/>
      <c r="S347" s="85"/>
      <c r="T347" s="85"/>
      <c r="U347" s="85"/>
      <c r="V347" s="85"/>
      <c r="W347" s="85"/>
      <c r="X347" s="85"/>
      <c r="Y347" s="85"/>
      <c r="Z347" s="85"/>
      <c r="AA347" s="85"/>
      <c r="AB347" s="85"/>
      <c r="AC347" s="81">
        <f t="shared" si="209"/>
        <v>0</v>
      </c>
      <c r="AD347" s="86"/>
      <c r="AE347" s="86"/>
      <c r="AF347" s="86"/>
      <c r="AG347" s="86"/>
      <c r="AH347" s="86"/>
      <c r="AI347" s="86"/>
      <c r="AJ347" s="86"/>
      <c r="AK347" s="86"/>
      <c r="AL347" s="86"/>
      <c r="AM347" s="86"/>
      <c r="AN347" s="86"/>
      <c r="AO347" s="86"/>
      <c r="AP347" s="86"/>
      <c r="AQ347" s="86"/>
      <c r="AR347" s="86"/>
      <c r="AS347" s="86"/>
      <c r="AT347" s="82"/>
      <c r="AU347" s="87"/>
      <c r="AV347" s="818">
        <f t="shared" si="233"/>
        <v>0</v>
      </c>
      <c r="AW347" s="818">
        <f t="shared" si="234"/>
        <v>0</v>
      </c>
      <c r="AX347" s="818">
        <f t="shared" si="235"/>
        <v>0</v>
      </c>
      <c r="AY347" s="88">
        <f t="shared" si="210"/>
        <v>0</v>
      </c>
      <c r="AZ347" s="81">
        <f t="shared" si="211"/>
        <v>0</v>
      </c>
      <c r="BA347" s="81">
        <f t="shared" si="212"/>
        <v>0</v>
      </c>
      <c r="BB347" s="81">
        <f t="shared" si="213"/>
        <v>0</v>
      </c>
      <c r="BC347" s="81">
        <f t="shared" si="214"/>
        <v>0</v>
      </c>
      <c r="BD347" s="81">
        <f t="shared" si="215"/>
        <v>0</v>
      </c>
      <c r="BE347" s="81">
        <f t="shared" si="216"/>
        <v>0</v>
      </c>
      <c r="BF347" s="81">
        <f t="shared" si="217"/>
        <v>0</v>
      </c>
      <c r="BG347" s="81">
        <f t="shared" si="218"/>
        <v>0</v>
      </c>
      <c r="BH347" s="81">
        <f t="shared" si="219"/>
        <v>0</v>
      </c>
      <c r="BI347" s="81">
        <f t="shared" si="220"/>
        <v>0</v>
      </c>
      <c r="BJ347" s="81">
        <f t="shared" si="221"/>
        <v>0</v>
      </c>
      <c r="BK347" s="81">
        <f t="shared" si="222"/>
        <v>0</v>
      </c>
      <c r="BL347" s="81">
        <f t="shared" si="223"/>
        <v>0</v>
      </c>
      <c r="BM347" s="81">
        <f t="shared" si="224"/>
        <v>0</v>
      </c>
      <c r="BN347" s="81">
        <f t="shared" si="225"/>
        <v>0</v>
      </c>
      <c r="BO347" s="81">
        <f t="shared" si="226"/>
        <v>0</v>
      </c>
      <c r="BP347" s="81">
        <f t="shared" si="227"/>
        <v>0</v>
      </c>
      <c r="BQ347" s="81">
        <f t="shared" si="228"/>
        <v>0</v>
      </c>
      <c r="BR347" s="81">
        <f t="shared" si="229"/>
        <v>0</v>
      </c>
      <c r="BS347" s="81">
        <f t="shared" si="230"/>
        <v>0</v>
      </c>
      <c r="BT347" s="89">
        <f t="shared" si="231"/>
        <v>0</v>
      </c>
    </row>
    <row r="348" spans="1:72">
      <c r="A348" s="79"/>
      <c r="B348" s="80"/>
      <c r="C348" s="80"/>
      <c r="D348" s="2301"/>
      <c r="E348" s="81">
        <f t="shared" si="232"/>
        <v>0</v>
      </c>
      <c r="F348" s="82"/>
      <c r="G348" s="83">
        <f t="shared" si="207"/>
        <v>0</v>
      </c>
      <c r="H348" s="84">
        <f t="shared" si="208"/>
        <v>0</v>
      </c>
      <c r="I348" s="85"/>
      <c r="J348" s="85"/>
      <c r="K348" s="85"/>
      <c r="L348" s="85"/>
      <c r="M348" s="85"/>
      <c r="N348" s="85"/>
      <c r="O348" s="85"/>
      <c r="P348" s="85"/>
      <c r="Q348" s="85"/>
      <c r="R348" s="85"/>
      <c r="S348" s="85"/>
      <c r="T348" s="85"/>
      <c r="U348" s="85"/>
      <c r="V348" s="85"/>
      <c r="W348" s="85"/>
      <c r="X348" s="85"/>
      <c r="Y348" s="85"/>
      <c r="Z348" s="85"/>
      <c r="AA348" s="85"/>
      <c r="AB348" s="85"/>
      <c r="AC348" s="81">
        <f t="shared" si="209"/>
        <v>0</v>
      </c>
      <c r="AD348" s="86"/>
      <c r="AE348" s="86"/>
      <c r="AF348" s="86"/>
      <c r="AG348" s="86"/>
      <c r="AH348" s="86"/>
      <c r="AI348" s="86"/>
      <c r="AJ348" s="86"/>
      <c r="AK348" s="86"/>
      <c r="AL348" s="86"/>
      <c r="AM348" s="86"/>
      <c r="AN348" s="86"/>
      <c r="AO348" s="86"/>
      <c r="AP348" s="86"/>
      <c r="AQ348" s="86"/>
      <c r="AR348" s="86"/>
      <c r="AS348" s="86"/>
      <c r="AT348" s="82"/>
      <c r="AU348" s="87"/>
      <c r="AV348" s="818">
        <f t="shared" si="233"/>
        <v>0</v>
      </c>
      <c r="AW348" s="818">
        <f t="shared" si="234"/>
        <v>0</v>
      </c>
      <c r="AX348" s="818">
        <f t="shared" si="235"/>
        <v>0</v>
      </c>
      <c r="AY348" s="88">
        <f t="shared" si="210"/>
        <v>0</v>
      </c>
      <c r="AZ348" s="81">
        <f t="shared" si="211"/>
        <v>0</v>
      </c>
      <c r="BA348" s="81">
        <f t="shared" si="212"/>
        <v>0</v>
      </c>
      <c r="BB348" s="81">
        <f t="shared" si="213"/>
        <v>0</v>
      </c>
      <c r="BC348" s="81">
        <f t="shared" si="214"/>
        <v>0</v>
      </c>
      <c r="BD348" s="81">
        <f t="shared" si="215"/>
        <v>0</v>
      </c>
      <c r="BE348" s="81">
        <f t="shared" si="216"/>
        <v>0</v>
      </c>
      <c r="BF348" s="81">
        <f t="shared" si="217"/>
        <v>0</v>
      </c>
      <c r="BG348" s="81">
        <f t="shared" si="218"/>
        <v>0</v>
      </c>
      <c r="BH348" s="81">
        <f t="shared" si="219"/>
        <v>0</v>
      </c>
      <c r="BI348" s="81">
        <f t="shared" si="220"/>
        <v>0</v>
      </c>
      <c r="BJ348" s="81">
        <f t="shared" si="221"/>
        <v>0</v>
      </c>
      <c r="BK348" s="81">
        <f t="shared" si="222"/>
        <v>0</v>
      </c>
      <c r="BL348" s="81">
        <f t="shared" si="223"/>
        <v>0</v>
      </c>
      <c r="BM348" s="81">
        <f t="shared" si="224"/>
        <v>0</v>
      </c>
      <c r="BN348" s="81">
        <f t="shared" si="225"/>
        <v>0</v>
      </c>
      <c r="BO348" s="81">
        <f t="shared" si="226"/>
        <v>0</v>
      </c>
      <c r="BP348" s="81">
        <f t="shared" si="227"/>
        <v>0</v>
      </c>
      <c r="BQ348" s="81">
        <f t="shared" si="228"/>
        <v>0</v>
      </c>
      <c r="BR348" s="81">
        <f t="shared" si="229"/>
        <v>0</v>
      </c>
      <c r="BS348" s="81">
        <f t="shared" si="230"/>
        <v>0</v>
      </c>
      <c r="BT348" s="89">
        <f t="shared" si="231"/>
        <v>0</v>
      </c>
    </row>
    <row r="349" spans="1:72">
      <c r="A349" s="79"/>
      <c r="B349" s="80"/>
      <c r="C349" s="80"/>
      <c r="D349" s="2301"/>
      <c r="E349" s="81">
        <f t="shared" si="232"/>
        <v>0</v>
      </c>
      <c r="F349" s="82"/>
      <c r="G349" s="83">
        <f t="shared" si="207"/>
        <v>0</v>
      </c>
      <c r="H349" s="84">
        <f t="shared" si="208"/>
        <v>0</v>
      </c>
      <c r="I349" s="85"/>
      <c r="J349" s="85"/>
      <c r="K349" s="85"/>
      <c r="L349" s="85"/>
      <c r="M349" s="85"/>
      <c r="N349" s="85"/>
      <c r="O349" s="85"/>
      <c r="P349" s="85"/>
      <c r="Q349" s="85"/>
      <c r="R349" s="85"/>
      <c r="S349" s="85"/>
      <c r="T349" s="85"/>
      <c r="U349" s="85"/>
      <c r="V349" s="85"/>
      <c r="W349" s="85"/>
      <c r="X349" s="85"/>
      <c r="Y349" s="85"/>
      <c r="Z349" s="85"/>
      <c r="AA349" s="85"/>
      <c r="AB349" s="85"/>
      <c r="AC349" s="81">
        <f t="shared" si="209"/>
        <v>0</v>
      </c>
      <c r="AD349" s="86"/>
      <c r="AE349" s="86"/>
      <c r="AF349" s="86"/>
      <c r="AG349" s="86"/>
      <c r="AH349" s="86"/>
      <c r="AI349" s="86"/>
      <c r="AJ349" s="86"/>
      <c r="AK349" s="86"/>
      <c r="AL349" s="86"/>
      <c r="AM349" s="86"/>
      <c r="AN349" s="86"/>
      <c r="AO349" s="86"/>
      <c r="AP349" s="86"/>
      <c r="AQ349" s="86"/>
      <c r="AR349" s="86"/>
      <c r="AS349" s="86"/>
      <c r="AT349" s="82"/>
      <c r="AU349" s="87"/>
      <c r="AV349" s="818">
        <f t="shared" si="233"/>
        <v>0</v>
      </c>
      <c r="AW349" s="818">
        <f t="shared" si="234"/>
        <v>0</v>
      </c>
      <c r="AX349" s="818">
        <f t="shared" si="235"/>
        <v>0</v>
      </c>
      <c r="AY349" s="88">
        <f t="shared" si="210"/>
        <v>0</v>
      </c>
      <c r="AZ349" s="81">
        <f t="shared" si="211"/>
        <v>0</v>
      </c>
      <c r="BA349" s="81">
        <f t="shared" si="212"/>
        <v>0</v>
      </c>
      <c r="BB349" s="81">
        <f t="shared" si="213"/>
        <v>0</v>
      </c>
      <c r="BC349" s="81">
        <f t="shared" si="214"/>
        <v>0</v>
      </c>
      <c r="BD349" s="81">
        <f t="shared" si="215"/>
        <v>0</v>
      </c>
      <c r="BE349" s="81">
        <f t="shared" si="216"/>
        <v>0</v>
      </c>
      <c r="BF349" s="81">
        <f t="shared" si="217"/>
        <v>0</v>
      </c>
      <c r="BG349" s="81">
        <f t="shared" si="218"/>
        <v>0</v>
      </c>
      <c r="BH349" s="81">
        <f t="shared" si="219"/>
        <v>0</v>
      </c>
      <c r="BI349" s="81">
        <f t="shared" si="220"/>
        <v>0</v>
      </c>
      <c r="BJ349" s="81">
        <f t="shared" si="221"/>
        <v>0</v>
      </c>
      <c r="BK349" s="81">
        <f t="shared" si="222"/>
        <v>0</v>
      </c>
      <c r="BL349" s="81">
        <f t="shared" si="223"/>
        <v>0</v>
      </c>
      <c r="BM349" s="81">
        <f t="shared" si="224"/>
        <v>0</v>
      </c>
      <c r="BN349" s="81">
        <f t="shared" si="225"/>
        <v>0</v>
      </c>
      <c r="BO349" s="81">
        <f t="shared" si="226"/>
        <v>0</v>
      </c>
      <c r="BP349" s="81">
        <f t="shared" si="227"/>
        <v>0</v>
      </c>
      <c r="BQ349" s="81">
        <f t="shared" si="228"/>
        <v>0</v>
      </c>
      <c r="BR349" s="81">
        <f t="shared" si="229"/>
        <v>0</v>
      </c>
      <c r="BS349" s="81">
        <f t="shared" si="230"/>
        <v>0</v>
      </c>
      <c r="BT349" s="89">
        <f t="shared" si="231"/>
        <v>0</v>
      </c>
    </row>
    <row r="350" spans="1:72">
      <c r="A350" s="79"/>
      <c r="B350" s="80"/>
      <c r="C350" s="80"/>
      <c r="D350" s="2301"/>
      <c r="E350" s="81">
        <f t="shared" si="232"/>
        <v>0</v>
      </c>
      <c r="F350" s="82"/>
      <c r="G350" s="83">
        <f t="shared" si="207"/>
        <v>0</v>
      </c>
      <c r="H350" s="84">
        <f t="shared" si="208"/>
        <v>0</v>
      </c>
      <c r="I350" s="85"/>
      <c r="J350" s="85"/>
      <c r="K350" s="85"/>
      <c r="L350" s="85"/>
      <c r="M350" s="85"/>
      <c r="N350" s="85"/>
      <c r="O350" s="85"/>
      <c r="P350" s="85"/>
      <c r="Q350" s="85"/>
      <c r="R350" s="85"/>
      <c r="S350" s="85"/>
      <c r="T350" s="85"/>
      <c r="U350" s="85"/>
      <c r="V350" s="85"/>
      <c r="W350" s="85"/>
      <c r="X350" s="85"/>
      <c r="Y350" s="85"/>
      <c r="Z350" s="85"/>
      <c r="AA350" s="85"/>
      <c r="AB350" s="85"/>
      <c r="AC350" s="81">
        <f t="shared" si="209"/>
        <v>0</v>
      </c>
      <c r="AD350" s="86"/>
      <c r="AE350" s="86"/>
      <c r="AF350" s="86"/>
      <c r="AG350" s="86"/>
      <c r="AH350" s="86"/>
      <c r="AI350" s="86"/>
      <c r="AJ350" s="86"/>
      <c r="AK350" s="86"/>
      <c r="AL350" s="86"/>
      <c r="AM350" s="86"/>
      <c r="AN350" s="86"/>
      <c r="AO350" s="86"/>
      <c r="AP350" s="86"/>
      <c r="AQ350" s="86"/>
      <c r="AR350" s="86"/>
      <c r="AS350" s="86"/>
      <c r="AT350" s="82"/>
      <c r="AU350" s="87"/>
      <c r="AV350" s="818">
        <f t="shared" si="233"/>
        <v>0</v>
      </c>
      <c r="AW350" s="818">
        <f t="shared" si="234"/>
        <v>0</v>
      </c>
      <c r="AX350" s="818">
        <f t="shared" si="235"/>
        <v>0</v>
      </c>
      <c r="AY350" s="88">
        <f t="shared" si="210"/>
        <v>0</v>
      </c>
      <c r="AZ350" s="81">
        <f t="shared" si="211"/>
        <v>0</v>
      </c>
      <c r="BA350" s="81">
        <f t="shared" si="212"/>
        <v>0</v>
      </c>
      <c r="BB350" s="81">
        <f t="shared" si="213"/>
        <v>0</v>
      </c>
      <c r="BC350" s="81">
        <f t="shared" si="214"/>
        <v>0</v>
      </c>
      <c r="BD350" s="81">
        <f t="shared" si="215"/>
        <v>0</v>
      </c>
      <c r="BE350" s="81">
        <f t="shared" si="216"/>
        <v>0</v>
      </c>
      <c r="BF350" s="81">
        <f t="shared" si="217"/>
        <v>0</v>
      </c>
      <c r="BG350" s="81">
        <f t="shared" si="218"/>
        <v>0</v>
      </c>
      <c r="BH350" s="81">
        <f t="shared" si="219"/>
        <v>0</v>
      </c>
      <c r="BI350" s="81">
        <f t="shared" si="220"/>
        <v>0</v>
      </c>
      <c r="BJ350" s="81">
        <f t="shared" si="221"/>
        <v>0</v>
      </c>
      <c r="BK350" s="81">
        <f t="shared" si="222"/>
        <v>0</v>
      </c>
      <c r="BL350" s="81">
        <f t="shared" si="223"/>
        <v>0</v>
      </c>
      <c r="BM350" s="81">
        <f t="shared" si="224"/>
        <v>0</v>
      </c>
      <c r="BN350" s="81">
        <f t="shared" si="225"/>
        <v>0</v>
      </c>
      <c r="BO350" s="81">
        <f t="shared" si="226"/>
        <v>0</v>
      </c>
      <c r="BP350" s="81">
        <f t="shared" si="227"/>
        <v>0</v>
      </c>
      <c r="BQ350" s="81">
        <f t="shared" si="228"/>
        <v>0</v>
      </c>
      <c r="BR350" s="81">
        <f t="shared" si="229"/>
        <v>0</v>
      </c>
      <c r="BS350" s="81">
        <f t="shared" si="230"/>
        <v>0</v>
      </c>
      <c r="BT350" s="89">
        <f t="shared" si="231"/>
        <v>0</v>
      </c>
    </row>
    <row r="351" spans="1:72">
      <c r="A351" s="79"/>
      <c r="B351" s="80"/>
      <c r="C351" s="80"/>
      <c r="D351" s="2301"/>
      <c r="E351" s="81">
        <f t="shared" si="232"/>
        <v>0</v>
      </c>
      <c r="F351" s="82"/>
      <c r="G351" s="83">
        <f t="shared" si="207"/>
        <v>0</v>
      </c>
      <c r="H351" s="84">
        <f t="shared" si="208"/>
        <v>0</v>
      </c>
      <c r="I351" s="85"/>
      <c r="J351" s="85"/>
      <c r="K351" s="85"/>
      <c r="L351" s="85"/>
      <c r="M351" s="85"/>
      <c r="N351" s="85"/>
      <c r="O351" s="85"/>
      <c r="P351" s="85"/>
      <c r="Q351" s="85"/>
      <c r="R351" s="85"/>
      <c r="S351" s="85"/>
      <c r="T351" s="85"/>
      <c r="U351" s="85"/>
      <c r="V351" s="85"/>
      <c r="W351" s="85"/>
      <c r="X351" s="85"/>
      <c r="Y351" s="85"/>
      <c r="Z351" s="85"/>
      <c r="AA351" s="85"/>
      <c r="AB351" s="85"/>
      <c r="AC351" s="81">
        <f t="shared" si="209"/>
        <v>0</v>
      </c>
      <c r="AD351" s="86"/>
      <c r="AE351" s="86"/>
      <c r="AF351" s="86"/>
      <c r="AG351" s="86"/>
      <c r="AH351" s="86"/>
      <c r="AI351" s="86"/>
      <c r="AJ351" s="86"/>
      <c r="AK351" s="86"/>
      <c r="AL351" s="86"/>
      <c r="AM351" s="86"/>
      <c r="AN351" s="86"/>
      <c r="AO351" s="86"/>
      <c r="AP351" s="86"/>
      <c r="AQ351" s="86"/>
      <c r="AR351" s="86"/>
      <c r="AS351" s="86"/>
      <c r="AT351" s="82"/>
      <c r="AU351" s="87"/>
      <c r="AV351" s="818">
        <f t="shared" si="233"/>
        <v>0</v>
      </c>
      <c r="AW351" s="818">
        <f t="shared" si="234"/>
        <v>0</v>
      </c>
      <c r="AX351" s="818">
        <f t="shared" si="235"/>
        <v>0</v>
      </c>
      <c r="AY351" s="88">
        <f t="shared" si="210"/>
        <v>0</v>
      </c>
      <c r="AZ351" s="81">
        <f t="shared" si="211"/>
        <v>0</v>
      </c>
      <c r="BA351" s="81">
        <f t="shared" si="212"/>
        <v>0</v>
      </c>
      <c r="BB351" s="81">
        <f t="shared" si="213"/>
        <v>0</v>
      </c>
      <c r="BC351" s="81">
        <f t="shared" si="214"/>
        <v>0</v>
      </c>
      <c r="BD351" s="81">
        <f t="shared" si="215"/>
        <v>0</v>
      </c>
      <c r="BE351" s="81">
        <f t="shared" si="216"/>
        <v>0</v>
      </c>
      <c r="BF351" s="81">
        <f t="shared" si="217"/>
        <v>0</v>
      </c>
      <c r="BG351" s="81">
        <f t="shared" si="218"/>
        <v>0</v>
      </c>
      <c r="BH351" s="81">
        <f t="shared" si="219"/>
        <v>0</v>
      </c>
      <c r="BI351" s="81">
        <f t="shared" si="220"/>
        <v>0</v>
      </c>
      <c r="BJ351" s="81">
        <f t="shared" si="221"/>
        <v>0</v>
      </c>
      <c r="BK351" s="81">
        <f t="shared" si="222"/>
        <v>0</v>
      </c>
      <c r="BL351" s="81">
        <f t="shared" si="223"/>
        <v>0</v>
      </c>
      <c r="BM351" s="81">
        <f t="shared" si="224"/>
        <v>0</v>
      </c>
      <c r="BN351" s="81">
        <f t="shared" si="225"/>
        <v>0</v>
      </c>
      <c r="BO351" s="81">
        <f t="shared" si="226"/>
        <v>0</v>
      </c>
      <c r="BP351" s="81">
        <f t="shared" si="227"/>
        <v>0</v>
      </c>
      <c r="BQ351" s="81">
        <f t="shared" si="228"/>
        <v>0</v>
      </c>
      <c r="BR351" s="81">
        <f t="shared" si="229"/>
        <v>0</v>
      </c>
      <c r="BS351" s="81">
        <f t="shared" si="230"/>
        <v>0</v>
      </c>
      <c r="BT351" s="89">
        <f t="shared" si="231"/>
        <v>0</v>
      </c>
    </row>
    <row r="352" spans="1:72">
      <c r="A352" s="79"/>
      <c r="B352" s="80"/>
      <c r="C352" s="80"/>
      <c r="D352" s="2301"/>
      <c r="E352" s="81">
        <f t="shared" si="232"/>
        <v>0</v>
      </c>
      <c r="F352" s="82"/>
      <c r="G352" s="83">
        <f t="shared" si="207"/>
        <v>0</v>
      </c>
      <c r="H352" s="84">
        <f t="shared" si="208"/>
        <v>0</v>
      </c>
      <c r="I352" s="85"/>
      <c r="J352" s="85"/>
      <c r="K352" s="85"/>
      <c r="L352" s="85"/>
      <c r="M352" s="85"/>
      <c r="N352" s="85"/>
      <c r="O352" s="85"/>
      <c r="P352" s="85"/>
      <c r="Q352" s="85"/>
      <c r="R352" s="85"/>
      <c r="S352" s="85"/>
      <c r="T352" s="85"/>
      <c r="U352" s="85"/>
      <c r="V352" s="85"/>
      <c r="W352" s="85"/>
      <c r="X352" s="85"/>
      <c r="Y352" s="85"/>
      <c r="Z352" s="85"/>
      <c r="AA352" s="85"/>
      <c r="AB352" s="85"/>
      <c r="AC352" s="81">
        <f t="shared" si="209"/>
        <v>0</v>
      </c>
      <c r="AD352" s="86"/>
      <c r="AE352" s="86"/>
      <c r="AF352" s="86"/>
      <c r="AG352" s="86"/>
      <c r="AH352" s="86"/>
      <c r="AI352" s="86"/>
      <c r="AJ352" s="86"/>
      <c r="AK352" s="86"/>
      <c r="AL352" s="86"/>
      <c r="AM352" s="86"/>
      <c r="AN352" s="86"/>
      <c r="AO352" s="86"/>
      <c r="AP352" s="86"/>
      <c r="AQ352" s="86"/>
      <c r="AR352" s="86"/>
      <c r="AS352" s="86"/>
      <c r="AT352" s="82"/>
      <c r="AU352" s="87"/>
      <c r="AV352" s="818">
        <f t="shared" si="233"/>
        <v>0</v>
      </c>
      <c r="AW352" s="818">
        <f t="shared" si="234"/>
        <v>0</v>
      </c>
      <c r="AX352" s="818">
        <f t="shared" si="235"/>
        <v>0</v>
      </c>
      <c r="AY352" s="88">
        <f t="shared" si="210"/>
        <v>0</v>
      </c>
      <c r="AZ352" s="81">
        <f t="shared" si="211"/>
        <v>0</v>
      </c>
      <c r="BA352" s="81">
        <f t="shared" si="212"/>
        <v>0</v>
      </c>
      <c r="BB352" s="81">
        <f t="shared" si="213"/>
        <v>0</v>
      </c>
      <c r="BC352" s="81">
        <f t="shared" si="214"/>
        <v>0</v>
      </c>
      <c r="BD352" s="81">
        <f t="shared" si="215"/>
        <v>0</v>
      </c>
      <c r="BE352" s="81">
        <f t="shared" si="216"/>
        <v>0</v>
      </c>
      <c r="BF352" s="81">
        <f t="shared" si="217"/>
        <v>0</v>
      </c>
      <c r="BG352" s="81">
        <f t="shared" si="218"/>
        <v>0</v>
      </c>
      <c r="BH352" s="81">
        <f t="shared" si="219"/>
        <v>0</v>
      </c>
      <c r="BI352" s="81">
        <f t="shared" si="220"/>
        <v>0</v>
      </c>
      <c r="BJ352" s="81">
        <f t="shared" si="221"/>
        <v>0</v>
      </c>
      <c r="BK352" s="81">
        <f t="shared" si="222"/>
        <v>0</v>
      </c>
      <c r="BL352" s="81">
        <f t="shared" si="223"/>
        <v>0</v>
      </c>
      <c r="BM352" s="81">
        <f t="shared" si="224"/>
        <v>0</v>
      </c>
      <c r="BN352" s="81">
        <f t="shared" si="225"/>
        <v>0</v>
      </c>
      <c r="BO352" s="81">
        <f t="shared" si="226"/>
        <v>0</v>
      </c>
      <c r="BP352" s="81">
        <f t="shared" si="227"/>
        <v>0</v>
      </c>
      <c r="BQ352" s="81">
        <f t="shared" si="228"/>
        <v>0</v>
      </c>
      <c r="BR352" s="81">
        <f t="shared" si="229"/>
        <v>0</v>
      </c>
      <c r="BS352" s="81">
        <f t="shared" si="230"/>
        <v>0</v>
      </c>
      <c r="BT352" s="89">
        <f t="shared" si="231"/>
        <v>0</v>
      </c>
    </row>
    <row r="353" spans="1:72">
      <c r="A353" s="79"/>
      <c r="B353" s="80"/>
      <c r="C353" s="80"/>
      <c r="D353" s="2301"/>
      <c r="E353" s="81">
        <f t="shared" si="232"/>
        <v>0</v>
      </c>
      <c r="F353" s="82"/>
      <c r="G353" s="83">
        <f t="shared" si="207"/>
        <v>0</v>
      </c>
      <c r="H353" s="84">
        <f t="shared" si="208"/>
        <v>0</v>
      </c>
      <c r="I353" s="85"/>
      <c r="J353" s="85"/>
      <c r="K353" s="85"/>
      <c r="L353" s="85"/>
      <c r="M353" s="85"/>
      <c r="N353" s="85"/>
      <c r="O353" s="85"/>
      <c r="P353" s="85"/>
      <c r="Q353" s="85"/>
      <c r="R353" s="85"/>
      <c r="S353" s="85"/>
      <c r="T353" s="85"/>
      <c r="U353" s="85"/>
      <c r="V353" s="85"/>
      <c r="W353" s="85"/>
      <c r="X353" s="85"/>
      <c r="Y353" s="85"/>
      <c r="Z353" s="85"/>
      <c r="AA353" s="85"/>
      <c r="AB353" s="85"/>
      <c r="AC353" s="81">
        <f t="shared" si="209"/>
        <v>0</v>
      </c>
      <c r="AD353" s="86"/>
      <c r="AE353" s="86"/>
      <c r="AF353" s="86"/>
      <c r="AG353" s="86"/>
      <c r="AH353" s="86"/>
      <c r="AI353" s="86"/>
      <c r="AJ353" s="86"/>
      <c r="AK353" s="86"/>
      <c r="AL353" s="86"/>
      <c r="AM353" s="86"/>
      <c r="AN353" s="86"/>
      <c r="AO353" s="86"/>
      <c r="AP353" s="86"/>
      <c r="AQ353" s="86"/>
      <c r="AR353" s="86"/>
      <c r="AS353" s="86"/>
      <c r="AT353" s="82"/>
      <c r="AU353" s="87"/>
      <c r="AV353" s="818">
        <f t="shared" si="233"/>
        <v>0</v>
      </c>
      <c r="AW353" s="818">
        <f t="shared" si="234"/>
        <v>0</v>
      </c>
      <c r="AX353" s="818">
        <f t="shared" si="235"/>
        <v>0</v>
      </c>
      <c r="AY353" s="88">
        <f t="shared" si="210"/>
        <v>0</v>
      </c>
      <c r="AZ353" s="81">
        <f t="shared" si="211"/>
        <v>0</v>
      </c>
      <c r="BA353" s="81">
        <f t="shared" si="212"/>
        <v>0</v>
      </c>
      <c r="BB353" s="81">
        <f t="shared" si="213"/>
        <v>0</v>
      </c>
      <c r="BC353" s="81">
        <f t="shared" si="214"/>
        <v>0</v>
      </c>
      <c r="BD353" s="81">
        <f t="shared" si="215"/>
        <v>0</v>
      </c>
      <c r="BE353" s="81">
        <f t="shared" si="216"/>
        <v>0</v>
      </c>
      <c r="BF353" s="81">
        <f t="shared" si="217"/>
        <v>0</v>
      </c>
      <c r="BG353" s="81">
        <f t="shared" si="218"/>
        <v>0</v>
      </c>
      <c r="BH353" s="81">
        <f t="shared" si="219"/>
        <v>0</v>
      </c>
      <c r="BI353" s="81">
        <f t="shared" si="220"/>
        <v>0</v>
      </c>
      <c r="BJ353" s="81">
        <f t="shared" si="221"/>
        <v>0</v>
      </c>
      <c r="BK353" s="81">
        <f t="shared" si="222"/>
        <v>0</v>
      </c>
      <c r="BL353" s="81">
        <f t="shared" si="223"/>
        <v>0</v>
      </c>
      <c r="BM353" s="81">
        <f t="shared" si="224"/>
        <v>0</v>
      </c>
      <c r="BN353" s="81">
        <f t="shared" si="225"/>
        <v>0</v>
      </c>
      <c r="BO353" s="81">
        <f t="shared" si="226"/>
        <v>0</v>
      </c>
      <c r="BP353" s="81">
        <f t="shared" si="227"/>
        <v>0</v>
      </c>
      <c r="BQ353" s="81">
        <f t="shared" si="228"/>
        <v>0</v>
      </c>
      <c r="BR353" s="81">
        <f t="shared" si="229"/>
        <v>0</v>
      </c>
      <c r="BS353" s="81">
        <f t="shared" si="230"/>
        <v>0</v>
      </c>
      <c r="BT353" s="89">
        <f t="shared" si="231"/>
        <v>0</v>
      </c>
    </row>
    <row r="354" spans="1:72">
      <c r="A354" s="79"/>
      <c r="B354" s="80"/>
      <c r="C354" s="80"/>
      <c r="D354" s="2301"/>
      <c r="E354" s="81">
        <f t="shared" si="232"/>
        <v>0</v>
      </c>
      <c r="F354" s="82"/>
      <c r="G354" s="83">
        <f t="shared" si="207"/>
        <v>0</v>
      </c>
      <c r="H354" s="84">
        <f t="shared" si="208"/>
        <v>0</v>
      </c>
      <c r="I354" s="85"/>
      <c r="J354" s="85"/>
      <c r="K354" s="85"/>
      <c r="L354" s="85"/>
      <c r="M354" s="85"/>
      <c r="N354" s="85"/>
      <c r="O354" s="85"/>
      <c r="P354" s="85"/>
      <c r="Q354" s="85"/>
      <c r="R354" s="85"/>
      <c r="S354" s="85"/>
      <c r="T354" s="85"/>
      <c r="U354" s="85"/>
      <c r="V354" s="85"/>
      <c r="W354" s="85"/>
      <c r="X354" s="85"/>
      <c r="Y354" s="85"/>
      <c r="Z354" s="85"/>
      <c r="AA354" s="85"/>
      <c r="AB354" s="85"/>
      <c r="AC354" s="81">
        <f t="shared" si="209"/>
        <v>0</v>
      </c>
      <c r="AD354" s="86"/>
      <c r="AE354" s="86"/>
      <c r="AF354" s="86"/>
      <c r="AG354" s="86"/>
      <c r="AH354" s="86"/>
      <c r="AI354" s="86"/>
      <c r="AJ354" s="86"/>
      <c r="AK354" s="86"/>
      <c r="AL354" s="86"/>
      <c r="AM354" s="86"/>
      <c r="AN354" s="86"/>
      <c r="AO354" s="86"/>
      <c r="AP354" s="86"/>
      <c r="AQ354" s="86"/>
      <c r="AR354" s="86"/>
      <c r="AS354" s="86"/>
      <c r="AT354" s="82"/>
      <c r="AU354" s="87"/>
      <c r="AV354" s="818">
        <f t="shared" si="233"/>
        <v>0</v>
      </c>
      <c r="AW354" s="818">
        <f t="shared" si="234"/>
        <v>0</v>
      </c>
      <c r="AX354" s="818">
        <f t="shared" si="235"/>
        <v>0</v>
      </c>
      <c r="AY354" s="88">
        <f t="shared" si="210"/>
        <v>0</v>
      </c>
      <c r="AZ354" s="81">
        <f t="shared" si="211"/>
        <v>0</v>
      </c>
      <c r="BA354" s="81">
        <f t="shared" si="212"/>
        <v>0</v>
      </c>
      <c r="BB354" s="81">
        <f t="shared" si="213"/>
        <v>0</v>
      </c>
      <c r="BC354" s="81">
        <f t="shared" si="214"/>
        <v>0</v>
      </c>
      <c r="BD354" s="81">
        <f t="shared" si="215"/>
        <v>0</v>
      </c>
      <c r="BE354" s="81">
        <f t="shared" si="216"/>
        <v>0</v>
      </c>
      <c r="BF354" s="81">
        <f t="shared" si="217"/>
        <v>0</v>
      </c>
      <c r="BG354" s="81">
        <f t="shared" si="218"/>
        <v>0</v>
      </c>
      <c r="BH354" s="81">
        <f t="shared" si="219"/>
        <v>0</v>
      </c>
      <c r="BI354" s="81">
        <f t="shared" si="220"/>
        <v>0</v>
      </c>
      <c r="BJ354" s="81">
        <f t="shared" si="221"/>
        <v>0</v>
      </c>
      <c r="BK354" s="81">
        <f t="shared" si="222"/>
        <v>0</v>
      </c>
      <c r="BL354" s="81">
        <f t="shared" si="223"/>
        <v>0</v>
      </c>
      <c r="BM354" s="81">
        <f t="shared" si="224"/>
        <v>0</v>
      </c>
      <c r="BN354" s="81">
        <f t="shared" si="225"/>
        <v>0</v>
      </c>
      <c r="BO354" s="81">
        <f t="shared" si="226"/>
        <v>0</v>
      </c>
      <c r="BP354" s="81">
        <f t="shared" si="227"/>
        <v>0</v>
      </c>
      <c r="BQ354" s="81">
        <f t="shared" si="228"/>
        <v>0</v>
      </c>
      <c r="BR354" s="81">
        <f t="shared" si="229"/>
        <v>0</v>
      </c>
      <c r="BS354" s="81">
        <f t="shared" si="230"/>
        <v>0</v>
      </c>
      <c r="BT354" s="89">
        <f t="shared" si="231"/>
        <v>0</v>
      </c>
    </row>
    <row r="355" spans="1:72">
      <c r="A355" s="79"/>
      <c r="B355" s="80"/>
      <c r="C355" s="80"/>
      <c r="D355" s="2301"/>
      <c r="E355" s="81">
        <f t="shared" si="232"/>
        <v>0</v>
      </c>
      <c r="F355" s="82"/>
      <c r="G355" s="83">
        <f t="shared" si="207"/>
        <v>0</v>
      </c>
      <c r="H355" s="84">
        <f t="shared" si="208"/>
        <v>0</v>
      </c>
      <c r="I355" s="85"/>
      <c r="J355" s="85"/>
      <c r="K355" s="85"/>
      <c r="L355" s="85"/>
      <c r="M355" s="85"/>
      <c r="N355" s="85"/>
      <c r="O355" s="85"/>
      <c r="P355" s="85"/>
      <c r="Q355" s="85"/>
      <c r="R355" s="85"/>
      <c r="S355" s="85"/>
      <c r="T355" s="85"/>
      <c r="U355" s="85"/>
      <c r="V355" s="85"/>
      <c r="W355" s="85"/>
      <c r="X355" s="85"/>
      <c r="Y355" s="85"/>
      <c r="Z355" s="85"/>
      <c r="AA355" s="85"/>
      <c r="AB355" s="85"/>
      <c r="AC355" s="81">
        <f t="shared" si="209"/>
        <v>0</v>
      </c>
      <c r="AD355" s="86"/>
      <c r="AE355" s="86"/>
      <c r="AF355" s="86"/>
      <c r="AG355" s="86"/>
      <c r="AH355" s="86"/>
      <c r="AI355" s="86"/>
      <c r="AJ355" s="86"/>
      <c r="AK355" s="86"/>
      <c r="AL355" s="86"/>
      <c r="AM355" s="86"/>
      <c r="AN355" s="86"/>
      <c r="AO355" s="86"/>
      <c r="AP355" s="86"/>
      <c r="AQ355" s="86"/>
      <c r="AR355" s="86"/>
      <c r="AS355" s="86"/>
      <c r="AT355" s="82"/>
      <c r="AU355" s="87"/>
      <c r="AV355" s="818">
        <f t="shared" si="233"/>
        <v>0</v>
      </c>
      <c r="AW355" s="818">
        <f t="shared" si="234"/>
        <v>0</v>
      </c>
      <c r="AX355" s="818">
        <f t="shared" si="235"/>
        <v>0</v>
      </c>
      <c r="AY355" s="88">
        <f t="shared" si="210"/>
        <v>0</v>
      </c>
      <c r="AZ355" s="81">
        <f t="shared" si="211"/>
        <v>0</v>
      </c>
      <c r="BA355" s="81">
        <f t="shared" si="212"/>
        <v>0</v>
      </c>
      <c r="BB355" s="81">
        <f t="shared" si="213"/>
        <v>0</v>
      </c>
      <c r="BC355" s="81">
        <f t="shared" si="214"/>
        <v>0</v>
      </c>
      <c r="BD355" s="81">
        <f t="shared" si="215"/>
        <v>0</v>
      </c>
      <c r="BE355" s="81">
        <f t="shared" si="216"/>
        <v>0</v>
      </c>
      <c r="BF355" s="81">
        <f t="shared" si="217"/>
        <v>0</v>
      </c>
      <c r="BG355" s="81">
        <f t="shared" si="218"/>
        <v>0</v>
      </c>
      <c r="BH355" s="81">
        <f t="shared" si="219"/>
        <v>0</v>
      </c>
      <c r="BI355" s="81">
        <f t="shared" si="220"/>
        <v>0</v>
      </c>
      <c r="BJ355" s="81">
        <f t="shared" si="221"/>
        <v>0</v>
      </c>
      <c r="BK355" s="81">
        <f t="shared" si="222"/>
        <v>0</v>
      </c>
      <c r="BL355" s="81">
        <f t="shared" si="223"/>
        <v>0</v>
      </c>
      <c r="BM355" s="81">
        <f t="shared" si="224"/>
        <v>0</v>
      </c>
      <c r="BN355" s="81">
        <f t="shared" si="225"/>
        <v>0</v>
      </c>
      <c r="BO355" s="81">
        <f t="shared" si="226"/>
        <v>0</v>
      </c>
      <c r="BP355" s="81">
        <f t="shared" si="227"/>
        <v>0</v>
      </c>
      <c r="BQ355" s="81">
        <f t="shared" si="228"/>
        <v>0</v>
      </c>
      <c r="BR355" s="81">
        <f t="shared" si="229"/>
        <v>0</v>
      </c>
      <c r="BS355" s="81">
        <f t="shared" si="230"/>
        <v>0</v>
      </c>
      <c r="BT355" s="89">
        <f t="shared" si="231"/>
        <v>0</v>
      </c>
    </row>
    <row r="356" spans="1:72">
      <c r="A356" s="79"/>
      <c r="B356" s="80"/>
      <c r="C356" s="80"/>
      <c r="D356" s="2301"/>
      <c r="E356" s="81">
        <f t="shared" si="232"/>
        <v>0</v>
      </c>
      <c r="F356" s="82"/>
      <c r="G356" s="83">
        <f t="shared" si="207"/>
        <v>0</v>
      </c>
      <c r="H356" s="84">
        <f t="shared" si="208"/>
        <v>0</v>
      </c>
      <c r="I356" s="85"/>
      <c r="J356" s="85"/>
      <c r="K356" s="85"/>
      <c r="L356" s="85"/>
      <c r="M356" s="85"/>
      <c r="N356" s="85"/>
      <c r="O356" s="85"/>
      <c r="P356" s="85"/>
      <c r="Q356" s="85"/>
      <c r="R356" s="85"/>
      <c r="S356" s="85"/>
      <c r="T356" s="85"/>
      <c r="U356" s="85"/>
      <c r="V356" s="85"/>
      <c r="W356" s="85"/>
      <c r="X356" s="85"/>
      <c r="Y356" s="85"/>
      <c r="Z356" s="85"/>
      <c r="AA356" s="85"/>
      <c r="AB356" s="85"/>
      <c r="AC356" s="81">
        <f t="shared" si="209"/>
        <v>0</v>
      </c>
      <c r="AD356" s="86"/>
      <c r="AE356" s="86"/>
      <c r="AF356" s="86"/>
      <c r="AG356" s="86"/>
      <c r="AH356" s="86"/>
      <c r="AI356" s="86"/>
      <c r="AJ356" s="86"/>
      <c r="AK356" s="86"/>
      <c r="AL356" s="86"/>
      <c r="AM356" s="86"/>
      <c r="AN356" s="86"/>
      <c r="AO356" s="86"/>
      <c r="AP356" s="86"/>
      <c r="AQ356" s="86"/>
      <c r="AR356" s="86"/>
      <c r="AS356" s="86"/>
      <c r="AT356" s="82"/>
      <c r="AU356" s="87"/>
      <c r="AV356" s="818">
        <f t="shared" si="233"/>
        <v>0</v>
      </c>
      <c r="AW356" s="818">
        <f t="shared" si="234"/>
        <v>0</v>
      </c>
      <c r="AX356" s="818">
        <f t="shared" si="235"/>
        <v>0</v>
      </c>
      <c r="AY356" s="88">
        <f t="shared" si="210"/>
        <v>0</v>
      </c>
      <c r="AZ356" s="81">
        <f t="shared" si="211"/>
        <v>0</v>
      </c>
      <c r="BA356" s="81">
        <f t="shared" si="212"/>
        <v>0</v>
      </c>
      <c r="BB356" s="81">
        <f t="shared" si="213"/>
        <v>0</v>
      </c>
      <c r="BC356" s="81">
        <f t="shared" si="214"/>
        <v>0</v>
      </c>
      <c r="BD356" s="81">
        <f t="shared" si="215"/>
        <v>0</v>
      </c>
      <c r="BE356" s="81">
        <f t="shared" si="216"/>
        <v>0</v>
      </c>
      <c r="BF356" s="81">
        <f t="shared" si="217"/>
        <v>0</v>
      </c>
      <c r="BG356" s="81">
        <f t="shared" si="218"/>
        <v>0</v>
      </c>
      <c r="BH356" s="81">
        <f t="shared" si="219"/>
        <v>0</v>
      </c>
      <c r="BI356" s="81">
        <f t="shared" si="220"/>
        <v>0</v>
      </c>
      <c r="BJ356" s="81">
        <f t="shared" si="221"/>
        <v>0</v>
      </c>
      <c r="BK356" s="81">
        <f t="shared" si="222"/>
        <v>0</v>
      </c>
      <c r="BL356" s="81">
        <f t="shared" si="223"/>
        <v>0</v>
      </c>
      <c r="BM356" s="81">
        <f t="shared" si="224"/>
        <v>0</v>
      </c>
      <c r="BN356" s="81">
        <f t="shared" si="225"/>
        <v>0</v>
      </c>
      <c r="BO356" s="81">
        <f t="shared" si="226"/>
        <v>0</v>
      </c>
      <c r="BP356" s="81">
        <f t="shared" si="227"/>
        <v>0</v>
      </c>
      <c r="BQ356" s="81">
        <f t="shared" si="228"/>
        <v>0</v>
      </c>
      <c r="BR356" s="81">
        <f t="shared" si="229"/>
        <v>0</v>
      </c>
      <c r="BS356" s="81">
        <f t="shared" si="230"/>
        <v>0</v>
      </c>
      <c r="BT356" s="89">
        <f t="shared" si="231"/>
        <v>0</v>
      </c>
    </row>
    <row r="357" spans="1:72">
      <c r="A357" s="79"/>
      <c r="B357" s="80"/>
      <c r="C357" s="80"/>
      <c r="D357" s="2301"/>
      <c r="E357" s="81">
        <f t="shared" si="232"/>
        <v>0</v>
      </c>
      <c r="F357" s="82"/>
      <c r="G357" s="83">
        <f t="shared" si="207"/>
        <v>0</v>
      </c>
      <c r="H357" s="84">
        <f t="shared" si="208"/>
        <v>0</v>
      </c>
      <c r="I357" s="85"/>
      <c r="J357" s="85"/>
      <c r="K357" s="85"/>
      <c r="L357" s="85"/>
      <c r="M357" s="85"/>
      <c r="N357" s="85"/>
      <c r="O357" s="85"/>
      <c r="P357" s="85"/>
      <c r="Q357" s="85"/>
      <c r="R357" s="85"/>
      <c r="S357" s="85"/>
      <c r="T357" s="85"/>
      <c r="U357" s="85"/>
      <c r="V357" s="85"/>
      <c r="W357" s="85"/>
      <c r="X357" s="85"/>
      <c r="Y357" s="85"/>
      <c r="Z357" s="85"/>
      <c r="AA357" s="85"/>
      <c r="AB357" s="85"/>
      <c r="AC357" s="81">
        <f t="shared" si="209"/>
        <v>0</v>
      </c>
      <c r="AD357" s="86"/>
      <c r="AE357" s="86"/>
      <c r="AF357" s="86"/>
      <c r="AG357" s="86"/>
      <c r="AH357" s="86"/>
      <c r="AI357" s="86"/>
      <c r="AJ357" s="86"/>
      <c r="AK357" s="86"/>
      <c r="AL357" s="86"/>
      <c r="AM357" s="86"/>
      <c r="AN357" s="86"/>
      <c r="AO357" s="86"/>
      <c r="AP357" s="86"/>
      <c r="AQ357" s="86"/>
      <c r="AR357" s="86"/>
      <c r="AS357" s="86"/>
      <c r="AT357" s="82"/>
      <c r="AU357" s="87"/>
      <c r="AV357" s="818">
        <f t="shared" si="233"/>
        <v>0</v>
      </c>
      <c r="AW357" s="818">
        <f t="shared" si="234"/>
        <v>0</v>
      </c>
      <c r="AX357" s="818">
        <f t="shared" si="235"/>
        <v>0</v>
      </c>
      <c r="AY357" s="88">
        <f t="shared" si="210"/>
        <v>0</v>
      </c>
      <c r="AZ357" s="81">
        <f t="shared" si="211"/>
        <v>0</v>
      </c>
      <c r="BA357" s="81">
        <f t="shared" si="212"/>
        <v>0</v>
      </c>
      <c r="BB357" s="81">
        <f t="shared" si="213"/>
        <v>0</v>
      </c>
      <c r="BC357" s="81">
        <f t="shared" si="214"/>
        <v>0</v>
      </c>
      <c r="BD357" s="81">
        <f t="shared" si="215"/>
        <v>0</v>
      </c>
      <c r="BE357" s="81">
        <f t="shared" si="216"/>
        <v>0</v>
      </c>
      <c r="BF357" s="81">
        <f t="shared" si="217"/>
        <v>0</v>
      </c>
      <c r="BG357" s="81">
        <f t="shared" si="218"/>
        <v>0</v>
      </c>
      <c r="BH357" s="81">
        <f t="shared" si="219"/>
        <v>0</v>
      </c>
      <c r="BI357" s="81">
        <f t="shared" si="220"/>
        <v>0</v>
      </c>
      <c r="BJ357" s="81">
        <f t="shared" si="221"/>
        <v>0</v>
      </c>
      <c r="BK357" s="81">
        <f t="shared" si="222"/>
        <v>0</v>
      </c>
      <c r="BL357" s="81">
        <f t="shared" si="223"/>
        <v>0</v>
      </c>
      <c r="BM357" s="81">
        <f t="shared" si="224"/>
        <v>0</v>
      </c>
      <c r="BN357" s="81">
        <f t="shared" si="225"/>
        <v>0</v>
      </c>
      <c r="BO357" s="81">
        <f t="shared" si="226"/>
        <v>0</v>
      </c>
      <c r="BP357" s="81">
        <f t="shared" si="227"/>
        <v>0</v>
      </c>
      <c r="BQ357" s="81">
        <f t="shared" si="228"/>
        <v>0</v>
      </c>
      <c r="BR357" s="81">
        <f t="shared" si="229"/>
        <v>0</v>
      </c>
      <c r="BS357" s="81">
        <f t="shared" si="230"/>
        <v>0</v>
      </c>
      <c r="BT357" s="89">
        <f t="shared" si="231"/>
        <v>0</v>
      </c>
    </row>
    <row r="358" spans="1:72">
      <c r="A358" s="79"/>
      <c r="B358" s="80"/>
      <c r="C358" s="80"/>
      <c r="D358" s="2301"/>
      <c r="E358" s="81">
        <f t="shared" si="232"/>
        <v>0</v>
      </c>
      <c r="F358" s="82"/>
      <c r="G358" s="83">
        <f t="shared" ref="G358:G388" si="236">H358+AC358+AT358</f>
        <v>0</v>
      </c>
      <c r="H358" s="84">
        <f t="shared" ref="H358:H388" si="237">SUMIF(I$12:AB$12,"总值",I358:AB358)</f>
        <v>0</v>
      </c>
      <c r="I358" s="85"/>
      <c r="J358" s="85"/>
      <c r="K358" s="85"/>
      <c r="L358" s="85"/>
      <c r="M358" s="85"/>
      <c r="N358" s="85"/>
      <c r="O358" s="85"/>
      <c r="P358" s="85"/>
      <c r="Q358" s="85"/>
      <c r="R358" s="85"/>
      <c r="S358" s="85"/>
      <c r="T358" s="85"/>
      <c r="U358" s="85"/>
      <c r="V358" s="85"/>
      <c r="W358" s="85"/>
      <c r="X358" s="85"/>
      <c r="Y358" s="85"/>
      <c r="Z358" s="85"/>
      <c r="AA358" s="85"/>
      <c r="AB358" s="85"/>
      <c r="AC358" s="81">
        <f t="shared" ref="AC358:AC388" si="238">SUMIF(AD$12:AS$12,"总值",AD358:AS358)</f>
        <v>0</v>
      </c>
      <c r="AD358" s="86"/>
      <c r="AE358" s="86"/>
      <c r="AF358" s="86"/>
      <c r="AG358" s="86"/>
      <c r="AH358" s="86"/>
      <c r="AI358" s="86"/>
      <c r="AJ358" s="86"/>
      <c r="AK358" s="86"/>
      <c r="AL358" s="86"/>
      <c r="AM358" s="86"/>
      <c r="AN358" s="86"/>
      <c r="AO358" s="86"/>
      <c r="AP358" s="86"/>
      <c r="AQ358" s="86"/>
      <c r="AR358" s="86"/>
      <c r="AS358" s="86"/>
      <c r="AT358" s="82"/>
      <c r="AU358" s="87"/>
      <c r="AV358" s="818">
        <f t="shared" si="233"/>
        <v>0</v>
      </c>
      <c r="AW358" s="818">
        <f t="shared" si="234"/>
        <v>0</v>
      </c>
      <c r="AX358" s="818">
        <f t="shared" si="235"/>
        <v>0</v>
      </c>
      <c r="AY358" s="88">
        <f t="shared" ref="AY358:AY388" si="239">ROUND($AY$6*AZ358/$AZ$5,2)</f>
        <v>0</v>
      </c>
      <c r="AZ358" s="81">
        <f t="shared" ref="AZ358:AZ388" si="240">BA358+BL358</f>
        <v>0</v>
      </c>
      <c r="BA358" s="81">
        <f t="shared" ref="BA358:BA388" si="241">SUM(BB358:BK358)</f>
        <v>0</v>
      </c>
      <c r="BB358" s="81">
        <f t="shared" ref="BB358:BB388" si="242">IF($D358="是",I358-J358,0)</f>
        <v>0</v>
      </c>
      <c r="BC358" s="81">
        <f t="shared" ref="BC358:BC388" si="243">IF($D358="是",K358-L358,0)</f>
        <v>0</v>
      </c>
      <c r="BD358" s="81">
        <f t="shared" ref="BD358:BD388" si="244">IF($D358="是",M358-N358,0)</f>
        <v>0</v>
      </c>
      <c r="BE358" s="81">
        <f t="shared" ref="BE358:BE388" si="245">IF($D358="是",O358-P358,0)</f>
        <v>0</v>
      </c>
      <c r="BF358" s="81">
        <f t="shared" ref="BF358:BF388" si="246">IF($D358="是",Q358-R358,0)</f>
        <v>0</v>
      </c>
      <c r="BG358" s="81">
        <f t="shared" ref="BG358:BG388" si="247">IF($D358="是",S358-T358,0)</f>
        <v>0</v>
      </c>
      <c r="BH358" s="81">
        <f t="shared" ref="BH358:BH388" si="248">IF($D358="是",U358-V358,0)</f>
        <v>0</v>
      </c>
      <c r="BI358" s="81">
        <f t="shared" ref="BI358:BI388" si="249">IF($D358="是",W358-X358,0)</f>
        <v>0</v>
      </c>
      <c r="BJ358" s="81">
        <f t="shared" ref="BJ358:BJ388" si="250">IF($D358="是",Y358-Z358,0)</f>
        <v>0</v>
      </c>
      <c r="BK358" s="81">
        <f t="shared" ref="BK358:BK388" si="251">IF($D358="是",AA358-AB358,0)</f>
        <v>0</v>
      </c>
      <c r="BL358" s="81">
        <f t="shared" ref="BL358:BL388" si="252">SUM(BM358:BT358)</f>
        <v>0</v>
      </c>
      <c r="BM358" s="81">
        <f t="shared" ref="BM358:BM388" si="253">IF($D358="是",AD358-AE358,0)</f>
        <v>0</v>
      </c>
      <c r="BN358" s="81">
        <f t="shared" ref="BN358:BN388" si="254">IF($D358="是",AF358-AG358,0)</f>
        <v>0</v>
      </c>
      <c r="BO358" s="81">
        <f t="shared" ref="BO358:BO388" si="255">IF($D358="是",AH358-AI358,0)</f>
        <v>0</v>
      </c>
      <c r="BP358" s="81">
        <f t="shared" ref="BP358:BP388" si="256">IF($D358="是",AJ358-AK358,0)</f>
        <v>0</v>
      </c>
      <c r="BQ358" s="81">
        <f t="shared" ref="BQ358:BQ388" si="257">IF($D358="是",AL358-AM358,0)</f>
        <v>0</v>
      </c>
      <c r="BR358" s="81">
        <f t="shared" ref="BR358:BR388" si="258">IF($D358="是",AN358-AO358,0)</f>
        <v>0</v>
      </c>
      <c r="BS358" s="81">
        <f t="shared" ref="BS358:BS388" si="259">IF($D358="是",AP358-AQ358,0)</f>
        <v>0</v>
      </c>
      <c r="BT358" s="89">
        <f t="shared" ref="BT358:BT388" si="260">IF($D358="是",AR358-AS358,0)</f>
        <v>0</v>
      </c>
    </row>
    <row r="359" spans="1:72">
      <c r="A359" s="79"/>
      <c r="B359" s="80"/>
      <c r="C359" s="80"/>
      <c r="D359" s="2301"/>
      <c r="E359" s="81">
        <f t="shared" si="232"/>
        <v>0</v>
      </c>
      <c r="F359" s="82"/>
      <c r="G359" s="83">
        <f t="shared" si="236"/>
        <v>0</v>
      </c>
      <c r="H359" s="84">
        <f t="shared" si="237"/>
        <v>0</v>
      </c>
      <c r="I359" s="85"/>
      <c r="J359" s="85"/>
      <c r="K359" s="85"/>
      <c r="L359" s="85"/>
      <c r="M359" s="85"/>
      <c r="N359" s="85"/>
      <c r="O359" s="85"/>
      <c r="P359" s="85"/>
      <c r="Q359" s="85"/>
      <c r="R359" s="85"/>
      <c r="S359" s="85"/>
      <c r="T359" s="85"/>
      <c r="U359" s="85"/>
      <c r="V359" s="85"/>
      <c r="W359" s="85"/>
      <c r="X359" s="85"/>
      <c r="Y359" s="85"/>
      <c r="Z359" s="85"/>
      <c r="AA359" s="85"/>
      <c r="AB359" s="85"/>
      <c r="AC359" s="81">
        <f t="shared" si="238"/>
        <v>0</v>
      </c>
      <c r="AD359" s="86"/>
      <c r="AE359" s="86"/>
      <c r="AF359" s="86"/>
      <c r="AG359" s="86"/>
      <c r="AH359" s="86"/>
      <c r="AI359" s="86"/>
      <c r="AJ359" s="86"/>
      <c r="AK359" s="86"/>
      <c r="AL359" s="86"/>
      <c r="AM359" s="86"/>
      <c r="AN359" s="86"/>
      <c r="AO359" s="86"/>
      <c r="AP359" s="86"/>
      <c r="AQ359" s="86"/>
      <c r="AR359" s="86"/>
      <c r="AS359" s="86"/>
      <c r="AT359" s="82"/>
      <c r="AU359" s="87"/>
      <c r="AV359" s="818">
        <f t="shared" si="233"/>
        <v>0</v>
      </c>
      <c r="AW359" s="818">
        <f t="shared" si="234"/>
        <v>0</v>
      </c>
      <c r="AX359" s="818">
        <f t="shared" si="235"/>
        <v>0</v>
      </c>
      <c r="AY359" s="88">
        <f t="shared" si="239"/>
        <v>0</v>
      </c>
      <c r="AZ359" s="81">
        <f t="shared" si="240"/>
        <v>0</v>
      </c>
      <c r="BA359" s="81">
        <f t="shared" si="241"/>
        <v>0</v>
      </c>
      <c r="BB359" s="81">
        <f t="shared" si="242"/>
        <v>0</v>
      </c>
      <c r="BC359" s="81">
        <f t="shared" si="243"/>
        <v>0</v>
      </c>
      <c r="BD359" s="81">
        <f t="shared" si="244"/>
        <v>0</v>
      </c>
      <c r="BE359" s="81">
        <f t="shared" si="245"/>
        <v>0</v>
      </c>
      <c r="BF359" s="81">
        <f t="shared" si="246"/>
        <v>0</v>
      </c>
      <c r="BG359" s="81">
        <f t="shared" si="247"/>
        <v>0</v>
      </c>
      <c r="BH359" s="81">
        <f t="shared" si="248"/>
        <v>0</v>
      </c>
      <c r="BI359" s="81">
        <f t="shared" si="249"/>
        <v>0</v>
      </c>
      <c r="BJ359" s="81">
        <f t="shared" si="250"/>
        <v>0</v>
      </c>
      <c r="BK359" s="81">
        <f t="shared" si="251"/>
        <v>0</v>
      </c>
      <c r="BL359" s="81">
        <f t="shared" si="252"/>
        <v>0</v>
      </c>
      <c r="BM359" s="81">
        <f t="shared" si="253"/>
        <v>0</v>
      </c>
      <c r="BN359" s="81">
        <f t="shared" si="254"/>
        <v>0</v>
      </c>
      <c r="BO359" s="81">
        <f t="shared" si="255"/>
        <v>0</v>
      </c>
      <c r="BP359" s="81">
        <f t="shared" si="256"/>
        <v>0</v>
      </c>
      <c r="BQ359" s="81">
        <f t="shared" si="257"/>
        <v>0</v>
      </c>
      <c r="BR359" s="81">
        <f t="shared" si="258"/>
        <v>0</v>
      </c>
      <c r="BS359" s="81">
        <f t="shared" si="259"/>
        <v>0</v>
      </c>
      <c r="BT359" s="89">
        <f t="shared" si="260"/>
        <v>0</v>
      </c>
    </row>
    <row r="360" spans="1:72">
      <c r="A360" s="79"/>
      <c r="B360" s="80"/>
      <c r="C360" s="80"/>
      <c r="D360" s="2301"/>
      <c r="E360" s="81">
        <f t="shared" si="232"/>
        <v>0</v>
      </c>
      <c r="F360" s="82"/>
      <c r="G360" s="83">
        <f t="shared" si="236"/>
        <v>0</v>
      </c>
      <c r="H360" s="84">
        <f t="shared" si="237"/>
        <v>0</v>
      </c>
      <c r="I360" s="85"/>
      <c r="J360" s="85"/>
      <c r="K360" s="85"/>
      <c r="L360" s="85"/>
      <c r="M360" s="85"/>
      <c r="N360" s="85"/>
      <c r="O360" s="85"/>
      <c r="P360" s="85"/>
      <c r="Q360" s="85"/>
      <c r="R360" s="85"/>
      <c r="S360" s="85"/>
      <c r="T360" s="85"/>
      <c r="U360" s="85"/>
      <c r="V360" s="85"/>
      <c r="W360" s="85"/>
      <c r="X360" s="85"/>
      <c r="Y360" s="85"/>
      <c r="Z360" s="85"/>
      <c r="AA360" s="85"/>
      <c r="AB360" s="85"/>
      <c r="AC360" s="81">
        <f t="shared" si="238"/>
        <v>0</v>
      </c>
      <c r="AD360" s="86"/>
      <c r="AE360" s="86"/>
      <c r="AF360" s="86"/>
      <c r="AG360" s="86"/>
      <c r="AH360" s="86"/>
      <c r="AI360" s="86"/>
      <c r="AJ360" s="86"/>
      <c r="AK360" s="86"/>
      <c r="AL360" s="86"/>
      <c r="AM360" s="86"/>
      <c r="AN360" s="86"/>
      <c r="AO360" s="86"/>
      <c r="AP360" s="86"/>
      <c r="AQ360" s="86"/>
      <c r="AR360" s="86"/>
      <c r="AS360" s="86"/>
      <c r="AT360" s="82"/>
      <c r="AU360" s="87"/>
      <c r="AV360" s="818">
        <f t="shared" si="233"/>
        <v>0</v>
      </c>
      <c r="AW360" s="818">
        <f t="shared" si="234"/>
        <v>0</v>
      </c>
      <c r="AX360" s="818">
        <f t="shared" si="235"/>
        <v>0</v>
      </c>
      <c r="AY360" s="88">
        <f t="shared" si="239"/>
        <v>0</v>
      </c>
      <c r="AZ360" s="81">
        <f t="shared" si="240"/>
        <v>0</v>
      </c>
      <c r="BA360" s="81">
        <f t="shared" si="241"/>
        <v>0</v>
      </c>
      <c r="BB360" s="81">
        <f t="shared" si="242"/>
        <v>0</v>
      </c>
      <c r="BC360" s="81">
        <f t="shared" si="243"/>
        <v>0</v>
      </c>
      <c r="BD360" s="81">
        <f t="shared" si="244"/>
        <v>0</v>
      </c>
      <c r="BE360" s="81">
        <f t="shared" si="245"/>
        <v>0</v>
      </c>
      <c r="BF360" s="81">
        <f t="shared" si="246"/>
        <v>0</v>
      </c>
      <c r="BG360" s="81">
        <f t="shared" si="247"/>
        <v>0</v>
      </c>
      <c r="BH360" s="81">
        <f t="shared" si="248"/>
        <v>0</v>
      </c>
      <c r="BI360" s="81">
        <f t="shared" si="249"/>
        <v>0</v>
      </c>
      <c r="BJ360" s="81">
        <f t="shared" si="250"/>
        <v>0</v>
      </c>
      <c r="BK360" s="81">
        <f t="shared" si="251"/>
        <v>0</v>
      </c>
      <c r="BL360" s="81">
        <f t="shared" si="252"/>
        <v>0</v>
      </c>
      <c r="BM360" s="81">
        <f t="shared" si="253"/>
        <v>0</v>
      </c>
      <c r="BN360" s="81">
        <f t="shared" si="254"/>
        <v>0</v>
      </c>
      <c r="BO360" s="81">
        <f t="shared" si="255"/>
        <v>0</v>
      </c>
      <c r="BP360" s="81">
        <f t="shared" si="256"/>
        <v>0</v>
      </c>
      <c r="BQ360" s="81">
        <f t="shared" si="257"/>
        <v>0</v>
      </c>
      <c r="BR360" s="81">
        <f t="shared" si="258"/>
        <v>0</v>
      </c>
      <c r="BS360" s="81">
        <f t="shared" si="259"/>
        <v>0</v>
      </c>
      <c r="BT360" s="89">
        <f t="shared" si="260"/>
        <v>0</v>
      </c>
    </row>
    <row r="361" spans="1:72">
      <c r="A361" s="79"/>
      <c r="B361" s="80"/>
      <c r="C361" s="80"/>
      <c r="D361" s="2301"/>
      <c r="E361" s="81">
        <f t="shared" ref="E361:E388" si="261">IF($C$3="是",ROUND($A$3*G361/$B$3,2),ROUND($A$3*(G361-AT361)/$B$3,2))</f>
        <v>0</v>
      </c>
      <c r="F361" s="82"/>
      <c r="G361" s="83">
        <f t="shared" si="236"/>
        <v>0</v>
      </c>
      <c r="H361" s="84">
        <f t="shared" si="237"/>
        <v>0</v>
      </c>
      <c r="I361" s="85"/>
      <c r="J361" s="85"/>
      <c r="K361" s="85"/>
      <c r="L361" s="85"/>
      <c r="M361" s="85"/>
      <c r="N361" s="85"/>
      <c r="O361" s="85"/>
      <c r="P361" s="85"/>
      <c r="Q361" s="85"/>
      <c r="R361" s="85"/>
      <c r="S361" s="85"/>
      <c r="T361" s="85"/>
      <c r="U361" s="85"/>
      <c r="V361" s="85"/>
      <c r="W361" s="85"/>
      <c r="X361" s="85"/>
      <c r="Y361" s="85"/>
      <c r="Z361" s="85"/>
      <c r="AA361" s="85"/>
      <c r="AB361" s="85"/>
      <c r="AC361" s="81">
        <f t="shared" si="238"/>
        <v>0</v>
      </c>
      <c r="AD361" s="86"/>
      <c r="AE361" s="86"/>
      <c r="AF361" s="86"/>
      <c r="AG361" s="86"/>
      <c r="AH361" s="86"/>
      <c r="AI361" s="86"/>
      <c r="AJ361" s="86"/>
      <c r="AK361" s="86"/>
      <c r="AL361" s="86"/>
      <c r="AM361" s="86"/>
      <c r="AN361" s="86"/>
      <c r="AO361" s="86"/>
      <c r="AP361" s="86"/>
      <c r="AQ361" s="86"/>
      <c r="AR361" s="86"/>
      <c r="AS361" s="86"/>
      <c r="AT361" s="82"/>
      <c r="AU361" s="87"/>
      <c r="AV361" s="818">
        <f t="shared" ref="AV361:AV388" si="262">A361</f>
        <v>0</v>
      </c>
      <c r="AW361" s="818">
        <f t="shared" ref="AW361:AW388" si="263">B361</f>
        <v>0</v>
      </c>
      <c r="AX361" s="818">
        <f t="shared" ref="AX361:AX388" si="264">C361</f>
        <v>0</v>
      </c>
      <c r="AY361" s="88">
        <f t="shared" si="239"/>
        <v>0</v>
      </c>
      <c r="AZ361" s="81">
        <f t="shared" si="240"/>
        <v>0</v>
      </c>
      <c r="BA361" s="81">
        <f t="shared" si="241"/>
        <v>0</v>
      </c>
      <c r="BB361" s="81">
        <f t="shared" si="242"/>
        <v>0</v>
      </c>
      <c r="BC361" s="81">
        <f t="shared" si="243"/>
        <v>0</v>
      </c>
      <c r="BD361" s="81">
        <f t="shared" si="244"/>
        <v>0</v>
      </c>
      <c r="BE361" s="81">
        <f t="shared" si="245"/>
        <v>0</v>
      </c>
      <c r="BF361" s="81">
        <f t="shared" si="246"/>
        <v>0</v>
      </c>
      <c r="BG361" s="81">
        <f t="shared" si="247"/>
        <v>0</v>
      </c>
      <c r="BH361" s="81">
        <f t="shared" si="248"/>
        <v>0</v>
      </c>
      <c r="BI361" s="81">
        <f t="shared" si="249"/>
        <v>0</v>
      </c>
      <c r="BJ361" s="81">
        <f t="shared" si="250"/>
        <v>0</v>
      </c>
      <c r="BK361" s="81">
        <f t="shared" si="251"/>
        <v>0</v>
      </c>
      <c r="BL361" s="81">
        <f t="shared" si="252"/>
        <v>0</v>
      </c>
      <c r="BM361" s="81">
        <f t="shared" si="253"/>
        <v>0</v>
      </c>
      <c r="BN361" s="81">
        <f t="shared" si="254"/>
        <v>0</v>
      </c>
      <c r="BO361" s="81">
        <f t="shared" si="255"/>
        <v>0</v>
      </c>
      <c r="BP361" s="81">
        <f t="shared" si="256"/>
        <v>0</v>
      </c>
      <c r="BQ361" s="81">
        <f t="shared" si="257"/>
        <v>0</v>
      </c>
      <c r="BR361" s="81">
        <f t="shared" si="258"/>
        <v>0</v>
      </c>
      <c r="BS361" s="81">
        <f t="shared" si="259"/>
        <v>0</v>
      </c>
      <c r="BT361" s="89">
        <f t="shared" si="260"/>
        <v>0</v>
      </c>
    </row>
    <row r="362" spans="1:72">
      <c r="A362" s="79"/>
      <c r="B362" s="80"/>
      <c r="C362" s="80"/>
      <c r="D362" s="2301"/>
      <c r="E362" s="81">
        <f t="shared" si="261"/>
        <v>0</v>
      </c>
      <c r="F362" s="82"/>
      <c r="G362" s="83">
        <f t="shared" si="236"/>
        <v>0</v>
      </c>
      <c r="H362" s="84">
        <f t="shared" si="237"/>
        <v>0</v>
      </c>
      <c r="I362" s="85"/>
      <c r="J362" s="85"/>
      <c r="K362" s="85"/>
      <c r="L362" s="85"/>
      <c r="M362" s="85"/>
      <c r="N362" s="85"/>
      <c r="O362" s="85"/>
      <c r="P362" s="85"/>
      <c r="Q362" s="85"/>
      <c r="R362" s="85"/>
      <c r="S362" s="85"/>
      <c r="T362" s="85"/>
      <c r="U362" s="85"/>
      <c r="V362" s="85"/>
      <c r="W362" s="85"/>
      <c r="X362" s="85"/>
      <c r="Y362" s="85"/>
      <c r="Z362" s="85"/>
      <c r="AA362" s="85"/>
      <c r="AB362" s="85"/>
      <c r="AC362" s="81">
        <f t="shared" si="238"/>
        <v>0</v>
      </c>
      <c r="AD362" s="86"/>
      <c r="AE362" s="86"/>
      <c r="AF362" s="86"/>
      <c r="AG362" s="86"/>
      <c r="AH362" s="86"/>
      <c r="AI362" s="86"/>
      <c r="AJ362" s="86"/>
      <c r="AK362" s="86"/>
      <c r="AL362" s="86"/>
      <c r="AM362" s="86"/>
      <c r="AN362" s="86"/>
      <c r="AO362" s="86"/>
      <c r="AP362" s="86"/>
      <c r="AQ362" s="86"/>
      <c r="AR362" s="86"/>
      <c r="AS362" s="86"/>
      <c r="AT362" s="82"/>
      <c r="AU362" s="87"/>
      <c r="AV362" s="818">
        <f t="shared" si="262"/>
        <v>0</v>
      </c>
      <c r="AW362" s="818">
        <f t="shared" si="263"/>
        <v>0</v>
      </c>
      <c r="AX362" s="818">
        <f t="shared" si="264"/>
        <v>0</v>
      </c>
      <c r="AY362" s="88">
        <f t="shared" si="239"/>
        <v>0</v>
      </c>
      <c r="AZ362" s="81">
        <f t="shared" si="240"/>
        <v>0</v>
      </c>
      <c r="BA362" s="81">
        <f t="shared" si="241"/>
        <v>0</v>
      </c>
      <c r="BB362" s="81">
        <f t="shared" si="242"/>
        <v>0</v>
      </c>
      <c r="BC362" s="81">
        <f t="shared" si="243"/>
        <v>0</v>
      </c>
      <c r="BD362" s="81">
        <f t="shared" si="244"/>
        <v>0</v>
      </c>
      <c r="BE362" s="81">
        <f t="shared" si="245"/>
        <v>0</v>
      </c>
      <c r="BF362" s="81">
        <f t="shared" si="246"/>
        <v>0</v>
      </c>
      <c r="BG362" s="81">
        <f t="shared" si="247"/>
        <v>0</v>
      </c>
      <c r="BH362" s="81">
        <f t="shared" si="248"/>
        <v>0</v>
      </c>
      <c r="BI362" s="81">
        <f t="shared" si="249"/>
        <v>0</v>
      </c>
      <c r="BJ362" s="81">
        <f t="shared" si="250"/>
        <v>0</v>
      </c>
      <c r="BK362" s="81">
        <f t="shared" si="251"/>
        <v>0</v>
      </c>
      <c r="BL362" s="81">
        <f t="shared" si="252"/>
        <v>0</v>
      </c>
      <c r="BM362" s="81">
        <f t="shared" si="253"/>
        <v>0</v>
      </c>
      <c r="BN362" s="81">
        <f t="shared" si="254"/>
        <v>0</v>
      </c>
      <c r="BO362" s="81">
        <f t="shared" si="255"/>
        <v>0</v>
      </c>
      <c r="BP362" s="81">
        <f t="shared" si="256"/>
        <v>0</v>
      </c>
      <c r="BQ362" s="81">
        <f t="shared" si="257"/>
        <v>0</v>
      </c>
      <c r="BR362" s="81">
        <f t="shared" si="258"/>
        <v>0</v>
      </c>
      <c r="BS362" s="81">
        <f t="shared" si="259"/>
        <v>0</v>
      </c>
      <c r="BT362" s="89">
        <f t="shared" si="260"/>
        <v>0</v>
      </c>
    </row>
    <row r="363" spans="1:72">
      <c r="A363" s="79"/>
      <c r="B363" s="80"/>
      <c r="C363" s="80"/>
      <c r="D363" s="2301"/>
      <c r="E363" s="81">
        <f t="shared" si="261"/>
        <v>0</v>
      </c>
      <c r="F363" s="82"/>
      <c r="G363" s="83">
        <f t="shared" si="236"/>
        <v>0</v>
      </c>
      <c r="H363" s="84">
        <f t="shared" si="237"/>
        <v>0</v>
      </c>
      <c r="I363" s="85"/>
      <c r="J363" s="85"/>
      <c r="K363" s="85"/>
      <c r="L363" s="85"/>
      <c r="M363" s="85"/>
      <c r="N363" s="85"/>
      <c r="O363" s="85"/>
      <c r="P363" s="85"/>
      <c r="Q363" s="85"/>
      <c r="R363" s="85"/>
      <c r="S363" s="85"/>
      <c r="T363" s="85"/>
      <c r="U363" s="85"/>
      <c r="V363" s="85"/>
      <c r="W363" s="85"/>
      <c r="X363" s="85"/>
      <c r="Y363" s="85"/>
      <c r="Z363" s="85"/>
      <c r="AA363" s="85"/>
      <c r="AB363" s="85"/>
      <c r="AC363" s="81">
        <f t="shared" si="238"/>
        <v>0</v>
      </c>
      <c r="AD363" s="86"/>
      <c r="AE363" s="86"/>
      <c r="AF363" s="86"/>
      <c r="AG363" s="86"/>
      <c r="AH363" s="86"/>
      <c r="AI363" s="86"/>
      <c r="AJ363" s="86"/>
      <c r="AK363" s="86"/>
      <c r="AL363" s="86"/>
      <c r="AM363" s="86"/>
      <c r="AN363" s="86"/>
      <c r="AO363" s="86"/>
      <c r="AP363" s="86"/>
      <c r="AQ363" s="86"/>
      <c r="AR363" s="86"/>
      <c r="AS363" s="86"/>
      <c r="AT363" s="82"/>
      <c r="AU363" s="87"/>
      <c r="AV363" s="818">
        <f t="shared" si="262"/>
        <v>0</v>
      </c>
      <c r="AW363" s="818">
        <f t="shared" si="263"/>
        <v>0</v>
      </c>
      <c r="AX363" s="818">
        <f t="shared" si="264"/>
        <v>0</v>
      </c>
      <c r="AY363" s="88">
        <f t="shared" si="239"/>
        <v>0</v>
      </c>
      <c r="AZ363" s="81">
        <f t="shared" si="240"/>
        <v>0</v>
      </c>
      <c r="BA363" s="81">
        <f t="shared" si="241"/>
        <v>0</v>
      </c>
      <c r="BB363" s="81">
        <f t="shared" si="242"/>
        <v>0</v>
      </c>
      <c r="BC363" s="81">
        <f t="shared" si="243"/>
        <v>0</v>
      </c>
      <c r="BD363" s="81">
        <f t="shared" si="244"/>
        <v>0</v>
      </c>
      <c r="BE363" s="81">
        <f t="shared" si="245"/>
        <v>0</v>
      </c>
      <c r="BF363" s="81">
        <f t="shared" si="246"/>
        <v>0</v>
      </c>
      <c r="BG363" s="81">
        <f t="shared" si="247"/>
        <v>0</v>
      </c>
      <c r="BH363" s="81">
        <f t="shared" si="248"/>
        <v>0</v>
      </c>
      <c r="BI363" s="81">
        <f t="shared" si="249"/>
        <v>0</v>
      </c>
      <c r="BJ363" s="81">
        <f t="shared" si="250"/>
        <v>0</v>
      </c>
      <c r="BK363" s="81">
        <f t="shared" si="251"/>
        <v>0</v>
      </c>
      <c r="BL363" s="81">
        <f t="shared" si="252"/>
        <v>0</v>
      </c>
      <c r="BM363" s="81">
        <f t="shared" si="253"/>
        <v>0</v>
      </c>
      <c r="BN363" s="81">
        <f t="shared" si="254"/>
        <v>0</v>
      </c>
      <c r="BO363" s="81">
        <f t="shared" si="255"/>
        <v>0</v>
      </c>
      <c r="BP363" s="81">
        <f t="shared" si="256"/>
        <v>0</v>
      </c>
      <c r="BQ363" s="81">
        <f t="shared" si="257"/>
        <v>0</v>
      </c>
      <c r="BR363" s="81">
        <f t="shared" si="258"/>
        <v>0</v>
      </c>
      <c r="BS363" s="81">
        <f t="shared" si="259"/>
        <v>0</v>
      </c>
      <c r="BT363" s="89">
        <f t="shared" si="260"/>
        <v>0</v>
      </c>
    </row>
    <row r="364" spans="1:72">
      <c r="A364" s="79"/>
      <c r="B364" s="80"/>
      <c r="C364" s="80"/>
      <c r="D364" s="2301"/>
      <c r="E364" s="81">
        <f t="shared" si="261"/>
        <v>0</v>
      </c>
      <c r="F364" s="82"/>
      <c r="G364" s="83">
        <f t="shared" si="236"/>
        <v>0</v>
      </c>
      <c r="H364" s="84">
        <f t="shared" si="237"/>
        <v>0</v>
      </c>
      <c r="I364" s="85"/>
      <c r="J364" s="85"/>
      <c r="K364" s="85"/>
      <c r="L364" s="85"/>
      <c r="M364" s="85"/>
      <c r="N364" s="85"/>
      <c r="O364" s="85"/>
      <c r="P364" s="85"/>
      <c r="Q364" s="85"/>
      <c r="R364" s="85"/>
      <c r="S364" s="85"/>
      <c r="T364" s="85"/>
      <c r="U364" s="85"/>
      <c r="V364" s="85"/>
      <c r="W364" s="85"/>
      <c r="X364" s="85"/>
      <c r="Y364" s="85"/>
      <c r="Z364" s="85"/>
      <c r="AA364" s="85"/>
      <c r="AB364" s="85"/>
      <c r="AC364" s="81">
        <f t="shared" si="238"/>
        <v>0</v>
      </c>
      <c r="AD364" s="86"/>
      <c r="AE364" s="86"/>
      <c r="AF364" s="86"/>
      <c r="AG364" s="86"/>
      <c r="AH364" s="86"/>
      <c r="AI364" s="86"/>
      <c r="AJ364" s="86"/>
      <c r="AK364" s="86"/>
      <c r="AL364" s="86"/>
      <c r="AM364" s="86"/>
      <c r="AN364" s="86"/>
      <c r="AO364" s="86"/>
      <c r="AP364" s="86"/>
      <c r="AQ364" s="86"/>
      <c r="AR364" s="86"/>
      <c r="AS364" s="86"/>
      <c r="AT364" s="82"/>
      <c r="AU364" s="87"/>
      <c r="AV364" s="818">
        <f t="shared" si="262"/>
        <v>0</v>
      </c>
      <c r="AW364" s="818">
        <f t="shared" si="263"/>
        <v>0</v>
      </c>
      <c r="AX364" s="818">
        <f t="shared" si="264"/>
        <v>0</v>
      </c>
      <c r="AY364" s="88">
        <f t="shared" si="239"/>
        <v>0</v>
      </c>
      <c r="AZ364" s="81">
        <f t="shared" si="240"/>
        <v>0</v>
      </c>
      <c r="BA364" s="81">
        <f t="shared" si="241"/>
        <v>0</v>
      </c>
      <c r="BB364" s="81">
        <f t="shared" si="242"/>
        <v>0</v>
      </c>
      <c r="BC364" s="81">
        <f t="shared" si="243"/>
        <v>0</v>
      </c>
      <c r="BD364" s="81">
        <f t="shared" si="244"/>
        <v>0</v>
      </c>
      <c r="BE364" s="81">
        <f t="shared" si="245"/>
        <v>0</v>
      </c>
      <c r="BF364" s="81">
        <f t="shared" si="246"/>
        <v>0</v>
      </c>
      <c r="BG364" s="81">
        <f t="shared" si="247"/>
        <v>0</v>
      </c>
      <c r="BH364" s="81">
        <f t="shared" si="248"/>
        <v>0</v>
      </c>
      <c r="BI364" s="81">
        <f t="shared" si="249"/>
        <v>0</v>
      </c>
      <c r="BJ364" s="81">
        <f t="shared" si="250"/>
        <v>0</v>
      </c>
      <c r="BK364" s="81">
        <f t="shared" si="251"/>
        <v>0</v>
      </c>
      <c r="BL364" s="81">
        <f t="shared" si="252"/>
        <v>0</v>
      </c>
      <c r="BM364" s="81">
        <f t="shared" si="253"/>
        <v>0</v>
      </c>
      <c r="BN364" s="81">
        <f t="shared" si="254"/>
        <v>0</v>
      </c>
      <c r="BO364" s="81">
        <f t="shared" si="255"/>
        <v>0</v>
      </c>
      <c r="BP364" s="81">
        <f t="shared" si="256"/>
        <v>0</v>
      </c>
      <c r="BQ364" s="81">
        <f t="shared" si="257"/>
        <v>0</v>
      </c>
      <c r="BR364" s="81">
        <f t="shared" si="258"/>
        <v>0</v>
      </c>
      <c r="BS364" s="81">
        <f t="shared" si="259"/>
        <v>0</v>
      </c>
      <c r="BT364" s="89">
        <f t="shared" si="260"/>
        <v>0</v>
      </c>
    </row>
    <row r="365" spans="1:72">
      <c r="A365" s="79"/>
      <c r="B365" s="80"/>
      <c r="C365" s="80"/>
      <c r="D365" s="2301"/>
      <c r="E365" s="81">
        <f t="shared" si="261"/>
        <v>0</v>
      </c>
      <c r="F365" s="82"/>
      <c r="G365" s="83">
        <f t="shared" si="236"/>
        <v>0</v>
      </c>
      <c r="H365" s="84">
        <f t="shared" si="237"/>
        <v>0</v>
      </c>
      <c r="I365" s="85"/>
      <c r="J365" s="85"/>
      <c r="K365" s="85"/>
      <c r="L365" s="85"/>
      <c r="M365" s="85"/>
      <c r="N365" s="85"/>
      <c r="O365" s="85"/>
      <c r="P365" s="85"/>
      <c r="Q365" s="85"/>
      <c r="R365" s="85"/>
      <c r="S365" s="85"/>
      <c r="T365" s="85"/>
      <c r="U365" s="85"/>
      <c r="V365" s="85"/>
      <c r="W365" s="85"/>
      <c r="X365" s="85"/>
      <c r="Y365" s="85"/>
      <c r="Z365" s="85"/>
      <c r="AA365" s="85"/>
      <c r="AB365" s="85"/>
      <c r="AC365" s="81">
        <f t="shared" si="238"/>
        <v>0</v>
      </c>
      <c r="AD365" s="86"/>
      <c r="AE365" s="86"/>
      <c r="AF365" s="86"/>
      <c r="AG365" s="86"/>
      <c r="AH365" s="86"/>
      <c r="AI365" s="86"/>
      <c r="AJ365" s="86"/>
      <c r="AK365" s="86"/>
      <c r="AL365" s="86"/>
      <c r="AM365" s="86"/>
      <c r="AN365" s="86"/>
      <c r="AO365" s="86"/>
      <c r="AP365" s="86"/>
      <c r="AQ365" s="86"/>
      <c r="AR365" s="86"/>
      <c r="AS365" s="86"/>
      <c r="AT365" s="82"/>
      <c r="AU365" s="87"/>
      <c r="AV365" s="818">
        <f t="shared" si="262"/>
        <v>0</v>
      </c>
      <c r="AW365" s="818">
        <f t="shared" si="263"/>
        <v>0</v>
      </c>
      <c r="AX365" s="818">
        <f t="shared" si="264"/>
        <v>0</v>
      </c>
      <c r="AY365" s="88">
        <f t="shared" si="239"/>
        <v>0</v>
      </c>
      <c r="AZ365" s="81">
        <f t="shared" si="240"/>
        <v>0</v>
      </c>
      <c r="BA365" s="81">
        <f t="shared" si="241"/>
        <v>0</v>
      </c>
      <c r="BB365" s="81">
        <f t="shared" si="242"/>
        <v>0</v>
      </c>
      <c r="BC365" s="81">
        <f t="shared" si="243"/>
        <v>0</v>
      </c>
      <c r="BD365" s="81">
        <f t="shared" si="244"/>
        <v>0</v>
      </c>
      <c r="BE365" s="81">
        <f t="shared" si="245"/>
        <v>0</v>
      </c>
      <c r="BF365" s="81">
        <f t="shared" si="246"/>
        <v>0</v>
      </c>
      <c r="BG365" s="81">
        <f t="shared" si="247"/>
        <v>0</v>
      </c>
      <c r="BH365" s="81">
        <f t="shared" si="248"/>
        <v>0</v>
      </c>
      <c r="BI365" s="81">
        <f t="shared" si="249"/>
        <v>0</v>
      </c>
      <c r="BJ365" s="81">
        <f t="shared" si="250"/>
        <v>0</v>
      </c>
      <c r="BK365" s="81">
        <f t="shared" si="251"/>
        <v>0</v>
      </c>
      <c r="BL365" s="81">
        <f t="shared" si="252"/>
        <v>0</v>
      </c>
      <c r="BM365" s="81">
        <f t="shared" si="253"/>
        <v>0</v>
      </c>
      <c r="BN365" s="81">
        <f t="shared" si="254"/>
        <v>0</v>
      </c>
      <c r="BO365" s="81">
        <f t="shared" si="255"/>
        <v>0</v>
      </c>
      <c r="BP365" s="81">
        <f t="shared" si="256"/>
        <v>0</v>
      </c>
      <c r="BQ365" s="81">
        <f t="shared" si="257"/>
        <v>0</v>
      </c>
      <c r="BR365" s="81">
        <f t="shared" si="258"/>
        <v>0</v>
      </c>
      <c r="BS365" s="81">
        <f t="shared" si="259"/>
        <v>0</v>
      </c>
      <c r="BT365" s="89">
        <f t="shared" si="260"/>
        <v>0</v>
      </c>
    </row>
    <row r="366" spans="1:72">
      <c r="A366" s="79"/>
      <c r="B366" s="80"/>
      <c r="C366" s="80"/>
      <c r="D366" s="2301"/>
      <c r="E366" s="81">
        <f t="shared" si="261"/>
        <v>0</v>
      </c>
      <c r="F366" s="82"/>
      <c r="G366" s="83">
        <f t="shared" si="236"/>
        <v>0</v>
      </c>
      <c r="H366" s="84">
        <f t="shared" si="237"/>
        <v>0</v>
      </c>
      <c r="I366" s="85"/>
      <c r="J366" s="85"/>
      <c r="K366" s="85"/>
      <c r="L366" s="85"/>
      <c r="M366" s="85"/>
      <c r="N366" s="85"/>
      <c r="O366" s="85"/>
      <c r="P366" s="85"/>
      <c r="Q366" s="85"/>
      <c r="R366" s="85"/>
      <c r="S366" s="85"/>
      <c r="T366" s="85"/>
      <c r="U366" s="85"/>
      <c r="V366" s="85"/>
      <c r="W366" s="85"/>
      <c r="X366" s="85"/>
      <c r="Y366" s="85"/>
      <c r="Z366" s="85"/>
      <c r="AA366" s="85"/>
      <c r="AB366" s="85"/>
      <c r="AC366" s="81">
        <f t="shared" si="238"/>
        <v>0</v>
      </c>
      <c r="AD366" s="86"/>
      <c r="AE366" s="86"/>
      <c r="AF366" s="86"/>
      <c r="AG366" s="86"/>
      <c r="AH366" s="86"/>
      <c r="AI366" s="86"/>
      <c r="AJ366" s="86"/>
      <c r="AK366" s="86"/>
      <c r="AL366" s="86"/>
      <c r="AM366" s="86"/>
      <c r="AN366" s="86"/>
      <c r="AO366" s="86"/>
      <c r="AP366" s="86"/>
      <c r="AQ366" s="86"/>
      <c r="AR366" s="86"/>
      <c r="AS366" s="86"/>
      <c r="AT366" s="82"/>
      <c r="AU366" s="87"/>
      <c r="AV366" s="818">
        <f t="shared" si="262"/>
        <v>0</v>
      </c>
      <c r="AW366" s="818">
        <f t="shared" si="263"/>
        <v>0</v>
      </c>
      <c r="AX366" s="818">
        <f t="shared" si="264"/>
        <v>0</v>
      </c>
      <c r="AY366" s="88">
        <f t="shared" si="239"/>
        <v>0</v>
      </c>
      <c r="AZ366" s="81">
        <f t="shared" si="240"/>
        <v>0</v>
      </c>
      <c r="BA366" s="81">
        <f t="shared" si="241"/>
        <v>0</v>
      </c>
      <c r="BB366" s="81">
        <f t="shared" si="242"/>
        <v>0</v>
      </c>
      <c r="BC366" s="81">
        <f t="shared" si="243"/>
        <v>0</v>
      </c>
      <c r="BD366" s="81">
        <f t="shared" si="244"/>
        <v>0</v>
      </c>
      <c r="BE366" s="81">
        <f t="shared" si="245"/>
        <v>0</v>
      </c>
      <c r="BF366" s="81">
        <f t="shared" si="246"/>
        <v>0</v>
      </c>
      <c r="BG366" s="81">
        <f t="shared" si="247"/>
        <v>0</v>
      </c>
      <c r="BH366" s="81">
        <f t="shared" si="248"/>
        <v>0</v>
      </c>
      <c r="BI366" s="81">
        <f t="shared" si="249"/>
        <v>0</v>
      </c>
      <c r="BJ366" s="81">
        <f t="shared" si="250"/>
        <v>0</v>
      </c>
      <c r="BK366" s="81">
        <f t="shared" si="251"/>
        <v>0</v>
      </c>
      <c r="BL366" s="81">
        <f t="shared" si="252"/>
        <v>0</v>
      </c>
      <c r="BM366" s="81">
        <f t="shared" si="253"/>
        <v>0</v>
      </c>
      <c r="BN366" s="81">
        <f t="shared" si="254"/>
        <v>0</v>
      </c>
      <c r="BO366" s="81">
        <f t="shared" si="255"/>
        <v>0</v>
      </c>
      <c r="BP366" s="81">
        <f t="shared" si="256"/>
        <v>0</v>
      </c>
      <c r="BQ366" s="81">
        <f t="shared" si="257"/>
        <v>0</v>
      </c>
      <c r="BR366" s="81">
        <f t="shared" si="258"/>
        <v>0</v>
      </c>
      <c r="BS366" s="81">
        <f t="shared" si="259"/>
        <v>0</v>
      </c>
      <c r="BT366" s="89">
        <f t="shared" si="260"/>
        <v>0</v>
      </c>
    </row>
    <row r="367" spans="1:72">
      <c r="A367" s="79"/>
      <c r="B367" s="80"/>
      <c r="C367" s="80"/>
      <c r="D367" s="2301"/>
      <c r="E367" s="81">
        <f t="shared" si="261"/>
        <v>0</v>
      </c>
      <c r="F367" s="82"/>
      <c r="G367" s="83">
        <f t="shared" si="236"/>
        <v>0</v>
      </c>
      <c r="H367" s="84">
        <f t="shared" si="237"/>
        <v>0</v>
      </c>
      <c r="I367" s="85"/>
      <c r="J367" s="85"/>
      <c r="K367" s="85"/>
      <c r="L367" s="85"/>
      <c r="M367" s="85"/>
      <c r="N367" s="85"/>
      <c r="O367" s="85"/>
      <c r="P367" s="85"/>
      <c r="Q367" s="85"/>
      <c r="R367" s="85"/>
      <c r="S367" s="85"/>
      <c r="T367" s="85"/>
      <c r="U367" s="85"/>
      <c r="V367" s="85"/>
      <c r="W367" s="85"/>
      <c r="X367" s="85"/>
      <c r="Y367" s="85"/>
      <c r="Z367" s="85"/>
      <c r="AA367" s="85"/>
      <c r="AB367" s="85"/>
      <c r="AC367" s="81">
        <f t="shared" si="238"/>
        <v>0</v>
      </c>
      <c r="AD367" s="86"/>
      <c r="AE367" s="86"/>
      <c r="AF367" s="86"/>
      <c r="AG367" s="86"/>
      <c r="AH367" s="86"/>
      <c r="AI367" s="86"/>
      <c r="AJ367" s="86"/>
      <c r="AK367" s="86"/>
      <c r="AL367" s="86"/>
      <c r="AM367" s="86"/>
      <c r="AN367" s="86"/>
      <c r="AO367" s="86"/>
      <c r="AP367" s="86"/>
      <c r="AQ367" s="86"/>
      <c r="AR367" s="86"/>
      <c r="AS367" s="86"/>
      <c r="AT367" s="82"/>
      <c r="AU367" s="87"/>
      <c r="AV367" s="818">
        <f t="shared" si="262"/>
        <v>0</v>
      </c>
      <c r="AW367" s="818">
        <f t="shared" si="263"/>
        <v>0</v>
      </c>
      <c r="AX367" s="818">
        <f t="shared" si="264"/>
        <v>0</v>
      </c>
      <c r="AY367" s="88">
        <f t="shared" si="239"/>
        <v>0</v>
      </c>
      <c r="AZ367" s="81">
        <f t="shared" si="240"/>
        <v>0</v>
      </c>
      <c r="BA367" s="81">
        <f t="shared" si="241"/>
        <v>0</v>
      </c>
      <c r="BB367" s="81">
        <f t="shared" si="242"/>
        <v>0</v>
      </c>
      <c r="BC367" s="81">
        <f t="shared" si="243"/>
        <v>0</v>
      </c>
      <c r="BD367" s="81">
        <f t="shared" si="244"/>
        <v>0</v>
      </c>
      <c r="BE367" s="81">
        <f t="shared" si="245"/>
        <v>0</v>
      </c>
      <c r="BF367" s="81">
        <f t="shared" si="246"/>
        <v>0</v>
      </c>
      <c r="BG367" s="81">
        <f t="shared" si="247"/>
        <v>0</v>
      </c>
      <c r="BH367" s="81">
        <f t="shared" si="248"/>
        <v>0</v>
      </c>
      <c r="BI367" s="81">
        <f t="shared" si="249"/>
        <v>0</v>
      </c>
      <c r="BJ367" s="81">
        <f t="shared" si="250"/>
        <v>0</v>
      </c>
      <c r="BK367" s="81">
        <f t="shared" si="251"/>
        <v>0</v>
      </c>
      <c r="BL367" s="81">
        <f t="shared" si="252"/>
        <v>0</v>
      </c>
      <c r="BM367" s="81">
        <f t="shared" si="253"/>
        <v>0</v>
      </c>
      <c r="BN367" s="81">
        <f t="shared" si="254"/>
        <v>0</v>
      </c>
      <c r="BO367" s="81">
        <f t="shared" si="255"/>
        <v>0</v>
      </c>
      <c r="BP367" s="81">
        <f t="shared" si="256"/>
        <v>0</v>
      </c>
      <c r="BQ367" s="81">
        <f t="shared" si="257"/>
        <v>0</v>
      </c>
      <c r="BR367" s="81">
        <f t="shared" si="258"/>
        <v>0</v>
      </c>
      <c r="BS367" s="81">
        <f t="shared" si="259"/>
        <v>0</v>
      </c>
      <c r="BT367" s="89">
        <f t="shared" si="260"/>
        <v>0</v>
      </c>
    </row>
    <row r="368" spans="1:72">
      <c r="A368" s="79"/>
      <c r="B368" s="80"/>
      <c r="C368" s="80"/>
      <c r="D368" s="2301"/>
      <c r="E368" s="81">
        <f t="shared" si="261"/>
        <v>0</v>
      </c>
      <c r="F368" s="82"/>
      <c r="G368" s="83">
        <f t="shared" si="236"/>
        <v>0</v>
      </c>
      <c r="H368" s="84">
        <f t="shared" si="237"/>
        <v>0</v>
      </c>
      <c r="I368" s="85"/>
      <c r="J368" s="85"/>
      <c r="K368" s="85"/>
      <c r="L368" s="85"/>
      <c r="M368" s="85"/>
      <c r="N368" s="85"/>
      <c r="O368" s="85"/>
      <c r="P368" s="85"/>
      <c r="Q368" s="85"/>
      <c r="R368" s="85"/>
      <c r="S368" s="85"/>
      <c r="T368" s="85"/>
      <c r="U368" s="85"/>
      <c r="V368" s="85"/>
      <c r="W368" s="85"/>
      <c r="X368" s="85"/>
      <c r="Y368" s="85"/>
      <c r="Z368" s="85"/>
      <c r="AA368" s="85"/>
      <c r="AB368" s="85"/>
      <c r="AC368" s="81">
        <f t="shared" si="238"/>
        <v>0</v>
      </c>
      <c r="AD368" s="86"/>
      <c r="AE368" s="86"/>
      <c r="AF368" s="86"/>
      <c r="AG368" s="86"/>
      <c r="AH368" s="86"/>
      <c r="AI368" s="86"/>
      <c r="AJ368" s="86"/>
      <c r="AK368" s="86"/>
      <c r="AL368" s="86"/>
      <c r="AM368" s="86"/>
      <c r="AN368" s="86"/>
      <c r="AO368" s="86"/>
      <c r="AP368" s="86"/>
      <c r="AQ368" s="86"/>
      <c r="AR368" s="86"/>
      <c r="AS368" s="86"/>
      <c r="AT368" s="82"/>
      <c r="AU368" s="87"/>
      <c r="AV368" s="818">
        <f t="shared" si="262"/>
        <v>0</v>
      </c>
      <c r="AW368" s="818">
        <f t="shared" si="263"/>
        <v>0</v>
      </c>
      <c r="AX368" s="818">
        <f t="shared" si="264"/>
        <v>0</v>
      </c>
      <c r="AY368" s="88">
        <f t="shared" si="239"/>
        <v>0</v>
      </c>
      <c r="AZ368" s="81">
        <f t="shared" si="240"/>
        <v>0</v>
      </c>
      <c r="BA368" s="81">
        <f t="shared" si="241"/>
        <v>0</v>
      </c>
      <c r="BB368" s="81">
        <f t="shared" si="242"/>
        <v>0</v>
      </c>
      <c r="BC368" s="81">
        <f t="shared" si="243"/>
        <v>0</v>
      </c>
      <c r="BD368" s="81">
        <f t="shared" si="244"/>
        <v>0</v>
      </c>
      <c r="BE368" s="81">
        <f t="shared" si="245"/>
        <v>0</v>
      </c>
      <c r="BF368" s="81">
        <f t="shared" si="246"/>
        <v>0</v>
      </c>
      <c r="BG368" s="81">
        <f t="shared" si="247"/>
        <v>0</v>
      </c>
      <c r="BH368" s="81">
        <f t="shared" si="248"/>
        <v>0</v>
      </c>
      <c r="BI368" s="81">
        <f t="shared" si="249"/>
        <v>0</v>
      </c>
      <c r="BJ368" s="81">
        <f t="shared" si="250"/>
        <v>0</v>
      </c>
      <c r="BK368" s="81">
        <f t="shared" si="251"/>
        <v>0</v>
      </c>
      <c r="BL368" s="81">
        <f t="shared" si="252"/>
        <v>0</v>
      </c>
      <c r="BM368" s="81">
        <f t="shared" si="253"/>
        <v>0</v>
      </c>
      <c r="BN368" s="81">
        <f t="shared" si="254"/>
        <v>0</v>
      </c>
      <c r="BO368" s="81">
        <f t="shared" si="255"/>
        <v>0</v>
      </c>
      <c r="BP368" s="81">
        <f t="shared" si="256"/>
        <v>0</v>
      </c>
      <c r="BQ368" s="81">
        <f t="shared" si="257"/>
        <v>0</v>
      </c>
      <c r="BR368" s="81">
        <f t="shared" si="258"/>
        <v>0</v>
      </c>
      <c r="BS368" s="81">
        <f t="shared" si="259"/>
        <v>0</v>
      </c>
      <c r="BT368" s="89">
        <f t="shared" si="260"/>
        <v>0</v>
      </c>
    </row>
    <row r="369" spans="1:72">
      <c r="A369" s="79"/>
      <c r="B369" s="80"/>
      <c r="C369" s="80"/>
      <c r="D369" s="2301"/>
      <c r="E369" s="81">
        <f t="shared" si="261"/>
        <v>0</v>
      </c>
      <c r="F369" s="82"/>
      <c r="G369" s="83">
        <f t="shared" si="236"/>
        <v>0</v>
      </c>
      <c r="H369" s="84">
        <f t="shared" si="237"/>
        <v>0</v>
      </c>
      <c r="I369" s="85"/>
      <c r="J369" s="85"/>
      <c r="K369" s="85"/>
      <c r="L369" s="85"/>
      <c r="M369" s="85"/>
      <c r="N369" s="85"/>
      <c r="O369" s="85"/>
      <c r="P369" s="85"/>
      <c r="Q369" s="85"/>
      <c r="R369" s="85"/>
      <c r="S369" s="85"/>
      <c r="T369" s="85"/>
      <c r="U369" s="85"/>
      <c r="V369" s="85"/>
      <c r="W369" s="85"/>
      <c r="X369" s="85"/>
      <c r="Y369" s="85"/>
      <c r="Z369" s="85"/>
      <c r="AA369" s="85"/>
      <c r="AB369" s="85"/>
      <c r="AC369" s="81">
        <f t="shared" si="238"/>
        <v>0</v>
      </c>
      <c r="AD369" s="86"/>
      <c r="AE369" s="86"/>
      <c r="AF369" s="86"/>
      <c r="AG369" s="86"/>
      <c r="AH369" s="86"/>
      <c r="AI369" s="86"/>
      <c r="AJ369" s="86"/>
      <c r="AK369" s="86"/>
      <c r="AL369" s="86"/>
      <c r="AM369" s="86"/>
      <c r="AN369" s="86"/>
      <c r="AO369" s="86"/>
      <c r="AP369" s="86"/>
      <c r="AQ369" s="86"/>
      <c r="AR369" s="86"/>
      <c r="AS369" s="86"/>
      <c r="AT369" s="82"/>
      <c r="AU369" s="87"/>
      <c r="AV369" s="818">
        <f t="shared" si="262"/>
        <v>0</v>
      </c>
      <c r="AW369" s="818">
        <f t="shared" si="263"/>
        <v>0</v>
      </c>
      <c r="AX369" s="818">
        <f t="shared" si="264"/>
        <v>0</v>
      </c>
      <c r="AY369" s="88">
        <f t="shared" si="239"/>
        <v>0</v>
      </c>
      <c r="AZ369" s="81">
        <f t="shared" si="240"/>
        <v>0</v>
      </c>
      <c r="BA369" s="81">
        <f t="shared" si="241"/>
        <v>0</v>
      </c>
      <c r="BB369" s="81">
        <f t="shared" si="242"/>
        <v>0</v>
      </c>
      <c r="BC369" s="81">
        <f t="shared" si="243"/>
        <v>0</v>
      </c>
      <c r="BD369" s="81">
        <f t="shared" si="244"/>
        <v>0</v>
      </c>
      <c r="BE369" s="81">
        <f t="shared" si="245"/>
        <v>0</v>
      </c>
      <c r="BF369" s="81">
        <f t="shared" si="246"/>
        <v>0</v>
      </c>
      <c r="BG369" s="81">
        <f t="shared" si="247"/>
        <v>0</v>
      </c>
      <c r="BH369" s="81">
        <f t="shared" si="248"/>
        <v>0</v>
      </c>
      <c r="BI369" s="81">
        <f t="shared" si="249"/>
        <v>0</v>
      </c>
      <c r="BJ369" s="81">
        <f t="shared" si="250"/>
        <v>0</v>
      </c>
      <c r="BK369" s="81">
        <f t="shared" si="251"/>
        <v>0</v>
      </c>
      <c r="BL369" s="81">
        <f t="shared" si="252"/>
        <v>0</v>
      </c>
      <c r="BM369" s="81">
        <f t="shared" si="253"/>
        <v>0</v>
      </c>
      <c r="BN369" s="81">
        <f t="shared" si="254"/>
        <v>0</v>
      </c>
      <c r="BO369" s="81">
        <f t="shared" si="255"/>
        <v>0</v>
      </c>
      <c r="BP369" s="81">
        <f t="shared" si="256"/>
        <v>0</v>
      </c>
      <c r="BQ369" s="81">
        <f t="shared" si="257"/>
        <v>0</v>
      </c>
      <c r="BR369" s="81">
        <f t="shared" si="258"/>
        <v>0</v>
      </c>
      <c r="BS369" s="81">
        <f t="shared" si="259"/>
        <v>0</v>
      </c>
      <c r="BT369" s="89">
        <f t="shared" si="260"/>
        <v>0</v>
      </c>
    </row>
    <row r="370" spans="1:72">
      <c r="A370" s="79"/>
      <c r="B370" s="80"/>
      <c r="C370" s="80"/>
      <c r="D370" s="2301"/>
      <c r="E370" s="81">
        <f t="shared" si="261"/>
        <v>0</v>
      </c>
      <c r="F370" s="82"/>
      <c r="G370" s="83">
        <f t="shared" si="236"/>
        <v>0</v>
      </c>
      <c r="H370" s="84">
        <f t="shared" si="237"/>
        <v>0</v>
      </c>
      <c r="I370" s="85"/>
      <c r="J370" s="85"/>
      <c r="K370" s="85"/>
      <c r="L370" s="85"/>
      <c r="M370" s="85"/>
      <c r="N370" s="85"/>
      <c r="O370" s="85"/>
      <c r="P370" s="85"/>
      <c r="Q370" s="85"/>
      <c r="R370" s="85"/>
      <c r="S370" s="85"/>
      <c r="T370" s="85"/>
      <c r="U370" s="85"/>
      <c r="V370" s="85"/>
      <c r="W370" s="85"/>
      <c r="X370" s="85"/>
      <c r="Y370" s="85"/>
      <c r="Z370" s="85"/>
      <c r="AA370" s="85"/>
      <c r="AB370" s="85"/>
      <c r="AC370" s="81">
        <f t="shared" si="238"/>
        <v>0</v>
      </c>
      <c r="AD370" s="86"/>
      <c r="AE370" s="86"/>
      <c r="AF370" s="86"/>
      <c r="AG370" s="86"/>
      <c r="AH370" s="86"/>
      <c r="AI370" s="86"/>
      <c r="AJ370" s="86"/>
      <c r="AK370" s="86"/>
      <c r="AL370" s="86"/>
      <c r="AM370" s="86"/>
      <c r="AN370" s="86"/>
      <c r="AO370" s="86"/>
      <c r="AP370" s="86"/>
      <c r="AQ370" s="86"/>
      <c r="AR370" s="86"/>
      <c r="AS370" s="86"/>
      <c r="AT370" s="82"/>
      <c r="AU370" s="87"/>
      <c r="AV370" s="818">
        <f t="shared" si="262"/>
        <v>0</v>
      </c>
      <c r="AW370" s="818">
        <f t="shared" si="263"/>
        <v>0</v>
      </c>
      <c r="AX370" s="818">
        <f t="shared" si="264"/>
        <v>0</v>
      </c>
      <c r="AY370" s="88">
        <f t="shared" si="239"/>
        <v>0</v>
      </c>
      <c r="AZ370" s="81">
        <f t="shared" si="240"/>
        <v>0</v>
      </c>
      <c r="BA370" s="81">
        <f t="shared" si="241"/>
        <v>0</v>
      </c>
      <c r="BB370" s="81">
        <f t="shared" si="242"/>
        <v>0</v>
      </c>
      <c r="BC370" s="81">
        <f t="shared" si="243"/>
        <v>0</v>
      </c>
      <c r="BD370" s="81">
        <f t="shared" si="244"/>
        <v>0</v>
      </c>
      <c r="BE370" s="81">
        <f t="shared" si="245"/>
        <v>0</v>
      </c>
      <c r="BF370" s="81">
        <f t="shared" si="246"/>
        <v>0</v>
      </c>
      <c r="BG370" s="81">
        <f t="shared" si="247"/>
        <v>0</v>
      </c>
      <c r="BH370" s="81">
        <f t="shared" si="248"/>
        <v>0</v>
      </c>
      <c r="BI370" s="81">
        <f t="shared" si="249"/>
        <v>0</v>
      </c>
      <c r="BJ370" s="81">
        <f t="shared" si="250"/>
        <v>0</v>
      </c>
      <c r="BK370" s="81">
        <f t="shared" si="251"/>
        <v>0</v>
      </c>
      <c r="BL370" s="81">
        <f t="shared" si="252"/>
        <v>0</v>
      </c>
      <c r="BM370" s="81">
        <f t="shared" si="253"/>
        <v>0</v>
      </c>
      <c r="BN370" s="81">
        <f t="shared" si="254"/>
        <v>0</v>
      </c>
      <c r="BO370" s="81">
        <f t="shared" si="255"/>
        <v>0</v>
      </c>
      <c r="BP370" s="81">
        <f t="shared" si="256"/>
        <v>0</v>
      </c>
      <c r="BQ370" s="81">
        <f t="shared" si="257"/>
        <v>0</v>
      </c>
      <c r="BR370" s="81">
        <f t="shared" si="258"/>
        <v>0</v>
      </c>
      <c r="BS370" s="81">
        <f t="shared" si="259"/>
        <v>0</v>
      </c>
      <c r="BT370" s="89">
        <f t="shared" si="260"/>
        <v>0</v>
      </c>
    </row>
    <row r="371" spans="1:72">
      <c r="A371" s="79"/>
      <c r="B371" s="80"/>
      <c r="C371" s="80"/>
      <c r="D371" s="2301"/>
      <c r="E371" s="81">
        <f t="shared" si="261"/>
        <v>0</v>
      </c>
      <c r="F371" s="82"/>
      <c r="G371" s="83">
        <f t="shared" si="236"/>
        <v>0</v>
      </c>
      <c r="H371" s="84">
        <f t="shared" si="237"/>
        <v>0</v>
      </c>
      <c r="I371" s="85"/>
      <c r="J371" s="85"/>
      <c r="K371" s="85"/>
      <c r="L371" s="85"/>
      <c r="M371" s="85"/>
      <c r="N371" s="85"/>
      <c r="O371" s="85"/>
      <c r="P371" s="85"/>
      <c r="Q371" s="85"/>
      <c r="R371" s="85"/>
      <c r="S371" s="85"/>
      <c r="T371" s="85"/>
      <c r="U371" s="85"/>
      <c r="V371" s="85"/>
      <c r="W371" s="85"/>
      <c r="X371" s="85"/>
      <c r="Y371" s="85"/>
      <c r="Z371" s="85"/>
      <c r="AA371" s="85"/>
      <c r="AB371" s="85"/>
      <c r="AC371" s="81">
        <f t="shared" si="238"/>
        <v>0</v>
      </c>
      <c r="AD371" s="86"/>
      <c r="AE371" s="86"/>
      <c r="AF371" s="86"/>
      <c r="AG371" s="86"/>
      <c r="AH371" s="86"/>
      <c r="AI371" s="86"/>
      <c r="AJ371" s="86"/>
      <c r="AK371" s="86"/>
      <c r="AL371" s="86"/>
      <c r="AM371" s="86"/>
      <c r="AN371" s="86"/>
      <c r="AO371" s="86"/>
      <c r="AP371" s="86"/>
      <c r="AQ371" s="86"/>
      <c r="AR371" s="86"/>
      <c r="AS371" s="86"/>
      <c r="AT371" s="82"/>
      <c r="AU371" s="87"/>
      <c r="AV371" s="818">
        <f t="shared" si="262"/>
        <v>0</v>
      </c>
      <c r="AW371" s="818">
        <f t="shared" si="263"/>
        <v>0</v>
      </c>
      <c r="AX371" s="818">
        <f t="shared" si="264"/>
        <v>0</v>
      </c>
      <c r="AY371" s="88">
        <f t="shared" si="239"/>
        <v>0</v>
      </c>
      <c r="AZ371" s="81">
        <f t="shared" si="240"/>
        <v>0</v>
      </c>
      <c r="BA371" s="81">
        <f t="shared" si="241"/>
        <v>0</v>
      </c>
      <c r="BB371" s="81">
        <f t="shared" si="242"/>
        <v>0</v>
      </c>
      <c r="BC371" s="81">
        <f t="shared" si="243"/>
        <v>0</v>
      </c>
      <c r="BD371" s="81">
        <f t="shared" si="244"/>
        <v>0</v>
      </c>
      <c r="BE371" s="81">
        <f t="shared" si="245"/>
        <v>0</v>
      </c>
      <c r="BF371" s="81">
        <f t="shared" si="246"/>
        <v>0</v>
      </c>
      <c r="BG371" s="81">
        <f t="shared" si="247"/>
        <v>0</v>
      </c>
      <c r="BH371" s="81">
        <f t="shared" si="248"/>
        <v>0</v>
      </c>
      <c r="BI371" s="81">
        <f t="shared" si="249"/>
        <v>0</v>
      </c>
      <c r="BJ371" s="81">
        <f t="shared" si="250"/>
        <v>0</v>
      </c>
      <c r="BK371" s="81">
        <f t="shared" si="251"/>
        <v>0</v>
      </c>
      <c r="BL371" s="81">
        <f t="shared" si="252"/>
        <v>0</v>
      </c>
      <c r="BM371" s="81">
        <f t="shared" si="253"/>
        <v>0</v>
      </c>
      <c r="BN371" s="81">
        <f t="shared" si="254"/>
        <v>0</v>
      </c>
      <c r="BO371" s="81">
        <f t="shared" si="255"/>
        <v>0</v>
      </c>
      <c r="BP371" s="81">
        <f t="shared" si="256"/>
        <v>0</v>
      </c>
      <c r="BQ371" s="81">
        <f t="shared" si="257"/>
        <v>0</v>
      </c>
      <c r="BR371" s="81">
        <f t="shared" si="258"/>
        <v>0</v>
      </c>
      <c r="BS371" s="81">
        <f t="shared" si="259"/>
        <v>0</v>
      </c>
      <c r="BT371" s="89">
        <f t="shared" si="260"/>
        <v>0</v>
      </c>
    </row>
    <row r="372" spans="1:72">
      <c r="A372" s="79"/>
      <c r="B372" s="80"/>
      <c r="C372" s="80"/>
      <c r="D372" s="2301"/>
      <c r="E372" s="81">
        <f t="shared" si="261"/>
        <v>0</v>
      </c>
      <c r="F372" s="82"/>
      <c r="G372" s="83">
        <f t="shared" si="236"/>
        <v>0</v>
      </c>
      <c r="H372" s="84">
        <f t="shared" si="237"/>
        <v>0</v>
      </c>
      <c r="I372" s="85"/>
      <c r="J372" s="85"/>
      <c r="K372" s="85"/>
      <c r="L372" s="85"/>
      <c r="M372" s="85"/>
      <c r="N372" s="85"/>
      <c r="O372" s="85"/>
      <c r="P372" s="85"/>
      <c r="Q372" s="85"/>
      <c r="R372" s="85"/>
      <c r="S372" s="85"/>
      <c r="T372" s="85"/>
      <c r="U372" s="85"/>
      <c r="V372" s="85"/>
      <c r="W372" s="85"/>
      <c r="X372" s="85"/>
      <c r="Y372" s="85"/>
      <c r="Z372" s="85"/>
      <c r="AA372" s="85"/>
      <c r="AB372" s="85"/>
      <c r="AC372" s="81">
        <f t="shared" si="238"/>
        <v>0</v>
      </c>
      <c r="AD372" s="86"/>
      <c r="AE372" s="86"/>
      <c r="AF372" s="86"/>
      <c r="AG372" s="86"/>
      <c r="AH372" s="86"/>
      <c r="AI372" s="86"/>
      <c r="AJ372" s="86"/>
      <c r="AK372" s="86"/>
      <c r="AL372" s="86"/>
      <c r="AM372" s="86"/>
      <c r="AN372" s="86"/>
      <c r="AO372" s="86"/>
      <c r="AP372" s="86"/>
      <c r="AQ372" s="86"/>
      <c r="AR372" s="86"/>
      <c r="AS372" s="86"/>
      <c r="AT372" s="82"/>
      <c r="AU372" s="87"/>
      <c r="AV372" s="818">
        <f t="shared" si="262"/>
        <v>0</v>
      </c>
      <c r="AW372" s="818">
        <f t="shared" si="263"/>
        <v>0</v>
      </c>
      <c r="AX372" s="818">
        <f t="shared" si="264"/>
        <v>0</v>
      </c>
      <c r="AY372" s="88">
        <f t="shared" si="239"/>
        <v>0</v>
      </c>
      <c r="AZ372" s="81">
        <f t="shared" si="240"/>
        <v>0</v>
      </c>
      <c r="BA372" s="81">
        <f t="shared" si="241"/>
        <v>0</v>
      </c>
      <c r="BB372" s="81">
        <f t="shared" si="242"/>
        <v>0</v>
      </c>
      <c r="BC372" s="81">
        <f t="shared" si="243"/>
        <v>0</v>
      </c>
      <c r="BD372" s="81">
        <f t="shared" si="244"/>
        <v>0</v>
      </c>
      <c r="BE372" s="81">
        <f t="shared" si="245"/>
        <v>0</v>
      </c>
      <c r="BF372" s="81">
        <f t="shared" si="246"/>
        <v>0</v>
      </c>
      <c r="BG372" s="81">
        <f t="shared" si="247"/>
        <v>0</v>
      </c>
      <c r="BH372" s="81">
        <f t="shared" si="248"/>
        <v>0</v>
      </c>
      <c r="BI372" s="81">
        <f t="shared" si="249"/>
        <v>0</v>
      </c>
      <c r="BJ372" s="81">
        <f t="shared" si="250"/>
        <v>0</v>
      </c>
      <c r="BK372" s="81">
        <f t="shared" si="251"/>
        <v>0</v>
      </c>
      <c r="BL372" s="81">
        <f t="shared" si="252"/>
        <v>0</v>
      </c>
      <c r="BM372" s="81">
        <f t="shared" si="253"/>
        <v>0</v>
      </c>
      <c r="BN372" s="81">
        <f t="shared" si="254"/>
        <v>0</v>
      </c>
      <c r="BO372" s="81">
        <f t="shared" si="255"/>
        <v>0</v>
      </c>
      <c r="BP372" s="81">
        <f t="shared" si="256"/>
        <v>0</v>
      </c>
      <c r="BQ372" s="81">
        <f t="shared" si="257"/>
        <v>0</v>
      </c>
      <c r="BR372" s="81">
        <f t="shared" si="258"/>
        <v>0</v>
      </c>
      <c r="BS372" s="81">
        <f t="shared" si="259"/>
        <v>0</v>
      </c>
      <c r="BT372" s="89">
        <f t="shared" si="260"/>
        <v>0</v>
      </c>
    </row>
    <row r="373" spans="1:72">
      <c r="A373" s="79"/>
      <c r="B373" s="80"/>
      <c r="C373" s="80"/>
      <c r="D373" s="2301"/>
      <c r="E373" s="81">
        <f t="shared" si="261"/>
        <v>0</v>
      </c>
      <c r="F373" s="82"/>
      <c r="G373" s="83">
        <f t="shared" si="236"/>
        <v>0</v>
      </c>
      <c r="H373" s="84">
        <f t="shared" si="237"/>
        <v>0</v>
      </c>
      <c r="I373" s="85"/>
      <c r="J373" s="85"/>
      <c r="K373" s="85"/>
      <c r="L373" s="85"/>
      <c r="M373" s="85"/>
      <c r="N373" s="85"/>
      <c r="O373" s="85"/>
      <c r="P373" s="85"/>
      <c r="Q373" s="85"/>
      <c r="R373" s="85"/>
      <c r="S373" s="85"/>
      <c r="T373" s="85"/>
      <c r="U373" s="85"/>
      <c r="V373" s="85"/>
      <c r="W373" s="85"/>
      <c r="X373" s="85"/>
      <c r="Y373" s="85"/>
      <c r="Z373" s="85"/>
      <c r="AA373" s="85"/>
      <c r="AB373" s="85"/>
      <c r="AC373" s="81">
        <f t="shared" si="238"/>
        <v>0</v>
      </c>
      <c r="AD373" s="86"/>
      <c r="AE373" s="86"/>
      <c r="AF373" s="86"/>
      <c r="AG373" s="86"/>
      <c r="AH373" s="86"/>
      <c r="AI373" s="86"/>
      <c r="AJ373" s="86"/>
      <c r="AK373" s="86"/>
      <c r="AL373" s="86"/>
      <c r="AM373" s="86"/>
      <c r="AN373" s="86"/>
      <c r="AO373" s="86"/>
      <c r="AP373" s="86"/>
      <c r="AQ373" s="86"/>
      <c r="AR373" s="86"/>
      <c r="AS373" s="86"/>
      <c r="AT373" s="82"/>
      <c r="AU373" s="87"/>
      <c r="AV373" s="818">
        <f t="shared" si="262"/>
        <v>0</v>
      </c>
      <c r="AW373" s="818">
        <f t="shared" si="263"/>
        <v>0</v>
      </c>
      <c r="AX373" s="818">
        <f t="shared" si="264"/>
        <v>0</v>
      </c>
      <c r="AY373" s="88">
        <f t="shared" si="239"/>
        <v>0</v>
      </c>
      <c r="AZ373" s="81">
        <f t="shared" si="240"/>
        <v>0</v>
      </c>
      <c r="BA373" s="81">
        <f t="shared" si="241"/>
        <v>0</v>
      </c>
      <c r="BB373" s="81">
        <f t="shared" si="242"/>
        <v>0</v>
      </c>
      <c r="BC373" s="81">
        <f t="shared" si="243"/>
        <v>0</v>
      </c>
      <c r="BD373" s="81">
        <f t="shared" si="244"/>
        <v>0</v>
      </c>
      <c r="BE373" s="81">
        <f t="shared" si="245"/>
        <v>0</v>
      </c>
      <c r="BF373" s="81">
        <f t="shared" si="246"/>
        <v>0</v>
      </c>
      <c r="BG373" s="81">
        <f t="shared" si="247"/>
        <v>0</v>
      </c>
      <c r="BH373" s="81">
        <f t="shared" si="248"/>
        <v>0</v>
      </c>
      <c r="BI373" s="81">
        <f t="shared" si="249"/>
        <v>0</v>
      </c>
      <c r="BJ373" s="81">
        <f t="shared" si="250"/>
        <v>0</v>
      </c>
      <c r="BK373" s="81">
        <f t="shared" si="251"/>
        <v>0</v>
      </c>
      <c r="BL373" s="81">
        <f t="shared" si="252"/>
        <v>0</v>
      </c>
      <c r="BM373" s="81">
        <f t="shared" si="253"/>
        <v>0</v>
      </c>
      <c r="BN373" s="81">
        <f t="shared" si="254"/>
        <v>0</v>
      </c>
      <c r="BO373" s="81">
        <f t="shared" si="255"/>
        <v>0</v>
      </c>
      <c r="BP373" s="81">
        <f t="shared" si="256"/>
        <v>0</v>
      </c>
      <c r="BQ373" s="81">
        <f t="shared" si="257"/>
        <v>0</v>
      </c>
      <c r="BR373" s="81">
        <f t="shared" si="258"/>
        <v>0</v>
      </c>
      <c r="BS373" s="81">
        <f t="shared" si="259"/>
        <v>0</v>
      </c>
      <c r="BT373" s="89">
        <f t="shared" si="260"/>
        <v>0</v>
      </c>
    </row>
    <row r="374" spans="1:72">
      <c r="A374" s="79"/>
      <c r="B374" s="80"/>
      <c r="C374" s="80"/>
      <c r="D374" s="2301"/>
      <c r="E374" s="81">
        <f t="shared" si="261"/>
        <v>0</v>
      </c>
      <c r="F374" s="82"/>
      <c r="G374" s="83">
        <f t="shared" si="236"/>
        <v>0</v>
      </c>
      <c r="H374" s="84">
        <f t="shared" si="237"/>
        <v>0</v>
      </c>
      <c r="I374" s="85"/>
      <c r="J374" s="85"/>
      <c r="K374" s="85"/>
      <c r="L374" s="85"/>
      <c r="M374" s="85"/>
      <c r="N374" s="85"/>
      <c r="O374" s="85"/>
      <c r="P374" s="85"/>
      <c r="Q374" s="85"/>
      <c r="R374" s="85"/>
      <c r="S374" s="85"/>
      <c r="T374" s="85"/>
      <c r="U374" s="85"/>
      <c r="V374" s="85"/>
      <c r="W374" s="85"/>
      <c r="X374" s="85"/>
      <c r="Y374" s="85"/>
      <c r="Z374" s="85"/>
      <c r="AA374" s="85"/>
      <c r="AB374" s="85"/>
      <c r="AC374" s="81">
        <f t="shared" si="238"/>
        <v>0</v>
      </c>
      <c r="AD374" s="86"/>
      <c r="AE374" s="86"/>
      <c r="AF374" s="86"/>
      <c r="AG374" s="86"/>
      <c r="AH374" s="86"/>
      <c r="AI374" s="86"/>
      <c r="AJ374" s="86"/>
      <c r="AK374" s="86"/>
      <c r="AL374" s="86"/>
      <c r="AM374" s="86"/>
      <c r="AN374" s="86"/>
      <c r="AO374" s="86"/>
      <c r="AP374" s="86"/>
      <c r="AQ374" s="86"/>
      <c r="AR374" s="86"/>
      <c r="AS374" s="86"/>
      <c r="AT374" s="82"/>
      <c r="AU374" s="87"/>
      <c r="AV374" s="818">
        <f t="shared" si="262"/>
        <v>0</v>
      </c>
      <c r="AW374" s="818">
        <f t="shared" si="263"/>
        <v>0</v>
      </c>
      <c r="AX374" s="818">
        <f t="shared" si="264"/>
        <v>0</v>
      </c>
      <c r="AY374" s="88">
        <f t="shared" si="239"/>
        <v>0</v>
      </c>
      <c r="AZ374" s="81">
        <f t="shared" si="240"/>
        <v>0</v>
      </c>
      <c r="BA374" s="81">
        <f t="shared" si="241"/>
        <v>0</v>
      </c>
      <c r="BB374" s="81">
        <f t="shared" si="242"/>
        <v>0</v>
      </c>
      <c r="BC374" s="81">
        <f t="shared" si="243"/>
        <v>0</v>
      </c>
      <c r="BD374" s="81">
        <f t="shared" si="244"/>
        <v>0</v>
      </c>
      <c r="BE374" s="81">
        <f t="shared" si="245"/>
        <v>0</v>
      </c>
      <c r="BF374" s="81">
        <f t="shared" si="246"/>
        <v>0</v>
      </c>
      <c r="BG374" s="81">
        <f t="shared" si="247"/>
        <v>0</v>
      </c>
      <c r="BH374" s="81">
        <f t="shared" si="248"/>
        <v>0</v>
      </c>
      <c r="BI374" s="81">
        <f t="shared" si="249"/>
        <v>0</v>
      </c>
      <c r="BJ374" s="81">
        <f t="shared" si="250"/>
        <v>0</v>
      </c>
      <c r="BK374" s="81">
        <f t="shared" si="251"/>
        <v>0</v>
      </c>
      <c r="BL374" s="81">
        <f t="shared" si="252"/>
        <v>0</v>
      </c>
      <c r="BM374" s="81">
        <f t="shared" si="253"/>
        <v>0</v>
      </c>
      <c r="BN374" s="81">
        <f t="shared" si="254"/>
        <v>0</v>
      </c>
      <c r="BO374" s="81">
        <f t="shared" si="255"/>
        <v>0</v>
      </c>
      <c r="BP374" s="81">
        <f t="shared" si="256"/>
        <v>0</v>
      </c>
      <c r="BQ374" s="81">
        <f t="shared" si="257"/>
        <v>0</v>
      </c>
      <c r="BR374" s="81">
        <f t="shared" si="258"/>
        <v>0</v>
      </c>
      <c r="BS374" s="81">
        <f t="shared" si="259"/>
        <v>0</v>
      </c>
      <c r="BT374" s="89">
        <f t="shared" si="260"/>
        <v>0</v>
      </c>
    </row>
    <row r="375" spans="1:72">
      <c r="A375" s="79"/>
      <c r="B375" s="80"/>
      <c r="C375" s="80"/>
      <c r="D375" s="2301"/>
      <c r="E375" s="81">
        <f t="shared" si="261"/>
        <v>0</v>
      </c>
      <c r="F375" s="82"/>
      <c r="G375" s="83">
        <f t="shared" si="236"/>
        <v>0</v>
      </c>
      <c r="H375" s="84">
        <f t="shared" si="237"/>
        <v>0</v>
      </c>
      <c r="I375" s="85"/>
      <c r="J375" s="85"/>
      <c r="K375" s="85"/>
      <c r="L375" s="85"/>
      <c r="M375" s="85"/>
      <c r="N375" s="85"/>
      <c r="O375" s="85"/>
      <c r="P375" s="85"/>
      <c r="Q375" s="85"/>
      <c r="R375" s="85"/>
      <c r="S375" s="85"/>
      <c r="T375" s="85"/>
      <c r="U375" s="85"/>
      <c r="V375" s="85"/>
      <c r="W375" s="85"/>
      <c r="X375" s="85"/>
      <c r="Y375" s="85"/>
      <c r="Z375" s="85"/>
      <c r="AA375" s="85"/>
      <c r="AB375" s="85"/>
      <c r="AC375" s="81">
        <f t="shared" si="238"/>
        <v>0</v>
      </c>
      <c r="AD375" s="86"/>
      <c r="AE375" s="86"/>
      <c r="AF375" s="86"/>
      <c r="AG375" s="86"/>
      <c r="AH375" s="86"/>
      <c r="AI375" s="86"/>
      <c r="AJ375" s="86"/>
      <c r="AK375" s="86"/>
      <c r="AL375" s="86"/>
      <c r="AM375" s="86"/>
      <c r="AN375" s="86"/>
      <c r="AO375" s="86"/>
      <c r="AP375" s="86"/>
      <c r="AQ375" s="86"/>
      <c r="AR375" s="86"/>
      <c r="AS375" s="86"/>
      <c r="AT375" s="82"/>
      <c r="AU375" s="87"/>
      <c r="AV375" s="818">
        <f t="shared" si="262"/>
        <v>0</v>
      </c>
      <c r="AW375" s="818">
        <f t="shared" si="263"/>
        <v>0</v>
      </c>
      <c r="AX375" s="818">
        <f t="shared" si="264"/>
        <v>0</v>
      </c>
      <c r="AY375" s="88">
        <f t="shared" si="239"/>
        <v>0</v>
      </c>
      <c r="AZ375" s="81">
        <f t="shared" si="240"/>
        <v>0</v>
      </c>
      <c r="BA375" s="81">
        <f t="shared" si="241"/>
        <v>0</v>
      </c>
      <c r="BB375" s="81">
        <f t="shared" si="242"/>
        <v>0</v>
      </c>
      <c r="BC375" s="81">
        <f t="shared" si="243"/>
        <v>0</v>
      </c>
      <c r="BD375" s="81">
        <f t="shared" si="244"/>
        <v>0</v>
      </c>
      <c r="BE375" s="81">
        <f t="shared" si="245"/>
        <v>0</v>
      </c>
      <c r="BF375" s="81">
        <f t="shared" si="246"/>
        <v>0</v>
      </c>
      <c r="BG375" s="81">
        <f t="shared" si="247"/>
        <v>0</v>
      </c>
      <c r="BH375" s="81">
        <f t="shared" si="248"/>
        <v>0</v>
      </c>
      <c r="BI375" s="81">
        <f t="shared" si="249"/>
        <v>0</v>
      </c>
      <c r="BJ375" s="81">
        <f t="shared" si="250"/>
        <v>0</v>
      </c>
      <c r="BK375" s="81">
        <f t="shared" si="251"/>
        <v>0</v>
      </c>
      <c r="BL375" s="81">
        <f t="shared" si="252"/>
        <v>0</v>
      </c>
      <c r="BM375" s="81">
        <f t="shared" si="253"/>
        <v>0</v>
      </c>
      <c r="BN375" s="81">
        <f t="shared" si="254"/>
        <v>0</v>
      </c>
      <c r="BO375" s="81">
        <f t="shared" si="255"/>
        <v>0</v>
      </c>
      <c r="BP375" s="81">
        <f t="shared" si="256"/>
        <v>0</v>
      </c>
      <c r="BQ375" s="81">
        <f t="shared" si="257"/>
        <v>0</v>
      </c>
      <c r="BR375" s="81">
        <f t="shared" si="258"/>
        <v>0</v>
      </c>
      <c r="BS375" s="81">
        <f t="shared" si="259"/>
        <v>0</v>
      </c>
      <c r="BT375" s="89">
        <f t="shared" si="260"/>
        <v>0</v>
      </c>
    </row>
    <row r="376" spans="1:72">
      <c r="A376" s="79"/>
      <c r="B376" s="80"/>
      <c r="C376" s="80"/>
      <c r="D376" s="2301"/>
      <c r="E376" s="81">
        <f t="shared" si="261"/>
        <v>0</v>
      </c>
      <c r="F376" s="82"/>
      <c r="G376" s="83">
        <f t="shared" si="236"/>
        <v>0</v>
      </c>
      <c r="H376" s="84">
        <f t="shared" si="237"/>
        <v>0</v>
      </c>
      <c r="I376" s="85"/>
      <c r="J376" s="85"/>
      <c r="K376" s="85"/>
      <c r="L376" s="85"/>
      <c r="M376" s="85"/>
      <c r="N376" s="85"/>
      <c r="O376" s="85"/>
      <c r="P376" s="85"/>
      <c r="Q376" s="85"/>
      <c r="R376" s="85"/>
      <c r="S376" s="85"/>
      <c r="T376" s="85"/>
      <c r="U376" s="85"/>
      <c r="V376" s="85"/>
      <c r="W376" s="85"/>
      <c r="X376" s="85"/>
      <c r="Y376" s="85"/>
      <c r="Z376" s="85"/>
      <c r="AA376" s="85"/>
      <c r="AB376" s="85"/>
      <c r="AC376" s="81">
        <f t="shared" si="238"/>
        <v>0</v>
      </c>
      <c r="AD376" s="86"/>
      <c r="AE376" s="86"/>
      <c r="AF376" s="86"/>
      <c r="AG376" s="86"/>
      <c r="AH376" s="86"/>
      <c r="AI376" s="86"/>
      <c r="AJ376" s="86"/>
      <c r="AK376" s="86"/>
      <c r="AL376" s="86"/>
      <c r="AM376" s="86"/>
      <c r="AN376" s="86"/>
      <c r="AO376" s="86"/>
      <c r="AP376" s="86"/>
      <c r="AQ376" s="86"/>
      <c r="AR376" s="86"/>
      <c r="AS376" s="86"/>
      <c r="AT376" s="82"/>
      <c r="AU376" s="87"/>
      <c r="AV376" s="818">
        <f t="shared" si="262"/>
        <v>0</v>
      </c>
      <c r="AW376" s="818">
        <f t="shared" si="263"/>
        <v>0</v>
      </c>
      <c r="AX376" s="818">
        <f t="shared" si="264"/>
        <v>0</v>
      </c>
      <c r="AY376" s="88">
        <f t="shared" si="239"/>
        <v>0</v>
      </c>
      <c r="AZ376" s="81">
        <f t="shared" si="240"/>
        <v>0</v>
      </c>
      <c r="BA376" s="81">
        <f t="shared" si="241"/>
        <v>0</v>
      </c>
      <c r="BB376" s="81">
        <f t="shared" si="242"/>
        <v>0</v>
      </c>
      <c r="BC376" s="81">
        <f t="shared" si="243"/>
        <v>0</v>
      </c>
      <c r="BD376" s="81">
        <f t="shared" si="244"/>
        <v>0</v>
      </c>
      <c r="BE376" s="81">
        <f t="shared" si="245"/>
        <v>0</v>
      </c>
      <c r="BF376" s="81">
        <f t="shared" si="246"/>
        <v>0</v>
      </c>
      <c r="BG376" s="81">
        <f t="shared" si="247"/>
        <v>0</v>
      </c>
      <c r="BH376" s="81">
        <f t="shared" si="248"/>
        <v>0</v>
      </c>
      <c r="BI376" s="81">
        <f t="shared" si="249"/>
        <v>0</v>
      </c>
      <c r="BJ376" s="81">
        <f t="shared" si="250"/>
        <v>0</v>
      </c>
      <c r="BK376" s="81">
        <f t="shared" si="251"/>
        <v>0</v>
      </c>
      <c r="BL376" s="81">
        <f t="shared" si="252"/>
        <v>0</v>
      </c>
      <c r="BM376" s="81">
        <f t="shared" si="253"/>
        <v>0</v>
      </c>
      <c r="BN376" s="81">
        <f t="shared" si="254"/>
        <v>0</v>
      </c>
      <c r="BO376" s="81">
        <f t="shared" si="255"/>
        <v>0</v>
      </c>
      <c r="BP376" s="81">
        <f t="shared" si="256"/>
        <v>0</v>
      </c>
      <c r="BQ376" s="81">
        <f t="shared" si="257"/>
        <v>0</v>
      </c>
      <c r="BR376" s="81">
        <f t="shared" si="258"/>
        <v>0</v>
      </c>
      <c r="BS376" s="81">
        <f t="shared" si="259"/>
        <v>0</v>
      </c>
      <c r="BT376" s="89">
        <f t="shared" si="260"/>
        <v>0</v>
      </c>
    </row>
    <row r="377" spans="1:72">
      <c r="A377" s="79"/>
      <c r="B377" s="80"/>
      <c r="C377" s="80"/>
      <c r="D377" s="2301"/>
      <c r="E377" s="81">
        <f t="shared" si="261"/>
        <v>0</v>
      </c>
      <c r="F377" s="82"/>
      <c r="G377" s="83">
        <f t="shared" si="236"/>
        <v>0</v>
      </c>
      <c r="H377" s="84">
        <f t="shared" si="237"/>
        <v>0</v>
      </c>
      <c r="I377" s="85"/>
      <c r="J377" s="85"/>
      <c r="K377" s="85"/>
      <c r="L377" s="85"/>
      <c r="M377" s="85"/>
      <c r="N377" s="85"/>
      <c r="O377" s="85"/>
      <c r="P377" s="85"/>
      <c r="Q377" s="85"/>
      <c r="R377" s="85"/>
      <c r="S377" s="85"/>
      <c r="T377" s="85"/>
      <c r="U377" s="85"/>
      <c r="V377" s="85"/>
      <c r="W377" s="85"/>
      <c r="X377" s="85"/>
      <c r="Y377" s="85"/>
      <c r="Z377" s="85"/>
      <c r="AA377" s="85"/>
      <c r="AB377" s="85"/>
      <c r="AC377" s="81">
        <f t="shared" si="238"/>
        <v>0</v>
      </c>
      <c r="AD377" s="86"/>
      <c r="AE377" s="86"/>
      <c r="AF377" s="86"/>
      <c r="AG377" s="86"/>
      <c r="AH377" s="86"/>
      <c r="AI377" s="86"/>
      <c r="AJ377" s="86"/>
      <c r="AK377" s="86"/>
      <c r="AL377" s="86"/>
      <c r="AM377" s="86"/>
      <c r="AN377" s="86"/>
      <c r="AO377" s="86"/>
      <c r="AP377" s="86"/>
      <c r="AQ377" s="86"/>
      <c r="AR377" s="86"/>
      <c r="AS377" s="86"/>
      <c r="AT377" s="82"/>
      <c r="AU377" s="87"/>
      <c r="AV377" s="818">
        <f t="shared" si="262"/>
        <v>0</v>
      </c>
      <c r="AW377" s="818">
        <f t="shared" si="263"/>
        <v>0</v>
      </c>
      <c r="AX377" s="818">
        <f t="shared" si="264"/>
        <v>0</v>
      </c>
      <c r="AY377" s="88">
        <f t="shared" si="239"/>
        <v>0</v>
      </c>
      <c r="AZ377" s="81">
        <f t="shared" si="240"/>
        <v>0</v>
      </c>
      <c r="BA377" s="81">
        <f t="shared" si="241"/>
        <v>0</v>
      </c>
      <c r="BB377" s="81">
        <f t="shared" si="242"/>
        <v>0</v>
      </c>
      <c r="BC377" s="81">
        <f t="shared" si="243"/>
        <v>0</v>
      </c>
      <c r="BD377" s="81">
        <f t="shared" si="244"/>
        <v>0</v>
      </c>
      <c r="BE377" s="81">
        <f t="shared" si="245"/>
        <v>0</v>
      </c>
      <c r="BF377" s="81">
        <f t="shared" si="246"/>
        <v>0</v>
      </c>
      <c r="BG377" s="81">
        <f t="shared" si="247"/>
        <v>0</v>
      </c>
      <c r="BH377" s="81">
        <f t="shared" si="248"/>
        <v>0</v>
      </c>
      <c r="BI377" s="81">
        <f t="shared" si="249"/>
        <v>0</v>
      </c>
      <c r="BJ377" s="81">
        <f t="shared" si="250"/>
        <v>0</v>
      </c>
      <c r="BK377" s="81">
        <f t="shared" si="251"/>
        <v>0</v>
      </c>
      <c r="BL377" s="81">
        <f t="shared" si="252"/>
        <v>0</v>
      </c>
      <c r="BM377" s="81">
        <f t="shared" si="253"/>
        <v>0</v>
      </c>
      <c r="BN377" s="81">
        <f t="shared" si="254"/>
        <v>0</v>
      </c>
      <c r="BO377" s="81">
        <f t="shared" si="255"/>
        <v>0</v>
      </c>
      <c r="BP377" s="81">
        <f t="shared" si="256"/>
        <v>0</v>
      </c>
      <c r="BQ377" s="81">
        <f t="shared" si="257"/>
        <v>0</v>
      </c>
      <c r="BR377" s="81">
        <f t="shared" si="258"/>
        <v>0</v>
      </c>
      <c r="BS377" s="81">
        <f t="shared" si="259"/>
        <v>0</v>
      </c>
      <c r="BT377" s="89">
        <f t="shared" si="260"/>
        <v>0</v>
      </c>
    </row>
    <row r="378" spans="1:72">
      <c r="A378" s="79"/>
      <c r="B378" s="80"/>
      <c r="C378" s="80"/>
      <c r="D378" s="2301"/>
      <c r="E378" s="81">
        <f t="shared" si="261"/>
        <v>0</v>
      </c>
      <c r="F378" s="82"/>
      <c r="G378" s="83">
        <f t="shared" si="236"/>
        <v>0</v>
      </c>
      <c r="H378" s="84">
        <f t="shared" si="237"/>
        <v>0</v>
      </c>
      <c r="I378" s="85"/>
      <c r="J378" s="85"/>
      <c r="K378" s="85"/>
      <c r="L378" s="85"/>
      <c r="M378" s="85"/>
      <c r="N378" s="85"/>
      <c r="O378" s="85"/>
      <c r="P378" s="85"/>
      <c r="Q378" s="85"/>
      <c r="R378" s="85"/>
      <c r="S378" s="85"/>
      <c r="T378" s="85"/>
      <c r="U378" s="85"/>
      <c r="V378" s="85"/>
      <c r="W378" s="85"/>
      <c r="X378" s="85"/>
      <c r="Y378" s="85"/>
      <c r="Z378" s="85"/>
      <c r="AA378" s="85"/>
      <c r="AB378" s="85"/>
      <c r="AC378" s="81">
        <f t="shared" si="238"/>
        <v>0</v>
      </c>
      <c r="AD378" s="86"/>
      <c r="AE378" s="86"/>
      <c r="AF378" s="86"/>
      <c r="AG378" s="86"/>
      <c r="AH378" s="86"/>
      <c r="AI378" s="86"/>
      <c r="AJ378" s="86"/>
      <c r="AK378" s="86"/>
      <c r="AL378" s="86"/>
      <c r="AM378" s="86"/>
      <c r="AN378" s="86"/>
      <c r="AO378" s="86"/>
      <c r="AP378" s="86"/>
      <c r="AQ378" s="86"/>
      <c r="AR378" s="86"/>
      <c r="AS378" s="86"/>
      <c r="AT378" s="82"/>
      <c r="AU378" s="87"/>
      <c r="AV378" s="818">
        <f t="shared" si="262"/>
        <v>0</v>
      </c>
      <c r="AW378" s="818">
        <f t="shared" si="263"/>
        <v>0</v>
      </c>
      <c r="AX378" s="818">
        <f t="shared" si="264"/>
        <v>0</v>
      </c>
      <c r="AY378" s="88">
        <f t="shared" si="239"/>
        <v>0</v>
      </c>
      <c r="AZ378" s="81">
        <f t="shared" si="240"/>
        <v>0</v>
      </c>
      <c r="BA378" s="81">
        <f t="shared" si="241"/>
        <v>0</v>
      </c>
      <c r="BB378" s="81">
        <f t="shared" si="242"/>
        <v>0</v>
      </c>
      <c r="BC378" s="81">
        <f t="shared" si="243"/>
        <v>0</v>
      </c>
      <c r="BD378" s="81">
        <f t="shared" si="244"/>
        <v>0</v>
      </c>
      <c r="BE378" s="81">
        <f t="shared" si="245"/>
        <v>0</v>
      </c>
      <c r="BF378" s="81">
        <f t="shared" si="246"/>
        <v>0</v>
      </c>
      <c r="BG378" s="81">
        <f t="shared" si="247"/>
        <v>0</v>
      </c>
      <c r="BH378" s="81">
        <f t="shared" si="248"/>
        <v>0</v>
      </c>
      <c r="BI378" s="81">
        <f t="shared" si="249"/>
        <v>0</v>
      </c>
      <c r="BJ378" s="81">
        <f t="shared" si="250"/>
        <v>0</v>
      </c>
      <c r="BK378" s="81">
        <f t="shared" si="251"/>
        <v>0</v>
      </c>
      <c r="BL378" s="81">
        <f t="shared" si="252"/>
        <v>0</v>
      </c>
      <c r="BM378" s="81">
        <f t="shared" si="253"/>
        <v>0</v>
      </c>
      <c r="BN378" s="81">
        <f t="shared" si="254"/>
        <v>0</v>
      </c>
      <c r="BO378" s="81">
        <f t="shared" si="255"/>
        <v>0</v>
      </c>
      <c r="BP378" s="81">
        <f t="shared" si="256"/>
        <v>0</v>
      </c>
      <c r="BQ378" s="81">
        <f t="shared" si="257"/>
        <v>0</v>
      </c>
      <c r="BR378" s="81">
        <f t="shared" si="258"/>
        <v>0</v>
      </c>
      <c r="BS378" s="81">
        <f t="shared" si="259"/>
        <v>0</v>
      </c>
      <c r="BT378" s="89">
        <f t="shared" si="260"/>
        <v>0</v>
      </c>
    </row>
    <row r="379" spans="1:72">
      <c r="A379" s="79"/>
      <c r="B379" s="80"/>
      <c r="C379" s="80"/>
      <c r="D379" s="2301"/>
      <c r="E379" s="81">
        <f t="shared" si="261"/>
        <v>0</v>
      </c>
      <c r="F379" s="82"/>
      <c r="G379" s="83">
        <f t="shared" si="236"/>
        <v>0</v>
      </c>
      <c r="H379" s="84">
        <f t="shared" si="237"/>
        <v>0</v>
      </c>
      <c r="I379" s="85"/>
      <c r="J379" s="85"/>
      <c r="K379" s="85"/>
      <c r="L379" s="85"/>
      <c r="M379" s="85"/>
      <c r="N379" s="85"/>
      <c r="O379" s="85"/>
      <c r="P379" s="85"/>
      <c r="Q379" s="85"/>
      <c r="R379" s="85"/>
      <c r="S379" s="85"/>
      <c r="T379" s="85"/>
      <c r="U379" s="85"/>
      <c r="V379" s="85"/>
      <c r="W379" s="85"/>
      <c r="X379" s="85"/>
      <c r="Y379" s="85"/>
      <c r="Z379" s="85"/>
      <c r="AA379" s="85"/>
      <c r="AB379" s="85"/>
      <c r="AC379" s="81">
        <f t="shared" si="238"/>
        <v>0</v>
      </c>
      <c r="AD379" s="86"/>
      <c r="AE379" s="86"/>
      <c r="AF379" s="86"/>
      <c r="AG379" s="86"/>
      <c r="AH379" s="86"/>
      <c r="AI379" s="86"/>
      <c r="AJ379" s="86"/>
      <c r="AK379" s="86"/>
      <c r="AL379" s="86"/>
      <c r="AM379" s="86"/>
      <c r="AN379" s="86"/>
      <c r="AO379" s="86"/>
      <c r="AP379" s="86"/>
      <c r="AQ379" s="86"/>
      <c r="AR379" s="86"/>
      <c r="AS379" s="86"/>
      <c r="AT379" s="82"/>
      <c r="AU379" s="87"/>
      <c r="AV379" s="818">
        <f t="shared" si="262"/>
        <v>0</v>
      </c>
      <c r="AW379" s="818">
        <f t="shared" si="263"/>
        <v>0</v>
      </c>
      <c r="AX379" s="818">
        <f t="shared" si="264"/>
        <v>0</v>
      </c>
      <c r="AY379" s="88">
        <f t="shared" si="239"/>
        <v>0</v>
      </c>
      <c r="AZ379" s="81">
        <f t="shared" si="240"/>
        <v>0</v>
      </c>
      <c r="BA379" s="81">
        <f t="shared" si="241"/>
        <v>0</v>
      </c>
      <c r="BB379" s="81">
        <f t="shared" si="242"/>
        <v>0</v>
      </c>
      <c r="BC379" s="81">
        <f t="shared" si="243"/>
        <v>0</v>
      </c>
      <c r="BD379" s="81">
        <f t="shared" si="244"/>
        <v>0</v>
      </c>
      <c r="BE379" s="81">
        <f t="shared" si="245"/>
        <v>0</v>
      </c>
      <c r="BF379" s="81">
        <f t="shared" si="246"/>
        <v>0</v>
      </c>
      <c r="BG379" s="81">
        <f t="shared" si="247"/>
        <v>0</v>
      </c>
      <c r="BH379" s="81">
        <f t="shared" si="248"/>
        <v>0</v>
      </c>
      <c r="BI379" s="81">
        <f t="shared" si="249"/>
        <v>0</v>
      </c>
      <c r="BJ379" s="81">
        <f t="shared" si="250"/>
        <v>0</v>
      </c>
      <c r="BK379" s="81">
        <f t="shared" si="251"/>
        <v>0</v>
      </c>
      <c r="BL379" s="81">
        <f t="shared" si="252"/>
        <v>0</v>
      </c>
      <c r="BM379" s="81">
        <f t="shared" si="253"/>
        <v>0</v>
      </c>
      <c r="BN379" s="81">
        <f t="shared" si="254"/>
        <v>0</v>
      </c>
      <c r="BO379" s="81">
        <f t="shared" si="255"/>
        <v>0</v>
      </c>
      <c r="BP379" s="81">
        <f t="shared" si="256"/>
        <v>0</v>
      </c>
      <c r="BQ379" s="81">
        <f t="shared" si="257"/>
        <v>0</v>
      </c>
      <c r="BR379" s="81">
        <f t="shared" si="258"/>
        <v>0</v>
      </c>
      <c r="BS379" s="81">
        <f t="shared" si="259"/>
        <v>0</v>
      </c>
      <c r="BT379" s="89">
        <f t="shared" si="260"/>
        <v>0</v>
      </c>
    </row>
    <row r="380" spans="1:72">
      <c r="A380" s="79"/>
      <c r="B380" s="80"/>
      <c r="C380" s="80"/>
      <c r="D380" s="2301"/>
      <c r="E380" s="81">
        <f t="shared" si="261"/>
        <v>0</v>
      </c>
      <c r="F380" s="82"/>
      <c r="G380" s="83">
        <f t="shared" si="236"/>
        <v>0</v>
      </c>
      <c r="H380" s="84">
        <f t="shared" si="237"/>
        <v>0</v>
      </c>
      <c r="I380" s="85"/>
      <c r="J380" s="85"/>
      <c r="K380" s="85"/>
      <c r="L380" s="85"/>
      <c r="M380" s="85"/>
      <c r="N380" s="85"/>
      <c r="O380" s="85"/>
      <c r="P380" s="85"/>
      <c r="Q380" s="85"/>
      <c r="R380" s="85"/>
      <c r="S380" s="85"/>
      <c r="T380" s="85"/>
      <c r="U380" s="85"/>
      <c r="V380" s="85"/>
      <c r="W380" s="85"/>
      <c r="X380" s="85"/>
      <c r="Y380" s="85"/>
      <c r="Z380" s="85"/>
      <c r="AA380" s="85"/>
      <c r="AB380" s="85"/>
      <c r="AC380" s="81">
        <f t="shared" si="238"/>
        <v>0</v>
      </c>
      <c r="AD380" s="86"/>
      <c r="AE380" s="86"/>
      <c r="AF380" s="86"/>
      <c r="AG380" s="86"/>
      <c r="AH380" s="86"/>
      <c r="AI380" s="86"/>
      <c r="AJ380" s="86"/>
      <c r="AK380" s="86"/>
      <c r="AL380" s="86"/>
      <c r="AM380" s="86"/>
      <c r="AN380" s="86"/>
      <c r="AO380" s="86"/>
      <c r="AP380" s="86"/>
      <c r="AQ380" s="86"/>
      <c r="AR380" s="86"/>
      <c r="AS380" s="86"/>
      <c r="AT380" s="82"/>
      <c r="AU380" s="87"/>
      <c r="AV380" s="818">
        <f t="shared" si="262"/>
        <v>0</v>
      </c>
      <c r="AW380" s="818">
        <f t="shared" si="263"/>
        <v>0</v>
      </c>
      <c r="AX380" s="818">
        <f t="shared" si="264"/>
        <v>0</v>
      </c>
      <c r="AY380" s="88">
        <f t="shared" si="239"/>
        <v>0</v>
      </c>
      <c r="AZ380" s="81">
        <f t="shared" si="240"/>
        <v>0</v>
      </c>
      <c r="BA380" s="81">
        <f t="shared" si="241"/>
        <v>0</v>
      </c>
      <c r="BB380" s="81">
        <f t="shared" si="242"/>
        <v>0</v>
      </c>
      <c r="BC380" s="81">
        <f t="shared" si="243"/>
        <v>0</v>
      </c>
      <c r="BD380" s="81">
        <f t="shared" si="244"/>
        <v>0</v>
      </c>
      <c r="BE380" s="81">
        <f t="shared" si="245"/>
        <v>0</v>
      </c>
      <c r="BF380" s="81">
        <f t="shared" si="246"/>
        <v>0</v>
      </c>
      <c r="BG380" s="81">
        <f t="shared" si="247"/>
        <v>0</v>
      </c>
      <c r="BH380" s="81">
        <f t="shared" si="248"/>
        <v>0</v>
      </c>
      <c r="BI380" s="81">
        <f t="shared" si="249"/>
        <v>0</v>
      </c>
      <c r="BJ380" s="81">
        <f t="shared" si="250"/>
        <v>0</v>
      </c>
      <c r="BK380" s="81">
        <f t="shared" si="251"/>
        <v>0</v>
      </c>
      <c r="BL380" s="81">
        <f t="shared" si="252"/>
        <v>0</v>
      </c>
      <c r="BM380" s="81">
        <f t="shared" si="253"/>
        <v>0</v>
      </c>
      <c r="BN380" s="81">
        <f t="shared" si="254"/>
        <v>0</v>
      </c>
      <c r="BO380" s="81">
        <f t="shared" si="255"/>
        <v>0</v>
      </c>
      <c r="BP380" s="81">
        <f t="shared" si="256"/>
        <v>0</v>
      </c>
      <c r="BQ380" s="81">
        <f t="shared" si="257"/>
        <v>0</v>
      </c>
      <c r="BR380" s="81">
        <f t="shared" si="258"/>
        <v>0</v>
      </c>
      <c r="BS380" s="81">
        <f t="shared" si="259"/>
        <v>0</v>
      </c>
      <c r="BT380" s="89">
        <f t="shared" si="260"/>
        <v>0</v>
      </c>
    </row>
    <row r="381" spans="1:72">
      <c r="A381" s="79"/>
      <c r="B381" s="80"/>
      <c r="C381" s="80"/>
      <c r="D381" s="2301"/>
      <c r="E381" s="81">
        <f t="shared" si="261"/>
        <v>0</v>
      </c>
      <c r="F381" s="82"/>
      <c r="G381" s="83">
        <f t="shared" si="236"/>
        <v>0</v>
      </c>
      <c r="H381" s="84">
        <f t="shared" si="237"/>
        <v>0</v>
      </c>
      <c r="I381" s="85"/>
      <c r="J381" s="85"/>
      <c r="K381" s="85"/>
      <c r="L381" s="85"/>
      <c r="M381" s="85"/>
      <c r="N381" s="85"/>
      <c r="O381" s="85"/>
      <c r="P381" s="85"/>
      <c r="Q381" s="85"/>
      <c r="R381" s="85"/>
      <c r="S381" s="85"/>
      <c r="T381" s="85"/>
      <c r="U381" s="85"/>
      <c r="V381" s="85"/>
      <c r="W381" s="85"/>
      <c r="X381" s="85"/>
      <c r="Y381" s="85"/>
      <c r="Z381" s="85"/>
      <c r="AA381" s="85"/>
      <c r="AB381" s="85"/>
      <c r="AC381" s="81">
        <f t="shared" si="238"/>
        <v>0</v>
      </c>
      <c r="AD381" s="86"/>
      <c r="AE381" s="86"/>
      <c r="AF381" s="86"/>
      <c r="AG381" s="86"/>
      <c r="AH381" s="86"/>
      <c r="AI381" s="86"/>
      <c r="AJ381" s="86"/>
      <c r="AK381" s="86"/>
      <c r="AL381" s="86"/>
      <c r="AM381" s="86"/>
      <c r="AN381" s="86"/>
      <c r="AO381" s="86"/>
      <c r="AP381" s="86"/>
      <c r="AQ381" s="86"/>
      <c r="AR381" s="86"/>
      <c r="AS381" s="86"/>
      <c r="AT381" s="82"/>
      <c r="AU381" s="87"/>
      <c r="AV381" s="818">
        <f t="shared" si="262"/>
        <v>0</v>
      </c>
      <c r="AW381" s="818">
        <f t="shared" si="263"/>
        <v>0</v>
      </c>
      <c r="AX381" s="818">
        <f t="shared" si="264"/>
        <v>0</v>
      </c>
      <c r="AY381" s="88">
        <f t="shared" si="239"/>
        <v>0</v>
      </c>
      <c r="AZ381" s="81">
        <f t="shared" si="240"/>
        <v>0</v>
      </c>
      <c r="BA381" s="81">
        <f t="shared" si="241"/>
        <v>0</v>
      </c>
      <c r="BB381" s="81">
        <f t="shared" si="242"/>
        <v>0</v>
      </c>
      <c r="BC381" s="81">
        <f t="shared" si="243"/>
        <v>0</v>
      </c>
      <c r="BD381" s="81">
        <f t="shared" si="244"/>
        <v>0</v>
      </c>
      <c r="BE381" s="81">
        <f t="shared" si="245"/>
        <v>0</v>
      </c>
      <c r="BF381" s="81">
        <f t="shared" si="246"/>
        <v>0</v>
      </c>
      <c r="BG381" s="81">
        <f t="shared" si="247"/>
        <v>0</v>
      </c>
      <c r="BH381" s="81">
        <f t="shared" si="248"/>
        <v>0</v>
      </c>
      <c r="BI381" s="81">
        <f t="shared" si="249"/>
        <v>0</v>
      </c>
      <c r="BJ381" s="81">
        <f t="shared" si="250"/>
        <v>0</v>
      </c>
      <c r="BK381" s="81">
        <f t="shared" si="251"/>
        <v>0</v>
      </c>
      <c r="BL381" s="81">
        <f t="shared" si="252"/>
        <v>0</v>
      </c>
      <c r="BM381" s="81">
        <f t="shared" si="253"/>
        <v>0</v>
      </c>
      <c r="BN381" s="81">
        <f t="shared" si="254"/>
        <v>0</v>
      </c>
      <c r="BO381" s="81">
        <f t="shared" si="255"/>
        <v>0</v>
      </c>
      <c r="BP381" s="81">
        <f t="shared" si="256"/>
        <v>0</v>
      </c>
      <c r="BQ381" s="81">
        <f t="shared" si="257"/>
        <v>0</v>
      </c>
      <c r="BR381" s="81">
        <f t="shared" si="258"/>
        <v>0</v>
      </c>
      <c r="BS381" s="81">
        <f t="shared" si="259"/>
        <v>0</v>
      </c>
      <c r="BT381" s="89">
        <f t="shared" si="260"/>
        <v>0</v>
      </c>
    </row>
    <row r="382" spans="1:72">
      <c r="A382" s="79"/>
      <c r="B382" s="80"/>
      <c r="C382" s="80"/>
      <c r="D382" s="2301"/>
      <c r="E382" s="81">
        <f t="shared" si="261"/>
        <v>0</v>
      </c>
      <c r="F382" s="82"/>
      <c r="G382" s="83">
        <f t="shared" si="236"/>
        <v>0</v>
      </c>
      <c r="H382" s="84">
        <f t="shared" si="237"/>
        <v>0</v>
      </c>
      <c r="I382" s="85"/>
      <c r="J382" s="85"/>
      <c r="K382" s="85"/>
      <c r="L382" s="85"/>
      <c r="M382" s="85"/>
      <c r="N382" s="85"/>
      <c r="O382" s="85"/>
      <c r="P382" s="85"/>
      <c r="Q382" s="85"/>
      <c r="R382" s="85"/>
      <c r="S382" s="85"/>
      <c r="T382" s="85"/>
      <c r="U382" s="85"/>
      <c r="V382" s="85"/>
      <c r="W382" s="85"/>
      <c r="X382" s="85"/>
      <c r="Y382" s="85"/>
      <c r="Z382" s="85"/>
      <c r="AA382" s="85"/>
      <c r="AB382" s="85"/>
      <c r="AC382" s="81">
        <f t="shared" si="238"/>
        <v>0</v>
      </c>
      <c r="AD382" s="86"/>
      <c r="AE382" s="86"/>
      <c r="AF382" s="86"/>
      <c r="AG382" s="86"/>
      <c r="AH382" s="86"/>
      <c r="AI382" s="86"/>
      <c r="AJ382" s="86"/>
      <c r="AK382" s="86"/>
      <c r="AL382" s="86"/>
      <c r="AM382" s="86"/>
      <c r="AN382" s="86"/>
      <c r="AO382" s="86"/>
      <c r="AP382" s="86"/>
      <c r="AQ382" s="86"/>
      <c r="AR382" s="86"/>
      <c r="AS382" s="86"/>
      <c r="AT382" s="82"/>
      <c r="AU382" s="87"/>
      <c r="AV382" s="818">
        <f t="shared" si="262"/>
        <v>0</v>
      </c>
      <c r="AW382" s="818">
        <f t="shared" si="263"/>
        <v>0</v>
      </c>
      <c r="AX382" s="818">
        <f t="shared" si="264"/>
        <v>0</v>
      </c>
      <c r="AY382" s="88">
        <f t="shared" si="239"/>
        <v>0</v>
      </c>
      <c r="AZ382" s="81">
        <f t="shared" si="240"/>
        <v>0</v>
      </c>
      <c r="BA382" s="81">
        <f t="shared" si="241"/>
        <v>0</v>
      </c>
      <c r="BB382" s="81">
        <f t="shared" si="242"/>
        <v>0</v>
      </c>
      <c r="BC382" s="81">
        <f t="shared" si="243"/>
        <v>0</v>
      </c>
      <c r="BD382" s="81">
        <f t="shared" si="244"/>
        <v>0</v>
      </c>
      <c r="BE382" s="81">
        <f t="shared" si="245"/>
        <v>0</v>
      </c>
      <c r="BF382" s="81">
        <f t="shared" si="246"/>
        <v>0</v>
      </c>
      <c r="BG382" s="81">
        <f t="shared" si="247"/>
        <v>0</v>
      </c>
      <c r="BH382" s="81">
        <f t="shared" si="248"/>
        <v>0</v>
      </c>
      <c r="BI382" s="81">
        <f t="shared" si="249"/>
        <v>0</v>
      </c>
      <c r="BJ382" s="81">
        <f t="shared" si="250"/>
        <v>0</v>
      </c>
      <c r="BK382" s="81">
        <f t="shared" si="251"/>
        <v>0</v>
      </c>
      <c r="BL382" s="81">
        <f t="shared" si="252"/>
        <v>0</v>
      </c>
      <c r="BM382" s="81">
        <f t="shared" si="253"/>
        <v>0</v>
      </c>
      <c r="BN382" s="81">
        <f t="shared" si="254"/>
        <v>0</v>
      </c>
      <c r="BO382" s="81">
        <f t="shared" si="255"/>
        <v>0</v>
      </c>
      <c r="BP382" s="81">
        <f t="shared" si="256"/>
        <v>0</v>
      </c>
      <c r="BQ382" s="81">
        <f t="shared" si="257"/>
        <v>0</v>
      </c>
      <c r="BR382" s="81">
        <f t="shared" si="258"/>
        <v>0</v>
      </c>
      <c r="BS382" s="81">
        <f t="shared" si="259"/>
        <v>0</v>
      </c>
      <c r="BT382" s="89">
        <f t="shared" si="260"/>
        <v>0</v>
      </c>
    </row>
    <row r="383" spans="1:72">
      <c r="A383" s="79"/>
      <c r="B383" s="80"/>
      <c r="C383" s="80"/>
      <c r="D383" s="2301"/>
      <c r="E383" s="81">
        <f t="shared" si="261"/>
        <v>0</v>
      </c>
      <c r="F383" s="82"/>
      <c r="G383" s="83">
        <f t="shared" si="236"/>
        <v>0</v>
      </c>
      <c r="H383" s="84">
        <f t="shared" si="237"/>
        <v>0</v>
      </c>
      <c r="I383" s="85"/>
      <c r="J383" s="85"/>
      <c r="K383" s="85"/>
      <c r="L383" s="85"/>
      <c r="M383" s="85"/>
      <c r="N383" s="85"/>
      <c r="O383" s="85"/>
      <c r="P383" s="85"/>
      <c r="Q383" s="85"/>
      <c r="R383" s="85"/>
      <c r="S383" s="85"/>
      <c r="T383" s="85"/>
      <c r="U383" s="85"/>
      <c r="V383" s="85"/>
      <c r="W383" s="85"/>
      <c r="X383" s="85"/>
      <c r="Y383" s="85"/>
      <c r="Z383" s="85"/>
      <c r="AA383" s="85"/>
      <c r="AB383" s="85"/>
      <c r="AC383" s="81">
        <f t="shared" si="238"/>
        <v>0</v>
      </c>
      <c r="AD383" s="86"/>
      <c r="AE383" s="86"/>
      <c r="AF383" s="86"/>
      <c r="AG383" s="86"/>
      <c r="AH383" s="86"/>
      <c r="AI383" s="86"/>
      <c r="AJ383" s="86"/>
      <c r="AK383" s="86"/>
      <c r="AL383" s="86"/>
      <c r="AM383" s="86"/>
      <c r="AN383" s="86"/>
      <c r="AO383" s="86"/>
      <c r="AP383" s="86"/>
      <c r="AQ383" s="86"/>
      <c r="AR383" s="86"/>
      <c r="AS383" s="86"/>
      <c r="AT383" s="82"/>
      <c r="AU383" s="87"/>
      <c r="AV383" s="818">
        <f t="shared" si="262"/>
        <v>0</v>
      </c>
      <c r="AW383" s="818">
        <f t="shared" si="263"/>
        <v>0</v>
      </c>
      <c r="AX383" s="818">
        <f t="shared" si="264"/>
        <v>0</v>
      </c>
      <c r="AY383" s="88">
        <f t="shared" si="239"/>
        <v>0</v>
      </c>
      <c r="AZ383" s="81">
        <f t="shared" si="240"/>
        <v>0</v>
      </c>
      <c r="BA383" s="81">
        <f t="shared" si="241"/>
        <v>0</v>
      </c>
      <c r="BB383" s="81">
        <f t="shared" si="242"/>
        <v>0</v>
      </c>
      <c r="BC383" s="81">
        <f t="shared" si="243"/>
        <v>0</v>
      </c>
      <c r="BD383" s="81">
        <f t="shared" si="244"/>
        <v>0</v>
      </c>
      <c r="BE383" s="81">
        <f t="shared" si="245"/>
        <v>0</v>
      </c>
      <c r="BF383" s="81">
        <f t="shared" si="246"/>
        <v>0</v>
      </c>
      <c r="BG383" s="81">
        <f t="shared" si="247"/>
        <v>0</v>
      </c>
      <c r="BH383" s="81">
        <f t="shared" si="248"/>
        <v>0</v>
      </c>
      <c r="BI383" s="81">
        <f t="shared" si="249"/>
        <v>0</v>
      </c>
      <c r="BJ383" s="81">
        <f t="shared" si="250"/>
        <v>0</v>
      </c>
      <c r="BK383" s="81">
        <f t="shared" si="251"/>
        <v>0</v>
      </c>
      <c r="BL383" s="81">
        <f t="shared" si="252"/>
        <v>0</v>
      </c>
      <c r="BM383" s="81">
        <f t="shared" si="253"/>
        <v>0</v>
      </c>
      <c r="BN383" s="81">
        <f t="shared" si="254"/>
        <v>0</v>
      </c>
      <c r="BO383" s="81">
        <f t="shared" si="255"/>
        <v>0</v>
      </c>
      <c r="BP383" s="81">
        <f t="shared" si="256"/>
        <v>0</v>
      </c>
      <c r="BQ383" s="81">
        <f t="shared" si="257"/>
        <v>0</v>
      </c>
      <c r="BR383" s="81">
        <f t="shared" si="258"/>
        <v>0</v>
      </c>
      <c r="BS383" s="81">
        <f t="shared" si="259"/>
        <v>0</v>
      </c>
      <c r="BT383" s="89">
        <f t="shared" si="260"/>
        <v>0</v>
      </c>
    </row>
    <row r="384" spans="1:72">
      <c r="A384" s="79"/>
      <c r="B384" s="80"/>
      <c r="C384" s="80"/>
      <c r="D384" s="2301"/>
      <c r="E384" s="81">
        <f t="shared" si="261"/>
        <v>0</v>
      </c>
      <c r="F384" s="82"/>
      <c r="G384" s="83">
        <f t="shared" si="236"/>
        <v>0</v>
      </c>
      <c r="H384" s="84">
        <f t="shared" si="237"/>
        <v>0</v>
      </c>
      <c r="I384" s="85"/>
      <c r="J384" s="85"/>
      <c r="K384" s="85"/>
      <c r="L384" s="85"/>
      <c r="M384" s="85"/>
      <c r="N384" s="85"/>
      <c r="O384" s="85"/>
      <c r="P384" s="85"/>
      <c r="Q384" s="85"/>
      <c r="R384" s="85"/>
      <c r="S384" s="85"/>
      <c r="T384" s="85"/>
      <c r="U384" s="85"/>
      <c r="V384" s="85"/>
      <c r="W384" s="85"/>
      <c r="X384" s="85"/>
      <c r="Y384" s="85"/>
      <c r="Z384" s="85"/>
      <c r="AA384" s="85"/>
      <c r="AB384" s="85"/>
      <c r="AC384" s="81">
        <f t="shared" si="238"/>
        <v>0</v>
      </c>
      <c r="AD384" s="86"/>
      <c r="AE384" s="86"/>
      <c r="AF384" s="86"/>
      <c r="AG384" s="86"/>
      <c r="AH384" s="86"/>
      <c r="AI384" s="86"/>
      <c r="AJ384" s="86"/>
      <c r="AK384" s="86"/>
      <c r="AL384" s="86"/>
      <c r="AM384" s="86"/>
      <c r="AN384" s="86"/>
      <c r="AO384" s="86"/>
      <c r="AP384" s="86"/>
      <c r="AQ384" s="86"/>
      <c r="AR384" s="86"/>
      <c r="AS384" s="86"/>
      <c r="AT384" s="82"/>
      <c r="AU384" s="87"/>
      <c r="AV384" s="818">
        <f t="shared" si="262"/>
        <v>0</v>
      </c>
      <c r="AW384" s="818">
        <f t="shared" si="263"/>
        <v>0</v>
      </c>
      <c r="AX384" s="818">
        <f t="shared" si="264"/>
        <v>0</v>
      </c>
      <c r="AY384" s="88">
        <f t="shared" si="239"/>
        <v>0</v>
      </c>
      <c r="AZ384" s="81">
        <f t="shared" si="240"/>
        <v>0</v>
      </c>
      <c r="BA384" s="81">
        <f t="shared" si="241"/>
        <v>0</v>
      </c>
      <c r="BB384" s="81">
        <f t="shared" si="242"/>
        <v>0</v>
      </c>
      <c r="BC384" s="81">
        <f t="shared" si="243"/>
        <v>0</v>
      </c>
      <c r="BD384" s="81">
        <f t="shared" si="244"/>
        <v>0</v>
      </c>
      <c r="BE384" s="81">
        <f t="shared" si="245"/>
        <v>0</v>
      </c>
      <c r="BF384" s="81">
        <f t="shared" si="246"/>
        <v>0</v>
      </c>
      <c r="BG384" s="81">
        <f t="shared" si="247"/>
        <v>0</v>
      </c>
      <c r="BH384" s="81">
        <f t="shared" si="248"/>
        <v>0</v>
      </c>
      <c r="BI384" s="81">
        <f t="shared" si="249"/>
        <v>0</v>
      </c>
      <c r="BJ384" s="81">
        <f t="shared" si="250"/>
        <v>0</v>
      </c>
      <c r="BK384" s="81">
        <f t="shared" si="251"/>
        <v>0</v>
      </c>
      <c r="BL384" s="81">
        <f t="shared" si="252"/>
        <v>0</v>
      </c>
      <c r="BM384" s="81">
        <f t="shared" si="253"/>
        <v>0</v>
      </c>
      <c r="BN384" s="81">
        <f t="shared" si="254"/>
        <v>0</v>
      </c>
      <c r="BO384" s="81">
        <f t="shared" si="255"/>
        <v>0</v>
      </c>
      <c r="BP384" s="81">
        <f t="shared" si="256"/>
        <v>0</v>
      </c>
      <c r="BQ384" s="81">
        <f t="shared" si="257"/>
        <v>0</v>
      </c>
      <c r="BR384" s="81">
        <f t="shared" si="258"/>
        <v>0</v>
      </c>
      <c r="BS384" s="81">
        <f t="shared" si="259"/>
        <v>0</v>
      </c>
      <c r="BT384" s="89">
        <f t="shared" si="260"/>
        <v>0</v>
      </c>
    </row>
    <row r="385" spans="1:72">
      <c r="A385" s="79"/>
      <c r="B385" s="80"/>
      <c r="C385" s="80"/>
      <c r="D385" s="2301"/>
      <c r="E385" s="81">
        <f t="shared" si="261"/>
        <v>0</v>
      </c>
      <c r="F385" s="82"/>
      <c r="G385" s="83">
        <f t="shared" si="236"/>
        <v>0</v>
      </c>
      <c r="H385" s="84">
        <f t="shared" si="237"/>
        <v>0</v>
      </c>
      <c r="I385" s="85"/>
      <c r="J385" s="85"/>
      <c r="K385" s="85"/>
      <c r="L385" s="85"/>
      <c r="M385" s="85"/>
      <c r="N385" s="85"/>
      <c r="O385" s="85"/>
      <c r="P385" s="85"/>
      <c r="Q385" s="85"/>
      <c r="R385" s="85"/>
      <c r="S385" s="85"/>
      <c r="T385" s="85"/>
      <c r="U385" s="85"/>
      <c r="V385" s="85"/>
      <c r="W385" s="85"/>
      <c r="X385" s="85"/>
      <c r="Y385" s="85"/>
      <c r="Z385" s="85"/>
      <c r="AA385" s="85"/>
      <c r="AB385" s="85"/>
      <c r="AC385" s="81">
        <f t="shared" si="238"/>
        <v>0</v>
      </c>
      <c r="AD385" s="86"/>
      <c r="AE385" s="86"/>
      <c r="AF385" s="86"/>
      <c r="AG385" s="86"/>
      <c r="AH385" s="86"/>
      <c r="AI385" s="86"/>
      <c r="AJ385" s="86"/>
      <c r="AK385" s="86"/>
      <c r="AL385" s="86"/>
      <c r="AM385" s="86"/>
      <c r="AN385" s="86"/>
      <c r="AO385" s="86"/>
      <c r="AP385" s="86"/>
      <c r="AQ385" s="86"/>
      <c r="AR385" s="86"/>
      <c r="AS385" s="86"/>
      <c r="AT385" s="82"/>
      <c r="AU385" s="87"/>
      <c r="AV385" s="818">
        <f t="shared" si="262"/>
        <v>0</v>
      </c>
      <c r="AW385" s="818">
        <f t="shared" si="263"/>
        <v>0</v>
      </c>
      <c r="AX385" s="818">
        <f t="shared" si="264"/>
        <v>0</v>
      </c>
      <c r="AY385" s="88">
        <f t="shared" si="239"/>
        <v>0</v>
      </c>
      <c r="AZ385" s="81">
        <f t="shared" si="240"/>
        <v>0</v>
      </c>
      <c r="BA385" s="81">
        <f t="shared" si="241"/>
        <v>0</v>
      </c>
      <c r="BB385" s="81">
        <f t="shared" si="242"/>
        <v>0</v>
      </c>
      <c r="BC385" s="81">
        <f t="shared" si="243"/>
        <v>0</v>
      </c>
      <c r="BD385" s="81">
        <f t="shared" si="244"/>
        <v>0</v>
      </c>
      <c r="BE385" s="81">
        <f t="shared" si="245"/>
        <v>0</v>
      </c>
      <c r="BF385" s="81">
        <f t="shared" si="246"/>
        <v>0</v>
      </c>
      <c r="BG385" s="81">
        <f t="shared" si="247"/>
        <v>0</v>
      </c>
      <c r="BH385" s="81">
        <f t="shared" si="248"/>
        <v>0</v>
      </c>
      <c r="BI385" s="81">
        <f t="shared" si="249"/>
        <v>0</v>
      </c>
      <c r="BJ385" s="81">
        <f t="shared" si="250"/>
        <v>0</v>
      </c>
      <c r="BK385" s="81">
        <f t="shared" si="251"/>
        <v>0</v>
      </c>
      <c r="BL385" s="81">
        <f t="shared" si="252"/>
        <v>0</v>
      </c>
      <c r="BM385" s="81">
        <f t="shared" si="253"/>
        <v>0</v>
      </c>
      <c r="BN385" s="81">
        <f t="shared" si="254"/>
        <v>0</v>
      </c>
      <c r="BO385" s="81">
        <f t="shared" si="255"/>
        <v>0</v>
      </c>
      <c r="BP385" s="81">
        <f t="shared" si="256"/>
        <v>0</v>
      </c>
      <c r="BQ385" s="81">
        <f t="shared" si="257"/>
        <v>0</v>
      </c>
      <c r="BR385" s="81">
        <f t="shared" si="258"/>
        <v>0</v>
      </c>
      <c r="BS385" s="81">
        <f t="shared" si="259"/>
        <v>0</v>
      </c>
      <c r="BT385" s="89">
        <f t="shared" si="260"/>
        <v>0</v>
      </c>
    </row>
    <row r="386" spans="1:72">
      <c r="A386" s="79"/>
      <c r="B386" s="79"/>
      <c r="C386" s="79"/>
      <c r="D386" s="2301"/>
      <c r="E386" s="81">
        <f t="shared" si="261"/>
        <v>0</v>
      </c>
      <c r="F386" s="86"/>
      <c r="G386" s="83">
        <f t="shared" si="236"/>
        <v>0</v>
      </c>
      <c r="H386" s="84">
        <f t="shared" si="237"/>
        <v>0</v>
      </c>
      <c r="I386" s="90"/>
      <c r="J386" s="90"/>
      <c r="K386" s="85"/>
      <c r="L386" s="85"/>
      <c r="M386" s="85"/>
      <c r="N386" s="85"/>
      <c r="O386" s="85"/>
      <c r="P386" s="85"/>
      <c r="Q386" s="85"/>
      <c r="R386" s="85"/>
      <c r="S386" s="85"/>
      <c r="T386" s="85"/>
      <c r="U386" s="85"/>
      <c r="V386" s="85"/>
      <c r="W386" s="85"/>
      <c r="X386" s="85"/>
      <c r="Y386" s="85"/>
      <c r="Z386" s="85"/>
      <c r="AA386" s="85"/>
      <c r="AB386" s="85"/>
      <c r="AC386" s="81">
        <f t="shared" si="238"/>
        <v>0</v>
      </c>
      <c r="AD386" s="86"/>
      <c r="AE386" s="86"/>
      <c r="AF386" s="86"/>
      <c r="AG386" s="86"/>
      <c r="AH386" s="86"/>
      <c r="AI386" s="86"/>
      <c r="AJ386" s="86"/>
      <c r="AK386" s="86"/>
      <c r="AL386" s="86"/>
      <c r="AM386" s="86"/>
      <c r="AN386" s="86"/>
      <c r="AO386" s="86"/>
      <c r="AP386" s="86"/>
      <c r="AQ386" s="86"/>
      <c r="AR386" s="86"/>
      <c r="AS386" s="86"/>
      <c r="AT386" s="86"/>
      <c r="AU386" s="91"/>
      <c r="AV386" s="818">
        <f t="shared" si="262"/>
        <v>0</v>
      </c>
      <c r="AW386" s="818">
        <f t="shared" si="263"/>
        <v>0</v>
      </c>
      <c r="AX386" s="818">
        <f t="shared" si="264"/>
        <v>0</v>
      </c>
      <c r="AY386" s="88">
        <f t="shared" si="239"/>
        <v>0</v>
      </c>
      <c r="AZ386" s="81">
        <f t="shared" si="240"/>
        <v>0</v>
      </c>
      <c r="BA386" s="81">
        <f t="shared" si="241"/>
        <v>0</v>
      </c>
      <c r="BB386" s="81">
        <f t="shared" si="242"/>
        <v>0</v>
      </c>
      <c r="BC386" s="81">
        <f t="shared" si="243"/>
        <v>0</v>
      </c>
      <c r="BD386" s="81">
        <f t="shared" si="244"/>
        <v>0</v>
      </c>
      <c r="BE386" s="81">
        <f t="shared" si="245"/>
        <v>0</v>
      </c>
      <c r="BF386" s="81">
        <f t="shared" si="246"/>
        <v>0</v>
      </c>
      <c r="BG386" s="81">
        <f t="shared" si="247"/>
        <v>0</v>
      </c>
      <c r="BH386" s="81">
        <f t="shared" si="248"/>
        <v>0</v>
      </c>
      <c r="BI386" s="81">
        <f t="shared" si="249"/>
        <v>0</v>
      </c>
      <c r="BJ386" s="81">
        <f t="shared" si="250"/>
        <v>0</v>
      </c>
      <c r="BK386" s="81">
        <f t="shared" si="251"/>
        <v>0</v>
      </c>
      <c r="BL386" s="81">
        <f t="shared" si="252"/>
        <v>0</v>
      </c>
      <c r="BM386" s="81">
        <f t="shared" si="253"/>
        <v>0</v>
      </c>
      <c r="BN386" s="81">
        <f t="shared" si="254"/>
        <v>0</v>
      </c>
      <c r="BO386" s="81">
        <f t="shared" si="255"/>
        <v>0</v>
      </c>
      <c r="BP386" s="81">
        <f t="shared" si="256"/>
        <v>0</v>
      </c>
      <c r="BQ386" s="81">
        <f t="shared" si="257"/>
        <v>0</v>
      </c>
      <c r="BR386" s="81">
        <f t="shared" si="258"/>
        <v>0</v>
      </c>
      <c r="BS386" s="81">
        <f t="shared" si="259"/>
        <v>0</v>
      </c>
      <c r="BT386" s="89">
        <f t="shared" si="260"/>
        <v>0</v>
      </c>
    </row>
    <row r="387" spans="1:72">
      <c r="A387" s="79"/>
      <c r="B387" s="79"/>
      <c r="C387" s="79"/>
      <c r="D387" s="2301"/>
      <c r="E387" s="81">
        <f t="shared" si="261"/>
        <v>0</v>
      </c>
      <c r="F387" s="86"/>
      <c r="G387" s="83">
        <f t="shared" si="236"/>
        <v>0</v>
      </c>
      <c r="H387" s="84">
        <f t="shared" si="237"/>
        <v>0</v>
      </c>
      <c r="I387" s="85"/>
      <c r="J387" s="85"/>
      <c r="K387" s="85"/>
      <c r="L387" s="85"/>
      <c r="M387" s="85"/>
      <c r="N387" s="85"/>
      <c r="O387" s="85"/>
      <c r="P387" s="85"/>
      <c r="Q387" s="85"/>
      <c r="R387" s="85"/>
      <c r="S387" s="85"/>
      <c r="T387" s="85"/>
      <c r="U387" s="85"/>
      <c r="V387" s="85"/>
      <c r="W387" s="85"/>
      <c r="X387" s="85"/>
      <c r="Y387" s="85"/>
      <c r="Z387" s="85"/>
      <c r="AA387" s="85"/>
      <c r="AB387" s="85"/>
      <c r="AC387" s="81">
        <f t="shared" si="238"/>
        <v>0</v>
      </c>
      <c r="AD387" s="86"/>
      <c r="AE387" s="86"/>
      <c r="AF387" s="86"/>
      <c r="AG387" s="86"/>
      <c r="AH387" s="86"/>
      <c r="AI387" s="86"/>
      <c r="AJ387" s="86"/>
      <c r="AK387" s="86"/>
      <c r="AL387" s="86"/>
      <c r="AM387" s="86"/>
      <c r="AN387" s="86"/>
      <c r="AO387" s="86"/>
      <c r="AP387" s="86"/>
      <c r="AQ387" s="86"/>
      <c r="AR387" s="86"/>
      <c r="AS387" s="86"/>
      <c r="AT387" s="86"/>
      <c r="AU387" s="91"/>
      <c r="AV387" s="818">
        <f t="shared" si="262"/>
        <v>0</v>
      </c>
      <c r="AW387" s="818">
        <f t="shared" si="263"/>
        <v>0</v>
      </c>
      <c r="AX387" s="818">
        <f t="shared" si="264"/>
        <v>0</v>
      </c>
      <c r="AY387" s="88">
        <f t="shared" si="239"/>
        <v>0</v>
      </c>
      <c r="AZ387" s="81">
        <f t="shared" si="240"/>
        <v>0</v>
      </c>
      <c r="BA387" s="81">
        <f t="shared" si="241"/>
        <v>0</v>
      </c>
      <c r="BB387" s="81">
        <f t="shared" si="242"/>
        <v>0</v>
      </c>
      <c r="BC387" s="81">
        <f t="shared" si="243"/>
        <v>0</v>
      </c>
      <c r="BD387" s="81">
        <f t="shared" si="244"/>
        <v>0</v>
      </c>
      <c r="BE387" s="81">
        <f t="shared" si="245"/>
        <v>0</v>
      </c>
      <c r="BF387" s="81">
        <f t="shared" si="246"/>
        <v>0</v>
      </c>
      <c r="BG387" s="81">
        <f t="shared" si="247"/>
        <v>0</v>
      </c>
      <c r="BH387" s="81">
        <f t="shared" si="248"/>
        <v>0</v>
      </c>
      <c r="BI387" s="81">
        <f t="shared" si="249"/>
        <v>0</v>
      </c>
      <c r="BJ387" s="81">
        <f t="shared" si="250"/>
        <v>0</v>
      </c>
      <c r="BK387" s="81">
        <f t="shared" si="251"/>
        <v>0</v>
      </c>
      <c r="BL387" s="81">
        <f t="shared" si="252"/>
        <v>0</v>
      </c>
      <c r="BM387" s="81">
        <f t="shared" si="253"/>
        <v>0</v>
      </c>
      <c r="BN387" s="81">
        <f t="shared" si="254"/>
        <v>0</v>
      </c>
      <c r="BO387" s="81">
        <f t="shared" si="255"/>
        <v>0</v>
      </c>
      <c r="BP387" s="81">
        <f t="shared" si="256"/>
        <v>0</v>
      </c>
      <c r="BQ387" s="81">
        <f t="shared" si="257"/>
        <v>0</v>
      </c>
      <c r="BR387" s="81">
        <f t="shared" si="258"/>
        <v>0</v>
      </c>
      <c r="BS387" s="81">
        <f t="shared" si="259"/>
        <v>0</v>
      </c>
      <c r="BT387" s="89">
        <f t="shared" si="260"/>
        <v>0</v>
      </c>
    </row>
    <row r="388" spans="1:72">
      <c r="A388" s="79"/>
      <c r="B388" s="79"/>
      <c r="C388" s="79"/>
      <c r="D388" s="2301"/>
      <c r="E388" s="81">
        <f t="shared" si="261"/>
        <v>0</v>
      </c>
      <c r="F388" s="86"/>
      <c r="G388" s="83">
        <f t="shared" si="236"/>
        <v>0</v>
      </c>
      <c r="H388" s="84">
        <f t="shared" si="237"/>
        <v>0</v>
      </c>
      <c r="I388" s="85"/>
      <c r="J388" s="85"/>
      <c r="K388" s="85"/>
      <c r="L388" s="85"/>
      <c r="M388" s="85"/>
      <c r="N388" s="85"/>
      <c r="O388" s="85"/>
      <c r="P388" s="85"/>
      <c r="Q388" s="85"/>
      <c r="R388" s="85"/>
      <c r="S388" s="85"/>
      <c r="T388" s="85"/>
      <c r="U388" s="85"/>
      <c r="V388" s="85"/>
      <c r="W388" s="85"/>
      <c r="X388" s="85"/>
      <c r="Y388" s="85"/>
      <c r="Z388" s="85"/>
      <c r="AA388" s="85"/>
      <c r="AB388" s="85"/>
      <c r="AC388" s="81">
        <f t="shared" si="238"/>
        <v>0</v>
      </c>
      <c r="AD388" s="86"/>
      <c r="AE388" s="86"/>
      <c r="AF388" s="86"/>
      <c r="AG388" s="86"/>
      <c r="AH388" s="86"/>
      <c r="AI388" s="86"/>
      <c r="AJ388" s="86"/>
      <c r="AK388" s="86"/>
      <c r="AL388" s="86"/>
      <c r="AM388" s="86"/>
      <c r="AN388" s="86"/>
      <c r="AO388" s="86"/>
      <c r="AP388" s="86"/>
      <c r="AQ388" s="86"/>
      <c r="AR388" s="86"/>
      <c r="AS388" s="86"/>
      <c r="AT388" s="86"/>
      <c r="AU388" s="91"/>
      <c r="AV388" s="818">
        <f t="shared" si="262"/>
        <v>0</v>
      </c>
      <c r="AW388" s="818">
        <f t="shared" si="263"/>
        <v>0</v>
      </c>
      <c r="AX388" s="818">
        <f t="shared" si="264"/>
        <v>0</v>
      </c>
      <c r="AY388" s="88">
        <f t="shared" si="239"/>
        <v>0</v>
      </c>
      <c r="AZ388" s="81">
        <f t="shared" si="240"/>
        <v>0</v>
      </c>
      <c r="BA388" s="81">
        <f t="shared" si="241"/>
        <v>0</v>
      </c>
      <c r="BB388" s="81">
        <f t="shared" si="242"/>
        <v>0</v>
      </c>
      <c r="BC388" s="81">
        <f t="shared" si="243"/>
        <v>0</v>
      </c>
      <c r="BD388" s="81">
        <f t="shared" si="244"/>
        <v>0</v>
      </c>
      <c r="BE388" s="81">
        <f t="shared" si="245"/>
        <v>0</v>
      </c>
      <c r="BF388" s="81">
        <f t="shared" si="246"/>
        <v>0</v>
      </c>
      <c r="BG388" s="81">
        <f t="shared" si="247"/>
        <v>0</v>
      </c>
      <c r="BH388" s="81">
        <f t="shared" si="248"/>
        <v>0</v>
      </c>
      <c r="BI388" s="81">
        <f t="shared" si="249"/>
        <v>0</v>
      </c>
      <c r="BJ388" s="81">
        <f t="shared" si="250"/>
        <v>0</v>
      </c>
      <c r="BK388" s="81">
        <f t="shared" si="251"/>
        <v>0</v>
      </c>
      <c r="BL388" s="81">
        <f t="shared" si="252"/>
        <v>0</v>
      </c>
      <c r="BM388" s="81">
        <f t="shared" si="253"/>
        <v>0</v>
      </c>
      <c r="BN388" s="81">
        <f t="shared" si="254"/>
        <v>0</v>
      </c>
      <c r="BO388" s="81">
        <f t="shared" si="255"/>
        <v>0</v>
      </c>
      <c r="BP388" s="81">
        <f t="shared" si="256"/>
        <v>0</v>
      </c>
      <c r="BQ388" s="81">
        <f t="shared" si="257"/>
        <v>0</v>
      </c>
      <c r="BR388" s="81">
        <f t="shared" si="258"/>
        <v>0</v>
      </c>
      <c r="BS388" s="81">
        <f t="shared" si="259"/>
        <v>0</v>
      </c>
      <c r="BT388" s="89">
        <f t="shared" si="260"/>
        <v>0</v>
      </c>
    </row>
    <row r="389" spans="1:72">
      <c r="A389" s="79"/>
      <c r="B389" s="1179"/>
      <c r="C389" s="1180"/>
      <c r="D389" s="2301"/>
      <c r="E389" s="81">
        <f t="shared" ref="E389:E480" si="265">IF($C$3="是",ROUND($A$3*G389/$B$3,2),ROUND($A$3*(G389-AT389)/$B$3,2))</f>
        <v>0</v>
      </c>
      <c r="F389" s="82"/>
      <c r="G389" s="83">
        <f t="shared" ref="G389:G477" si="266">H389+AC389+AT389</f>
        <v>0</v>
      </c>
      <c r="H389" s="84">
        <f t="shared" ref="H389:H477" si="267">SUMIF(I$12:AB$12,"总值",I389:AB389)</f>
        <v>0</v>
      </c>
      <c r="I389" s="1180"/>
      <c r="J389" s="85"/>
      <c r="K389" s="1180"/>
      <c r="L389" s="85"/>
      <c r="M389" s="85"/>
      <c r="N389" s="85"/>
      <c r="O389" s="85"/>
      <c r="P389" s="85"/>
      <c r="Q389" s="85"/>
      <c r="R389" s="85"/>
      <c r="S389" s="85"/>
      <c r="T389" s="85"/>
      <c r="U389" s="85"/>
      <c r="V389" s="85"/>
      <c r="W389" s="85"/>
      <c r="X389" s="85"/>
      <c r="Y389" s="85"/>
      <c r="Z389" s="85"/>
      <c r="AA389" s="85"/>
      <c r="AB389" s="85"/>
      <c r="AC389" s="81">
        <f t="shared" ref="AC389:AC477" si="268">SUMIF(AD$12:AS$12,"总值",AD389:AS389)</f>
        <v>0</v>
      </c>
      <c r="AD389" s="86"/>
      <c r="AE389" s="86"/>
      <c r="AF389" s="1181"/>
      <c r="AG389" s="86"/>
      <c r="AH389" s="86"/>
      <c r="AI389" s="86"/>
      <c r="AJ389" s="86"/>
      <c r="AK389" s="86"/>
      <c r="AL389" s="86"/>
      <c r="AM389" s="86"/>
      <c r="AN389" s="1158"/>
      <c r="AO389" s="86"/>
      <c r="AP389" s="86"/>
      <c r="AQ389" s="86"/>
      <c r="AR389" s="86"/>
      <c r="AS389" s="86"/>
      <c r="AT389" s="82"/>
      <c r="AU389" s="87"/>
      <c r="AV389" s="818">
        <f t="shared" ref="AV389:AV480" si="269">A389</f>
        <v>0</v>
      </c>
      <c r="AW389" s="818">
        <f t="shared" ref="AW389:AW480" si="270">B389</f>
        <v>0</v>
      </c>
      <c r="AX389" s="818">
        <f t="shared" ref="AX389:AX480" si="271">C389</f>
        <v>0</v>
      </c>
      <c r="AY389" s="88">
        <f t="shared" ref="AY389:AY477" si="272">ROUND($AY$6*AZ389/$AZ$5,2)</f>
        <v>0</v>
      </c>
      <c r="AZ389" s="81">
        <f t="shared" ref="AZ389:AZ477" si="273">BA389+BL389</f>
        <v>0</v>
      </c>
      <c r="BA389" s="81">
        <f t="shared" ref="BA389:BA477" si="274">SUM(BB389:BK389)</f>
        <v>0</v>
      </c>
      <c r="BB389" s="81">
        <f t="shared" ref="BB389:BB477" si="275">IF($D389="是",I389-J389,0)</f>
        <v>0</v>
      </c>
      <c r="BC389" s="81">
        <f t="shared" ref="BC389:BC477" si="276">IF($D389="是",K389-L389,0)</f>
        <v>0</v>
      </c>
      <c r="BD389" s="81">
        <f t="shared" ref="BD389:BD477" si="277">IF($D389="是",M389-N389,0)</f>
        <v>0</v>
      </c>
      <c r="BE389" s="81">
        <f t="shared" ref="BE389:BE477" si="278">IF($D389="是",O389-P389,0)</f>
        <v>0</v>
      </c>
      <c r="BF389" s="81">
        <f t="shared" ref="BF389:BF477" si="279">IF($D389="是",Q389-R389,0)</f>
        <v>0</v>
      </c>
      <c r="BG389" s="81">
        <f t="shared" ref="BG389:BG477" si="280">IF($D389="是",S389-T389,0)</f>
        <v>0</v>
      </c>
      <c r="BH389" s="81">
        <f t="shared" ref="BH389:BH477" si="281">IF($D389="是",U389-V389,0)</f>
        <v>0</v>
      </c>
      <c r="BI389" s="81">
        <f t="shared" ref="BI389:BI477" si="282">IF($D389="是",W389-X389,0)</f>
        <v>0</v>
      </c>
      <c r="BJ389" s="81">
        <f t="shared" ref="BJ389:BJ477" si="283">IF($D389="是",Y389-Z389,0)</f>
        <v>0</v>
      </c>
      <c r="BK389" s="81">
        <f t="shared" ref="BK389:BK477" si="284">IF($D389="是",AA389-AB389,0)</f>
        <v>0</v>
      </c>
      <c r="BL389" s="81">
        <f t="shared" ref="BL389:BL477" si="285">SUM(BM389:BT389)</f>
        <v>0</v>
      </c>
      <c r="BM389" s="81">
        <f t="shared" ref="BM389:BM477" si="286">IF($D389="是",AD389-AE389,0)</f>
        <v>0</v>
      </c>
      <c r="BN389" s="81">
        <f t="shared" ref="BN389:BN477" si="287">IF($D389="是",AF389-AG389,0)</f>
        <v>0</v>
      </c>
      <c r="BO389" s="81">
        <f t="shared" ref="BO389:BO477" si="288">IF($D389="是",AH389-AI389,0)</f>
        <v>0</v>
      </c>
      <c r="BP389" s="81">
        <f t="shared" ref="BP389:BP477" si="289">IF($D389="是",AJ389-AK389,0)</f>
        <v>0</v>
      </c>
      <c r="BQ389" s="81">
        <f t="shared" ref="BQ389:BQ477" si="290">IF($D389="是",AL389-AM389,0)</f>
        <v>0</v>
      </c>
      <c r="BR389" s="81">
        <f t="shared" ref="BR389:BR477" si="291">IF($D389="是",AN389-AO389,0)</f>
        <v>0</v>
      </c>
      <c r="BS389" s="81">
        <f t="shared" ref="BS389:BS477" si="292">IF($D389="是",AP389-AQ389,0)</f>
        <v>0</v>
      </c>
      <c r="BT389" s="89">
        <f t="shared" ref="BT389:BT477" si="293">IF($D389="是",AR389-AS389,0)</f>
        <v>0</v>
      </c>
    </row>
    <row r="390" spans="1:72">
      <c r="A390" s="79"/>
      <c r="B390" s="1179"/>
      <c r="C390" s="1180"/>
      <c r="D390" s="2301"/>
      <c r="E390" s="81">
        <f t="shared" si="265"/>
        <v>0</v>
      </c>
      <c r="F390" s="82"/>
      <c r="G390" s="83">
        <f t="shared" si="266"/>
        <v>0</v>
      </c>
      <c r="H390" s="84">
        <f t="shared" si="267"/>
        <v>0</v>
      </c>
      <c r="I390" s="1180"/>
      <c r="J390" s="85"/>
      <c r="K390" s="1180"/>
      <c r="L390" s="85"/>
      <c r="M390" s="1158"/>
      <c r="N390" s="85"/>
      <c r="O390" s="85"/>
      <c r="P390" s="85"/>
      <c r="Q390" s="85"/>
      <c r="R390" s="85"/>
      <c r="S390" s="85"/>
      <c r="T390" s="85"/>
      <c r="U390" s="85"/>
      <c r="V390" s="85"/>
      <c r="W390" s="85"/>
      <c r="X390" s="85"/>
      <c r="Y390" s="85"/>
      <c r="Z390" s="85"/>
      <c r="AA390" s="85"/>
      <c r="AB390" s="85"/>
      <c r="AC390" s="81">
        <f t="shared" si="268"/>
        <v>0</v>
      </c>
      <c r="AD390" s="1158"/>
      <c r="AE390" s="86"/>
      <c r="AF390" s="1181"/>
      <c r="AG390" s="86"/>
      <c r="AH390" s="86"/>
      <c r="AI390" s="86"/>
      <c r="AJ390" s="86"/>
      <c r="AK390" s="86"/>
      <c r="AL390" s="1158"/>
      <c r="AM390" s="86"/>
      <c r="AN390" s="1158"/>
      <c r="AO390" s="86"/>
      <c r="AP390" s="86"/>
      <c r="AQ390" s="86"/>
      <c r="AR390" s="86"/>
      <c r="AS390" s="86"/>
      <c r="AT390" s="82"/>
      <c r="AU390" s="87"/>
      <c r="AV390" s="818">
        <f t="shared" si="269"/>
        <v>0</v>
      </c>
      <c r="AW390" s="818">
        <f t="shared" si="270"/>
        <v>0</v>
      </c>
      <c r="AX390" s="818">
        <f t="shared" si="271"/>
        <v>0</v>
      </c>
      <c r="AY390" s="88">
        <f t="shared" si="272"/>
        <v>0</v>
      </c>
      <c r="AZ390" s="81">
        <f t="shared" si="273"/>
        <v>0</v>
      </c>
      <c r="BA390" s="81">
        <f t="shared" si="274"/>
        <v>0</v>
      </c>
      <c r="BB390" s="81">
        <f t="shared" si="275"/>
        <v>0</v>
      </c>
      <c r="BC390" s="81">
        <f t="shared" si="276"/>
        <v>0</v>
      </c>
      <c r="BD390" s="81">
        <f t="shared" si="277"/>
        <v>0</v>
      </c>
      <c r="BE390" s="81">
        <f t="shared" si="278"/>
        <v>0</v>
      </c>
      <c r="BF390" s="81">
        <f t="shared" si="279"/>
        <v>0</v>
      </c>
      <c r="BG390" s="81">
        <f t="shared" si="280"/>
        <v>0</v>
      </c>
      <c r="BH390" s="81">
        <f t="shared" si="281"/>
        <v>0</v>
      </c>
      <c r="BI390" s="81">
        <f t="shared" si="282"/>
        <v>0</v>
      </c>
      <c r="BJ390" s="81">
        <f t="shared" si="283"/>
        <v>0</v>
      </c>
      <c r="BK390" s="81">
        <f t="shared" si="284"/>
        <v>0</v>
      </c>
      <c r="BL390" s="81">
        <f t="shared" si="285"/>
        <v>0</v>
      </c>
      <c r="BM390" s="81">
        <f t="shared" si="286"/>
        <v>0</v>
      </c>
      <c r="BN390" s="81">
        <f t="shared" si="287"/>
        <v>0</v>
      </c>
      <c r="BO390" s="81">
        <f t="shared" si="288"/>
        <v>0</v>
      </c>
      <c r="BP390" s="81">
        <f t="shared" si="289"/>
        <v>0</v>
      </c>
      <c r="BQ390" s="81">
        <f t="shared" si="290"/>
        <v>0</v>
      </c>
      <c r="BR390" s="81">
        <f t="shared" si="291"/>
        <v>0</v>
      </c>
      <c r="BS390" s="81">
        <f t="shared" si="292"/>
        <v>0</v>
      </c>
      <c r="BT390" s="89">
        <f t="shared" si="293"/>
        <v>0</v>
      </c>
    </row>
    <row r="391" spans="1:72">
      <c r="A391" s="79"/>
      <c r="B391" s="1179"/>
      <c r="C391" s="1180"/>
      <c r="D391" s="2301"/>
      <c r="E391" s="81">
        <f t="shared" si="265"/>
        <v>0</v>
      </c>
      <c r="F391" s="82"/>
      <c r="G391" s="83">
        <f t="shared" si="266"/>
        <v>0</v>
      </c>
      <c r="H391" s="84">
        <f t="shared" si="267"/>
        <v>0</v>
      </c>
      <c r="I391" s="1180"/>
      <c r="J391" s="85"/>
      <c r="K391" s="1180"/>
      <c r="L391" s="85"/>
      <c r="M391" s="1158"/>
      <c r="N391" s="85"/>
      <c r="O391" s="85"/>
      <c r="P391" s="85"/>
      <c r="Q391" s="85"/>
      <c r="R391" s="85"/>
      <c r="S391" s="85"/>
      <c r="T391" s="85"/>
      <c r="U391" s="85"/>
      <c r="V391" s="85"/>
      <c r="W391" s="85"/>
      <c r="X391" s="85"/>
      <c r="Y391" s="85"/>
      <c r="Z391" s="85"/>
      <c r="AA391" s="85"/>
      <c r="AB391" s="85"/>
      <c r="AC391" s="81">
        <f t="shared" si="268"/>
        <v>0</v>
      </c>
      <c r="AD391" s="86"/>
      <c r="AE391" s="86"/>
      <c r="AF391" s="1181"/>
      <c r="AG391" s="86"/>
      <c r="AH391" s="86"/>
      <c r="AI391" s="86"/>
      <c r="AJ391" s="86"/>
      <c r="AK391" s="86"/>
      <c r="AL391" s="1158"/>
      <c r="AM391" s="86"/>
      <c r="AN391" s="1158"/>
      <c r="AO391" s="86"/>
      <c r="AP391" s="86"/>
      <c r="AQ391" s="86"/>
      <c r="AR391" s="86"/>
      <c r="AS391" s="86"/>
      <c r="AT391" s="82"/>
      <c r="AU391" s="87"/>
      <c r="AV391" s="818">
        <f t="shared" si="269"/>
        <v>0</v>
      </c>
      <c r="AW391" s="818">
        <f t="shared" si="270"/>
        <v>0</v>
      </c>
      <c r="AX391" s="818">
        <f t="shared" si="271"/>
        <v>0</v>
      </c>
      <c r="AY391" s="88">
        <f t="shared" si="272"/>
        <v>0</v>
      </c>
      <c r="AZ391" s="81">
        <f t="shared" si="273"/>
        <v>0</v>
      </c>
      <c r="BA391" s="81">
        <f t="shared" si="274"/>
        <v>0</v>
      </c>
      <c r="BB391" s="81">
        <f t="shared" si="275"/>
        <v>0</v>
      </c>
      <c r="BC391" s="81">
        <f t="shared" si="276"/>
        <v>0</v>
      </c>
      <c r="BD391" s="81">
        <f t="shared" si="277"/>
        <v>0</v>
      </c>
      <c r="BE391" s="81">
        <f t="shared" si="278"/>
        <v>0</v>
      </c>
      <c r="BF391" s="81">
        <f t="shared" si="279"/>
        <v>0</v>
      </c>
      <c r="BG391" s="81">
        <f t="shared" si="280"/>
        <v>0</v>
      </c>
      <c r="BH391" s="81">
        <f t="shared" si="281"/>
        <v>0</v>
      </c>
      <c r="BI391" s="81">
        <f t="shared" si="282"/>
        <v>0</v>
      </c>
      <c r="BJ391" s="81">
        <f t="shared" si="283"/>
        <v>0</v>
      </c>
      <c r="BK391" s="81">
        <f t="shared" si="284"/>
        <v>0</v>
      </c>
      <c r="BL391" s="81">
        <f t="shared" si="285"/>
        <v>0</v>
      </c>
      <c r="BM391" s="81">
        <f t="shared" si="286"/>
        <v>0</v>
      </c>
      <c r="BN391" s="81">
        <f t="shared" si="287"/>
        <v>0</v>
      </c>
      <c r="BO391" s="81">
        <f t="shared" si="288"/>
        <v>0</v>
      </c>
      <c r="BP391" s="81">
        <f t="shared" si="289"/>
        <v>0</v>
      </c>
      <c r="BQ391" s="81">
        <f t="shared" si="290"/>
        <v>0</v>
      </c>
      <c r="BR391" s="81">
        <f t="shared" si="291"/>
        <v>0</v>
      </c>
      <c r="BS391" s="81">
        <f t="shared" si="292"/>
        <v>0</v>
      </c>
      <c r="BT391" s="89">
        <f t="shared" si="293"/>
        <v>0</v>
      </c>
    </row>
    <row r="392" spans="1:72">
      <c r="A392" s="79"/>
      <c r="B392" s="1179"/>
      <c r="C392" s="1180"/>
      <c r="D392" s="2301"/>
      <c r="E392" s="81">
        <f t="shared" si="265"/>
        <v>0</v>
      </c>
      <c r="F392" s="82"/>
      <c r="G392" s="83">
        <f t="shared" si="266"/>
        <v>0</v>
      </c>
      <c r="H392" s="84">
        <f t="shared" si="267"/>
        <v>0</v>
      </c>
      <c r="I392" s="1180"/>
      <c r="J392" s="85"/>
      <c r="K392" s="1180"/>
      <c r="L392" s="85"/>
      <c r="M392" s="85"/>
      <c r="N392" s="85"/>
      <c r="O392" s="1158"/>
      <c r="P392" s="85"/>
      <c r="Q392" s="85"/>
      <c r="R392" s="85"/>
      <c r="S392" s="85"/>
      <c r="T392" s="85"/>
      <c r="U392" s="85"/>
      <c r="V392" s="85"/>
      <c r="W392" s="85"/>
      <c r="X392" s="85"/>
      <c r="Y392" s="85"/>
      <c r="Z392" s="85"/>
      <c r="AA392" s="85"/>
      <c r="AB392" s="85"/>
      <c r="AC392" s="81">
        <f t="shared" si="268"/>
        <v>0</v>
      </c>
      <c r="AD392" s="86"/>
      <c r="AE392" s="86"/>
      <c r="AF392" s="1181"/>
      <c r="AG392" s="86"/>
      <c r="AH392" s="86"/>
      <c r="AI392" s="86"/>
      <c r="AJ392" s="86"/>
      <c r="AK392" s="86"/>
      <c r="AL392" s="86"/>
      <c r="AM392" s="86"/>
      <c r="AN392" s="1158"/>
      <c r="AO392" s="86"/>
      <c r="AP392" s="86"/>
      <c r="AQ392" s="86"/>
      <c r="AR392" s="86"/>
      <c r="AS392" s="86"/>
      <c r="AT392" s="82"/>
      <c r="AU392" s="87"/>
      <c r="AV392" s="818">
        <f t="shared" si="269"/>
        <v>0</v>
      </c>
      <c r="AW392" s="818">
        <f t="shared" si="270"/>
        <v>0</v>
      </c>
      <c r="AX392" s="818">
        <f t="shared" si="271"/>
        <v>0</v>
      </c>
      <c r="AY392" s="88">
        <f t="shared" si="272"/>
        <v>0</v>
      </c>
      <c r="AZ392" s="81">
        <f t="shared" si="273"/>
        <v>0</v>
      </c>
      <c r="BA392" s="81">
        <f t="shared" si="274"/>
        <v>0</v>
      </c>
      <c r="BB392" s="81">
        <f t="shared" si="275"/>
        <v>0</v>
      </c>
      <c r="BC392" s="81">
        <f t="shared" si="276"/>
        <v>0</v>
      </c>
      <c r="BD392" s="81">
        <f t="shared" si="277"/>
        <v>0</v>
      </c>
      <c r="BE392" s="81">
        <f t="shared" si="278"/>
        <v>0</v>
      </c>
      <c r="BF392" s="81">
        <f t="shared" si="279"/>
        <v>0</v>
      </c>
      <c r="BG392" s="81">
        <f t="shared" si="280"/>
        <v>0</v>
      </c>
      <c r="BH392" s="81">
        <f t="shared" si="281"/>
        <v>0</v>
      </c>
      <c r="BI392" s="81">
        <f t="shared" si="282"/>
        <v>0</v>
      </c>
      <c r="BJ392" s="81">
        <f t="shared" si="283"/>
        <v>0</v>
      </c>
      <c r="BK392" s="81">
        <f t="shared" si="284"/>
        <v>0</v>
      </c>
      <c r="BL392" s="81">
        <f t="shared" si="285"/>
        <v>0</v>
      </c>
      <c r="BM392" s="81">
        <f t="shared" si="286"/>
        <v>0</v>
      </c>
      <c r="BN392" s="81">
        <f t="shared" si="287"/>
        <v>0</v>
      </c>
      <c r="BO392" s="81">
        <f t="shared" si="288"/>
        <v>0</v>
      </c>
      <c r="BP392" s="81">
        <f t="shared" si="289"/>
        <v>0</v>
      </c>
      <c r="BQ392" s="81">
        <f t="shared" si="290"/>
        <v>0</v>
      </c>
      <c r="BR392" s="81">
        <f t="shared" si="291"/>
        <v>0</v>
      </c>
      <c r="BS392" s="81">
        <f t="shared" si="292"/>
        <v>0</v>
      </c>
      <c r="BT392" s="89">
        <f t="shared" si="293"/>
        <v>0</v>
      </c>
    </row>
    <row r="393" spans="1:72">
      <c r="A393" s="79"/>
      <c r="B393" s="1179"/>
      <c r="C393" s="1180"/>
      <c r="D393" s="2301"/>
      <c r="E393" s="81">
        <f t="shared" si="265"/>
        <v>0</v>
      </c>
      <c r="F393" s="82"/>
      <c r="G393" s="83">
        <f t="shared" si="266"/>
        <v>0</v>
      </c>
      <c r="H393" s="84">
        <f t="shared" si="267"/>
        <v>0</v>
      </c>
      <c r="I393" s="1180"/>
      <c r="J393" s="85"/>
      <c r="K393" s="1180"/>
      <c r="L393" s="85"/>
      <c r="M393" s="85"/>
      <c r="N393" s="85"/>
      <c r="O393" s="85"/>
      <c r="P393" s="85"/>
      <c r="Q393" s="85"/>
      <c r="R393" s="85"/>
      <c r="S393" s="85"/>
      <c r="T393" s="85"/>
      <c r="U393" s="85"/>
      <c r="V393" s="85"/>
      <c r="W393" s="85"/>
      <c r="X393" s="85"/>
      <c r="Y393" s="85"/>
      <c r="Z393" s="85"/>
      <c r="AA393" s="85"/>
      <c r="AB393" s="85"/>
      <c r="AC393" s="81">
        <f t="shared" si="268"/>
        <v>0</v>
      </c>
      <c r="AD393" s="86"/>
      <c r="AE393" s="86"/>
      <c r="AF393" s="1181"/>
      <c r="AG393" s="86"/>
      <c r="AH393" s="86"/>
      <c r="AI393" s="86"/>
      <c r="AJ393" s="86"/>
      <c r="AK393" s="86"/>
      <c r="AL393" s="86"/>
      <c r="AM393" s="86"/>
      <c r="AN393" s="86"/>
      <c r="AO393" s="86"/>
      <c r="AP393" s="86"/>
      <c r="AQ393" s="86"/>
      <c r="AR393" s="86"/>
      <c r="AS393" s="86"/>
      <c r="AT393" s="82"/>
      <c r="AU393" s="87"/>
      <c r="AV393" s="818">
        <f t="shared" si="269"/>
        <v>0</v>
      </c>
      <c r="AW393" s="818">
        <f t="shared" si="270"/>
        <v>0</v>
      </c>
      <c r="AX393" s="818">
        <f t="shared" si="271"/>
        <v>0</v>
      </c>
      <c r="AY393" s="88">
        <f t="shared" si="272"/>
        <v>0</v>
      </c>
      <c r="AZ393" s="81">
        <f t="shared" si="273"/>
        <v>0</v>
      </c>
      <c r="BA393" s="81">
        <f t="shared" si="274"/>
        <v>0</v>
      </c>
      <c r="BB393" s="81">
        <f t="shared" si="275"/>
        <v>0</v>
      </c>
      <c r="BC393" s="81">
        <f t="shared" si="276"/>
        <v>0</v>
      </c>
      <c r="BD393" s="81">
        <f t="shared" si="277"/>
        <v>0</v>
      </c>
      <c r="BE393" s="81">
        <f t="shared" si="278"/>
        <v>0</v>
      </c>
      <c r="BF393" s="81">
        <f t="shared" si="279"/>
        <v>0</v>
      </c>
      <c r="BG393" s="81">
        <f t="shared" si="280"/>
        <v>0</v>
      </c>
      <c r="BH393" s="81">
        <f t="shared" si="281"/>
        <v>0</v>
      </c>
      <c r="BI393" s="81">
        <f t="shared" si="282"/>
        <v>0</v>
      </c>
      <c r="BJ393" s="81">
        <f t="shared" si="283"/>
        <v>0</v>
      </c>
      <c r="BK393" s="81">
        <f t="shared" si="284"/>
        <v>0</v>
      </c>
      <c r="BL393" s="81">
        <f t="shared" si="285"/>
        <v>0</v>
      </c>
      <c r="BM393" s="81">
        <f t="shared" si="286"/>
        <v>0</v>
      </c>
      <c r="BN393" s="81">
        <f t="shared" si="287"/>
        <v>0</v>
      </c>
      <c r="BO393" s="81">
        <f t="shared" si="288"/>
        <v>0</v>
      </c>
      <c r="BP393" s="81">
        <f t="shared" si="289"/>
        <v>0</v>
      </c>
      <c r="BQ393" s="81">
        <f t="shared" si="290"/>
        <v>0</v>
      </c>
      <c r="BR393" s="81">
        <f t="shared" si="291"/>
        <v>0</v>
      </c>
      <c r="BS393" s="81">
        <f t="shared" si="292"/>
        <v>0</v>
      </c>
      <c r="BT393" s="89">
        <f t="shared" si="293"/>
        <v>0</v>
      </c>
    </row>
    <row r="394" spans="1:72">
      <c r="A394" s="79"/>
      <c r="B394" s="1179"/>
      <c r="C394" s="1180"/>
      <c r="D394" s="2301"/>
      <c r="E394" s="81">
        <f t="shared" si="265"/>
        <v>0</v>
      </c>
      <c r="F394" s="82"/>
      <c r="G394" s="83">
        <f t="shared" si="266"/>
        <v>0</v>
      </c>
      <c r="H394" s="84">
        <f t="shared" si="267"/>
        <v>0</v>
      </c>
      <c r="I394" s="1180"/>
      <c r="J394" s="85"/>
      <c r="K394" s="1180"/>
      <c r="L394" s="85"/>
      <c r="M394" s="85"/>
      <c r="N394" s="85"/>
      <c r="O394" s="85"/>
      <c r="P394" s="85"/>
      <c r="Q394" s="85"/>
      <c r="R394" s="85"/>
      <c r="S394" s="85"/>
      <c r="T394" s="85"/>
      <c r="U394" s="85"/>
      <c r="V394" s="85"/>
      <c r="W394" s="85"/>
      <c r="X394" s="85"/>
      <c r="Y394" s="85"/>
      <c r="Z394" s="85"/>
      <c r="AA394" s="85"/>
      <c r="AB394" s="85"/>
      <c r="AC394" s="81">
        <f t="shared" si="268"/>
        <v>0</v>
      </c>
      <c r="AD394" s="86"/>
      <c r="AE394" s="86"/>
      <c r="AF394" s="1181"/>
      <c r="AG394" s="86"/>
      <c r="AH394" s="86"/>
      <c r="AI394" s="86"/>
      <c r="AJ394" s="86"/>
      <c r="AK394" s="86"/>
      <c r="AL394" s="86"/>
      <c r="AM394" s="86"/>
      <c r="AN394" s="86"/>
      <c r="AO394" s="86"/>
      <c r="AP394" s="86"/>
      <c r="AQ394" s="86"/>
      <c r="AR394" s="86"/>
      <c r="AS394" s="86"/>
      <c r="AT394" s="82"/>
      <c r="AU394" s="87"/>
      <c r="AV394" s="818">
        <f t="shared" si="269"/>
        <v>0</v>
      </c>
      <c r="AW394" s="818">
        <f t="shared" si="270"/>
        <v>0</v>
      </c>
      <c r="AX394" s="818">
        <f t="shared" si="271"/>
        <v>0</v>
      </c>
      <c r="AY394" s="88">
        <f t="shared" si="272"/>
        <v>0</v>
      </c>
      <c r="AZ394" s="81">
        <f t="shared" si="273"/>
        <v>0</v>
      </c>
      <c r="BA394" s="81">
        <f t="shared" si="274"/>
        <v>0</v>
      </c>
      <c r="BB394" s="81">
        <f t="shared" si="275"/>
        <v>0</v>
      </c>
      <c r="BC394" s="81">
        <f t="shared" si="276"/>
        <v>0</v>
      </c>
      <c r="BD394" s="81">
        <f t="shared" si="277"/>
        <v>0</v>
      </c>
      <c r="BE394" s="81">
        <f t="shared" si="278"/>
        <v>0</v>
      </c>
      <c r="BF394" s="81">
        <f t="shared" si="279"/>
        <v>0</v>
      </c>
      <c r="BG394" s="81">
        <f t="shared" si="280"/>
        <v>0</v>
      </c>
      <c r="BH394" s="81">
        <f t="shared" si="281"/>
        <v>0</v>
      </c>
      <c r="BI394" s="81">
        <f t="shared" si="282"/>
        <v>0</v>
      </c>
      <c r="BJ394" s="81">
        <f t="shared" si="283"/>
        <v>0</v>
      </c>
      <c r="BK394" s="81">
        <f t="shared" si="284"/>
        <v>0</v>
      </c>
      <c r="BL394" s="81">
        <f t="shared" si="285"/>
        <v>0</v>
      </c>
      <c r="BM394" s="81">
        <f t="shared" si="286"/>
        <v>0</v>
      </c>
      <c r="BN394" s="81">
        <f t="shared" si="287"/>
        <v>0</v>
      </c>
      <c r="BO394" s="81">
        <f t="shared" si="288"/>
        <v>0</v>
      </c>
      <c r="BP394" s="81">
        <f t="shared" si="289"/>
        <v>0</v>
      </c>
      <c r="BQ394" s="81">
        <f t="shared" si="290"/>
        <v>0</v>
      </c>
      <c r="BR394" s="81">
        <f t="shared" si="291"/>
        <v>0</v>
      </c>
      <c r="BS394" s="81">
        <f t="shared" si="292"/>
        <v>0</v>
      </c>
      <c r="BT394" s="89">
        <f t="shared" si="293"/>
        <v>0</v>
      </c>
    </row>
    <row r="395" spans="1:72">
      <c r="A395" s="79"/>
      <c r="B395" s="1179"/>
      <c r="C395" s="1180"/>
      <c r="D395" s="2301"/>
      <c r="E395" s="81">
        <f t="shared" si="265"/>
        <v>0</v>
      </c>
      <c r="F395" s="82"/>
      <c r="G395" s="83">
        <f t="shared" si="266"/>
        <v>0</v>
      </c>
      <c r="H395" s="84">
        <f t="shared" si="267"/>
        <v>0</v>
      </c>
      <c r="I395" s="1180"/>
      <c r="J395" s="85"/>
      <c r="K395" s="1180"/>
      <c r="L395" s="85"/>
      <c r="M395" s="85"/>
      <c r="N395" s="85"/>
      <c r="O395" s="85"/>
      <c r="P395" s="85"/>
      <c r="Q395" s="85"/>
      <c r="R395" s="85"/>
      <c r="S395" s="85"/>
      <c r="T395" s="85"/>
      <c r="U395" s="85"/>
      <c r="V395" s="85"/>
      <c r="W395" s="85"/>
      <c r="X395" s="85"/>
      <c r="Y395" s="85"/>
      <c r="Z395" s="85"/>
      <c r="AA395" s="85"/>
      <c r="AB395" s="85"/>
      <c r="AC395" s="81">
        <f t="shared" si="268"/>
        <v>0</v>
      </c>
      <c r="AD395" s="86"/>
      <c r="AE395" s="86"/>
      <c r="AF395" s="1181"/>
      <c r="AG395" s="86"/>
      <c r="AH395" s="86"/>
      <c r="AI395" s="86"/>
      <c r="AJ395" s="86"/>
      <c r="AK395" s="86"/>
      <c r="AL395" s="86"/>
      <c r="AM395" s="86"/>
      <c r="AN395" s="86"/>
      <c r="AO395" s="86"/>
      <c r="AP395" s="86"/>
      <c r="AQ395" s="86"/>
      <c r="AR395" s="86"/>
      <c r="AS395" s="86"/>
      <c r="AT395" s="82"/>
      <c r="AU395" s="87"/>
      <c r="AV395" s="818">
        <f t="shared" si="269"/>
        <v>0</v>
      </c>
      <c r="AW395" s="818">
        <f t="shared" si="270"/>
        <v>0</v>
      </c>
      <c r="AX395" s="818">
        <f t="shared" si="271"/>
        <v>0</v>
      </c>
      <c r="AY395" s="88">
        <f t="shared" si="272"/>
        <v>0</v>
      </c>
      <c r="AZ395" s="81">
        <f t="shared" si="273"/>
        <v>0</v>
      </c>
      <c r="BA395" s="81">
        <f t="shared" si="274"/>
        <v>0</v>
      </c>
      <c r="BB395" s="81">
        <f t="shared" si="275"/>
        <v>0</v>
      </c>
      <c r="BC395" s="81">
        <f t="shared" si="276"/>
        <v>0</v>
      </c>
      <c r="BD395" s="81">
        <f t="shared" si="277"/>
        <v>0</v>
      </c>
      <c r="BE395" s="81">
        <f t="shared" si="278"/>
        <v>0</v>
      </c>
      <c r="BF395" s="81">
        <f t="shared" si="279"/>
        <v>0</v>
      </c>
      <c r="BG395" s="81">
        <f t="shared" si="280"/>
        <v>0</v>
      </c>
      <c r="BH395" s="81">
        <f t="shared" si="281"/>
        <v>0</v>
      </c>
      <c r="BI395" s="81">
        <f t="shared" si="282"/>
        <v>0</v>
      </c>
      <c r="BJ395" s="81">
        <f t="shared" si="283"/>
        <v>0</v>
      </c>
      <c r="BK395" s="81">
        <f t="shared" si="284"/>
        <v>0</v>
      </c>
      <c r="BL395" s="81">
        <f t="shared" si="285"/>
        <v>0</v>
      </c>
      <c r="BM395" s="81">
        <f t="shared" si="286"/>
        <v>0</v>
      </c>
      <c r="BN395" s="81">
        <f t="shared" si="287"/>
        <v>0</v>
      </c>
      <c r="BO395" s="81">
        <f t="shared" si="288"/>
        <v>0</v>
      </c>
      <c r="BP395" s="81">
        <f t="shared" si="289"/>
        <v>0</v>
      </c>
      <c r="BQ395" s="81">
        <f t="shared" si="290"/>
        <v>0</v>
      </c>
      <c r="BR395" s="81">
        <f t="shared" si="291"/>
        <v>0</v>
      </c>
      <c r="BS395" s="81">
        <f t="shared" si="292"/>
        <v>0</v>
      </c>
      <c r="BT395" s="89">
        <f t="shared" si="293"/>
        <v>0</v>
      </c>
    </row>
    <row r="396" spans="1:72">
      <c r="A396" s="79"/>
      <c r="B396" s="1179"/>
      <c r="C396" s="1180"/>
      <c r="D396" s="2301"/>
      <c r="E396" s="81">
        <f t="shared" si="265"/>
        <v>0</v>
      </c>
      <c r="F396" s="82"/>
      <c r="G396" s="83">
        <f t="shared" si="266"/>
        <v>0</v>
      </c>
      <c r="H396" s="84">
        <f t="shared" si="267"/>
        <v>0</v>
      </c>
      <c r="I396" s="1180"/>
      <c r="J396" s="85"/>
      <c r="K396" s="1180"/>
      <c r="L396" s="85"/>
      <c r="M396" s="85"/>
      <c r="N396" s="85"/>
      <c r="O396" s="85"/>
      <c r="P396" s="85"/>
      <c r="Q396" s="85"/>
      <c r="R396" s="85"/>
      <c r="S396" s="85"/>
      <c r="T396" s="85"/>
      <c r="U396" s="85"/>
      <c r="V396" s="85"/>
      <c r="W396" s="85"/>
      <c r="X396" s="85"/>
      <c r="Y396" s="85"/>
      <c r="Z396" s="85"/>
      <c r="AA396" s="85"/>
      <c r="AB396" s="85"/>
      <c r="AC396" s="81">
        <f t="shared" si="268"/>
        <v>0</v>
      </c>
      <c r="AD396" s="86"/>
      <c r="AE396" s="86"/>
      <c r="AF396" s="1180"/>
      <c r="AG396" s="86"/>
      <c r="AH396" s="86"/>
      <c r="AI396" s="86"/>
      <c r="AJ396" s="86"/>
      <c r="AK396" s="86"/>
      <c r="AL396" s="86"/>
      <c r="AM396" s="86"/>
      <c r="AN396" s="86"/>
      <c r="AO396" s="86"/>
      <c r="AP396" s="86"/>
      <c r="AQ396" s="86"/>
      <c r="AR396" s="86"/>
      <c r="AS396" s="86"/>
      <c r="AT396" s="82"/>
      <c r="AU396" s="87"/>
      <c r="AV396" s="818">
        <f t="shared" si="269"/>
        <v>0</v>
      </c>
      <c r="AW396" s="818">
        <f t="shared" si="270"/>
        <v>0</v>
      </c>
      <c r="AX396" s="818">
        <f t="shared" si="271"/>
        <v>0</v>
      </c>
      <c r="AY396" s="88">
        <f t="shared" si="272"/>
        <v>0</v>
      </c>
      <c r="AZ396" s="81">
        <f t="shared" si="273"/>
        <v>0</v>
      </c>
      <c r="BA396" s="81">
        <f t="shared" si="274"/>
        <v>0</v>
      </c>
      <c r="BB396" s="81">
        <f t="shared" si="275"/>
        <v>0</v>
      </c>
      <c r="BC396" s="81">
        <f t="shared" si="276"/>
        <v>0</v>
      </c>
      <c r="BD396" s="81">
        <f t="shared" si="277"/>
        <v>0</v>
      </c>
      <c r="BE396" s="81">
        <f t="shared" si="278"/>
        <v>0</v>
      </c>
      <c r="BF396" s="81">
        <f t="shared" si="279"/>
        <v>0</v>
      </c>
      <c r="BG396" s="81">
        <f t="shared" si="280"/>
        <v>0</v>
      </c>
      <c r="BH396" s="81">
        <f t="shared" si="281"/>
        <v>0</v>
      </c>
      <c r="BI396" s="81">
        <f t="shared" si="282"/>
        <v>0</v>
      </c>
      <c r="BJ396" s="81">
        <f t="shared" si="283"/>
        <v>0</v>
      </c>
      <c r="BK396" s="81">
        <f t="shared" si="284"/>
        <v>0</v>
      </c>
      <c r="BL396" s="81">
        <f t="shared" si="285"/>
        <v>0</v>
      </c>
      <c r="BM396" s="81">
        <f t="shared" si="286"/>
        <v>0</v>
      </c>
      <c r="BN396" s="81">
        <f t="shared" si="287"/>
        <v>0</v>
      </c>
      <c r="BO396" s="81">
        <f t="shared" si="288"/>
        <v>0</v>
      </c>
      <c r="BP396" s="81">
        <f t="shared" si="289"/>
        <v>0</v>
      </c>
      <c r="BQ396" s="81">
        <f t="shared" si="290"/>
        <v>0</v>
      </c>
      <c r="BR396" s="81">
        <f t="shared" si="291"/>
        <v>0</v>
      </c>
      <c r="BS396" s="81">
        <f t="shared" si="292"/>
        <v>0</v>
      </c>
      <c r="BT396" s="89">
        <f t="shared" si="293"/>
        <v>0</v>
      </c>
    </row>
    <row r="397" spans="1:72">
      <c r="A397" s="79"/>
      <c r="B397" s="1179"/>
      <c r="C397" s="1180"/>
      <c r="D397" s="2301"/>
      <c r="E397" s="81">
        <f t="shared" si="265"/>
        <v>0</v>
      </c>
      <c r="F397" s="82"/>
      <c r="G397" s="83">
        <f t="shared" si="266"/>
        <v>0</v>
      </c>
      <c r="H397" s="84">
        <f t="shared" si="267"/>
        <v>0</v>
      </c>
      <c r="I397" s="1180"/>
      <c r="J397" s="85"/>
      <c r="K397" s="1180"/>
      <c r="L397" s="85"/>
      <c r="M397" s="85"/>
      <c r="N397" s="85"/>
      <c r="O397" s="85"/>
      <c r="P397" s="85"/>
      <c r="Q397" s="85"/>
      <c r="R397" s="85"/>
      <c r="S397" s="85"/>
      <c r="T397" s="85"/>
      <c r="U397" s="85"/>
      <c r="V397" s="85"/>
      <c r="W397" s="85"/>
      <c r="X397" s="85"/>
      <c r="Y397" s="85"/>
      <c r="Z397" s="85"/>
      <c r="AA397" s="85"/>
      <c r="AB397" s="85"/>
      <c r="AC397" s="81">
        <f t="shared" si="268"/>
        <v>0</v>
      </c>
      <c r="AD397" s="86"/>
      <c r="AE397" s="86"/>
      <c r="AF397" s="1180"/>
      <c r="AG397" s="86"/>
      <c r="AH397" s="86"/>
      <c r="AI397" s="86"/>
      <c r="AJ397" s="86"/>
      <c r="AK397" s="86"/>
      <c r="AL397" s="86"/>
      <c r="AM397" s="86"/>
      <c r="AN397" s="86"/>
      <c r="AO397" s="86"/>
      <c r="AP397" s="86"/>
      <c r="AQ397" s="86"/>
      <c r="AR397" s="86"/>
      <c r="AS397" s="86"/>
      <c r="AT397" s="82"/>
      <c r="AU397" s="87"/>
      <c r="AV397" s="818">
        <f t="shared" si="269"/>
        <v>0</v>
      </c>
      <c r="AW397" s="818">
        <f t="shared" si="270"/>
        <v>0</v>
      </c>
      <c r="AX397" s="818">
        <f t="shared" si="271"/>
        <v>0</v>
      </c>
      <c r="AY397" s="88">
        <f t="shared" si="272"/>
        <v>0</v>
      </c>
      <c r="AZ397" s="81">
        <f t="shared" si="273"/>
        <v>0</v>
      </c>
      <c r="BA397" s="81">
        <f t="shared" si="274"/>
        <v>0</v>
      </c>
      <c r="BB397" s="81">
        <f t="shared" si="275"/>
        <v>0</v>
      </c>
      <c r="BC397" s="81">
        <f t="shared" si="276"/>
        <v>0</v>
      </c>
      <c r="BD397" s="81">
        <f t="shared" si="277"/>
        <v>0</v>
      </c>
      <c r="BE397" s="81">
        <f t="shared" si="278"/>
        <v>0</v>
      </c>
      <c r="BF397" s="81">
        <f t="shared" si="279"/>
        <v>0</v>
      </c>
      <c r="BG397" s="81">
        <f t="shared" si="280"/>
        <v>0</v>
      </c>
      <c r="BH397" s="81">
        <f t="shared" si="281"/>
        <v>0</v>
      </c>
      <c r="BI397" s="81">
        <f t="shared" si="282"/>
        <v>0</v>
      </c>
      <c r="BJ397" s="81">
        <f t="shared" si="283"/>
        <v>0</v>
      </c>
      <c r="BK397" s="81">
        <f t="shared" si="284"/>
        <v>0</v>
      </c>
      <c r="BL397" s="81">
        <f t="shared" si="285"/>
        <v>0</v>
      </c>
      <c r="BM397" s="81">
        <f t="shared" si="286"/>
        <v>0</v>
      </c>
      <c r="BN397" s="81">
        <f t="shared" si="287"/>
        <v>0</v>
      </c>
      <c r="BO397" s="81">
        <f t="shared" si="288"/>
        <v>0</v>
      </c>
      <c r="BP397" s="81">
        <f t="shared" si="289"/>
        <v>0</v>
      </c>
      <c r="BQ397" s="81">
        <f t="shared" si="290"/>
        <v>0</v>
      </c>
      <c r="BR397" s="81">
        <f t="shared" si="291"/>
        <v>0</v>
      </c>
      <c r="BS397" s="81">
        <f t="shared" si="292"/>
        <v>0</v>
      </c>
      <c r="BT397" s="89">
        <f t="shared" si="293"/>
        <v>0</v>
      </c>
    </row>
    <row r="398" spans="1:72">
      <c r="A398" s="79"/>
      <c r="B398" s="1179"/>
      <c r="C398" s="1180"/>
      <c r="D398" s="2301"/>
      <c r="E398" s="81">
        <f t="shared" si="265"/>
        <v>0</v>
      </c>
      <c r="F398" s="82"/>
      <c r="G398" s="83">
        <f t="shared" si="266"/>
        <v>0</v>
      </c>
      <c r="H398" s="84">
        <f t="shared" si="267"/>
        <v>0</v>
      </c>
      <c r="I398" s="1180"/>
      <c r="J398" s="85"/>
      <c r="K398" s="1180"/>
      <c r="L398" s="85"/>
      <c r="M398" s="85"/>
      <c r="N398" s="85"/>
      <c r="O398" s="85"/>
      <c r="P398" s="85"/>
      <c r="Q398" s="85"/>
      <c r="R398" s="85"/>
      <c r="S398" s="85"/>
      <c r="T398" s="85"/>
      <c r="U398" s="85"/>
      <c r="V398" s="85"/>
      <c r="W398" s="85"/>
      <c r="X398" s="85"/>
      <c r="Y398" s="85"/>
      <c r="Z398" s="85"/>
      <c r="AA398" s="85"/>
      <c r="AB398" s="85"/>
      <c r="AC398" s="81">
        <f t="shared" si="268"/>
        <v>0</v>
      </c>
      <c r="AD398" s="86"/>
      <c r="AE398" s="86"/>
      <c r="AF398" s="1180"/>
      <c r="AG398" s="86"/>
      <c r="AH398" s="86"/>
      <c r="AI398" s="86"/>
      <c r="AJ398" s="86"/>
      <c r="AK398" s="86"/>
      <c r="AL398" s="86"/>
      <c r="AM398" s="86"/>
      <c r="AN398" s="86"/>
      <c r="AO398" s="86"/>
      <c r="AP398" s="86"/>
      <c r="AQ398" s="86"/>
      <c r="AR398" s="86"/>
      <c r="AS398" s="86"/>
      <c r="AT398" s="82"/>
      <c r="AU398" s="87"/>
      <c r="AV398" s="818">
        <f t="shared" si="269"/>
        <v>0</v>
      </c>
      <c r="AW398" s="818">
        <f t="shared" si="270"/>
        <v>0</v>
      </c>
      <c r="AX398" s="818">
        <f t="shared" si="271"/>
        <v>0</v>
      </c>
      <c r="AY398" s="88">
        <f t="shared" si="272"/>
        <v>0</v>
      </c>
      <c r="AZ398" s="81">
        <f t="shared" si="273"/>
        <v>0</v>
      </c>
      <c r="BA398" s="81">
        <f t="shared" si="274"/>
        <v>0</v>
      </c>
      <c r="BB398" s="81">
        <f t="shared" si="275"/>
        <v>0</v>
      </c>
      <c r="BC398" s="81">
        <f t="shared" si="276"/>
        <v>0</v>
      </c>
      <c r="BD398" s="81">
        <f t="shared" si="277"/>
        <v>0</v>
      </c>
      <c r="BE398" s="81">
        <f t="shared" si="278"/>
        <v>0</v>
      </c>
      <c r="BF398" s="81">
        <f t="shared" si="279"/>
        <v>0</v>
      </c>
      <c r="BG398" s="81">
        <f t="shared" si="280"/>
        <v>0</v>
      </c>
      <c r="BH398" s="81">
        <f t="shared" si="281"/>
        <v>0</v>
      </c>
      <c r="BI398" s="81">
        <f t="shared" si="282"/>
        <v>0</v>
      </c>
      <c r="BJ398" s="81">
        <f t="shared" si="283"/>
        <v>0</v>
      </c>
      <c r="BK398" s="81">
        <f t="shared" si="284"/>
        <v>0</v>
      </c>
      <c r="BL398" s="81">
        <f t="shared" si="285"/>
        <v>0</v>
      </c>
      <c r="BM398" s="81">
        <f t="shared" si="286"/>
        <v>0</v>
      </c>
      <c r="BN398" s="81">
        <f t="shared" si="287"/>
        <v>0</v>
      </c>
      <c r="BO398" s="81">
        <f t="shared" si="288"/>
        <v>0</v>
      </c>
      <c r="BP398" s="81">
        <f t="shared" si="289"/>
        <v>0</v>
      </c>
      <c r="BQ398" s="81">
        <f t="shared" si="290"/>
        <v>0</v>
      </c>
      <c r="BR398" s="81">
        <f t="shared" si="291"/>
        <v>0</v>
      </c>
      <c r="BS398" s="81">
        <f t="shared" si="292"/>
        <v>0</v>
      </c>
      <c r="BT398" s="89">
        <f t="shared" si="293"/>
        <v>0</v>
      </c>
    </row>
    <row r="399" spans="1:72">
      <c r="A399" s="79"/>
      <c r="B399" s="1179"/>
      <c r="C399" s="1180"/>
      <c r="D399" s="2301"/>
      <c r="E399" s="81">
        <f t="shared" si="265"/>
        <v>0</v>
      </c>
      <c r="F399" s="82"/>
      <c r="G399" s="83">
        <f t="shared" si="266"/>
        <v>0</v>
      </c>
      <c r="H399" s="84">
        <f t="shared" si="267"/>
        <v>0</v>
      </c>
      <c r="I399" s="1180"/>
      <c r="J399" s="85"/>
      <c r="K399" s="1180"/>
      <c r="L399" s="85"/>
      <c r="M399" s="85"/>
      <c r="N399" s="85"/>
      <c r="O399" s="85"/>
      <c r="P399" s="85"/>
      <c r="Q399" s="85"/>
      <c r="R399" s="85"/>
      <c r="S399" s="85"/>
      <c r="T399" s="85"/>
      <c r="U399" s="85"/>
      <c r="V399" s="85"/>
      <c r="W399" s="85"/>
      <c r="X399" s="85"/>
      <c r="Y399" s="85"/>
      <c r="Z399" s="85"/>
      <c r="AA399" s="85"/>
      <c r="AB399" s="85"/>
      <c r="AC399" s="81">
        <f t="shared" si="268"/>
        <v>0</v>
      </c>
      <c r="AD399" s="86"/>
      <c r="AE399" s="86"/>
      <c r="AF399" s="1180"/>
      <c r="AG399" s="86"/>
      <c r="AH399" s="86"/>
      <c r="AI399" s="86"/>
      <c r="AJ399" s="86"/>
      <c r="AK399" s="86"/>
      <c r="AL399" s="86"/>
      <c r="AM399" s="86"/>
      <c r="AN399" s="86"/>
      <c r="AO399" s="86"/>
      <c r="AP399" s="86"/>
      <c r="AQ399" s="86"/>
      <c r="AR399" s="86"/>
      <c r="AS399" s="86"/>
      <c r="AT399" s="82"/>
      <c r="AU399" s="87"/>
      <c r="AV399" s="818">
        <f t="shared" si="269"/>
        <v>0</v>
      </c>
      <c r="AW399" s="818">
        <f t="shared" si="270"/>
        <v>0</v>
      </c>
      <c r="AX399" s="818">
        <f t="shared" si="271"/>
        <v>0</v>
      </c>
      <c r="AY399" s="88">
        <f t="shared" si="272"/>
        <v>0</v>
      </c>
      <c r="AZ399" s="81">
        <f t="shared" si="273"/>
        <v>0</v>
      </c>
      <c r="BA399" s="81">
        <f t="shared" si="274"/>
        <v>0</v>
      </c>
      <c r="BB399" s="81">
        <f t="shared" si="275"/>
        <v>0</v>
      </c>
      <c r="BC399" s="81">
        <f t="shared" si="276"/>
        <v>0</v>
      </c>
      <c r="BD399" s="81">
        <f t="shared" si="277"/>
        <v>0</v>
      </c>
      <c r="BE399" s="81">
        <f t="shared" si="278"/>
        <v>0</v>
      </c>
      <c r="BF399" s="81">
        <f t="shared" si="279"/>
        <v>0</v>
      </c>
      <c r="BG399" s="81">
        <f t="shared" si="280"/>
        <v>0</v>
      </c>
      <c r="BH399" s="81">
        <f t="shared" si="281"/>
        <v>0</v>
      </c>
      <c r="BI399" s="81">
        <f t="shared" si="282"/>
        <v>0</v>
      </c>
      <c r="BJ399" s="81">
        <f t="shared" si="283"/>
        <v>0</v>
      </c>
      <c r="BK399" s="81">
        <f t="shared" si="284"/>
        <v>0</v>
      </c>
      <c r="BL399" s="81">
        <f t="shared" si="285"/>
        <v>0</v>
      </c>
      <c r="BM399" s="81">
        <f t="shared" si="286"/>
        <v>0</v>
      </c>
      <c r="BN399" s="81">
        <f t="shared" si="287"/>
        <v>0</v>
      </c>
      <c r="BO399" s="81">
        <f t="shared" si="288"/>
        <v>0</v>
      </c>
      <c r="BP399" s="81">
        <f t="shared" si="289"/>
        <v>0</v>
      </c>
      <c r="BQ399" s="81">
        <f t="shared" si="290"/>
        <v>0</v>
      </c>
      <c r="BR399" s="81">
        <f t="shared" si="291"/>
        <v>0</v>
      </c>
      <c r="BS399" s="81">
        <f t="shared" si="292"/>
        <v>0</v>
      </c>
      <c r="BT399" s="89">
        <f t="shared" si="293"/>
        <v>0</v>
      </c>
    </row>
    <row r="400" spans="1:72">
      <c r="A400" s="79"/>
      <c r="B400" s="1179"/>
      <c r="C400" s="1180"/>
      <c r="D400" s="2301"/>
      <c r="E400" s="81">
        <f t="shared" si="265"/>
        <v>0</v>
      </c>
      <c r="F400" s="82"/>
      <c r="G400" s="83">
        <f t="shared" si="266"/>
        <v>0</v>
      </c>
      <c r="H400" s="84">
        <f t="shared" si="267"/>
        <v>0</v>
      </c>
      <c r="I400" s="1180"/>
      <c r="J400" s="85"/>
      <c r="K400" s="1180"/>
      <c r="L400" s="85"/>
      <c r="M400" s="85"/>
      <c r="N400" s="85"/>
      <c r="O400" s="85"/>
      <c r="P400" s="85"/>
      <c r="Q400" s="85"/>
      <c r="R400" s="85"/>
      <c r="S400" s="85"/>
      <c r="T400" s="85"/>
      <c r="U400" s="85"/>
      <c r="V400" s="85"/>
      <c r="W400" s="85"/>
      <c r="X400" s="85"/>
      <c r="Y400" s="85"/>
      <c r="Z400" s="85"/>
      <c r="AA400" s="85"/>
      <c r="AB400" s="85"/>
      <c r="AC400" s="81">
        <f t="shared" si="268"/>
        <v>0</v>
      </c>
      <c r="AD400" s="86"/>
      <c r="AE400" s="86"/>
      <c r="AF400" s="1180"/>
      <c r="AG400" s="86"/>
      <c r="AH400" s="86"/>
      <c r="AI400" s="86"/>
      <c r="AJ400" s="86"/>
      <c r="AK400" s="86"/>
      <c r="AL400" s="86"/>
      <c r="AM400" s="86"/>
      <c r="AN400" s="86"/>
      <c r="AO400" s="86"/>
      <c r="AP400" s="86"/>
      <c r="AQ400" s="86"/>
      <c r="AR400" s="86"/>
      <c r="AS400" s="86"/>
      <c r="AT400" s="82"/>
      <c r="AU400" s="87"/>
      <c r="AV400" s="818">
        <f t="shared" si="269"/>
        <v>0</v>
      </c>
      <c r="AW400" s="818">
        <f t="shared" si="270"/>
        <v>0</v>
      </c>
      <c r="AX400" s="818">
        <f t="shared" si="271"/>
        <v>0</v>
      </c>
      <c r="AY400" s="88">
        <f t="shared" si="272"/>
        <v>0</v>
      </c>
      <c r="AZ400" s="81">
        <f t="shared" si="273"/>
        <v>0</v>
      </c>
      <c r="BA400" s="81">
        <f t="shared" si="274"/>
        <v>0</v>
      </c>
      <c r="BB400" s="81">
        <f t="shared" si="275"/>
        <v>0</v>
      </c>
      <c r="BC400" s="81">
        <f t="shared" si="276"/>
        <v>0</v>
      </c>
      <c r="BD400" s="81">
        <f t="shared" si="277"/>
        <v>0</v>
      </c>
      <c r="BE400" s="81">
        <f t="shared" si="278"/>
        <v>0</v>
      </c>
      <c r="BF400" s="81">
        <f t="shared" si="279"/>
        <v>0</v>
      </c>
      <c r="BG400" s="81">
        <f t="shared" si="280"/>
        <v>0</v>
      </c>
      <c r="BH400" s="81">
        <f t="shared" si="281"/>
        <v>0</v>
      </c>
      <c r="BI400" s="81">
        <f t="shared" si="282"/>
        <v>0</v>
      </c>
      <c r="BJ400" s="81">
        <f t="shared" si="283"/>
        <v>0</v>
      </c>
      <c r="BK400" s="81">
        <f t="shared" si="284"/>
        <v>0</v>
      </c>
      <c r="BL400" s="81">
        <f t="shared" si="285"/>
        <v>0</v>
      </c>
      <c r="BM400" s="81">
        <f t="shared" si="286"/>
        <v>0</v>
      </c>
      <c r="BN400" s="81">
        <f t="shared" si="287"/>
        <v>0</v>
      </c>
      <c r="BO400" s="81">
        <f t="shared" si="288"/>
        <v>0</v>
      </c>
      <c r="BP400" s="81">
        <f t="shared" si="289"/>
        <v>0</v>
      </c>
      <c r="BQ400" s="81">
        <f t="shared" si="290"/>
        <v>0</v>
      </c>
      <c r="BR400" s="81">
        <f t="shared" si="291"/>
        <v>0</v>
      </c>
      <c r="BS400" s="81">
        <f t="shared" si="292"/>
        <v>0</v>
      </c>
      <c r="BT400" s="89">
        <f t="shared" si="293"/>
        <v>0</v>
      </c>
    </row>
    <row r="401" spans="1:72">
      <c r="A401" s="79"/>
      <c r="B401" s="1179"/>
      <c r="C401" s="1180"/>
      <c r="D401" s="2301"/>
      <c r="E401" s="81">
        <f t="shared" si="265"/>
        <v>0</v>
      </c>
      <c r="F401" s="82"/>
      <c r="G401" s="83">
        <f t="shared" si="266"/>
        <v>0</v>
      </c>
      <c r="H401" s="84">
        <f t="shared" si="267"/>
        <v>0</v>
      </c>
      <c r="I401" s="1180"/>
      <c r="J401" s="85"/>
      <c r="K401" s="1180"/>
      <c r="L401" s="85"/>
      <c r="M401" s="85"/>
      <c r="N401" s="85"/>
      <c r="O401" s="85"/>
      <c r="P401" s="85"/>
      <c r="Q401" s="85"/>
      <c r="R401" s="85"/>
      <c r="S401" s="85"/>
      <c r="T401" s="85"/>
      <c r="U401" s="85"/>
      <c r="V401" s="85"/>
      <c r="W401" s="85"/>
      <c r="X401" s="85"/>
      <c r="Y401" s="85"/>
      <c r="Z401" s="85"/>
      <c r="AA401" s="85"/>
      <c r="AB401" s="85"/>
      <c r="AC401" s="81">
        <f t="shared" si="268"/>
        <v>0</v>
      </c>
      <c r="AD401" s="86"/>
      <c r="AE401" s="86"/>
      <c r="AF401" s="1180"/>
      <c r="AG401" s="86"/>
      <c r="AH401" s="86"/>
      <c r="AI401" s="86"/>
      <c r="AJ401" s="86"/>
      <c r="AK401" s="86"/>
      <c r="AL401" s="86"/>
      <c r="AM401" s="86"/>
      <c r="AN401" s="86"/>
      <c r="AO401" s="86"/>
      <c r="AP401" s="86"/>
      <c r="AQ401" s="86"/>
      <c r="AR401" s="86"/>
      <c r="AS401" s="86"/>
      <c r="AT401" s="82"/>
      <c r="AU401" s="87"/>
      <c r="AV401" s="818">
        <f t="shared" si="269"/>
        <v>0</v>
      </c>
      <c r="AW401" s="818">
        <f t="shared" si="270"/>
        <v>0</v>
      </c>
      <c r="AX401" s="818">
        <f t="shared" si="271"/>
        <v>0</v>
      </c>
      <c r="AY401" s="88">
        <f t="shared" si="272"/>
        <v>0</v>
      </c>
      <c r="AZ401" s="81">
        <f t="shared" si="273"/>
        <v>0</v>
      </c>
      <c r="BA401" s="81">
        <f t="shared" si="274"/>
        <v>0</v>
      </c>
      <c r="BB401" s="81">
        <f t="shared" si="275"/>
        <v>0</v>
      </c>
      <c r="BC401" s="81">
        <f t="shared" si="276"/>
        <v>0</v>
      </c>
      <c r="BD401" s="81">
        <f t="shared" si="277"/>
        <v>0</v>
      </c>
      <c r="BE401" s="81">
        <f t="shared" si="278"/>
        <v>0</v>
      </c>
      <c r="BF401" s="81">
        <f t="shared" si="279"/>
        <v>0</v>
      </c>
      <c r="BG401" s="81">
        <f t="shared" si="280"/>
        <v>0</v>
      </c>
      <c r="BH401" s="81">
        <f t="shared" si="281"/>
        <v>0</v>
      </c>
      <c r="BI401" s="81">
        <f t="shared" si="282"/>
        <v>0</v>
      </c>
      <c r="BJ401" s="81">
        <f t="shared" si="283"/>
        <v>0</v>
      </c>
      <c r="BK401" s="81">
        <f t="shared" si="284"/>
        <v>0</v>
      </c>
      <c r="BL401" s="81">
        <f t="shared" si="285"/>
        <v>0</v>
      </c>
      <c r="BM401" s="81">
        <f t="shared" si="286"/>
        <v>0</v>
      </c>
      <c r="BN401" s="81">
        <f t="shared" si="287"/>
        <v>0</v>
      </c>
      <c r="BO401" s="81">
        <f t="shared" si="288"/>
        <v>0</v>
      </c>
      <c r="BP401" s="81">
        <f t="shared" si="289"/>
        <v>0</v>
      </c>
      <c r="BQ401" s="81">
        <f t="shared" si="290"/>
        <v>0</v>
      </c>
      <c r="BR401" s="81">
        <f t="shared" si="291"/>
        <v>0</v>
      </c>
      <c r="BS401" s="81">
        <f t="shared" si="292"/>
        <v>0</v>
      </c>
      <c r="BT401" s="89">
        <f t="shared" si="293"/>
        <v>0</v>
      </c>
    </row>
    <row r="402" spans="1:72">
      <c r="A402" s="79"/>
      <c r="B402" s="1179"/>
      <c r="C402" s="1180"/>
      <c r="D402" s="2301"/>
      <c r="E402" s="81">
        <f t="shared" si="265"/>
        <v>0</v>
      </c>
      <c r="F402" s="82"/>
      <c r="G402" s="83">
        <f t="shared" si="266"/>
        <v>0</v>
      </c>
      <c r="H402" s="84">
        <f t="shared" si="267"/>
        <v>0</v>
      </c>
      <c r="I402" s="1180"/>
      <c r="J402" s="85"/>
      <c r="K402" s="1180"/>
      <c r="L402" s="85"/>
      <c r="M402" s="85"/>
      <c r="N402" s="85"/>
      <c r="O402" s="85"/>
      <c r="P402" s="85"/>
      <c r="Q402" s="85"/>
      <c r="R402" s="85"/>
      <c r="S402" s="85"/>
      <c r="T402" s="85"/>
      <c r="U402" s="85"/>
      <c r="V402" s="85"/>
      <c r="W402" s="85"/>
      <c r="X402" s="85"/>
      <c r="Y402" s="85"/>
      <c r="Z402" s="85"/>
      <c r="AA402" s="85"/>
      <c r="AB402" s="85"/>
      <c r="AC402" s="81">
        <f t="shared" si="268"/>
        <v>0</v>
      </c>
      <c r="AD402" s="86"/>
      <c r="AE402" s="86"/>
      <c r="AF402" s="1180"/>
      <c r="AG402" s="86"/>
      <c r="AH402" s="86"/>
      <c r="AI402" s="86"/>
      <c r="AJ402" s="86"/>
      <c r="AK402" s="86"/>
      <c r="AL402" s="86"/>
      <c r="AM402" s="86"/>
      <c r="AN402" s="86"/>
      <c r="AO402" s="86"/>
      <c r="AP402" s="86"/>
      <c r="AQ402" s="86"/>
      <c r="AR402" s="86"/>
      <c r="AS402" s="86"/>
      <c r="AT402" s="82"/>
      <c r="AU402" s="87"/>
      <c r="AV402" s="818">
        <f t="shared" si="269"/>
        <v>0</v>
      </c>
      <c r="AW402" s="818">
        <f t="shared" si="270"/>
        <v>0</v>
      </c>
      <c r="AX402" s="818">
        <f t="shared" si="271"/>
        <v>0</v>
      </c>
      <c r="AY402" s="88">
        <f t="shared" si="272"/>
        <v>0</v>
      </c>
      <c r="AZ402" s="81">
        <f t="shared" si="273"/>
        <v>0</v>
      </c>
      <c r="BA402" s="81">
        <f t="shared" si="274"/>
        <v>0</v>
      </c>
      <c r="BB402" s="81">
        <f t="shared" si="275"/>
        <v>0</v>
      </c>
      <c r="BC402" s="81">
        <f t="shared" si="276"/>
        <v>0</v>
      </c>
      <c r="BD402" s="81">
        <f t="shared" si="277"/>
        <v>0</v>
      </c>
      <c r="BE402" s="81">
        <f t="shared" si="278"/>
        <v>0</v>
      </c>
      <c r="BF402" s="81">
        <f t="shared" si="279"/>
        <v>0</v>
      </c>
      <c r="BG402" s="81">
        <f t="shared" si="280"/>
        <v>0</v>
      </c>
      <c r="BH402" s="81">
        <f t="shared" si="281"/>
        <v>0</v>
      </c>
      <c r="BI402" s="81">
        <f t="shared" si="282"/>
        <v>0</v>
      </c>
      <c r="BJ402" s="81">
        <f t="shared" si="283"/>
        <v>0</v>
      </c>
      <c r="BK402" s="81">
        <f t="shared" si="284"/>
        <v>0</v>
      </c>
      <c r="BL402" s="81">
        <f t="shared" si="285"/>
        <v>0</v>
      </c>
      <c r="BM402" s="81">
        <f t="shared" si="286"/>
        <v>0</v>
      </c>
      <c r="BN402" s="81">
        <f t="shared" si="287"/>
        <v>0</v>
      </c>
      <c r="BO402" s="81">
        <f t="shared" si="288"/>
        <v>0</v>
      </c>
      <c r="BP402" s="81">
        <f t="shared" si="289"/>
        <v>0</v>
      </c>
      <c r="BQ402" s="81">
        <f t="shared" si="290"/>
        <v>0</v>
      </c>
      <c r="BR402" s="81">
        <f t="shared" si="291"/>
        <v>0</v>
      </c>
      <c r="BS402" s="81">
        <f t="shared" si="292"/>
        <v>0</v>
      </c>
      <c r="BT402" s="89">
        <f t="shared" si="293"/>
        <v>0</v>
      </c>
    </row>
    <row r="403" spans="1:72">
      <c r="A403" s="79"/>
      <c r="B403" s="1179"/>
      <c r="C403" s="1180"/>
      <c r="D403" s="2301"/>
      <c r="E403" s="81">
        <f t="shared" si="265"/>
        <v>0</v>
      </c>
      <c r="F403" s="82"/>
      <c r="G403" s="83">
        <f t="shared" si="266"/>
        <v>0</v>
      </c>
      <c r="H403" s="84">
        <f t="shared" si="267"/>
        <v>0</v>
      </c>
      <c r="I403" s="1180"/>
      <c r="J403" s="85"/>
      <c r="K403" s="1180"/>
      <c r="L403" s="85"/>
      <c r="M403" s="85"/>
      <c r="N403" s="85"/>
      <c r="O403" s="85"/>
      <c r="P403" s="85"/>
      <c r="Q403" s="85"/>
      <c r="R403" s="85"/>
      <c r="S403" s="85"/>
      <c r="T403" s="85"/>
      <c r="U403" s="85"/>
      <c r="V403" s="85"/>
      <c r="W403" s="85"/>
      <c r="X403" s="85"/>
      <c r="Y403" s="85"/>
      <c r="Z403" s="85"/>
      <c r="AA403" s="85"/>
      <c r="AB403" s="85"/>
      <c r="AC403" s="81">
        <f t="shared" si="268"/>
        <v>0</v>
      </c>
      <c r="AD403" s="86"/>
      <c r="AE403" s="86"/>
      <c r="AF403" s="1180"/>
      <c r="AG403" s="86"/>
      <c r="AH403" s="86"/>
      <c r="AI403" s="86"/>
      <c r="AJ403" s="86"/>
      <c r="AK403" s="86"/>
      <c r="AL403" s="86"/>
      <c r="AM403" s="86"/>
      <c r="AN403" s="86"/>
      <c r="AO403" s="86"/>
      <c r="AP403" s="86"/>
      <c r="AQ403" s="86"/>
      <c r="AR403" s="86"/>
      <c r="AS403" s="86"/>
      <c r="AT403" s="82"/>
      <c r="AU403" s="87"/>
      <c r="AV403" s="818">
        <f t="shared" si="269"/>
        <v>0</v>
      </c>
      <c r="AW403" s="818">
        <f t="shared" si="270"/>
        <v>0</v>
      </c>
      <c r="AX403" s="818">
        <f t="shared" si="271"/>
        <v>0</v>
      </c>
      <c r="AY403" s="88">
        <f t="shared" si="272"/>
        <v>0</v>
      </c>
      <c r="AZ403" s="81">
        <f t="shared" si="273"/>
        <v>0</v>
      </c>
      <c r="BA403" s="81">
        <f t="shared" si="274"/>
        <v>0</v>
      </c>
      <c r="BB403" s="81">
        <f t="shared" si="275"/>
        <v>0</v>
      </c>
      <c r="BC403" s="81">
        <f t="shared" si="276"/>
        <v>0</v>
      </c>
      <c r="BD403" s="81">
        <f t="shared" si="277"/>
        <v>0</v>
      </c>
      <c r="BE403" s="81">
        <f t="shared" si="278"/>
        <v>0</v>
      </c>
      <c r="BF403" s="81">
        <f t="shared" si="279"/>
        <v>0</v>
      </c>
      <c r="BG403" s="81">
        <f t="shared" si="280"/>
        <v>0</v>
      </c>
      <c r="BH403" s="81">
        <f t="shared" si="281"/>
        <v>0</v>
      </c>
      <c r="BI403" s="81">
        <f t="shared" si="282"/>
        <v>0</v>
      </c>
      <c r="BJ403" s="81">
        <f t="shared" si="283"/>
        <v>0</v>
      </c>
      <c r="BK403" s="81">
        <f t="shared" si="284"/>
        <v>0</v>
      </c>
      <c r="BL403" s="81">
        <f t="shared" si="285"/>
        <v>0</v>
      </c>
      <c r="BM403" s="81">
        <f t="shared" si="286"/>
        <v>0</v>
      </c>
      <c r="BN403" s="81">
        <f t="shared" si="287"/>
        <v>0</v>
      </c>
      <c r="BO403" s="81">
        <f t="shared" si="288"/>
        <v>0</v>
      </c>
      <c r="BP403" s="81">
        <f t="shared" si="289"/>
        <v>0</v>
      </c>
      <c r="BQ403" s="81">
        <f t="shared" si="290"/>
        <v>0</v>
      </c>
      <c r="BR403" s="81">
        <f t="shared" si="291"/>
        <v>0</v>
      </c>
      <c r="BS403" s="81">
        <f t="shared" si="292"/>
        <v>0</v>
      </c>
      <c r="BT403" s="89">
        <f t="shared" si="293"/>
        <v>0</v>
      </c>
    </row>
    <row r="404" spans="1:72">
      <c r="A404" s="79"/>
      <c r="B404" s="1179"/>
      <c r="C404" s="1180"/>
      <c r="D404" s="2301"/>
      <c r="E404" s="81">
        <f t="shared" si="265"/>
        <v>0</v>
      </c>
      <c r="F404" s="82"/>
      <c r="G404" s="83">
        <f t="shared" si="266"/>
        <v>0</v>
      </c>
      <c r="H404" s="84">
        <f t="shared" si="267"/>
        <v>0</v>
      </c>
      <c r="I404" s="1180"/>
      <c r="J404" s="85"/>
      <c r="K404" s="1180"/>
      <c r="L404" s="85"/>
      <c r="M404" s="85"/>
      <c r="N404" s="85"/>
      <c r="O404" s="85"/>
      <c r="P404" s="85"/>
      <c r="Q404" s="85"/>
      <c r="R404" s="85"/>
      <c r="S404" s="85"/>
      <c r="T404" s="85"/>
      <c r="U404" s="85"/>
      <c r="V404" s="85"/>
      <c r="W404" s="85"/>
      <c r="X404" s="85"/>
      <c r="Y404" s="85"/>
      <c r="Z404" s="85"/>
      <c r="AA404" s="85"/>
      <c r="AB404" s="85"/>
      <c r="AC404" s="81">
        <f t="shared" si="268"/>
        <v>0</v>
      </c>
      <c r="AD404" s="86"/>
      <c r="AE404" s="86"/>
      <c r="AF404" s="1180"/>
      <c r="AG404" s="86"/>
      <c r="AH404" s="86"/>
      <c r="AI404" s="86"/>
      <c r="AJ404" s="86"/>
      <c r="AK404" s="86"/>
      <c r="AL404" s="86"/>
      <c r="AM404" s="86"/>
      <c r="AN404" s="86"/>
      <c r="AO404" s="86"/>
      <c r="AP404" s="86"/>
      <c r="AQ404" s="86"/>
      <c r="AR404" s="86"/>
      <c r="AS404" s="86"/>
      <c r="AT404" s="82"/>
      <c r="AU404" s="87"/>
      <c r="AV404" s="818">
        <f t="shared" si="269"/>
        <v>0</v>
      </c>
      <c r="AW404" s="818">
        <f t="shared" si="270"/>
        <v>0</v>
      </c>
      <c r="AX404" s="818">
        <f t="shared" si="271"/>
        <v>0</v>
      </c>
      <c r="AY404" s="88">
        <f t="shared" si="272"/>
        <v>0</v>
      </c>
      <c r="AZ404" s="81">
        <f t="shared" si="273"/>
        <v>0</v>
      </c>
      <c r="BA404" s="81">
        <f t="shared" si="274"/>
        <v>0</v>
      </c>
      <c r="BB404" s="81">
        <f t="shared" si="275"/>
        <v>0</v>
      </c>
      <c r="BC404" s="81">
        <f t="shared" si="276"/>
        <v>0</v>
      </c>
      <c r="BD404" s="81">
        <f t="shared" si="277"/>
        <v>0</v>
      </c>
      <c r="BE404" s="81">
        <f t="shared" si="278"/>
        <v>0</v>
      </c>
      <c r="BF404" s="81">
        <f t="shared" si="279"/>
        <v>0</v>
      </c>
      <c r="BG404" s="81">
        <f t="shared" si="280"/>
        <v>0</v>
      </c>
      <c r="BH404" s="81">
        <f t="shared" si="281"/>
        <v>0</v>
      </c>
      <c r="BI404" s="81">
        <f t="shared" si="282"/>
        <v>0</v>
      </c>
      <c r="BJ404" s="81">
        <f t="shared" si="283"/>
        <v>0</v>
      </c>
      <c r="BK404" s="81">
        <f t="shared" si="284"/>
        <v>0</v>
      </c>
      <c r="BL404" s="81">
        <f t="shared" si="285"/>
        <v>0</v>
      </c>
      <c r="BM404" s="81">
        <f t="shared" si="286"/>
        <v>0</v>
      </c>
      <c r="BN404" s="81">
        <f t="shared" si="287"/>
        <v>0</v>
      </c>
      <c r="BO404" s="81">
        <f t="shared" si="288"/>
        <v>0</v>
      </c>
      <c r="BP404" s="81">
        <f t="shared" si="289"/>
        <v>0</v>
      </c>
      <c r="BQ404" s="81">
        <f t="shared" si="290"/>
        <v>0</v>
      </c>
      <c r="BR404" s="81">
        <f t="shared" si="291"/>
        <v>0</v>
      </c>
      <c r="BS404" s="81">
        <f t="shared" si="292"/>
        <v>0</v>
      </c>
      <c r="BT404" s="89">
        <f t="shared" si="293"/>
        <v>0</v>
      </c>
    </row>
    <row r="405" spans="1:72">
      <c r="A405" s="79"/>
      <c r="B405" s="1179"/>
      <c r="C405" s="1180"/>
      <c r="D405" s="2301"/>
      <c r="E405" s="81">
        <f t="shared" si="265"/>
        <v>0</v>
      </c>
      <c r="F405" s="82"/>
      <c r="G405" s="83">
        <f t="shared" si="266"/>
        <v>0</v>
      </c>
      <c r="H405" s="84">
        <f t="shared" si="267"/>
        <v>0</v>
      </c>
      <c r="I405" s="1180"/>
      <c r="J405" s="85"/>
      <c r="K405" s="1180"/>
      <c r="L405" s="85"/>
      <c r="M405" s="85"/>
      <c r="N405" s="85"/>
      <c r="O405" s="85"/>
      <c r="P405" s="85"/>
      <c r="Q405" s="85"/>
      <c r="R405" s="85"/>
      <c r="S405" s="85"/>
      <c r="T405" s="85"/>
      <c r="U405" s="85"/>
      <c r="V405" s="85"/>
      <c r="W405" s="85"/>
      <c r="X405" s="85"/>
      <c r="Y405" s="85"/>
      <c r="Z405" s="85"/>
      <c r="AA405" s="85"/>
      <c r="AB405" s="85"/>
      <c r="AC405" s="81">
        <f t="shared" si="268"/>
        <v>0</v>
      </c>
      <c r="AD405" s="86"/>
      <c r="AE405" s="86"/>
      <c r="AF405" s="1180"/>
      <c r="AG405" s="86"/>
      <c r="AH405" s="86"/>
      <c r="AI405" s="86"/>
      <c r="AJ405" s="86"/>
      <c r="AK405" s="86"/>
      <c r="AL405" s="86"/>
      <c r="AM405" s="86"/>
      <c r="AN405" s="86"/>
      <c r="AO405" s="86"/>
      <c r="AP405" s="86"/>
      <c r="AQ405" s="86"/>
      <c r="AR405" s="86"/>
      <c r="AS405" s="86"/>
      <c r="AT405" s="82"/>
      <c r="AU405" s="87"/>
      <c r="AV405" s="818">
        <f t="shared" si="269"/>
        <v>0</v>
      </c>
      <c r="AW405" s="818">
        <f t="shared" si="270"/>
        <v>0</v>
      </c>
      <c r="AX405" s="818">
        <f t="shared" si="271"/>
        <v>0</v>
      </c>
      <c r="AY405" s="88">
        <f t="shared" si="272"/>
        <v>0</v>
      </c>
      <c r="AZ405" s="81">
        <f t="shared" si="273"/>
        <v>0</v>
      </c>
      <c r="BA405" s="81">
        <f t="shared" si="274"/>
        <v>0</v>
      </c>
      <c r="BB405" s="81">
        <f t="shared" si="275"/>
        <v>0</v>
      </c>
      <c r="BC405" s="81">
        <f t="shared" si="276"/>
        <v>0</v>
      </c>
      <c r="BD405" s="81">
        <f t="shared" si="277"/>
        <v>0</v>
      </c>
      <c r="BE405" s="81">
        <f t="shared" si="278"/>
        <v>0</v>
      </c>
      <c r="BF405" s="81">
        <f t="shared" si="279"/>
        <v>0</v>
      </c>
      <c r="BG405" s="81">
        <f t="shared" si="280"/>
        <v>0</v>
      </c>
      <c r="BH405" s="81">
        <f t="shared" si="281"/>
        <v>0</v>
      </c>
      <c r="BI405" s="81">
        <f t="shared" si="282"/>
        <v>0</v>
      </c>
      <c r="BJ405" s="81">
        <f t="shared" si="283"/>
        <v>0</v>
      </c>
      <c r="BK405" s="81">
        <f t="shared" si="284"/>
        <v>0</v>
      </c>
      <c r="BL405" s="81">
        <f t="shared" si="285"/>
        <v>0</v>
      </c>
      <c r="BM405" s="81">
        <f t="shared" si="286"/>
        <v>0</v>
      </c>
      <c r="BN405" s="81">
        <f t="shared" si="287"/>
        <v>0</v>
      </c>
      <c r="BO405" s="81">
        <f t="shared" si="288"/>
        <v>0</v>
      </c>
      <c r="BP405" s="81">
        <f t="shared" si="289"/>
        <v>0</v>
      </c>
      <c r="BQ405" s="81">
        <f t="shared" si="290"/>
        <v>0</v>
      </c>
      <c r="BR405" s="81">
        <f t="shared" si="291"/>
        <v>0</v>
      </c>
      <c r="BS405" s="81">
        <f t="shared" si="292"/>
        <v>0</v>
      </c>
      <c r="BT405" s="89">
        <f t="shared" si="293"/>
        <v>0</v>
      </c>
    </row>
    <row r="406" spans="1:72">
      <c r="A406" s="79"/>
      <c r="B406" s="1179"/>
      <c r="C406" s="1180"/>
      <c r="D406" s="2301"/>
      <c r="E406" s="81">
        <f t="shared" si="265"/>
        <v>0</v>
      </c>
      <c r="F406" s="82"/>
      <c r="G406" s="83">
        <f t="shared" si="266"/>
        <v>0</v>
      </c>
      <c r="H406" s="84">
        <f t="shared" si="267"/>
        <v>0</v>
      </c>
      <c r="I406" s="1180"/>
      <c r="J406" s="85"/>
      <c r="K406" s="1180"/>
      <c r="L406" s="85"/>
      <c r="M406" s="85"/>
      <c r="N406" s="85"/>
      <c r="O406" s="85"/>
      <c r="P406" s="85"/>
      <c r="Q406" s="85"/>
      <c r="R406" s="85"/>
      <c r="S406" s="85"/>
      <c r="T406" s="85"/>
      <c r="U406" s="85"/>
      <c r="V406" s="85"/>
      <c r="W406" s="85"/>
      <c r="X406" s="85"/>
      <c r="Y406" s="85"/>
      <c r="Z406" s="85"/>
      <c r="AA406" s="85"/>
      <c r="AB406" s="85"/>
      <c r="AC406" s="81">
        <f t="shared" si="268"/>
        <v>0</v>
      </c>
      <c r="AD406" s="86"/>
      <c r="AE406" s="86"/>
      <c r="AF406" s="1180"/>
      <c r="AG406" s="86"/>
      <c r="AH406" s="86"/>
      <c r="AI406" s="86"/>
      <c r="AJ406" s="86"/>
      <c r="AK406" s="86"/>
      <c r="AL406" s="86"/>
      <c r="AM406" s="86"/>
      <c r="AN406" s="86"/>
      <c r="AO406" s="86"/>
      <c r="AP406" s="86"/>
      <c r="AQ406" s="86"/>
      <c r="AR406" s="86"/>
      <c r="AS406" s="86"/>
      <c r="AT406" s="82"/>
      <c r="AU406" s="87"/>
      <c r="AV406" s="818">
        <f t="shared" si="269"/>
        <v>0</v>
      </c>
      <c r="AW406" s="818">
        <f t="shared" si="270"/>
        <v>0</v>
      </c>
      <c r="AX406" s="818">
        <f t="shared" si="271"/>
        <v>0</v>
      </c>
      <c r="AY406" s="88">
        <f t="shared" si="272"/>
        <v>0</v>
      </c>
      <c r="AZ406" s="81">
        <f t="shared" si="273"/>
        <v>0</v>
      </c>
      <c r="BA406" s="81">
        <f t="shared" si="274"/>
        <v>0</v>
      </c>
      <c r="BB406" s="81">
        <f t="shared" si="275"/>
        <v>0</v>
      </c>
      <c r="BC406" s="81">
        <f t="shared" si="276"/>
        <v>0</v>
      </c>
      <c r="BD406" s="81">
        <f t="shared" si="277"/>
        <v>0</v>
      </c>
      <c r="BE406" s="81">
        <f t="shared" si="278"/>
        <v>0</v>
      </c>
      <c r="BF406" s="81">
        <f t="shared" si="279"/>
        <v>0</v>
      </c>
      <c r="BG406" s="81">
        <f t="shared" si="280"/>
        <v>0</v>
      </c>
      <c r="BH406" s="81">
        <f t="shared" si="281"/>
        <v>0</v>
      </c>
      <c r="BI406" s="81">
        <f t="shared" si="282"/>
        <v>0</v>
      </c>
      <c r="BJ406" s="81">
        <f t="shared" si="283"/>
        <v>0</v>
      </c>
      <c r="BK406" s="81">
        <f t="shared" si="284"/>
        <v>0</v>
      </c>
      <c r="BL406" s="81">
        <f t="shared" si="285"/>
        <v>0</v>
      </c>
      <c r="BM406" s="81">
        <f t="shared" si="286"/>
        <v>0</v>
      </c>
      <c r="BN406" s="81">
        <f t="shared" si="287"/>
        <v>0</v>
      </c>
      <c r="BO406" s="81">
        <f t="shared" si="288"/>
        <v>0</v>
      </c>
      <c r="BP406" s="81">
        <f t="shared" si="289"/>
        <v>0</v>
      </c>
      <c r="BQ406" s="81">
        <f t="shared" si="290"/>
        <v>0</v>
      </c>
      <c r="BR406" s="81">
        <f t="shared" si="291"/>
        <v>0</v>
      </c>
      <c r="BS406" s="81">
        <f t="shared" si="292"/>
        <v>0</v>
      </c>
      <c r="BT406" s="89">
        <f t="shared" si="293"/>
        <v>0</v>
      </c>
    </row>
    <row r="407" spans="1:72">
      <c r="A407" s="79"/>
      <c r="B407" s="1179"/>
      <c r="C407" s="1180"/>
      <c r="D407" s="2301"/>
      <c r="E407" s="81">
        <f t="shared" si="265"/>
        <v>0</v>
      </c>
      <c r="F407" s="82"/>
      <c r="G407" s="83">
        <f t="shared" si="266"/>
        <v>0</v>
      </c>
      <c r="H407" s="84">
        <f t="shared" si="267"/>
        <v>0</v>
      </c>
      <c r="I407" s="1180"/>
      <c r="J407" s="85"/>
      <c r="K407" s="1180"/>
      <c r="L407" s="85"/>
      <c r="M407" s="85"/>
      <c r="N407" s="85"/>
      <c r="O407" s="85"/>
      <c r="P407" s="85"/>
      <c r="Q407" s="85"/>
      <c r="R407" s="85"/>
      <c r="S407" s="85"/>
      <c r="T407" s="85"/>
      <c r="U407" s="85"/>
      <c r="V407" s="85"/>
      <c r="W407" s="85"/>
      <c r="X407" s="85"/>
      <c r="Y407" s="85"/>
      <c r="Z407" s="85"/>
      <c r="AA407" s="85"/>
      <c r="AB407" s="85"/>
      <c r="AC407" s="81">
        <f t="shared" si="268"/>
        <v>0</v>
      </c>
      <c r="AD407" s="86"/>
      <c r="AE407" s="86"/>
      <c r="AF407" s="1180"/>
      <c r="AG407" s="86"/>
      <c r="AH407" s="86"/>
      <c r="AI407" s="86"/>
      <c r="AJ407" s="86"/>
      <c r="AK407" s="86"/>
      <c r="AL407" s="86"/>
      <c r="AM407" s="86"/>
      <c r="AN407" s="86"/>
      <c r="AO407" s="86"/>
      <c r="AP407" s="86"/>
      <c r="AQ407" s="86"/>
      <c r="AR407" s="86"/>
      <c r="AS407" s="86"/>
      <c r="AT407" s="82"/>
      <c r="AU407" s="87"/>
      <c r="AV407" s="818">
        <f t="shared" si="269"/>
        <v>0</v>
      </c>
      <c r="AW407" s="818">
        <f t="shared" si="270"/>
        <v>0</v>
      </c>
      <c r="AX407" s="818">
        <f t="shared" si="271"/>
        <v>0</v>
      </c>
      <c r="AY407" s="88">
        <f t="shared" si="272"/>
        <v>0</v>
      </c>
      <c r="AZ407" s="81">
        <f t="shared" si="273"/>
        <v>0</v>
      </c>
      <c r="BA407" s="81">
        <f t="shared" si="274"/>
        <v>0</v>
      </c>
      <c r="BB407" s="81">
        <f t="shared" si="275"/>
        <v>0</v>
      </c>
      <c r="BC407" s="81">
        <f t="shared" si="276"/>
        <v>0</v>
      </c>
      <c r="BD407" s="81">
        <f t="shared" si="277"/>
        <v>0</v>
      </c>
      <c r="BE407" s="81">
        <f t="shared" si="278"/>
        <v>0</v>
      </c>
      <c r="BF407" s="81">
        <f t="shared" si="279"/>
        <v>0</v>
      </c>
      <c r="BG407" s="81">
        <f t="shared" si="280"/>
        <v>0</v>
      </c>
      <c r="BH407" s="81">
        <f t="shared" si="281"/>
        <v>0</v>
      </c>
      <c r="BI407" s="81">
        <f t="shared" si="282"/>
        <v>0</v>
      </c>
      <c r="BJ407" s="81">
        <f t="shared" si="283"/>
        <v>0</v>
      </c>
      <c r="BK407" s="81">
        <f t="shared" si="284"/>
        <v>0</v>
      </c>
      <c r="BL407" s="81">
        <f t="shared" si="285"/>
        <v>0</v>
      </c>
      <c r="BM407" s="81">
        <f t="shared" si="286"/>
        <v>0</v>
      </c>
      <c r="BN407" s="81">
        <f t="shared" si="287"/>
        <v>0</v>
      </c>
      <c r="BO407" s="81">
        <f t="shared" si="288"/>
        <v>0</v>
      </c>
      <c r="BP407" s="81">
        <f t="shared" si="289"/>
        <v>0</v>
      </c>
      <c r="BQ407" s="81">
        <f t="shared" si="290"/>
        <v>0</v>
      </c>
      <c r="BR407" s="81">
        <f t="shared" si="291"/>
        <v>0</v>
      </c>
      <c r="BS407" s="81">
        <f t="shared" si="292"/>
        <v>0</v>
      </c>
      <c r="BT407" s="89">
        <f t="shared" si="293"/>
        <v>0</v>
      </c>
    </row>
    <row r="408" spans="1:72">
      <c r="A408" s="79"/>
      <c r="B408" s="1179"/>
      <c r="C408" s="1180"/>
      <c r="D408" s="2301"/>
      <c r="E408" s="81">
        <f t="shared" si="265"/>
        <v>0</v>
      </c>
      <c r="F408" s="82"/>
      <c r="G408" s="83">
        <f t="shared" si="266"/>
        <v>0</v>
      </c>
      <c r="H408" s="84">
        <f t="shared" si="267"/>
        <v>0</v>
      </c>
      <c r="I408" s="1180"/>
      <c r="J408" s="85"/>
      <c r="K408" s="1180"/>
      <c r="L408" s="85"/>
      <c r="M408" s="85"/>
      <c r="N408" s="85"/>
      <c r="O408" s="85"/>
      <c r="P408" s="85"/>
      <c r="Q408" s="85"/>
      <c r="R408" s="85"/>
      <c r="S408" s="85"/>
      <c r="T408" s="85"/>
      <c r="U408" s="85"/>
      <c r="V408" s="85"/>
      <c r="W408" s="85"/>
      <c r="X408" s="85"/>
      <c r="Y408" s="85"/>
      <c r="Z408" s="85"/>
      <c r="AA408" s="85"/>
      <c r="AB408" s="85"/>
      <c r="AC408" s="81">
        <f t="shared" si="268"/>
        <v>0</v>
      </c>
      <c r="AD408" s="86"/>
      <c r="AE408" s="86"/>
      <c r="AF408" s="1180"/>
      <c r="AG408" s="86"/>
      <c r="AH408" s="86"/>
      <c r="AI408" s="86"/>
      <c r="AJ408" s="86"/>
      <c r="AK408" s="86"/>
      <c r="AL408" s="86"/>
      <c r="AM408" s="86"/>
      <c r="AN408" s="86"/>
      <c r="AO408" s="86"/>
      <c r="AP408" s="86"/>
      <c r="AQ408" s="86"/>
      <c r="AR408" s="86"/>
      <c r="AS408" s="86"/>
      <c r="AT408" s="82"/>
      <c r="AU408" s="87"/>
      <c r="AV408" s="818">
        <f t="shared" si="269"/>
        <v>0</v>
      </c>
      <c r="AW408" s="818">
        <f t="shared" si="270"/>
        <v>0</v>
      </c>
      <c r="AX408" s="818">
        <f t="shared" si="271"/>
        <v>0</v>
      </c>
      <c r="AY408" s="88">
        <f t="shared" si="272"/>
        <v>0</v>
      </c>
      <c r="AZ408" s="81">
        <f t="shared" si="273"/>
        <v>0</v>
      </c>
      <c r="BA408" s="81">
        <f t="shared" si="274"/>
        <v>0</v>
      </c>
      <c r="BB408" s="81">
        <f t="shared" si="275"/>
        <v>0</v>
      </c>
      <c r="BC408" s="81">
        <f t="shared" si="276"/>
        <v>0</v>
      </c>
      <c r="BD408" s="81">
        <f t="shared" si="277"/>
        <v>0</v>
      </c>
      <c r="BE408" s="81">
        <f t="shared" si="278"/>
        <v>0</v>
      </c>
      <c r="BF408" s="81">
        <f t="shared" si="279"/>
        <v>0</v>
      </c>
      <c r="BG408" s="81">
        <f t="shared" si="280"/>
        <v>0</v>
      </c>
      <c r="BH408" s="81">
        <f t="shared" si="281"/>
        <v>0</v>
      </c>
      <c r="BI408" s="81">
        <f t="shared" si="282"/>
        <v>0</v>
      </c>
      <c r="BJ408" s="81">
        <f t="shared" si="283"/>
        <v>0</v>
      </c>
      <c r="BK408" s="81">
        <f t="shared" si="284"/>
        <v>0</v>
      </c>
      <c r="BL408" s="81">
        <f t="shared" si="285"/>
        <v>0</v>
      </c>
      <c r="BM408" s="81">
        <f t="shared" si="286"/>
        <v>0</v>
      </c>
      <c r="BN408" s="81">
        <f t="shared" si="287"/>
        <v>0</v>
      </c>
      <c r="BO408" s="81">
        <f t="shared" si="288"/>
        <v>0</v>
      </c>
      <c r="BP408" s="81">
        <f t="shared" si="289"/>
        <v>0</v>
      </c>
      <c r="BQ408" s="81">
        <f t="shared" si="290"/>
        <v>0</v>
      </c>
      <c r="BR408" s="81">
        <f t="shared" si="291"/>
        <v>0</v>
      </c>
      <c r="BS408" s="81">
        <f t="shared" si="292"/>
        <v>0</v>
      </c>
      <c r="BT408" s="89">
        <f t="shared" si="293"/>
        <v>0</v>
      </c>
    </row>
    <row r="409" spans="1:72">
      <c r="A409" s="79"/>
      <c r="B409" s="1179"/>
      <c r="C409" s="1180"/>
      <c r="D409" s="2301"/>
      <c r="E409" s="81">
        <f t="shared" si="265"/>
        <v>0</v>
      </c>
      <c r="F409" s="82"/>
      <c r="G409" s="83">
        <f t="shared" si="266"/>
        <v>0</v>
      </c>
      <c r="H409" s="84">
        <f t="shared" si="267"/>
        <v>0</v>
      </c>
      <c r="I409" s="1180"/>
      <c r="J409" s="85"/>
      <c r="K409" s="1180"/>
      <c r="L409" s="85"/>
      <c r="M409" s="85"/>
      <c r="N409" s="85"/>
      <c r="O409" s="85"/>
      <c r="P409" s="85"/>
      <c r="Q409" s="85"/>
      <c r="R409" s="85"/>
      <c r="S409" s="85"/>
      <c r="T409" s="85"/>
      <c r="U409" s="85"/>
      <c r="V409" s="85"/>
      <c r="W409" s="85"/>
      <c r="X409" s="85"/>
      <c r="Y409" s="85"/>
      <c r="Z409" s="85"/>
      <c r="AA409" s="85"/>
      <c r="AB409" s="85"/>
      <c r="AC409" s="81">
        <f t="shared" si="268"/>
        <v>0</v>
      </c>
      <c r="AD409" s="86"/>
      <c r="AE409" s="86"/>
      <c r="AF409" s="1180"/>
      <c r="AG409" s="86"/>
      <c r="AH409" s="86"/>
      <c r="AI409" s="86"/>
      <c r="AJ409" s="86"/>
      <c r="AK409" s="86"/>
      <c r="AL409" s="86"/>
      <c r="AM409" s="86"/>
      <c r="AN409" s="86"/>
      <c r="AO409" s="86"/>
      <c r="AP409" s="86"/>
      <c r="AQ409" s="86"/>
      <c r="AR409" s="86"/>
      <c r="AS409" s="86"/>
      <c r="AT409" s="82"/>
      <c r="AU409" s="87"/>
      <c r="AV409" s="818">
        <f t="shared" si="269"/>
        <v>0</v>
      </c>
      <c r="AW409" s="818">
        <f t="shared" si="270"/>
        <v>0</v>
      </c>
      <c r="AX409" s="818">
        <f t="shared" si="271"/>
        <v>0</v>
      </c>
      <c r="AY409" s="88">
        <f t="shared" si="272"/>
        <v>0</v>
      </c>
      <c r="AZ409" s="81">
        <f t="shared" si="273"/>
        <v>0</v>
      </c>
      <c r="BA409" s="81">
        <f t="shared" si="274"/>
        <v>0</v>
      </c>
      <c r="BB409" s="81">
        <f t="shared" si="275"/>
        <v>0</v>
      </c>
      <c r="BC409" s="81">
        <f t="shared" si="276"/>
        <v>0</v>
      </c>
      <c r="BD409" s="81">
        <f t="shared" si="277"/>
        <v>0</v>
      </c>
      <c r="BE409" s="81">
        <f t="shared" si="278"/>
        <v>0</v>
      </c>
      <c r="BF409" s="81">
        <f t="shared" si="279"/>
        <v>0</v>
      </c>
      <c r="BG409" s="81">
        <f t="shared" si="280"/>
        <v>0</v>
      </c>
      <c r="BH409" s="81">
        <f t="shared" si="281"/>
        <v>0</v>
      </c>
      <c r="BI409" s="81">
        <f t="shared" si="282"/>
        <v>0</v>
      </c>
      <c r="BJ409" s="81">
        <f t="shared" si="283"/>
        <v>0</v>
      </c>
      <c r="BK409" s="81">
        <f t="shared" si="284"/>
        <v>0</v>
      </c>
      <c r="BL409" s="81">
        <f t="shared" si="285"/>
        <v>0</v>
      </c>
      <c r="BM409" s="81">
        <f t="shared" si="286"/>
        <v>0</v>
      </c>
      <c r="BN409" s="81">
        <f t="shared" si="287"/>
        <v>0</v>
      </c>
      <c r="BO409" s="81">
        <f t="shared" si="288"/>
        <v>0</v>
      </c>
      <c r="BP409" s="81">
        <f t="shared" si="289"/>
        <v>0</v>
      </c>
      <c r="BQ409" s="81">
        <f t="shared" si="290"/>
        <v>0</v>
      </c>
      <c r="BR409" s="81">
        <f t="shared" si="291"/>
        <v>0</v>
      </c>
      <c r="BS409" s="81">
        <f t="shared" si="292"/>
        <v>0</v>
      </c>
      <c r="BT409" s="89">
        <f t="shared" si="293"/>
        <v>0</v>
      </c>
    </row>
    <row r="410" spans="1:72">
      <c r="A410" s="79"/>
      <c r="B410" s="1179"/>
      <c r="C410" s="1180"/>
      <c r="D410" s="2301"/>
      <c r="E410" s="81">
        <f t="shared" si="265"/>
        <v>0</v>
      </c>
      <c r="F410" s="82"/>
      <c r="G410" s="83">
        <f t="shared" si="266"/>
        <v>0</v>
      </c>
      <c r="H410" s="84">
        <f t="shared" si="267"/>
        <v>0</v>
      </c>
      <c r="I410" s="1180"/>
      <c r="J410" s="85"/>
      <c r="K410" s="1180"/>
      <c r="L410" s="85"/>
      <c r="M410" s="85"/>
      <c r="N410" s="85"/>
      <c r="O410" s="85"/>
      <c r="P410" s="85"/>
      <c r="Q410" s="85"/>
      <c r="R410" s="85"/>
      <c r="S410" s="85"/>
      <c r="T410" s="85"/>
      <c r="U410" s="85"/>
      <c r="V410" s="85"/>
      <c r="W410" s="85"/>
      <c r="X410" s="85"/>
      <c r="Y410" s="85"/>
      <c r="Z410" s="85"/>
      <c r="AA410" s="85"/>
      <c r="AB410" s="85"/>
      <c r="AC410" s="81">
        <f t="shared" si="268"/>
        <v>0</v>
      </c>
      <c r="AD410" s="86"/>
      <c r="AE410" s="86"/>
      <c r="AF410" s="1180"/>
      <c r="AG410" s="86"/>
      <c r="AH410" s="86"/>
      <c r="AI410" s="86"/>
      <c r="AJ410" s="86"/>
      <c r="AK410" s="86"/>
      <c r="AL410" s="86"/>
      <c r="AM410" s="86"/>
      <c r="AN410" s="86"/>
      <c r="AO410" s="86"/>
      <c r="AP410" s="86"/>
      <c r="AQ410" s="86"/>
      <c r="AR410" s="86"/>
      <c r="AS410" s="86"/>
      <c r="AT410" s="82"/>
      <c r="AU410" s="87"/>
      <c r="AV410" s="818">
        <f t="shared" si="269"/>
        <v>0</v>
      </c>
      <c r="AW410" s="818">
        <f t="shared" si="270"/>
        <v>0</v>
      </c>
      <c r="AX410" s="818">
        <f t="shared" si="271"/>
        <v>0</v>
      </c>
      <c r="AY410" s="88">
        <f t="shared" si="272"/>
        <v>0</v>
      </c>
      <c r="AZ410" s="81">
        <f t="shared" si="273"/>
        <v>0</v>
      </c>
      <c r="BA410" s="81">
        <f t="shared" si="274"/>
        <v>0</v>
      </c>
      <c r="BB410" s="81">
        <f t="shared" si="275"/>
        <v>0</v>
      </c>
      <c r="BC410" s="81">
        <f t="shared" si="276"/>
        <v>0</v>
      </c>
      <c r="BD410" s="81">
        <f t="shared" si="277"/>
        <v>0</v>
      </c>
      <c r="BE410" s="81">
        <f t="shared" si="278"/>
        <v>0</v>
      </c>
      <c r="BF410" s="81">
        <f t="shared" si="279"/>
        <v>0</v>
      </c>
      <c r="BG410" s="81">
        <f t="shared" si="280"/>
        <v>0</v>
      </c>
      <c r="BH410" s="81">
        <f t="shared" si="281"/>
        <v>0</v>
      </c>
      <c r="BI410" s="81">
        <f t="shared" si="282"/>
        <v>0</v>
      </c>
      <c r="BJ410" s="81">
        <f t="shared" si="283"/>
        <v>0</v>
      </c>
      <c r="BK410" s="81">
        <f t="shared" si="284"/>
        <v>0</v>
      </c>
      <c r="BL410" s="81">
        <f t="shared" si="285"/>
        <v>0</v>
      </c>
      <c r="BM410" s="81">
        <f t="shared" si="286"/>
        <v>0</v>
      </c>
      <c r="BN410" s="81">
        <f t="shared" si="287"/>
        <v>0</v>
      </c>
      <c r="BO410" s="81">
        <f t="shared" si="288"/>
        <v>0</v>
      </c>
      <c r="BP410" s="81">
        <f t="shared" si="289"/>
        <v>0</v>
      </c>
      <c r="BQ410" s="81">
        <f t="shared" si="290"/>
        <v>0</v>
      </c>
      <c r="BR410" s="81">
        <f t="shared" si="291"/>
        <v>0</v>
      </c>
      <c r="BS410" s="81">
        <f t="shared" si="292"/>
        <v>0</v>
      </c>
      <c r="BT410" s="89">
        <f t="shared" si="293"/>
        <v>0</v>
      </c>
    </row>
    <row r="411" spans="1:72">
      <c r="A411" s="79"/>
      <c r="B411" s="1179"/>
      <c r="C411" s="1180"/>
      <c r="D411" s="2301"/>
      <c r="E411" s="81">
        <f t="shared" si="265"/>
        <v>0</v>
      </c>
      <c r="F411" s="82"/>
      <c r="G411" s="83">
        <f t="shared" si="266"/>
        <v>0</v>
      </c>
      <c r="H411" s="84">
        <f t="shared" si="267"/>
        <v>0</v>
      </c>
      <c r="I411" s="1180"/>
      <c r="J411" s="85"/>
      <c r="K411" s="1180"/>
      <c r="L411" s="85"/>
      <c r="M411" s="85"/>
      <c r="N411" s="85"/>
      <c r="O411" s="85"/>
      <c r="P411" s="85"/>
      <c r="Q411" s="85"/>
      <c r="R411" s="85"/>
      <c r="S411" s="85"/>
      <c r="T411" s="85"/>
      <c r="U411" s="85"/>
      <c r="V411" s="85"/>
      <c r="W411" s="85"/>
      <c r="X411" s="85"/>
      <c r="Y411" s="85"/>
      <c r="Z411" s="85"/>
      <c r="AA411" s="85"/>
      <c r="AB411" s="85"/>
      <c r="AC411" s="81">
        <f t="shared" si="268"/>
        <v>0</v>
      </c>
      <c r="AD411" s="86"/>
      <c r="AE411" s="86"/>
      <c r="AF411" s="1180"/>
      <c r="AG411" s="86"/>
      <c r="AH411" s="86"/>
      <c r="AI411" s="86"/>
      <c r="AJ411" s="86"/>
      <c r="AK411" s="86"/>
      <c r="AL411" s="86"/>
      <c r="AM411" s="86"/>
      <c r="AN411" s="86"/>
      <c r="AO411" s="86"/>
      <c r="AP411" s="86"/>
      <c r="AQ411" s="86"/>
      <c r="AR411" s="86"/>
      <c r="AS411" s="86"/>
      <c r="AT411" s="82"/>
      <c r="AU411" s="87"/>
      <c r="AV411" s="818">
        <f t="shared" si="269"/>
        <v>0</v>
      </c>
      <c r="AW411" s="818">
        <f t="shared" si="270"/>
        <v>0</v>
      </c>
      <c r="AX411" s="818">
        <f t="shared" si="271"/>
        <v>0</v>
      </c>
      <c r="AY411" s="88">
        <f t="shared" si="272"/>
        <v>0</v>
      </c>
      <c r="AZ411" s="81">
        <f t="shared" si="273"/>
        <v>0</v>
      </c>
      <c r="BA411" s="81">
        <f t="shared" si="274"/>
        <v>0</v>
      </c>
      <c r="BB411" s="81">
        <f t="shared" si="275"/>
        <v>0</v>
      </c>
      <c r="BC411" s="81">
        <f t="shared" si="276"/>
        <v>0</v>
      </c>
      <c r="BD411" s="81">
        <f t="shared" si="277"/>
        <v>0</v>
      </c>
      <c r="BE411" s="81">
        <f t="shared" si="278"/>
        <v>0</v>
      </c>
      <c r="BF411" s="81">
        <f t="shared" si="279"/>
        <v>0</v>
      </c>
      <c r="BG411" s="81">
        <f t="shared" si="280"/>
        <v>0</v>
      </c>
      <c r="BH411" s="81">
        <f t="shared" si="281"/>
        <v>0</v>
      </c>
      <c r="BI411" s="81">
        <f t="shared" si="282"/>
        <v>0</v>
      </c>
      <c r="BJ411" s="81">
        <f t="shared" si="283"/>
        <v>0</v>
      </c>
      <c r="BK411" s="81">
        <f t="shared" si="284"/>
        <v>0</v>
      </c>
      <c r="BL411" s="81">
        <f t="shared" si="285"/>
        <v>0</v>
      </c>
      <c r="BM411" s="81">
        <f t="shared" si="286"/>
        <v>0</v>
      </c>
      <c r="BN411" s="81">
        <f t="shared" si="287"/>
        <v>0</v>
      </c>
      <c r="BO411" s="81">
        <f t="shared" si="288"/>
        <v>0</v>
      </c>
      <c r="BP411" s="81">
        <f t="shared" si="289"/>
        <v>0</v>
      </c>
      <c r="BQ411" s="81">
        <f t="shared" si="290"/>
        <v>0</v>
      </c>
      <c r="BR411" s="81">
        <f t="shared" si="291"/>
        <v>0</v>
      </c>
      <c r="BS411" s="81">
        <f t="shared" si="292"/>
        <v>0</v>
      </c>
      <c r="BT411" s="89">
        <f t="shared" si="293"/>
        <v>0</v>
      </c>
    </row>
    <row r="412" spans="1:72">
      <c r="A412" s="79"/>
      <c r="B412" s="1179"/>
      <c r="C412" s="1180"/>
      <c r="D412" s="2301"/>
      <c r="E412" s="81">
        <f t="shared" si="265"/>
        <v>0</v>
      </c>
      <c r="F412" s="82"/>
      <c r="G412" s="83">
        <f t="shared" si="266"/>
        <v>0</v>
      </c>
      <c r="H412" s="84">
        <f t="shared" si="267"/>
        <v>0</v>
      </c>
      <c r="I412" s="1180"/>
      <c r="J412" s="85"/>
      <c r="K412" s="1180"/>
      <c r="L412" s="85"/>
      <c r="M412" s="85"/>
      <c r="N412" s="85"/>
      <c r="O412" s="85"/>
      <c r="P412" s="85"/>
      <c r="Q412" s="85"/>
      <c r="R412" s="85"/>
      <c r="S412" s="85"/>
      <c r="T412" s="85"/>
      <c r="U412" s="85"/>
      <c r="V412" s="85"/>
      <c r="W412" s="85"/>
      <c r="X412" s="85"/>
      <c r="Y412" s="85"/>
      <c r="Z412" s="85"/>
      <c r="AA412" s="85"/>
      <c r="AB412" s="85"/>
      <c r="AC412" s="81">
        <f t="shared" si="268"/>
        <v>0</v>
      </c>
      <c r="AD412" s="86"/>
      <c r="AE412" s="86"/>
      <c r="AF412" s="1180"/>
      <c r="AG412" s="86"/>
      <c r="AH412" s="86"/>
      <c r="AI412" s="86"/>
      <c r="AJ412" s="86"/>
      <c r="AK412" s="86"/>
      <c r="AL412" s="86"/>
      <c r="AM412" s="86"/>
      <c r="AN412" s="86"/>
      <c r="AO412" s="86"/>
      <c r="AP412" s="86"/>
      <c r="AQ412" s="86"/>
      <c r="AR412" s="86"/>
      <c r="AS412" s="86"/>
      <c r="AT412" s="82"/>
      <c r="AU412" s="87"/>
      <c r="AV412" s="818">
        <f t="shared" si="269"/>
        <v>0</v>
      </c>
      <c r="AW412" s="818">
        <f t="shared" si="270"/>
        <v>0</v>
      </c>
      <c r="AX412" s="818">
        <f t="shared" si="271"/>
        <v>0</v>
      </c>
      <c r="AY412" s="88">
        <f t="shared" si="272"/>
        <v>0</v>
      </c>
      <c r="AZ412" s="81">
        <f t="shared" si="273"/>
        <v>0</v>
      </c>
      <c r="BA412" s="81">
        <f t="shared" si="274"/>
        <v>0</v>
      </c>
      <c r="BB412" s="81">
        <f t="shared" si="275"/>
        <v>0</v>
      </c>
      <c r="BC412" s="81">
        <f t="shared" si="276"/>
        <v>0</v>
      </c>
      <c r="BD412" s="81">
        <f t="shared" si="277"/>
        <v>0</v>
      </c>
      <c r="BE412" s="81">
        <f t="shared" si="278"/>
        <v>0</v>
      </c>
      <c r="BF412" s="81">
        <f t="shared" si="279"/>
        <v>0</v>
      </c>
      <c r="BG412" s="81">
        <f t="shared" si="280"/>
        <v>0</v>
      </c>
      <c r="BH412" s="81">
        <f t="shared" si="281"/>
        <v>0</v>
      </c>
      <c r="BI412" s="81">
        <f t="shared" si="282"/>
        <v>0</v>
      </c>
      <c r="BJ412" s="81">
        <f t="shared" si="283"/>
        <v>0</v>
      </c>
      <c r="BK412" s="81">
        <f t="shared" si="284"/>
        <v>0</v>
      </c>
      <c r="BL412" s="81">
        <f t="shared" si="285"/>
        <v>0</v>
      </c>
      <c r="BM412" s="81">
        <f t="shared" si="286"/>
        <v>0</v>
      </c>
      <c r="BN412" s="81">
        <f t="shared" si="287"/>
        <v>0</v>
      </c>
      <c r="BO412" s="81">
        <f t="shared" si="288"/>
        <v>0</v>
      </c>
      <c r="BP412" s="81">
        <f t="shared" si="289"/>
        <v>0</v>
      </c>
      <c r="BQ412" s="81">
        <f t="shared" si="290"/>
        <v>0</v>
      </c>
      <c r="BR412" s="81">
        <f t="shared" si="291"/>
        <v>0</v>
      </c>
      <c r="BS412" s="81">
        <f t="shared" si="292"/>
        <v>0</v>
      </c>
      <c r="BT412" s="89">
        <f t="shared" si="293"/>
        <v>0</v>
      </c>
    </row>
    <row r="413" spans="1:72">
      <c r="A413" s="79"/>
      <c r="B413" s="1179"/>
      <c r="C413" s="1180"/>
      <c r="D413" s="2301"/>
      <c r="E413" s="81">
        <f t="shared" si="265"/>
        <v>0</v>
      </c>
      <c r="F413" s="82"/>
      <c r="G413" s="83">
        <f t="shared" si="266"/>
        <v>0</v>
      </c>
      <c r="H413" s="84">
        <f t="shared" si="267"/>
        <v>0</v>
      </c>
      <c r="I413" s="1180"/>
      <c r="J413" s="85"/>
      <c r="K413" s="1180"/>
      <c r="L413" s="85"/>
      <c r="M413" s="85"/>
      <c r="N413" s="85"/>
      <c r="O413" s="85"/>
      <c r="P413" s="85"/>
      <c r="Q413" s="85"/>
      <c r="R413" s="85"/>
      <c r="S413" s="85"/>
      <c r="T413" s="85"/>
      <c r="U413" s="85"/>
      <c r="V413" s="85"/>
      <c r="W413" s="85"/>
      <c r="X413" s="85"/>
      <c r="Y413" s="85"/>
      <c r="Z413" s="85"/>
      <c r="AA413" s="85"/>
      <c r="AB413" s="85"/>
      <c r="AC413" s="81">
        <f t="shared" si="268"/>
        <v>0</v>
      </c>
      <c r="AD413" s="86"/>
      <c r="AE413" s="86"/>
      <c r="AF413" s="1180"/>
      <c r="AG413" s="86"/>
      <c r="AH413" s="86"/>
      <c r="AI413" s="86"/>
      <c r="AJ413" s="86"/>
      <c r="AK413" s="86"/>
      <c r="AL413" s="86"/>
      <c r="AM413" s="86"/>
      <c r="AN413" s="86"/>
      <c r="AO413" s="86"/>
      <c r="AP413" s="86"/>
      <c r="AQ413" s="86"/>
      <c r="AR413" s="86"/>
      <c r="AS413" s="86"/>
      <c r="AT413" s="82"/>
      <c r="AU413" s="87"/>
      <c r="AV413" s="818">
        <f t="shared" si="269"/>
        <v>0</v>
      </c>
      <c r="AW413" s="818">
        <f t="shared" si="270"/>
        <v>0</v>
      </c>
      <c r="AX413" s="818">
        <f t="shared" si="271"/>
        <v>0</v>
      </c>
      <c r="AY413" s="88">
        <f t="shared" si="272"/>
        <v>0</v>
      </c>
      <c r="AZ413" s="81">
        <f t="shared" si="273"/>
        <v>0</v>
      </c>
      <c r="BA413" s="81">
        <f t="shared" si="274"/>
        <v>0</v>
      </c>
      <c r="BB413" s="81">
        <f t="shared" si="275"/>
        <v>0</v>
      </c>
      <c r="BC413" s="81">
        <f t="shared" si="276"/>
        <v>0</v>
      </c>
      <c r="BD413" s="81">
        <f t="shared" si="277"/>
        <v>0</v>
      </c>
      <c r="BE413" s="81">
        <f t="shared" si="278"/>
        <v>0</v>
      </c>
      <c r="BF413" s="81">
        <f t="shared" si="279"/>
        <v>0</v>
      </c>
      <c r="BG413" s="81">
        <f t="shared" si="280"/>
        <v>0</v>
      </c>
      <c r="BH413" s="81">
        <f t="shared" si="281"/>
        <v>0</v>
      </c>
      <c r="BI413" s="81">
        <f t="shared" si="282"/>
        <v>0</v>
      </c>
      <c r="BJ413" s="81">
        <f t="shared" si="283"/>
        <v>0</v>
      </c>
      <c r="BK413" s="81">
        <f t="shared" si="284"/>
        <v>0</v>
      </c>
      <c r="BL413" s="81">
        <f t="shared" si="285"/>
        <v>0</v>
      </c>
      <c r="BM413" s="81">
        <f t="shared" si="286"/>
        <v>0</v>
      </c>
      <c r="BN413" s="81">
        <f t="shared" si="287"/>
        <v>0</v>
      </c>
      <c r="BO413" s="81">
        <f t="shared" si="288"/>
        <v>0</v>
      </c>
      <c r="BP413" s="81">
        <f t="shared" si="289"/>
        <v>0</v>
      </c>
      <c r="BQ413" s="81">
        <f t="shared" si="290"/>
        <v>0</v>
      </c>
      <c r="BR413" s="81">
        <f t="shared" si="291"/>
        <v>0</v>
      </c>
      <c r="BS413" s="81">
        <f t="shared" si="292"/>
        <v>0</v>
      </c>
      <c r="BT413" s="89">
        <f t="shared" si="293"/>
        <v>0</v>
      </c>
    </row>
    <row r="414" spans="1:72">
      <c r="A414" s="79"/>
      <c r="B414" s="1179"/>
      <c r="C414" s="1180"/>
      <c r="D414" s="2301"/>
      <c r="E414" s="81">
        <f t="shared" si="265"/>
        <v>0</v>
      </c>
      <c r="F414" s="82"/>
      <c r="G414" s="83">
        <f t="shared" si="266"/>
        <v>0</v>
      </c>
      <c r="H414" s="84">
        <f t="shared" si="267"/>
        <v>0</v>
      </c>
      <c r="I414" s="1180"/>
      <c r="J414" s="85"/>
      <c r="K414" s="1180"/>
      <c r="L414" s="85"/>
      <c r="M414" s="85"/>
      <c r="N414" s="85"/>
      <c r="O414" s="85"/>
      <c r="P414" s="85"/>
      <c r="Q414" s="85"/>
      <c r="R414" s="85"/>
      <c r="S414" s="85"/>
      <c r="T414" s="85"/>
      <c r="U414" s="85"/>
      <c r="V414" s="85"/>
      <c r="W414" s="85"/>
      <c r="X414" s="85"/>
      <c r="Y414" s="85"/>
      <c r="Z414" s="85"/>
      <c r="AA414" s="85"/>
      <c r="AB414" s="85"/>
      <c r="AC414" s="81">
        <f t="shared" si="268"/>
        <v>0</v>
      </c>
      <c r="AD414" s="86"/>
      <c r="AE414" s="86"/>
      <c r="AF414" s="1180"/>
      <c r="AG414" s="86"/>
      <c r="AH414" s="86"/>
      <c r="AI414" s="86"/>
      <c r="AJ414" s="86"/>
      <c r="AK414" s="86"/>
      <c r="AL414" s="86"/>
      <c r="AM414" s="86"/>
      <c r="AN414" s="86"/>
      <c r="AO414" s="86"/>
      <c r="AP414" s="86"/>
      <c r="AQ414" s="86"/>
      <c r="AR414" s="86"/>
      <c r="AS414" s="86"/>
      <c r="AT414" s="82"/>
      <c r="AU414" s="87"/>
      <c r="AV414" s="818">
        <f t="shared" si="269"/>
        <v>0</v>
      </c>
      <c r="AW414" s="818">
        <f t="shared" si="270"/>
        <v>0</v>
      </c>
      <c r="AX414" s="818">
        <f t="shared" si="271"/>
        <v>0</v>
      </c>
      <c r="AY414" s="88">
        <f t="shared" si="272"/>
        <v>0</v>
      </c>
      <c r="AZ414" s="81">
        <f t="shared" si="273"/>
        <v>0</v>
      </c>
      <c r="BA414" s="81">
        <f t="shared" si="274"/>
        <v>0</v>
      </c>
      <c r="BB414" s="81">
        <f t="shared" si="275"/>
        <v>0</v>
      </c>
      <c r="BC414" s="81">
        <f t="shared" si="276"/>
        <v>0</v>
      </c>
      <c r="BD414" s="81">
        <f t="shared" si="277"/>
        <v>0</v>
      </c>
      <c r="BE414" s="81">
        <f t="shared" si="278"/>
        <v>0</v>
      </c>
      <c r="BF414" s="81">
        <f t="shared" si="279"/>
        <v>0</v>
      </c>
      <c r="BG414" s="81">
        <f t="shared" si="280"/>
        <v>0</v>
      </c>
      <c r="BH414" s="81">
        <f t="shared" si="281"/>
        <v>0</v>
      </c>
      <c r="BI414" s="81">
        <f t="shared" si="282"/>
        <v>0</v>
      </c>
      <c r="BJ414" s="81">
        <f t="shared" si="283"/>
        <v>0</v>
      </c>
      <c r="BK414" s="81">
        <f t="shared" si="284"/>
        <v>0</v>
      </c>
      <c r="BL414" s="81">
        <f t="shared" si="285"/>
        <v>0</v>
      </c>
      <c r="BM414" s="81">
        <f t="shared" si="286"/>
        <v>0</v>
      </c>
      <c r="BN414" s="81">
        <f t="shared" si="287"/>
        <v>0</v>
      </c>
      <c r="BO414" s="81">
        <f t="shared" si="288"/>
        <v>0</v>
      </c>
      <c r="BP414" s="81">
        <f t="shared" si="289"/>
        <v>0</v>
      </c>
      <c r="BQ414" s="81">
        <f t="shared" si="290"/>
        <v>0</v>
      </c>
      <c r="BR414" s="81">
        <f t="shared" si="291"/>
        <v>0</v>
      </c>
      <c r="BS414" s="81">
        <f t="shared" si="292"/>
        <v>0</v>
      </c>
      <c r="BT414" s="89">
        <f t="shared" si="293"/>
        <v>0</v>
      </c>
    </row>
    <row r="415" spans="1:72">
      <c r="A415" s="79"/>
      <c r="B415" s="1179"/>
      <c r="C415" s="1180"/>
      <c r="D415" s="2301"/>
      <c r="E415" s="81">
        <f t="shared" si="265"/>
        <v>0</v>
      </c>
      <c r="F415" s="82"/>
      <c r="G415" s="83">
        <f t="shared" si="266"/>
        <v>0</v>
      </c>
      <c r="H415" s="84">
        <f t="shared" si="267"/>
        <v>0</v>
      </c>
      <c r="I415" s="1180"/>
      <c r="J415" s="85"/>
      <c r="K415" s="1180"/>
      <c r="L415" s="85"/>
      <c r="M415" s="85"/>
      <c r="N415" s="85"/>
      <c r="O415" s="85"/>
      <c r="P415" s="85"/>
      <c r="Q415" s="85"/>
      <c r="R415" s="85"/>
      <c r="S415" s="85"/>
      <c r="T415" s="85"/>
      <c r="U415" s="85"/>
      <c r="V415" s="85"/>
      <c r="W415" s="85"/>
      <c r="X415" s="85"/>
      <c r="Y415" s="85"/>
      <c r="Z415" s="85"/>
      <c r="AA415" s="85"/>
      <c r="AB415" s="85"/>
      <c r="AC415" s="81">
        <f t="shared" si="268"/>
        <v>0</v>
      </c>
      <c r="AD415" s="86"/>
      <c r="AE415" s="86"/>
      <c r="AF415" s="1180"/>
      <c r="AG415" s="86"/>
      <c r="AH415" s="86"/>
      <c r="AI415" s="86"/>
      <c r="AJ415" s="86"/>
      <c r="AK415" s="86"/>
      <c r="AL415" s="86"/>
      <c r="AM415" s="86"/>
      <c r="AN415" s="86"/>
      <c r="AO415" s="86"/>
      <c r="AP415" s="86"/>
      <c r="AQ415" s="86"/>
      <c r="AR415" s="86"/>
      <c r="AS415" s="86"/>
      <c r="AT415" s="82"/>
      <c r="AU415" s="87"/>
      <c r="AV415" s="818">
        <f t="shared" si="269"/>
        <v>0</v>
      </c>
      <c r="AW415" s="818">
        <f t="shared" si="270"/>
        <v>0</v>
      </c>
      <c r="AX415" s="818">
        <f t="shared" si="271"/>
        <v>0</v>
      </c>
      <c r="AY415" s="88">
        <f t="shared" si="272"/>
        <v>0</v>
      </c>
      <c r="AZ415" s="81">
        <f t="shared" si="273"/>
        <v>0</v>
      </c>
      <c r="BA415" s="81">
        <f t="shared" si="274"/>
        <v>0</v>
      </c>
      <c r="BB415" s="81">
        <f t="shared" si="275"/>
        <v>0</v>
      </c>
      <c r="BC415" s="81">
        <f t="shared" si="276"/>
        <v>0</v>
      </c>
      <c r="BD415" s="81">
        <f t="shared" si="277"/>
        <v>0</v>
      </c>
      <c r="BE415" s="81">
        <f t="shared" si="278"/>
        <v>0</v>
      </c>
      <c r="BF415" s="81">
        <f t="shared" si="279"/>
        <v>0</v>
      </c>
      <c r="BG415" s="81">
        <f t="shared" si="280"/>
        <v>0</v>
      </c>
      <c r="BH415" s="81">
        <f t="shared" si="281"/>
        <v>0</v>
      </c>
      <c r="BI415" s="81">
        <f t="shared" si="282"/>
        <v>0</v>
      </c>
      <c r="BJ415" s="81">
        <f t="shared" si="283"/>
        <v>0</v>
      </c>
      <c r="BK415" s="81">
        <f t="shared" si="284"/>
        <v>0</v>
      </c>
      <c r="BL415" s="81">
        <f t="shared" si="285"/>
        <v>0</v>
      </c>
      <c r="BM415" s="81">
        <f t="shared" si="286"/>
        <v>0</v>
      </c>
      <c r="BN415" s="81">
        <f t="shared" si="287"/>
        <v>0</v>
      </c>
      <c r="BO415" s="81">
        <f t="shared" si="288"/>
        <v>0</v>
      </c>
      <c r="BP415" s="81">
        <f t="shared" si="289"/>
        <v>0</v>
      </c>
      <c r="BQ415" s="81">
        <f t="shared" si="290"/>
        <v>0</v>
      </c>
      <c r="BR415" s="81">
        <f t="shared" si="291"/>
        <v>0</v>
      </c>
      <c r="BS415" s="81">
        <f t="shared" si="292"/>
        <v>0</v>
      </c>
      <c r="BT415" s="89">
        <f t="shared" si="293"/>
        <v>0</v>
      </c>
    </row>
    <row r="416" spans="1:72">
      <c r="A416" s="79"/>
      <c r="B416" s="1179"/>
      <c r="C416" s="1180"/>
      <c r="D416" s="2301"/>
      <c r="E416" s="81">
        <f t="shared" si="265"/>
        <v>0</v>
      </c>
      <c r="F416" s="82"/>
      <c r="G416" s="83">
        <f t="shared" si="266"/>
        <v>0</v>
      </c>
      <c r="H416" s="84">
        <f t="shared" si="267"/>
        <v>0</v>
      </c>
      <c r="I416" s="1180"/>
      <c r="J416" s="85"/>
      <c r="K416" s="1180"/>
      <c r="L416" s="85"/>
      <c r="M416" s="85"/>
      <c r="N416" s="85"/>
      <c r="O416" s="85"/>
      <c r="P416" s="85"/>
      <c r="Q416" s="85"/>
      <c r="R416" s="85"/>
      <c r="S416" s="85"/>
      <c r="T416" s="85"/>
      <c r="U416" s="85"/>
      <c r="V416" s="85"/>
      <c r="W416" s="85"/>
      <c r="X416" s="85"/>
      <c r="Y416" s="85"/>
      <c r="Z416" s="85"/>
      <c r="AA416" s="85"/>
      <c r="AB416" s="85"/>
      <c r="AC416" s="81">
        <f t="shared" si="268"/>
        <v>0</v>
      </c>
      <c r="AD416" s="86"/>
      <c r="AE416" s="86"/>
      <c r="AF416" s="1180"/>
      <c r="AG416" s="86"/>
      <c r="AH416" s="86"/>
      <c r="AI416" s="86"/>
      <c r="AJ416" s="86"/>
      <c r="AK416" s="86"/>
      <c r="AL416" s="86"/>
      <c r="AM416" s="86"/>
      <c r="AN416" s="86"/>
      <c r="AO416" s="86"/>
      <c r="AP416" s="86"/>
      <c r="AQ416" s="86"/>
      <c r="AR416" s="86"/>
      <c r="AS416" s="86"/>
      <c r="AT416" s="82"/>
      <c r="AU416" s="87"/>
      <c r="AV416" s="818">
        <f t="shared" si="269"/>
        <v>0</v>
      </c>
      <c r="AW416" s="818">
        <f t="shared" si="270"/>
        <v>0</v>
      </c>
      <c r="AX416" s="818">
        <f t="shared" si="271"/>
        <v>0</v>
      </c>
      <c r="AY416" s="88">
        <f t="shared" si="272"/>
        <v>0</v>
      </c>
      <c r="AZ416" s="81">
        <f t="shared" si="273"/>
        <v>0</v>
      </c>
      <c r="BA416" s="81">
        <f t="shared" si="274"/>
        <v>0</v>
      </c>
      <c r="BB416" s="81">
        <f t="shared" si="275"/>
        <v>0</v>
      </c>
      <c r="BC416" s="81">
        <f t="shared" si="276"/>
        <v>0</v>
      </c>
      <c r="BD416" s="81">
        <f t="shared" si="277"/>
        <v>0</v>
      </c>
      <c r="BE416" s="81">
        <f t="shared" si="278"/>
        <v>0</v>
      </c>
      <c r="BF416" s="81">
        <f t="shared" si="279"/>
        <v>0</v>
      </c>
      <c r="BG416" s="81">
        <f t="shared" si="280"/>
        <v>0</v>
      </c>
      <c r="BH416" s="81">
        <f t="shared" si="281"/>
        <v>0</v>
      </c>
      <c r="BI416" s="81">
        <f t="shared" si="282"/>
        <v>0</v>
      </c>
      <c r="BJ416" s="81">
        <f t="shared" si="283"/>
        <v>0</v>
      </c>
      <c r="BK416" s="81">
        <f t="shared" si="284"/>
        <v>0</v>
      </c>
      <c r="BL416" s="81">
        <f t="shared" si="285"/>
        <v>0</v>
      </c>
      <c r="BM416" s="81">
        <f t="shared" si="286"/>
        <v>0</v>
      </c>
      <c r="BN416" s="81">
        <f t="shared" si="287"/>
        <v>0</v>
      </c>
      <c r="BO416" s="81">
        <f t="shared" si="288"/>
        <v>0</v>
      </c>
      <c r="BP416" s="81">
        <f t="shared" si="289"/>
        <v>0</v>
      </c>
      <c r="BQ416" s="81">
        <f t="shared" si="290"/>
        <v>0</v>
      </c>
      <c r="BR416" s="81">
        <f t="shared" si="291"/>
        <v>0</v>
      </c>
      <c r="BS416" s="81">
        <f t="shared" si="292"/>
        <v>0</v>
      </c>
      <c r="BT416" s="89">
        <f t="shared" si="293"/>
        <v>0</v>
      </c>
    </row>
    <row r="417" spans="1:72">
      <c r="A417" s="79"/>
      <c r="B417" s="1179"/>
      <c r="C417" s="1180"/>
      <c r="D417" s="2301"/>
      <c r="E417" s="81">
        <f t="shared" si="265"/>
        <v>0</v>
      </c>
      <c r="F417" s="82"/>
      <c r="G417" s="83">
        <f t="shared" si="266"/>
        <v>0</v>
      </c>
      <c r="H417" s="84">
        <f t="shared" si="267"/>
        <v>0</v>
      </c>
      <c r="I417" s="1180"/>
      <c r="J417" s="85"/>
      <c r="K417" s="1180"/>
      <c r="L417" s="85"/>
      <c r="M417" s="85"/>
      <c r="N417" s="85"/>
      <c r="O417" s="85"/>
      <c r="P417" s="85"/>
      <c r="Q417" s="85"/>
      <c r="R417" s="85"/>
      <c r="S417" s="85"/>
      <c r="T417" s="85"/>
      <c r="U417" s="85"/>
      <c r="V417" s="85"/>
      <c r="W417" s="85"/>
      <c r="X417" s="85"/>
      <c r="Y417" s="85"/>
      <c r="Z417" s="85"/>
      <c r="AA417" s="85"/>
      <c r="AB417" s="85"/>
      <c r="AC417" s="81">
        <f t="shared" si="268"/>
        <v>0</v>
      </c>
      <c r="AD417" s="86"/>
      <c r="AE417" s="86"/>
      <c r="AF417" s="1180"/>
      <c r="AG417" s="86"/>
      <c r="AH417" s="86"/>
      <c r="AI417" s="86"/>
      <c r="AJ417" s="86"/>
      <c r="AK417" s="86"/>
      <c r="AL417" s="86"/>
      <c r="AM417" s="86"/>
      <c r="AN417" s="86"/>
      <c r="AO417" s="86"/>
      <c r="AP417" s="86"/>
      <c r="AQ417" s="86"/>
      <c r="AR417" s="86"/>
      <c r="AS417" s="86"/>
      <c r="AT417" s="82"/>
      <c r="AU417" s="87"/>
      <c r="AV417" s="818">
        <f t="shared" si="269"/>
        <v>0</v>
      </c>
      <c r="AW417" s="818">
        <f t="shared" si="270"/>
        <v>0</v>
      </c>
      <c r="AX417" s="818">
        <f t="shared" si="271"/>
        <v>0</v>
      </c>
      <c r="AY417" s="88">
        <f t="shared" si="272"/>
        <v>0</v>
      </c>
      <c r="AZ417" s="81">
        <f t="shared" si="273"/>
        <v>0</v>
      </c>
      <c r="BA417" s="81">
        <f t="shared" si="274"/>
        <v>0</v>
      </c>
      <c r="BB417" s="81">
        <f t="shared" si="275"/>
        <v>0</v>
      </c>
      <c r="BC417" s="81">
        <f t="shared" si="276"/>
        <v>0</v>
      </c>
      <c r="BD417" s="81">
        <f t="shared" si="277"/>
        <v>0</v>
      </c>
      <c r="BE417" s="81">
        <f t="shared" si="278"/>
        <v>0</v>
      </c>
      <c r="BF417" s="81">
        <f t="shared" si="279"/>
        <v>0</v>
      </c>
      <c r="BG417" s="81">
        <f t="shared" si="280"/>
        <v>0</v>
      </c>
      <c r="BH417" s="81">
        <f t="shared" si="281"/>
        <v>0</v>
      </c>
      <c r="BI417" s="81">
        <f t="shared" si="282"/>
        <v>0</v>
      </c>
      <c r="BJ417" s="81">
        <f t="shared" si="283"/>
        <v>0</v>
      </c>
      <c r="BK417" s="81">
        <f t="shared" si="284"/>
        <v>0</v>
      </c>
      <c r="BL417" s="81">
        <f t="shared" si="285"/>
        <v>0</v>
      </c>
      <c r="BM417" s="81">
        <f t="shared" si="286"/>
        <v>0</v>
      </c>
      <c r="BN417" s="81">
        <f t="shared" si="287"/>
        <v>0</v>
      </c>
      <c r="BO417" s="81">
        <f t="shared" si="288"/>
        <v>0</v>
      </c>
      <c r="BP417" s="81">
        <f t="shared" si="289"/>
        <v>0</v>
      </c>
      <c r="BQ417" s="81">
        <f t="shared" si="290"/>
        <v>0</v>
      </c>
      <c r="BR417" s="81">
        <f t="shared" si="291"/>
        <v>0</v>
      </c>
      <c r="BS417" s="81">
        <f t="shared" si="292"/>
        <v>0</v>
      </c>
      <c r="BT417" s="89">
        <f t="shared" si="293"/>
        <v>0</v>
      </c>
    </row>
    <row r="418" spans="1:72">
      <c r="A418" s="79"/>
      <c r="B418" s="1179"/>
      <c r="C418" s="1180"/>
      <c r="D418" s="2301"/>
      <c r="E418" s="81">
        <f t="shared" si="265"/>
        <v>0</v>
      </c>
      <c r="F418" s="82"/>
      <c r="G418" s="83">
        <f t="shared" si="266"/>
        <v>0</v>
      </c>
      <c r="H418" s="84">
        <f t="shared" si="267"/>
        <v>0</v>
      </c>
      <c r="I418" s="1180"/>
      <c r="J418" s="85"/>
      <c r="K418" s="1180"/>
      <c r="L418" s="85"/>
      <c r="M418" s="85"/>
      <c r="N418" s="85"/>
      <c r="O418" s="85"/>
      <c r="P418" s="85"/>
      <c r="Q418" s="85"/>
      <c r="R418" s="85"/>
      <c r="S418" s="85"/>
      <c r="T418" s="85"/>
      <c r="U418" s="85"/>
      <c r="V418" s="85"/>
      <c r="W418" s="85"/>
      <c r="X418" s="85"/>
      <c r="Y418" s="85"/>
      <c r="Z418" s="85"/>
      <c r="AA418" s="85"/>
      <c r="AB418" s="85"/>
      <c r="AC418" s="81">
        <f t="shared" si="268"/>
        <v>0</v>
      </c>
      <c r="AD418" s="86"/>
      <c r="AE418" s="86"/>
      <c r="AF418" s="1180"/>
      <c r="AG418" s="86"/>
      <c r="AH418" s="86"/>
      <c r="AI418" s="86"/>
      <c r="AJ418" s="86"/>
      <c r="AK418" s="86"/>
      <c r="AL418" s="86"/>
      <c r="AM418" s="86"/>
      <c r="AN418" s="86"/>
      <c r="AO418" s="86"/>
      <c r="AP418" s="86"/>
      <c r="AQ418" s="86"/>
      <c r="AR418" s="86"/>
      <c r="AS418" s="86"/>
      <c r="AT418" s="82"/>
      <c r="AU418" s="87"/>
      <c r="AV418" s="818">
        <f t="shared" si="269"/>
        <v>0</v>
      </c>
      <c r="AW418" s="818">
        <f t="shared" si="270"/>
        <v>0</v>
      </c>
      <c r="AX418" s="818">
        <f t="shared" si="271"/>
        <v>0</v>
      </c>
      <c r="AY418" s="88">
        <f t="shared" si="272"/>
        <v>0</v>
      </c>
      <c r="AZ418" s="81">
        <f t="shared" si="273"/>
        <v>0</v>
      </c>
      <c r="BA418" s="81">
        <f t="shared" si="274"/>
        <v>0</v>
      </c>
      <c r="BB418" s="81">
        <f t="shared" si="275"/>
        <v>0</v>
      </c>
      <c r="BC418" s="81">
        <f t="shared" si="276"/>
        <v>0</v>
      </c>
      <c r="BD418" s="81">
        <f t="shared" si="277"/>
        <v>0</v>
      </c>
      <c r="BE418" s="81">
        <f t="shared" si="278"/>
        <v>0</v>
      </c>
      <c r="BF418" s="81">
        <f t="shared" si="279"/>
        <v>0</v>
      </c>
      <c r="BG418" s="81">
        <f t="shared" si="280"/>
        <v>0</v>
      </c>
      <c r="BH418" s="81">
        <f t="shared" si="281"/>
        <v>0</v>
      </c>
      <c r="BI418" s="81">
        <f t="shared" si="282"/>
        <v>0</v>
      </c>
      <c r="BJ418" s="81">
        <f t="shared" si="283"/>
        <v>0</v>
      </c>
      <c r="BK418" s="81">
        <f t="shared" si="284"/>
        <v>0</v>
      </c>
      <c r="BL418" s="81">
        <f t="shared" si="285"/>
        <v>0</v>
      </c>
      <c r="BM418" s="81">
        <f t="shared" si="286"/>
        <v>0</v>
      </c>
      <c r="BN418" s="81">
        <f t="shared" si="287"/>
        <v>0</v>
      </c>
      <c r="BO418" s="81">
        <f t="shared" si="288"/>
        <v>0</v>
      </c>
      <c r="BP418" s="81">
        <f t="shared" si="289"/>
        <v>0</v>
      </c>
      <c r="BQ418" s="81">
        <f t="shared" si="290"/>
        <v>0</v>
      </c>
      <c r="BR418" s="81">
        <f t="shared" si="291"/>
        <v>0</v>
      </c>
      <c r="BS418" s="81">
        <f t="shared" si="292"/>
        <v>0</v>
      </c>
      <c r="BT418" s="89">
        <f t="shared" si="293"/>
        <v>0</v>
      </c>
    </row>
    <row r="419" spans="1:72">
      <c r="A419" s="79"/>
      <c r="B419" s="1179"/>
      <c r="C419" s="1180"/>
      <c r="D419" s="2301"/>
      <c r="E419" s="81">
        <f t="shared" si="265"/>
        <v>0</v>
      </c>
      <c r="F419" s="82"/>
      <c r="G419" s="83">
        <f t="shared" si="266"/>
        <v>0</v>
      </c>
      <c r="H419" s="84">
        <f t="shared" si="267"/>
        <v>0</v>
      </c>
      <c r="I419" s="1180"/>
      <c r="J419" s="85"/>
      <c r="K419" s="1180"/>
      <c r="L419" s="85"/>
      <c r="M419" s="85"/>
      <c r="N419" s="85"/>
      <c r="O419" s="85"/>
      <c r="P419" s="85"/>
      <c r="Q419" s="85"/>
      <c r="R419" s="85"/>
      <c r="S419" s="85"/>
      <c r="T419" s="85"/>
      <c r="U419" s="85"/>
      <c r="V419" s="85"/>
      <c r="W419" s="85"/>
      <c r="X419" s="85"/>
      <c r="Y419" s="85"/>
      <c r="Z419" s="85"/>
      <c r="AA419" s="85"/>
      <c r="AB419" s="85"/>
      <c r="AC419" s="81">
        <f t="shared" si="268"/>
        <v>0</v>
      </c>
      <c r="AD419" s="86"/>
      <c r="AE419" s="86"/>
      <c r="AF419" s="1180"/>
      <c r="AG419" s="86"/>
      <c r="AH419" s="86"/>
      <c r="AI419" s="86"/>
      <c r="AJ419" s="86"/>
      <c r="AK419" s="86"/>
      <c r="AL419" s="86"/>
      <c r="AM419" s="86"/>
      <c r="AN419" s="86"/>
      <c r="AO419" s="86"/>
      <c r="AP419" s="86"/>
      <c r="AQ419" s="86"/>
      <c r="AR419" s="86"/>
      <c r="AS419" s="86"/>
      <c r="AT419" s="82"/>
      <c r="AU419" s="87"/>
      <c r="AV419" s="818">
        <f t="shared" si="269"/>
        <v>0</v>
      </c>
      <c r="AW419" s="818">
        <f t="shared" si="270"/>
        <v>0</v>
      </c>
      <c r="AX419" s="818">
        <f t="shared" si="271"/>
        <v>0</v>
      </c>
      <c r="AY419" s="88">
        <f t="shared" si="272"/>
        <v>0</v>
      </c>
      <c r="AZ419" s="81">
        <f t="shared" si="273"/>
        <v>0</v>
      </c>
      <c r="BA419" s="81">
        <f t="shared" si="274"/>
        <v>0</v>
      </c>
      <c r="BB419" s="81">
        <f t="shared" si="275"/>
        <v>0</v>
      </c>
      <c r="BC419" s="81">
        <f t="shared" si="276"/>
        <v>0</v>
      </c>
      <c r="BD419" s="81">
        <f t="shared" si="277"/>
        <v>0</v>
      </c>
      <c r="BE419" s="81">
        <f t="shared" si="278"/>
        <v>0</v>
      </c>
      <c r="BF419" s="81">
        <f t="shared" si="279"/>
        <v>0</v>
      </c>
      <c r="BG419" s="81">
        <f t="shared" si="280"/>
        <v>0</v>
      </c>
      <c r="BH419" s="81">
        <f t="shared" si="281"/>
        <v>0</v>
      </c>
      <c r="BI419" s="81">
        <f t="shared" si="282"/>
        <v>0</v>
      </c>
      <c r="BJ419" s="81">
        <f t="shared" si="283"/>
        <v>0</v>
      </c>
      <c r="BK419" s="81">
        <f t="shared" si="284"/>
        <v>0</v>
      </c>
      <c r="BL419" s="81">
        <f t="shared" si="285"/>
        <v>0</v>
      </c>
      <c r="BM419" s="81">
        <f t="shared" si="286"/>
        <v>0</v>
      </c>
      <c r="BN419" s="81">
        <f t="shared" si="287"/>
        <v>0</v>
      </c>
      <c r="BO419" s="81">
        <f t="shared" si="288"/>
        <v>0</v>
      </c>
      <c r="BP419" s="81">
        <f t="shared" si="289"/>
        <v>0</v>
      </c>
      <c r="BQ419" s="81">
        <f t="shared" si="290"/>
        <v>0</v>
      </c>
      <c r="BR419" s="81">
        <f t="shared" si="291"/>
        <v>0</v>
      </c>
      <c r="BS419" s="81">
        <f t="shared" si="292"/>
        <v>0</v>
      </c>
      <c r="BT419" s="89">
        <f t="shared" si="293"/>
        <v>0</v>
      </c>
    </row>
    <row r="420" spans="1:72">
      <c r="A420" s="79"/>
      <c r="B420" s="1179"/>
      <c r="C420" s="1180"/>
      <c r="D420" s="2301"/>
      <c r="E420" s="81">
        <f t="shared" si="265"/>
        <v>0</v>
      </c>
      <c r="F420" s="82"/>
      <c r="G420" s="83">
        <f t="shared" si="266"/>
        <v>0</v>
      </c>
      <c r="H420" s="84">
        <f t="shared" si="267"/>
        <v>0</v>
      </c>
      <c r="I420" s="1180"/>
      <c r="J420" s="85"/>
      <c r="K420" s="1180"/>
      <c r="L420" s="85"/>
      <c r="M420" s="85"/>
      <c r="N420" s="85"/>
      <c r="O420" s="85"/>
      <c r="P420" s="85"/>
      <c r="Q420" s="85"/>
      <c r="R420" s="85"/>
      <c r="S420" s="85"/>
      <c r="T420" s="85"/>
      <c r="U420" s="85"/>
      <c r="V420" s="85"/>
      <c r="W420" s="85"/>
      <c r="X420" s="85"/>
      <c r="Y420" s="85"/>
      <c r="Z420" s="85"/>
      <c r="AA420" s="85"/>
      <c r="AB420" s="85"/>
      <c r="AC420" s="81">
        <f t="shared" si="268"/>
        <v>0</v>
      </c>
      <c r="AD420" s="86"/>
      <c r="AE420" s="86"/>
      <c r="AF420" s="1180"/>
      <c r="AG420" s="86"/>
      <c r="AH420" s="86"/>
      <c r="AI420" s="86"/>
      <c r="AJ420" s="86"/>
      <c r="AK420" s="86"/>
      <c r="AL420" s="86"/>
      <c r="AM420" s="86"/>
      <c r="AN420" s="86"/>
      <c r="AO420" s="86"/>
      <c r="AP420" s="86"/>
      <c r="AQ420" s="86"/>
      <c r="AR420" s="86"/>
      <c r="AS420" s="86"/>
      <c r="AT420" s="82"/>
      <c r="AU420" s="87"/>
      <c r="AV420" s="818">
        <f t="shared" si="269"/>
        <v>0</v>
      </c>
      <c r="AW420" s="818">
        <f t="shared" si="270"/>
        <v>0</v>
      </c>
      <c r="AX420" s="818">
        <f t="shared" si="271"/>
        <v>0</v>
      </c>
      <c r="AY420" s="88">
        <f t="shared" si="272"/>
        <v>0</v>
      </c>
      <c r="AZ420" s="81">
        <f t="shared" si="273"/>
        <v>0</v>
      </c>
      <c r="BA420" s="81">
        <f t="shared" si="274"/>
        <v>0</v>
      </c>
      <c r="BB420" s="81">
        <f t="shared" si="275"/>
        <v>0</v>
      </c>
      <c r="BC420" s="81">
        <f t="shared" si="276"/>
        <v>0</v>
      </c>
      <c r="BD420" s="81">
        <f t="shared" si="277"/>
        <v>0</v>
      </c>
      <c r="BE420" s="81">
        <f t="shared" si="278"/>
        <v>0</v>
      </c>
      <c r="BF420" s="81">
        <f t="shared" si="279"/>
        <v>0</v>
      </c>
      <c r="BG420" s="81">
        <f t="shared" si="280"/>
        <v>0</v>
      </c>
      <c r="BH420" s="81">
        <f t="shared" si="281"/>
        <v>0</v>
      </c>
      <c r="BI420" s="81">
        <f t="shared" si="282"/>
        <v>0</v>
      </c>
      <c r="BJ420" s="81">
        <f t="shared" si="283"/>
        <v>0</v>
      </c>
      <c r="BK420" s="81">
        <f t="shared" si="284"/>
        <v>0</v>
      </c>
      <c r="BL420" s="81">
        <f t="shared" si="285"/>
        <v>0</v>
      </c>
      <c r="BM420" s="81">
        <f t="shared" si="286"/>
        <v>0</v>
      </c>
      <c r="BN420" s="81">
        <f t="shared" si="287"/>
        <v>0</v>
      </c>
      <c r="BO420" s="81">
        <f t="shared" si="288"/>
        <v>0</v>
      </c>
      <c r="BP420" s="81">
        <f t="shared" si="289"/>
        <v>0</v>
      </c>
      <c r="BQ420" s="81">
        <f t="shared" si="290"/>
        <v>0</v>
      </c>
      <c r="BR420" s="81">
        <f t="shared" si="291"/>
        <v>0</v>
      </c>
      <c r="BS420" s="81">
        <f t="shared" si="292"/>
        <v>0</v>
      </c>
      <c r="BT420" s="89">
        <f t="shared" si="293"/>
        <v>0</v>
      </c>
    </row>
    <row r="421" spans="1:72">
      <c r="A421" s="79"/>
      <c r="B421" s="1179"/>
      <c r="C421" s="1180"/>
      <c r="D421" s="2301"/>
      <c r="E421" s="81">
        <f t="shared" si="265"/>
        <v>0</v>
      </c>
      <c r="F421" s="82"/>
      <c r="G421" s="83">
        <f t="shared" si="266"/>
        <v>0</v>
      </c>
      <c r="H421" s="84">
        <f t="shared" si="267"/>
        <v>0</v>
      </c>
      <c r="I421" s="1180"/>
      <c r="J421" s="85"/>
      <c r="K421" s="1180"/>
      <c r="L421" s="85"/>
      <c r="M421" s="85"/>
      <c r="N421" s="85"/>
      <c r="O421" s="85"/>
      <c r="P421" s="85"/>
      <c r="Q421" s="85"/>
      <c r="R421" s="85"/>
      <c r="S421" s="85"/>
      <c r="T421" s="85"/>
      <c r="U421" s="85"/>
      <c r="V421" s="85"/>
      <c r="W421" s="85"/>
      <c r="X421" s="85"/>
      <c r="Y421" s="85"/>
      <c r="Z421" s="85"/>
      <c r="AA421" s="85"/>
      <c r="AB421" s="85"/>
      <c r="AC421" s="81">
        <f t="shared" si="268"/>
        <v>0</v>
      </c>
      <c r="AD421" s="86"/>
      <c r="AE421" s="86"/>
      <c r="AF421" s="1180"/>
      <c r="AG421" s="86"/>
      <c r="AH421" s="86"/>
      <c r="AI421" s="86"/>
      <c r="AJ421" s="86"/>
      <c r="AK421" s="86"/>
      <c r="AL421" s="86"/>
      <c r="AM421" s="86"/>
      <c r="AN421" s="86"/>
      <c r="AO421" s="86"/>
      <c r="AP421" s="86"/>
      <c r="AQ421" s="86"/>
      <c r="AR421" s="86"/>
      <c r="AS421" s="86"/>
      <c r="AT421" s="82"/>
      <c r="AU421" s="87"/>
      <c r="AV421" s="818">
        <f t="shared" si="269"/>
        <v>0</v>
      </c>
      <c r="AW421" s="818">
        <f t="shared" si="270"/>
        <v>0</v>
      </c>
      <c r="AX421" s="818">
        <f t="shared" si="271"/>
        <v>0</v>
      </c>
      <c r="AY421" s="88">
        <f t="shared" si="272"/>
        <v>0</v>
      </c>
      <c r="AZ421" s="81">
        <f t="shared" si="273"/>
        <v>0</v>
      </c>
      <c r="BA421" s="81">
        <f t="shared" si="274"/>
        <v>0</v>
      </c>
      <c r="BB421" s="81">
        <f t="shared" si="275"/>
        <v>0</v>
      </c>
      <c r="BC421" s="81">
        <f t="shared" si="276"/>
        <v>0</v>
      </c>
      <c r="BD421" s="81">
        <f t="shared" si="277"/>
        <v>0</v>
      </c>
      <c r="BE421" s="81">
        <f t="shared" si="278"/>
        <v>0</v>
      </c>
      <c r="BF421" s="81">
        <f t="shared" si="279"/>
        <v>0</v>
      </c>
      <c r="BG421" s="81">
        <f t="shared" si="280"/>
        <v>0</v>
      </c>
      <c r="BH421" s="81">
        <f t="shared" si="281"/>
        <v>0</v>
      </c>
      <c r="BI421" s="81">
        <f t="shared" si="282"/>
        <v>0</v>
      </c>
      <c r="BJ421" s="81">
        <f t="shared" si="283"/>
        <v>0</v>
      </c>
      <c r="BK421" s="81">
        <f t="shared" si="284"/>
        <v>0</v>
      </c>
      <c r="BL421" s="81">
        <f t="shared" si="285"/>
        <v>0</v>
      </c>
      <c r="BM421" s="81">
        <f t="shared" si="286"/>
        <v>0</v>
      </c>
      <c r="BN421" s="81">
        <f t="shared" si="287"/>
        <v>0</v>
      </c>
      <c r="BO421" s="81">
        <f t="shared" si="288"/>
        <v>0</v>
      </c>
      <c r="BP421" s="81">
        <f t="shared" si="289"/>
        <v>0</v>
      </c>
      <c r="BQ421" s="81">
        <f t="shared" si="290"/>
        <v>0</v>
      </c>
      <c r="BR421" s="81">
        <f t="shared" si="291"/>
        <v>0</v>
      </c>
      <c r="BS421" s="81">
        <f t="shared" si="292"/>
        <v>0</v>
      </c>
      <c r="BT421" s="89">
        <f t="shared" si="293"/>
        <v>0</v>
      </c>
    </row>
    <row r="422" spans="1:72">
      <c r="A422" s="79"/>
      <c r="B422" s="1179"/>
      <c r="C422" s="1180"/>
      <c r="D422" s="2301"/>
      <c r="E422" s="81">
        <f t="shared" si="265"/>
        <v>0</v>
      </c>
      <c r="F422" s="82"/>
      <c r="G422" s="83">
        <f t="shared" si="266"/>
        <v>0</v>
      </c>
      <c r="H422" s="84">
        <f t="shared" si="267"/>
        <v>0</v>
      </c>
      <c r="I422" s="1180"/>
      <c r="J422" s="85"/>
      <c r="K422" s="1180"/>
      <c r="L422" s="85"/>
      <c r="M422" s="85"/>
      <c r="N422" s="85"/>
      <c r="O422" s="85"/>
      <c r="P422" s="85"/>
      <c r="Q422" s="85"/>
      <c r="R422" s="85"/>
      <c r="S422" s="85"/>
      <c r="T422" s="85"/>
      <c r="U422" s="85"/>
      <c r="V422" s="85"/>
      <c r="W422" s="85"/>
      <c r="X422" s="85"/>
      <c r="Y422" s="85"/>
      <c r="Z422" s="85"/>
      <c r="AA422" s="85"/>
      <c r="AB422" s="85"/>
      <c r="AC422" s="81">
        <f t="shared" si="268"/>
        <v>0</v>
      </c>
      <c r="AD422" s="86"/>
      <c r="AE422" s="86"/>
      <c r="AF422" s="1180"/>
      <c r="AG422" s="86"/>
      <c r="AH422" s="86"/>
      <c r="AI422" s="86"/>
      <c r="AJ422" s="86"/>
      <c r="AK422" s="86"/>
      <c r="AL422" s="86"/>
      <c r="AM422" s="86"/>
      <c r="AN422" s="86"/>
      <c r="AO422" s="86"/>
      <c r="AP422" s="86"/>
      <c r="AQ422" s="86"/>
      <c r="AR422" s="86"/>
      <c r="AS422" s="86"/>
      <c r="AT422" s="82"/>
      <c r="AU422" s="87"/>
      <c r="AV422" s="818">
        <f t="shared" si="269"/>
        <v>0</v>
      </c>
      <c r="AW422" s="818">
        <f t="shared" si="270"/>
        <v>0</v>
      </c>
      <c r="AX422" s="818">
        <f t="shared" si="271"/>
        <v>0</v>
      </c>
      <c r="AY422" s="88">
        <f t="shared" si="272"/>
        <v>0</v>
      </c>
      <c r="AZ422" s="81">
        <f t="shared" si="273"/>
        <v>0</v>
      </c>
      <c r="BA422" s="81">
        <f t="shared" si="274"/>
        <v>0</v>
      </c>
      <c r="BB422" s="81">
        <f t="shared" si="275"/>
        <v>0</v>
      </c>
      <c r="BC422" s="81">
        <f t="shared" si="276"/>
        <v>0</v>
      </c>
      <c r="BD422" s="81">
        <f t="shared" si="277"/>
        <v>0</v>
      </c>
      <c r="BE422" s="81">
        <f t="shared" si="278"/>
        <v>0</v>
      </c>
      <c r="BF422" s="81">
        <f t="shared" si="279"/>
        <v>0</v>
      </c>
      <c r="BG422" s="81">
        <f t="shared" si="280"/>
        <v>0</v>
      </c>
      <c r="BH422" s="81">
        <f t="shared" si="281"/>
        <v>0</v>
      </c>
      <c r="BI422" s="81">
        <f t="shared" si="282"/>
        <v>0</v>
      </c>
      <c r="BJ422" s="81">
        <f t="shared" si="283"/>
        <v>0</v>
      </c>
      <c r="BK422" s="81">
        <f t="shared" si="284"/>
        <v>0</v>
      </c>
      <c r="BL422" s="81">
        <f t="shared" si="285"/>
        <v>0</v>
      </c>
      <c r="BM422" s="81">
        <f t="shared" si="286"/>
        <v>0</v>
      </c>
      <c r="BN422" s="81">
        <f t="shared" si="287"/>
        <v>0</v>
      </c>
      <c r="BO422" s="81">
        <f t="shared" si="288"/>
        <v>0</v>
      </c>
      <c r="BP422" s="81">
        <f t="shared" si="289"/>
        <v>0</v>
      </c>
      <c r="BQ422" s="81">
        <f t="shared" si="290"/>
        <v>0</v>
      </c>
      <c r="BR422" s="81">
        <f t="shared" si="291"/>
        <v>0</v>
      </c>
      <c r="BS422" s="81">
        <f t="shared" si="292"/>
        <v>0</v>
      </c>
      <c r="BT422" s="89">
        <f t="shared" si="293"/>
        <v>0</v>
      </c>
    </row>
    <row r="423" spans="1:72">
      <c r="A423" s="79"/>
      <c r="B423" s="1179"/>
      <c r="C423" s="1180"/>
      <c r="D423" s="2301"/>
      <c r="E423" s="81">
        <f t="shared" si="265"/>
        <v>0</v>
      </c>
      <c r="F423" s="82"/>
      <c r="G423" s="83">
        <f t="shared" si="266"/>
        <v>0</v>
      </c>
      <c r="H423" s="84">
        <f t="shared" si="267"/>
        <v>0</v>
      </c>
      <c r="I423" s="1180"/>
      <c r="J423" s="85"/>
      <c r="K423" s="1180"/>
      <c r="L423" s="85"/>
      <c r="M423" s="1180"/>
      <c r="N423" s="85"/>
      <c r="O423" s="85"/>
      <c r="P423" s="85"/>
      <c r="Q423" s="85"/>
      <c r="R423" s="85"/>
      <c r="S423" s="85"/>
      <c r="T423" s="85"/>
      <c r="U423" s="85"/>
      <c r="V423" s="85"/>
      <c r="W423" s="85"/>
      <c r="X423" s="85"/>
      <c r="Y423" s="85"/>
      <c r="Z423" s="85"/>
      <c r="AA423" s="85"/>
      <c r="AB423" s="85"/>
      <c r="AC423" s="81">
        <f t="shared" si="268"/>
        <v>0</v>
      </c>
      <c r="AD423" s="86"/>
      <c r="AE423" s="86"/>
      <c r="AF423" s="1180"/>
      <c r="AG423" s="86"/>
      <c r="AH423" s="86"/>
      <c r="AI423" s="86"/>
      <c r="AJ423" s="86"/>
      <c r="AK423" s="86"/>
      <c r="AL423" s="86"/>
      <c r="AM423" s="86"/>
      <c r="AN423" s="86"/>
      <c r="AO423" s="86"/>
      <c r="AP423" s="86"/>
      <c r="AQ423" s="86"/>
      <c r="AR423" s="86"/>
      <c r="AS423" s="86"/>
      <c r="AT423" s="82"/>
      <c r="AU423" s="87"/>
      <c r="AV423" s="818">
        <f t="shared" si="269"/>
        <v>0</v>
      </c>
      <c r="AW423" s="818">
        <f t="shared" si="270"/>
        <v>0</v>
      </c>
      <c r="AX423" s="818">
        <f t="shared" si="271"/>
        <v>0</v>
      </c>
      <c r="AY423" s="88">
        <f t="shared" si="272"/>
        <v>0</v>
      </c>
      <c r="AZ423" s="81">
        <f t="shared" si="273"/>
        <v>0</v>
      </c>
      <c r="BA423" s="81">
        <f t="shared" si="274"/>
        <v>0</v>
      </c>
      <c r="BB423" s="81">
        <f t="shared" si="275"/>
        <v>0</v>
      </c>
      <c r="BC423" s="81">
        <f t="shared" si="276"/>
        <v>0</v>
      </c>
      <c r="BD423" s="81">
        <f t="shared" si="277"/>
        <v>0</v>
      </c>
      <c r="BE423" s="81">
        <f t="shared" si="278"/>
        <v>0</v>
      </c>
      <c r="BF423" s="81">
        <f t="shared" si="279"/>
        <v>0</v>
      </c>
      <c r="BG423" s="81">
        <f t="shared" si="280"/>
        <v>0</v>
      </c>
      <c r="BH423" s="81">
        <f t="shared" si="281"/>
        <v>0</v>
      </c>
      <c r="BI423" s="81">
        <f t="shared" si="282"/>
        <v>0</v>
      </c>
      <c r="BJ423" s="81">
        <f t="shared" si="283"/>
        <v>0</v>
      </c>
      <c r="BK423" s="81">
        <f t="shared" si="284"/>
        <v>0</v>
      </c>
      <c r="BL423" s="81">
        <f t="shared" si="285"/>
        <v>0</v>
      </c>
      <c r="BM423" s="81">
        <f t="shared" si="286"/>
        <v>0</v>
      </c>
      <c r="BN423" s="81">
        <f t="shared" si="287"/>
        <v>0</v>
      </c>
      <c r="BO423" s="81">
        <f t="shared" si="288"/>
        <v>0</v>
      </c>
      <c r="BP423" s="81">
        <f t="shared" si="289"/>
        <v>0</v>
      </c>
      <c r="BQ423" s="81">
        <f t="shared" si="290"/>
        <v>0</v>
      </c>
      <c r="BR423" s="81">
        <f t="shared" si="291"/>
        <v>0</v>
      </c>
      <c r="BS423" s="81">
        <f t="shared" si="292"/>
        <v>0</v>
      </c>
      <c r="BT423" s="89">
        <f t="shared" si="293"/>
        <v>0</v>
      </c>
    </row>
    <row r="424" spans="1:72">
      <c r="A424" s="79"/>
      <c r="B424" s="80"/>
      <c r="C424" s="80"/>
      <c r="D424" s="2301"/>
      <c r="E424" s="81">
        <f t="shared" si="265"/>
        <v>0</v>
      </c>
      <c r="F424" s="82"/>
      <c r="G424" s="83">
        <f t="shared" si="266"/>
        <v>0</v>
      </c>
      <c r="H424" s="84">
        <f t="shared" si="267"/>
        <v>0</v>
      </c>
      <c r="I424" s="85"/>
      <c r="J424" s="85"/>
      <c r="K424" s="85"/>
      <c r="L424" s="85"/>
      <c r="M424" s="85"/>
      <c r="N424" s="85"/>
      <c r="O424" s="85"/>
      <c r="P424" s="85"/>
      <c r="Q424" s="85"/>
      <c r="R424" s="85"/>
      <c r="S424" s="85"/>
      <c r="T424" s="85"/>
      <c r="U424" s="85"/>
      <c r="V424" s="85"/>
      <c r="W424" s="85"/>
      <c r="X424" s="85"/>
      <c r="Y424" s="85"/>
      <c r="Z424" s="85"/>
      <c r="AA424" s="85"/>
      <c r="AB424" s="85"/>
      <c r="AC424" s="81">
        <f t="shared" si="268"/>
        <v>0</v>
      </c>
      <c r="AD424" s="86"/>
      <c r="AE424" s="86"/>
      <c r="AF424" s="86"/>
      <c r="AG424" s="86"/>
      <c r="AH424" s="86"/>
      <c r="AI424" s="86"/>
      <c r="AJ424" s="86"/>
      <c r="AK424" s="86"/>
      <c r="AL424" s="86"/>
      <c r="AM424" s="86"/>
      <c r="AN424" s="86"/>
      <c r="AO424" s="86"/>
      <c r="AP424" s="86"/>
      <c r="AQ424" s="86"/>
      <c r="AR424" s="86"/>
      <c r="AS424" s="86"/>
      <c r="AT424" s="82"/>
      <c r="AU424" s="87"/>
      <c r="AV424" s="818">
        <f t="shared" si="269"/>
        <v>0</v>
      </c>
      <c r="AW424" s="818">
        <f t="shared" si="270"/>
        <v>0</v>
      </c>
      <c r="AX424" s="818">
        <f t="shared" si="271"/>
        <v>0</v>
      </c>
      <c r="AY424" s="88">
        <f t="shared" si="272"/>
        <v>0</v>
      </c>
      <c r="AZ424" s="81">
        <f t="shared" si="273"/>
        <v>0</v>
      </c>
      <c r="BA424" s="81">
        <f t="shared" si="274"/>
        <v>0</v>
      </c>
      <c r="BB424" s="81">
        <f t="shared" si="275"/>
        <v>0</v>
      </c>
      <c r="BC424" s="81">
        <f t="shared" si="276"/>
        <v>0</v>
      </c>
      <c r="BD424" s="81">
        <f t="shared" si="277"/>
        <v>0</v>
      </c>
      <c r="BE424" s="81">
        <f t="shared" si="278"/>
        <v>0</v>
      </c>
      <c r="BF424" s="81">
        <f t="shared" si="279"/>
        <v>0</v>
      </c>
      <c r="BG424" s="81">
        <f t="shared" si="280"/>
        <v>0</v>
      </c>
      <c r="BH424" s="81">
        <f t="shared" si="281"/>
        <v>0</v>
      </c>
      <c r="BI424" s="81">
        <f t="shared" si="282"/>
        <v>0</v>
      </c>
      <c r="BJ424" s="81">
        <f t="shared" si="283"/>
        <v>0</v>
      </c>
      <c r="BK424" s="81">
        <f t="shared" si="284"/>
        <v>0</v>
      </c>
      <c r="BL424" s="81">
        <f t="shared" si="285"/>
        <v>0</v>
      </c>
      <c r="BM424" s="81">
        <f t="shared" si="286"/>
        <v>0</v>
      </c>
      <c r="BN424" s="81">
        <f t="shared" si="287"/>
        <v>0</v>
      </c>
      <c r="BO424" s="81">
        <f t="shared" si="288"/>
        <v>0</v>
      </c>
      <c r="BP424" s="81">
        <f t="shared" si="289"/>
        <v>0</v>
      </c>
      <c r="BQ424" s="81">
        <f t="shared" si="290"/>
        <v>0</v>
      </c>
      <c r="BR424" s="81">
        <f t="shared" si="291"/>
        <v>0</v>
      </c>
      <c r="BS424" s="81">
        <f t="shared" si="292"/>
        <v>0</v>
      </c>
      <c r="BT424" s="89">
        <f t="shared" si="293"/>
        <v>0</v>
      </c>
    </row>
    <row r="425" spans="1:72">
      <c r="A425" s="79"/>
      <c r="B425" s="80"/>
      <c r="C425" s="80"/>
      <c r="D425" s="2301"/>
      <c r="E425" s="81">
        <f t="shared" si="265"/>
        <v>0</v>
      </c>
      <c r="F425" s="82"/>
      <c r="G425" s="83">
        <f t="shared" si="266"/>
        <v>0</v>
      </c>
      <c r="H425" s="84">
        <f t="shared" si="267"/>
        <v>0</v>
      </c>
      <c r="I425" s="85"/>
      <c r="J425" s="85"/>
      <c r="K425" s="85"/>
      <c r="L425" s="85"/>
      <c r="M425" s="85"/>
      <c r="N425" s="85"/>
      <c r="O425" s="85"/>
      <c r="P425" s="85"/>
      <c r="Q425" s="85"/>
      <c r="R425" s="85"/>
      <c r="S425" s="85"/>
      <c r="T425" s="85"/>
      <c r="U425" s="85"/>
      <c r="V425" s="85"/>
      <c r="W425" s="85"/>
      <c r="X425" s="85"/>
      <c r="Y425" s="85"/>
      <c r="Z425" s="85"/>
      <c r="AA425" s="85"/>
      <c r="AB425" s="85"/>
      <c r="AC425" s="81">
        <f t="shared" si="268"/>
        <v>0</v>
      </c>
      <c r="AD425" s="86"/>
      <c r="AE425" s="86"/>
      <c r="AF425" s="86"/>
      <c r="AG425" s="86"/>
      <c r="AH425" s="86"/>
      <c r="AI425" s="86"/>
      <c r="AJ425" s="86"/>
      <c r="AK425" s="86"/>
      <c r="AL425" s="86"/>
      <c r="AM425" s="86"/>
      <c r="AN425" s="86"/>
      <c r="AO425" s="86"/>
      <c r="AP425" s="86"/>
      <c r="AQ425" s="86"/>
      <c r="AR425" s="86"/>
      <c r="AS425" s="86"/>
      <c r="AT425" s="82"/>
      <c r="AU425" s="87"/>
      <c r="AV425" s="818">
        <f t="shared" si="269"/>
        <v>0</v>
      </c>
      <c r="AW425" s="818">
        <f t="shared" si="270"/>
        <v>0</v>
      </c>
      <c r="AX425" s="818">
        <f t="shared" si="271"/>
        <v>0</v>
      </c>
      <c r="AY425" s="88">
        <f t="shared" si="272"/>
        <v>0</v>
      </c>
      <c r="AZ425" s="81">
        <f t="shared" si="273"/>
        <v>0</v>
      </c>
      <c r="BA425" s="81">
        <f t="shared" si="274"/>
        <v>0</v>
      </c>
      <c r="BB425" s="81">
        <f t="shared" si="275"/>
        <v>0</v>
      </c>
      <c r="BC425" s="81">
        <f t="shared" si="276"/>
        <v>0</v>
      </c>
      <c r="BD425" s="81">
        <f t="shared" si="277"/>
        <v>0</v>
      </c>
      <c r="BE425" s="81">
        <f t="shared" si="278"/>
        <v>0</v>
      </c>
      <c r="BF425" s="81">
        <f t="shared" si="279"/>
        <v>0</v>
      </c>
      <c r="BG425" s="81">
        <f t="shared" si="280"/>
        <v>0</v>
      </c>
      <c r="BH425" s="81">
        <f t="shared" si="281"/>
        <v>0</v>
      </c>
      <c r="BI425" s="81">
        <f t="shared" si="282"/>
        <v>0</v>
      </c>
      <c r="BJ425" s="81">
        <f t="shared" si="283"/>
        <v>0</v>
      </c>
      <c r="BK425" s="81">
        <f t="shared" si="284"/>
        <v>0</v>
      </c>
      <c r="BL425" s="81">
        <f t="shared" si="285"/>
        <v>0</v>
      </c>
      <c r="BM425" s="81">
        <f t="shared" si="286"/>
        <v>0</v>
      </c>
      <c r="BN425" s="81">
        <f t="shared" si="287"/>
        <v>0</v>
      </c>
      <c r="BO425" s="81">
        <f t="shared" si="288"/>
        <v>0</v>
      </c>
      <c r="BP425" s="81">
        <f t="shared" si="289"/>
        <v>0</v>
      </c>
      <c r="BQ425" s="81">
        <f t="shared" si="290"/>
        <v>0</v>
      </c>
      <c r="BR425" s="81">
        <f t="shared" si="291"/>
        <v>0</v>
      </c>
      <c r="BS425" s="81">
        <f t="shared" si="292"/>
        <v>0</v>
      </c>
      <c r="BT425" s="89">
        <f t="shared" si="293"/>
        <v>0</v>
      </c>
    </row>
    <row r="426" spans="1:72">
      <c r="A426" s="79"/>
      <c r="B426" s="80"/>
      <c r="C426" s="80"/>
      <c r="D426" s="2301"/>
      <c r="E426" s="81">
        <f t="shared" si="265"/>
        <v>0</v>
      </c>
      <c r="F426" s="82"/>
      <c r="G426" s="83">
        <f t="shared" si="266"/>
        <v>0</v>
      </c>
      <c r="H426" s="84">
        <f t="shared" si="267"/>
        <v>0</v>
      </c>
      <c r="I426" s="85"/>
      <c r="J426" s="85"/>
      <c r="K426" s="85"/>
      <c r="L426" s="85"/>
      <c r="M426" s="85"/>
      <c r="N426" s="85"/>
      <c r="O426" s="85"/>
      <c r="P426" s="85"/>
      <c r="Q426" s="85"/>
      <c r="R426" s="85"/>
      <c r="S426" s="85"/>
      <c r="T426" s="85"/>
      <c r="U426" s="85"/>
      <c r="V426" s="85"/>
      <c r="W426" s="85"/>
      <c r="X426" s="85"/>
      <c r="Y426" s="85"/>
      <c r="Z426" s="85"/>
      <c r="AA426" s="85"/>
      <c r="AB426" s="85"/>
      <c r="AC426" s="81">
        <f t="shared" si="268"/>
        <v>0</v>
      </c>
      <c r="AD426" s="86"/>
      <c r="AE426" s="86"/>
      <c r="AF426" s="86"/>
      <c r="AG426" s="86"/>
      <c r="AH426" s="86"/>
      <c r="AI426" s="86"/>
      <c r="AJ426" s="86"/>
      <c r="AK426" s="86"/>
      <c r="AL426" s="86"/>
      <c r="AM426" s="86"/>
      <c r="AN426" s="86"/>
      <c r="AO426" s="86"/>
      <c r="AP426" s="86"/>
      <c r="AQ426" s="86"/>
      <c r="AR426" s="86"/>
      <c r="AS426" s="86"/>
      <c r="AT426" s="82"/>
      <c r="AU426" s="87"/>
      <c r="AV426" s="818">
        <f t="shared" si="269"/>
        <v>0</v>
      </c>
      <c r="AW426" s="818">
        <f t="shared" si="270"/>
        <v>0</v>
      </c>
      <c r="AX426" s="818">
        <f t="shared" si="271"/>
        <v>0</v>
      </c>
      <c r="AY426" s="88">
        <f t="shared" si="272"/>
        <v>0</v>
      </c>
      <c r="AZ426" s="81">
        <f t="shared" si="273"/>
        <v>0</v>
      </c>
      <c r="BA426" s="81">
        <f t="shared" si="274"/>
        <v>0</v>
      </c>
      <c r="BB426" s="81">
        <f t="shared" si="275"/>
        <v>0</v>
      </c>
      <c r="BC426" s="81">
        <f t="shared" si="276"/>
        <v>0</v>
      </c>
      <c r="BD426" s="81">
        <f t="shared" si="277"/>
        <v>0</v>
      </c>
      <c r="BE426" s="81">
        <f t="shared" si="278"/>
        <v>0</v>
      </c>
      <c r="BF426" s="81">
        <f t="shared" si="279"/>
        <v>0</v>
      </c>
      <c r="BG426" s="81">
        <f t="shared" si="280"/>
        <v>0</v>
      </c>
      <c r="BH426" s="81">
        <f t="shared" si="281"/>
        <v>0</v>
      </c>
      <c r="BI426" s="81">
        <f t="shared" si="282"/>
        <v>0</v>
      </c>
      <c r="BJ426" s="81">
        <f t="shared" si="283"/>
        <v>0</v>
      </c>
      <c r="BK426" s="81">
        <f t="shared" si="284"/>
        <v>0</v>
      </c>
      <c r="BL426" s="81">
        <f t="shared" si="285"/>
        <v>0</v>
      </c>
      <c r="BM426" s="81">
        <f t="shared" si="286"/>
        <v>0</v>
      </c>
      <c r="BN426" s="81">
        <f t="shared" si="287"/>
        <v>0</v>
      </c>
      <c r="BO426" s="81">
        <f t="shared" si="288"/>
        <v>0</v>
      </c>
      <c r="BP426" s="81">
        <f t="shared" si="289"/>
        <v>0</v>
      </c>
      <c r="BQ426" s="81">
        <f t="shared" si="290"/>
        <v>0</v>
      </c>
      <c r="BR426" s="81">
        <f t="shared" si="291"/>
        <v>0</v>
      </c>
      <c r="BS426" s="81">
        <f t="shared" si="292"/>
        <v>0</v>
      </c>
      <c r="BT426" s="89">
        <f t="shared" si="293"/>
        <v>0</v>
      </c>
    </row>
    <row r="427" spans="1:72">
      <c r="A427" s="79"/>
      <c r="B427" s="80"/>
      <c r="C427" s="80"/>
      <c r="D427" s="2301"/>
      <c r="E427" s="81">
        <f t="shared" si="265"/>
        <v>0</v>
      </c>
      <c r="F427" s="82"/>
      <c r="G427" s="83">
        <f t="shared" si="266"/>
        <v>0</v>
      </c>
      <c r="H427" s="84">
        <f t="shared" si="267"/>
        <v>0</v>
      </c>
      <c r="I427" s="85"/>
      <c r="J427" s="85"/>
      <c r="K427" s="85"/>
      <c r="L427" s="85"/>
      <c r="M427" s="85"/>
      <c r="N427" s="85"/>
      <c r="O427" s="85"/>
      <c r="P427" s="85"/>
      <c r="Q427" s="85"/>
      <c r="R427" s="85"/>
      <c r="S427" s="85"/>
      <c r="T427" s="85"/>
      <c r="U427" s="85"/>
      <c r="V427" s="85"/>
      <c r="W427" s="85"/>
      <c r="X427" s="85"/>
      <c r="Y427" s="85"/>
      <c r="Z427" s="85"/>
      <c r="AA427" s="85"/>
      <c r="AB427" s="85"/>
      <c r="AC427" s="81">
        <f t="shared" si="268"/>
        <v>0</v>
      </c>
      <c r="AD427" s="86"/>
      <c r="AE427" s="86"/>
      <c r="AF427" s="86"/>
      <c r="AG427" s="86"/>
      <c r="AH427" s="86"/>
      <c r="AI427" s="86"/>
      <c r="AJ427" s="86"/>
      <c r="AK427" s="86"/>
      <c r="AL427" s="86"/>
      <c r="AM427" s="86"/>
      <c r="AN427" s="86"/>
      <c r="AO427" s="86"/>
      <c r="AP427" s="86"/>
      <c r="AQ427" s="86"/>
      <c r="AR427" s="86"/>
      <c r="AS427" s="86"/>
      <c r="AT427" s="82"/>
      <c r="AU427" s="87"/>
      <c r="AV427" s="818">
        <f t="shared" si="269"/>
        <v>0</v>
      </c>
      <c r="AW427" s="818">
        <f t="shared" si="270"/>
        <v>0</v>
      </c>
      <c r="AX427" s="818">
        <f t="shared" si="271"/>
        <v>0</v>
      </c>
      <c r="AY427" s="88">
        <f t="shared" si="272"/>
        <v>0</v>
      </c>
      <c r="AZ427" s="81">
        <f t="shared" si="273"/>
        <v>0</v>
      </c>
      <c r="BA427" s="81">
        <f t="shared" si="274"/>
        <v>0</v>
      </c>
      <c r="BB427" s="81">
        <f t="shared" si="275"/>
        <v>0</v>
      </c>
      <c r="BC427" s="81">
        <f t="shared" si="276"/>
        <v>0</v>
      </c>
      <c r="BD427" s="81">
        <f t="shared" si="277"/>
        <v>0</v>
      </c>
      <c r="BE427" s="81">
        <f t="shared" si="278"/>
        <v>0</v>
      </c>
      <c r="BF427" s="81">
        <f t="shared" si="279"/>
        <v>0</v>
      </c>
      <c r="BG427" s="81">
        <f t="shared" si="280"/>
        <v>0</v>
      </c>
      <c r="BH427" s="81">
        <f t="shared" si="281"/>
        <v>0</v>
      </c>
      <c r="BI427" s="81">
        <f t="shared" si="282"/>
        <v>0</v>
      </c>
      <c r="BJ427" s="81">
        <f t="shared" si="283"/>
        <v>0</v>
      </c>
      <c r="BK427" s="81">
        <f t="shared" si="284"/>
        <v>0</v>
      </c>
      <c r="BL427" s="81">
        <f t="shared" si="285"/>
        <v>0</v>
      </c>
      <c r="BM427" s="81">
        <f t="shared" si="286"/>
        <v>0</v>
      </c>
      <c r="BN427" s="81">
        <f t="shared" si="287"/>
        <v>0</v>
      </c>
      <c r="BO427" s="81">
        <f t="shared" si="288"/>
        <v>0</v>
      </c>
      <c r="BP427" s="81">
        <f t="shared" si="289"/>
        <v>0</v>
      </c>
      <c r="BQ427" s="81">
        <f t="shared" si="290"/>
        <v>0</v>
      </c>
      <c r="BR427" s="81">
        <f t="shared" si="291"/>
        <v>0</v>
      </c>
      <c r="BS427" s="81">
        <f t="shared" si="292"/>
        <v>0</v>
      </c>
      <c r="BT427" s="89">
        <f t="shared" si="293"/>
        <v>0</v>
      </c>
    </row>
    <row r="428" spans="1:72">
      <c r="A428" s="79"/>
      <c r="B428" s="80"/>
      <c r="C428" s="80"/>
      <c r="D428" s="2301"/>
      <c r="E428" s="81">
        <f t="shared" si="265"/>
        <v>0</v>
      </c>
      <c r="F428" s="82"/>
      <c r="G428" s="83">
        <f t="shared" si="266"/>
        <v>0</v>
      </c>
      <c r="H428" s="84">
        <f t="shared" si="267"/>
        <v>0</v>
      </c>
      <c r="I428" s="85"/>
      <c r="J428" s="85"/>
      <c r="K428" s="85"/>
      <c r="L428" s="85"/>
      <c r="M428" s="85"/>
      <c r="N428" s="85"/>
      <c r="O428" s="85"/>
      <c r="P428" s="85"/>
      <c r="Q428" s="85"/>
      <c r="R428" s="85"/>
      <c r="S428" s="85"/>
      <c r="T428" s="85"/>
      <c r="U428" s="85"/>
      <c r="V428" s="85"/>
      <c r="W428" s="85"/>
      <c r="X428" s="85"/>
      <c r="Y428" s="85"/>
      <c r="Z428" s="85"/>
      <c r="AA428" s="85"/>
      <c r="AB428" s="85"/>
      <c r="AC428" s="81">
        <f t="shared" si="268"/>
        <v>0</v>
      </c>
      <c r="AD428" s="86"/>
      <c r="AE428" s="86"/>
      <c r="AF428" s="86"/>
      <c r="AG428" s="86"/>
      <c r="AH428" s="86"/>
      <c r="AI428" s="86"/>
      <c r="AJ428" s="86"/>
      <c r="AK428" s="86"/>
      <c r="AL428" s="86"/>
      <c r="AM428" s="86"/>
      <c r="AN428" s="86"/>
      <c r="AO428" s="86"/>
      <c r="AP428" s="86"/>
      <c r="AQ428" s="86"/>
      <c r="AR428" s="86"/>
      <c r="AS428" s="86"/>
      <c r="AT428" s="82"/>
      <c r="AU428" s="87"/>
      <c r="AV428" s="818">
        <f t="shared" si="269"/>
        <v>0</v>
      </c>
      <c r="AW428" s="818">
        <f t="shared" si="270"/>
        <v>0</v>
      </c>
      <c r="AX428" s="818">
        <f t="shared" si="271"/>
        <v>0</v>
      </c>
      <c r="AY428" s="88">
        <f t="shared" si="272"/>
        <v>0</v>
      </c>
      <c r="AZ428" s="81">
        <f t="shared" si="273"/>
        <v>0</v>
      </c>
      <c r="BA428" s="81">
        <f t="shared" si="274"/>
        <v>0</v>
      </c>
      <c r="BB428" s="81">
        <f t="shared" si="275"/>
        <v>0</v>
      </c>
      <c r="BC428" s="81">
        <f t="shared" si="276"/>
        <v>0</v>
      </c>
      <c r="BD428" s="81">
        <f t="shared" si="277"/>
        <v>0</v>
      </c>
      <c r="BE428" s="81">
        <f t="shared" si="278"/>
        <v>0</v>
      </c>
      <c r="BF428" s="81">
        <f t="shared" si="279"/>
        <v>0</v>
      </c>
      <c r="BG428" s="81">
        <f t="shared" si="280"/>
        <v>0</v>
      </c>
      <c r="BH428" s="81">
        <f t="shared" si="281"/>
        <v>0</v>
      </c>
      <c r="BI428" s="81">
        <f t="shared" si="282"/>
        <v>0</v>
      </c>
      <c r="BJ428" s="81">
        <f t="shared" si="283"/>
        <v>0</v>
      </c>
      <c r="BK428" s="81">
        <f t="shared" si="284"/>
        <v>0</v>
      </c>
      <c r="BL428" s="81">
        <f t="shared" si="285"/>
        <v>0</v>
      </c>
      <c r="BM428" s="81">
        <f t="shared" si="286"/>
        <v>0</v>
      </c>
      <c r="BN428" s="81">
        <f t="shared" si="287"/>
        <v>0</v>
      </c>
      <c r="BO428" s="81">
        <f t="shared" si="288"/>
        <v>0</v>
      </c>
      <c r="BP428" s="81">
        <f t="shared" si="289"/>
        <v>0</v>
      </c>
      <c r="BQ428" s="81">
        <f t="shared" si="290"/>
        <v>0</v>
      </c>
      <c r="BR428" s="81">
        <f t="shared" si="291"/>
        <v>0</v>
      </c>
      <c r="BS428" s="81">
        <f t="shared" si="292"/>
        <v>0</v>
      </c>
      <c r="BT428" s="89">
        <f t="shared" si="293"/>
        <v>0</v>
      </c>
    </row>
    <row r="429" spans="1:72">
      <c r="A429" s="79"/>
      <c r="B429" s="80"/>
      <c r="C429" s="80"/>
      <c r="D429" s="2301"/>
      <c r="E429" s="81">
        <f t="shared" si="265"/>
        <v>0</v>
      </c>
      <c r="F429" s="82"/>
      <c r="G429" s="83">
        <f t="shared" si="266"/>
        <v>0</v>
      </c>
      <c r="H429" s="84">
        <f t="shared" si="267"/>
        <v>0</v>
      </c>
      <c r="I429" s="85"/>
      <c r="J429" s="85"/>
      <c r="K429" s="85"/>
      <c r="L429" s="85"/>
      <c r="M429" s="85"/>
      <c r="N429" s="85"/>
      <c r="O429" s="85"/>
      <c r="P429" s="85"/>
      <c r="Q429" s="85"/>
      <c r="R429" s="85"/>
      <c r="S429" s="85"/>
      <c r="T429" s="85"/>
      <c r="U429" s="85"/>
      <c r="V429" s="85"/>
      <c r="W429" s="85"/>
      <c r="X429" s="85"/>
      <c r="Y429" s="85"/>
      <c r="Z429" s="85"/>
      <c r="AA429" s="85"/>
      <c r="AB429" s="85"/>
      <c r="AC429" s="81">
        <f t="shared" si="268"/>
        <v>0</v>
      </c>
      <c r="AD429" s="86"/>
      <c r="AE429" s="86"/>
      <c r="AF429" s="86"/>
      <c r="AG429" s="86"/>
      <c r="AH429" s="86"/>
      <c r="AI429" s="86"/>
      <c r="AJ429" s="86"/>
      <c r="AK429" s="86"/>
      <c r="AL429" s="86"/>
      <c r="AM429" s="86"/>
      <c r="AN429" s="86"/>
      <c r="AO429" s="86"/>
      <c r="AP429" s="86"/>
      <c r="AQ429" s="86"/>
      <c r="AR429" s="86"/>
      <c r="AS429" s="86"/>
      <c r="AT429" s="82"/>
      <c r="AU429" s="87"/>
      <c r="AV429" s="818">
        <f t="shared" si="269"/>
        <v>0</v>
      </c>
      <c r="AW429" s="818">
        <f t="shared" si="270"/>
        <v>0</v>
      </c>
      <c r="AX429" s="818">
        <f t="shared" si="271"/>
        <v>0</v>
      </c>
      <c r="AY429" s="88">
        <f t="shared" si="272"/>
        <v>0</v>
      </c>
      <c r="AZ429" s="81">
        <f t="shared" si="273"/>
        <v>0</v>
      </c>
      <c r="BA429" s="81">
        <f t="shared" si="274"/>
        <v>0</v>
      </c>
      <c r="BB429" s="81">
        <f t="shared" si="275"/>
        <v>0</v>
      </c>
      <c r="BC429" s="81">
        <f t="shared" si="276"/>
        <v>0</v>
      </c>
      <c r="BD429" s="81">
        <f t="shared" si="277"/>
        <v>0</v>
      </c>
      <c r="BE429" s="81">
        <f t="shared" si="278"/>
        <v>0</v>
      </c>
      <c r="BF429" s="81">
        <f t="shared" si="279"/>
        <v>0</v>
      </c>
      <c r="BG429" s="81">
        <f t="shared" si="280"/>
        <v>0</v>
      </c>
      <c r="BH429" s="81">
        <f t="shared" si="281"/>
        <v>0</v>
      </c>
      <c r="BI429" s="81">
        <f t="shared" si="282"/>
        <v>0</v>
      </c>
      <c r="BJ429" s="81">
        <f t="shared" si="283"/>
        <v>0</v>
      </c>
      <c r="BK429" s="81">
        <f t="shared" si="284"/>
        <v>0</v>
      </c>
      <c r="BL429" s="81">
        <f t="shared" si="285"/>
        <v>0</v>
      </c>
      <c r="BM429" s="81">
        <f t="shared" si="286"/>
        <v>0</v>
      </c>
      <c r="BN429" s="81">
        <f t="shared" si="287"/>
        <v>0</v>
      </c>
      <c r="BO429" s="81">
        <f t="shared" si="288"/>
        <v>0</v>
      </c>
      <c r="BP429" s="81">
        <f t="shared" si="289"/>
        <v>0</v>
      </c>
      <c r="BQ429" s="81">
        <f t="shared" si="290"/>
        <v>0</v>
      </c>
      <c r="BR429" s="81">
        <f t="shared" si="291"/>
        <v>0</v>
      </c>
      <c r="BS429" s="81">
        <f t="shared" si="292"/>
        <v>0</v>
      </c>
      <c r="BT429" s="89">
        <f t="shared" si="293"/>
        <v>0</v>
      </c>
    </row>
    <row r="430" spans="1:72">
      <c r="A430" s="79"/>
      <c r="B430" s="80"/>
      <c r="C430" s="80"/>
      <c r="D430" s="2301"/>
      <c r="E430" s="81">
        <f t="shared" si="265"/>
        <v>0</v>
      </c>
      <c r="F430" s="82"/>
      <c r="G430" s="83">
        <f t="shared" si="266"/>
        <v>0</v>
      </c>
      <c r="H430" s="84">
        <f t="shared" si="267"/>
        <v>0</v>
      </c>
      <c r="I430" s="85"/>
      <c r="J430" s="85"/>
      <c r="K430" s="85"/>
      <c r="L430" s="85"/>
      <c r="M430" s="85"/>
      <c r="N430" s="85"/>
      <c r="O430" s="85"/>
      <c r="P430" s="85"/>
      <c r="Q430" s="85"/>
      <c r="R430" s="85"/>
      <c r="S430" s="85"/>
      <c r="T430" s="85"/>
      <c r="U430" s="85"/>
      <c r="V430" s="85"/>
      <c r="W430" s="85"/>
      <c r="X430" s="85"/>
      <c r="Y430" s="85"/>
      <c r="Z430" s="85"/>
      <c r="AA430" s="85"/>
      <c r="AB430" s="85"/>
      <c r="AC430" s="81">
        <f t="shared" si="268"/>
        <v>0</v>
      </c>
      <c r="AD430" s="86"/>
      <c r="AE430" s="86"/>
      <c r="AF430" s="86"/>
      <c r="AG430" s="86"/>
      <c r="AH430" s="86"/>
      <c r="AI430" s="86"/>
      <c r="AJ430" s="86"/>
      <c r="AK430" s="86"/>
      <c r="AL430" s="86"/>
      <c r="AM430" s="86"/>
      <c r="AN430" s="86"/>
      <c r="AO430" s="86"/>
      <c r="AP430" s="86"/>
      <c r="AQ430" s="86"/>
      <c r="AR430" s="86"/>
      <c r="AS430" s="86"/>
      <c r="AT430" s="82"/>
      <c r="AU430" s="87"/>
      <c r="AV430" s="818">
        <f t="shared" si="269"/>
        <v>0</v>
      </c>
      <c r="AW430" s="818">
        <f t="shared" si="270"/>
        <v>0</v>
      </c>
      <c r="AX430" s="818">
        <f t="shared" si="271"/>
        <v>0</v>
      </c>
      <c r="AY430" s="88">
        <f t="shared" si="272"/>
        <v>0</v>
      </c>
      <c r="AZ430" s="81">
        <f t="shared" si="273"/>
        <v>0</v>
      </c>
      <c r="BA430" s="81">
        <f t="shared" si="274"/>
        <v>0</v>
      </c>
      <c r="BB430" s="81">
        <f t="shared" si="275"/>
        <v>0</v>
      </c>
      <c r="BC430" s="81">
        <f t="shared" si="276"/>
        <v>0</v>
      </c>
      <c r="BD430" s="81">
        <f t="shared" si="277"/>
        <v>0</v>
      </c>
      <c r="BE430" s="81">
        <f t="shared" si="278"/>
        <v>0</v>
      </c>
      <c r="BF430" s="81">
        <f t="shared" si="279"/>
        <v>0</v>
      </c>
      <c r="BG430" s="81">
        <f t="shared" si="280"/>
        <v>0</v>
      </c>
      <c r="BH430" s="81">
        <f t="shared" si="281"/>
        <v>0</v>
      </c>
      <c r="BI430" s="81">
        <f t="shared" si="282"/>
        <v>0</v>
      </c>
      <c r="BJ430" s="81">
        <f t="shared" si="283"/>
        <v>0</v>
      </c>
      <c r="BK430" s="81">
        <f t="shared" si="284"/>
        <v>0</v>
      </c>
      <c r="BL430" s="81">
        <f t="shared" si="285"/>
        <v>0</v>
      </c>
      <c r="BM430" s="81">
        <f t="shared" si="286"/>
        <v>0</v>
      </c>
      <c r="BN430" s="81">
        <f t="shared" si="287"/>
        <v>0</v>
      </c>
      <c r="BO430" s="81">
        <f t="shared" si="288"/>
        <v>0</v>
      </c>
      <c r="BP430" s="81">
        <f t="shared" si="289"/>
        <v>0</v>
      </c>
      <c r="BQ430" s="81">
        <f t="shared" si="290"/>
        <v>0</v>
      </c>
      <c r="BR430" s="81">
        <f t="shared" si="291"/>
        <v>0</v>
      </c>
      <c r="BS430" s="81">
        <f t="shared" si="292"/>
        <v>0</v>
      </c>
      <c r="BT430" s="89">
        <f t="shared" si="293"/>
        <v>0</v>
      </c>
    </row>
    <row r="431" spans="1:72">
      <c r="A431" s="79"/>
      <c r="B431" s="80"/>
      <c r="C431" s="80"/>
      <c r="D431" s="2301"/>
      <c r="E431" s="81">
        <f t="shared" si="265"/>
        <v>0</v>
      </c>
      <c r="F431" s="82"/>
      <c r="G431" s="83">
        <f t="shared" si="266"/>
        <v>0</v>
      </c>
      <c r="H431" s="84">
        <f t="shared" si="267"/>
        <v>0</v>
      </c>
      <c r="I431" s="85"/>
      <c r="J431" s="85"/>
      <c r="K431" s="85"/>
      <c r="L431" s="85"/>
      <c r="M431" s="85"/>
      <c r="N431" s="85"/>
      <c r="O431" s="85"/>
      <c r="P431" s="85"/>
      <c r="Q431" s="85"/>
      <c r="R431" s="85"/>
      <c r="S431" s="85"/>
      <c r="T431" s="85"/>
      <c r="U431" s="85"/>
      <c r="V431" s="85"/>
      <c r="W431" s="85"/>
      <c r="X431" s="85"/>
      <c r="Y431" s="85"/>
      <c r="Z431" s="85"/>
      <c r="AA431" s="85"/>
      <c r="AB431" s="85"/>
      <c r="AC431" s="81">
        <f t="shared" si="268"/>
        <v>0</v>
      </c>
      <c r="AD431" s="86"/>
      <c r="AE431" s="86"/>
      <c r="AF431" s="86"/>
      <c r="AG431" s="86"/>
      <c r="AH431" s="86"/>
      <c r="AI431" s="86"/>
      <c r="AJ431" s="86"/>
      <c r="AK431" s="86"/>
      <c r="AL431" s="86"/>
      <c r="AM431" s="86"/>
      <c r="AN431" s="86"/>
      <c r="AO431" s="86"/>
      <c r="AP431" s="86"/>
      <c r="AQ431" s="86"/>
      <c r="AR431" s="86"/>
      <c r="AS431" s="86"/>
      <c r="AT431" s="82"/>
      <c r="AU431" s="87"/>
      <c r="AV431" s="818">
        <f t="shared" si="269"/>
        <v>0</v>
      </c>
      <c r="AW431" s="818">
        <f t="shared" si="270"/>
        <v>0</v>
      </c>
      <c r="AX431" s="818">
        <f t="shared" si="271"/>
        <v>0</v>
      </c>
      <c r="AY431" s="88">
        <f t="shared" si="272"/>
        <v>0</v>
      </c>
      <c r="AZ431" s="81">
        <f t="shared" si="273"/>
        <v>0</v>
      </c>
      <c r="BA431" s="81">
        <f t="shared" si="274"/>
        <v>0</v>
      </c>
      <c r="BB431" s="81">
        <f t="shared" si="275"/>
        <v>0</v>
      </c>
      <c r="BC431" s="81">
        <f t="shared" si="276"/>
        <v>0</v>
      </c>
      <c r="BD431" s="81">
        <f t="shared" si="277"/>
        <v>0</v>
      </c>
      <c r="BE431" s="81">
        <f t="shared" si="278"/>
        <v>0</v>
      </c>
      <c r="BF431" s="81">
        <f t="shared" si="279"/>
        <v>0</v>
      </c>
      <c r="BG431" s="81">
        <f t="shared" si="280"/>
        <v>0</v>
      </c>
      <c r="BH431" s="81">
        <f t="shared" si="281"/>
        <v>0</v>
      </c>
      <c r="BI431" s="81">
        <f t="shared" si="282"/>
        <v>0</v>
      </c>
      <c r="BJ431" s="81">
        <f t="shared" si="283"/>
        <v>0</v>
      </c>
      <c r="BK431" s="81">
        <f t="shared" si="284"/>
        <v>0</v>
      </c>
      <c r="BL431" s="81">
        <f t="shared" si="285"/>
        <v>0</v>
      </c>
      <c r="BM431" s="81">
        <f t="shared" si="286"/>
        <v>0</v>
      </c>
      <c r="BN431" s="81">
        <f t="shared" si="287"/>
        <v>0</v>
      </c>
      <c r="BO431" s="81">
        <f t="shared" si="288"/>
        <v>0</v>
      </c>
      <c r="BP431" s="81">
        <f t="shared" si="289"/>
        <v>0</v>
      </c>
      <c r="BQ431" s="81">
        <f t="shared" si="290"/>
        <v>0</v>
      </c>
      <c r="BR431" s="81">
        <f t="shared" si="291"/>
        <v>0</v>
      </c>
      <c r="BS431" s="81">
        <f t="shared" si="292"/>
        <v>0</v>
      </c>
      <c r="BT431" s="89">
        <f t="shared" si="293"/>
        <v>0</v>
      </c>
    </row>
    <row r="432" spans="1:72">
      <c r="A432" s="79"/>
      <c r="B432" s="80"/>
      <c r="C432" s="80"/>
      <c r="D432" s="2301"/>
      <c r="E432" s="81">
        <f t="shared" si="265"/>
        <v>0</v>
      </c>
      <c r="F432" s="82"/>
      <c r="G432" s="83">
        <f t="shared" si="266"/>
        <v>0</v>
      </c>
      <c r="H432" s="84">
        <f t="shared" si="267"/>
        <v>0</v>
      </c>
      <c r="I432" s="85"/>
      <c r="J432" s="85"/>
      <c r="K432" s="85"/>
      <c r="L432" s="85"/>
      <c r="M432" s="85"/>
      <c r="N432" s="85"/>
      <c r="O432" s="85"/>
      <c r="P432" s="85"/>
      <c r="Q432" s="85"/>
      <c r="R432" s="85"/>
      <c r="S432" s="85"/>
      <c r="T432" s="85"/>
      <c r="U432" s="85"/>
      <c r="V432" s="85"/>
      <c r="W432" s="85"/>
      <c r="X432" s="85"/>
      <c r="Y432" s="85"/>
      <c r="Z432" s="85"/>
      <c r="AA432" s="85"/>
      <c r="AB432" s="85"/>
      <c r="AC432" s="81">
        <f t="shared" si="268"/>
        <v>0</v>
      </c>
      <c r="AD432" s="86"/>
      <c r="AE432" s="86"/>
      <c r="AF432" s="86"/>
      <c r="AG432" s="86"/>
      <c r="AH432" s="86"/>
      <c r="AI432" s="86"/>
      <c r="AJ432" s="86"/>
      <c r="AK432" s="86"/>
      <c r="AL432" s="86"/>
      <c r="AM432" s="86"/>
      <c r="AN432" s="86"/>
      <c r="AO432" s="86"/>
      <c r="AP432" s="86"/>
      <c r="AQ432" s="86"/>
      <c r="AR432" s="86"/>
      <c r="AS432" s="86"/>
      <c r="AT432" s="82"/>
      <c r="AU432" s="87"/>
      <c r="AV432" s="818">
        <f t="shared" si="269"/>
        <v>0</v>
      </c>
      <c r="AW432" s="818">
        <f t="shared" si="270"/>
        <v>0</v>
      </c>
      <c r="AX432" s="818">
        <f t="shared" si="271"/>
        <v>0</v>
      </c>
      <c r="AY432" s="88">
        <f t="shared" si="272"/>
        <v>0</v>
      </c>
      <c r="AZ432" s="81">
        <f t="shared" si="273"/>
        <v>0</v>
      </c>
      <c r="BA432" s="81">
        <f t="shared" si="274"/>
        <v>0</v>
      </c>
      <c r="BB432" s="81">
        <f t="shared" si="275"/>
        <v>0</v>
      </c>
      <c r="BC432" s="81">
        <f t="shared" si="276"/>
        <v>0</v>
      </c>
      <c r="BD432" s="81">
        <f t="shared" si="277"/>
        <v>0</v>
      </c>
      <c r="BE432" s="81">
        <f t="shared" si="278"/>
        <v>0</v>
      </c>
      <c r="BF432" s="81">
        <f t="shared" si="279"/>
        <v>0</v>
      </c>
      <c r="BG432" s="81">
        <f t="shared" si="280"/>
        <v>0</v>
      </c>
      <c r="BH432" s="81">
        <f t="shared" si="281"/>
        <v>0</v>
      </c>
      <c r="BI432" s="81">
        <f t="shared" si="282"/>
        <v>0</v>
      </c>
      <c r="BJ432" s="81">
        <f t="shared" si="283"/>
        <v>0</v>
      </c>
      <c r="BK432" s="81">
        <f t="shared" si="284"/>
        <v>0</v>
      </c>
      <c r="BL432" s="81">
        <f t="shared" si="285"/>
        <v>0</v>
      </c>
      <c r="BM432" s="81">
        <f t="shared" si="286"/>
        <v>0</v>
      </c>
      <c r="BN432" s="81">
        <f t="shared" si="287"/>
        <v>0</v>
      </c>
      <c r="BO432" s="81">
        <f t="shared" si="288"/>
        <v>0</v>
      </c>
      <c r="BP432" s="81">
        <f t="shared" si="289"/>
        <v>0</v>
      </c>
      <c r="BQ432" s="81">
        <f t="shared" si="290"/>
        <v>0</v>
      </c>
      <c r="BR432" s="81">
        <f t="shared" si="291"/>
        <v>0</v>
      </c>
      <c r="BS432" s="81">
        <f t="shared" si="292"/>
        <v>0</v>
      </c>
      <c r="BT432" s="89">
        <f t="shared" si="293"/>
        <v>0</v>
      </c>
    </row>
    <row r="433" spans="1:72">
      <c r="A433" s="79"/>
      <c r="B433" s="80"/>
      <c r="C433" s="80"/>
      <c r="D433" s="2301"/>
      <c r="E433" s="81">
        <f t="shared" si="265"/>
        <v>0</v>
      </c>
      <c r="F433" s="82"/>
      <c r="G433" s="83">
        <f t="shared" si="266"/>
        <v>0</v>
      </c>
      <c r="H433" s="84">
        <f t="shared" si="267"/>
        <v>0</v>
      </c>
      <c r="I433" s="85"/>
      <c r="J433" s="85"/>
      <c r="K433" s="85"/>
      <c r="L433" s="85"/>
      <c r="M433" s="85"/>
      <c r="N433" s="85"/>
      <c r="O433" s="85"/>
      <c r="P433" s="85"/>
      <c r="Q433" s="85"/>
      <c r="R433" s="85"/>
      <c r="S433" s="85"/>
      <c r="T433" s="85"/>
      <c r="U433" s="85"/>
      <c r="V433" s="85"/>
      <c r="W433" s="85"/>
      <c r="X433" s="85"/>
      <c r="Y433" s="85"/>
      <c r="Z433" s="85"/>
      <c r="AA433" s="85"/>
      <c r="AB433" s="85"/>
      <c r="AC433" s="81">
        <f t="shared" si="268"/>
        <v>0</v>
      </c>
      <c r="AD433" s="86"/>
      <c r="AE433" s="86"/>
      <c r="AF433" s="86"/>
      <c r="AG433" s="86"/>
      <c r="AH433" s="86"/>
      <c r="AI433" s="86"/>
      <c r="AJ433" s="86"/>
      <c r="AK433" s="86"/>
      <c r="AL433" s="86"/>
      <c r="AM433" s="86"/>
      <c r="AN433" s="86"/>
      <c r="AO433" s="86"/>
      <c r="AP433" s="86"/>
      <c r="AQ433" s="86"/>
      <c r="AR433" s="86"/>
      <c r="AS433" s="86"/>
      <c r="AT433" s="82"/>
      <c r="AU433" s="87"/>
      <c r="AV433" s="818">
        <f t="shared" si="269"/>
        <v>0</v>
      </c>
      <c r="AW433" s="818">
        <f t="shared" si="270"/>
        <v>0</v>
      </c>
      <c r="AX433" s="818">
        <f t="shared" si="271"/>
        <v>0</v>
      </c>
      <c r="AY433" s="88">
        <f t="shared" si="272"/>
        <v>0</v>
      </c>
      <c r="AZ433" s="81">
        <f t="shared" si="273"/>
        <v>0</v>
      </c>
      <c r="BA433" s="81">
        <f t="shared" si="274"/>
        <v>0</v>
      </c>
      <c r="BB433" s="81">
        <f t="shared" si="275"/>
        <v>0</v>
      </c>
      <c r="BC433" s="81">
        <f t="shared" si="276"/>
        <v>0</v>
      </c>
      <c r="BD433" s="81">
        <f t="shared" si="277"/>
        <v>0</v>
      </c>
      <c r="BE433" s="81">
        <f t="shared" si="278"/>
        <v>0</v>
      </c>
      <c r="BF433" s="81">
        <f t="shared" si="279"/>
        <v>0</v>
      </c>
      <c r="BG433" s="81">
        <f t="shared" si="280"/>
        <v>0</v>
      </c>
      <c r="BH433" s="81">
        <f t="shared" si="281"/>
        <v>0</v>
      </c>
      <c r="BI433" s="81">
        <f t="shared" si="282"/>
        <v>0</v>
      </c>
      <c r="BJ433" s="81">
        <f t="shared" si="283"/>
        <v>0</v>
      </c>
      <c r="BK433" s="81">
        <f t="shared" si="284"/>
        <v>0</v>
      </c>
      <c r="BL433" s="81">
        <f t="shared" si="285"/>
        <v>0</v>
      </c>
      <c r="BM433" s="81">
        <f t="shared" si="286"/>
        <v>0</v>
      </c>
      <c r="BN433" s="81">
        <f t="shared" si="287"/>
        <v>0</v>
      </c>
      <c r="BO433" s="81">
        <f t="shared" si="288"/>
        <v>0</v>
      </c>
      <c r="BP433" s="81">
        <f t="shared" si="289"/>
        <v>0</v>
      </c>
      <c r="BQ433" s="81">
        <f t="shared" si="290"/>
        <v>0</v>
      </c>
      <c r="BR433" s="81">
        <f t="shared" si="291"/>
        <v>0</v>
      </c>
      <c r="BS433" s="81">
        <f t="shared" si="292"/>
        <v>0</v>
      </c>
      <c r="BT433" s="89">
        <f t="shared" si="293"/>
        <v>0</v>
      </c>
    </row>
    <row r="434" spans="1:72">
      <c r="A434" s="79"/>
      <c r="B434" s="80"/>
      <c r="C434" s="80"/>
      <c r="D434" s="2301"/>
      <c r="E434" s="81">
        <f t="shared" si="265"/>
        <v>0</v>
      </c>
      <c r="F434" s="82"/>
      <c r="G434" s="83">
        <f t="shared" si="266"/>
        <v>0</v>
      </c>
      <c r="H434" s="84">
        <f t="shared" si="267"/>
        <v>0</v>
      </c>
      <c r="I434" s="85"/>
      <c r="J434" s="85"/>
      <c r="K434" s="85"/>
      <c r="L434" s="85"/>
      <c r="M434" s="85"/>
      <c r="N434" s="85"/>
      <c r="O434" s="85"/>
      <c r="P434" s="85"/>
      <c r="Q434" s="85"/>
      <c r="R434" s="85"/>
      <c r="S434" s="85"/>
      <c r="T434" s="85"/>
      <c r="U434" s="85"/>
      <c r="V434" s="85"/>
      <c r="W434" s="85"/>
      <c r="X434" s="85"/>
      <c r="Y434" s="85"/>
      <c r="Z434" s="85"/>
      <c r="AA434" s="85"/>
      <c r="AB434" s="85"/>
      <c r="AC434" s="81">
        <f t="shared" si="268"/>
        <v>0</v>
      </c>
      <c r="AD434" s="86"/>
      <c r="AE434" s="86"/>
      <c r="AF434" s="86"/>
      <c r="AG434" s="86"/>
      <c r="AH434" s="86"/>
      <c r="AI434" s="86"/>
      <c r="AJ434" s="86"/>
      <c r="AK434" s="86"/>
      <c r="AL434" s="86"/>
      <c r="AM434" s="86"/>
      <c r="AN434" s="86"/>
      <c r="AO434" s="86"/>
      <c r="AP434" s="86"/>
      <c r="AQ434" s="86"/>
      <c r="AR434" s="86"/>
      <c r="AS434" s="86"/>
      <c r="AT434" s="82"/>
      <c r="AU434" s="87"/>
      <c r="AV434" s="818">
        <f t="shared" si="269"/>
        <v>0</v>
      </c>
      <c r="AW434" s="818">
        <f t="shared" si="270"/>
        <v>0</v>
      </c>
      <c r="AX434" s="818">
        <f t="shared" si="271"/>
        <v>0</v>
      </c>
      <c r="AY434" s="88">
        <f t="shared" si="272"/>
        <v>0</v>
      </c>
      <c r="AZ434" s="81">
        <f t="shared" si="273"/>
        <v>0</v>
      </c>
      <c r="BA434" s="81">
        <f t="shared" si="274"/>
        <v>0</v>
      </c>
      <c r="BB434" s="81">
        <f t="shared" si="275"/>
        <v>0</v>
      </c>
      <c r="BC434" s="81">
        <f t="shared" si="276"/>
        <v>0</v>
      </c>
      <c r="BD434" s="81">
        <f t="shared" si="277"/>
        <v>0</v>
      </c>
      <c r="BE434" s="81">
        <f t="shared" si="278"/>
        <v>0</v>
      </c>
      <c r="BF434" s="81">
        <f t="shared" si="279"/>
        <v>0</v>
      </c>
      <c r="BG434" s="81">
        <f t="shared" si="280"/>
        <v>0</v>
      </c>
      <c r="BH434" s="81">
        <f t="shared" si="281"/>
        <v>0</v>
      </c>
      <c r="BI434" s="81">
        <f t="shared" si="282"/>
        <v>0</v>
      </c>
      <c r="BJ434" s="81">
        <f t="shared" si="283"/>
        <v>0</v>
      </c>
      <c r="BK434" s="81">
        <f t="shared" si="284"/>
        <v>0</v>
      </c>
      <c r="BL434" s="81">
        <f t="shared" si="285"/>
        <v>0</v>
      </c>
      <c r="BM434" s="81">
        <f t="shared" si="286"/>
        <v>0</v>
      </c>
      <c r="BN434" s="81">
        <f t="shared" si="287"/>
        <v>0</v>
      </c>
      <c r="BO434" s="81">
        <f t="shared" si="288"/>
        <v>0</v>
      </c>
      <c r="BP434" s="81">
        <f t="shared" si="289"/>
        <v>0</v>
      </c>
      <c r="BQ434" s="81">
        <f t="shared" si="290"/>
        <v>0</v>
      </c>
      <c r="BR434" s="81">
        <f t="shared" si="291"/>
        <v>0</v>
      </c>
      <c r="BS434" s="81">
        <f t="shared" si="292"/>
        <v>0</v>
      </c>
      <c r="BT434" s="89">
        <f t="shared" si="293"/>
        <v>0</v>
      </c>
    </row>
    <row r="435" spans="1:72">
      <c r="A435" s="79"/>
      <c r="B435" s="80"/>
      <c r="C435" s="80"/>
      <c r="D435" s="2301"/>
      <c r="E435" s="81">
        <f t="shared" si="265"/>
        <v>0</v>
      </c>
      <c r="F435" s="82"/>
      <c r="G435" s="83">
        <f t="shared" si="266"/>
        <v>0</v>
      </c>
      <c r="H435" s="84">
        <f t="shared" si="267"/>
        <v>0</v>
      </c>
      <c r="I435" s="85"/>
      <c r="J435" s="85"/>
      <c r="K435" s="85"/>
      <c r="L435" s="85"/>
      <c r="M435" s="85"/>
      <c r="N435" s="85"/>
      <c r="O435" s="85"/>
      <c r="P435" s="85"/>
      <c r="Q435" s="85"/>
      <c r="R435" s="85"/>
      <c r="S435" s="85"/>
      <c r="T435" s="85"/>
      <c r="U435" s="85"/>
      <c r="V435" s="85"/>
      <c r="W435" s="85"/>
      <c r="X435" s="85"/>
      <c r="Y435" s="85"/>
      <c r="Z435" s="85"/>
      <c r="AA435" s="85"/>
      <c r="AB435" s="85"/>
      <c r="AC435" s="81">
        <f t="shared" si="268"/>
        <v>0</v>
      </c>
      <c r="AD435" s="86"/>
      <c r="AE435" s="86"/>
      <c r="AF435" s="86"/>
      <c r="AG435" s="86"/>
      <c r="AH435" s="86"/>
      <c r="AI435" s="86"/>
      <c r="AJ435" s="86"/>
      <c r="AK435" s="86"/>
      <c r="AL435" s="86"/>
      <c r="AM435" s="86"/>
      <c r="AN435" s="86"/>
      <c r="AO435" s="86"/>
      <c r="AP435" s="86"/>
      <c r="AQ435" s="86"/>
      <c r="AR435" s="86"/>
      <c r="AS435" s="86"/>
      <c r="AT435" s="82"/>
      <c r="AU435" s="87"/>
      <c r="AV435" s="818">
        <f t="shared" si="269"/>
        <v>0</v>
      </c>
      <c r="AW435" s="818">
        <f t="shared" si="270"/>
        <v>0</v>
      </c>
      <c r="AX435" s="818">
        <f t="shared" si="271"/>
        <v>0</v>
      </c>
      <c r="AY435" s="88">
        <f t="shared" si="272"/>
        <v>0</v>
      </c>
      <c r="AZ435" s="81">
        <f t="shared" si="273"/>
        <v>0</v>
      </c>
      <c r="BA435" s="81">
        <f t="shared" si="274"/>
        <v>0</v>
      </c>
      <c r="BB435" s="81">
        <f t="shared" si="275"/>
        <v>0</v>
      </c>
      <c r="BC435" s="81">
        <f t="shared" si="276"/>
        <v>0</v>
      </c>
      <c r="BD435" s="81">
        <f t="shared" si="277"/>
        <v>0</v>
      </c>
      <c r="BE435" s="81">
        <f t="shared" si="278"/>
        <v>0</v>
      </c>
      <c r="BF435" s="81">
        <f t="shared" si="279"/>
        <v>0</v>
      </c>
      <c r="BG435" s="81">
        <f t="shared" si="280"/>
        <v>0</v>
      </c>
      <c r="BH435" s="81">
        <f t="shared" si="281"/>
        <v>0</v>
      </c>
      <c r="BI435" s="81">
        <f t="shared" si="282"/>
        <v>0</v>
      </c>
      <c r="BJ435" s="81">
        <f t="shared" si="283"/>
        <v>0</v>
      </c>
      <c r="BK435" s="81">
        <f t="shared" si="284"/>
        <v>0</v>
      </c>
      <c r="BL435" s="81">
        <f t="shared" si="285"/>
        <v>0</v>
      </c>
      <c r="BM435" s="81">
        <f t="shared" si="286"/>
        <v>0</v>
      </c>
      <c r="BN435" s="81">
        <f t="shared" si="287"/>
        <v>0</v>
      </c>
      <c r="BO435" s="81">
        <f t="shared" si="288"/>
        <v>0</v>
      </c>
      <c r="BP435" s="81">
        <f t="shared" si="289"/>
        <v>0</v>
      </c>
      <c r="BQ435" s="81">
        <f t="shared" si="290"/>
        <v>0</v>
      </c>
      <c r="BR435" s="81">
        <f t="shared" si="291"/>
        <v>0</v>
      </c>
      <c r="BS435" s="81">
        <f t="shared" si="292"/>
        <v>0</v>
      </c>
      <c r="BT435" s="89">
        <f t="shared" si="293"/>
        <v>0</v>
      </c>
    </row>
    <row r="436" spans="1:72">
      <c r="A436" s="79"/>
      <c r="B436" s="80"/>
      <c r="C436" s="80"/>
      <c r="D436" s="2301"/>
      <c r="E436" s="81">
        <f t="shared" si="265"/>
        <v>0</v>
      </c>
      <c r="F436" s="82"/>
      <c r="G436" s="83">
        <f t="shared" si="266"/>
        <v>0</v>
      </c>
      <c r="H436" s="84">
        <f t="shared" si="267"/>
        <v>0</v>
      </c>
      <c r="I436" s="85"/>
      <c r="J436" s="85"/>
      <c r="K436" s="85"/>
      <c r="L436" s="85"/>
      <c r="M436" s="85"/>
      <c r="N436" s="85"/>
      <c r="O436" s="85"/>
      <c r="P436" s="85"/>
      <c r="Q436" s="85"/>
      <c r="R436" s="85"/>
      <c r="S436" s="85"/>
      <c r="T436" s="85"/>
      <c r="U436" s="85"/>
      <c r="V436" s="85"/>
      <c r="W436" s="85"/>
      <c r="X436" s="85"/>
      <c r="Y436" s="85"/>
      <c r="Z436" s="85"/>
      <c r="AA436" s="85"/>
      <c r="AB436" s="85"/>
      <c r="AC436" s="81">
        <f t="shared" si="268"/>
        <v>0</v>
      </c>
      <c r="AD436" s="86"/>
      <c r="AE436" s="86"/>
      <c r="AF436" s="86"/>
      <c r="AG436" s="86"/>
      <c r="AH436" s="86"/>
      <c r="AI436" s="86"/>
      <c r="AJ436" s="86"/>
      <c r="AK436" s="86"/>
      <c r="AL436" s="86"/>
      <c r="AM436" s="86"/>
      <c r="AN436" s="86"/>
      <c r="AO436" s="86"/>
      <c r="AP436" s="86"/>
      <c r="AQ436" s="86"/>
      <c r="AR436" s="86"/>
      <c r="AS436" s="86"/>
      <c r="AT436" s="82"/>
      <c r="AU436" s="87"/>
      <c r="AV436" s="818">
        <f t="shared" si="269"/>
        <v>0</v>
      </c>
      <c r="AW436" s="818">
        <f t="shared" si="270"/>
        <v>0</v>
      </c>
      <c r="AX436" s="818">
        <f t="shared" si="271"/>
        <v>0</v>
      </c>
      <c r="AY436" s="88">
        <f t="shared" si="272"/>
        <v>0</v>
      </c>
      <c r="AZ436" s="81">
        <f t="shared" si="273"/>
        <v>0</v>
      </c>
      <c r="BA436" s="81">
        <f t="shared" si="274"/>
        <v>0</v>
      </c>
      <c r="BB436" s="81">
        <f t="shared" si="275"/>
        <v>0</v>
      </c>
      <c r="BC436" s="81">
        <f t="shared" si="276"/>
        <v>0</v>
      </c>
      <c r="BD436" s="81">
        <f t="shared" si="277"/>
        <v>0</v>
      </c>
      <c r="BE436" s="81">
        <f t="shared" si="278"/>
        <v>0</v>
      </c>
      <c r="BF436" s="81">
        <f t="shared" si="279"/>
        <v>0</v>
      </c>
      <c r="BG436" s="81">
        <f t="shared" si="280"/>
        <v>0</v>
      </c>
      <c r="BH436" s="81">
        <f t="shared" si="281"/>
        <v>0</v>
      </c>
      <c r="BI436" s="81">
        <f t="shared" si="282"/>
        <v>0</v>
      </c>
      <c r="BJ436" s="81">
        <f t="shared" si="283"/>
        <v>0</v>
      </c>
      <c r="BK436" s="81">
        <f t="shared" si="284"/>
        <v>0</v>
      </c>
      <c r="BL436" s="81">
        <f t="shared" si="285"/>
        <v>0</v>
      </c>
      <c r="BM436" s="81">
        <f t="shared" si="286"/>
        <v>0</v>
      </c>
      <c r="BN436" s="81">
        <f t="shared" si="287"/>
        <v>0</v>
      </c>
      <c r="BO436" s="81">
        <f t="shared" si="288"/>
        <v>0</v>
      </c>
      <c r="BP436" s="81">
        <f t="shared" si="289"/>
        <v>0</v>
      </c>
      <c r="BQ436" s="81">
        <f t="shared" si="290"/>
        <v>0</v>
      </c>
      <c r="BR436" s="81">
        <f t="shared" si="291"/>
        <v>0</v>
      </c>
      <c r="BS436" s="81">
        <f t="shared" si="292"/>
        <v>0</v>
      </c>
      <c r="BT436" s="89">
        <f t="shared" si="293"/>
        <v>0</v>
      </c>
    </row>
    <row r="437" spans="1:72">
      <c r="A437" s="79"/>
      <c r="B437" s="80"/>
      <c r="C437" s="80"/>
      <c r="D437" s="2301"/>
      <c r="E437" s="81">
        <f t="shared" si="265"/>
        <v>0</v>
      </c>
      <c r="F437" s="82"/>
      <c r="G437" s="83">
        <f t="shared" si="266"/>
        <v>0</v>
      </c>
      <c r="H437" s="84">
        <f t="shared" si="267"/>
        <v>0</v>
      </c>
      <c r="I437" s="85"/>
      <c r="J437" s="85"/>
      <c r="K437" s="85"/>
      <c r="L437" s="85"/>
      <c r="M437" s="85"/>
      <c r="N437" s="85"/>
      <c r="O437" s="85"/>
      <c r="P437" s="85"/>
      <c r="Q437" s="85"/>
      <c r="R437" s="85"/>
      <c r="S437" s="85"/>
      <c r="T437" s="85"/>
      <c r="U437" s="85"/>
      <c r="V437" s="85"/>
      <c r="W437" s="85"/>
      <c r="X437" s="85"/>
      <c r="Y437" s="85"/>
      <c r="Z437" s="85"/>
      <c r="AA437" s="85"/>
      <c r="AB437" s="85"/>
      <c r="AC437" s="81">
        <f t="shared" si="268"/>
        <v>0</v>
      </c>
      <c r="AD437" s="86"/>
      <c r="AE437" s="86"/>
      <c r="AF437" s="86"/>
      <c r="AG437" s="86"/>
      <c r="AH437" s="86"/>
      <c r="AI437" s="86"/>
      <c r="AJ437" s="86"/>
      <c r="AK437" s="86"/>
      <c r="AL437" s="86"/>
      <c r="AM437" s="86"/>
      <c r="AN437" s="86"/>
      <c r="AO437" s="86"/>
      <c r="AP437" s="86"/>
      <c r="AQ437" s="86"/>
      <c r="AR437" s="86"/>
      <c r="AS437" s="86"/>
      <c r="AT437" s="82"/>
      <c r="AU437" s="87"/>
      <c r="AV437" s="818">
        <f t="shared" si="269"/>
        <v>0</v>
      </c>
      <c r="AW437" s="818">
        <f t="shared" si="270"/>
        <v>0</v>
      </c>
      <c r="AX437" s="818">
        <f t="shared" si="271"/>
        <v>0</v>
      </c>
      <c r="AY437" s="88">
        <f t="shared" si="272"/>
        <v>0</v>
      </c>
      <c r="AZ437" s="81">
        <f t="shared" si="273"/>
        <v>0</v>
      </c>
      <c r="BA437" s="81">
        <f t="shared" si="274"/>
        <v>0</v>
      </c>
      <c r="BB437" s="81">
        <f t="shared" si="275"/>
        <v>0</v>
      </c>
      <c r="BC437" s="81">
        <f t="shared" si="276"/>
        <v>0</v>
      </c>
      <c r="BD437" s="81">
        <f t="shared" si="277"/>
        <v>0</v>
      </c>
      <c r="BE437" s="81">
        <f t="shared" si="278"/>
        <v>0</v>
      </c>
      <c r="BF437" s="81">
        <f t="shared" si="279"/>
        <v>0</v>
      </c>
      <c r="BG437" s="81">
        <f t="shared" si="280"/>
        <v>0</v>
      </c>
      <c r="BH437" s="81">
        <f t="shared" si="281"/>
        <v>0</v>
      </c>
      <c r="BI437" s="81">
        <f t="shared" si="282"/>
        <v>0</v>
      </c>
      <c r="BJ437" s="81">
        <f t="shared" si="283"/>
        <v>0</v>
      </c>
      <c r="BK437" s="81">
        <f t="shared" si="284"/>
        <v>0</v>
      </c>
      <c r="BL437" s="81">
        <f t="shared" si="285"/>
        <v>0</v>
      </c>
      <c r="BM437" s="81">
        <f t="shared" si="286"/>
        <v>0</v>
      </c>
      <c r="BN437" s="81">
        <f t="shared" si="287"/>
        <v>0</v>
      </c>
      <c r="BO437" s="81">
        <f t="shared" si="288"/>
        <v>0</v>
      </c>
      <c r="BP437" s="81">
        <f t="shared" si="289"/>
        <v>0</v>
      </c>
      <c r="BQ437" s="81">
        <f t="shared" si="290"/>
        <v>0</v>
      </c>
      <c r="BR437" s="81">
        <f t="shared" si="291"/>
        <v>0</v>
      </c>
      <c r="BS437" s="81">
        <f t="shared" si="292"/>
        <v>0</v>
      </c>
      <c r="BT437" s="89">
        <f t="shared" si="293"/>
        <v>0</v>
      </c>
    </row>
    <row r="438" spans="1:72">
      <c r="A438" s="79"/>
      <c r="B438" s="80"/>
      <c r="C438" s="80"/>
      <c r="D438" s="2301"/>
      <c r="E438" s="81">
        <f t="shared" si="265"/>
        <v>0</v>
      </c>
      <c r="F438" s="82"/>
      <c r="G438" s="83">
        <f t="shared" si="266"/>
        <v>0</v>
      </c>
      <c r="H438" s="84">
        <f t="shared" si="267"/>
        <v>0</v>
      </c>
      <c r="I438" s="85"/>
      <c r="J438" s="85"/>
      <c r="K438" s="85"/>
      <c r="L438" s="85"/>
      <c r="M438" s="85"/>
      <c r="N438" s="85"/>
      <c r="O438" s="85"/>
      <c r="P438" s="85"/>
      <c r="Q438" s="85"/>
      <c r="R438" s="85"/>
      <c r="S438" s="85"/>
      <c r="T438" s="85"/>
      <c r="U438" s="85"/>
      <c r="V438" s="85"/>
      <c r="W438" s="85"/>
      <c r="X438" s="85"/>
      <c r="Y438" s="85"/>
      <c r="Z438" s="85"/>
      <c r="AA438" s="85"/>
      <c r="AB438" s="85"/>
      <c r="AC438" s="81">
        <f t="shared" si="268"/>
        <v>0</v>
      </c>
      <c r="AD438" s="86"/>
      <c r="AE438" s="86"/>
      <c r="AF438" s="86"/>
      <c r="AG438" s="86"/>
      <c r="AH438" s="86"/>
      <c r="AI438" s="86"/>
      <c r="AJ438" s="86"/>
      <c r="AK438" s="86"/>
      <c r="AL438" s="86"/>
      <c r="AM438" s="86"/>
      <c r="AN438" s="86"/>
      <c r="AO438" s="86"/>
      <c r="AP438" s="86"/>
      <c r="AQ438" s="86"/>
      <c r="AR438" s="86"/>
      <c r="AS438" s="86"/>
      <c r="AT438" s="82"/>
      <c r="AU438" s="87"/>
      <c r="AV438" s="818">
        <f t="shared" si="269"/>
        <v>0</v>
      </c>
      <c r="AW438" s="818">
        <f t="shared" si="270"/>
        <v>0</v>
      </c>
      <c r="AX438" s="818">
        <f t="shared" si="271"/>
        <v>0</v>
      </c>
      <c r="AY438" s="88">
        <f t="shared" si="272"/>
        <v>0</v>
      </c>
      <c r="AZ438" s="81">
        <f t="shared" si="273"/>
        <v>0</v>
      </c>
      <c r="BA438" s="81">
        <f t="shared" si="274"/>
        <v>0</v>
      </c>
      <c r="BB438" s="81">
        <f t="shared" si="275"/>
        <v>0</v>
      </c>
      <c r="BC438" s="81">
        <f t="shared" si="276"/>
        <v>0</v>
      </c>
      <c r="BD438" s="81">
        <f t="shared" si="277"/>
        <v>0</v>
      </c>
      <c r="BE438" s="81">
        <f t="shared" si="278"/>
        <v>0</v>
      </c>
      <c r="BF438" s="81">
        <f t="shared" si="279"/>
        <v>0</v>
      </c>
      <c r="BG438" s="81">
        <f t="shared" si="280"/>
        <v>0</v>
      </c>
      <c r="BH438" s="81">
        <f t="shared" si="281"/>
        <v>0</v>
      </c>
      <c r="BI438" s="81">
        <f t="shared" si="282"/>
        <v>0</v>
      </c>
      <c r="BJ438" s="81">
        <f t="shared" si="283"/>
        <v>0</v>
      </c>
      <c r="BK438" s="81">
        <f t="shared" si="284"/>
        <v>0</v>
      </c>
      <c r="BL438" s="81">
        <f t="shared" si="285"/>
        <v>0</v>
      </c>
      <c r="BM438" s="81">
        <f t="shared" si="286"/>
        <v>0</v>
      </c>
      <c r="BN438" s="81">
        <f t="shared" si="287"/>
        <v>0</v>
      </c>
      <c r="BO438" s="81">
        <f t="shared" si="288"/>
        <v>0</v>
      </c>
      <c r="BP438" s="81">
        <f t="shared" si="289"/>
        <v>0</v>
      </c>
      <c r="BQ438" s="81">
        <f t="shared" si="290"/>
        <v>0</v>
      </c>
      <c r="BR438" s="81">
        <f t="shared" si="291"/>
        <v>0</v>
      </c>
      <c r="BS438" s="81">
        <f t="shared" si="292"/>
        <v>0</v>
      </c>
      <c r="BT438" s="89">
        <f t="shared" si="293"/>
        <v>0</v>
      </c>
    </row>
    <row r="439" spans="1:72">
      <c r="A439" s="79"/>
      <c r="B439" s="80"/>
      <c r="C439" s="80"/>
      <c r="D439" s="2301"/>
      <c r="E439" s="81">
        <f t="shared" si="265"/>
        <v>0</v>
      </c>
      <c r="F439" s="82"/>
      <c r="G439" s="83">
        <f t="shared" si="266"/>
        <v>0</v>
      </c>
      <c r="H439" s="84">
        <f t="shared" si="267"/>
        <v>0</v>
      </c>
      <c r="I439" s="85"/>
      <c r="J439" s="85"/>
      <c r="K439" s="85"/>
      <c r="L439" s="85"/>
      <c r="M439" s="85"/>
      <c r="N439" s="85"/>
      <c r="O439" s="85"/>
      <c r="P439" s="85"/>
      <c r="Q439" s="85"/>
      <c r="R439" s="85"/>
      <c r="S439" s="85"/>
      <c r="T439" s="85"/>
      <c r="U439" s="85"/>
      <c r="V439" s="85"/>
      <c r="W439" s="85"/>
      <c r="X439" s="85"/>
      <c r="Y439" s="85"/>
      <c r="Z439" s="85"/>
      <c r="AA439" s="85"/>
      <c r="AB439" s="85"/>
      <c r="AC439" s="81">
        <f t="shared" si="268"/>
        <v>0</v>
      </c>
      <c r="AD439" s="86"/>
      <c r="AE439" s="86"/>
      <c r="AF439" s="86"/>
      <c r="AG439" s="86"/>
      <c r="AH439" s="86"/>
      <c r="AI439" s="86"/>
      <c r="AJ439" s="86"/>
      <c r="AK439" s="86"/>
      <c r="AL439" s="86"/>
      <c r="AM439" s="86"/>
      <c r="AN439" s="86"/>
      <c r="AO439" s="86"/>
      <c r="AP439" s="86"/>
      <c r="AQ439" s="86"/>
      <c r="AR439" s="86"/>
      <c r="AS439" s="86"/>
      <c r="AT439" s="82"/>
      <c r="AU439" s="87"/>
      <c r="AV439" s="818">
        <f t="shared" si="269"/>
        <v>0</v>
      </c>
      <c r="AW439" s="818">
        <f t="shared" si="270"/>
        <v>0</v>
      </c>
      <c r="AX439" s="818">
        <f t="shared" si="271"/>
        <v>0</v>
      </c>
      <c r="AY439" s="88">
        <f t="shared" si="272"/>
        <v>0</v>
      </c>
      <c r="AZ439" s="81">
        <f t="shared" si="273"/>
        <v>0</v>
      </c>
      <c r="BA439" s="81">
        <f t="shared" si="274"/>
        <v>0</v>
      </c>
      <c r="BB439" s="81">
        <f t="shared" si="275"/>
        <v>0</v>
      </c>
      <c r="BC439" s="81">
        <f t="shared" si="276"/>
        <v>0</v>
      </c>
      <c r="BD439" s="81">
        <f t="shared" si="277"/>
        <v>0</v>
      </c>
      <c r="BE439" s="81">
        <f t="shared" si="278"/>
        <v>0</v>
      </c>
      <c r="BF439" s="81">
        <f t="shared" si="279"/>
        <v>0</v>
      </c>
      <c r="BG439" s="81">
        <f t="shared" si="280"/>
        <v>0</v>
      </c>
      <c r="BH439" s="81">
        <f t="shared" si="281"/>
        <v>0</v>
      </c>
      <c r="BI439" s="81">
        <f t="shared" si="282"/>
        <v>0</v>
      </c>
      <c r="BJ439" s="81">
        <f t="shared" si="283"/>
        <v>0</v>
      </c>
      <c r="BK439" s="81">
        <f t="shared" si="284"/>
        <v>0</v>
      </c>
      <c r="BL439" s="81">
        <f t="shared" si="285"/>
        <v>0</v>
      </c>
      <c r="BM439" s="81">
        <f t="shared" si="286"/>
        <v>0</v>
      </c>
      <c r="BN439" s="81">
        <f t="shared" si="287"/>
        <v>0</v>
      </c>
      <c r="BO439" s="81">
        <f t="shared" si="288"/>
        <v>0</v>
      </c>
      <c r="BP439" s="81">
        <f t="shared" si="289"/>
        <v>0</v>
      </c>
      <c r="BQ439" s="81">
        <f t="shared" si="290"/>
        <v>0</v>
      </c>
      <c r="BR439" s="81">
        <f t="shared" si="291"/>
        <v>0</v>
      </c>
      <c r="BS439" s="81">
        <f t="shared" si="292"/>
        <v>0</v>
      </c>
      <c r="BT439" s="89">
        <f t="shared" si="293"/>
        <v>0</v>
      </c>
    </row>
    <row r="440" spans="1:72">
      <c r="A440" s="79"/>
      <c r="B440" s="80"/>
      <c r="C440" s="80"/>
      <c r="D440" s="2301"/>
      <c r="E440" s="81">
        <f t="shared" si="265"/>
        <v>0</v>
      </c>
      <c r="F440" s="82"/>
      <c r="G440" s="83">
        <f t="shared" si="266"/>
        <v>0</v>
      </c>
      <c r="H440" s="84">
        <f t="shared" si="267"/>
        <v>0</v>
      </c>
      <c r="I440" s="85"/>
      <c r="J440" s="85"/>
      <c r="K440" s="85"/>
      <c r="L440" s="85"/>
      <c r="M440" s="85"/>
      <c r="N440" s="85"/>
      <c r="O440" s="85"/>
      <c r="P440" s="85"/>
      <c r="Q440" s="85"/>
      <c r="R440" s="85"/>
      <c r="S440" s="85"/>
      <c r="T440" s="85"/>
      <c r="U440" s="85"/>
      <c r="V440" s="85"/>
      <c r="W440" s="85"/>
      <c r="X440" s="85"/>
      <c r="Y440" s="85"/>
      <c r="Z440" s="85"/>
      <c r="AA440" s="85"/>
      <c r="AB440" s="85"/>
      <c r="AC440" s="81">
        <f t="shared" si="268"/>
        <v>0</v>
      </c>
      <c r="AD440" s="86"/>
      <c r="AE440" s="86"/>
      <c r="AF440" s="86"/>
      <c r="AG440" s="86"/>
      <c r="AH440" s="86"/>
      <c r="AI440" s="86"/>
      <c r="AJ440" s="86"/>
      <c r="AK440" s="86"/>
      <c r="AL440" s="86"/>
      <c r="AM440" s="86"/>
      <c r="AN440" s="86"/>
      <c r="AO440" s="86"/>
      <c r="AP440" s="86"/>
      <c r="AQ440" s="86"/>
      <c r="AR440" s="86"/>
      <c r="AS440" s="86"/>
      <c r="AT440" s="82"/>
      <c r="AU440" s="87"/>
      <c r="AV440" s="818">
        <f t="shared" si="269"/>
        <v>0</v>
      </c>
      <c r="AW440" s="818">
        <f t="shared" si="270"/>
        <v>0</v>
      </c>
      <c r="AX440" s="818">
        <f t="shared" si="271"/>
        <v>0</v>
      </c>
      <c r="AY440" s="88">
        <f t="shared" si="272"/>
        <v>0</v>
      </c>
      <c r="AZ440" s="81">
        <f t="shared" si="273"/>
        <v>0</v>
      </c>
      <c r="BA440" s="81">
        <f t="shared" si="274"/>
        <v>0</v>
      </c>
      <c r="BB440" s="81">
        <f t="shared" si="275"/>
        <v>0</v>
      </c>
      <c r="BC440" s="81">
        <f t="shared" si="276"/>
        <v>0</v>
      </c>
      <c r="BD440" s="81">
        <f t="shared" si="277"/>
        <v>0</v>
      </c>
      <c r="BE440" s="81">
        <f t="shared" si="278"/>
        <v>0</v>
      </c>
      <c r="BF440" s="81">
        <f t="shared" si="279"/>
        <v>0</v>
      </c>
      <c r="BG440" s="81">
        <f t="shared" si="280"/>
        <v>0</v>
      </c>
      <c r="BH440" s="81">
        <f t="shared" si="281"/>
        <v>0</v>
      </c>
      <c r="BI440" s="81">
        <f t="shared" si="282"/>
        <v>0</v>
      </c>
      <c r="BJ440" s="81">
        <f t="shared" si="283"/>
        <v>0</v>
      </c>
      <c r="BK440" s="81">
        <f t="shared" si="284"/>
        <v>0</v>
      </c>
      <c r="BL440" s="81">
        <f t="shared" si="285"/>
        <v>0</v>
      </c>
      <c r="BM440" s="81">
        <f t="shared" si="286"/>
        <v>0</v>
      </c>
      <c r="BN440" s="81">
        <f t="shared" si="287"/>
        <v>0</v>
      </c>
      <c r="BO440" s="81">
        <f t="shared" si="288"/>
        <v>0</v>
      </c>
      <c r="BP440" s="81">
        <f t="shared" si="289"/>
        <v>0</v>
      </c>
      <c r="BQ440" s="81">
        <f t="shared" si="290"/>
        <v>0</v>
      </c>
      <c r="BR440" s="81">
        <f t="shared" si="291"/>
        <v>0</v>
      </c>
      <c r="BS440" s="81">
        <f t="shared" si="292"/>
        <v>0</v>
      </c>
      <c r="BT440" s="89">
        <f t="shared" si="293"/>
        <v>0</v>
      </c>
    </row>
    <row r="441" spans="1:72">
      <c r="A441" s="79"/>
      <c r="B441" s="80"/>
      <c r="C441" s="80"/>
      <c r="D441" s="2301"/>
      <c r="E441" s="81">
        <f t="shared" si="265"/>
        <v>0</v>
      </c>
      <c r="F441" s="82"/>
      <c r="G441" s="83">
        <f t="shared" si="266"/>
        <v>0</v>
      </c>
      <c r="H441" s="84">
        <f t="shared" si="267"/>
        <v>0</v>
      </c>
      <c r="I441" s="85"/>
      <c r="J441" s="85"/>
      <c r="K441" s="85"/>
      <c r="L441" s="85"/>
      <c r="M441" s="85"/>
      <c r="N441" s="85"/>
      <c r="O441" s="85"/>
      <c r="P441" s="85"/>
      <c r="Q441" s="85"/>
      <c r="R441" s="85"/>
      <c r="S441" s="85"/>
      <c r="T441" s="85"/>
      <c r="U441" s="85"/>
      <c r="V441" s="85"/>
      <c r="W441" s="85"/>
      <c r="X441" s="85"/>
      <c r="Y441" s="85"/>
      <c r="Z441" s="85"/>
      <c r="AA441" s="85"/>
      <c r="AB441" s="85"/>
      <c r="AC441" s="81">
        <f t="shared" si="268"/>
        <v>0</v>
      </c>
      <c r="AD441" s="86"/>
      <c r="AE441" s="86"/>
      <c r="AF441" s="86"/>
      <c r="AG441" s="86"/>
      <c r="AH441" s="86"/>
      <c r="AI441" s="86"/>
      <c r="AJ441" s="86"/>
      <c r="AK441" s="86"/>
      <c r="AL441" s="86"/>
      <c r="AM441" s="86"/>
      <c r="AN441" s="86"/>
      <c r="AO441" s="86"/>
      <c r="AP441" s="86"/>
      <c r="AQ441" s="86"/>
      <c r="AR441" s="86"/>
      <c r="AS441" s="86"/>
      <c r="AT441" s="82"/>
      <c r="AU441" s="87"/>
      <c r="AV441" s="818">
        <f t="shared" si="269"/>
        <v>0</v>
      </c>
      <c r="AW441" s="818">
        <f t="shared" si="270"/>
        <v>0</v>
      </c>
      <c r="AX441" s="818">
        <f t="shared" si="271"/>
        <v>0</v>
      </c>
      <c r="AY441" s="88">
        <f t="shared" si="272"/>
        <v>0</v>
      </c>
      <c r="AZ441" s="81">
        <f t="shared" si="273"/>
        <v>0</v>
      </c>
      <c r="BA441" s="81">
        <f t="shared" si="274"/>
        <v>0</v>
      </c>
      <c r="BB441" s="81">
        <f t="shared" si="275"/>
        <v>0</v>
      </c>
      <c r="BC441" s="81">
        <f t="shared" si="276"/>
        <v>0</v>
      </c>
      <c r="BD441" s="81">
        <f t="shared" si="277"/>
        <v>0</v>
      </c>
      <c r="BE441" s="81">
        <f t="shared" si="278"/>
        <v>0</v>
      </c>
      <c r="BF441" s="81">
        <f t="shared" si="279"/>
        <v>0</v>
      </c>
      <c r="BG441" s="81">
        <f t="shared" si="280"/>
        <v>0</v>
      </c>
      <c r="BH441" s="81">
        <f t="shared" si="281"/>
        <v>0</v>
      </c>
      <c r="BI441" s="81">
        <f t="shared" si="282"/>
        <v>0</v>
      </c>
      <c r="BJ441" s="81">
        <f t="shared" si="283"/>
        <v>0</v>
      </c>
      <c r="BK441" s="81">
        <f t="shared" si="284"/>
        <v>0</v>
      </c>
      <c r="BL441" s="81">
        <f t="shared" si="285"/>
        <v>0</v>
      </c>
      <c r="BM441" s="81">
        <f t="shared" si="286"/>
        <v>0</v>
      </c>
      <c r="BN441" s="81">
        <f t="shared" si="287"/>
        <v>0</v>
      </c>
      <c r="BO441" s="81">
        <f t="shared" si="288"/>
        <v>0</v>
      </c>
      <c r="BP441" s="81">
        <f t="shared" si="289"/>
        <v>0</v>
      </c>
      <c r="BQ441" s="81">
        <f t="shared" si="290"/>
        <v>0</v>
      </c>
      <c r="BR441" s="81">
        <f t="shared" si="291"/>
        <v>0</v>
      </c>
      <c r="BS441" s="81">
        <f t="shared" si="292"/>
        <v>0</v>
      </c>
      <c r="BT441" s="89">
        <f t="shared" si="293"/>
        <v>0</v>
      </c>
    </row>
    <row r="442" spans="1:72">
      <c r="A442" s="79"/>
      <c r="B442" s="80"/>
      <c r="C442" s="80"/>
      <c r="D442" s="2301"/>
      <c r="E442" s="81">
        <f t="shared" si="265"/>
        <v>0</v>
      </c>
      <c r="F442" s="82"/>
      <c r="G442" s="83">
        <f t="shared" si="266"/>
        <v>0</v>
      </c>
      <c r="H442" s="84">
        <f t="shared" si="267"/>
        <v>0</v>
      </c>
      <c r="I442" s="85"/>
      <c r="J442" s="85"/>
      <c r="K442" s="85"/>
      <c r="L442" s="85"/>
      <c r="M442" s="85"/>
      <c r="N442" s="85"/>
      <c r="O442" s="85"/>
      <c r="P442" s="85"/>
      <c r="Q442" s="85"/>
      <c r="R442" s="85"/>
      <c r="S442" s="85"/>
      <c r="T442" s="85"/>
      <c r="U442" s="85"/>
      <c r="V442" s="85"/>
      <c r="W442" s="85"/>
      <c r="X442" s="85"/>
      <c r="Y442" s="85"/>
      <c r="Z442" s="85"/>
      <c r="AA442" s="85"/>
      <c r="AB442" s="85"/>
      <c r="AC442" s="81">
        <f t="shared" si="268"/>
        <v>0</v>
      </c>
      <c r="AD442" s="86"/>
      <c r="AE442" s="86"/>
      <c r="AF442" s="86"/>
      <c r="AG442" s="86"/>
      <c r="AH442" s="86"/>
      <c r="AI442" s="86"/>
      <c r="AJ442" s="86"/>
      <c r="AK442" s="86"/>
      <c r="AL442" s="86"/>
      <c r="AM442" s="86"/>
      <c r="AN442" s="86"/>
      <c r="AO442" s="86"/>
      <c r="AP442" s="86"/>
      <c r="AQ442" s="86"/>
      <c r="AR442" s="86"/>
      <c r="AS442" s="86"/>
      <c r="AT442" s="82"/>
      <c r="AU442" s="87"/>
      <c r="AV442" s="818">
        <f t="shared" si="269"/>
        <v>0</v>
      </c>
      <c r="AW442" s="818">
        <f t="shared" si="270"/>
        <v>0</v>
      </c>
      <c r="AX442" s="818">
        <f t="shared" si="271"/>
        <v>0</v>
      </c>
      <c r="AY442" s="88">
        <f t="shared" si="272"/>
        <v>0</v>
      </c>
      <c r="AZ442" s="81">
        <f t="shared" si="273"/>
        <v>0</v>
      </c>
      <c r="BA442" s="81">
        <f t="shared" si="274"/>
        <v>0</v>
      </c>
      <c r="BB442" s="81">
        <f t="shared" si="275"/>
        <v>0</v>
      </c>
      <c r="BC442" s="81">
        <f t="shared" si="276"/>
        <v>0</v>
      </c>
      <c r="BD442" s="81">
        <f t="shared" si="277"/>
        <v>0</v>
      </c>
      <c r="BE442" s="81">
        <f t="shared" si="278"/>
        <v>0</v>
      </c>
      <c r="BF442" s="81">
        <f t="shared" si="279"/>
        <v>0</v>
      </c>
      <c r="BG442" s="81">
        <f t="shared" si="280"/>
        <v>0</v>
      </c>
      <c r="BH442" s="81">
        <f t="shared" si="281"/>
        <v>0</v>
      </c>
      <c r="BI442" s="81">
        <f t="shared" si="282"/>
        <v>0</v>
      </c>
      <c r="BJ442" s="81">
        <f t="shared" si="283"/>
        <v>0</v>
      </c>
      <c r="BK442" s="81">
        <f t="shared" si="284"/>
        <v>0</v>
      </c>
      <c r="BL442" s="81">
        <f t="shared" si="285"/>
        <v>0</v>
      </c>
      <c r="BM442" s="81">
        <f t="shared" si="286"/>
        <v>0</v>
      </c>
      <c r="BN442" s="81">
        <f t="shared" si="287"/>
        <v>0</v>
      </c>
      <c r="BO442" s="81">
        <f t="shared" si="288"/>
        <v>0</v>
      </c>
      <c r="BP442" s="81">
        <f t="shared" si="289"/>
        <v>0</v>
      </c>
      <c r="BQ442" s="81">
        <f t="shared" si="290"/>
        <v>0</v>
      </c>
      <c r="BR442" s="81">
        <f t="shared" si="291"/>
        <v>0</v>
      </c>
      <c r="BS442" s="81">
        <f t="shared" si="292"/>
        <v>0</v>
      </c>
      <c r="BT442" s="89">
        <f t="shared" si="293"/>
        <v>0</v>
      </c>
    </row>
    <row r="443" spans="1:72">
      <c r="A443" s="79"/>
      <c r="B443" s="80"/>
      <c r="C443" s="80"/>
      <c r="D443" s="2301"/>
      <c r="E443" s="81">
        <f t="shared" si="265"/>
        <v>0</v>
      </c>
      <c r="F443" s="82"/>
      <c r="G443" s="83">
        <f t="shared" si="266"/>
        <v>0</v>
      </c>
      <c r="H443" s="84">
        <f t="shared" si="267"/>
        <v>0</v>
      </c>
      <c r="I443" s="85"/>
      <c r="J443" s="85"/>
      <c r="K443" s="85"/>
      <c r="L443" s="85"/>
      <c r="M443" s="85"/>
      <c r="N443" s="85"/>
      <c r="O443" s="85"/>
      <c r="P443" s="85"/>
      <c r="Q443" s="85"/>
      <c r="R443" s="85"/>
      <c r="S443" s="85"/>
      <c r="T443" s="85"/>
      <c r="U443" s="85"/>
      <c r="V443" s="85"/>
      <c r="W443" s="85"/>
      <c r="X443" s="85"/>
      <c r="Y443" s="85"/>
      <c r="Z443" s="85"/>
      <c r="AA443" s="85"/>
      <c r="AB443" s="85"/>
      <c r="AC443" s="81">
        <f t="shared" si="268"/>
        <v>0</v>
      </c>
      <c r="AD443" s="86"/>
      <c r="AE443" s="86"/>
      <c r="AF443" s="86"/>
      <c r="AG443" s="86"/>
      <c r="AH443" s="86"/>
      <c r="AI443" s="86"/>
      <c r="AJ443" s="86"/>
      <c r="AK443" s="86"/>
      <c r="AL443" s="86"/>
      <c r="AM443" s="86"/>
      <c r="AN443" s="86"/>
      <c r="AO443" s="86"/>
      <c r="AP443" s="86"/>
      <c r="AQ443" s="86"/>
      <c r="AR443" s="86"/>
      <c r="AS443" s="86"/>
      <c r="AT443" s="82"/>
      <c r="AU443" s="87"/>
      <c r="AV443" s="818">
        <f t="shared" si="269"/>
        <v>0</v>
      </c>
      <c r="AW443" s="818">
        <f t="shared" si="270"/>
        <v>0</v>
      </c>
      <c r="AX443" s="818">
        <f t="shared" si="271"/>
        <v>0</v>
      </c>
      <c r="AY443" s="88">
        <f t="shared" si="272"/>
        <v>0</v>
      </c>
      <c r="AZ443" s="81">
        <f t="shared" si="273"/>
        <v>0</v>
      </c>
      <c r="BA443" s="81">
        <f t="shared" si="274"/>
        <v>0</v>
      </c>
      <c r="BB443" s="81">
        <f t="shared" si="275"/>
        <v>0</v>
      </c>
      <c r="BC443" s="81">
        <f t="shared" si="276"/>
        <v>0</v>
      </c>
      <c r="BD443" s="81">
        <f t="shared" si="277"/>
        <v>0</v>
      </c>
      <c r="BE443" s="81">
        <f t="shared" si="278"/>
        <v>0</v>
      </c>
      <c r="BF443" s="81">
        <f t="shared" si="279"/>
        <v>0</v>
      </c>
      <c r="BG443" s="81">
        <f t="shared" si="280"/>
        <v>0</v>
      </c>
      <c r="BH443" s="81">
        <f t="shared" si="281"/>
        <v>0</v>
      </c>
      <c r="BI443" s="81">
        <f t="shared" si="282"/>
        <v>0</v>
      </c>
      <c r="BJ443" s="81">
        <f t="shared" si="283"/>
        <v>0</v>
      </c>
      <c r="BK443" s="81">
        <f t="shared" si="284"/>
        <v>0</v>
      </c>
      <c r="BL443" s="81">
        <f t="shared" si="285"/>
        <v>0</v>
      </c>
      <c r="BM443" s="81">
        <f t="shared" si="286"/>
        <v>0</v>
      </c>
      <c r="BN443" s="81">
        <f t="shared" si="287"/>
        <v>0</v>
      </c>
      <c r="BO443" s="81">
        <f t="shared" si="288"/>
        <v>0</v>
      </c>
      <c r="BP443" s="81">
        <f t="shared" si="289"/>
        <v>0</v>
      </c>
      <c r="BQ443" s="81">
        <f t="shared" si="290"/>
        <v>0</v>
      </c>
      <c r="BR443" s="81">
        <f t="shared" si="291"/>
        <v>0</v>
      </c>
      <c r="BS443" s="81">
        <f t="shared" si="292"/>
        <v>0</v>
      </c>
      <c r="BT443" s="89">
        <f t="shared" si="293"/>
        <v>0</v>
      </c>
    </row>
    <row r="444" spans="1:72">
      <c r="A444" s="79"/>
      <c r="B444" s="80"/>
      <c r="C444" s="80"/>
      <c r="D444" s="2301"/>
      <c r="E444" s="81">
        <f t="shared" si="265"/>
        <v>0</v>
      </c>
      <c r="F444" s="82"/>
      <c r="G444" s="83">
        <f t="shared" si="266"/>
        <v>0</v>
      </c>
      <c r="H444" s="84">
        <f t="shared" si="267"/>
        <v>0</v>
      </c>
      <c r="I444" s="85"/>
      <c r="J444" s="85"/>
      <c r="K444" s="85"/>
      <c r="L444" s="85"/>
      <c r="M444" s="85"/>
      <c r="N444" s="85"/>
      <c r="O444" s="85"/>
      <c r="P444" s="85"/>
      <c r="Q444" s="85"/>
      <c r="R444" s="85"/>
      <c r="S444" s="85"/>
      <c r="T444" s="85"/>
      <c r="U444" s="85"/>
      <c r="V444" s="85"/>
      <c r="W444" s="85"/>
      <c r="X444" s="85"/>
      <c r="Y444" s="85"/>
      <c r="Z444" s="85"/>
      <c r="AA444" s="85"/>
      <c r="AB444" s="85"/>
      <c r="AC444" s="81">
        <f t="shared" si="268"/>
        <v>0</v>
      </c>
      <c r="AD444" s="86"/>
      <c r="AE444" s="86"/>
      <c r="AF444" s="86"/>
      <c r="AG444" s="86"/>
      <c r="AH444" s="86"/>
      <c r="AI444" s="86"/>
      <c r="AJ444" s="86"/>
      <c r="AK444" s="86"/>
      <c r="AL444" s="86"/>
      <c r="AM444" s="86"/>
      <c r="AN444" s="86"/>
      <c r="AO444" s="86"/>
      <c r="AP444" s="86"/>
      <c r="AQ444" s="86"/>
      <c r="AR444" s="86"/>
      <c r="AS444" s="86"/>
      <c r="AT444" s="82"/>
      <c r="AU444" s="87"/>
      <c r="AV444" s="818">
        <f t="shared" si="269"/>
        <v>0</v>
      </c>
      <c r="AW444" s="818">
        <f t="shared" si="270"/>
        <v>0</v>
      </c>
      <c r="AX444" s="818">
        <f t="shared" si="271"/>
        <v>0</v>
      </c>
      <c r="AY444" s="88">
        <f t="shared" si="272"/>
        <v>0</v>
      </c>
      <c r="AZ444" s="81">
        <f t="shared" si="273"/>
        <v>0</v>
      </c>
      <c r="BA444" s="81">
        <f t="shared" si="274"/>
        <v>0</v>
      </c>
      <c r="BB444" s="81">
        <f t="shared" si="275"/>
        <v>0</v>
      </c>
      <c r="BC444" s="81">
        <f t="shared" si="276"/>
        <v>0</v>
      </c>
      <c r="BD444" s="81">
        <f t="shared" si="277"/>
        <v>0</v>
      </c>
      <c r="BE444" s="81">
        <f t="shared" si="278"/>
        <v>0</v>
      </c>
      <c r="BF444" s="81">
        <f t="shared" si="279"/>
        <v>0</v>
      </c>
      <c r="BG444" s="81">
        <f t="shared" si="280"/>
        <v>0</v>
      </c>
      <c r="BH444" s="81">
        <f t="shared" si="281"/>
        <v>0</v>
      </c>
      <c r="BI444" s="81">
        <f t="shared" si="282"/>
        <v>0</v>
      </c>
      <c r="BJ444" s="81">
        <f t="shared" si="283"/>
        <v>0</v>
      </c>
      <c r="BK444" s="81">
        <f t="shared" si="284"/>
        <v>0</v>
      </c>
      <c r="BL444" s="81">
        <f t="shared" si="285"/>
        <v>0</v>
      </c>
      <c r="BM444" s="81">
        <f t="shared" si="286"/>
        <v>0</v>
      </c>
      <c r="BN444" s="81">
        <f t="shared" si="287"/>
        <v>0</v>
      </c>
      <c r="BO444" s="81">
        <f t="shared" si="288"/>
        <v>0</v>
      </c>
      <c r="BP444" s="81">
        <f t="shared" si="289"/>
        <v>0</v>
      </c>
      <c r="BQ444" s="81">
        <f t="shared" si="290"/>
        <v>0</v>
      </c>
      <c r="BR444" s="81">
        <f t="shared" si="291"/>
        <v>0</v>
      </c>
      <c r="BS444" s="81">
        <f t="shared" si="292"/>
        <v>0</v>
      </c>
      <c r="BT444" s="89">
        <f t="shared" si="293"/>
        <v>0</v>
      </c>
    </row>
    <row r="445" spans="1:72">
      <c r="A445" s="79"/>
      <c r="B445" s="80"/>
      <c r="C445" s="80"/>
      <c r="D445" s="2301"/>
      <c r="E445" s="81">
        <f t="shared" si="265"/>
        <v>0</v>
      </c>
      <c r="F445" s="82"/>
      <c r="G445" s="83">
        <f t="shared" si="266"/>
        <v>0</v>
      </c>
      <c r="H445" s="84">
        <f t="shared" si="267"/>
        <v>0</v>
      </c>
      <c r="I445" s="85"/>
      <c r="J445" s="85"/>
      <c r="K445" s="85"/>
      <c r="L445" s="85"/>
      <c r="M445" s="85"/>
      <c r="N445" s="85"/>
      <c r="O445" s="85"/>
      <c r="P445" s="85"/>
      <c r="Q445" s="85"/>
      <c r="R445" s="85"/>
      <c r="S445" s="85"/>
      <c r="T445" s="85"/>
      <c r="U445" s="85"/>
      <c r="V445" s="85"/>
      <c r="W445" s="85"/>
      <c r="X445" s="85"/>
      <c r="Y445" s="85"/>
      <c r="Z445" s="85"/>
      <c r="AA445" s="85"/>
      <c r="AB445" s="85"/>
      <c r="AC445" s="81">
        <f t="shared" si="268"/>
        <v>0</v>
      </c>
      <c r="AD445" s="86"/>
      <c r="AE445" s="86"/>
      <c r="AF445" s="86"/>
      <c r="AG445" s="86"/>
      <c r="AH445" s="86"/>
      <c r="AI445" s="86"/>
      <c r="AJ445" s="86"/>
      <c r="AK445" s="86"/>
      <c r="AL445" s="86"/>
      <c r="AM445" s="86"/>
      <c r="AN445" s="86"/>
      <c r="AO445" s="86"/>
      <c r="AP445" s="86"/>
      <c r="AQ445" s="86"/>
      <c r="AR445" s="86"/>
      <c r="AS445" s="86"/>
      <c r="AT445" s="82"/>
      <c r="AU445" s="87"/>
      <c r="AV445" s="818">
        <f t="shared" si="269"/>
        <v>0</v>
      </c>
      <c r="AW445" s="818">
        <f t="shared" si="270"/>
        <v>0</v>
      </c>
      <c r="AX445" s="818">
        <f t="shared" si="271"/>
        <v>0</v>
      </c>
      <c r="AY445" s="88">
        <f t="shared" si="272"/>
        <v>0</v>
      </c>
      <c r="AZ445" s="81">
        <f t="shared" si="273"/>
        <v>0</v>
      </c>
      <c r="BA445" s="81">
        <f t="shared" si="274"/>
        <v>0</v>
      </c>
      <c r="BB445" s="81">
        <f t="shared" si="275"/>
        <v>0</v>
      </c>
      <c r="BC445" s="81">
        <f t="shared" si="276"/>
        <v>0</v>
      </c>
      <c r="BD445" s="81">
        <f t="shared" si="277"/>
        <v>0</v>
      </c>
      <c r="BE445" s="81">
        <f t="shared" si="278"/>
        <v>0</v>
      </c>
      <c r="BF445" s="81">
        <f t="shared" si="279"/>
        <v>0</v>
      </c>
      <c r="BG445" s="81">
        <f t="shared" si="280"/>
        <v>0</v>
      </c>
      <c r="BH445" s="81">
        <f t="shared" si="281"/>
        <v>0</v>
      </c>
      <c r="BI445" s="81">
        <f t="shared" si="282"/>
        <v>0</v>
      </c>
      <c r="BJ445" s="81">
        <f t="shared" si="283"/>
        <v>0</v>
      </c>
      <c r="BK445" s="81">
        <f t="shared" si="284"/>
        <v>0</v>
      </c>
      <c r="BL445" s="81">
        <f t="shared" si="285"/>
        <v>0</v>
      </c>
      <c r="BM445" s="81">
        <f t="shared" si="286"/>
        <v>0</v>
      </c>
      <c r="BN445" s="81">
        <f t="shared" si="287"/>
        <v>0</v>
      </c>
      <c r="BO445" s="81">
        <f t="shared" si="288"/>
        <v>0</v>
      </c>
      <c r="BP445" s="81">
        <f t="shared" si="289"/>
        <v>0</v>
      </c>
      <c r="BQ445" s="81">
        <f t="shared" si="290"/>
        <v>0</v>
      </c>
      <c r="BR445" s="81">
        <f t="shared" si="291"/>
        <v>0</v>
      </c>
      <c r="BS445" s="81">
        <f t="shared" si="292"/>
        <v>0</v>
      </c>
      <c r="BT445" s="89">
        <f t="shared" si="293"/>
        <v>0</v>
      </c>
    </row>
    <row r="446" spans="1:72">
      <c r="A446" s="79"/>
      <c r="B446" s="80"/>
      <c r="C446" s="80"/>
      <c r="D446" s="2301"/>
      <c r="E446" s="81">
        <f t="shared" si="265"/>
        <v>0</v>
      </c>
      <c r="F446" s="82"/>
      <c r="G446" s="83">
        <f t="shared" si="266"/>
        <v>0</v>
      </c>
      <c r="H446" s="84">
        <f t="shared" si="267"/>
        <v>0</v>
      </c>
      <c r="I446" s="85"/>
      <c r="J446" s="85"/>
      <c r="K446" s="85"/>
      <c r="L446" s="85"/>
      <c r="M446" s="85"/>
      <c r="N446" s="85"/>
      <c r="O446" s="85"/>
      <c r="P446" s="85"/>
      <c r="Q446" s="85"/>
      <c r="R446" s="85"/>
      <c r="S446" s="85"/>
      <c r="T446" s="85"/>
      <c r="U446" s="85"/>
      <c r="V446" s="85"/>
      <c r="W446" s="85"/>
      <c r="X446" s="85"/>
      <c r="Y446" s="85"/>
      <c r="Z446" s="85"/>
      <c r="AA446" s="85"/>
      <c r="AB446" s="85"/>
      <c r="AC446" s="81">
        <f t="shared" si="268"/>
        <v>0</v>
      </c>
      <c r="AD446" s="86"/>
      <c r="AE446" s="86"/>
      <c r="AF446" s="86"/>
      <c r="AG446" s="86"/>
      <c r="AH446" s="86"/>
      <c r="AI446" s="86"/>
      <c r="AJ446" s="86"/>
      <c r="AK446" s="86"/>
      <c r="AL446" s="86"/>
      <c r="AM446" s="86"/>
      <c r="AN446" s="86"/>
      <c r="AO446" s="86"/>
      <c r="AP446" s="86"/>
      <c r="AQ446" s="86"/>
      <c r="AR446" s="86"/>
      <c r="AS446" s="86"/>
      <c r="AT446" s="82"/>
      <c r="AU446" s="87"/>
      <c r="AV446" s="818">
        <f t="shared" si="269"/>
        <v>0</v>
      </c>
      <c r="AW446" s="818">
        <f t="shared" si="270"/>
        <v>0</v>
      </c>
      <c r="AX446" s="818">
        <f t="shared" si="271"/>
        <v>0</v>
      </c>
      <c r="AY446" s="88">
        <f t="shared" si="272"/>
        <v>0</v>
      </c>
      <c r="AZ446" s="81">
        <f t="shared" si="273"/>
        <v>0</v>
      </c>
      <c r="BA446" s="81">
        <f t="shared" si="274"/>
        <v>0</v>
      </c>
      <c r="BB446" s="81">
        <f t="shared" si="275"/>
        <v>0</v>
      </c>
      <c r="BC446" s="81">
        <f t="shared" si="276"/>
        <v>0</v>
      </c>
      <c r="BD446" s="81">
        <f t="shared" si="277"/>
        <v>0</v>
      </c>
      <c r="BE446" s="81">
        <f t="shared" si="278"/>
        <v>0</v>
      </c>
      <c r="BF446" s="81">
        <f t="shared" si="279"/>
        <v>0</v>
      </c>
      <c r="BG446" s="81">
        <f t="shared" si="280"/>
        <v>0</v>
      </c>
      <c r="BH446" s="81">
        <f t="shared" si="281"/>
        <v>0</v>
      </c>
      <c r="BI446" s="81">
        <f t="shared" si="282"/>
        <v>0</v>
      </c>
      <c r="BJ446" s="81">
        <f t="shared" si="283"/>
        <v>0</v>
      </c>
      <c r="BK446" s="81">
        <f t="shared" si="284"/>
        <v>0</v>
      </c>
      <c r="BL446" s="81">
        <f t="shared" si="285"/>
        <v>0</v>
      </c>
      <c r="BM446" s="81">
        <f t="shared" si="286"/>
        <v>0</v>
      </c>
      <c r="BN446" s="81">
        <f t="shared" si="287"/>
        <v>0</v>
      </c>
      <c r="BO446" s="81">
        <f t="shared" si="288"/>
        <v>0</v>
      </c>
      <c r="BP446" s="81">
        <f t="shared" si="289"/>
        <v>0</v>
      </c>
      <c r="BQ446" s="81">
        <f t="shared" si="290"/>
        <v>0</v>
      </c>
      <c r="BR446" s="81">
        <f t="shared" si="291"/>
        <v>0</v>
      </c>
      <c r="BS446" s="81">
        <f t="shared" si="292"/>
        <v>0</v>
      </c>
      <c r="BT446" s="89">
        <f t="shared" si="293"/>
        <v>0</v>
      </c>
    </row>
    <row r="447" spans="1:72">
      <c r="A447" s="79"/>
      <c r="B447" s="80"/>
      <c r="C447" s="80"/>
      <c r="D447" s="2301"/>
      <c r="E447" s="81">
        <f t="shared" si="265"/>
        <v>0</v>
      </c>
      <c r="F447" s="82"/>
      <c r="G447" s="83">
        <f t="shared" si="266"/>
        <v>0</v>
      </c>
      <c r="H447" s="84">
        <f t="shared" si="267"/>
        <v>0</v>
      </c>
      <c r="I447" s="85"/>
      <c r="J447" s="85"/>
      <c r="K447" s="85"/>
      <c r="L447" s="85"/>
      <c r="M447" s="85"/>
      <c r="N447" s="85"/>
      <c r="O447" s="85"/>
      <c r="P447" s="85"/>
      <c r="Q447" s="85"/>
      <c r="R447" s="85"/>
      <c r="S447" s="85"/>
      <c r="T447" s="85"/>
      <c r="U447" s="85"/>
      <c r="V447" s="85"/>
      <c r="W447" s="85"/>
      <c r="X447" s="85"/>
      <c r="Y447" s="85"/>
      <c r="Z447" s="85"/>
      <c r="AA447" s="85"/>
      <c r="AB447" s="85"/>
      <c r="AC447" s="81">
        <f t="shared" si="268"/>
        <v>0</v>
      </c>
      <c r="AD447" s="86"/>
      <c r="AE447" s="86"/>
      <c r="AF447" s="86"/>
      <c r="AG447" s="86"/>
      <c r="AH447" s="86"/>
      <c r="AI447" s="86"/>
      <c r="AJ447" s="86"/>
      <c r="AK447" s="86"/>
      <c r="AL447" s="86"/>
      <c r="AM447" s="86"/>
      <c r="AN447" s="86"/>
      <c r="AO447" s="86"/>
      <c r="AP447" s="86"/>
      <c r="AQ447" s="86"/>
      <c r="AR447" s="86"/>
      <c r="AS447" s="86"/>
      <c r="AT447" s="82"/>
      <c r="AU447" s="87"/>
      <c r="AV447" s="818">
        <f t="shared" si="269"/>
        <v>0</v>
      </c>
      <c r="AW447" s="818">
        <f t="shared" si="270"/>
        <v>0</v>
      </c>
      <c r="AX447" s="818">
        <f t="shared" si="271"/>
        <v>0</v>
      </c>
      <c r="AY447" s="88">
        <f t="shared" si="272"/>
        <v>0</v>
      </c>
      <c r="AZ447" s="81">
        <f t="shared" si="273"/>
        <v>0</v>
      </c>
      <c r="BA447" s="81">
        <f t="shared" si="274"/>
        <v>0</v>
      </c>
      <c r="BB447" s="81">
        <f t="shared" si="275"/>
        <v>0</v>
      </c>
      <c r="BC447" s="81">
        <f t="shared" si="276"/>
        <v>0</v>
      </c>
      <c r="BD447" s="81">
        <f t="shared" si="277"/>
        <v>0</v>
      </c>
      <c r="BE447" s="81">
        <f t="shared" si="278"/>
        <v>0</v>
      </c>
      <c r="BF447" s="81">
        <f t="shared" si="279"/>
        <v>0</v>
      </c>
      <c r="BG447" s="81">
        <f t="shared" si="280"/>
        <v>0</v>
      </c>
      <c r="BH447" s="81">
        <f t="shared" si="281"/>
        <v>0</v>
      </c>
      <c r="BI447" s="81">
        <f t="shared" si="282"/>
        <v>0</v>
      </c>
      <c r="BJ447" s="81">
        <f t="shared" si="283"/>
        <v>0</v>
      </c>
      <c r="BK447" s="81">
        <f t="shared" si="284"/>
        <v>0</v>
      </c>
      <c r="BL447" s="81">
        <f t="shared" si="285"/>
        <v>0</v>
      </c>
      <c r="BM447" s="81">
        <f t="shared" si="286"/>
        <v>0</v>
      </c>
      <c r="BN447" s="81">
        <f t="shared" si="287"/>
        <v>0</v>
      </c>
      <c r="BO447" s="81">
        <f t="shared" si="288"/>
        <v>0</v>
      </c>
      <c r="BP447" s="81">
        <f t="shared" si="289"/>
        <v>0</v>
      </c>
      <c r="BQ447" s="81">
        <f t="shared" si="290"/>
        <v>0</v>
      </c>
      <c r="BR447" s="81">
        <f t="shared" si="291"/>
        <v>0</v>
      </c>
      <c r="BS447" s="81">
        <f t="shared" si="292"/>
        <v>0</v>
      </c>
      <c r="BT447" s="89">
        <f t="shared" si="293"/>
        <v>0</v>
      </c>
    </row>
    <row r="448" spans="1:72">
      <c r="A448" s="79"/>
      <c r="B448" s="80"/>
      <c r="C448" s="80"/>
      <c r="D448" s="2301"/>
      <c r="E448" s="81">
        <f t="shared" si="265"/>
        <v>0</v>
      </c>
      <c r="F448" s="82"/>
      <c r="G448" s="83">
        <f t="shared" si="266"/>
        <v>0</v>
      </c>
      <c r="H448" s="84">
        <f t="shared" si="267"/>
        <v>0</v>
      </c>
      <c r="I448" s="85"/>
      <c r="J448" s="85"/>
      <c r="K448" s="85"/>
      <c r="L448" s="85"/>
      <c r="M448" s="85"/>
      <c r="N448" s="85"/>
      <c r="O448" s="85"/>
      <c r="P448" s="85"/>
      <c r="Q448" s="85"/>
      <c r="R448" s="85"/>
      <c r="S448" s="85"/>
      <c r="T448" s="85"/>
      <c r="U448" s="85"/>
      <c r="V448" s="85"/>
      <c r="W448" s="85"/>
      <c r="X448" s="85"/>
      <c r="Y448" s="85"/>
      <c r="Z448" s="85"/>
      <c r="AA448" s="85"/>
      <c r="AB448" s="85"/>
      <c r="AC448" s="81">
        <f t="shared" si="268"/>
        <v>0</v>
      </c>
      <c r="AD448" s="86"/>
      <c r="AE448" s="86"/>
      <c r="AF448" s="86"/>
      <c r="AG448" s="86"/>
      <c r="AH448" s="86"/>
      <c r="AI448" s="86"/>
      <c r="AJ448" s="86"/>
      <c r="AK448" s="86"/>
      <c r="AL448" s="86"/>
      <c r="AM448" s="86"/>
      <c r="AN448" s="86"/>
      <c r="AO448" s="86"/>
      <c r="AP448" s="86"/>
      <c r="AQ448" s="86"/>
      <c r="AR448" s="86"/>
      <c r="AS448" s="86"/>
      <c r="AT448" s="82"/>
      <c r="AU448" s="87"/>
      <c r="AV448" s="818">
        <f t="shared" si="269"/>
        <v>0</v>
      </c>
      <c r="AW448" s="818">
        <f t="shared" si="270"/>
        <v>0</v>
      </c>
      <c r="AX448" s="818">
        <f t="shared" si="271"/>
        <v>0</v>
      </c>
      <c r="AY448" s="88">
        <f t="shared" si="272"/>
        <v>0</v>
      </c>
      <c r="AZ448" s="81">
        <f t="shared" si="273"/>
        <v>0</v>
      </c>
      <c r="BA448" s="81">
        <f t="shared" si="274"/>
        <v>0</v>
      </c>
      <c r="BB448" s="81">
        <f t="shared" si="275"/>
        <v>0</v>
      </c>
      <c r="BC448" s="81">
        <f t="shared" si="276"/>
        <v>0</v>
      </c>
      <c r="BD448" s="81">
        <f t="shared" si="277"/>
        <v>0</v>
      </c>
      <c r="BE448" s="81">
        <f t="shared" si="278"/>
        <v>0</v>
      </c>
      <c r="BF448" s="81">
        <f t="shared" si="279"/>
        <v>0</v>
      </c>
      <c r="BG448" s="81">
        <f t="shared" si="280"/>
        <v>0</v>
      </c>
      <c r="BH448" s="81">
        <f t="shared" si="281"/>
        <v>0</v>
      </c>
      <c r="BI448" s="81">
        <f t="shared" si="282"/>
        <v>0</v>
      </c>
      <c r="BJ448" s="81">
        <f t="shared" si="283"/>
        <v>0</v>
      </c>
      <c r="BK448" s="81">
        <f t="shared" si="284"/>
        <v>0</v>
      </c>
      <c r="BL448" s="81">
        <f t="shared" si="285"/>
        <v>0</v>
      </c>
      <c r="BM448" s="81">
        <f t="shared" si="286"/>
        <v>0</v>
      </c>
      <c r="BN448" s="81">
        <f t="shared" si="287"/>
        <v>0</v>
      </c>
      <c r="BO448" s="81">
        <f t="shared" si="288"/>
        <v>0</v>
      </c>
      <c r="BP448" s="81">
        <f t="shared" si="289"/>
        <v>0</v>
      </c>
      <c r="BQ448" s="81">
        <f t="shared" si="290"/>
        <v>0</v>
      </c>
      <c r="BR448" s="81">
        <f t="shared" si="291"/>
        <v>0</v>
      </c>
      <c r="BS448" s="81">
        <f t="shared" si="292"/>
        <v>0</v>
      </c>
      <c r="BT448" s="89">
        <f t="shared" si="293"/>
        <v>0</v>
      </c>
    </row>
    <row r="449" spans="1:72">
      <c r="A449" s="79"/>
      <c r="B449" s="80"/>
      <c r="C449" s="80"/>
      <c r="D449" s="2301"/>
      <c r="E449" s="81">
        <f t="shared" si="265"/>
        <v>0</v>
      </c>
      <c r="F449" s="82"/>
      <c r="G449" s="83">
        <f t="shared" si="266"/>
        <v>0</v>
      </c>
      <c r="H449" s="84">
        <f t="shared" si="267"/>
        <v>0</v>
      </c>
      <c r="I449" s="85"/>
      <c r="J449" s="85"/>
      <c r="K449" s="85"/>
      <c r="L449" s="85"/>
      <c r="M449" s="85"/>
      <c r="N449" s="85"/>
      <c r="O449" s="85"/>
      <c r="P449" s="85"/>
      <c r="Q449" s="85"/>
      <c r="R449" s="85"/>
      <c r="S449" s="85"/>
      <c r="T449" s="85"/>
      <c r="U449" s="85"/>
      <c r="V449" s="85"/>
      <c r="W449" s="85"/>
      <c r="X449" s="85"/>
      <c r="Y449" s="85"/>
      <c r="Z449" s="85"/>
      <c r="AA449" s="85"/>
      <c r="AB449" s="85"/>
      <c r="AC449" s="81">
        <f t="shared" si="268"/>
        <v>0</v>
      </c>
      <c r="AD449" s="86"/>
      <c r="AE449" s="86"/>
      <c r="AF449" s="86"/>
      <c r="AG449" s="86"/>
      <c r="AH449" s="86"/>
      <c r="AI449" s="86"/>
      <c r="AJ449" s="86"/>
      <c r="AK449" s="86"/>
      <c r="AL449" s="86"/>
      <c r="AM449" s="86"/>
      <c r="AN449" s="86"/>
      <c r="AO449" s="86"/>
      <c r="AP449" s="86"/>
      <c r="AQ449" s="86"/>
      <c r="AR449" s="86"/>
      <c r="AS449" s="86"/>
      <c r="AT449" s="82"/>
      <c r="AU449" s="87"/>
      <c r="AV449" s="818">
        <f t="shared" si="269"/>
        <v>0</v>
      </c>
      <c r="AW449" s="818">
        <f t="shared" si="270"/>
        <v>0</v>
      </c>
      <c r="AX449" s="818">
        <f t="shared" si="271"/>
        <v>0</v>
      </c>
      <c r="AY449" s="88">
        <f t="shared" si="272"/>
        <v>0</v>
      </c>
      <c r="AZ449" s="81">
        <f t="shared" si="273"/>
        <v>0</v>
      </c>
      <c r="BA449" s="81">
        <f t="shared" si="274"/>
        <v>0</v>
      </c>
      <c r="BB449" s="81">
        <f t="shared" si="275"/>
        <v>0</v>
      </c>
      <c r="BC449" s="81">
        <f t="shared" si="276"/>
        <v>0</v>
      </c>
      <c r="BD449" s="81">
        <f t="shared" si="277"/>
        <v>0</v>
      </c>
      <c r="BE449" s="81">
        <f t="shared" si="278"/>
        <v>0</v>
      </c>
      <c r="BF449" s="81">
        <f t="shared" si="279"/>
        <v>0</v>
      </c>
      <c r="BG449" s="81">
        <f t="shared" si="280"/>
        <v>0</v>
      </c>
      <c r="BH449" s="81">
        <f t="shared" si="281"/>
        <v>0</v>
      </c>
      <c r="BI449" s="81">
        <f t="shared" si="282"/>
        <v>0</v>
      </c>
      <c r="BJ449" s="81">
        <f t="shared" si="283"/>
        <v>0</v>
      </c>
      <c r="BK449" s="81">
        <f t="shared" si="284"/>
        <v>0</v>
      </c>
      <c r="BL449" s="81">
        <f t="shared" si="285"/>
        <v>0</v>
      </c>
      <c r="BM449" s="81">
        <f t="shared" si="286"/>
        <v>0</v>
      </c>
      <c r="BN449" s="81">
        <f t="shared" si="287"/>
        <v>0</v>
      </c>
      <c r="BO449" s="81">
        <f t="shared" si="288"/>
        <v>0</v>
      </c>
      <c r="BP449" s="81">
        <f t="shared" si="289"/>
        <v>0</v>
      </c>
      <c r="BQ449" s="81">
        <f t="shared" si="290"/>
        <v>0</v>
      </c>
      <c r="BR449" s="81">
        <f t="shared" si="291"/>
        <v>0</v>
      </c>
      <c r="BS449" s="81">
        <f t="shared" si="292"/>
        <v>0</v>
      </c>
      <c r="BT449" s="89">
        <f t="shared" si="293"/>
        <v>0</v>
      </c>
    </row>
    <row r="450" spans="1:72">
      <c r="A450" s="79"/>
      <c r="B450" s="80"/>
      <c r="C450" s="80"/>
      <c r="D450" s="2301"/>
      <c r="E450" s="81">
        <f t="shared" si="265"/>
        <v>0</v>
      </c>
      <c r="F450" s="82"/>
      <c r="G450" s="83">
        <f t="shared" si="266"/>
        <v>0</v>
      </c>
      <c r="H450" s="84">
        <f t="shared" si="267"/>
        <v>0</v>
      </c>
      <c r="I450" s="85"/>
      <c r="J450" s="85"/>
      <c r="K450" s="85"/>
      <c r="L450" s="85"/>
      <c r="M450" s="85"/>
      <c r="N450" s="85"/>
      <c r="O450" s="85"/>
      <c r="P450" s="85"/>
      <c r="Q450" s="85"/>
      <c r="R450" s="85"/>
      <c r="S450" s="85"/>
      <c r="T450" s="85"/>
      <c r="U450" s="85"/>
      <c r="V450" s="85"/>
      <c r="W450" s="85"/>
      <c r="X450" s="85"/>
      <c r="Y450" s="85"/>
      <c r="Z450" s="85"/>
      <c r="AA450" s="85"/>
      <c r="AB450" s="85"/>
      <c r="AC450" s="81">
        <f t="shared" si="268"/>
        <v>0</v>
      </c>
      <c r="AD450" s="86"/>
      <c r="AE450" s="86"/>
      <c r="AF450" s="86"/>
      <c r="AG450" s="86"/>
      <c r="AH450" s="86"/>
      <c r="AI450" s="86"/>
      <c r="AJ450" s="86"/>
      <c r="AK450" s="86"/>
      <c r="AL450" s="86"/>
      <c r="AM450" s="86"/>
      <c r="AN450" s="86"/>
      <c r="AO450" s="86"/>
      <c r="AP450" s="86"/>
      <c r="AQ450" s="86"/>
      <c r="AR450" s="86"/>
      <c r="AS450" s="86"/>
      <c r="AT450" s="82"/>
      <c r="AU450" s="87"/>
      <c r="AV450" s="818">
        <f t="shared" si="269"/>
        <v>0</v>
      </c>
      <c r="AW450" s="818">
        <f t="shared" si="270"/>
        <v>0</v>
      </c>
      <c r="AX450" s="818">
        <f t="shared" si="271"/>
        <v>0</v>
      </c>
      <c r="AY450" s="88">
        <f t="shared" si="272"/>
        <v>0</v>
      </c>
      <c r="AZ450" s="81">
        <f t="shared" si="273"/>
        <v>0</v>
      </c>
      <c r="BA450" s="81">
        <f t="shared" si="274"/>
        <v>0</v>
      </c>
      <c r="BB450" s="81">
        <f t="shared" si="275"/>
        <v>0</v>
      </c>
      <c r="BC450" s="81">
        <f t="shared" si="276"/>
        <v>0</v>
      </c>
      <c r="BD450" s="81">
        <f t="shared" si="277"/>
        <v>0</v>
      </c>
      <c r="BE450" s="81">
        <f t="shared" si="278"/>
        <v>0</v>
      </c>
      <c r="BF450" s="81">
        <f t="shared" si="279"/>
        <v>0</v>
      </c>
      <c r="BG450" s="81">
        <f t="shared" si="280"/>
        <v>0</v>
      </c>
      <c r="BH450" s="81">
        <f t="shared" si="281"/>
        <v>0</v>
      </c>
      <c r="BI450" s="81">
        <f t="shared" si="282"/>
        <v>0</v>
      </c>
      <c r="BJ450" s="81">
        <f t="shared" si="283"/>
        <v>0</v>
      </c>
      <c r="BK450" s="81">
        <f t="shared" si="284"/>
        <v>0</v>
      </c>
      <c r="BL450" s="81">
        <f t="shared" si="285"/>
        <v>0</v>
      </c>
      <c r="BM450" s="81">
        <f t="shared" si="286"/>
        <v>0</v>
      </c>
      <c r="BN450" s="81">
        <f t="shared" si="287"/>
        <v>0</v>
      </c>
      <c r="BO450" s="81">
        <f t="shared" si="288"/>
        <v>0</v>
      </c>
      <c r="BP450" s="81">
        <f t="shared" si="289"/>
        <v>0</v>
      </c>
      <c r="BQ450" s="81">
        <f t="shared" si="290"/>
        <v>0</v>
      </c>
      <c r="BR450" s="81">
        <f t="shared" si="291"/>
        <v>0</v>
      </c>
      <c r="BS450" s="81">
        <f t="shared" si="292"/>
        <v>0</v>
      </c>
      <c r="BT450" s="89">
        <f t="shared" si="293"/>
        <v>0</v>
      </c>
    </row>
    <row r="451" spans="1:72">
      <c r="A451" s="79"/>
      <c r="B451" s="80"/>
      <c r="C451" s="80"/>
      <c r="D451" s="2301"/>
      <c r="E451" s="81">
        <f t="shared" si="265"/>
        <v>0</v>
      </c>
      <c r="F451" s="82"/>
      <c r="G451" s="83">
        <f t="shared" si="266"/>
        <v>0</v>
      </c>
      <c r="H451" s="84">
        <f t="shared" si="267"/>
        <v>0</v>
      </c>
      <c r="I451" s="85"/>
      <c r="J451" s="85"/>
      <c r="K451" s="85"/>
      <c r="L451" s="85"/>
      <c r="M451" s="85"/>
      <c r="N451" s="85"/>
      <c r="O451" s="85"/>
      <c r="P451" s="85"/>
      <c r="Q451" s="85"/>
      <c r="R451" s="85"/>
      <c r="S451" s="85"/>
      <c r="T451" s="85"/>
      <c r="U451" s="85"/>
      <c r="V451" s="85"/>
      <c r="W451" s="85"/>
      <c r="X451" s="85"/>
      <c r="Y451" s="85"/>
      <c r="Z451" s="85"/>
      <c r="AA451" s="85"/>
      <c r="AB451" s="85"/>
      <c r="AC451" s="81">
        <f t="shared" si="268"/>
        <v>0</v>
      </c>
      <c r="AD451" s="86"/>
      <c r="AE451" s="86"/>
      <c r="AF451" s="86"/>
      <c r="AG451" s="86"/>
      <c r="AH451" s="86"/>
      <c r="AI451" s="86"/>
      <c r="AJ451" s="86"/>
      <c r="AK451" s="86"/>
      <c r="AL451" s="86"/>
      <c r="AM451" s="86"/>
      <c r="AN451" s="86"/>
      <c r="AO451" s="86"/>
      <c r="AP451" s="86"/>
      <c r="AQ451" s="86"/>
      <c r="AR451" s="86"/>
      <c r="AS451" s="86"/>
      <c r="AT451" s="82"/>
      <c r="AU451" s="87"/>
      <c r="AV451" s="818">
        <f t="shared" si="269"/>
        <v>0</v>
      </c>
      <c r="AW451" s="818">
        <f t="shared" si="270"/>
        <v>0</v>
      </c>
      <c r="AX451" s="818">
        <f t="shared" si="271"/>
        <v>0</v>
      </c>
      <c r="AY451" s="88">
        <f t="shared" si="272"/>
        <v>0</v>
      </c>
      <c r="AZ451" s="81">
        <f t="shared" si="273"/>
        <v>0</v>
      </c>
      <c r="BA451" s="81">
        <f t="shared" si="274"/>
        <v>0</v>
      </c>
      <c r="BB451" s="81">
        <f t="shared" si="275"/>
        <v>0</v>
      </c>
      <c r="BC451" s="81">
        <f t="shared" si="276"/>
        <v>0</v>
      </c>
      <c r="BD451" s="81">
        <f t="shared" si="277"/>
        <v>0</v>
      </c>
      <c r="BE451" s="81">
        <f t="shared" si="278"/>
        <v>0</v>
      </c>
      <c r="BF451" s="81">
        <f t="shared" si="279"/>
        <v>0</v>
      </c>
      <c r="BG451" s="81">
        <f t="shared" si="280"/>
        <v>0</v>
      </c>
      <c r="BH451" s="81">
        <f t="shared" si="281"/>
        <v>0</v>
      </c>
      <c r="BI451" s="81">
        <f t="shared" si="282"/>
        <v>0</v>
      </c>
      <c r="BJ451" s="81">
        <f t="shared" si="283"/>
        <v>0</v>
      </c>
      <c r="BK451" s="81">
        <f t="shared" si="284"/>
        <v>0</v>
      </c>
      <c r="BL451" s="81">
        <f t="shared" si="285"/>
        <v>0</v>
      </c>
      <c r="BM451" s="81">
        <f t="shared" si="286"/>
        <v>0</v>
      </c>
      <c r="BN451" s="81">
        <f t="shared" si="287"/>
        <v>0</v>
      </c>
      <c r="BO451" s="81">
        <f t="shared" si="288"/>
        <v>0</v>
      </c>
      <c r="BP451" s="81">
        <f t="shared" si="289"/>
        <v>0</v>
      </c>
      <c r="BQ451" s="81">
        <f t="shared" si="290"/>
        <v>0</v>
      </c>
      <c r="BR451" s="81">
        <f t="shared" si="291"/>
        <v>0</v>
      </c>
      <c r="BS451" s="81">
        <f t="shared" si="292"/>
        <v>0</v>
      </c>
      <c r="BT451" s="89">
        <f t="shared" si="293"/>
        <v>0</v>
      </c>
    </row>
    <row r="452" spans="1:72">
      <c r="A452" s="79"/>
      <c r="B452" s="80"/>
      <c r="C452" s="80"/>
      <c r="D452" s="2301"/>
      <c r="E452" s="81">
        <f t="shared" si="265"/>
        <v>0</v>
      </c>
      <c r="F452" s="82"/>
      <c r="G452" s="83">
        <f t="shared" si="266"/>
        <v>0</v>
      </c>
      <c r="H452" s="84">
        <f t="shared" si="267"/>
        <v>0</v>
      </c>
      <c r="I452" s="85"/>
      <c r="J452" s="85"/>
      <c r="K452" s="85"/>
      <c r="L452" s="85"/>
      <c r="M452" s="85"/>
      <c r="N452" s="85"/>
      <c r="O452" s="85"/>
      <c r="P452" s="85"/>
      <c r="Q452" s="85"/>
      <c r="R452" s="85"/>
      <c r="S452" s="85"/>
      <c r="T452" s="85"/>
      <c r="U452" s="85"/>
      <c r="V452" s="85"/>
      <c r="W452" s="85"/>
      <c r="X452" s="85"/>
      <c r="Y452" s="85"/>
      <c r="Z452" s="85"/>
      <c r="AA452" s="85"/>
      <c r="AB452" s="85"/>
      <c r="AC452" s="81">
        <f t="shared" si="268"/>
        <v>0</v>
      </c>
      <c r="AD452" s="86"/>
      <c r="AE452" s="86"/>
      <c r="AF452" s="86"/>
      <c r="AG452" s="86"/>
      <c r="AH452" s="86"/>
      <c r="AI452" s="86"/>
      <c r="AJ452" s="86"/>
      <c r="AK452" s="86"/>
      <c r="AL452" s="86"/>
      <c r="AM452" s="86"/>
      <c r="AN452" s="86"/>
      <c r="AO452" s="86"/>
      <c r="AP452" s="86"/>
      <c r="AQ452" s="86"/>
      <c r="AR452" s="86"/>
      <c r="AS452" s="86"/>
      <c r="AT452" s="82"/>
      <c r="AU452" s="87"/>
      <c r="AV452" s="818">
        <f t="shared" si="269"/>
        <v>0</v>
      </c>
      <c r="AW452" s="818">
        <f t="shared" si="270"/>
        <v>0</v>
      </c>
      <c r="AX452" s="818">
        <f t="shared" si="271"/>
        <v>0</v>
      </c>
      <c r="AY452" s="88">
        <f t="shared" si="272"/>
        <v>0</v>
      </c>
      <c r="AZ452" s="81">
        <f t="shared" si="273"/>
        <v>0</v>
      </c>
      <c r="BA452" s="81">
        <f t="shared" si="274"/>
        <v>0</v>
      </c>
      <c r="BB452" s="81">
        <f t="shared" si="275"/>
        <v>0</v>
      </c>
      <c r="BC452" s="81">
        <f t="shared" si="276"/>
        <v>0</v>
      </c>
      <c r="BD452" s="81">
        <f t="shared" si="277"/>
        <v>0</v>
      </c>
      <c r="BE452" s="81">
        <f t="shared" si="278"/>
        <v>0</v>
      </c>
      <c r="BF452" s="81">
        <f t="shared" si="279"/>
        <v>0</v>
      </c>
      <c r="BG452" s="81">
        <f t="shared" si="280"/>
        <v>0</v>
      </c>
      <c r="BH452" s="81">
        <f t="shared" si="281"/>
        <v>0</v>
      </c>
      <c r="BI452" s="81">
        <f t="shared" si="282"/>
        <v>0</v>
      </c>
      <c r="BJ452" s="81">
        <f t="shared" si="283"/>
        <v>0</v>
      </c>
      <c r="BK452" s="81">
        <f t="shared" si="284"/>
        <v>0</v>
      </c>
      <c r="BL452" s="81">
        <f t="shared" si="285"/>
        <v>0</v>
      </c>
      <c r="BM452" s="81">
        <f t="shared" si="286"/>
        <v>0</v>
      </c>
      <c r="BN452" s="81">
        <f t="shared" si="287"/>
        <v>0</v>
      </c>
      <c r="BO452" s="81">
        <f t="shared" si="288"/>
        <v>0</v>
      </c>
      <c r="BP452" s="81">
        <f t="shared" si="289"/>
        <v>0</v>
      </c>
      <c r="BQ452" s="81">
        <f t="shared" si="290"/>
        <v>0</v>
      </c>
      <c r="BR452" s="81">
        <f t="shared" si="291"/>
        <v>0</v>
      </c>
      <c r="BS452" s="81">
        <f t="shared" si="292"/>
        <v>0</v>
      </c>
      <c r="BT452" s="89">
        <f t="shared" si="293"/>
        <v>0</v>
      </c>
    </row>
    <row r="453" spans="1:72">
      <c r="A453" s="79"/>
      <c r="B453" s="80"/>
      <c r="C453" s="80"/>
      <c r="D453" s="2301"/>
      <c r="E453" s="81">
        <f t="shared" si="265"/>
        <v>0</v>
      </c>
      <c r="F453" s="82"/>
      <c r="G453" s="83">
        <f t="shared" si="266"/>
        <v>0</v>
      </c>
      <c r="H453" s="84">
        <f t="shared" si="267"/>
        <v>0</v>
      </c>
      <c r="I453" s="85"/>
      <c r="J453" s="85"/>
      <c r="K453" s="85"/>
      <c r="L453" s="85"/>
      <c r="M453" s="85"/>
      <c r="N453" s="85"/>
      <c r="O453" s="85"/>
      <c r="P453" s="85"/>
      <c r="Q453" s="85"/>
      <c r="R453" s="85"/>
      <c r="S453" s="85"/>
      <c r="T453" s="85"/>
      <c r="U453" s="85"/>
      <c r="V453" s="85"/>
      <c r="W453" s="85"/>
      <c r="X453" s="85"/>
      <c r="Y453" s="85"/>
      <c r="Z453" s="85"/>
      <c r="AA453" s="85"/>
      <c r="AB453" s="85"/>
      <c r="AC453" s="81">
        <f t="shared" si="268"/>
        <v>0</v>
      </c>
      <c r="AD453" s="86"/>
      <c r="AE453" s="86"/>
      <c r="AF453" s="86"/>
      <c r="AG453" s="86"/>
      <c r="AH453" s="86"/>
      <c r="AI453" s="86"/>
      <c r="AJ453" s="86"/>
      <c r="AK453" s="86"/>
      <c r="AL453" s="86"/>
      <c r="AM453" s="86"/>
      <c r="AN453" s="86"/>
      <c r="AO453" s="86"/>
      <c r="AP453" s="86"/>
      <c r="AQ453" s="86"/>
      <c r="AR453" s="86"/>
      <c r="AS453" s="86"/>
      <c r="AT453" s="82"/>
      <c r="AU453" s="87"/>
      <c r="AV453" s="818">
        <f t="shared" si="269"/>
        <v>0</v>
      </c>
      <c r="AW453" s="818">
        <f t="shared" si="270"/>
        <v>0</v>
      </c>
      <c r="AX453" s="818">
        <f t="shared" si="271"/>
        <v>0</v>
      </c>
      <c r="AY453" s="88">
        <f t="shared" si="272"/>
        <v>0</v>
      </c>
      <c r="AZ453" s="81">
        <f t="shared" si="273"/>
        <v>0</v>
      </c>
      <c r="BA453" s="81">
        <f t="shared" si="274"/>
        <v>0</v>
      </c>
      <c r="BB453" s="81">
        <f t="shared" si="275"/>
        <v>0</v>
      </c>
      <c r="BC453" s="81">
        <f t="shared" si="276"/>
        <v>0</v>
      </c>
      <c r="BD453" s="81">
        <f t="shared" si="277"/>
        <v>0</v>
      </c>
      <c r="BE453" s="81">
        <f t="shared" si="278"/>
        <v>0</v>
      </c>
      <c r="BF453" s="81">
        <f t="shared" si="279"/>
        <v>0</v>
      </c>
      <c r="BG453" s="81">
        <f t="shared" si="280"/>
        <v>0</v>
      </c>
      <c r="BH453" s="81">
        <f t="shared" si="281"/>
        <v>0</v>
      </c>
      <c r="BI453" s="81">
        <f t="shared" si="282"/>
        <v>0</v>
      </c>
      <c r="BJ453" s="81">
        <f t="shared" si="283"/>
        <v>0</v>
      </c>
      <c r="BK453" s="81">
        <f t="shared" si="284"/>
        <v>0</v>
      </c>
      <c r="BL453" s="81">
        <f t="shared" si="285"/>
        <v>0</v>
      </c>
      <c r="BM453" s="81">
        <f t="shared" si="286"/>
        <v>0</v>
      </c>
      <c r="BN453" s="81">
        <f t="shared" si="287"/>
        <v>0</v>
      </c>
      <c r="BO453" s="81">
        <f t="shared" si="288"/>
        <v>0</v>
      </c>
      <c r="BP453" s="81">
        <f t="shared" si="289"/>
        <v>0</v>
      </c>
      <c r="BQ453" s="81">
        <f t="shared" si="290"/>
        <v>0</v>
      </c>
      <c r="BR453" s="81">
        <f t="shared" si="291"/>
        <v>0</v>
      </c>
      <c r="BS453" s="81">
        <f t="shared" si="292"/>
        <v>0</v>
      </c>
      <c r="BT453" s="89">
        <f t="shared" si="293"/>
        <v>0</v>
      </c>
    </row>
    <row r="454" spans="1:72">
      <c r="A454" s="79"/>
      <c r="B454" s="80"/>
      <c r="C454" s="80"/>
      <c r="D454" s="2301"/>
      <c r="E454" s="81">
        <f t="shared" si="265"/>
        <v>0</v>
      </c>
      <c r="F454" s="82"/>
      <c r="G454" s="83">
        <f t="shared" si="266"/>
        <v>0</v>
      </c>
      <c r="H454" s="84">
        <f t="shared" si="267"/>
        <v>0</v>
      </c>
      <c r="I454" s="85"/>
      <c r="J454" s="85"/>
      <c r="K454" s="85"/>
      <c r="L454" s="85"/>
      <c r="M454" s="85"/>
      <c r="N454" s="85"/>
      <c r="O454" s="85"/>
      <c r="P454" s="85"/>
      <c r="Q454" s="85"/>
      <c r="R454" s="85"/>
      <c r="S454" s="85"/>
      <c r="T454" s="85"/>
      <c r="U454" s="85"/>
      <c r="V454" s="85"/>
      <c r="W454" s="85"/>
      <c r="X454" s="85"/>
      <c r="Y454" s="85"/>
      <c r="Z454" s="85"/>
      <c r="AA454" s="85"/>
      <c r="AB454" s="85"/>
      <c r="AC454" s="81">
        <f t="shared" si="268"/>
        <v>0</v>
      </c>
      <c r="AD454" s="86"/>
      <c r="AE454" s="86"/>
      <c r="AF454" s="86"/>
      <c r="AG454" s="86"/>
      <c r="AH454" s="86"/>
      <c r="AI454" s="86"/>
      <c r="AJ454" s="86"/>
      <c r="AK454" s="86"/>
      <c r="AL454" s="86"/>
      <c r="AM454" s="86"/>
      <c r="AN454" s="86"/>
      <c r="AO454" s="86"/>
      <c r="AP454" s="86"/>
      <c r="AQ454" s="86"/>
      <c r="AR454" s="86"/>
      <c r="AS454" s="86"/>
      <c r="AT454" s="82"/>
      <c r="AU454" s="87"/>
      <c r="AV454" s="818">
        <f t="shared" si="269"/>
        <v>0</v>
      </c>
      <c r="AW454" s="818">
        <f t="shared" si="270"/>
        <v>0</v>
      </c>
      <c r="AX454" s="818">
        <f t="shared" si="271"/>
        <v>0</v>
      </c>
      <c r="AY454" s="88">
        <f t="shared" si="272"/>
        <v>0</v>
      </c>
      <c r="AZ454" s="81">
        <f t="shared" si="273"/>
        <v>0</v>
      </c>
      <c r="BA454" s="81">
        <f t="shared" si="274"/>
        <v>0</v>
      </c>
      <c r="BB454" s="81">
        <f t="shared" si="275"/>
        <v>0</v>
      </c>
      <c r="BC454" s="81">
        <f t="shared" si="276"/>
        <v>0</v>
      </c>
      <c r="BD454" s="81">
        <f t="shared" si="277"/>
        <v>0</v>
      </c>
      <c r="BE454" s="81">
        <f t="shared" si="278"/>
        <v>0</v>
      </c>
      <c r="BF454" s="81">
        <f t="shared" si="279"/>
        <v>0</v>
      </c>
      <c r="BG454" s="81">
        <f t="shared" si="280"/>
        <v>0</v>
      </c>
      <c r="BH454" s="81">
        <f t="shared" si="281"/>
        <v>0</v>
      </c>
      <c r="BI454" s="81">
        <f t="shared" si="282"/>
        <v>0</v>
      </c>
      <c r="BJ454" s="81">
        <f t="shared" si="283"/>
        <v>0</v>
      </c>
      <c r="BK454" s="81">
        <f t="shared" si="284"/>
        <v>0</v>
      </c>
      <c r="BL454" s="81">
        <f t="shared" si="285"/>
        <v>0</v>
      </c>
      <c r="BM454" s="81">
        <f t="shared" si="286"/>
        <v>0</v>
      </c>
      <c r="BN454" s="81">
        <f t="shared" si="287"/>
        <v>0</v>
      </c>
      <c r="BO454" s="81">
        <f t="shared" si="288"/>
        <v>0</v>
      </c>
      <c r="BP454" s="81">
        <f t="shared" si="289"/>
        <v>0</v>
      </c>
      <c r="BQ454" s="81">
        <f t="shared" si="290"/>
        <v>0</v>
      </c>
      <c r="BR454" s="81">
        <f t="shared" si="291"/>
        <v>0</v>
      </c>
      <c r="BS454" s="81">
        <f t="shared" si="292"/>
        <v>0</v>
      </c>
      <c r="BT454" s="89">
        <f t="shared" si="293"/>
        <v>0</v>
      </c>
    </row>
    <row r="455" spans="1:72">
      <c r="A455" s="79"/>
      <c r="B455" s="80"/>
      <c r="C455" s="80"/>
      <c r="D455" s="2301"/>
      <c r="E455" s="81">
        <f t="shared" si="265"/>
        <v>0</v>
      </c>
      <c r="F455" s="82"/>
      <c r="G455" s="83">
        <f t="shared" si="266"/>
        <v>0</v>
      </c>
      <c r="H455" s="84">
        <f t="shared" si="267"/>
        <v>0</v>
      </c>
      <c r="I455" s="85"/>
      <c r="J455" s="85"/>
      <c r="K455" s="85"/>
      <c r="L455" s="85"/>
      <c r="M455" s="85"/>
      <c r="N455" s="85"/>
      <c r="O455" s="85"/>
      <c r="P455" s="85"/>
      <c r="Q455" s="85"/>
      <c r="R455" s="85"/>
      <c r="S455" s="85"/>
      <c r="T455" s="85"/>
      <c r="U455" s="85"/>
      <c r="V455" s="85"/>
      <c r="W455" s="85"/>
      <c r="X455" s="85"/>
      <c r="Y455" s="85"/>
      <c r="Z455" s="85"/>
      <c r="AA455" s="85"/>
      <c r="AB455" s="85"/>
      <c r="AC455" s="81">
        <f t="shared" si="268"/>
        <v>0</v>
      </c>
      <c r="AD455" s="86"/>
      <c r="AE455" s="86"/>
      <c r="AF455" s="86"/>
      <c r="AG455" s="86"/>
      <c r="AH455" s="86"/>
      <c r="AI455" s="86"/>
      <c r="AJ455" s="86"/>
      <c r="AK455" s="86"/>
      <c r="AL455" s="86"/>
      <c r="AM455" s="86"/>
      <c r="AN455" s="86"/>
      <c r="AO455" s="86"/>
      <c r="AP455" s="86"/>
      <c r="AQ455" s="86"/>
      <c r="AR455" s="86"/>
      <c r="AS455" s="86"/>
      <c r="AT455" s="82"/>
      <c r="AU455" s="87"/>
      <c r="AV455" s="818">
        <f t="shared" si="269"/>
        <v>0</v>
      </c>
      <c r="AW455" s="818">
        <f t="shared" si="270"/>
        <v>0</v>
      </c>
      <c r="AX455" s="818">
        <f t="shared" si="271"/>
        <v>0</v>
      </c>
      <c r="AY455" s="88">
        <f t="shared" si="272"/>
        <v>0</v>
      </c>
      <c r="AZ455" s="81">
        <f t="shared" si="273"/>
        <v>0</v>
      </c>
      <c r="BA455" s="81">
        <f t="shared" si="274"/>
        <v>0</v>
      </c>
      <c r="BB455" s="81">
        <f t="shared" si="275"/>
        <v>0</v>
      </c>
      <c r="BC455" s="81">
        <f t="shared" si="276"/>
        <v>0</v>
      </c>
      <c r="BD455" s="81">
        <f t="shared" si="277"/>
        <v>0</v>
      </c>
      <c r="BE455" s="81">
        <f t="shared" si="278"/>
        <v>0</v>
      </c>
      <c r="BF455" s="81">
        <f t="shared" si="279"/>
        <v>0</v>
      </c>
      <c r="BG455" s="81">
        <f t="shared" si="280"/>
        <v>0</v>
      </c>
      <c r="BH455" s="81">
        <f t="shared" si="281"/>
        <v>0</v>
      </c>
      <c r="BI455" s="81">
        <f t="shared" si="282"/>
        <v>0</v>
      </c>
      <c r="BJ455" s="81">
        <f t="shared" si="283"/>
        <v>0</v>
      </c>
      <c r="BK455" s="81">
        <f t="shared" si="284"/>
        <v>0</v>
      </c>
      <c r="BL455" s="81">
        <f t="shared" si="285"/>
        <v>0</v>
      </c>
      <c r="BM455" s="81">
        <f t="shared" si="286"/>
        <v>0</v>
      </c>
      <c r="BN455" s="81">
        <f t="shared" si="287"/>
        <v>0</v>
      </c>
      <c r="BO455" s="81">
        <f t="shared" si="288"/>
        <v>0</v>
      </c>
      <c r="BP455" s="81">
        <f t="shared" si="289"/>
        <v>0</v>
      </c>
      <c r="BQ455" s="81">
        <f t="shared" si="290"/>
        <v>0</v>
      </c>
      <c r="BR455" s="81">
        <f t="shared" si="291"/>
        <v>0</v>
      </c>
      <c r="BS455" s="81">
        <f t="shared" si="292"/>
        <v>0</v>
      </c>
      <c r="BT455" s="89">
        <f t="shared" si="293"/>
        <v>0</v>
      </c>
    </row>
    <row r="456" spans="1:72">
      <c r="A456" s="79"/>
      <c r="B456" s="80"/>
      <c r="C456" s="80"/>
      <c r="D456" s="2301"/>
      <c r="E456" s="81">
        <f t="shared" si="265"/>
        <v>0</v>
      </c>
      <c r="F456" s="82"/>
      <c r="G456" s="83">
        <f t="shared" si="266"/>
        <v>0</v>
      </c>
      <c r="H456" s="84">
        <f t="shared" si="267"/>
        <v>0</v>
      </c>
      <c r="I456" s="85"/>
      <c r="J456" s="85"/>
      <c r="K456" s="85"/>
      <c r="L456" s="85"/>
      <c r="M456" s="85"/>
      <c r="N456" s="85"/>
      <c r="O456" s="85"/>
      <c r="P456" s="85"/>
      <c r="Q456" s="85"/>
      <c r="R456" s="85"/>
      <c r="S456" s="85"/>
      <c r="T456" s="85"/>
      <c r="U456" s="85"/>
      <c r="V456" s="85"/>
      <c r="W456" s="85"/>
      <c r="X456" s="85"/>
      <c r="Y456" s="85"/>
      <c r="Z456" s="85"/>
      <c r="AA456" s="85"/>
      <c r="AB456" s="85"/>
      <c r="AC456" s="81">
        <f t="shared" si="268"/>
        <v>0</v>
      </c>
      <c r="AD456" s="86"/>
      <c r="AE456" s="86"/>
      <c r="AF456" s="86"/>
      <c r="AG456" s="86"/>
      <c r="AH456" s="86"/>
      <c r="AI456" s="86"/>
      <c r="AJ456" s="86"/>
      <c r="AK456" s="86"/>
      <c r="AL456" s="86"/>
      <c r="AM456" s="86"/>
      <c r="AN456" s="86"/>
      <c r="AO456" s="86"/>
      <c r="AP456" s="86"/>
      <c r="AQ456" s="86"/>
      <c r="AR456" s="86"/>
      <c r="AS456" s="86"/>
      <c r="AT456" s="82"/>
      <c r="AU456" s="87"/>
      <c r="AV456" s="818">
        <f t="shared" si="269"/>
        <v>0</v>
      </c>
      <c r="AW456" s="818">
        <f t="shared" si="270"/>
        <v>0</v>
      </c>
      <c r="AX456" s="818">
        <f t="shared" si="271"/>
        <v>0</v>
      </c>
      <c r="AY456" s="88">
        <f t="shared" si="272"/>
        <v>0</v>
      </c>
      <c r="AZ456" s="81">
        <f t="shared" si="273"/>
        <v>0</v>
      </c>
      <c r="BA456" s="81">
        <f t="shared" si="274"/>
        <v>0</v>
      </c>
      <c r="BB456" s="81">
        <f t="shared" si="275"/>
        <v>0</v>
      </c>
      <c r="BC456" s="81">
        <f t="shared" si="276"/>
        <v>0</v>
      </c>
      <c r="BD456" s="81">
        <f t="shared" si="277"/>
        <v>0</v>
      </c>
      <c r="BE456" s="81">
        <f t="shared" si="278"/>
        <v>0</v>
      </c>
      <c r="BF456" s="81">
        <f t="shared" si="279"/>
        <v>0</v>
      </c>
      <c r="BG456" s="81">
        <f t="shared" si="280"/>
        <v>0</v>
      </c>
      <c r="BH456" s="81">
        <f t="shared" si="281"/>
        <v>0</v>
      </c>
      <c r="BI456" s="81">
        <f t="shared" si="282"/>
        <v>0</v>
      </c>
      <c r="BJ456" s="81">
        <f t="shared" si="283"/>
        <v>0</v>
      </c>
      <c r="BK456" s="81">
        <f t="shared" si="284"/>
        <v>0</v>
      </c>
      <c r="BL456" s="81">
        <f t="shared" si="285"/>
        <v>0</v>
      </c>
      <c r="BM456" s="81">
        <f t="shared" si="286"/>
        <v>0</v>
      </c>
      <c r="BN456" s="81">
        <f t="shared" si="287"/>
        <v>0</v>
      </c>
      <c r="BO456" s="81">
        <f t="shared" si="288"/>
        <v>0</v>
      </c>
      <c r="BP456" s="81">
        <f t="shared" si="289"/>
        <v>0</v>
      </c>
      <c r="BQ456" s="81">
        <f t="shared" si="290"/>
        <v>0</v>
      </c>
      <c r="BR456" s="81">
        <f t="shared" si="291"/>
        <v>0</v>
      </c>
      <c r="BS456" s="81">
        <f t="shared" si="292"/>
        <v>0</v>
      </c>
      <c r="BT456" s="89">
        <f t="shared" si="293"/>
        <v>0</v>
      </c>
    </row>
    <row r="457" spans="1:72">
      <c r="A457" s="79"/>
      <c r="B457" s="80"/>
      <c r="C457" s="80"/>
      <c r="D457" s="2301"/>
      <c r="E457" s="81">
        <f t="shared" si="265"/>
        <v>0</v>
      </c>
      <c r="F457" s="82"/>
      <c r="G457" s="83">
        <f t="shared" si="266"/>
        <v>0</v>
      </c>
      <c r="H457" s="84">
        <f t="shared" si="267"/>
        <v>0</v>
      </c>
      <c r="I457" s="85"/>
      <c r="J457" s="85"/>
      <c r="K457" s="85"/>
      <c r="L457" s="85"/>
      <c r="M457" s="85"/>
      <c r="N457" s="85"/>
      <c r="O457" s="85"/>
      <c r="P457" s="85"/>
      <c r="Q457" s="85"/>
      <c r="R457" s="85"/>
      <c r="S457" s="85"/>
      <c r="T457" s="85"/>
      <c r="U457" s="85"/>
      <c r="V457" s="85"/>
      <c r="W457" s="85"/>
      <c r="X457" s="85"/>
      <c r="Y457" s="85"/>
      <c r="Z457" s="85"/>
      <c r="AA457" s="85"/>
      <c r="AB457" s="85"/>
      <c r="AC457" s="81">
        <f t="shared" si="268"/>
        <v>0</v>
      </c>
      <c r="AD457" s="86"/>
      <c r="AE457" s="86"/>
      <c r="AF457" s="86"/>
      <c r="AG457" s="86"/>
      <c r="AH457" s="86"/>
      <c r="AI457" s="86"/>
      <c r="AJ457" s="86"/>
      <c r="AK457" s="86"/>
      <c r="AL457" s="86"/>
      <c r="AM457" s="86"/>
      <c r="AN457" s="86"/>
      <c r="AO457" s="86"/>
      <c r="AP457" s="86"/>
      <c r="AQ457" s="86"/>
      <c r="AR457" s="86"/>
      <c r="AS457" s="86"/>
      <c r="AT457" s="82"/>
      <c r="AU457" s="87"/>
      <c r="AV457" s="818">
        <f t="shared" si="269"/>
        <v>0</v>
      </c>
      <c r="AW457" s="818">
        <f t="shared" si="270"/>
        <v>0</v>
      </c>
      <c r="AX457" s="818">
        <f t="shared" si="271"/>
        <v>0</v>
      </c>
      <c r="AY457" s="88">
        <f t="shared" si="272"/>
        <v>0</v>
      </c>
      <c r="AZ457" s="81">
        <f t="shared" si="273"/>
        <v>0</v>
      </c>
      <c r="BA457" s="81">
        <f t="shared" si="274"/>
        <v>0</v>
      </c>
      <c r="BB457" s="81">
        <f t="shared" si="275"/>
        <v>0</v>
      </c>
      <c r="BC457" s="81">
        <f t="shared" si="276"/>
        <v>0</v>
      </c>
      <c r="BD457" s="81">
        <f t="shared" si="277"/>
        <v>0</v>
      </c>
      <c r="BE457" s="81">
        <f t="shared" si="278"/>
        <v>0</v>
      </c>
      <c r="BF457" s="81">
        <f t="shared" si="279"/>
        <v>0</v>
      </c>
      <c r="BG457" s="81">
        <f t="shared" si="280"/>
        <v>0</v>
      </c>
      <c r="BH457" s="81">
        <f t="shared" si="281"/>
        <v>0</v>
      </c>
      <c r="BI457" s="81">
        <f t="shared" si="282"/>
        <v>0</v>
      </c>
      <c r="BJ457" s="81">
        <f t="shared" si="283"/>
        <v>0</v>
      </c>
      <c r="BK457" s="81">
        <f t="shared" si="284"/>
        <v>0</v>
      </c>
      <c r="BL457" s="81">
        <f t="shared" si="285"/>
        <v>0</v>
      </c>
      <c r="BM457" s="81">
        <f t="shared" si="286"/>
        <v>0</v>
      </c>
      <c r="BN457" s="81">
        <f t="shared" si="287"/>
        <v>0</v>
      </c>
      <c r="BO457" s="81">
        <f t="shared" si="288"/>
        <v>0</v>
      </c>
      <c r="BP457" s="81">
        <f t="shared" si="289"/>
        <v>0</v>
      </c>
      <c r="BQ457" s="81">
        <f t="shared" si="290"/>
        <v>0</v>
      </c>
      <c r="BR457" s="81">
        <f t="shared" si="291"/>
        <v>0</v>
      </c>
      <c r="BS457" s="81">
        <f t="shared" si="292"/>
        <v>0</v>
      </c>
      <c r="BT457" s="89">
        <f t="shared" si="293"/>
        <v>0</v>
      </c>
    </row>
    <row r="458" spans="1:72">
      <c r="A458" s="79"/>
      <c r="B458" s="80"/>
      <c r="C458" s="80"/>
      <c r="D458" s="2301"/>
      <c r="E458" s="81">
        <f t="shared" si="265"/>
        <v>0</v>
      </c>
      <c r="F458" s="82"/>
      <c r="G458" s="83">
        <f t="shared" si="266"/>
        <v>0</v>
      </c>
      <c r="H458" s="84">
        <f t="shared" si="267"/>
        <v>0</v>
      </c>
      <c r="I458" s="85"/>
      <c r="J458" s="85"/>
      <c r="K458" s="85"/>
      <c r="L458" s="85"/>
      <c r="M458" s="85"/>
      <c r="N458" s="85"/>
      <c r="O458" s="85"/>
      <c r="P458" s="85"/>
      <c r="Q458" s="85"/>
      <c r="R458" s="85"/>
      <c r="S458" s="85"/>
      <c r="T458" s="85"/>
      <c r="U458" s="85"/>
      <c r="V458" s="85"/>
      <c r="W458" s="85"/>
      <c r="X458" s="85"/>
      <c r="Y458" s="85"/>
      <c r="Z458" s="85"/>
      <c r="AA458" s="85"/>
      <c r="AB458" s="85"/>
      <c r="AC458" s="81">
        <f t="shared" si="268"/>
        <v>0</v>
      </c>
      <c r="AD458" s="86"/>
      <c r="AE458" s="86"/>
      <c r="AF458" s="86"/>
      <c r="AG458" s="86"/>
      <c r="AH458" s="86"/>
      <c r="AI458" s="86"/>
      <c r="AJ458" s="86"/>
      <c r="AK458" s="86"/>
      <c r="AL458" s="86"/>
      <c r="AM458" s="86"/>
      <c r="AN458" s="86"/>
      <c r="AO458" s="86"/>
      <c r="AP458" s="86"/>
      <c r="AQ458" s="86"/>
      <c r="AR458" s="86"/>
      <c r="AS458" s="86"/>
      <c r="AT458" s="82"/>
      <c r="AU458" s="87"/>
      <c r="AV458" s="818">
        <f t="shared" si="269"/>
        <v>0</v>
      </c>
      <c r="AW458" s="818">
        <f t="shared" si="270"/>
        <v>0</v>
      </c>
      <c r="AX458" s="818">
        <f t="shared" si="271"/>
        <v>0</v>
      </c>
      <c r="AY458" s="88">
        <f t="shared" si="272"/>
        <v>0</v>
      </c>
      <c r="AZ458" s="81">
        <f t="shared" si="273"/>
        <v>0</v>
      </c>
      <c r="BA458" s="81">
        <f t="shared" si="274"/>
        <v>0</v>
      </c>
      <c r="BB458" s="81">
        <f t="shared" si="275"/>
        <v>0</v>
      </c>
      <c r="BC458" s="81">
        <f t="shared" si="276"/>
        <v>0</v>
      </c>
      <c r="BD458" s="81">
        <f t="shared" si="277"/>
        <v>0</v>
      </c>
      <c r="BE458" s="81">
        <f t="shared" si="278"/>
        <v>0</v>
      </c>
      <c r="BF458" s="81">
        <f t="shared" si="279"/>
        <v>0</v>
      </c>
      <c r="BG458" s="81">
        <f t="shared" si="280"/>
        <v>0</v>
      </c>
      <c r="BH458" s="81">
        <f t="shared" si="281"/>
        <v>0</v>
      </c>
      <c r="BI458" s="81">
        <f t="shared" si="282"/>
        <v>0</v>
      </c>
      <c r="BJ458" s="81">
        <f t="shared" si="283"/>
        <v>0</v>
      </c>
      <c r="BK458" s="81">
        <f t="shared" si="284"/>
        <v>0</v>
      </c>
      <c r="BL458" s="81">
        <f t="shared" si="285"/>
        <v>0</v>
      </c>
      <c r="BM458" s="81">
        <f t="shared" si="286"/>
        <v>0</v>
      </c>
      <c r="BN458" s="81">
        <f t="shared" si="287"/>
        <v>0</v>
      </c>
      <c r="BO458" s="81">
        <f t="shared" si="288"/>
        <v>0</v>
      </c>
      <c r="BP458" s="81">
        <f t="shared" si="289"/>
        <v>0</v>
      </c>
      <c r="BQ458" s="81">
        <f t="shared" si="290"/>
        <v>0</v>
      </c>
      <c r="BR458" s="81">
        <f t="shared" si="291"/>
        <v>0</v>
      </c>
      <c r="BS458" s="81">
        <f t="shared" si="292"/>
        <v>0</v>
      </c>
      <c r="BT458" s="89">
        <f t="shared" si="293"/>
        <v>0</v>
      </c>
    </row>
    <row r="459" spans="1:72">
      <c r="A459" s="79"/>
      <c r="B459" s="80"/>
      <c r="C459" s="80"/>
      <c r="D459" s="2301"/>
      <c r="E459" s="81">
        <f t="shared" si="265"/>
        <v>0</v>
      </c>
      <c r="F459" s="82"/>
      <c r="G459" s="83">
        <f t="shared" si="266"/>
        <v>0</v>
      </c>
      <c r="H459" s="84">
        <f t="shared" si="267"/>
        <v>0</v>
      </c>
      <c r="I459" s="85"/>
      <c r="J459" s="85"/>
      <c r="K459" s="85"/>
      <c r="L459" s="85"/>
      <c r="M459" s="85"/>
      <c r="N459" s="85"/>
      <c r="O459" s="85"/>
      <c r="P459" s="85"/>
      <c r="Q459" s="85"/>
      <c r="R459" s="85"/>
      <c r="S459" s="85"/>
      <c r="T459" s="85"/>
      <c r="U459" s="85"/>
      <c r="V459" s="85"/>
      <c r="W459" s="85"/>
      <c r="X459" s="85"/>
      <c r="Y459" s="85"/>
      <c r="Z459" s="85"/>
      <c r="AA459" s="85"/>
      <c r="AB459" s="85"/>
      <c r="AC459" s="81">
        <f t="shared" si="268"/>
        <v>0</v>
      </c>
      <c r="AD459" s="86"/>
      <c r="AE459" s="86"/>
      <c r="AF459" s="86"/>
      <c r="AG459" s="86"/>
      <c r="AH459" s="86"/>
      <c r="AI459" s="86"/>
      <c r="AJ459" s="86"/>
      <c r="AK459" s="86"/>
      <c r="AL459" s="86"/>
      <c r="AM459" s="86"/>
      <c r="AN459" s="86"/>
      <c r="AO459" s="86"/>
      <c r="AP459" s="86"/>
      <c r="AQ459" s="86"/>
      <c r="AR459" s="86"/>
      <c r="AS459" s="86"/>
      <c r="AT459" s="82"/>
      <c r="AU459" s="87"/>
      <c r="AV459" s="818">
        <f t="shared" si="269"/>
        <v>0</v>
      </c>
      <c r="AW459" s="818">
        <f t="shared" si="270"/>
        <v>0</v>
      </c>
      <c r="AX459" s="818">
        <f t="shared" si="271"/>
        <v>0</v>
      </c>
      <c r="AY459" s="88">
        <f t="shared" si="272"/>
        <v>0</v>
      </c>
      <c r="AZ459" s="81">
        <f t="shared" si="273"/>
        <v>0</v>
      </c>
      <c r="BA459" s="81">
        <f t="shared" si="274"/>
        <v>0</v>
      </c>
      <c r="BB459" s="81">
        <f t="shared" si="275"/>
        <v>0</v>
      </c>
      <c r="BC459" s="81">
        <f t="shared" si="276"/>
        <v>0</v>
      </c>
      <c r="BD459" s="81">
        <f t="shared" si="277"/>
        <v>0</v>
      </c>
      <c r="BE459" s="81">
        <f t="shared" si="278"/>
        <v>0</v>
      </c>
      <c r="BF459" s="81">
        <f t="shared" si="279"/>
        <v>0</v>
      </c>
      <c r="BG459" s="81">
        <f t="shared" si="280"/>
        <v>0</v>
      </c>
      <c r="BH459" s="81">
        <f t="shared" si="281"/>
        <v>0</v>
      </c>
      <c r="BI459" s="81">
        <f t="shared" si="282"/>
        <v>0</v>
      </c>
      <c r="BJ459" s="81">
        <f t="shared" si="283"/>
        <v>0</v>
      </c>
      <c r="BK459" s="81">
        <f t="shared" si="284"/>
        <v>0</v>
      </c>
      <c r="BL459" s="81">
        <f t="shared" si="285"/>
        <v>0</v>
      </c>
      <c r="BM459" s="81">
        <f t="shared" si="286"/>
        <v>0</v>
      </c>
      <c r="BN459" s="81">
        <f t="shared" si="287"/>
        <v>0</v>
      </c>
      <c r="BO459" s="81">
        <f t="shared" si="288"/>
        <v>0</v>
      </c>
      <c r="BP459" s="81">
        <f t="shared" si="289"/>
        <v>0</v>
      </c>
      <c r="BQ459" s="81">
        <f t="shared" si="290"/>
        <v>0</v>
      </c>
      <c r="BR459" s="81">
        <f t="shared" si="291"/>
        <v>0</v>
      </c>
      <c r="BS459" s="81">
        <f t="shared" si="292"/>
        <v>0</v>
      </c>
      <c r="BT459" s="89">
        <f t="shared" si="293"/>
        <v>0</v>
      </c>
    </row>
    <row r="460" spans="1:72">
      <c r="A460" s="79"/>
      <c r="B460" s="80"/>
      <c r="C460" s="80"/>
      <c r="D460" s="2301"/>
      <c r="E460" s="81">
        <f t="shared" si="265"/>
        <v>0</v>
      </c>
      <c r="F460" s="82"/>
      <c r="G460" s="83">
        <f t="shared" si="266"/>
        <v>0</v>
      </c>
      <c r="H460" s="84">
        <f t="shared" si="267"/>
        <v>0</v>
      </c>
      <c r="I460" s="85"/>
      <c r="J460" s="85"/>
      <c r="K460" s="85"/>
      <c r="L460" s="85"/>
      <c r="M460" s="85"/>
      <c r="N460" s="85"/>
      <c r="O460" s="85"/>
      <c r="P460" s="85"/>
      <c r="Q460" s="85"/>
      <c r="R460" s="85"/>
      <c r="S460" s="85"/>
      <c r="T460" s="85"/>
      <c r="U460" s="85"/>
      <c r="V460" s="85"/>
      <c r="W460" s="85"/>
      <c r="X460" s="85"/>
      <c r="Y460" s="85"/>
      <c r="Z460" s="85"/>
      <c r="AA460" s="85"/>
      <c r="AB460" s="85"/>
      <c r="AC460" s="81">
        <f t="shared" si="268"/>
        <v>0</v>
      </c>
      <c r="AD460" s="86"/>
      <c r="AE460" s="86"/>
      <c r="AF460" s="86"/>
      <c r="AG460" s="86"/>
      <c r="AH460" s="86"/>
      <c r="AI460" s="86"/>
      <c r="AJ460" s="86"/>
      <c r="AK460" s="86"/>
      <c r="AL460" s="86"/>
      <c r="AM460" s="86"/>
      <c r="AN460" s="86"/>
      <c r="AO460" s="86"/>
      <c r="AP460" s="86"/>
      <c r="AQ460" s="86"/>
      <c r="AR460" s="86"/>
      <c r="AS460" s="86"/>
      <c r="AT460" s="82"/>
      <c r="AU460" s="87"/>
      <c r="AV460" s="818">
        <f t="shared" si="269"/>
        <v>0</v>
      </c>
      <c r="AW460" s="818">
        <f t="shared" si="270"/>
        <v>0</v>
      </c>
      <c r="AX460" s="818">
        <f t="shared" si="271"/>
        <v>0</v>
      </c>
      <c r="AY460" s="88">
        <f t="shared" si="272"/>
        <v>0</v>
      </c>
      <c r="AZ460" s="81">
        <f t="shared" si="273"/>
        <v>0</v>
      </c>
      <c r="BA460" s="81">
        <f t="shared" si="274"/>
        <v>0</v>
      </c>
      <c r="BB460" s="81">
        <f t="shared" si="275"/>
        <v>0</v>
      </c>
      <c r="BC460" s="81">
        <f t="shared" si="276"/>
        <v>0</v>
      </c>
      <c r="BD460" s="81">
        <f t="shared" si="277"/>
        <v>0</v>
      </c>
      <c r="BE460" s="81">
        <f t="shared" si="278"/>
        <v>0</v>
      </c>
      <c r="BF460" s="81">
        <f t="shared" si="279"/>
        <v>0</v>
      </c>
      <c r="BG460" s="81">
        <f t="shared" si="280"/>
        <v>0</v>
      </c>
      <c r="BH460" s="81">
        <f t="shared" si="281"/>
        <v>0</v>
      </c>
      <c r="BI460" s="81">
        <f t="shared" si="282"/>
        <v>0</v>
      </c>
      <c r="BJ460" s="81">
        <f t="shared" si="283"/>
        <v>0</v>
      </c>
      <c r="BK460" s="81">
        <f t="shared" si="284"/>
        <v>0</v>
      </c>
      <c r="BL460" s="81">
        <f t="shared" si="285"/>
        <v>0</v>
      </c>
      <c r="BM460" s="81">
        <f t="shared" si="286"/>
        <v>0</v>
      </c>
      <c r="BN460" s="81">
        <f t="shared" si="287"/>
        <v>0</v>
      </c>
      <c r="BO460" s="81">
        <f t="shared" si="288"/>
        <v>0</v>
      </c>
      <c r="BP460" s="81">
        <f t="shared" si="289"/>
        <v>0</v>
      </c>
      <c r="BQ460" s="81">
        <f t="shared" si="290"/>
        <v>0</v>
      </c>
      <c r="BR460" s="81">
        <f t="shared" si="291"/>
        <v>0</v>
      </c>
      <c r="BS460" s="81">
        <f t="shared" si="292"/>
        <v>0</v>
      </c>
      <c r="BT460" s="89">
        <f t="shared" si="293"/>
        <v>0</v>
      </c>
    </row>
    <row r="461" spans="1:72">
      <c r="A461" s="79"/>
      <c r="B461" s="80"/>
      <c r="C461" s="80"/>
      <c r="D461" s="2301"/>
      <c r="E461" s="81">
        <f t="shared" si="265"/>
        <v>0</v>
      </c>
      <c r="F461" s="82"/>
      <c r="G461" s="83">
        <f t="shared" si="266"/>
        <v>0</v>
      </c>
      <c r="H461" s="84">
        <f t="shared" si="267"/>
        <v>0</v>
      </c>
      <c r="I461" s="85"/>
      <c r="J461" s="85"/>
      <c r="K461" s="85"/>
      <c r="L461" s="85"/>
      <c r="M461" s="85"/>
      <c r="N461" s="85"/>
      <c r="O461" s="85"/>
      <c r="P461" s="85"/>
      <c r="Q461" s="85"/>
      <c r="R461" s="85"/>
      <c r="S461" s="85"/>
      <c r="T461" s="85"/>
      <c r="U461" s="85"/>
      <c r="V461" s="85"/>
      <c r="W461" s="85"/>
      <c r="X461" s="85"/>
      <c r="Y461" s="85"/>
      <c r="Z461" s="85"/>
      <c r="AA461" s="85"/>
      <c r="AB461" s="85"/>
      <c r="AC461" s="81">
        <f t="shared" si="268"/>
        <v>0</v>
      </c>
      <c r="AD461" s="86"/>
      <c r="AE461" s="86"/>
      <c r="AF461" s="86"/>
      <c r="AG461" s="86"/>
      <c r="AH461" s="86"/>
      <c r="AI461" s="86"/>
      <c r="AJ461" s="86"/>
      <c r="AK461" s="86"/>
      <c r="AL461" s="86"/>
      <c r="AM461" s="86"/>
      <c r="AN461" s="86"/>
      <c r="AO461" s="86"/>
      <c r="AP461" s="86"/>
      <c r="AQ461" s="86"/>
      <c r="AR461" s="86"/>
      <c r="AS461" s="86"/>
      <c r="AT461" s="82"/>
      <c r="AU461" s="87"/>
      <c r="AV461" s="818">
        <f t="shared" si="269"/>
        <v>0</v>
      </c>
      <c r="AW461" s="818">
        <f t="shared" si="270"/>
        <v>0</v>
      </c>
      <c r="AX461" s="818">
        <f t="shared" si="271"/>
        <v>0</v>
      </c>
      <c r="AY461" s="88">
        <f t="shared" si="272"/>
        <v>0</v>
      </c>
      <c r="AZ461" s="81">
        <f t="shared" si="273"/>
        <v>0</v>
      </c>
      <c r="BA461" s="81">
        <f t="shared" si="274"/>
        <v>0</v>
      </c>
      <c r="BB461" s="81">
        <f t="shared" si="275"/>
        <v>0</v>
      </c>
      <c r="BC461" s="81">
        <f t="shared" si="276"/>
        <v>0</v>
      </c>
      <c r="BD461" s="81">
        <f t="shared" si="277"/>
        <v>0</v>
      </c>
      <c r="BE461" s="81">
        <f t="shared" si="278"/>
        <v>0</v>
      </c>
      <c r="BF461" s="81">
        <f t="shared" si="279"/>
        <v>0</v>
      </c>
      <c r="BG461" s="81">
        <f t="shared" si="280"/>
        <v>0</v>
      </c>
      <c r="BH461" s="81">
        <f t="shared" si="281"/>
        <v>0</v>
      </c>
      <c r="BI461" s="81">
        <f t="shared" si="282"/>
        <v>0</v>
      </c>
      <c r="BJ461" s="81">
        <f t="shared" si="283"/>
        <v>0</v>
      </c>
      <c r="BK461" s="81">
        <f t="shared" si="284"/>
        <v>0</v>
      </c>
      <c r="BL461" s="81">
        <f t="shared" si="285"/>
        <v>0</v>
      </c>
      <c r="BM461" s="81">
        <f t="shared" si="286"/>
        <v>0</v>
      </c>
      <c r="BN461" s="81">
        <f t="shared" si="287"/>
        <v>0</v>
      </c>
      <c r="BO461" s="81">
        <f t="shared" si="288"/>
        <v>0</v>
      </c>
      <c r="BP461" s="81">
        <f t="shared" si="289"/>
        <v>0</v>
      </c>
      <c r="BQ461" s="81">
        <f t="shared" si="290"/>
        <v>0</v>
      </c>
      <c r="BR461" s="81">
        <f t="shared" si="291"/>
        <v>0</v>
      </c>
      <c r="BS461" s="81">
        <f t="shared" si="292"/>
        <v>0</v>
      </c>
      <c r="BT461" s="89">
        <f t="shared" si="293"/>
        <v>0</v>
      </c>
    </row>
    <row r="462" spans="1:72">
      <c r="A462" s="79"/>
      <c r="B462" s="80"/>
      <c r="C462" s="80"/>
      <c r="D462" s="2301"/>
      <c r="E462" s="81">
        <f t="shared" si="265"/>
        <v>0</v>
      </c>
      <c r="F462" s="82"/>
      <c r="G462" s="83">
        <f t="shared" si="266"/>
        <v>0</v>
      </c>
      <c r="H462" s="84">
        <f t="shared" si="267"/>
        <v>0</v>
      </c>
      <c r="I462" s="85"/>
      <c r="J462" s="85"/>
      <c r="K462" s="85"/>
      <c r="L462" s="85"/>
      <c r="M462" s="85"/>
      <c r="N462" s="85"/>
      <c r="O462" s="85"/>
      <c r="P462" s="85"/>
      <c r="Q462" s="85"/>
      <c r="R462" s="85"/>
      <c r="S462" s="85"/>
      <c r="T462" s="85"/>
      <c r="U462" s="85"/>
      <c r="V462" s="85"/>
      <c r="W462" s="85"/>
      <c r="X462" s="85"/>
      <c r="Y462" s="85"/>
      <c r="Z462" s="85"/>
      <c r="AA462" s="85"/>
      <c r="AB462" s="85"/>
      <c r="AC462" s="81">
        <f t="shared" si="268"/>
        <v>0</v>
      </c>
      <c r="AD462" s="86"/>
      <c r="AE462" s="86"/>
      <c r="AF462" s="86"/>
      <c r="AG462" s="86"/>
      <c r="AH462" s="86"/>
      <c r="AI462" s="86"/>
      <c r="AJ462" s="86"/>
      <c r="AK462" s="86"/>
      <c r="AL462" s="86"/>
      <c r="AM462" s="86"/>
      <c r="AN462" s="86"/>
      <c r="AO462" s="86"/>
      <c r="AP462" s="86"/>
      <c r="AQ462" s="86"/>
      <c r="AR462" s="86"/>
      <c r="AS462" s="86"/>
      <c r="AT462" s="82"/>
      <c r="AU462" s="87"/>
      <c r="AV462" s="818">
        <f t="shared" si="269"/>
        <v>0</v>
      </c>
      <c r="AW462" s="818">
        <f t="shared" si="270"/>
        <v>0</v>
      </c>
      <c r="AX462" s="818">
        <f t="shared" si="271"/>
        <v>0</v>
      </c>
      <c r="AY462" s="88">
        <f t="shared" si="272"/>
        <v>0</v>
      </c>
      <c r="AZ462" s="81">
        <f t="shared" si="273"/>
        <v>0</v>
      </c>
      <c r="BA462" s="81">
        <f t="shared" si="274"/>
        <v>0</v>
      </c>
      <c r="BB462" s="81">
        <f t="shared" si="275"/>
        <v>0</v>
      </c>
      <c r="BC462" s="81">
        <f t="shared" si="276"/>
        <v>0</v>
      </c>
      <c r="BD462" s="81">
        <f t="shared" si="277"/>
        <v>0</v>
      </c>
      <c r="BE462" s="81">
        <f t="shared" si="278"/>
        <v>0</v>
      </c>
      <c r="BF462" s="81">
        <f t="shared" si="279"/>
        <v>0</v>
      </c>
      <c r="BG462" s="81">
        <f t="shared" si="280"/>
        <v>0</v>
      </c>
      <c r="BH462" s="81">
        <f t="shared" si="281"/>
        <v>0</v>
      </c>
      <c r="BI462" s="81">
        <f t="shared" si="282"/>
        <v>0</v>
      </c>
      <c r="BJ462" s="81">
        <f t="shared" si="283"/>
        <v>0</v>
      </c>
      <c r="BK462" s="81">
        <f t="shared" si="284"/>
        <v>0</v>
      </c>
      <c r="BL462" s="81">
        <f t="shared" si="285"/>
        <v>0</v>
      </c>
      <c r="BM462" s="81">
        <f t="shared" si="286"/>
        <v>0</v>
      </c>
      <c r="BN462" s="81">
        <f t="shared" si="287"/>
        <v>0</v>
      </c>
      <c r="BO462" s="81">
        <f t="shared" si="288"/>
        <v>0</v>
      </c>
      <c r="BP462" s="81">
        <f t="shared" si="289"/>
        <v>0</v>
      </c>
      <c r="BQ462" s="81">
        <f t="shared" si="290"/>
        <v>0</v>
      </c>
      <c r="BR462" s="81">
        <f t="shared" si="291"/>
        <v>0</v>
      </c>
      <c r="BS462" s="81">
        <f t="shared" si="292"/>
        <v>0</v>
      </c>
      <c r="BT462" s="89">
        <f t="shared" si="293"/>
        <v>0</v>
      </c>
    </row>
    <row r="463" spans="1:72">
      <c r="A463" s="79"/>
      <c r="B463" s="80"/>
      <c r="C463" s="80"/>
      <c r="D463" s="2301"/>
      <c r="E463" s="81">
        <f t="shared" si="265"/>
        <v>0</v>
      </c>
      <c r="F463" s="82"/>
      <c r="G463" s="83">
        <f t="shared" si="266"/>
        <v>0</v>
      </c>
      <c r="H463" s="84">
        <f t="shared" si="267"/>
        <v>0</v>
      </c>
      <c r="I463" s="85"/>
      <c r="J463" s="85"/>
      <c r="K463" s="85"/>
      <c r="L463" s="85"/>
      <c r="M463" s="85"/>
      <c r="N463" s="85"/>
      <c r="O463" s="85"/>
      <c r="P463" s="85"/>
      <c r="Q463" s="85"/>
      <c r="R463" s="85"/>
      <c r="S463" s="85"/>
      <c r="T463" s="85"/>
      <c r="U463" s="85"/>
      <c r="V463" s="85"/>
      <c r="W463" s="85"/>
      <c r="X463" s="85"/>
      <c r="Y463" s="85"/>
      <c r="Z463" s="85"/>
      <c r="AA463" s="85"/>
      <c r="AB463" s="85"/>
      <c r="AC463" s="81">
        <f t="shared" si="268"/>
        <v>0</v>
      </c>
      <c r="AD463" s="86"/>
      <c r="AE463" s="86"/>
      <c r="AF463" s="86"/>
      <c r="AG463" s="86"/>
      <c r="AH463" s="86"/>
      <c r="AI463" s="86"/>
      <c r="AJ463" s="86"/>
      <c r="AK463" s="86"/>
      <c r="AL463" s="86"/>
      <c r="AM463" s="86"/>
      <c r="AN463" s="86"/>
      <c r="AO463" s="86"/>
      <c r="AP463" s="86"/>
      <c r="AQ463" s="86"/>
      <c r="AR463" s="86"/>
      <c r="AS463" s="86"/>
      <c r="AT463" s="82"/>
      <c r="AU463" s="87"/>
      <c r="AV463" s="818">
        <f t="shared" si="269"/>
        <v>0</v>
      </c>
      <c r="AW463" s="818">
        <f t="shared" si="270"/>
        <v>0</v>
      </c>
      <c r="AX463" s="818">
        <f t="shared" si="271"/>
        <v>0</v>
      </c>
      <c r="AY463" s="88">
        <f t="shared" si="272"/>
        <v>0</v>
      </c>
      <c r="AZ463" s="81">
        <f t="shared" si="273"/>
        <v>0</v>
      </c>
      <c r="BA463" s="81">
        <f t="shared" si="274"/>
        <v>0</v>
      </c>
      <c r="BB463" s="81">
        <f t="shared" si="275"/>
        <v>0</v>
      </c>
      <c r="BC463" s="81">
        <f t="shared" si="276"/>
        <v>0</v>
      </c>
      <c r="BD463" s="81">
        <f t="shared" si="277"/>
        <v>0</v>
      </c>
      <c r="BE463" s="81">
        <f t="shared" si="278"/>
        <v>0</v>
      </c>
      <c r="BF463" s="81">
        <f t="shared" si="279"/>
        <v>0</v>
      </c>
      <c r="BG463" s="81">
        <f t="shared" si="280"/>
        <v>0</v>
      </c>
      <c r="BH463" s="81">
        <f t="shared" si="281"/>
        <v>0</v>
      </c>
      <c r="BI463" s="81">
        <f t="shared" si="282"/>
        <v>0</v>
      </c>
      <c r="BJ463" s="81">
        <f t="shared" si="283"/>
        <v>0</v>
      </c>
      <c r="BK463" s="81">
        <f t="shared" si="284"/>
        <v>0</v>
      </c>
      <c r="BL463" s="81">
        <f t="shared" si="285"/>
        <v>0</v>
      </c>
      <c r="BM463" s="81">
        <f t="shared" si="286"/>
        <v>0</v>
      </c>
      <c r="BN463" s="81">
        <f t="shared" si="287"/>
        <v>0</v>
      </c>
      <c r="BO463" s="81">
        <f t="shared" si="288"/>
        <v>0</v>
      </c>
      <c r="BP463" s="81">
        <f t="shared" si="289"/>
        <v>0</v>
      </c>
      <c r="BQ463" s="81">
        <f t="shared" si="290"/>
        <v>0</v>
      </c>
      <c r="BR463" s="81">
        <f t="shared" si="291"/>
        <v>0</v>
      </c>
      <c r="BS463" s="81">
        <f t="shared" si="292"/>
        <v>0</v>
      </c>
      <c r="BT463" s="89">
        <f t="shared" si="293"/>
        <v>0</v>
      </c>
    </row>
    <row r="464" spans="1:72">
      <c r="A464" s="79"/>
      <c r="B464" s="80"/>
      <c r="C464" s="80"/>
      <c r="D464" s="2301"/>
      <c r="E464" s="81">
        <f t="shared" si="265"/>
        <v>0</v>
      </c>
      <c r="F464" s="82"/>
      <c r="G464" s="83">
        <f t="shared" si="266"/>
        <v>0</v>
      </c>
      <c r="H464" s="84">
        <f t="shared" si="267"/>
        <v>0</v>
      </c>
      <c r="I464" s="85"/>
      <c r="J464" s="85"/>
      <c r="K464" s="85"/>
      <c r="L464" s="85"/>
      <c r="M464" s="85"/>
      <c r="N464" s="85"/>
      <c r="O464" s="85"/>
      <c r="P464" s="85"/>
      <c r="Q464" s="85"/>
      <c r="R464" s="85"/>
      <c r="S464" s="85"/>
      <c r="T464" s="85"/>
      <c r="U464" s="85"/>
      <c r="V464" s="85"/>
      <c r="W464" s="85"/>
      <c r="X464" s="85"/>
      <c r="Y464" s="85"/>
      <c r="Z464" s="85"/>
      <c r="AA464" s="85"/>
      <c r="AB464" s="85"/>
      <c r="AC464" s="81">
        <f t="shared" si="268"/>
        <v>0</v>
      </c>
      <c r="AD464" s="86"/>
      <c r="AE464" s="86"/>
      <c r="AF464" s="86"/>
      <c r="AG464" s="86"/>
      <c r="AH464" s="86"/>
      <c r="AI464" s="86"/>
      <c r="AJ464" s="86"/>
      <c r="AK464" s="86"/>
      <c r="AL464" s="86"/>
      <c r="AM464" s="86"/>
      <c r="AN464" s="86"/>
      <c r="AO464" s="86"/>
      <c r="AP464" s="86"/>
      <c r="AQ464" s="86"/>
      <c r="AR464" s="86"/>
      <c r="AS464" s="86"/>
      <c r="AT464" s="82"/>
      <c r="AU464" s="87"/>
      <c r="AV464" s="818">
        <f t="shared" si="269"/>
        <v>0</v>
      </c>
      <c r="AW464" s="818">
        <f t="shared" si="270"/>
        <v>0</v>
      </c>
      <c r="AX464" s="818">
        <f t="shared" si="271"/>
        <v>0</v>
      </c>
      <c r="AY464" s="88">
        <f t="shared" si="272"/>
        <v>0</v>
      </c>
      <c r="AZ464" s="81">
        <f t="shared" si="273"/>
        <v>0</v>
      </c>
      <c r="BA464" s="81">
        <f t="shared" si="274"/>
        <v>0</v>
      </c>
      <c r="BB464" s="81">
        <f t="shared" si="275"/>
        <v>0</v>
      </c>
      <c r="BC464" s="81">
        <f t="shared" si="276"/>
        <v>0</v>
      </c>
      <c r="BD464" s="81">
        <f t="shared" si="277"/>
        <v>0</v>
      </c>
      <c r="BE464" s="81">
        <f t="shared" si="278"/>
        <v>0</v>
      </c>
      <c r="BF464" s="81">
        <f t="shared" si="279"/>
        <v>0</v>
      </c>
      <c r="BG464" s="81">
        <f t="shared" si="280"/>
        <v>0</v>
      </c>
      <c r="BH464" s="81">
        <f t="shared" si="281"/>
        <v>0</v>
      </c>
      <c r="BI464" s="81">
        <f t="shared" si="282"/>
        <v>0</v>
      </c>
      <c r="BJ464" s="81">
        <f t="shared" si="283"/>
        <v>0</v>
      </c>
      <c r="BK464" s="81">
        <f t="shared" si="284"/>
        <v>0</v>
      </c>
      <c r="BL464" s="81">
        <f t="shared" si="285"/>
        <v>0</v>
      </c>
      <c r="BM464" s="81">
        <f t="shared" si="286"/>
        <v>0</v>
      </c>
      <c r="BN464" s="81">
        <f t="shared" si="287"/>
        <v>0</v>
      </c>
      <c r="BO464" s="81">
        <f t="shared" si="288"/>
        <v>0</v>
      </c>
      <c r="BP464" s="81">
        <f t="shared" si="289"/>
        <v>0</v>
      </c>
      <c r="BQ464" s="81">
        <f t="shared" si="290"/>
        <v>0</v>
      </c>
      <c r="BR464" s="81">
        <f t="shared" si="291"/>
        <v>0</v>
      </c>
      <c r="BS464" s="81">
        <f t="shared" si="292"/>
        <v>0</v>
      </c>
      <c r="BT464" s="89">
        <f t="shared" si="293"/>
        <v>0</v>
      </c>
    </row>
    <row r="465" spans="1:72">
      <c r="A465" s="79"/>
      <c r="B465" s="80"/>
      <c r="C465" s="80"/>
      <c r="D465" s="2301"/>
      <c r="E465" s="81">
        <f t="shared" si="265"/>
        <v>0</v>
      </c>
      <c r="F465" s="82"/>
      <c r="G465" s="83">
        <f t="shared" si="266"/>
        <v>0</v>
      </c>
      <c r="H465" s="84">
        <f t="shared" si="267"/>
        <v>0</v>
      </c>
      <c r="I465" s="85"/>
      <c r="J465" s="85"/>
      <c r="K465" s="85"/>
      <c r="L465" s="85"/>
      <c r="M465" s="85"/>
      <c r="N465" s="85"/>
      <c r="O465" s="85"/>
      <c r="P465" s="85"/>
      <c r="Q465" s="85"/>
      <c r="R465" s="85"/>
      <c r="S465" s="85"/>
      <c r="T465" s="85"/>
      <c r="U465" s="85"/>
      <c r="V465" s="85"/>
      <c r="W465" s="85"/>
      <c r="X465" s="85"/>
      <c r="Y465" s="85"/>
      <c r="Z465" s="85"/>
      <c r="AA465" s="85"/>
      <c r="AB465" s="85"/>
      <c r="AC465" s="81">
        <f t="shared" si="268"/>
        <v>0</v>
      </c>
      <c r="AD465" s="86"/>
      <c r="AE465" s="86"/>
      <c r="AF465" s="86"/>
      <c r="AG465" s="86"/>
      <c r="AH465" s="86"/>
      <c r="AI465" s="86"/>
      <c r="AJ465" s="86"/>
      <c r="AK465" s="86"/>
      <c r="AL465" s="86"/>
      <c r="AM465" s="86"/>
      <c r="AN465" s="86"/>
      <c r="AO465" s="86"/>
      <c r="AP465" s="86"/>
      <c r="AQ465" s="86"/>
      <c r="AR465" s="86"/>
      <c r="AS465" s="86"/>
      <c r="AT465" s="82"/>
      <c r="AU465" s="87"/>
      <c r="AV465" s="818">
        <f t="shared" si="269"/>
        <v>0</v>
      </c>
      <c r="AW465" s="818">
        <f t="shared" si="270"/>
        <v>0</v>
      </c>
      <c r="AX465" s="818">
        <f t="shared" si="271"/>
        <v>0</v>
      </c>
      <c r="AY465" s="88">
        <f t="shared" si="272"/>
        <v>0</v>
      </c>
      <c r="AZ465" s="81">
        <f t="shared" si="273"/>
        <v>0</v>
      </c>
      <c r="BA465" s="81">
        <f t="shared" si="274"/>
        <v>0</v>
      </c>
      <c r="BB465" s="81">
        <f t="shared" si="275"/>
        <v>0</v>
      </c>
      <c r="BC465" s="81">
        <f t="shared" si="276"/>
        <v>0</v>
      </c>
      <c r="BD465" s="81">
        <f t="shared" si="277"/>
        <v>0</v>
      </c>
      <c r="BE465" s="81">
        <f t="shared" si="278"/>
        <v>0</v>
      </c>
      <c r="BF465" s="81">
        <f t="shared" si="279"/>
        <v>0</v>
      </c>
      <c r="BG465" s="81">
        <f t="shared" si="280"/>
        <v>0</v>
      </c>
      <c r="BH465" s="81">
        <f t="shared" si="281"/>
        <v>0</v>
      </c>
      <c r="BI465" s="81">
        <f t="shared" si="282"/>
        <v>0</v>
      </c>
      <c r="BJ465" s="81">
        <f t="shared" si="283"/>
        <v>0</v>
      </c>
      <c r="BK465" s="81">
        <f t="shared" si="284"/>
        <v>0</v>
      </c>
      <c r="BL465" s="81">
        <f t="shared" si="285"/>
        <v>0</v>
      </c>
      <c r="BM465" s="81">
        <f t="shared" si="286"/>
        <v>0</v>
      </c>
      <c r="BN465" s="81">
        <f t="shared" si="287"/>
        <v>0</v>
      </c>
      <c r="BO465" s="81">
        <f t="shared" si="288"/>
        <v>0</v>
      </c>
      <c r="BP465" s="81">
        <f t="shared" si="289"/>
        <v>0</v>
      </c>
      <c r="BQ465" s="81">
        <f t="shared" si="290"/>
        <v>0</v>
      </c>
      <c r="BR465" s="81">
        <f t="shared" si="291"/>
        <v>0</v>
      </c>
      <c r="BS465" s="81">
        <f t="shared" si="292"/>
        <v>0</v>
      </c>
      <c r="BT465" s="89">
        <f t="shared" si="293"/>
        <v>0</v>
      </c>
    </row>
    <row r="466" spans="1:72">
      <c r="A466" s="79"/>
      <c r="B466" s="80"/>
      <c r="C466" s="80"/>
      <c r="D466" s="2301"/>
      <c r="E466" s="81">
        <f t="shared" si="265"/>
        <v>0</v>
      </c>
      <c r="F466" s="82"/>
      <c r="G466" s="83">
        <f t="shared" si="266"/>
        <v>0</v>
      </c>
      <c r="H466" s="84">
        <f t="shared" si="267"/>
        <v>0</v>
      </c>
      <c r="I466" s="85"/>
      <c r="J466" s="85"/>
      <c r="K466" s="85"/>
      <c r="L466" s="85"/>
      <c r="M466" s="85"/>
      <c r="N466" s="85"/>
      <c r="O466" s="85"/>
      <c r="P466" s="85"/>
      <c r="Q466" s="85"/>
      <c r="R466" s="85"/>
      <c r="S466" s="85"/>
      <c r="T466" s="85"/>
      <c r="U466" s="85"/>
      <c r="V466" s="85"/>
      <c r="W466" s="85"/>
      <c r="X466" s="85"/>
      <c r="Y466" s="85"/>
      <c r="Z466" s="85"/>
      <c r="AA466" s="85"/>
      <c r="AB466" s="85"/>
      <c r="AC466" s="81">
        <f t="shared" si="268"/>
        <v>0</v>
      </c>
      <c r="AD466" s="86"/>
      <c r="AE466" s="86"/>
      <c r="AF466" s="86"/>
      <c r="AG466" s="86"/>
      <c r="AH466" s="86"/>
      <c r="AI466" s="86"/>
      <c r="AJ466" s="86"/>
      <c r="AK466" s="86"/>
      <c r="AL466" s="86"/>
      <c r="AM466" s="86"/>
      <c r="AN466" s="86"/>
      <c r="AO466" s="86"/>
      <c r="AP466" s="86"/>
      <c r="AQ466" s="86"/>
      <c r="AR466" s="86"/>
      <c r="AS466" s="86"/>
      <c r="AT466" s="82"/>
      <c r="AU466" s="87"/>
      <c r="AV466" s="818">
        <f t="shared" si="269"/>
        <v>0</v>
      </c>
      <c r="AW466" s="818">
        <f t="shared" si="270"/>
        <v>0</v>
      </c>
      <c r="AX466" s="818">
        <f t="shared" si="271"/>
        <v>0</v>
      </c>
      <c r="AY466" s="88">
        <f t="shared" si="272"/>
        <v>0</v>
      </c>
      <c r="AZ466" s="81">
        <f t="shared" si="273"/>
        <v>0</v>
      </c>
      <c r="BA466" s="81">
        <f t="shared" si="274"/>
        <v>0</v>
      </c>
      <c r="BB466" s="81">
        <f t="shared" si="275"/>
        <v>0</v>
      </c>
      <c r="BC466" s="81">
        <f t="shared" si="276"/>
        <v>0</v>
      </c>
      <c r="BD466" s="81">
        <f t="shared" si="277"/>
        <v>0</v>
      </c>
      <c r="BE466" s="81">
        <f t="shared" si="278"/>
        <v>0</v>
      </c>
      <c r="BF466" s="81">
        <f t="shared" si="279"/>
        <v>0</v>
      </c>
      <c r="BG466" s="81">
        <f t="shared" si="280"/>
        <v>0</v>
      </c>
      <c r="BH466" s="81">
        <f t="shared" si="281"/>
        <v>0</v>
      </c>
      <c r="BI466" s="81">
        <f t="shared" si="282"/>
        <v>0</v>
      </c>
      <c r="BJ466" s="81">
        <f t="shared" si="283"/>
        <v>0</v>
      </c>
      <c r="BK466" s="81">
        <f t="shared" si="284"/>
        <v>0</v>
      </c>
      <c r="BL466" s="81">
        <f t="shared" si="285"/>
        <v>0</v>
      </c>
      <c r="BM466" s="81">
        <f t="shared" si="286"/>
        <v>0</v>
      </c>
      <c r="BN466" s="81">
        <f t="shared" si="287"/>
        <v>0</v>
      </c>
      <c r="BO466" s="81">
        <f t="shared" si="288"/>
        <v>0</v>
      </c>
      <c r="BP466" s="81">
        <f t="shared" si="289"/>
        <v>0</v>
      </c>
      <c r="BQ466" s="81">
        <f t="shared" si="290"/>
        <v>0</v>
      </c>
      <c r="BR466" s="81">
        <f t="shared" si="291"/>
        <v>0</v>
      </c>
      <c r="BS466" s="81">
        <f t="shared" si="292"/>
        <v>0</v>
      </c>
      <c r="BT466" s="89">
        <f t="shared" si="293"/>
        <v>0</v>
      </c>
    </row>
    <row r="467" spans="1:72">
      <c r="A467" s="79"/>
      <c r="B467" s="80"/>
      <c r="C467" s="80"/>
      <c r="D467" s="2301"/>
      <c r="E467" s="81">
        <f t="shared" si="265"/>
        <v>0</v>
      </c>
      <c r="F467" s="82"/>
      <c r="G467" s="83">
        <f t="shared" si="266"/>
        <v>0</v>
      </c>
      <c r="H467" s="84">
        <f t="shared" si="267"/>
        <v>0</v>
      </c>
      <c r="I467" s="85"/>
      <c r="J467" s="85"/>
      <c r="K467" s="85"/>
      <c r="L467" s="85"/>
      <c r="M467" s="85"/>
      <c r="N467" s="85"/>
      <c r="O467" s="85"/>
      <c r="P467" s="85"/>
      <c r="Q467" s="85"/>
      <c r="R467" s="85"/>
      <c r="S467" s="85"/>
      <c r="T467" s="85"/>
      <c r="U467" s="85"/>
      <c r="V467" s="85"/>
      <c r="W467" s="85"/>
      <c r="X467" s="85"/>
      <c r="Y467" s="85"/>
      <c r="Z467" s="85"/>
      <c r="AA467" s="85"/>
      <c r="AB467" s="85"/>
      <c r="AC467" s="81">
        <f t="shared" si="268"/>
        <v>0</v>
      </c>
      <c r="AD467" s="86"/>
      <c r="AE467" s="86"/>
      <c r="AF467" s="86"/>
      <c r="AG467" s="86"/>
      <c r="AH467" s="86"/>
      <c r="AI467" s="86"/>
      <c r="AJ467" s="86"/>
      <c r="AK467" s="86"/>
      <c r="AL467" s="86"/>
      <c r="AM467" s="86"/>
      <c r="AN467" s="86"/>
      <c r="AO467" s="86"/>
      <c r="AP467" s="86"/>
      <c r="AQ467" s="86"/>
      <c r="AR467" s="86"/>
      <c r="AS467" s="86"/>
      <c r="AT467" s="82"/>
      <c r="AU467" s="87"/>
      <c r="AV467" s="818">
        <f t="shared" si="269"/>
        <v>0</v>
      </c>
      <c r="AW467" s="818">
        <f t="shared" si="270"/>
        <v>0</v>
      </c>
      <c r="AX467" s="818">
        <f t="shared" si="271"/>
        <v>0</v>
      </c>
      <c r="AY467" s="88">
        <f t="shared" si="272"/>
        <v>0</v>
      </c>
      <c r="AZ467" s="81">
        <f t="shared" si="273"/>
        <v>0</v>
      </c>
      <c r="BA467" s="81">
        <f t="shared" si="274"/>
        <v>0</v>
      </c>
      <c r="BB467" s="81">
        <f t="shared" si="275"/>
        <v>0</v>
      </c>
      <c r="BC467" s="81">
        <f t="shared" si="276"/>
        <v>0</v>
      </c>
      <c r="BD467" s="81">
        <f t="shared" si="277"/>
        <v>0</v>
      </c>
      <c r="BE467" s="81">
        <f t="shared" si="278"/>
        <v>0</v>
      </c>
      <c r="BF467" s="81">
        <f t="shared" si="279"/>
        <v>0</v>
      </c>
      <c r="BG467" s="81">
        <f t="shared" si="280"/>
        <v>0</v>
      </c>
      <c r="BH467" s="81">
        <f t="shared" si="281"/>
        <v>0</v>
      </c>
      <c r="BI467" s="81">
        <f t="shared" si="282"/>
        <v>0</v>
      </c>
      <c r="BJ467" s="81">
        <f t="shared" si="283"/>
        <v>0</v>
      </c>
      <c r="BK467" s="81">
        <f t="shared" si="284"/>
        <v>0</v>
      </c>
      <c r="BL467" s="81">
        <f t="shared" si="285"/>
        <v>0</v>
      </c>
      <c r="BM467" s="81">
        <f t="shared" si="286"/>
        <v>0</v>
      </c>
      <c r="BN467" s="81">
        <f t="shared" si="287"/>
        <v>0</v>
      </c>
      <c r="BO467" s="81">
        <f t="shared" si="288"/>
        <v>0</v>
      </c>
      <c r="BP467" s="81">
        <f t="shared" si="289"/>
        <v>0</v>
      </c>
      <c r="BQ467" s="81">
        <f t="shared" si="290"/>
        <v>0</v>
      </c>
      <c r="BR467" s="81">
        <f t="shared" si="291"/>
        <v>0</v>
      </c>
      <c r="BS467" s="81">
        <f t="shared" si="292"/>
        <v>0</v>
      </c>
      <c r="BT467" s="89">
        <f t="shared" si="293"/>
        <v>0</v>
      </c>
    </row>
    <row r="468" spans="1:72">
      <c r="A468" s="79"/>
      <c r="B468" s="80"/>
      <c r="C468" s="80"/>
      <c r="D468" s="2301"/>
      <c r="E468" s="81">
        <f t="shared" si="265"/>
        <v>0</v>
      </c>
      <c r="F468" s="82"/>
      <c r="G468" s="83">
        <f t="shared" si="266"/>
        <v>0</v>
      </c>
      <c r="H468" s="84">
        <f t="shared" si="267"/>
        <v>0</v>
      </c>
      <c r="I468" s="85"/>
      <c r="J468" s="85"/>
      <c r="K468" s="85"/>
      <c r="L468" s="85"/>
      <c r="M468" s="85"/>
      <c r="N468" s="85"/>
      <c r="O468" s="85"/>
      <c r="P468" s="85"/>
      <c r="Q468" s="85"/>
      <c r="R468" s="85"/>
      <c r="S468" s="85"/>
      <c r="T468" s="85"/>
      <c r="U468" s="85"/>
      <c r="V468" s="85"/>
      <c r="W468" s="85"/>
      <c r="X468" s="85"/>
      <c r="Y468" s="85"/>
      <c r="Z468" s="85"/>
      <c r="AA468" s="85"/>
      <c r="AB468" s="85"/>
      <c r="AC468" s="81">
        <f t="shared" si="268"/>
        <v>0</v>
      </c>
      <c r="AD468" s="86"/>
      <c r="AE468" s="86"/>
      <c r="AF468" s="86"/>
      <c r="AG468" s="86"/>
      <c r="AH468" s="86"/>
      <c r="AI468" s="86"/>
      <c r="AJ468" s="86"/>
      <c r="AK468" s="86"/>
      <c r="AL468" s="86"/>
      <c r="AM468" s="86"/>
      <c r="AN468" s="86"/>
      <c r="AO468" s="86"/>
      <c r="AP468" s="86"/>
      <c r="AQ468" s="86"/>
      <c r="AR468" s="86"/>
      <c r="AS468" s="86"/>
      <c r="AT468" s="82"/>
      <c r="AU468" s="87"/>
      <c r="AV468" s="818">
        <f t="shared" si="269"/>
        <v>0</v>
      </c>
      <c r="AW468" s="818">
        <f t="shared" si="270"/>
        <v>0</v>
      </c>
      <c r="AX468" s="818">
        <f t="shared" si="271"/>
        <v>0</v>
      </c>
      <c r="AY468" s="88">
        <f t="shared" si="272"/>
        <v>0</v>
      </c>
      <c r="AZ468" s="81">
        <f t="shared" si="273"/>
        <v>0</v>
      </c>
      <c r="BA468" s="81">
        <f t="shared" si="274"/>
        <v>0</v>
      </c>
      <c r="BB468" s="81">
        <f t="shared" si="275"/>
        <v>0</v>
      </c>
      <c r="BC468" s="81">
        <f t="shared" si="276"/>
        <v>0</v>
      </c>
      <c r="BD468" s="81">
        <f t="shared" si="277"/>
        <v>0</v>
      </c>
      <c r="BE468" s="81">
        <f t="shared" si="278"/>
        <v>0</v>
      </c>
      <c r="BF468" s="81">
        <f t="shared" si="279"/>
        <v>0</v>
      </c>
      <c r="BG468" s="81">
        <f t="shared" si="280"/>
        <v>0</v>
      </c>
      <c r="BH468" s="81">
        <f t="shared" si="281"/>
        <v>0</v>
      </c>
      <c r="BI468" s="81">
        <f t="shared" si="282"/>
        <v>0</v>
      </c>
      <c r="BJ468" s="81">
        <f t="shared" si="283"/>
        <v>0</v>
      </c>
      <c r="BK468" s="81">
        <f t="shared" si="284"/>
        <v>0</v>
      </c>
      <c r="BL468" s="81">
        <f t="shared" si="285"/>
        <v>0</v>
      </c>
      <c r="BM468" s="81">
        <f t="shared" si="286"/>
        <v>0</v>
      </c>
      <c r="BN468" s="81">
        <f t="shared" si="287"/>
        <v>0</v>
      </c>
      <c r="BO468" s="81">
        <f t="shared" si="288"/>
        <v>0</v>
      </c>
      <c r="BP468" s="81">
        <f t="shared" si="289"/>
        <v>0</v>
      </c>
      <c r="BQ468" s="81">
        <f t="shared" si="290"/>
        <v>0</v>
      </c>
      <c r="BR468" s="81">
        <f t="shared" si="291"/>
        <v>0</v>
      </c>
      <c r="BS468" s="81">
        <f t="shared" si="292"/>
        <v>0</v>
      </c>
      <c r="BT468" s="89">
        <f t="shared" si="293"/>
        <v>0</v>
      </c>
    </row>
    <row r="469" spans="1:72">
      <c r="A469" s="79"/>
      <c r="B469" s="80"/>
      <c r="C469" s="80"/>
      <c r="D469" s="2301"/>
      <c r="E469" s="81">
        <f t="shared" si="265"/>
        <v>0</v>
      </c>
      <c r="F469" s="82"/>
      <c r="G469" s="83">
        <f t="shared" si="266"/>
        <v>0</v>
      </c>
      <c r="H469" s="84">
        <f t="shared" si="267"/>
        <v>0</v>
      </c>
      <c r="I469" s="85"/>
      <c r="J469" s="85"/>
      <c r="K469" s="85"/>
      <c r="L469" s="85"/>
      <c r="M469" s="85"/>
      <c r="N469" s="85"/>
      <c r="O469" s="85"/>
      <c r="P469" s="85"/>
      <c r="Q469" s="85"/>
      <c r="R469" s="85"/>
      <c r="S469" s="85"/>
      <c r="T469" s="85"/>
      <c r="U469" s="85"/>
      <c r="V469" s="85"/>
      <c r="W469" s="85"/>
      <c r="X469" s="85"/>
      <c r="Y469" s="85"/>
      <c r="Z469" s="85"/>
      <c r="AA469" s="85"/>
      <c r="AB469" s="85"/>
      <c r="AC469" s="81">
        <f t="shared" si="268"/>
        <v>0</v>
      </c>
      <c r="AD469" s="86"/>
      <c r="AE469" s="86"/>
      <c r="AF469" s="86"/>
      <c r="AG469" s="86"/>
      <c r="AH469" s="86"/>
      <c r="AI469" s="86"/>
      <c r="AJ469" s="86"/>
      <c r="AK469" s="86"/>
      <c r="AL469" s="86"/>
      <c r="AM469" s="86"/>
      <c r="AN469" s="86"/>
      <c r="AO469" s="86"/>
      <c r="AP469" s="86"/>
      <c r="AQ469" s="86"/>
      <c r="AR469" s="86"/>
      <c r="AS469" s="86"/>
      <c r="AT469" s="82"/>
      <c r="AU469" s="87"/>
      <c r="AV469" s="818">
        <f t="shared" si="269"/>
        <v>0</v>
      </c>
      <c r="AW469" s="818">
        <f t="shared" si="270"/>
        <v>0</v>
      </c>
      <c r="AX469" s="818">
        <f t="shared" si="271"/>
        <v>0</v>
      </c>
      <c r="AY469" s="88">
        <f t="shared" si="272"/>
        <v>0</v>
      </c>
      <c r="AZ469" s="81">
        <f t="shared" si="273"/>
        <v>0</v>
      </c>
      <c r="BA469" s="81">
        <f t="shared" si="274"/>
        <v>0</v>
      </c>
      <c r="BB469" s="81">
        <f t="shared" si="275"/>
        <v>0</v>
      </c>
      <c r="BC469" s="81">
        <f t="shared" si="276"/>
        <v>0</v>
      </c>
      <c r="BD469" s="81">
        <f t="shared" si="277"/>
        <v>0</v>
      </c>
      <c r="BE469" s="81">
        <f t="shared" si="278"/>
        <v>0</v>
      </c>
      <c r="BF469" s="81">
        <f t="shared" si="279"/>
        <v>0</v>
      </c>
      <c r="BG469" s="81">
        <f t="shared" si="280"/>
        <v>0</v>
      </c>
      <c r="BH469" s="81">
        <f t="shared" si="281"/>
        <v>0</v>
      </c>
      <c r="BI469" s="81">
        <f t="shared" si="282"/>
        <v>0</v>
      </c>
      <c r="BJ469" s="81">
        <f t="shared" si="283"/>
        <v>0</v>
      </c>
      <c r="BK469" s="81">
        <f t="shared" si="284"/>
        <v>0</v>
      </c>
      <c r="BL469" s="81">
        <f t="shared" si="285"/>
        <v>0</v>
      </c>
      <c r="BM469" s="81">
        <f t="shared" si="286"/>
        <v>0</v>
      </c>
      <c r="BN469" s="81">
        <f t="shared" si="287"/>
        <v>0</v>
      </c>
      <c r="BO469" s="81">
        <f t="shared" si="288"/>
        <v>0</v>
      </c>
      <c r="BP469" s="81">
        <f t="shared" si="289"/>
        <v>0</v>
      </c>
      <c r="BQ469" s="81">
        <f t="shared" si="290"/>
        <v>0</v>
      </c>
      <c r="BR469" s="81">
        <f t="shared" si="291"/>
        <v>0</v>
      </c>
      <c r="BS469" s="81">
        <f t="shared" si="292"/>
        <v>0</v>
      </c>
      <c r="BT469" s="89">
        <f t="shared" si="293"/>
        <v>0</v>
      </c>
    </row>
    <row r="470" spans="1:72">
      <c r="A470" s="79"/>
      <c r="B470" s="80"/>
      <c r="C470" s="80"/>
      <c r="D470" s="2301"/>
      <c r="E470" s="81">
        <f t="shared" si="265"/>
        <v>0</v>
      </c>
      <c r="F470" s="82"/>
      <c r="G470" s="83">
        <f t="shared" si="266"/>
        <v>0</v>
      </c>
      <c r="H470" s="84">
        <f t="shared" si="267"/>
        <v>0</v>
      </c>
      <c r="I470" s="85"/>
      <c r="J470" s="85"/>
      <c r="K470" s="85"/>
      <c r="L470" s="85"/>
      <c r="M470" s="85"/>
      <c r="N470" s="85"/>
      <c r="O470" s="85"/>
      <c r="P470" s="85"/>
      <c r="Q470" s="85"/>
      <c r="R470" s="85"/>
      <c r="S470" s="85"/>
      <c r="T470" s="85"/>
      <c r="U470" s="85"/>
      <c r="V470" s="85"/>
      <c r="W470" s="85"/>
      <c r="X470" s="85"/>
      <c r="Y470" s="85"/>
      <c r="Z470" s="85"/>
      <c r="AA470" s="85"/>
      <c r="AB470" s="85"/>
      <c r="AC470" s="81">
        <f t="shared" si="268"/>
        <v>0</v>
      </c>
      <c r="AD470" s="86"/>
      <c r="AE470" s="86"/>
      <c r="AF470" s="86"/>
      <c r="AG470" s="86"/>
      <c r="AH470" s="86"/>
      <c r="AI470" s="86"/>
      <c r="AJ470" s="86"/>
      <c r="AK470" s="86"/>
      <c r="AL470" s="86"/>
      <c r="AM470" s="86"/>
      <c r="AN470" s="86"/>
      <c r="AO470" s="86"/>
      <c r="AP470" s="86"/>
      <c r="AQ470" s="86"/>
      <c r="AR470" s="86"/>
      <c r="AS470" s="86"/>
      <c r="AT470" s="82"/>
      <c r="AU470" s="87"/>
      <c r="AV470" s="818">
        <f t="shared" si="269"/>
        <v>0</v>
      </c>
      <c r="AW470" s="818">
        <f t="shared" si="270"/>
        <v>0</v>
      </c>
      <c r="AX470" s="818">
        <f t="shared" si="271"/>
        <v>0</v>
      </c>
      <c r="AY470" s="88">
        <f t="shared" si="272"/>
        <v>0</v>
      </c>
      <c r="AZ470" s="81">
        <f t="shared" si="273"/>
        <v>0</v>
      </c>
      <c r="BA470" s="81">
        <f t="shared" si="274"/>
        <v>0</v>
      </c>
      <c r="BB470" s="81">
        <f t="shared" si="275"/>
        <v>0</v>
      </c>
      <c r="BC470" s="81">
        <f t="shared" si="276"/>
        <v>0</v>
      </c>
      <c r="BD470" s="81">
        <f t="shared" si="277"/>
        <v>0</v>
      </c>
      <c r="BE470" s="81">
        <f t="shared" si="278"/>
        <v>0</v>
      </c>
      <c r="BF470" s="81">
        <f t="shared" si="279"/>
        <v>0</v>
      </c>
      <c r="BG470" s="81">
        <f t="shared" si="280"/>
        <v>0</v>
      </c>
      <c r="BH470" s="81">
        <f t="shared" si="281"/>
        <v>0</v>
      </c>
      <c r="BI470" s="81">
        <f t="shared" si="282"/>
        <v>0</v>
      </c>
      <c r="BJ470" s="81">
        <f t="shared" si="283"/>
        <v>0</v>
      </c>
      <c r="BK470" s="81">
        <f t="shared" si="284"/>
        <v>0</v>
      </c>
      <c r="BL470" s="81">
        <f t="shared" si="285"/>
        <v>0</v>
      </c>
      <c r="BM470" s="81">
        <f t="shared" si="286"/>
        <v>0</v>
      </c>
      <c r="BN470" s="81">
        <f t="shared" si="287"/>
        <v>0</v>
      </c>
      <c r="BO470" s="81">
        <f t="shared" si="288"/>
        <v>0</v>
      </c>
      <c r="BP470" s="81">
        <f t="shared" si="289"/>
        <v>0</v>
      </c>
      <c r="BQ470" s="81">
        <f t="shared" si="290"/>
        <v>0</v>
      </c>
      <c r="BR470" s="81">
        <f t="shared" si="291"/>
        <v>0</v>
      </c>
      <c r="BS470" s="81">
        <f t="shared" si="292"/>
        <v>0</v>
      </c>
      <c r="BT470" s="89">
        <f t="shared" si="293"/>
        <v>0</v>
      </c>
    </row>
    <row r="471" spans="1:72">
      <c r="A471" s="79"/>
      <c r="B471" s="80"/>
      <c r="C471" s="80"/>
      <c r="D471" s="2301"/>
      <c r="E471" s="81">
        <f t="shared" si="265"/>
        <v>0</v>
      </c>
      <c r="F471" s="82"/>
      <c r="G471" s="83">
        <f t="shared" si="266"/>
        <v>0</v>
      </c>
      <c r="H471" s="84">
        <f t="shared" si="267"/>
        <v>0</v>
      </c>
      <c r="I471" s="85"/>
      <c r="J471" s="85"/>
      <c r="K471" s="85"/>
      <c r="L471" s="85"/>
      <c r="M471" s="85"/>
      <c r="N471" s="85"/>
      <c r="O471" s="85"/>
      <c r="P471" s="85"/>
      <c r="Q471" s="85"/>
      <c r="R471" s="85"/>
      <c r="S471" s="85"/>
      <c r="T471" s="85"/>
      <c r="U471" s="85"/>
      <c r="V471" s="85"/>
      <c r="W471" s="85"/>
      <c r="X471" s="85"/>
      <c r="Y471" s="85"/>
      <c r="Z471" s="85"/>
      <c r="AA471" s="85"/>
      <c r="AB471" s="85"/>
      <c r="AC471" s="81">
        <f t="shared" si="268"/>
        <v>0</v>
      </c>
      <c r="AD471" s="86"/>
      <c r="AE471" s="86"/>
      <c r="AF471" s="86"/>
      <c r="AG471" s="86"/>
      <c r="AH471" s="86"/>
      <c r="AI471" s="86"/>
      <c r="AJ471" s="86"/>
      <c r="AK471" s="86"/>
      <c r="AL471" s="86"/>
      <c r="AM471" s="86"/>
      <c r="AN471" s="86"/>
      <c r="AO471" s="86"/>
      <c r="AP471" s="86"/>
      <c r="AQ471" s="86"/>
      <c r="AR471" s="86"/>
      <c r="AS471" s="86"/>
      <c r="AT471" s="82"/>
      <c r="AU471" s="87"/>
      <c r="AV471" s="818">
        <f t="shared" si="269"/>
        <v>0</v>
      </c>
      <c r="AW471" s="818">
        <f t="shared" si="270"/>
        <v>0</v>
      </c>
      <c r="AX471" s="818">
        <f t="shared" si="271"/>
        <v>0</v>
      </c>
      <c r="AY471" s="88">
        <f t="shared" si="272"/>
        <v>0</v>
      </c>
      <c r="AZ471" s="81">
        <f t="shared" si="273"/>
        <v>0</v>
      </c>
      <c r="BA471" s="81">
        <f t="shared" si="274"/>
        <v>0</v>
      </c>
      <c r="BB471" s="81">
        <f t="shared" si="275"/>
        <v>0</v>
      </c>
      <c r="BC471" s="81">
        <f t="shared" si="276"/>
        <v>0</v>
      </c>
      <c r="BD471" s="81">
        <f t="shared" si="277"/>
        <v>0</v>
      </c>
      <c r="BE471" s="81">
        <f t="shared" si="278"/>
        <v>0</v>
      </c>
      <c r="BF471" s="81">
        <f t="shared" si="279"/>
        <v>0</v>
      </c>
      <c r="BG471" s="81">
        <f t="shared" si="280"/>
        <v>0</v>
      </c>
      <c r="BH471" s="81">
        <f t="shared" si="281"/>
        <v>0</v>
      </c>
      <c r="BI471" s="81">
        <f t="shared" si="282"/>
        <v>0</v>
      </c>
      <c r="BJ471" s="81">
        <f t="shared" si="283"/>
        <v>0</v>
      </c>
      <c r="BK471" s="81">
        <f t="shared" si="284"/>
        <v>0</v>
      </c>
      <c r="BL471" s="81">
        <f t="shared" si="285"/>
        <v>0</v>
      </c>
      <c r="BM471" s="81">
        <f t="shared" si="286"/>
        <v>0</v>
      </c>
      <c r="BN471" s="81">
        <f t="shared" si="287"/>
        <v>0</v>
      </c>
      <c r="BO471" s="81">
        <f t="shared" si="288"/>
        <v>0</v>
      </c>
      <c r="BP471" s="81">
        <f t="shared" si="289"/>
        <v>0</v>
      </c>
      <c r="BQ471" s="81">
        <f t="shared" si="290"/>
        <v>0</v>
      </c>
      <c r="BR471" s="81">
        <f t="shared" si="291"/>
        <v>0</v>
      </c>
      <c r="BS471" s="81">
        <f t="shared" si="292"/>
        <v>0</v>
      </c>
      <c r="BT471" s="89">
        <f t="shared" si="293"/>
        <v>0</v>
      </c>
    </row>
    <row r="472" spans="1:72">
      <c r="A472" s="79"/>
      <c r="B472" s="80"/>
      <c r="C472" s="80"/>
      <c r="D472" s="2301"/>
      <c r="E472" s="81">
        <f t="shared" si="265"/>
        <v>0</v>
      </c>
      <c r="F472" s="82"/>
      <c r="G472" s="83">
        <f t="shared" si="266"/>
        <v>0</v>
      </c>
      <c r="H472" s="84">
        <f t="shared" si="267"/>
        <v>0</v>
      </c>
      <c r="I472" s="85"/>
      <c r="J472" s="85"/>
      <c r="K472" s="85"/>
      <c r="L472" s="85"/>
      <c r="M472" s="85"/>
      <c r="N472" s="85"/>
      <c r="O472" s="85"/>
      <c r="P472" s="85"/>
      <c r="Q472" s="85"/>
      <c r="R472" s="85"/>
      <c r="S472" s="85"/>
      <c r="T472" s="85"/>
      <c r="U472" s="85"/>
      <c r="V472" s="85"/>
      <c r="W472" s="85"/>
      <c r="X472" s="85"/>
      <c r="Y472" s="85"/>
      <c r="Z472" s="85"/>
      <c r="AA472" s="85"/>
      <c r="AB472" s="85"/>
      <c r="AC472" s="81">
        <f t="shared" si="268"/>
        <v>0</v>
      </c>
      <c r="AD472" s="86"/>
      <c r="AE472" s="86"/>
      <c r="AF472" s="86"/>
      <c r="AG472" s="86"/>
      <c r="AH472" s="86"/>
      <c r="AI472" s="86"/>
      <c r="AJ472" s="86"/>
      <c r="AK472" s="86"/>
      <c r="AL472" s="86"/>
      <c r="AM472" s="86"/>
      <c r="AN472" s="86"/>
      <c r="AO472" s="86"/>
      <c r="AP472" s="86"/>
      <c r="AQ472" s="86"/>
      <c r="AR472" s="86"/>
      <c r="AS472" s="86"/>
      <c r="AT472" s="82"/>
      <c r="AU472" s="87"/>
      <c r="AV472" s="818">
        <f t="shared" si="269"/>
        <v>0</v>
      </c>
      <c r="AW472" s="818">
        <f t="shared" si="270"/>
        <v>0</v>
      </c>
      <c r="AX472" s="818">
        <f t="shared" si="271"/>
        <v>0</v>
      </c>
      <c r="AY472" s="88">
        <f t="shared" si="272"/>
        <v>0</v>
      </c>
      <c r="AZ472" s="81">
        <f t="shared" si="273"/>
        <v>0</v>
      </c>
      <c r="BA472" s="81">
        <f t="shared" si="274"/>
        <v>0</v>
      </c>
      <c r="BB472" s="81">
        <f t="shared" si="275"/>
        <v>0</v>
      </c>
      <c r="BC472" s="81">
        <f t="shared" si="276"/>
        <v>0</v>
      </c>
      <c r="BD472" s="81">
        <f t="shared" si="277"/>
        <v>0</v>
      </c>
      <c r="BE472" s="81">
        <f t="shared" si="278"/>
        <v>0</v>
      </c>
      <c r="BF472" s="81">
        <f t="shared" si="279"/>
        <v>0</v>
      </c>
      <c r="BG472" s="81">
        <f t="shared" si="280"/>
        <v>0</v>
      </c>
      <c r="BH472" s="81">
        <f t="shared" si="281"/>
        <v>0</v>
      </c>
      <c r="BI472" s="81">
        <f t="shared" si="282"/>
        <v>0</v>
      </c>
      <c r="BJ472" s="81">
        <f t="shared" si="283"/>
        <v>0</v>
      </c>
      <c r="BK472" s="81">
        <f t="shared" si="284"/>
        <v>0</v>
      </c>
      <c r="BL472" s="81">
        <f t="shared" si="285"/>
        <v>0</v>
      </c>
      <c r="BM472" s="81">
        <f t="shared" si="286"/>
        <v>0</v>
      </c>
      <c r="BN472" s="81">
        <f t="shared" si="287"/>
        <v>0</v>
      </c>
      <c r="BO472" s="81">
        <f t="shared" si="288"/>
        <v>0</v>
      </c>
      <c r="BP472" s="81">
        <f t="shared" si="289"/>
        <v>0</v>
      </c>
      <c r="BQ472" s="81">
        <f t="shared" si="290"/>
        <v>0</v>
      </c>
      <c r="BR472" s="81">
        <f t="shared" si="291"/>
        <v>0</v>
      </c>
      <c r="BS472" s="81">
        <f t="shared" si="292"/>
        <v>0</v>
      </c>
      <c r="BT472" s="89">
        <f t="shared" si="293"/>
        <v>0</v>
      </c>
    </row>
    <row r="473" spans="1:72">
      <c r="A473" s="79"/>
      <c r="B473" s="80"/>
      <c r="C473" s="80"/>
      <c r="D473" s="2301"/>
      <c r="E473" s="81">
        <f t="shared" si="265"/>
        <v>0</v>
      </c>
      <c r="F473" s="82"/>
      <c r="G473" s="83">
        <f t="shared" si="266"/>
        <v>0</v>
      </c>
      <c r="H473" s="84">
        <f t="shared" si="267"/>
        <v>0</v>
      </c>
      <c r="I473" s="85"/>
      <c r="J473" s="85"/>
      <c r="K473" s="85"/>
      <c r="L473" s="85"/>
      <c r="M473" s="85"/>
      <c r="N473" s="85"/>
      <c r="O473" s="85"/>
      <c r="P473" s="85"/>
      <c r="Q473" s="85"/>
      <c r="R473" s="85"/>
      <c r="S473" s="85"/>
      <c r="T473" s="85"/>
      <c r="U473" s="85"/>
      <c r="V473" s="85"/>
      <c r="W473" s="85"/>
      <c r="X473" s="85"/>
      <c r="Y473" s="85"/>
      <c r="Z473" s="85"/>
      <c r="AA473" s="85"/>
      <c r="AB473" s="85"/>
      <c r="AC473" s="81">
        <f t="shared" si="268"/>
        <v>0</v>
      </c>
      <c r="AD473" s="86"/>
      <c r="AE473" s="86"/>
      <c r="AF473" s="86"/>
      <c r="AG473" s="86"/>
      <c r="AH473" s="86"/>
      <c r="AI473" s="86"/>
      <c r="AJ473" s="86"/>
      <c r="AK473" s="86"/>
      <c r="AL473" s="86"/>
      <c r="AM473" s="86"/>
      <c r="AN473" s="86"/>
      <c r="AO473" s="86"/>
      <c r="AP473" s="86"/>
      <c r="AQ473" s="86"/>
      <c r="AR473" s="86"/>
      <c r="AS473" s="86"/>
      <c r="AT473" s="82"/>
      <c r="AU473" s="87"/>
      <c r="AV473" s="818">
        <f t="shared" si="269"/>
        <v>0</v>
      </c>
      <c r="AW473" s="818">
        <f t="shared" si="270"/>
        <v>0</v>
      </c>
      <c r="AX473" s="818">
        <f t="shared" si="271"/>
        <v>0</v>
      </c>
      <c r="AY473" s="88">
        <f t="shared" si="272"/>
        <v>0</v>
      </c>
      <c r="AZ473" s="81">
        <f t="shared" si="273"/>
        <v>0</v>
      </c>
      <c r="BA473" s="81">
        <f t="shared" si="274"/>
        <v>0</v>
      </c>
      <c r="BB473" s="81">
        <f t="shared" si="275"/>
        <v>0</v>
      </c>
      <c r="BC473" s="81">
        <f t="shared" si="276"/>
        <v>0</v>
      </c>
      <c r="BD473" s="81">
        <f t="shared" si="277"/>
        <v>0</v>
      </c>
      <c r="BE473" s="81">
        <f t="shared" si="278"/>
        <v>0</v>
      </c>
      <c r="BF473" s="81">
        <f t="shared" si="279"/>
        <v>0</v>
      </c>
      <c r="BG473" s="81">
        <f t="shared" si="280"/>
        <v>0</v>
      </c>
      <c r="BH473" s="81">
        <f t="shared" si="281"/>
        <v>0</v>
      </c>
      <c r="BI473" s="81">
        <f t="shared" si="282"/>
        <v>0</v>
      </c>
      <c r="BJ473" s="81">
        <f t="shared" si="283"/>
        <v>0</v>
      </c>
      <c r="BK473" s="81">
        <f t="shared" si="284"/>
        <v>0</v>
      </c>
      <c r="BL473" s="81">
        <f t="shared" si="285"/>
        <v>0</v>
      </c>
      <c r="BM473" s="81">
        <f t="shared" si="286"/>
        <v>0</v>
      </c>
      <c r="BN473" s="81">
        <f t="shared" si="287"/>
        <v>0</v>
      </c>
      <c r="BO473" s="81">
        <f t="shared" si="288"/>
        <v>0</v>
      </c>
      <c r="BP473" s="81">
        <f t="shared" si="289"/>
        <v>0</v>
      </c>
      <c r="BQ473" s="81">
        <f t="shared" si="290"/>
        <v>0</v>
      </c>
      <c r="BR473" s="81">
        <f t="shared" si="291"/>
        <v>0</v>
      </c>
      <c r="BS473" s="81">
        <f t="shared" si="292"/>
        <v>0</v>
      </c>
      <c r="BT473" s="89">
        <f t="shared" si="293"/>
        <v>0</v>
      </c>
    </row>
    <row r="474" spans="1:72">
      <c r="A474" s="79"/>
      <c r="B474" s="80"/>
      <c r="C474" s="80"/>
      <c r="D474" s="2301"/>
      <c r="E474" s="81">
        <f t="shared" si="265"/>
        <v>0</v>
      </c>
      <c r="F474" s="82"/>
      <c r="G474" s="83">
        <f t="shared" si="266"/>
        <v>0</v>
      </c>
      <c r="H474" s="84">
        <f t="shared" si="267"/>
        <v>0</v>
      </c>
      <c r="I474" s="85"/>
      <c r="J474" s="85"/>
      <c r="K474" s="85"/>
      <c r="L474" s="85"/>
      <c r="M474" s="85"/>
      <c r="N474" s="85"/>
      <c r="O474" s="85"/>
      <c r="P474" s="85"/>
      <c r="Q474" s="85"/>
      <c r="R474" s="85"/>
      <c r="S474" s="85"/>
      <c r="T474" s="85"/>
      <c r="U474" s="85"/>
      <c r="V474" s="85"/>
      <c r="W474" s="85"/>
      <c r="X474" s="85"/>
      <c r="Y474" s="85"/>
      <c r="Z474" s="85"/>
      <c r="AA474" s="85"/>
      <c r="AB474" s="85"/>
      <c r="AC474" s="81">
        <f t="shared" si="268"/>
        <v>0</v>
      </c>
      <c r="AD474" s="86"/>
      <c r="AE474" s="86"/>
      <c r="AF474" s="86"/>
      <c r="AG474" s="86"/>
      <c r="AH474" s="86"/>
      <c r="AI474" s="86"/>
      <c r="AJ474" s="86"/>
      <c r="AK474" s="86"/>
      <c r="AL474" s="86"/>
      <c r="AM474" s="86"/>
      <c r="AN474" s="86"/>
      <c r="AO474" s="86"/>
      <c r="AP474" s="86"/>
      <c r="AQ474" s="86"/>
      <c r="AR474" s="86"/>
      <c r="AS474" s="86"/>
      <c r="AT474" s="82"/>
      <c r="AU474" s="87"/>
      <c r="AV474" s="818">
        <f t="shared" si="269"/>
        <v>0</v>
      </c>
      <c r="AW474" s="818">
        <f t="shared" si="270"/>
        <v>0</v>
      </c>
      <c r="AX474" s="818">
        <f t="shared" si="271"/>
        <v>0</v>
      </c>
      <c r="AY474" s="88">
        <f t="shared" si="272"/>
        <v>0</v>
      </c>
      <c r="AZ474" s="81">
        <f t="shared" si="273"/>
        <v>0</v>
      </c>
      <c r="BA474" s="81">
        <f t="shared" si="274"/>
        <v>0</v>
      </c>
      <c r="BB474" s="81">
        <f t="shared" si="275"/>
        <v>0</v>
      </c>
      <c r="BC474" s="81">
        <f t="shared" si="276"/>
        <v>0</v>
      </c>
      <c r="BD474" s="81">
        <f t="shared" si="277"/>
        <v>0</v>
      </c>
      <c r="BE474" s="81">
        <f t="shared" si="278"/>
        <v>0</v>
      </c>
      <c r="BF474" s="81">
        <f t="shared" si="279"/>
        <v>0</v>
      </c>
      <c r="BG474" s="81">
        <f t="shared" si="280"/>
        <v>0</v>
      </c>
      <c r="BH474" s="81">
        <f t="shared" si="281"/>
        <v>0</v>
      </c>
      <c r="BI474" s="81">
        <f t="shared" si="282"/>
        <v>0</v>
      </c>
      <c r="BJ474" s="81">
        <f t="shared" si="283"/>
        <v>0</v>
      </c>
      <c r="BK474" s="81">
        <f t="shared" si="284"/>
        <v>0</v>
      </c>
      <c r="BL474" s="81">
        <f t="shared" si="285"/>
        <v>0</v>
      </c>
      <c r="BM474" s="81">
        <f t="shared" si="286"/>
        <v>0</v>
      </c>
      <c r="BN474" s="81">
        <f t="shared" si="287"/>
        <v>0</v>
      </c>
      <c r="BO474" s="81">
        <f t="shared" si="288"/>
        <v>0</v>
      </c>
      <c r="BP474" s="81">
        <f t="shared" si="289"/>
        <v>0</v>
      </c>
      <c r="BQ474" s="81">
        <f t="shared" si="290"/>
        <v>0</v>
      </c>
      <c r="BR474" s="81">
        <f t="shared" si="291"/>
        <v>0</v>
      </c>
      <c r="BS474" s="81">
        <f t="shared" si="292"/>
        <v>0</v>
      </c>
      <c r="BT474" s="89">
        <f t="shared" si="293"/>
        <v>0</v>
      </c>
    </row>
    <row r="475" spans="1:72">
      <c r="A475" s="79"/>
      <c r="B475" s="80"/>
      <c r="C475" s="80"/>
      <c r="D475" s="2301"/>
      <c r="E475" s="81">
        <f t="shared" si="265"/>
        <v>0</v>
      </c>
      <c r="F475" s="82"/>
      <c r="G475" s="83">
        <f t="shared" si="266"/>
        <v>0</v>
      </c>
      <c r="H475" s="84">
        <f t="shared" si="267"/>
        <v>0</v>
      </c>
      <c r="I475" s="85"/>
      <c r="J475" s="85"/>
      <c r="K475" s="85"/>
      <c r="L475" s="85"/>
      <c r="M475" s="85"/>
      <c r="N475" s="85"/>
      <c r="O475" s="85"/>
      <c r="P475" s="85"/>
      <c r="Q475" s="85"/>
      <c r="R475" s="85"/>
      <c r="S475" s="85"/>
      <c r="T475" s="85"/>
      <c r="U475" s="85"/>
      <c r="V475" s="85"/>
      <c r="W475" s="85"/>
      <c r="X475" s="85"/>
      <c r="Y475" s="85"/>
      <c r="Z475" s="85"/>
      <c r="AA475" s="85"/>
      <c r="AB475" s="85"/>
      <c r="AC475" s="81">
        <f t="shared" si="268"/>
        <v>0</v>
      </c>
      <c r="AD475" s="86"/>
      <c r="AE475" s="86"/>
      <c r="AF475" s="86"/>
      <c r="AG475" s="86"/>
      <c r="AH475" s="86"/>
      <c r="AI475" s="86"/>
      <c r="AJ475" s="86"/>
      <c r="AK475" s="86"/>
      <c r="AL475" s="86"/>
      <c r="AM475" s="86"/>
      <c r="AN475" s="86"/>
      <c r="AO475" s="86"/>
      <c r="AP475" s="86"/>
      <c r="AQ475" s="86"/>
      <c r="AR475" s="86"/>
      <c r="AS475" s="86"/>
      <c r="AT475" s="82"/>
      <c r="AU475" s="87"/>
      <c r="AV475" s="818">
        <f t="shared" si="269"/>
        <v>0</v>
      </c>
      <c r="AW475" s="818">
        <f t="shared" si="270"/>
        <v>0</v>
      </c>
      <c r="AX475" s="818">
        <f t="shared" si="271"/>
        <v>0</v>
      </c>
      <c r="AY475" s="88">
        <f t="shared" si="272"/>
        <v>0</v>
      </c>
      <c r="AZ475" s="81">
        <f t="shared" si="273"/>
        <v>0</v>
      </c>
      <c r="BA475" s="81">
        <f t="shared" si="274"/>
        <v>0</v>
      </c>
      <c r="BB475" s="81">
        <f t="shared" si="275"/>
        <v>0</v>
      </c>
      <c r="BC475" s="81">
        <f t="shared" si="276"/>
        <v>0</v>
      </c>
      <c r="BD475" s="81">
        <f t="shared" si="277"/>
        <v>0</v>
      </c>
      <c r="BE475" s="81">
        <f t="shared" si="278"/>
        <v>0</v>
      </c>
      <c r="BF475" s="81">
        <f t="shared" si="279"/>
        <v>0</v>
      </c>
      <c r="BG475" s="81">
        <f t="shared" si="280"/>
        <v>0</v>
      </c>
      <c r="BH475" s="81">
        <f t="shared" si="281"/>
        <v>0</v>
      </c>
      <c r="BI475" s="81">
        <f t="shared" si="282"/>
        <v>0</v>
      </c>
      <c r="BJ475" s="81">
        <f t="shared" si="283"/>
        <v>0</v>
      </c>
      <c r="BK475" s="81">
        <f t="shared" si="284"/>
        <v>0</v>
      </c>
      <c r="BL475" s="81">
        <f t="shared" si="285"/>
        <v>0</v>
      </c>
      <c r="BM475" s="81">
        <f t="shared" si="286"/>
        <v>0</v>
      </c>
      <c r="BN475" s="81">
        <f t="shared" si="287"/>
        <v>0</v>
      </c>
      <c r="BO475" s="81">
        <f t="shared" si="288"/>
        <v>0</v>
      </c>
      <c r="BP475" s="81">
        <f t="shared" si="289"/>
        <v>0</v>
      </c>
      <c r="BQ475" s="81">
        <f t="shared" si="290"/>
        <v>0</v>
      </c>
      <c r="BR475" s="81">
        <f t="shared" si="291"/>
        <v>0</v>
      </c>
      <c r="BS475" s="81">
        <f t="shared" si="292"/>
        <v>0</v>
      </c>
      <c r="BT475" s="89">
        <f t="shared" si="293"/>
        <v>0</v>
      </c>
    </row>
    <row r="476" spans="1:72">
      <c r="A476" s="79"/>
      <c r="B476" s="80"/>
      <c r="C476" s="80"/>
      <c r="D476" s="2301"/>
      <c r="E476" s="81">
        <f t="shared" si="265"/>
        <v>0</v>
      </c>
      <c r="F476" s="82"/>
      <c r="G476" s="83">
        <f t="shared" si="266"/>
        <v>0</v>
      </c>
      <c r="H476" s="84">
        <f t="shared" si="267"/>
        <v>0</v>
      </c>
      <c r="I476" s="85"/>
      <c r="J476" s="85"/>
      <c r="K476" s="85"/>
      <c r="L476" s="85"/>
      <c r="M476" s="85"/>
      <c r="N476" s="85"/>
      <c r="O476" s="85"/>
      <c r="P476" s="85"/>
      <c r="Q476" s="85"/>
      <c r="R476" s="85"/>
      <c r="S476" s="85"/>
      <c r="T476" s="85"/>
      <c r="U476" s="85"/>
      <c r="V476" s="85"/>
      <c r="W476" s="85"/>
      <c r="X476" s="85"/>
      <c r="Y476" s="85"/>
      <c r="Z476" s="85"/>
      <c r="AA476" s="85"/>
      <c r="AB476" s="85"/>
      <c r="AC476" s="81">
        <f t="shared" si="268"/>
        <v>0</v>
      </c>
      <c r="AD476" s="86"/>
      <c r="AE476" s="86"/>
      <c r="AF476" s="86"/>
      <c r="AG476" s="86"/>
      <c r="AH476" s="86"/>
      <c r="AI476" s="86"/>
      <c r="AJ476" s="86"/>
      <c r="AK476" s="86"/>
      <c r="AL476" s="86"/>
      <c r="AM476" s="86"/>
      <c r="AN476" s="86"/>
      <c r="AO476" s="86"/>
      <c r="AP476" s="86"/>
      <c r="AQ476" s="86"/>
      <c r="AR476" s="86"/>
      <c r="AS476" s="86"/>
      <c r="AT476" s="82"/>
      <c r="AU476" s="87"/>
      <c r="AV476" s="818">
        <f t="shared" si="269"/>
        <v>0</v>
      </c>
      <c r="AW476" s="818">
        <f t="shared" si="270"/>
        <v>0</v>
      </c>
      <c r="AX476" s="818">
        <f t="shared" si="271"/>
        <v>0</v>
      </c>
      <c r="AY476" s="88">
        <f t="shared" si="272"/>
        <v>0</v>
      </c>
      <c r="AZ476" s="81">
        <f t="shared" si="273"/>
        <v>0</v>
      </c>
      <c r="BA476" s="81">
        <f t="shared" si="274"/>
        <v>0</v>
      </c>
      <c r="BB476" s="81">
        <f t="shared" si="275"/>
        <v>0</v>
      </c>
      <c r="BC476" s="81">
        <f t="shared" si="276"/>
        <v>0</v>
      </c>
      <c r="BD476" s="81">
        <f t="shared" si="277"/>
        <v>0</v>
      </c>
      <c r="BE476" s="81">
        <f t="shared" si="278"/>
        <v>0</v>
      </c>
      <c r="BF476" s="81">
        <f t="shared" si="279"/>
        <v>0</v>
      </c>
      <c r="BG476" s="81">
        <f t="shared" si="280"/>
        <v>0</v>
      </c>
      <c r="BH476" s="81">
        <f t="shared" si="281"/>
        <v>0</v>
      </c>
      <c r="BI476" s="81">
        <f t="shared" si="282"/>
        <v>0</v>
      </c>
      <c r="BJ476" s="81">
        <f t="shared" si="283"/>
        <v>0</v>
      </c>
      <c r="BK476" s="81">
        <f t="shared" si="284"/>
        <v>0</v>
      </c>
      <c r="BL476" s="81">
        <f t="shared" si="285"/>
        <v>0</v>
      </c>
      <c r="BM476" s="81">
        <f t="shared" si="286"/>
        <v>0</v>
      </c>
      <c r="BN476" s="81">
        <f t="shared" si="287"/>
        <v>0</v>
      </c>
      <c r="BO476" s="81">
        <f t="shared" si="288"/>
        <v>0</v>
      </c>
      <c r="BP476" s="81">
        <f t="shared" si="289"/>
        <v>0</v>
      </c>
      <c r="BQ476" s="81">
        <f t="shared" si="290"/>
        <v>0</v>
      </c>
      <c r="BR476" s="81">
        <f t="shared" si="291"/>
        <v>0</v>
      </c>
      <c r="BS476" s="81">
        <f t="shared" si="292"/>
        <v>0</v>
      </c>
      <c r="BT476" s="89">
        <f t="shared" si="293"/>
        <v>0</v>
      </c>
    </row>
    <row r="477" spans="1:72">
      <c r="A477" s="79"/>
      <c r="B477" s="80"/>
      <c r="C477" s="80"/>
      <c r="D477" s="2301"/>
      <c r="E477" s="81">
        <f t="shared" si="265"/>
        <v>0</v>
      </c>
      <c r="F477" s="82"/>
      <c r="G477" s="83">
        <f t="shared" si="266"/>
        <v>0</v>
      </c>
      <c r="H477" s="84">
        <f t="shared" si="267"/>
        <v>0</v>
      </c>
      <c r="I477" s="85"/>
      <c r="J477" s="85"/>
      <c r="K477" s="85"/>
      <c r="L477" s="85"/>
      <c r="M477" s="85"/>
      <c r="N477" s="85"/>
      <c r="O477" s="85"/>
      <c r="P477" s="85"/>
      <c r="Q477" s="85"/>
      <c r="R477" s="85"/>
      <c r="S477" s="85"/>
      <c r="T477" s="85"/>
      <c r="U477" s="85"/>
      <c r="V477" s="85"/>
      <c r="W477" s="85"/>
      <c r="X477" s="85"/>
      <c r="Y477" s="85"/>
      <c r="Z477" s="85"/>
      <c r="AA477" s="85"/>
      <c r="AB477" s="85"/>
      <c r="AC477" s="81">
        <f t="shared" si="268"/>
        <v>0</v>
      </c>
      <c r="AD477" s="86"/>
      <c r="AE477" s="86"/>
      <c r="AF477" s="86"/>
      <c r="AG477" s="86"/>
      <c r="AH477" s="86"/>
      <c r="AI477" s="86"/>
      <c r="AJ477" s="86"/>
      <c r="AK477" s="86"/>
      <c r="AL477" s="86"/>
      <c r="AM477" s="86"/>
      <c r="AN477" s="86"/>
      <c r="AO477" s="86"/>
      <c r="AP477" s="86"/>
      <c r="AQ477" s="86"/>
      <c r="AR477" s="86"/>
      <c r="AS477" s="86"/>
      <c r="AT477" s="82"/>
      <c r="AU477" s="87"/>
      <c r="AV477" s="818">
        <f t="shared" si="269"/>
        <v>0</v>
      </c>
      <c r="AW477" s="818">
        <f t="shared" si="270"/>
        <v>0</v>
      </c>
      <c r="AX477" s="818">
        <f t="shared" si="271"/>
        <v>0</v>
      </c>
      <c r="AY477" s="88">
        <f t="shared" si="272"/>
        <v>0</v>
      </c>
      <c r="AZ477" s="81">
        <f t="shared" si="273"/>
        <v>0</v>
      </c>
      <c r="BA477" s="81">
        <f t="shared" si="274"/>
        <v>0</v>
      </c>
      <c r="BB477" s="81">
        <f t="shared" si="275"/>
        <v>0</v>
      </c>
      <c r="BC477" s="81">
        <f t="shared" si="276"/>
        <v>0</v>
      </c>
      <c r="BD477" s="81">
        <f t="shared" si="277"/>
        <v>0</v>
      </c>
      <c r="BE477" s="81">
        <f t="shared" si="278"/>
        <v>0</v>
      </c>
      <c r="BF477" s="81">
        <f t="shared" si="279"/>
        <v>0</v>
      </c>
      <c r="BG477" s="81">
        <f t="shared" si="280"/>
        <v>0</v>
      </c>
      <c r="BH477" s="81">
        <f t="shared" si="281"/>
        <v>0</v>
      </c>
      <c r="BI477" s="81">
        <f t="shared" si="282"/>
        <v>0</v>
      </c>
      <c r="BJ477" s="81">
        <f t="shared" si="283"/>
        <v>0</v>
      </c>
      <c r="BK477" s="81">
        <f t="shared" si="284"/>
        <v>0</v>
      </c>
      <c r="BL477" s="81">
        <f t="shared" si="285"/>
        <v>0</v>
      </c>
      <c r="BM477" s="81">
        <f t="shared" si="286"/>
        <v>0</v>
      </c>
      <c r="BN477" s="81">
        <f t="shared" si="287"/>
        <v>0</v>
      </c>
      <c r="BO477" s="81">
        <f t="shared" si="288"/>
        <v>0</v>
      </c>
      <c r="BP477" s="81">
        <f t="shared" si="289"/>
        <v>0</v>
      </c>
      <c r="BQ477" s="81">
        <f t="shared" si="290"/>
        <v>0</v>
      </c>
      <c r="BR477" s="81">
        <f t="shared" si="291"/>
        <v>0</v>
      </c>
      <c r="BS477" s="81">
        <f t="shared" si="292"/>
        <v>0</v>
      </c>
      <c r="BT477" s="89">
        <f t="shared" si="293"/>
        <v>0</v>
      </c>
    </row>
    <row r="478" spans="1:72">
      <c r="A478" s="79"/>
      <c r="B478" s="79"/>
      <c r="C478" s="79"/>
      <c r="D478" s="2301"/>
      <c r="E478" s="81">
        <f t="shared" si="265"/>
        <v>0</v>
      </c>
      <c r="F478" s="86"/>
      <c r="G478" s="83">
        <f t="shared" ref="G478:G509" si="294">H478+AC478+AT478</f>
        <v>0</v>
      </c>
      <c r="H478" s="84">
        <f t="shared" ref="H478:H509" si="295">SUMIF(I$12:AB$12,"总值",I478:AB478)</f>
        <v>0</v>
      </c>
      <c r="I478" s="90"/>
      <c r="J478" s="90"/>
      <c r="K478" s="85"/>
      <c r="L478" s="85"/>
      <c r="M478" s="85"/>
      <c r="N478" s="85"/>
      <c r="O478" s="85"/>
      <c r="P478" s="85"/>
      <c r="Q478" s="85"/>
      <c r="R478" s="85"/>
      <c r="S478" s="85"/>
      <c r="T478" s="85"/>
      <c r="U478" s="85"/>
      <c r="V478" s="85"/>
      <c r="W478" s="85"/>
      <c r="X478" s="85"/>
      <c r="Y478" s="85"/>
      <c r="Z478" s="85"/>
      <c r="AA478" s="85"/>
      <c r="AB478" s="85"/>
      <c r="AC478" s="81">
        <f t="shared" ref="AC478:AC509" si="296">SUMIF(AD$12:AS$12,"总值",AD478:AS478)</f>
        <v>0</v>
      </c>
      <c r="AD478" s="86"/>
      <c r="AE478" s="86"/>
      <c r="AF478" s="86"/>
      <c r="AG478" s="86"/>
      <c r="AH478" s="86"/>
      <c r="AI478" s="86"/>
      <c r="AJ478" s="86"/>
      <c r="AK478" s="86"/>
      <c r="AL478" s="86"/>
      <c r="AM478" s="86"/>
      <c r="AN478" s="86"/>
      <c r="AO478" s="86"/>
      <c r="AP478" s="86"/>
      <c r="AQ478" s="86"/>
      <c r="AR478" s="86"/>
      <c r="AS478" s="86"/>
      <c r="AT478" s="86"/>
      <c r="AU478" s="91"/>
      <c r="AV478" s="818">
        <f t="shared" si="269"/>
        <v>0</v>
      </c>
      <c r="AW478" s="818">
        <f t="shared" si="270"/>
        <v>0</v>
      </c>
      <c r="AX478" s="818">
        <f t="shared" si="271"/>
        <v>0</v>
      </c>
      <c r="AY478" s="88">
        <f t="shared" ref="AY478:AY509" si="297">ROUND($AY$6*AZ478/$AZ$5,2)</f>
        <v>0</v>
      </c>
      <c r="AZ478" s="81">
        <f t="shared" ref="AZ478:AZ509" si="298">BA478+BL478</f>
        <v>0</v>
      </c>
      <c r="BA478" s="81">
        <f t="shared" ref="BA478:BA509" si="299">SUM(BB478:BK478)</f>
        <v>0</v>
      </c>
      <c r="BB478" s="81">
        <f t="shared" ref="BB478:BB509" si="300">IF($D478="是",I478-J478,0)</f>
        <v>0</v>
      </c>
      <c r="BC478" s="81">
        <f t="shared" ref="BC478:BC509" si="301">IF($D478="是",K478-L478,0)</f>
        <v>0</v>
      </c>
      <c r="BD478" s="81">
        <f t="shared" ref="BD478:BD509" si="302">IF($D478="是",M478-N478,0)</f>
        <v>0</v>
      </c>
      <c r="BE478" s="81">
        <f t="shared" ref="BE478:BE509" si="303">IF($D478="是",O478-P478,0)</f>
        <v>0</v>
      </c>
      <c r="BF478" s="81">
        <f t="shared" ref="BF478:BF509" si="304">IF($D478="是",Q478-R478,0)</f>
        <v>0</v>
      </c>
      <c r="BG478" s="81">
        <f t="shared" ref="BG478:BG509" si="305">IF($D478="是",S478-T478,0)</f>
        <v>0</v>
      </c>
      <c r="BH478" s="81">
        <f t="shared" ref="BH478:BH509" si="306">IF($D478="是",U478-V478,0)</f>
        <v>0</v>
      </c>
      <c r="BI478" s="81">
        <f t="shared" ref="BI478:BI509" si="307">IF($D478="是",W478-X478,0)</f>
        <v>0</v>
      </c>
      <c r="BJ478" s="81">
        <f t="shared" ref="BJ478:BJ509" si="308">IF($D478="是",Y478-Z478,0)</f>
        <v>0</v>
      </c>
      <c r="BK478" s="81">
        <f t="shared" ref="BK478:BK509" si="309">IF($D478="是",AA478-AB478,0)</f>
        <v>0</v>
      </c>
      <c r="BL478" s="81">
        <f t="shared" ref="BL478:BL509" si="310">SUM(BM478:BT478)</f>
        <v>0</v>
      </c>
      <c r="BM478" s="81">
        <f t="shared" ref="BM478:BM509" si="311">IF($D478="是",AD478-AE478,0)</f>
        <v>0</v>
      </c>
      <c r="BN478" s="81">
        <f t="shared" ref="BN478:BN509" si="312">IF($D478="是",AF478-AG478,0)</f>
        <v>0</v>
      </c>
      <c r="BO478" s="81">
        <f t="shared" ref="BO478:BO509" si="313">IF($D478="是",AH478-AI478,0)</f>
        <v>0</v>
      </c>
      <c r="BP478" s="81">
        <f t="shared" ref="BP478:BP509" si="314">IF($D478="是",AJ478-AK478,0)</f>
        <v>0</v>
      </c>
      <c r="BQ478" s="81">
        <f t="shared" ref="BQ478:BQ509" si="315">IF($D478="是",AL478-AM478,0)</f>
        <v>0</v>
      </c>
      <c r="BR478" s="81">
        <f t="shared" ref="BR478:BR509" si="316">IF($D478="是",AN478-AO478,0)</f>
        <v>0</v>
      </c>
      <c r="BS478" s="81">
        <f t="shared" ref="BS478:BS509" si="317">IF($D478="是",AP478-AQ478,0)</f>
        <v>0</v>
      </c>
      <c r="BT478" s="89">
        <f t="shared" ref="BT478:BT509" si="318">IF($D478="是",AR478-AS478,0)</f>
        <v>0</v>
      </c>
    </row>
    <row r="479" spans="1:72">
      <c r="A479" s="79"/>
      <c r="B479" s="79"/>
      <c r="C479" s="79"/>
      <c r="D479" s="2301"/>
      <c r="E479" s="81">
        <f t="shared" si="265"/>
        <v>0</v>
      </c>
      <c r="F479" s="86"/>
      <c r="G479" s="83">
        <f t="shared" si="294"/>
        <v>0</v>
      </c>
      <c r="H479" s="84">
        <f t="shared" si="295"/>
        <v>0</v>
      </c>
      <c r="I479" s="85"/>
      <c r="J479" s="85"/>
      <c r="K479" s="85"/>
      <c r="L479" s="85"/>
      <c r="M479" s="85"/>
      <c r="N479" s="85"/>
      <c r="O479" s="85"/>
      <c r="P479" s="85"/>
      <c r="Q479" s="85"/>
      <c r="R479" s="85"/>
      <c r="S479" s="85"/>
      <c r="T479" s="85"/>
      <c r="U479" s="85"/>
      <c r="V479" s="85"/>
      <c r="W479" s="85"/>
      <c r="X479" s="85"/>
      <c r="Y479" s="85"/>
      <c r="Z479" s="85"/>
      <c r="AA479" s="85"/>
      <c r="AB479" s="85"/>
      <c r="AC479" s="81">
        <f t="shared" si="296"/>
        <v>0</v>
      </c>
      <c r="AD479" s="86"/>
      <c r="AE479" s="86"/>
      <c r="AF479" s="86"/>
      <c r="AG479" s="86"/>
      <c r="AH479" s="86"/>
      <c r="AI479" s="86"/>
      <c r="AJ479" s="86"/>
      <c r="AK479" s="86"/>
      <c r="AL479" s="86"/>
      <c r="AM479" s="86"/>
      <c r="AN479" s="86"/>
      <c r="AO479" s="86"/>
      <c r="AP479" s="86"/>
      <c r="AQ479" s="86"/>
      <c r="AR479" s="86"/>
      <c r="AS479" s="86"/>
      <c r="AT479" s="86"/>
      <c r="AU479" s="91"/>
      <c r="AV479" s="818">
        <f t="shared" si="269"/>
        <v>0</v>
      </c>
      <c r="AW479" s="818">
        <f t="shared" si="270"/>
        <v>0</v>
      </c>
      <c r="AX479" s="818">
        <f t="shared" si="271"/>
        <v>0</v>
      </c>
      <c r="AY479" s="88">
        <f t="shared" si="297"/>
        <v>0</v>
      </c>
      <c r="AZ479" s="81">
        <f t="shared" si="298"/>
        <v>0</v>
      </c>
      <c r="BA479" s="81">
        <f t="shared" si="299"/>
        <v>0</v>
      </c>
      <c r="BB479" s="81">
        <f t="shared" si="300"/>
        <v>0</v>
      </c>
      <c r="BC479" s="81">
        <f t="shared" si="301"/>
        <v>0</v>
      </c>
      <c r="BD479" s="81">
        <f t="shared" si="302"/>
        <v>0</v>
      </c>
      <c r="BE479" s="81">
        <f t="shared" si="303"/>
        <v>0</v>
      </c>
      <c r="BF479" s="81">
        <f t="shared" si="304"/>
        <v>0</v>
      </c>
      <c r="BG479" s="81">
        <f t="shared" si="305"/>
        <v>0</v>
      </c>
      <c r="BH479" s="81">
        <f t="shared" si="306"/>
        <v>0</v>
      </c>
      <c r="BI479" s="81">
        <f t="shared" si="307"/>
        <v>0</v>
      </c>
      <c r="BJ479" s="81">
        <f t="shared" si="308"/>
        <v>0</v>
      </c>
      <c r="BK479" s="81">
        <f t="shared" si="309"/>
        <v>0</v>
      </c>
      <c r="BL479" s="81">
        <f t="shared" si="310"/>
        <v>0</v>
      </c>
      <c r="BM479" s="81">
        <f t="shared" si="311"/>
        <v>0</v>
      </c>
      <c r="BN479" s="81">
        <f t="shared" si="312"/>
        <v>0</v>
      </c>
      <c r="BO479" s="81">
        <f t="shared" si="313"/>
        <v>0</v>
      </c>
      <c r="BP479" s="81">
        <f t="shared" si="314"/>
        <v>0</v>
      </c>
      <c r="BQ479" s="81">
        <f t="shared" si="315"/>
        <v>0</v>
      </c>
      <c r="BR479" s="81">
        <f t="shared" si="316"/>
        <v>0</v>
      </c>
      <c r="BS479" s="81">
        <f t="shared" si="317"/>
        <v>0</v>
      </c>
      <c r="BT479" s="89">
        <f t="shared" si="318"/>
        <v>0</v>
      </c>
    </row>
    <row r="480" spans="1:72">
      <c r="A480" s="79"/>
      <c r="B480" s="79"/>
      <c r="C480" s="79"/>
      <c r="D480" s="2301"/>
      <c r="E480" s="81">
        <f t="shared" si="265"/>
        <v>0</v>
      </c>
      <c r="F480" s="86"/>
      <c r="G480" s="83">
        <f t="shared" si="294"/>
        <v>0</v>
      </c>
      <c r="H480" s="84">
        <f t="shared" si="295"/>
        <v>0</v>
      </c>
      <c r="I480" s="85"/>
      <c r="J480" s="85"/>
      <c r="K480" s="85"/>
      <c r="L480" s="85"/>
      <c r="M480" s="85"/>
      <c r="N480" s="85"/>
      <c r="O480" s="85"/>
      <c r="P480" s="85"/>
      <c r="Q480" s="85"/>
      <c r="R480" s="85"/>
      <c r="S480" s="85"/>
      <c r="T480" s="85"/>
      <c r="U480" s="85"/>
      <c r="V480" s="85"/>
      <c r="W480" s="85"/>
      <c r="X480" s="85"/>
      <c r="Y480" s="85"/>
      <c r="Z480" s="85"/>
      <c r="AA480" s="85"/>
      <c r="AB480" s="85"/>
      <c r="AC480" s="81">
        <f t="shared" si="296"/>
        <v>0</v>
      </c>
      <c r="AD480" s="86"/>
      <c r="AE480" s="86"/>
      <c r="AF480" s="86"/>
      <c r="AG480" s="86"/>
      <c r="AH480" s="86"/>
      <c r="AI480" s="86"/>
      <c r="AJ480" s="86"/>
      <c r="AK480" s="86"/>
      <c r="AL480" s="86"/>
      <c r="AM480" s="86"/>
      <c r="AN480" s="86"/>
      <c r="AO480" s="86"/>
      <c r="AP480" s="86"/>
      <c r="AQ480" s="86"/>
      <c r="AR480" s="86"/>
      <c r="AS480" s="86"/>
      <c r="AT480" s="86"/>
      <c r="AU480" s="91"/>
      <c r="AV480" s="818">
        <f t="shared" si="269"/>
        <v>0</v>
      </c>
      <c r="AW480" s="818">
        <f t="shared" si="270"/>
        <v>0</v>
      </c>
      <c r="AX480" s="818">
        <f t="shared" si="271"/>
        <v>0</v>
      </c>
      <c r="AY480" s="88">
        <f t="shared" si="297"/>
        <v>0</v>
      </c>
      <c r="AZ480" s="81">
        <f t="shared" si="298"/>
        <v>0</v>
      </c>
      <c r="BA480" s="81">
        <f t="shared" si="299"/>
        <v>0</v>
      </c>
      <c r="BB480" s="81">
        <f t="shared" si="300"/>
        <v>0</v>
      </c>
      <c r="BC480" s="81">
        <f t="shared" si="301"/>
        <v>0</v>
      </c>
      <c r="BD480" s="81">
        <f t="shared" si="302"/>
        <v>0</v>
      </c>
      <c r="BE480" s="81">
        <f t="shared" si="303"/>
        <v>0</v>
      </c>
      <c r="BF480" s="81">
        <f t="shared" si="304"/>
        <v>0</v>
      </c>
      <c r="BG480" s="81">
        <f t="shared" si="305"/>
        <v>0</v>
      </c>
      <c r="BH480" s="81">
        <f t="shared" si="306"/>
        <v>0</v>
      </c>
      <c r="BI480" s="81">
        <f t="shared" si="307"/>
        <v>0</v>
      </c>
      <c r="BJ480" s="81">
        <f t="shared" si="308"/>
        <v>0</v>
      </c>
      <c r="BK480" s="81">
        <f t="shared" si="309"/>
        <v>0</v>
      </c>
      <c r="BL480" s="81">
        <f t="shared" si="310"/>
        <v>0</v>
      </c>
      <c r="BM480" s="81">
        <f t="shared" si="311"/>
        <v>0</v>
      </c>
      <c r="BN480" s="81">
        <f t="shared" si="312"/>
        <v>0</v>
      </c>
      <c r="BO480" s="81">
        <f t="shared" si="313"/>
        <v>0</v>
      </c>
      <c r="BP480" s="81">
        <f t="shared" si="314"/>
        <v>0</v>
      </c>
      <c r="BQ480" s="81">
        <f t="shared" si="315"/>
        <v>0</v>
      </c>
      <c r="BR480" s="81">
        <f t="shared" si="316"/>
        <v>0</v>
      </c>
      <c r="BS480" s="81">
        <f t="shared" si="317"/>
        <v>0</v>
      </c>
      <c r="BT480" s="89">
        <f t="shared" si="318"/>
        <v>0</v>
      </c>
    </row>
    <row r="481" spans="1:72">
      <c r="A481" s="79"/>
      <c r="B481" s="1179"/>
      <c r="C481" s="1180"/>
      <c r="D481" s="2301"/>
      <c r="E481" s="81">
        <f t="shared" ref="E481:E504" si="319">IF($C$3="是",ROUND($A$3*G481/$B$3,2),ROUND($A$3*(G481-AT481)/$B$3,2))</f>
        <v>0</v>
      </c>
      <c r="F481" s="82"/>
      <c r="G481" s="83">
        <f t="shared" si="294"/>
        <v>0</v>
      </c>
      <c r="H481" s="84">
        <f t="shared" si="295"/>
        <v>0</v>
      </c>
      <c r="I481" s="1180"/>
      <c r="J481" s="85"/>
      <c r="K481" s="1180"/>
      <c r="L481" s="85"/>
      <c r="M481" s="85"/>
      <c r="N481" s="85"/>
      <c r="O481" s="85"/>
      <c r="P481" s="85"/>
      <c r="Q481" s="85"/>
      <c r="R481" s="85"/>
      <c r="S481" s="85"/>
      <c r="T481" s="85"/>
      <c r="U481" s="85"/>
      <c r="V481" s="85"/>
      <c r="W481" s="85"/>
      <c r="X481" s="85"/>
      <c r="Y481" s="85"/>
      <c r="Z481" s="85"/>
      <c r="AA481" s="85"/>
      <c r="AB481" s="85"/>
      <c r="AC481" s="81">
        <f t="shared" si="296"/>
        <v>0</v>
      </c>
      <c r="AD481" s="86"/>
      <c r="AE481" s="86"/>
      <c r="AF481" s="1181"/>
      <c r="AG481" s="86"/>
      <c r="AH481" s="86"/>
      <c r="AI481" s="86"/>
      <c r="AJ481" s="86"/>
      <c r="AK481" s="86"/>
      <c r="AL481" s="86"/>
      <c r="AM481" s="86"/>
      <c r="AN481" s="1158"/>
      <c r="AO481" s="86"/>
      <c r="AP481" s="86"/>
      <c r="AQ481" s="86"/>
      <c r="AR481" s="86"/>
      <c r="AS481" s="86"/>
      <c r="AT481" s="82"/>
      <c r="AU481" s="87"/>
      <c r="AV481" s="818">
        <f t="shared" ref="AV481:AV505" si="320">A481</f>
        <v>0</v>
      </c>
      <c r="AW481" s="818">
        <f t="shared" ref="AW481:AW505" si="321">B481</f>
        <v>0</v>
      </c>
      <c r="AX481" s="818">
        <f t="shared" ref="AX481:AX505" si="322">C481</f>
        <v>0</v>
      </c>
      <c r="AY481" s="88">
        <f t="shared" si="297"/>
        <v>0</v>
      </c>
      <c r="AZ481" s="81">
        <f t="shared" si="298"/>
        <v>0</v>
      </c>
      <c r="BA481" s="81">
        <f t="shared" si="299"/>
        <v>0</v>
      </c>
      <c r="BB481" s="81">
        <f t="shared" si="300"/>
        <v>0</v>
      </c>
      <c r="BC481" s="81">
        <f t="shared" si="301"/>
        <v>0</v>
      </c>
      <c r="BD481" s="81">
        <f t="shared" si="302"/>
        <v>0</v>
      </c>
      <c r="BE481" s="81">
        <f t="shared" si="303"/>
        <v>0</v>
      </c>
      <c r="BF481" s="81">
        <f t="shared" si="304"/>
        <v>0</v>
      </c>
      <c r="BG481" s="81">
        <f t="shared" si="305"/>
        <v>0</v>
      </c>
      <c r="BH481" s="81">
        <f t="shared" si="306"/>
        <v>0</v>
      </c>
      <c r="BI481" s="81">
        <f t="shared" si="307"/>
        <v>0</v>
      </c>
      <c r="BJ481" s="81">
        <f t="shared" si="308"/>
        <v>0</v>
      </c>
      <c r="BK481" s="81">
        <f t="shared" si="309"/>
        <v>0</v>
      </c>
      <c r="BL481" s="81">
        <f t="shared" si="310"/>
        <v>0</v>
      </c>
      <c r="BM481" s="81">
        <f t="shared" si="311"/>
        <v>0</v>
      </c>
      <c r="BN481" s="81">
        <f t="shared" si="312"/>
        <v>0</v>
      </c>
      <c r="BO481" s="81">
        <f t="shared" si="313"/>
        <v>0</v>
      </c>
      <c r="BP481" s="81">
        <f t="shared" si="314"/>
        <v>0</v>
      </c>
      <c r="BQ481" s="81">
        <f t="shared" si="315"/>
        <v>0</v>
      </c>
      <c r="BR481" s="81">
        <f t="shared" si="316"/>
        <v>0</v>
      </c>
      <c r="BS481" s="81">
        <f t="shared" si="317"/>
        <v>0</v>
      </c>
      <c r="BT481" s="89">
        <f t="shared" si="318"/>
        <v>0</v>
      </c>
    </row>
    <row r="482" spans="1:72">
      <c r="A482" s="79"/>
      <c r="B482" s="1179"/>
      <c r="C482" s="1180"/>
      <c r="D482" s="2301"/>
      <c r="E482" s="81">
        <f t="shared" si="319"/>
        <v>0</v>
      </c>
      <c r="F482" s="82"/>
      <c r="G482" s="83">
        <f t="shared" si="294"/>
        <v>0</v>
      </c>
      <c r="H482" s="84">
        <f t="shared" si="295"/>
        <v>0</v>
      </c>
      <c r="I482" s="1180"/>
      <c r="J482" s="85"/>
      <c r="K482" s="1180"/>
      <c r="L482" s="85"/>
      <c r="M482" s="1158"/>
      <c r="N482" s="85"/>
      <c r="O482" s="85"/>
      <c r="P482" s="85"/>
      <c r="Q482" s="85"/>
      <c r="R482" s="85"/>
      <c r="S482" s="85"/>
      <c r="T482" s="85"/>
      <c r="U482" s="85"/>
      <c r="V482" s="85"/>
      <c r="W482" s="85"/>
      <c r="X482" s="85"/>
      <c r="Y482" s="85"/>
      <c r="Z482" s="85"/>
      <c r="AA482" s="85"/>
      <c r="AB482" s="85"/>
      <c r="AC482" s="81">
        <f t="shared" si="296"/>
        <v>0</v>
      </c>
      <c r="AD482" s="1158"/>
      <c r="AE482" s="86"/>
      <c r="AF482" s="1181"/>
      <c r="AG482" s="86"/>
      <c r="AH482" s="86"/>
      <c r="AI482" s="86"/>
      <c r="AJ482" s="86"/>
      <c r="AK482" s="86"/>
      <c r="AL482" s="1158"/>
      <c r="AM482" s="86"/>
      <c r="AN482" s="1158"/>
      <c r="AO482" s="86"/>
      <c r="AP482" s="86"/>
      <c r="AQ482" s="86"/>
      <c r="AR482" s="86"/>
      <c r="AS482" s="86"/>
      <c r="AT482" s="82"/>
      <c r="AU482" s="87"/>
      <c r="AV482" s="818">
        <f t="shared" si="320"/>
        <v>0</v>
      </c>
      <c r="AW482" s="818">
        <f t="shared" si="321"/>
        <v>0</v>
      </c>
      <c r="AX482" s="818">
        <f t="shared" si="322"/>
        <v>0</v>
      </c>
      <c r="AY482" s="88">
        <f t="shared" si="297"/>
        <v>0</v>
      </c>
      <c r="AZ482" s="81">
        <f t="shared" si="298"/>
        <v>0</v>
      </c>
      <c r="BA482" s="81">
        <f t="shared" si="299"/>
        <v>0</v>
      </c>
      <c r="BB482" s="81">
        <f t="shared" si="300"/>
        <v>0</v>
      </c>
      <c r="BC482" s="81">
        <f t="shared" si="301"/>
        <v>0</v>
      </c>
      <c r="BD482" s="81">
        <f t="shared" si="302"/>
        <v>0</v>
      </c>
      <c r="BE482" s="81">
        <f t="shared" si="303"/>
        <v>0</v>
      </c>
      <c r="BF482" s="81">
        <f t="shared" si="304"/>
        <v>0</v>
      </c>
      <c r="BG482" s="81">
        <f t="shared" si="305"/>
        <v>0</v>
      </c>
      <c r="BH482" s="81">
        <f t="shared" si="306"/>
        <v>0</v>
      </c>
      <c r="BI482" s="81">
        <f t="shared" si="307"/>
        <v>0</v>
      </c>
      <c r="BJ482" s="81">
        <f t="shared" si="308"/>
        <v>0</v>
      </c>
      <c r="BK482" s="81">
        <f t="shared" si="309"/>
        <v>0</v>
      </c>
      <c r="BL482" s="81">
        <f t="shared" si="310"/>
        <v>0</v>
      </c>
      <c r="BM482" s="81">
        <f t="shared" si="311"/>
        <v>0</v>
      </c>
      <c r="BN482" s="81">
        <f t="shared" si="312"/>
        <v>0</v>
      </c>
      <c r="BO482" s="81">
        <f t="shared" si="313"/>
        <v>0</v>
      </c>
      <c r="BP482" s="81">
        <f t="shared" si="314"/>
        <v>0</v>
      </c>
      <c r="BQ482" s="81">
        <f t="shared" si="315"/>
        <v>0</v>
      </c>
      <c r="BR482" s="81">
        <f t="shared" si="316"/>
        <v>0</v>
      </c>
      <c r="BS482" s="81">
        <f t="shared" si="317"/>
        <v>0</v>
      </c>
      <c r="BT482" s="89">
        <f t="shared" si="318"/>
        <v>0</v>
      </c>
    </row>
    <row r="483" spans="1:72">
      <c r="A483" s="79"/>
      <c r="B483" s="1179"/>
      <c r="C483" s="1180"/>
      <c r="D483" s="2301"/>
      <c r="E483" s="81">
        <f t="shared" si="319"/>
        <v>0</v>
      </c>
      <c r="F483" s="82"/>
      <c r="G483" s="83">
        <f t="shared" si="294"/>
        <v>0</v>
      </c>
      <c r="H483" s="84">
        <f t="shared" si="295"/>
        <v>0</v>
      </c>
      <c r="I483" s="1180"/>
      <c r="J483" s="85"/>
      <c r="K483" s="1180"/>
      <c r="L483" s="85"/>
      <c r="M483" s="1158"/>
      <c r="N483" s="85"/>
      <c r="O483" s="85"/>
      <c r="P483" s="85"/>
      <c r="Q483" s="85"/>
      <c r="R483" s="85"/>
      <c r="S483" s="85"/>
      <c r="T483" s="85"/>
      <c r="U483" s="85"/>
      <c r="V483" s="85"/>
      <c r="W483" s="85"/>
      <c r="X483" s="85"/>
      <c r="Y483" s="85"/>
      <c r="Z483" s="85"/>
      <c r="AA483" s="85"/>
      <c r="AB483" s="85"/>
      <c r="AC483" s="81">
        <f t="shared" si="296"/>
        <v>0</v>
      </c>
      <c r="AD483" s="86"/>
      <c r="AE483" s="86"/>
      <c r="AF483" s="1181"/>
      <c r="AG483" s="86"/>
      <c r="AH483" s="86"/>
      <c r="AI483" s="86"/>
      <c r="AJ483" s="86"/>
      <c r="AK483" s="86"/>
      <c r="AL483" s="1158"/>
      <c r="AM483" s="86"/>
      <c r="AN483" s="1158"/>
      <c r="AO483" s="86"/>
      <c r="AP483" s="86"/>
      <c r="AQ483" s="86"/>
      <c r="AR483" s="86"/>
      <c r="AS483" s="86"/>
      <c r="AT483" s="82"/>
      <c r="AU483" s="87"/>
      <c r="AV483" s="818">
        <f t="shared" si="320"/>
        <v>0</v>
      </c>
      <c r="AW483" s="818">
        <f t="shared" si="321"/>
        <v>0</v>
      </c>
      <c r="AX483" s="818">
        <f t="shared" si="322"/>
        <v>0</v>
      </c>
      <c r="AY483" s="88">
        <f t="shared" si="297"/>
        <v>0</v>
      </c>
      <c r="AZ483" s="81">
        <f t="shared" si="298"/>
        <v>0</v>
      </c>
      <c r="BA483" s="81">
        <f t="shared" si="299"/>
        <v>0</v>
      </c>
      <c r="BB483" s="81">
        <f t="shared" si="300"/>
        <v>0</v>
      </c>
      <c r="BC483" s="81">
        <f t="shared" si="301"/>
        <v>0</v>
      </c>
      <c r="BD483" s="81">
        <f t="shared" si="302"/>
        <v>0</v>
      </c>
      <c r="BE483" s="81">
        <f t="shared" si="303"/>
        <v>0</v>
      </c>
      <c r="BF483" s="81">
        <f t="shared" si="304"/>
        <v>0</v>
      </c>
      <c r="BG483" s="81">
        <f t="shared" si="305"/>
        <v>0</v>
      </c>
      <c r="BH483" s="81">
        <f t="shared" si="306"/>
        <v>0</v>
      </c>
      <c r="BI483" s="81">
        <f t="shared" si="307"/>
        <v>0</v>
      </c>
      <c r="BJ483" s="81">
        <f t="shared" si="308"/>
        <v>0</v>
      </c>
      <c r="BK483" s="81">
        <f t="shared" si="309"/>
        <v>0</v>
      </c>
      <c r="BL483" s="81">
        <f t="shared" si="310"/>
        <v>0</v>
      </c>
      <c r="BM483" s="81">
        <f t="shared" si="311"/>
        <v>0</v>
      </c>
      <c r="BN483" s="81">
        <f t="shared" si="312"/>
        <v>0</v>
      </c>
      <c r="BO483" s="81">
        <f t="shared" si="313"/>
        <v>0</v>
      </c>
      <c r="BP483" s="81">
        <f t="shared" si="314"/>
        <v>0</v>
      </c>
      <c r="BQ483" s="81">
        <f t="shared" si="315"/>
        <v>0</v>
      </c>
      <c r="BR483" s="81">
        <f t="shared" si="316"/>
        <v>0</v>
      </c>
      <c r="BS483" s="81">
        <f t="shared" si="317"/>
        <v>0</v>
      </c>
      <c r="BT483" s="89">
        <f t="shared" si="318"/>
        <v>0</v>
      </c>
    </row>
    <row r="484" spans="1:72">
      <c r="A484" s="79"/>
      <c r="B484" s="1179"/>
      <c r="C484" s="1180"/>
      <c r="D484" s="2301"/>
      <c r="E484" s="81">
        <f t="shared" si="319"/>
        <v>0</v>
      </c>
      <c r="F484" s="82"/>
      <c r="G484" s="83">
        <f t="shared" si="294"/>
        <v>0</v>
      </c>
      <c r="H484" s="84">
        <f t="shared" si="295"/>
        <v>0</v>
      </c>
      <c r="I484" s="1180"/>
      <c r="J484" s="85"/>
      <c r="K484" s="1180"/>
      <c r="L484" s="85"/>
      <c r="M484" s="85"/>
      <c r="N484" s="85"/>
      <c r="O484" s="1158"/>
      <c r="P484" s="85"/>
      <c r="Q484" s="85"/>
      <c r="R484" s="85"/>
      <c r="S484" s="85"/>
      <c r="T484" s="85"/>
      <c r="U484" s="85"/>
      <c r="V484" s="85"/>
      <c r="W484" s="85"/>
      <c r="X484" s="85"/>
      <c r="Y484" s="85"/>
      <c r="Z484" s="85"/>
      <c r="AA484" s="85"/>
      <c r="AB484" s="85"/>
      <c r="AC484" s="81">
        <f t="shared" si="296"/>
        <v>0</v>
      </c>
      <c r="AD484" s="86"/>
      <c r="AE484" s="86"/>
      <c r="AF484" s="1181"/>
      <c r="AG484" s="86"/>
      <c r="AH484" s="86"/>
      <c r="AI484" s="86"/>
      <c r="AJ484" s="86"/>
      <c r="AK484" s="86"/>
      <c r="AL484" s="86"/>
      <c r="AM484" s="86"/>
      <c r="AN484" s="1158"/>
      <c r="AO484" s="86"/>
      <c r="AP484" s="86"/>
      <c r="AQ484" s="86"/>
      <c r="AR484" s="86"/>
      <c r="AS484" s="86"/>
      <c r="AT484" s="82"/>
      <c r="AU484" s="87"/>
      <c r="AV484" s="818">
        <f t="shared" si="320"/>
        <v>0</v>
      </c>
      <c r="AW484" s="818">
        <f t="shared" si="321"/>
        <v>0</v>
      </c>
      <c r="AX484" s="818">
        <f t="shared" si="322"/>
        <v>0</v>
      </c>
      <c r="AY484" s="88">
        <f t="shared" si="297"/>
        <v>0</v>
      </c>
      <c r="AZ484" s="81">
        <f t="shared" si="298"/>
        <v>0</v>
      </c>
      <c r="BA484" s="81">
        <f t="shared" si="299"/>
        <v>0</v>
      </c>
      <c r="BB484" s="81">
        <f t="shared" si="300"/>
        <v>0</v>
      </c>
      <c r="BC484" s="81">
        <f t="shared" si="301"/>
        <v>0</v>
      </c>
      <c r="BD484" s="81">
        <f t="shared" si="302"/>
        <v>0</v>
      </c>
      <c r="BE484" s="81">
        <f t="shared" si="303"/>
        <v>0</v>
      </c>
      <c r="BF484" s="81">
        <f t="shared" si="304"/>
        <v>0</v>
      </c>
      <c r="BG484" s="81">
        <f t="shared" si="305"/>
        <v>0</v>
      </c>
      <c r="BH484" s="81">
        <f t="shared" si="306"/>
        <v>0</v>
      </c>
      <c r="BI484" s="81">
        <f t="shared" si="307"/>
        <v>0</v>
      </c>
      <c r="BJ484" s="81">
        <f t="shared" si="308"/>
        <v>0</v>
      </c>
      <c r="BK484" s="81">
        <f t="shared" si="309"/>
        <v>0</v>
      </c>
      <c r="BL484" s="81">
        <f t="shared" si="310"/>
        <v>0</v>
      </c>
      <c r="BM484" s="81">
        <f t="shared" si="311"/>
        <v>0</v>
      </c>
      <c r="BN484" s="81">
        <f t="shared" si="312"/>
        <v>0</v>
      </c>
      <c r="BO484" s="81">
        <f t="shared" si="313"/>
        <v>0</v>
      </c>
      <c r="BP484" s="81">
        <f t="shared" si="314"/>
        <v>0</v>
      </c>
      <c r="BQ484" s="81">
        <f t="shared" si="315"/>
        <v>0</v>
      </c>
      <c r="BR484" s="81">
        <f t="shared" si="316"/>
        <v>0</v>
      </c>
      <c r="BS484" s="81">
        <f t="shared" si="317"/>
        <v>0</v>
      </c>
      <c r="BT484" s="89">
        <f t="shared" si="318"/>
        <v>0</v>
      </c>
    </row>
    <row r="485" spans="1:72">
      <c r="A485" s="79"/>
      <c r="B485" s="1179"/>
      <c r="C485" s="1180"/>
      <c r="D485" s="2301"/>
      <c r="E485" s="81">
        <f t="shared" si="319"/>
        <v>0</v>
      </c>
      <c r="F485" s="82"/>
      <c r="G485" s="83">
        <f t="shared" si="294"/>
        <v>0</v>
      </c>
      <c r="H485" s="84">
        <f t="shared" si="295"/>
        <v>0</v>
      </c>
      <c r="I485" s="1180"/>
      <c r="J485" s="85"/>
      <c r="K485" s="1180"/>
      <c r="L485" s="85"/>
      <c r="M485" s="85"/>
      <c r="N485" s="85"/>
      <c r="O485" s="85"/>
      <c r="P485" s="85"/>
      <c r="Q485" s="85"/>
      <c r="R485" s="85"/>
      <c r="S485" s="85"/>
      <c r="T485" s="85"/>
      <c r="U485" s="85"/>
      <c r="V485" s="85"/>
      <c r="W485" s="85"/>
      <c r="X485" s="85"/>
      <c r="Y485" s="85"/>
      <c r="Z485" s="85"/>
      <c r="AA485" s="85"/>
      <c r="AB485" s="85"/>
      <c r="AC485" s="81">
        <f t="shared" si="296"/>
        <v>0</v>
      </c>
      <c r="AD485" s="86"/>
      <c r="AE485" s="86"/>
      <c r="AF485" s="1181"/>
      <c r="AG485" s="86"/>
      <c r="AH485" s="86"/>
      <c r="AI485" s="86"/>
      <c r="AJ485" s="86"/>
      <c r="AK485" s="86"/>
      <c r="AL485" s="86"/>
      <c r="AM485" s="86"/>
      <c r="AN485" s="86"/>
      <c r="AO485" s="86"/>
      <c r="AP485" s="86"/>
      <c r="AQ485" s="86"/>
      <c r="AR485" s="86"/>
      <c r="AS485" s="86"/>
      <c r="AT485" s="82"/>
      <c r="AU485" s="87"/>
      <c r="AV485" s="818">
        <f t="shared" si="320"/>
        <v>0</v>
      </c>
      <c r="AW485" s="818">
        <f t="shared" si="321"/>
        <v>0</v>
      </c>
      <c r="AX485" s="818">
        <f t="shared" si="322"/>
        <v>0</v>
      </c>
      <c r="AY485" s="88">
        <f t="shared" si="297"/>
        <v>0</v>
      </c>
      <c r="AZ485" s="81">
        <f t="shared" si="298"/>
        <v>0</v>
      </c>
      <c r="BA485" s="81">
        <f t="shared" si="299"/>
        <v>0</v>
      </c>
      <c r="BB485" s="81">
        <f t="shared" si="300"/>
        <v>0</v>
      </c>
      <c r="BC485" s="81">
        <f t="shared" si="301"/>
        <v>0</v>
      </c>
      <c r="BD485" s="81">
        <f t="shared" si="302"/>
        <v>0</v>
      </c>
      <c r="BE485" s="81">
        <f t="shared" si="303"/>
        <v>0</v>
      </c>
      <c r="BF485" s="81">
        <f t="shared" si="304"/>
        <v>0</v>
      </c>
      <c r="BG485" s="81">
        <f t="shared" si="305"/>
        <v>0</v>
      </c>
      <c r="BH485" s="81">
        <f t="shared" si="306"/>
        <v>0</v>
      </c>
      <c r="BI485" s="81">
        <f t="shared" si="307"/>
        <v>0</v>
      </c>
      <c r="BJ485" s="81">
        <f t="shared" si="308"/>
        <v>0</v>
      </c>
      <c r="BK485" s="81">
        <f t="shared" si="309"/>
        <v>0</v>
      </c>
      <c r="BL485" s="81">
        <f t="shared" si="310"/>
        <v>0</v>
      </c>
      <c r="BM485" s="81">
        <f t="shared" si="311"/>
        <v>0</v>
      </c>
      <c r="BN485" s="81">
        <f t="shared" si="312"/>
        <v>0</v>
      </c>
      <c r="BO485" s="81">
        <f t="shared" si="313"/>
        <v>0</v>
      </c>
      <c r="BP485" s="81">
        <f t="shared" si="314"/>
        <v>0</v>
      </c>
      <c r="BQ485" s="81">
        <f t="shared" si="315"/>
        <v>0</v>
      </c>
      <c r="BR485" s="81">
        <f t="shared" si="316"/>
        <v>0</v>
      </c>
      <c r="BS485" s="81">
        <f t="shared" si="317"/>
        <v>0</v>
      </c>
      <c r="BT485" s="89">
        <f t="shared" si="318"/>
        <v>0</v>
      </c>
    </row>
    <row r="486" spans="1:72">
      <c r="A486" s="79"/>
      <c r="B486" s="1179"/>
      <c r="C486" s="1180"/>
      <c r="D486" s="2301"/>
      <c r="E486" s="81">
        <f t="shared" si="319"/>
        <v>0</v>
      </c>
      <c r="F486" s="82"/>
      <c r="G486" s="83">
        <f t="shared" si="294"/>
        <v>0</v>
      </c>
      <c r="H486" s="84">
        <f t="shared" si="295"/>
        <v>0</v>
      </c>
      <c r="I486" s="1180"/>
      <c r="J486" s="85"/>
      <c r="K486" s="1180"/>
      <c r="L486" s="85"/>
      <c r="M486" s="85"/>
      <c r="N486" s="85"/>
      <c r="O486" s="85"/>
      <c r="P486" s="85"/>
      <c r="Q486" s="85"/>
      <c r="R486" s="85"/>
      <c r="S486" s="85"/>
      <c r="T486" s="85"/>
      <c r="U486" s="85"/>
      <c r="V486" s="85"/>
      <c r="W486" s="85"/>
      <c r="X486" s="85"/>
      <c r="Y486" s="85"/>
      <c r="Z486" s="85"/>
      <c r="AA486" s="85"/>
      <c r="AB486" s="85"/>
      <c r="AC486" s="81">
        <f t="shared" si="296"/>
        <v>0</v>
      </c>
      <c r="AD486" s="86"/>
      <c r="AE486" s="86"/>
      <c r="AF486" s="1181"/>
      <c r="AG486" s="86"/>
      <c r="AH486" s="86"/>
      <c r="AI486" s="86"/>
      <c r="AJ486" s="86"/>
      <c r="AK486" s="86"/>
      <c r="AL486" s="86"/>
      <c r="AM486" s="86"/>
      <c r="AN486" s="86"/>
      <c r="AO486" s="86"/>
      <c r="AP486" s="86"/>
      <c r="AQ486" s="86"/>
      <c r="AR486" s="86"/>
      <c r="AS486" s="86"/>
      <c r="AT486" s="82"/>
      <c r="AU486" s="87"/>
      <c r="AV486" s="818">
        <f t="shared" si="320"/>
        <v>0</v>
      </c>
      <c r="AW486" s="818">
        <f t="shared" si="321"/>
        <v>0</v>
      </c>
      <c r="AX486" s="818">
        <f t="shared" si="322"/>
        <v>0</v>
      </c>
      <c r="AY486" s="88">
        <f t="shared" si="297"/>
        <v>0</v>
      </c>
      <c r="AZ486" s="81">
        <f t="shared" si="298"/>
        <v>0</v>
      </c>
      <c r="BA486" s="81">
        <f t="shared" si="299"/>
        <v>0</v>
      </c>
      <c r="BB486" s="81">
        <f t="shared" si="300"/>
        <v>0</v>
      </c>
      <c r="BC486" s="81">
        <f t="shared" si="301"/>
        <v>0</v>
      </c>
      <c r="BD486" s="81">
        <f t="shared" si="302"/>
        <v>0</v>
      </c>
      <c r="BE486" s="81">
        <f t="shared" si="303"/>
        <v>0</v>
      </c>
      <c r="BF486" s="81">
        <f t="shared" si="304"/>
        <v>0</v>
      </c>
      <c r="BG486" s="81">
        <f t="shared" si="305"/>
        <v>0</v>
      </c>
      <c r="BH486" s="81">
        <f t="shared" si="306"/>
        <v>0</v>
      </c>
      <c r="BI486" s="81">
        <f t="shared" si="307"/>
        <v>0</v>
      </c>
      <c r="BJ486" s="81">
        <f t="shared" si="308"/>
        <v>0</v>
      </c>
      <c r="BK486" s="81">
        <f t="shared" si="309"/>
        <v>0</v>
      </c>
      <c r="BL486" s="81">
        <f t="shared" si="310"/>
        <v>0</v>
      </c>
      <c r="BM486" s="81">
        <f t="shared" si="311"/>
        <v>0</v>
      </c>
      <c r="BN486" s="81">
        <f t="shared" si="312"/>
        <v>0</v>
      </c>
      <c r="BO486" s="81">
        <f t="shared" si="313"/>
        <v>0</v>
      </c>
      <c r="BP486" s="81">
        <f t="shared" si="314"/>
        <v>0</v>
      </c>
      <c r="BQ486" s="81">
        <f t="shared" si="315"/>
        <v>0</v>
      </c>
      <c r="BR486" s="81">
        <f t="shared" si="316"/>
        <v>0</v>
      </c>
      <c r="BS486" s="81">
        <f t="shared" si="317"/>
        <v>0</v>
      </c>
      <c r="BT486" s="89">
        <f t="shared" si="318"/>
        <v>0</v>
      </c>
    </row>
    <row r="487" spans="1:72">
      <c r="A487" s="79"/>
      <c r="B487" s="1179"/>
      <c r="C487" s="1180"/>
      <c r="D487" s="2301"/>
      <c r="E487" s="81">
        <f t="shared" si="319"/>
        <v>0</v>
      </c>
      <c r="F487" s="82"/>
      <c r="G487" s="83">
        <f t="shared" si="294"/>
        <v>0</v>
      </c>
      <c r="H487" s="84">
        <f t="shared" si="295"/>
        <v>0</v>
      </c>
      <c r="I487" s="1180"/>
      <c r="J487" s="85"/>
      <c r="K487" s="1180"/>
      <c r="L487" s="85"/>
      <c r="M487" s="85"/>
      <c r="N487" s="85"/>
      <c r="O487" s="85"/>
      <c r="P487" s="85"/>
      <c r="Q487" s="85"/>
      <c r="R487" s="85"/>
      <c r="S487" s="85"/>
      <c r="T487" s="85"/>
      <c r="U487" s="85"/>
      <c r="V487" s="85"/>
      <c r="W487" s="85"/>
      <c r="X487" s="85"/>
      <c r="Y487" s="85"/>
      <c r="Z487" s="85"/>
      <c r="AA487" s="85"/>
      <c r="AB487" s="85"/>
      <c r="AC487" s="81">
        <f t="shared" si="296"/>
        <v>0</v>
      </c>
      <c r="AD487" s="86"/>
      <c r="AE487" s="86"/>
      <c r="AF487" s="1181"/>
      <c r="AG487" s="86"/>
      <c r="AH487" s="86"/>
      <c r="AI487" s="86"/>
      <c r="AJ487" s="86"/>
      <c r="AK487" s="86"/>
      <c r="AL487" s="86"/>
      <c r="AM487" s="86"/>
      <c r="AN487" s="86"/>
      <c r="AO487" s="86"/>
      <c r="AP487" s="86"/>
      <c r="AQ487" s="86"/>
      <c r="AR487" s="86"/>
      <c r="AS487" s="86"/>
      <c r="AT487" s="82"/>
      <c r="AU487" s="87"/>
      <c r="AV487" s="818">
        <f t="shared" si="320"/>
        <v>0</v>
      </c>
      <c r="AW487" s="818">
        <f t="shared" si="321"/>
        <v>0</v>
      </c>
      <c r="AX487" s="818">
        <f t="shared" si="322"/>
        <v>0</v>
      </c>
      <c r="AY487" s="88">
        <f t="shared" si="297"/>
        <v>0</v>
      </c>
      <c r="AZ487" s="81">
        <f t="shared" si="298"/>
        <v>0</v>
      </c>
      <c r="BA487" s="81">
        <f t="shared" si="299"/>
        <v>0</v>
      </c>
      <c r="BB487" s="81">
        <f t="shared" si="300"/>
        <v>0</v>
      </c>
      <c r="BC487" s="81">
        <f t="shared" si="301"/>
        <v>0</v>
      </c>
      <c r="BD487" s="81">
        <f t="shared" si="302"/>
        <v>0</v>
      </c>
      <c r="BE487" s="81">
        <f t="shared" si="303"/>
        <v>0</v>
      </c>
      <c r="BF487" s="81">
        <f t="shared" si="304"/>
        <v>0</v>
      </c>
      <c r="BG487" s="81">
        <f t="shared" si="305"/>
        <v>0</v>
      </c>
      <c r="BH487" s="81">
        <f t="shared" si="306"/>
        <v>0</v>
      </c>
      <c r="BI487" s="81">
        <f t="shared" si="307"/>
        <v>0</v>
      </c>
      <c r="BJ487" s="81">
        <f t="shared" si="308"/>
        <v>0</v>
      </c>
      <c r="BK487" s="81">
        <f t="shared" si="309"/>
        <v>0</v>
      </c>
      <c r="BL487" s="81">
        <f t="shared" si="310"/>
        <v>0</v>
      </c>
      <c r="BM487" s="81">
        <f t="shared" si="311"/>
        <v>0</v>
      </c>
      <c r="BN487" s="81">
        <f t="shared" si="312"/>
        <v>0</v>
      </c>
      <c r="BO487" s="81">
        <f t="shared" si="313"/>
        <v>0</v>
      </c>
      <c r="BP487" s="81">
        <f t="shared" si="314"/>
        <v>0</v>
      </c>
      <c r="BQ487" s="81">
        <f t="shared" si="315"/>
        <v>0</v>
      </c>
      <c r="BR487" s="81">
        <f t="shared" si="316"/>
        <v>0</v>
      </c>
      <c r="BS487" s="81">
        <f t="shared" si="317"/>
        <v>0</v>
      </c>
      <c r="BT487" s="89">
        <f t="shared" si="318"/>
        <v>0</v>
      </c>
    </row>
    <row r="488" spans="1:72">
      <c r="A488" s="79"/>
      <c r="B488" s="1179"/>
      <c r="C488" s="1180"/>
      <c r="D488" s="2301"/>
      <c r="E488" s="81">
        <f t="shared" si="319"/>
        <v>0</v>
      </c>
      <c r="F488" s="82"/>
      <c r="G488" s="83">
        <f t="shared" si="294"/>
        <v>0</v>
      </c>
      <c r="H488" s="84">
        <f t="shared" si="295"/>
        <v>0</v>
      </c>
      <c r="I488" s="1180"/>
      <c r="J488" s="85"/>
      <c r="K488" s="1180"/>
      <c r="L488" s="85"/>
      <c r="M488" s="85"/>
      <c r="N488" s="85"/>
      <c r="O488" s="85"/>
      <c r="P488" s="85"/>
      <c r="Q488" s="85"/>
      <c r="R488" s="85"/>
      <c r="S488" s="85"/>
      <c r="T488" s="85"/>
      <c r="U488" s="85"/>
      <c r="V488" s="85"/>
      <c r="W488" s="85"/>
      <c r="X488" s="85"/>
      <c r="Y488" s="85"/>
      <c r="Z488" s="85"/>
      <c r="AA488" s="85"/>
      <c r="AB488" s="85"/>
      <c r="AC488" s="81">
        <f t="shared" si="296"/>
        <v>0</v>
      </c>
      <c r="AD488" s="86"/>
      <c r="AE488" s="86"/>
      <c r="AF488" s="1180"/>
      <c r="AG488" s="86"/>
      <c r="AH488" s="86"/>
      <c r="AI488" s="86"/>
      <c r="AJ488" s="86"/>
      <c r="AK488" s="86"/>
      <c r="AL488" s="86"/>
      <c r="AM488" s="86"/>
      <c r="AN488" s="86"/>
      <c r="AO488" s="86"/>
      <c r="AP488" s="86"/>
      <c r="AQ488" s="86"/>
      <c r="AR488" s="86"/>
      <c r="AS488" s="86"/>
      <c r="AT488" s="82"/>
      <c r="AU488" s="87"/>
      <c r="AV488" s="818">
        <f t="shared" si="320"/>
        <v>0</v>
      </c>
      <c r="AW488" s="818">
        <f t="shared" si="321"/>
        <v>0</v>
      </c>
      <c r="AX488" s="818">
        <f t="shared" si="322"/>
        <v>0</v>
      </c>
      <c r="AY488" s="88">
        <f t="shared" si="297"/>
        <v>0</v>
      </c>
      <c r="AZ488" s="81">
        <f t="shared" si="298"/>
        <v>0</v>
      </c>
      <c r="BA488" s="81">
        <f t="shared" si="299"/>
        <v>0</v>
      </c>
      <c r="BB488" s="81">
        <f t="shared" si="300"/>
        <v>0</v>
      </c>
      <c r="BC488" s="81">
        <f t="shared" si="301"/>
        <v>0</v>
      </c>
      <c r="BD488" s="81">
        <f t="shared" si="302"/>
        <v>0</v>
      </c>
      <c r="BE488" s="81">
        <f t="shared" si="303"/>
        <v>0</v>
      </c>
      <c r="BF488" s="81">
        <f t="shared" si="304"/>
        <v>0</v>
      </c>
      <c r="BG488" s="81">
        <f t="shared" si="305"/>
        <v>0</v>
      </c>
      <c r="BH488" s="81">
        <f t="shared" si="306"/>
        <v>0</v>
      </c>
      <c r="BI488" s="81">
        <f t="shared" si="307"/>
        <v>0</v>
      </c>
      <c r="BJ488" s="81">
        <f t="shared" si="308"/>
        <v>0</v>
      </c>
      <c r="BK488" s="81">
        <f t="shared" si="309"/>
        <v>0</v>
      </c>
      <c r="BL488" s="81">
        <f t="shared" si="310"/>
        <v>0</v>
      </c>
      <c r="BM488" s="81">
        <f t="shared" si="311"/>
        <v>0</v>
      </c>
      <c r="BN488" s="81">
        <f t="shared" si="312"/>
        <v>0</v>
      </c>
      <c r="BO488" s="81">
        <f t="shared" si="313"/>
        <v>0</v>
      </c>
      <c r="BP488" s="81">
        <f t="shared" si="314"/>
        <v>0</v>
      </c>
      <c r="BQ488" s="81">
        <f t="shared" si="315"/>
        <v>0</v>
      </c>
      <c r="BR488" s="81">
        <f t="shared" si="316"/>
        <v>0</v>
      </c>
      <c r="BS488" s="81">
        <f t="shared" si="317"/>
        <v>0</v>
      </c>
      <c r="BT488" s="89">
        <f t="shared" si="318"/>
        <v>0</v>
      </c>
    </row>
    <row r="489" spans="1:72">
      <c r="A489" s="79"/>
      <c r="B489" s="1179"/>
      <c r="C489" s="1180"/>
      <c r="D489" s="2301"/>
      <c r="E489" s="81">
        <f t="shared" si="319"/>
        <v>0</v>
      </c>
      <c r="F489" s="82"/>
      <c r="G489" s="83">
        <f t="shared" si="294"/>
        <v>0</v>
      </c>
      <c r="H489" s="84">
        <f t="shared" si="295"/>
        <v>0</v>
      </c>
      <c r="I489" s="1180"/>
      <c r="J489" s="85"/>
      <c r="K489" s="1180"/>
      <c r="L489" s="85"/>
      <c r="M489" s="85"/>
      <c r="N489" s="85"/>
      <c r="O489" s="85"/>
      <c r="P489" s="85"/>
      <c r="Q489" s="85"/>
      <c r="R489" s="85"/>
      <c r="S489" s="85"/>
      <c r="T489" s="85"/>
      <c r="U489" s="85"/>
      <c r="V489" s="85"/>
      <c r="W489" s="85"/>
      <c r="X489" s="85"/>
      <c r="Y489" s="85"/>
      <c r="Z489" s="85"/>
      <c r="AA489" s="85"/>
      <c r="AB489" s="85"/>
      <c r="AC489" s="81">
        <f t="shared" si="296"/>
        <v>0</v>
      </c>
      <c r="AD489" s="86"/>
      <c r="AE489" s="86"/>
      <c r="AF489" s="1180"/>
      <c r="AG489" s="86"/>
      <c r="AH489" s="86"/>
      <c r="AI489" s="86"/>
      <c r="AJ489" s="86"/>
      <c r="AK489" s="86"/>
      <c r="AL489" s="86"/>
      <c r="AM489" s="86"/>
      <c r="AN489" s="86"/>
      <c r="AO489" s="86"/>
      <c r="AP489" s="86"/>
      <c r="AQ489" s="86"/>
      <c r="AR489" s="86"/>
      <c r="AS489" s="86"/>
      <c r="AT489" s="82"/>
      <c r="AU489" s="87"/>
      <c r="AV489" s="818">
        <f t="shared" si="320"/>
        <v>0</v>
      </c>
      <c r="AW489" s="818">
        <f t="shared" si="321"/>
        <v>0</v>
      </c>
      <c r="AX489" s="818">
        <f t="shared" si="322"/>
        <v>0</v>
      </c>
      <c r="AY489" s="88">
        <f t="shared" si="297"/>
        <v>0</v>
      </c>
      <c r="AZ489" s="81">
        <f t="shared" si="298"/>
        <v>0</v>
      </c>
      <c r="BA489" s="81">
        <f t="shared" si="299"/>
        <v>0</v>
      </c>
      <c r="BB489" s="81">
        <f t="shared" si="300"/>
        <v>0</v>
      </c>
      <c r="BC489" s="81">
        <f t="shared" si="301"/>
        <v>0</v>
      </c>
      <c r="BD489" s="81">
        <f t="shared" si="302"/>
        <v>0</v>
      </c>
      <c r="BE489" s="81">
        <f t="shared" si="303"/>
        <v>0</v>
      </c>
      <c r="BF489" s="81">
        <f t="shared" si="304"/>
        <v>0</v>
      </c>
      <c r="BG489" s="81">
        <f t="shared" si="305"/>
        <v>0</v>
      </c>
      <c r="BH489" s="81">
        <f t="shared" si="306"/>
        <v>0</v>
      </c>
      <c r="BI489" s="81">
        <f t="shared" si="307"/>
        <v>0</v>
      </c>
      <c r="BJ489" s="81">
        <f t="shared" si="308"/>
        <v>0</v>
      </c>
      <c r="BK489" s="81">
        <f t="shared" si="309"/>
        <v>0</v>
      </c>
      <c r="BL489" s="81">
        <f t="shared" si="310"/>
        <v>0</v>
      </c>
      <c r="BM489" s="81">
        <f t="shared" si="311"/>
        <v>0</v>
      </c>
      <c r="BN489" s="81">
        <f t="shared" si="312"/>
        <v>0</v>
      </c>
      <c r="BO489" s="81">
        <f t="shared" si="313"/>
        <v>0</v>
      </c>
      <c r="BP489" s="81">
        <f t="shared" si="314"/>
        <v>0</v>
      </c>
      <c r="BQ489" s="81">
        <f t="shared" si="315"/>
        <v>0</v>
      </c>
      <c r="BR489" s="81">
        <f t="shared" si="316"/>
        <v>0</v>
      </c>
      <c r="BS489" s="81">
        <f t="shared" si="317"/>
        <v>0</v>
      </c>
      <c r="BT489" s="89">
        <f t="shared" si="318"/>
        <v>0</v>
      </c>
    </row>
    <row r="490" spans="1:72">
      <c r="A490" s="79"/>
      <c r="B490" s="1179"/>
      <c r="C490" s="1180"/>
      <c r="D490" s="2301"/>
      <c r="E490" s="81">
        <f t="shared" si="319"/>
        <v>0</v>
      </c>
      <c r="F490" s="82"/>
      <c r="G490" s="83">
        <f t="shared" si="294"/>
        <v>0</v>
      </c>
      <c r="H490" s="84">
        <f t="shared" si="295"/>
        <v>0</v>
      </c>
      <c r="I490" s="1180"/>
      <c r="J490" s="85"/>
      <c r="K490" s="1180"/>
      <c r="L490" s="85"/>
      <c r="M490" s="85"/>
      <c r="N490" s="85"/>
      <c r="O490" s="85"/>
      <c r="P490" s="85"/>
      <c r="Q490" s="85"/>
      <c r="R490" s="85"/>
      <c r="S490" s="85"/>
      <c r="T490" s="85"/>
      <c r="U490" s="85"/>
      <c r="V490" s="85"/>
      <c r="W490" s="85"/>
      <c r="X490" s="85"/>
      <c r="Y490" s="85"/>
      <c r="Z490" s="85"/>
      <c r="AA490" s="85"/>
      <c r="AB490" s="85"/>
      <c r="AC490" s="81">
        <f t="shared" si="296"/>
        <v>0</v>
      </c>
      <c r="AD490" s="86"/>
      <c r="AE490" s="86"/>
      <c r="AF490" s="1180"/>
      <c r="AG490" s="86"/>
      <c r="AH490" s="86"/>
      <c r="AI490" s="86"/>
      <c r="AJ490" s="86"/>
      <c r="AK490" s="86"/>
      <c r="AL490" s="86"/>
      <c r="AM490" s="86"/>
      <c r="AN490" s="86"/>
      <c r="AO490" s="86"/>
      <c r="AP490" s="86"/>
      <c r="AQ490" s="86"/>
      <c r="AR490" s="86"/>
      <c r="AS490" s="86"/>
      <c r="AT490" s="82"/>
      <c r="AU490" s="87"/>
      <c r="AV490" s="818">
        <f t="shared" si="320"/>
        <v>0</v>
      </c>
      <c r="AW490" s="818">
        <f t="shared" si="321"/>
        <v>0</v>
      </c>
      <c r="AX490" s="818">
        <f t="shared" si="322"/>
        <v>0</v>
      </c>
      <c r="AY490" s="88">
        <f t="shared" si="297"/>
        <v>0</v>
      </c>
      <c r="AZ490" s="81">
        <f t="shared" si="298"/>
        <v>0</v>
      </c>
      <c r="BA490" s="81">
        <f t="shared" si="299"/>
        <v>0</v>
      </c>
      <c r="BB490" s="81">
        <f t="shared" si="300"/>
        <v>0</v>
      </c>
      <c r="BC490" s="81">
        <f t="shared" si="301"/>
        <v>0</v>
      </c>
      <c r="BD490" s="81">
        <f t="shared" si="302"/>
        <v>0</v>
      </c>
      <c r="BE490" s="81">
        <f t="shared" si="303"/>
        <v>0</v>
      </c>
      <c r="BF490" s="81">
        <f t="shared" si="304"/>
        <v>0</v>
      </c>
      <c r="BG490" s="81">
        <f t="shared" si="305"/>
        <v>0</v>
      </c>
      <c r="BH490" s="81">
        <f t="shared" si="306"/>
        <v>0</v>
      </c>
      <c r="BI490" s="81">
        <f t="shared" si="307"/>
        <v>0</v>
      </c>
      <c r="BJ490" s="81">
        <f t="shared" si="308"/>
        <v>0</v>
      </c>
      <c r="BK490" s="81">
        <f t="shared" si="309"/>
        <v>0</v>
      </c>
      <c r="BL490" s="81">
        <f t="shared" si="310"/>
        <v>0</v>
      </c>
      <c r="BM490" s="81">
        <f t="shared" si="311"/>
        <v>0</v>
      </c>
      <c r="BN490" s="81">
        <f t="shared" si="312"/>
        <v>0</v>
      </c>
      <c r="BO490" s="81">
        <f t="shared" si="313"/>
        <v>0</v>
      </c>
      <c r="BP490" s="81">
        <f t="shared" si="314"/>
        <v>0</v>
      </c>
      <c r="BQ490" s="81">
        <f t="shared" si="315"/>
        <v>0</v>
      </c>
      <c r="BR490" s="81">
        <f t="shared" si="316"/>
        <v>0</v>
      </c>
      <c r="BS490" s="81">
        <f t="shared" si="317"/>
        <v>0</v>
      </c>
      <c r="BT490" s="89">
        <f t="shared" si="318"/>
        <v>0</v>
      </c>
    </row>
    <row r="491" spans="1:72">
      <c r="A491" s="79"/>
      <c r="B491" s="1179"/>
      <c r="C491" s="1180"/>
      <c r="D491" s="2301"/>
      <c r="E491" s="81">
        <f t="shared" si="319"/>
        <v>0</v>
      </c>
      <c r="F491" s="82"/>
      <c r="G491" s="83">
        <f t="shared" si="294"/>
        <v>0</v>
      </c>
      <c r="H491" s="84">
        <f t="shared" si="295"/>
        <v>0</v>
      </c>
      <c r="I491" s="1180"/>
      <c r="J491" s="85"/>
      <c r="K491" s="1180"/>
      <c r="L491" s="85"/>
      <c r="M491" s="85"/>
      <c r="N491" s="85"/>
      <c r="O491" s="85"/>
      <c r="P491" s="85"/>
      <c r="Q491" s="85"/>
      <c r="R491" s="85"/>
      <c r="S491" s="85"/>
      <c r="T491" s="85"/>
      <c r="U491" s="85"/>
      <c r="V491" s="85"/>
      <c r="W491" s="85"/>
      <c r="X491" s="85"/>
      <c r="Y491" s="85"/>
      <c r="Z491" s="85"/>
      <c r="AA491" s="85"/>
      <c r="AB491" s="85"/>
      <c r="AC491" s="81">
        <f t="shared" si="296"/>
        <v>0</v>
      </c>
      <c r="AD491" s="86"/>
      <c r="AE491" s="86"/>
      <c r="AF491" s="1180"/>
      <c r="AG491" s="86"/>
      <c r="AH491" s="86"/>
      <c r="AI491" s="86"/>
      <c r="AJ491" s="86"/>
      <c r="AK491" s="86"/>
      <c r="AL491" s="86"/>
      <c r="AM491" s="86"/>
      <c r="AN491" s="86"/>
      <c r="AO491" s="86"/>
      <c r="AP491" s="86"/>
      <c r="AQ491" s="86"/>
      <c r="AR491" s="86"/>
      <c r="AS491" s="86"/>
      <c r="AT491" s="82"/>
      <c r="AU491" s="87"/>
      <c r="AV491" s="818">
        <f t="shared" si="320"/>
        <v>0</v>
      </c>
      <c r="AW491" s="818">
        <f t="shared" si="321"/>
        <v>0</v>
      </c>
      <c r="AX491" s="818">
        <f t="shared" si="322"/>
        <v>0</v>
      </c>
      <c r="AY491" s="88">
        <f t="shared" si="297"/>
        <v>0</v>
      </c>
      <c r="AZ491" s="81">
        <f t="shared" si="298"/>
        <v>0</v>
      </c>
      <c r="BA491" s="81">
        <f t="shared" si="299"/>
        <v>0</v>
      </c>
      <c r="BB491" s="81">
        <f t="shared" si="300"/>
        <v>0</v>
      </c>
      <c r="BC491" s="81">
        <f t="shared" si="301"/>
        <v>0</v>
      </c>
      <c r="BD491" s="81">
        <f t="shared" si="302"/>
        <v>0</v>
      </c>
      <c r="BE491" s="81">
        <f t="shared" si="303"/>
        <v>0</v>
      </c>
      <c r="BF491" s="81">
        <f t="shared" si="304"/>
        <v>0</v>
      </c>
      <c r="BG491" s="81">
        <f t="shared" si="305"/>
        <v>0</v>
      </c>
      <c r="BH491" s="81">
        <f t="shared" si="306"/>
        <v>0</v>
      </c>
      <c r="BI491" s="81">
        <f t="shared" si="307"/>
        <v>0</v>
      </c>
      <c r="BJ491" s="81">
        <f t="shared" si="308"/>
        <v>0</v>
      </c>
      <c r="BK491" s="81">
        <f t="shared" si="309"/>
        <v>0</v>
      </c>
      <c r="BL491" s="81">
        <f t="shared" si="310"/>
        <v>0</v>
      </c>
      <c r="BM491" s="81">
        <f t="shared" si="311"/>
        <v>0</v>
      </c>
      <c r="BN491" s="81">
        <f t="shared" si="312"/>
        <v>0</v>
      </c>
      <c r="BO491" s="81">
        <f t="shared" si="313"/>
        <v>0</v>
      </c>
      <c r="BP491" s="81">
        <f t="shared" si="314"/>
        <v>0</v>
      </c>
      <c r="BQ491" s="81">
        <f t="shared" si="315"/>
        <v>0</v>
      </c>
      <c r="BR491" s="81">
        <f t="shared" si="316"/>
        <v>0</v>
      </c>
      <c r="BS491" s="81">
        <f t="shared" si="317"/>
        <v>0</v>
      </c>
      <c r="BT491" s="89">
        <f t="shared" si="318"/>
        <v>0</v>
      </c>
    </row>
    <row r="492" spans="1:72">
      <c r="A492" s="79"/>
      <c r="B492" s="1179"/>
      <c r="C492" s="1180"/>
      <c r="D492" s="2301"/>
      <c r="E492" s="81">
        <f t="shared" si="319"/>
        <v>0</v>
      </c>
      <c r="F492" s="82"/>
      <c r="G492" s="83">
        <f t="shared" si="294"/>
        <v>0</v>
      </c>
      <c r="H492" s="84">
        <f t="shared" si="295"/>
        <v>0</v>
      </c>
      <c r="I492" s="1180"/>
      <c r="J492" s="85"/>
      <c r="K492" s="1180"/>
      <c r="L492" s="85"/>
      <c r="M492" s="85"/>
      <c r="N492" s="85"/>
      <c r="O492" s="85"/>
      <c r="P492" s="85"/>
      <c r="Q492" s="85"/>
      <c r="R492" s="85"/>
      <c r="S492" s="85"/>
      <c r="T492" s="85"/>
      <c r="U492" s="85"/>
      <c r="V492" s="85"/>
      <c r="W492" s="85"/>
      <c r="X492" s="85"/>
      <c r="Y492" s="85"/>
      <c r="Z492" s="85"/>
      <c r="AA492" s="85"/>
      <c r="AB492" s="85"/>
      <c r="AC492" s="81">
        <f t="shared" si="296"/>
        <v>0</v>
      </c>
      <c r="AD492" s="86"/>
      <c r="AE492" s="86"/>
      <c r="AF492" s="1180"/>
      <c r="AG492" s="86"/>
      <c r="AH492" s="86"/>
      <c r="AI492" s="86"/>
      <c r="AJ492" s="86"/>
      <c r="AK492" s="86"/>
      <c r="AL492" s="86"/>
      <c r="AM492" s="86"/>
      <c r="AN492" s="86"/>
      <c r="AO492" s="86"/>
      <c r="AP492" s="86"/>
      <c r="AQ492" s="86"/>
      <c r="AR492" s="86"/>
      <c r="AS492" s="86"/>
      <c r="AT492" s="82"/>
      <c r="AU492" s="87"/>
      <c r="AV492" s="818">
        <f t="shared" si="320"/>
        <v>0</v>
      </c>
      <c r="AW492" s="818">
        <f t="shared" si="321"/>
        <v>0</v>
      </c>
      <c r="AX492" s="818">
        <f t="shared" si="322"/>
        <v>0</v>
      </c>
      <c r="AY492" s="88">
        <f t="shared" si="297"/>
        <v>0</v>
      </c>
      <c r="AZ492" s="81">
        <f t="shared" si="298"/>
        <v>0</v>
      </c>
      <c r="BA492" s="81">
        <f t="shared" si="299"/>
        <v>0</v>
      </c>
      <c r="BB492" s="81">
        <f t="shared" si="300"/>
        <v>0</v>
      </c>
      <c r="BC492" s="81">
        <f t="shared" si="301"/>
        <v>0</v>
      </c>
      <c r="BD492" s="81">
        <f t="shared" si="302"/>
        <v>0</v>
      </c>
      <c r="BE492" s="81">
        <f t="shared" si="303"/>
        <v>0</v>
      </c>
      <c r="BF492" s="81">
        <f t="shared" si="304"/>
        <v>0</v>
      </c>
      <c r="BG492" s="81">
        <f t="shared" si="305"/>
        <v>0</v>
      </c>
      <c r="BH492" s="81">
        <f t="shared" si="306"/>
        <v>0</v>
      </c>
      <c r="BI492" s="81">
        <f t="shared" si="307"/>
        <v>0</v>
      </c>
      <c r="BJ492" s="81">
        <f t="shared" si="308"/>
        <v>0</v>
      </c>
      <c r="BK492" s="81">
        <f t="shared" si="309"/>
        <v>0</v>
      </c>
      <c r="BL492" s="81">
        <f t="shared" si="310"/>
        <v>0</v>
      </c>
      <c r="BM492" s="81">
        <f t="shared" si="311"/>
        <v>0</v>
      </c>
      <c r="BN492" s="81">
        <f t="shared" si="312"/>
        <v>0</v>
      </c>
      <c r="BO492" s="81">
        <f t="shared" si="313"/>
        <v>0</v>
      </c>
      <c r="BP492" s="81">
        <f t="shared" si="314"/>
        <v>0</v>
      </c>
      <c r="BQ492" s="81">
        <f t="shared" si="315"/>
        <v>0</v>
      </c>
      <c r="BR492" s="81">
        <f t="shared" si="316"/>
        <v>0</v>
      </c>
      <c r="BS492" s="81">
        <f t="shared" si="317"/>
        <v>0</v>
      </c>
      <c r="BT492" s="89">
        <f t="shared" si="318"/>
        <v>0</v>
      </c>
    </row>
    <row r="493" spans="1:72">
      <c r="A493" s="79"/>
      <c r="B493" s="1179"/>
      <c r="C493" s="1180"/>
      <c r="D493" s="2301"/>
      <c r="E493" s="81">
        <f t="shared" si="319"/>
        <v>0</v>
      </c>
      <c r="F493" s="82"/>
      <c r="G493" s="83">
        <f t="shared" si="294"/>
        <v>0</v>
      </c>
      <c r="H493" s="84">
        <f t="shared" si="295"/>
        <v>0</v>
      </c>
      <c r="I493" s="1180"/>
      <c r="J493" s="85"/>
      <c r="K493" s="1180"/>
      <c r="L493" s="85"/>
      <c r="M493" s="85"/>
      <c r="N493" s="85"/>
      <c r="O493" s="85"/>
      <c r="P493" s="85"/>
      <c r="Q493" s="85"/>
      <c r="R493" s="85"/>
      <c r="S493" s="85"/>
      <c r="T493" s="85"/>
      <c r="U493" s="85"/>
      <c r="V493" s="85"/>
      <c r="W493" s="85"/>
      <c r="X493" s="85"/>
      <c r="Y493" s="85"/>
      <c r="Z493" s="85"/>
      <c r="AA493" s="85"/>
      <c r="AB493" s="85"/>
      <c r="AC493" s="81">
        <f t="shared" si="296"/>
        <v>0</v>
      </c>
      <c r="AD493" s="86"/>
      <c r="AE493" s="86"/>
      <c r="AF493" s="1180"/>
      <c r="AG493" s="86"/>
      <c r="AH493" s="86"/>
      <c r="AI493" s="86"/>
      <c r="AJ493" s="86"/>
      <c r="AK493" s="86"/>
      <c r="AL493" s="86"/>
      <c r="AM493" s="86"/>
      <c r="AN493" s="86"/>
      <c r="AO493" s="86"/>
      <c r="AP493" s="86"/>
      <c r="AQ493" s="86"/>
      <c r="AR493" s="86"/>
      <c r="AS493" s="86"/>
      <c r="AT493" s="82"/>
      <c r="AU493" s="87"/>
      <c r="AV493" s="818">
        <f t="shared" si="320"/>
        <v>0</v>
      </c>
      <c r="AW493" s="818">
        <f t="shared" si="321"/>
        <v>0</v>
      </c>
      <c r="AX493" s="818">
        <f t="shared" si="322"/>
        <v>0</v>
      </c>
      <c r="AY493" s="88">
        <f t="shared" si="297"/>
        <v>0</v>
      </c>
      <c r="AZ493" s="81">
        <f t="shared" si="298"/>
        <v>0</v>
      </c>
      <c r="BA493" s="81">
        <f t="shared" si="299"/>
        <v>0</v>
      </c>
      <c r="BB493" s="81">
        <f t="shared" si="300"/>
        <v>0</v>
      </c>
      <c r="BC493" s="81">
        <f t="shared" si="301"/>
        <v>0</v>
      </c>
      <c r="BD493" s="81">
        <f t="shared" si="302"/>
        <v>0</v>
      </c>
      <c r="BE493" s="81">
        <f t="shared" si="303"/>
        <v>0</v>
      </c>
      <c r="BF493" s="81">
        <f t="shared" si="304"/>
        <v>0</v>
      </c>
      <c r="BG493" s="81">
        <f t="shared" si="305"/>
        <v>0</v>
      </c>
      <c r="BH493" s="81">
        <f t="shared" si="306"/>
        <v>0</v>
      </c>
      <c r="BI493" s="81">
        <f t="shared" si="307"/>
        <v>0</v>
      </c>
      <c r="BJ493" s="81">
        <f t="shared" si="308"/>
        <v>0</v>
      </c>
      <c r="BK493" s="81">
        <f t="shared" si="309"/>
        <v>0</v>
      </c>
      <c r="BL493" s="81">
        <f t="shared" si="310"/>
        <v>0</v>
      </c>
      <c r="BM493" s="81">
        <f t="shared" si="311"/>
        <v>0</v>
      </c>
      <c r="BN493" s="81">
        <f t="shared" si="312"/>
        <v>0</v>
      </c>
      <c r="BO493" s="81">
        <f t="shared" si="313"/>
        <v>0</v>
      </c>
      <c r="BP493" s="81">
        <f t="shared" si="314"/>
        <v>0</v>
      </c>
      <c r="BQ493" s="81">
        <f t="shared" si="315"/>
        <v>0</v>
      </c>
      <c r="BR493" s="81">
        <f t="shared" si="316"/>
        <v>0</v>
      </c>
      <c r="BS493" s="81">
        <f t="shared" si="317"/>
        <v>0</v>
      </c>
      <c r="BT493" s="89">
        <f t="shared" si="318"/>
        <v>0</v>
      </c>
    </row>
    <row r="494" spans="1:72">
      <c r="A494" s="79"/>
      <c r="B494" s="1179"/>
      <c r="C494" s="1180"/>
      <c r="D494" s="2301"/>
      <c r="E494" s="81">
        <f t="shared" si="319"/>
        <v>0</v>
      </c>
      <c r="F494" s="82"/>
      <c r="G494" s="83">
        <f t="shared" si="294"/>
        <v>0</v>
      </c>
      <c r="H494" s="84">
        <f t="shared" si="295"/>
        <v>0</v>
      </c>
      <c r="I494" s="1180"/>
      <c r="J494" s="85"/>
      <c r="K494" s="1180"/>
      <c r="L494" s="85"/>
      <c r="M494" s="85"/>
      <c r="N494" s="85"/>
      <c r="O494" s="85"/>
      <c r="P494" s="85"/>
      <c r="Q494" s="85"/>
      <c r="R494" s="85"/>
      <c r="S494" s="85"/>
      <c r="T494" s="85"/>
      <c r="U494" s="85"/>
      <c r="V494" s="85"/>
      <c r="W494" s="85"/>
      <c r="X494" s="85"/>
      <c r="Y494" s="85"/>
      <c r="Z494" s="85"/>
      <c r="AA494" s="85"/>
      <c r="AB494" s="85"/>
      <c r="AC494" s="81">
        <f t="shared" si="296"/>
        <v>0</v>
      </c>
      <c r="AD494" s="86"/>
      <c r="AE494" s="86"/>
      <c r="AF494" s="1180"/>
      <c r="AG494" s="86"/>
      <c r="AH494" s="86"/>
      <c r="AI494" s="86"/>
      <c r="AJ494" s="86"/>
      <c r="AK494" s="86"/>
      <c r="AL494" s="86"/>
      <c r="AM494" s="86"/>
      <c r="AN494" s="86"/>
      <c r="AO494" s="86"/>
      <c r="AP494" s="86"/>
      <c r="AQ494" s="86"/>
      <c r="AR494" s="86"/>
      <c r="AS494" s="86"/>
      <c r="AT494" s="82"/>
      <c r="AU494" s="87"/>
      <c r="AV494" s="818">
        <f t="shared" si="320"/>
        <v>0</v>
      </c>
      <c r="AW494" s="818">
        <f t="shared" si="321"/>
        <v>0</v>
      </c>
      <c r="AX494" s="818">
        <f t="shared" si="322"/>
        <v>0</v>
      </c>
      <c r="AY494" s="88">
        <f t="shared" si="297"/>
        <v>0</v>
      </c>
      <c r="AZ494" s="81">
        <f t="shared" si="298"/>
        <v>0</v>
      </c>
      <c r="BA494" s="81">
        <f t="shared" si="299"/>
        <v>0</v>
      </c>
      <c r="BB494" s="81">
        <f t="shared" si="300"/>
        <v>0</v>
      </c>
      <c r="BC494" s="81">
        <f t="shared" si="301"/>
        <v>0</v>
      </c>
      <c r="BD494" s="81">
        <f t="shared" si="302"/>
        <v>0</v>
      </c>
      <c r="BE494" s="81">
        <f t="shared" si="303"/>
        <v>0</v>
      </c>
      <c r="BF494" s="81">
        <f t="shared" si="304"/>
        <v>0</v>
      </c>
      <c r="BG494" s="81">
        <f t="shared" si="305"/>
        <v>0</v>
      </c>
      <c r="BH494" s="81">
        <f t="shared" si="306"/>
        <v>0</v>
      </c>
      <c r="BI494" s="81">
        <f t="shared" si="307"/>
        <v>0</v>
      </c>
      <c r="BJ494" s="81">
        <f t="shared" si="308"/>
        <v>0</v>
      </c>
      <c r="BK494" s="81">
        <f t="shared" si="309"/>
        <v>0</v>
      </c>
      <c r="BL494" s="81">
        <f t="shared" si="310"/>
        <v>0</v>
      </c>
      <c r="BM494" s="81">
        <f t="shared" si="311"/>
        <v>0</v>
      </c>
      <c r="BN494" s="81">
        <f t="shared" si="312"/>
        <v>0</v>
      </c>
      <c r="BO494" s="81">
        <f t="shared" si="313"/>
        <v>0</v>
      </c>
      <c r="BP494" s="81">
        <f t="shared" si="314"/>
        <v>0</v>
      </c>
      <c r="BQ494" s="81">
        <f t="shared" si="315"/>
        <v>0</v>
      </c>
      <c r="BR494" s="81">
        <f t="shared" si="316"/>
        <v>0</v>
      </c>
      <c r="BS494" s="81">
        <f t="shared" si="317"/>
        <v>0</v>
      </c>
      <c r="BT494" s="89">
        <f t="shared" si="318"/>
        <v>0</v>
      </c>
    </row>
    <row r="495" spans="1:72">
      <c r="A495" s="79"/>
      <c r="B495" s="1179"/>
      <c r="C495" s="1180"/>
      <c r="D495" s="2301"/>
      <c r="E495" s="81">
        <f t="shared" si="319"/>
        <v>0</v>
      </c>
      <c r="F495" s="82"/>
      <c r="G495" s="83">
        <f t="shared" si="294"/>
        <v>0</v>
      </c>
      <c r="H495" s="84">
        <f t="shared" si="295"/>
        <v>0</v>
      </c>
      <c r="I495" s="1180"/>
      <c r="J495" s="85"/>
      <c r="K495" s="1180"/>
      <c r="L495" s="85"/>
      <c r="M495" s="85"/>
      <c r="N495" s="85"/>
      <c r="O495" s="85"/>
      <c r="P495" s="85"/>
      <c r="Q495" s="85"/>
      <c r="R495" s="85"/>
      <c r="S495" s="85"/>
      <c r="T495" s="85"/>
      <c r="U495" s="85"/>
      <c r="V495" s="85"/>
      <c r="W495" s="85"/>
      <c r="X495" s="85"/>
      <c r="Y495" s="85"/>
      <c r="Z495" s="85"/>
      <c r="AA495" s="85"/>
      <c r="AB495" s="85"/>
      <c r="AC495" s="81">
        <f t="shared" si="296"/>
        <v>0</v>
      </c>
      <c r="AD495" s="86"/>
      <c r="AE495" s="86"/>
      <c r="AF495" s="1180"/>
      <c r="AG495" s="86"/>
      <c r="AH495" s="86"/>
      <c r="AI495" s="86"/>
      <c r="AJ495" s="86"/>
      <c r="AK495" s="86"/>
      <c r="AL495" s="86"/>
      <c r="AM495" s="86"/>
      <c r="AN495" s="86"/>
      <c r="AO495" s="86"/>
      <c r="AP495" s="86"/>
      <c r="AQ495" s="86"/>
      <c r="AR495" s="86"/>
      <c r="AS495" s="86"/>
      <c r="AT495" s="82"/>
      <c r="AU495" s="87"/>
      <c r="AV495" s="818">
        <f t="shared" si="320"/>
        <v>0</v>
      </c>
      <c r="AW495" s="818">
        <f t="shared" si="321"/>
        <v>0</v>
      </c>
      <c r="AX495" s="818">
        <f t="shared" si="322"/>
        <v>0</v>
      </c>
      <c r="AY495" s="88">
        <f t="shared" si="297"/>
        <v>0</v>
      </c>
      <c r="AZ495" s="81">
        <f t="shared" si="298"/>
        <v>0</v>
      </c>
      <c r="BA495" s="81">
        <f t="shared" si="299"/>
        <v>0</v>
      </c>
      <c r="BB495" s="81">
        <f t="shared" si="300"/>
        <v>0</v>
      </c>
      <c r="BC495" s="81">
        <f t="shared" si="301"/>
        <v>0</v>
      </c>
      <c r="BD495" s="81">
        <f t="shared" si="302"/>
        <v>0</v>
      </c>
      <c r="BE495" s="81">
        <f t="shared" si="303"/>
        <v>0</v>
      </c>
      <c r="BF495" s="81">
        <f t="shared" si="304"/>
        <v>0</v>
      </c>
      <c r="BG495" s="81">
        <f t="shared" si="305"/>
        <v>0</v>
      </c>
      <c r="BH495" s="81">
        <f t="shared" si="306"/>
        <v>0</v>
      </c>
      <c r="BI495" s="81">
        <f t="shared" si="307"/>
        <v>0</v>
      </c>
      <c r="BJ495" s="81">
        <f t="shared" si="308"/>
        <v>0</v>
      </c>
      <c r="BK495" s="81">
        <f t="shared" si="309"/>
        <v>0</v>
      </c>
      <c r="BL495" s="81">
        <f t="shared" si="310"/>
        <v>0</v>
      </c>
      <c r="BM495" s="81">
        <f t="shared" si="311"/>
        <v>0</v>
      </c>
      <c r="BN495" s="81">
        <f t="shared" si="312"/>
        <v>0</v>
      </c>
      <c r="BO495" s="81">
        <f t="shared" si="313"/>
        <v>0</v>
      </c>
      <c r="BP495" s="81">
        <f t="shared" si="314"/>
        <v>0</v>
      </c>
      <c r="BQ495" s="81">
        <f t="shared" si="315"/>
        <v>0</v>
      </c>
      <c r="BR495" s="81">
        <f t="shared" si="316"/>
        <v>0</v>
      </c>
      <c r="BS495" s="81">
        <f t="shared" si="317"/>
        <v>0</v>
      </c>
      <c r="BT495" s="89">
        <f t="shared" si="318"/>
        <v>0</v>
      </c>
    </row>
    <row r="496" spans="1:72">
      <c r="A496" s="79"/>
      <c r="B496" s="1179"/>
      <c r="C496" s="1180"/>
      <c r="D496" s="2301"/>
      <c r="E496" s="81">
        <f t="shared" si="319"/>
        <v>0</v>
      </c>
      <c r="F496" s="82"/>
      <c r="G496" s="83">
        <f t="shared" si="294"/>
        <v>0</v>
      </c>
      <c r="H496" s="84">
        <f t="shared" si="295"/>
        <v>0</v>
      </c>
      <c r="I496" s="1180"/>
      <c r="J496" s="85"/>
      <c r="K496" s="1180"/>
      <c r="L496" s="85"/>
      <c r="M496" s="85"/>
      <c r="N496" s="85"/>
      <c r="O496" s="85"/>
      <c r="P496" s="85"/>
      <c r="Q496" s="85"/>
      <c r="R496" s="85"/>
      <c r="S496" s="85"/>
      <c r="T496" s="85"/>
      <c r="U496" s="85"/>
      <c r="V496" s="85"/>
      <c r="W496" s="85"/>
      <c r="X496" s="85"/>
      <c r="Y496" s="85"/>
      <c r="Z496" s="85"/>
      <c r="AA496" s="85"/>
      <c r="AB496" s="85"/>
      <c r="AC496" s="81">
        <f t="shared" si="296"/>
        <v>0</v>
      </c>
      <c r="AD496" s="86"/>
      <c r="AE496" s="86"/>
      <c r="AF496" s="1180"/>
      <c r="AG496" s="86"/>
      <c r="AH496" s="86"/>
      <c r="AI496" s="86"/>
      <c r="AJ496" s="86"/>
      <c r="AK496" s="86"/>
      <c r="AL496" s="86"/>
      <c r="AM496" s="86"/>
      <c r="AN496" s="86"/>
      <c r="AO496" s="86"/>
      <c r="AP496" s="86"/>
      <c r="AQ496" s="86"/>
      <c r="AR496" s="86"/>
      <c r="AS496" s="86"/>
      <c r="AT496" s="82"/>
      <c r="AU496" s="87"/>
      <c r="AV496" s="818">
        <f t="shared" si="320"/>
        <v>0</v>
      </c>
      <c r="AW496" s="818">
        <f t="shared" si="321"/>
        <v>0</v>
      </c>
      <c r="AX496" s="818">
        <f t="shared" si="322"/>
        <v>0</v>
      </c>
      <c r="AY496" s="88">
        <f t="shared" si="297"/>
        <v>0</v>
      </c>
      <c r="AZ496" s="81">
        <f t="shared" si="298"/>
        <v>0</v>
      </c>
      <c r="BA496" s="81">
        <f t="shared" si="299"/>
        <v>0</v>
      </c>
      <c r="BB496" s="81">
        <f t="shared" si="300"/>
        <v>0</v>
      </c>
      <c r="BC496" s="81">
        <f t="shared" si="301"/>
        <v>0</v>
      </c>
      <c r="BD496" s="81">
        <f t="shared" si="302"/>
        <v>0</v>
      </c>
      <c r="BE496" s="81">
        <f t="shared" si="303"/>
        <v>0</v>
      </c>
      <c r="BF496" s="81">
        <f t="shared" si="304"/>
        <v>0</v>
      </c>
      <c r="BG496" s="81">
        <f t="shared" si="305"/>
        <v>0</v>
      </c>
      <c r="BH496" s="81">
        <f t="shared" si="306"/>
        <v>0</v>
      </c>
      <c r="BI496" s="81">
        <f t="shared" si="307"/>
        <v>0</v>
      </c>
      <c r="BJ496" s="81">
        <f t="shared" si="308"/>
        <v>0</v>
      </c>
      <c r="BK496" s="81">
        <f t="shared" si="309"/>
        <v>0</v>
      </c>
      <c r="BL496" s="81">
        <f t="shared" si="310"/>
        <v>0</v>
      </c>
      <c r="BM496" s="81">
        <f t="shared" si="311"/>
        <v>0</v>
      </c>
      <c r="BN496" s="81">
        <f t="shared" si="312"/>
        <v>0</v>
      </c>
      <c r="BO496" s="81">
        <f t="shared" si="313"/>
        <v>0</v>
      </c>
      <c r="BP496" s="81">
        <f t="shared" si="314"/>
        <v>0</v>
      </c>
      <c r="BQ496" s="81">
        <f t="shared" si="315"/>
        <v>0</v>
      </c>
      <c r="BR496" s="81">
        <f t="shared" si="316"/>
        <v>0</v>
      </c>
      <c r="BS496" s="81">
        <f t="shared" si="317"/>
        <v>0</v>
      </c>
      <c r="BT496" s="89">
        <f t="shared" si="318"/>
        <v>0</v>
      </c>
    </row>
    <row r="497" spans="1:72">
      <c r="A497" s="79"/>
      <c r="B497" s="1179"/>
      <c r="C497" s="1180"/>
      <c r="D497" s="2301"/>
      <c r="E497" s="81">
        <f t="shared" si="319"/>
        <v>0</v>
      </c>
      <c r="F497" s="82"/>
      <c r="G497" s="83">
        <f t="shared" si="294"/>
        <v>0</v>
      </c>
      <c r="H497" s="84">
        <f t="shared" si="295"/>
        <v>0</v>
      </c>
      <c r="I497" s="1180"/>
      <c r="J497" s="85"/>
      <c r="K497" s="1180"/>
      <c r="L497" s="85"/>
      <c r="M497" s="85"/>
      <c r="N497" s="85"/>
      <c r="O497" s="85"/>
      <c r="P497" s="85"/>
      <c r="Q497" s="85"/>
      <c r="R497" s="85"/>
      <c r="S497" s="85"/>
      <c r="T497" s="85"/>
      <c r="U497" s="85"/>
      <c r="V497" s="85"/>
      <c r="W497" s="85"/>
      <c r="X497" s="85"/>
      <c r="Y497" s="85"/>
      <c r="Z497" s="85"/>
      <c r="AA497" s="85"/>
      <c r="AB497" s="85"/>
      <c r="AC497" s="81">
        <f t="shared" si="296"/>
        <v>0</v>
      </c>
      <c r="AD497" s="86"/>
      <c r="AE497" s="86"/>
      <c r="AF497" s="1180"/>
      <c r="AG497" s="86"/>
      <c r="AH497" s="86"/>
      <c r="AI497" s="86"/>
      <c r="AJ497" s="86"/>
      <c r="AK497" s="86"/>
      <c r="AL497" s="86"/>
      <c r="AM497" s="86"/>
      <c r="AN497" s="86"/>
      <c r="AO497" s="86"/>
      <c r="AP497" s="86"/>
      <c r="AQ497" s="86"/>
      <c r="AR497" s="86"/>
      <c r="AS497" s="86"/>
      <c r="AT497" s="82"/>
      <c r="AU497" s="87"/>
      <c r="AV497" s="818">
        <f t="shared" si="320"/>
        <v>0</v>
      </c>
      <c r="AW497" s="818">
        <f t="shared" si="321"/>
        <v>0</v>
      </c>
      <c r="AX497" s="818">
        <f t="shared" si="322"/>
        <v>0</v>
      </c>
      <c r="AY497" s="88">
        <f t="shared" si="297"/>
        <v>0</v>
      </c>
      <c r="AZ497" s="81">
        <f t="shared" si="298"/>
        <v>0</v>
      </c>
      <c r="BA497" s="81">
        <f t="shared" si="299"/>
        <v>0</v>
      </c>
      <c r="BB497" s="81">
        <f t="shared" si="300"/>
        <v>0</v>
      </c>
      <c r="BC497" s="81">
        <f t="shared" si="301"/>
        <v>0</v>
      </c>
      <c r="BD497" s="81">
        <f t="shared" si="302"/>
        <v>0</v>
      </c>
      <c r="BE497" s="81">
        <f t="shared" si="303"/>
        <v>0</v>
      </c>
      <c r="BF497" s="81">
        <f t="shared" si="304"/>
        <v>0</v>
      </c>
      <c r="BG497" s="81">
        <f t="shared" si="305"/>
        <v>0</v>
      </c>
      <c r="BH497" s="81">
        <f t="shared" si="306"/>
        <v>0</v>
      </c>
      <c r="BI497" s="81">
        <f t="shared" si="307"/>
        <v>0</v>
      </c>
      <c r="BJ497" s="81">
        <f t="shared" si="308"/>
        <v>0</v>
      </c>
      <c r="BK497" s="81">
        <f t="shared" si="309"/>
        <v>0</v>
      </c>
      <c r="BL497" s="81">
        <f t="shared" si="310"/>
        <v>0</v>
      </c>
      <c r="BM497" s="81">
        <f t="shared" si="311"/>
        <v>0</v>
      </c>
      <c r="BN497" s="81">
        <f t="shared" si="312"/>
        <v>0</v>
      </c>
      <c r="BO497" s="81">
        <f t="shared" si="313"/>
        <v>0</v>
      </c>
      <c r="BP497" s="81">
        <f t="shared" si="314"/>
        <v>0</v>
      </c>
      <c r="BQ497" s="81">
        <f t="shared" si="315"/>
        <v>0</v>
      </c>
      <c r="BR497" s="81">
        <f t="shared" si="316"/>
        <v>0</v>
      </c>
      <c r="BS497" s="81">
        <f t="shared" si="317"/>
        <v>0</v>
      </c>
      <c r="BT497" s="89">
        <f t="shared" si="318"/>
        <v>0</v>
      </c>
    </row>
    <row r="498" spans="1:72">
      <c r="A498" s="79"/>
      <c r="B498" s="1179"/>
      <c r="C498" s="1180"/>
      <c r="D498" s="2301"/>
      <c r="E498" s="81">
        <f t="shared" si="319"/>
        <v>0</v>
      </c>
      <c r="F498" s="82"/>
      <c r="G498" s="83">
        <f t="shared" si="294"/>
        <v>0</v>
      </c>
      <c r="H498" s="84">
        <f t="shared" si="295"/>
        <v>0</v>
      </c>
      <c r="I498" s="1180"/>
      <c r="J498" s="85"/>
      <c r="K498" s="1180"/>
      <c r="L498" s="85"/>
      <c r="M498" s="85"/>
      <c r="N498" s="85"/>
      <c r="O498" s="85"/>
      <c r="P498" s="85"/>
      <c r="Q498" s="85"/>
      <c r="R498" s="85"/>
      <c r="S498" s="85"/>
      <c r="T498" s="85"/>
      <c r="U498" s="85"/>
      <c r="V498" s="85"/>
      <c r="W498" s="85"/>
      <c r="X498" s="85"/>
      <c r="Y498" s="85"/>
      <c r="Z498" s="85"/>
      <c r="AA498" s="85"/>
      <c r="AB498" s="85"/>
      <c r="AC498" s="81">
        <f t="shared" si="296"/>
        <v>0</v>
      </c>
      <c r="AD498" s="86"/>
      <c r="AE498" s="86"/>
      <c r="AF498" s="1180"/>
      <c r="AG498" s="86"/>
      <c r="AH498" s="86"/>
      <c r="AI498" s="86"/>
      <c r="AJ498" s="86"/>
      <c r="AK498" s="86"/>
      <c r="AL498" s="86"/>
      <c r="AM498" s="86"/>
      <c r="AN498" s="86"/>
      <c r="AO498" s="86"/>
      <c r="AP498" s="86"/>
      <c r="AQ498" s="86"/>
      <c r="AR498" s="86"/>
      <c r="AS498" s="86"/>
      <c r="AT498" s="82"/>
      <c r="AU498" s="87"/>
      <c r="AV498" s="818">
        <f t="shared" si="320"/>
        <v>0</v>
      </c>
      <c r="AW498" s="818">
        <f t="shared" si="321"/>
        <v>0</v>
      </c>
      <c r="AX498" s="818">
        <f t="shared" si="322"/>
        <v>0</v>
      </c>
      <c r="AY498" s="88">
        <f t="shared" si="297"/>
        <v>0</v>
      </c>
      <c r="AZ498" s="81">
        <f t="shared" si="298"/>
        <v>0</v>
      </c>
      <c r="BA498" s="81">
        <f t="shared" si="299"/>
        <v>0</v>
      </c>
      <c r="BB498" s="81">
        <f t="shared" si="300"/>
        <v>0</v>
      </c>
      <c r="BC498" s="81">
        <f t="shared" si="301"/>
        <v>0</v>
      </c>
      <c r="BD498" s="81">
        <f t="shared" si="302"/>
        <v>0</v>
      </c>
      <c r="BE498" s="81">
        <f t="shared" si="303"/>
        <v>0</v>
      </c>
      <c r="BF498" s="81">
        <f t="shared" si="304"/>
        <v>0</v>
      </c>
      <c r="BG498" s="81">
        <f t="shared" si="305"/>
        <v>0</v>
      </c>
      <c r="BH498" s="81">
        <f t="shared" si="306"/>
        <v>0</v>
      </c>
      <c r="BI498" s="81">
        <f t="shared" si="307"/>
        <v>0</v>
      </c>
      <c r="BJ498" s="81">
        <f t="shared" si="308"/>
        <v>0</v>
      </c>
      <c r="BK498" s="81">
        <f t="shared" si="309"/>
        <v>0</v>
      </c>
      <c r="BL498" s="81">
        <f t="shared" si="310"/>
        <v>0</v>
      </c>
      <c r="BM498" s="81">
        <f t="shared" si="311"/>
        <v>0</v>
      </c>
      <c r="BN498" s="81">
        <f t="shared" si="312"/>
        <v>0</v>
      </c>
      <c r="BO498" s="81">
        <f t="shared" si="313"/>
        <v>0</v>
      </c>
      <c r="BP498" s="81">
        <f t="shared" si="314"/>
        <v>0</v>
      </c>
      <c r="BQ498" s="81">
        <f t="shared" si="315"/>
        <v>0</v>
      </c>
      <c r="BR498" s="81">
        <f t="shared" si="316"/>
        <v>0</v>
      </c>
      <c r="BS498" s="81">
        <f t="shared" si="317"/>
        <v>0</v>
      </c>
      <c r="BT498" s="89">
        <f t="shared" si="318"/>
        <v>0</v>
      </c>
    </row>
    <row r="499" spans="1:72">
      <c r="A499" s="79"/>
      <c r="B499" s="1179"/>
      <c r="C499" s="1180"/>
      <c r="D499" s="2301"/>
      <c r="E499" s="81">
        <f t="shared" si="319"/>
        <v>0</v>
      </c>
      <c r="F499" s="82"/>
      <c r="G499" s="83">
        <f t="shared" si="294"/>
        <v>0</v>
      </c>
      <c r="H499" s="84">
        <f t="shared" si="295"/>
        <v>0</v>
      </c>
      <c r="I499" s="1180"/>
      <c r="J499" s="85"/>
      <c r="K499" s="1180"/>
      <c r="L499" s="85"/>
      <c r="M499" s="85"/>
      <c r="N499" s="85"/>
      <c r="O499" s="85"/>
      <c r="P499" s="85"/>
      <c r="Q499" s="85"/>
      <c r="R499" s="85"/>
      <c r="S499" s="85"/>
      <c r="T499" s="85"/>
      <c r="U499" s="85"/>
      <c r="V499" s="85"/>
      <c r="W499" s="85"/>
      <c r="X499" s="85"/>
      <c r="Y499" s="85"/>
      <c r="Z499" s="85"/>
      <c r="AA499" s="85"/>
      <c r="AB499" s="85"/>
      <c r="AC499" s="81">
        <f t="shared" si="296"/>
        <v>0</v>
      </c>
      <c r="AD499" s="86"/>
      <c r="AE499" s="86"/>
      <c r="AF499" s="1180"/>
      <c r="AG499" s="86"/>
      <c r="AH499" s="86"/>
      <c r="AI499" s="86"/>
      <c r="AJ499" s="86"/>
      <c r="AK499" s="86"/>
      <c r="AL499" s="86"/>
      <c r="AM499" s="86"/>
      <c r="AN499" s="86"/>
      <c r="AO499" s="86"/>
      <c r="AP499" s="86"/>
      <c r="AQ499" s="86"/>
      <c r="AR499" s="86"/>
      <c r="AS499" s="86"/>
      <c r="AT499" s="82"/>
      <c r="AU499" s="87"/>
      <c r="AV499" s="818">
        <f t="shared" si="320"/>
        <v>0</v>
      </c>
      <c r="AW499" s="818">
        <f t="shared" si="321"/>
        <v>0</v>
      </c>
      <c r="AX499" s="818">
        <f t="shared" si="322"/>
        <v>0</v>
      </c>
      <c r="AY499" s="88">
        <f t="shared" si="297"/>
        <v>0</v>
      </c>
      <c r="AZ499" s="81">
        <f t="shared" si="298"/>
        <v>0</v>
      </c>
      <c r="BA499" s="81">
        <f t="shared" si="299"/>
        <v>0</v>
      </c>
      <c r="BB499" s="81">
        <f t="shared" si="300"/>
        <v>0</v>
      </c>
      <c r="BC499" s="81">
        <f t="shared" si="301"/>
        <v>0</v>
      </c>
      <c r="BD499" s="81">
        <f t="shared" si="302"/>
        <v>0</v>
      </c>
      <c r="BE499" s="81">
        <f t="shared" si="303"/>
        <v>0</v>
      </c>
      <c r="BF499" s="81">
        <f t="shared" si="304"/>
        <v>0</v>
      </c>
      <c r="BG499" s="81">
        <f t="shared" si="305"/>
        <v>0</v>
      </c>
      <c r="BH499" s="81">
        <f t="shared" si="306"/>
        <v>0</v>
      </c>
      <c r="BI499" s="81">
        <f t="shared" si="307"/>
        <v>0</v>
      </c>
      <c r="BJ499" s="81">
        <f t="shared" si="308"/>
        <v>0</v>
      </c>
      <c r="BK499" s="81">
        <f t="shared" si="309"/>
        <v>0</v>
      </c>
      <c r="BL499" s="81">
        <f t="shared" si="310"/>
        <v>0</v>
      </c>
      <c r="BM499" s="81">
        <f t="shared" si="311"/>
        <v>0</v>
      </c>
      <c r="BN499" s="81">
        <f t="shared" si="312"/>
        <v>0</v>
      </c>
      <c r="BO499" s="81">
        <f t="shared" si="313"/>
        <v>0</v>
      </c>
      <c r="BP499" s="81">
        <f t="shared" si="314"/>
        <v>0</v>
      </c>
      <c r="BQ499" s="81">
        <f t="shared" si="315"/>
        <v>0</v>
      </c>
      <c r="BR499" s="81">
        <f t="shared" si="316"/>
        <v>0</v>
      </c>
      <c r="BS499" s="81">
        <f t="shared" si="317"/>
        <v>0</v>
      </c>
      <c r="BT499" s="89">
        <f t="shared" si="318"/>
        <v>0</v>
      </c>
    </row>
    <row r="500" spans="1:72">
      <c r="A500" s="79"/>
      <c r="B500" s="1179"/>
      <c r="C500" s="1180"/>
      <c r="D500" s="2301"/>
      <c r="E500" s="81">
        <f t="shared" si="319"/>
        <v>0</v>
      </c>
      <c r="F500" s="82"/>
      <c r="G500" s="83">
        <f t="shared" si="294"/>
        <v>0</v>
      </c>
      <c r="H500" s="84">
        <f t="shared" si="295"/>
        <v>0</v>
      </c>
      <c r="I500" s="1180"/>
      <c r="J500" s="85"/>
      <c r="K500" s="1180"/>
      <c r="L500" s="85"/>
      <c r="M500" s="85"/>
      <c r="N500" s="85"/>
      <c r="O500" s="85"/>
      <c r="P500" s="85"/>
      <c r="Q500" s="85"/>
      <c r="R500" s="85"/>
      <c r="S500" s="85"/>
      <c r="T500" s="85"/>
      <c r="U500" s="85"/>
      <c r="V500" s="85"/>
      <c r="W500" s="85"/>
      <c r="X500" s="85"/>
      <c r="Y500" s="85"/>
      <c r="Z500" s="85"/>
      <c r="AA500" s="85"/>
      <c r="AB500" s="85"/>
      <c r="AC500" s="81">
        <f t="shared" si="296"/>
        <v>0</v>
      </c>
      <c r="AD500" s="86"/>
      <c r="AE500" s="86"/>
      <c r="AF500" s="1180"/>
      <c r="AG500" s="86"/>
      <c r="AH500" s="86"/>
      <c r="AI500" s="86"/>
      <c r="AJ500" s="86"/>
      <c r="AK500" s="86"/>
      <c r="AL500" s="86"/>
      <c r="AM500" s="86"/>
      <c r="AN500" s="86"/>
      <c r="AO500" s="86"/>
      <c r="AP500" s="86"/>
      <c r="AQ500" s="86"/>
      <c r="AR500" s="86"/>
      <c r="AS500" s="86"/>
      <c r="AT500" s="82"/>
      <c r="AU500" s="87"/>
      <c r="AV500" s="818">
        <f t="shared" si="320"/>
        <v>0</v>
      </c>
      <c r="AW500" s="818">
        <f t="shared" si="321"/>
        <v>0</v>
      </c>
      <c r="AX500" s="818">
        <f t="shared" si="322"/>
        <v>0</v>
      </c>
      <c r="AY500" s="88">
        <f t="shared" si="297"/>
        <v>0</v>
      </c>
      <c r="AZ500" s="81">
        <f t="shared" si="298"/>
        <v>0</v>
      </c>
      <c r="BA500" s="81">
        <f t="shared" si="299"/>
        <v>0</v>
      </c>
      <c r="BB500" s="81">
        <f t="shared" si="300"/>
        <v>0</v>
      </c>
      <c r="BC500" s="81">
        <f t="shared" si="301"/>
        <v>0</v>
      </c>
      <c r="BD500" s="81">
        <f t="shared" si="302"/>
        <v>0</v>
      </c>
      <c r="BE500" s="81">
        <f t="shared" si="303"/>
        <v>0</v>
      </c>
      <c r="BF500" s="81">
        <f t="shared" si="304"/>
        <v>0</v>
      </c>
      <c r="BG500" s="81">
        <f t="shared" si="305"/>
        <v>0</v>
      </c>
      <c r="BH500" s="81">
        <f t="shared" si="306"/>
        <v>0</v>
      </c>
      <c r="BI500" s="81">
        <f t="shared" si="307"/>
        <v>0</v>
      </c>
      <c r="BJ500" s="81">
        <f t="shared" si="308"/>
        <v>0</v>
      </c>
      <c r="BK500" s="81">
        <f t="shared" si="309"/>
        <v>0</v>
      </c>
      <c r="BL500" s="81">
        <f t="shared" si="310"/>
        <v>0</v>
      </c>
      <c r="BM500" s="81">
        <f t="shared" si="311"/>
        <v>0</v>
      </c>
      <c r="BN500" s="81">
        <f t="shared" si="312"/>
        <v>0</v>
      </c>
      <c r="BO500" s="81">
        <f t="shared" si="313"/>
        <v>0</v>
      </c>
      <c r="BP500" s="81">
        <f t="shared" si="314"/>
        <v>0</v>
      </c>
      <c r="BQ500" s="81">
        <f t="shared" si="315"/>
        <v>0</v>
      </c>
      <c r="BR500" s="81">
        <f t="shared" si="316"/>
        <v>0</v>
      </c>
      <c r="BS500" s="81">
        <f t="shared" si="317"/>
        <v>0</v>
      </c>
      <c r="BT500" s="89">
        <f t="shared" si="318"/>
        <v>0</v>
      </c>
    </row>
    <row r="501" spans="1:72">
      <c r="A501" s="79"/>
      <c r="B501" s="1179"/>
      <c r="C501" s="1180"/>
      <c r="D501" s="2301"/>
      <c r="E501" s="81">
        <f t="shared" si="319"/>
        <v>0</v>
      </c>
      <c r="F501" s="82"/>
      <c r="G501" s="83">
        <f t="shared" si="294"/>
        <v>0</v>
      </c>
      <c r="H501" s="84">
        <f t="shared" si="295"/>
        <v>0</v>
      </c>
      <c r="I501" s="1180"/>
      <c r="J501" s="85"/>
      <c r="K501" s="1180"/>
      <c r="L501" s="85"/>
      <c r="M501" s="85"/>
      <c r="N501" s="85"/>
      <c r="O501" s="85"/>
      <c r="P501" s="85"/>
      <c r="Q501" s="85"/>
      <c r="R501" s="85"/>
      <c r="S501" s="85"/>
      <c r="T501" s="85"/>
      <c r="U501" s="85"/>
      <c r="V501" s="85"/>
      <c r="W501" s="85"/>
      <c r="X501" s="85"/>
      <c r="Y501" s="85"/>
      <c r="Z501" s="85"/>
      <c r="AA501" s="85"/>
      <c r="AB501" s="85"/>
      <c r="AC501" s="81">
        <f t="shared" si="296"/>
        <v>0</v>
      </c>
      <c r="AD501" s="86"/>
      <c r="AE501" s="86"/>
      <c r="AF501" s="1180"/>
      <c r="AG501" s="86"/>
      <c r="AH501" s="86"/>
      <c r="AI501" s="86"/>
      <c r="AJ501" s="86"/>
      <c r="AK501" s="86"/>
      <c r="AL501" s="86"/>
      <c r="AM501" s="86"/>
      <c r="AN501" s="86"/>
      <c r="AO501" s="86"/>
      <c r="AP501" s="86"/>
      <c r="AQ501" s="86"/>
      <c r="AR501" s="86"/>
      <c r="AS501" s="86"/>
      <c r="AT501" s="82"/>
      <c r="AU501" s="87"/>
      <c r="AV501" s="818">
        <f t="shared" si="320"/>
        <v>0</v>
      </c>
      <c r="AW501" s="818">
        <f t="shared" si="321"/>
        <v>0</v>
      </c>
      <c r="AX501" s="818">
        <f t="shared" si="322"/>
        <v>0</v>
      </c>
      <c r="AY501" s="88">
        <f t="shared" si="297"/>
        <v>0</v>
      </c>
      <c r="AZ501" s="81">
        <f t="shared" si="298"/>
        <v>0</v>
      </c>
      <c r="BA501" s="81">
        <f t="shared" si="299"/>
        <v>0</v>
      </c>
      <c r="BB501" s="81">
        <f t="shared" si="300"/>
        <v>0</v>
      </c>
      <c r="BC501" s="81">
        <f t="shared" si="301"/>
        <v>0</v>
      </c>
      <c r="BD501" s="81">
        <f t="shared" si="302"/>
        <v>0</v>
      </c>
      <c r="BE501" s="81">
        <f t="shared" si="303"/>
        <v>0</v>
      </c>
      <c r="BF501" s="81">
        <f t="shared" si="304"/>
        <v>0</v>
      </c>
      <c r="BG501" s="81">
        <f t="shared" si="305"/>
        <v>0</v>
      </c>
      <c r="BH501" s="81">
        <f t="shared" si="306"/>
        <v>0</v>
      </c>
      <c r="BI501" s="81">
        <f t="shared" si="307"/>
        <v>0</v>
      </c>
      <c r="BJ501" s="81">
        <f t="shared" si="308"/>
        <v>0</v>
      </c>
      <c r="BK501" s="81">
        <f t="shared" si="309"/>
        <v>0</v>
      </c>
      <c r="BL501" s="81">
        <f t="shared" si="310"/>
        <v>0</v>
      </c>
      <c r="BM501" s="81">
        <f t="shared" si="311"/>
        <v>0</v>
      </c>
      <c r="BN501" s="81">
        <f t="shared" si="312"/>
        <v>0</v>
      </c>
      <c r="BO501" s="81">
        <f t="shared" si="313"/>
        <v>0</v>
      </c>
      <c r="BP501" s="81">
        <f t="shared" si="314"/>
        <v>0</v>
      </c>
      <c r="BQ501" s="81">
        <f t="shared" si="315"/>
        <v>0</v>
      </c>
      <c r="BR501" s="81">
        <f t="shared" si="316"/>
        <v>0</v>
      </c>
      <c r="BS501" s="81">
        <f t="shared" si="317"/>
        <v>0</v>
      </c>
      <c r="BT501" s="89">
        <f t="shared" si="318"/>
        <v>0</v>
      </c>
    </row>
    <row r="502" spans="1:72">
      <c r="A502" s="79"/>
      <c r="B502" s="1179"/>
      <c r="C502" s="1180"/>
      <c r="D502" s="2301"/>
      <c r="E502" s="81">
        <f t="shared" si="319"/>
        <v>0</v>
      </c>
      <c r="F502" s="82"/>
      <c r="G502" s="83">
        <f t="shared" si="294"/>
        <v>0</v>
      </c>
      <c r="H502" s="84">
        <f t="shared" si="295"/>
        <v>0</v>
      </c>
      <c r="I502" s="1180"/>
      <c r="J502" s="85"/>
      <c r="K502" s="1180"/>
      <c r="L502" s="85"/>
      <c r="M502" s="85"/>
      <c r="N502" s="85"/>
      <c r="O502" s="85"/>
      <c r="P502" s="85"/>
      <c r="Q502" s="85"/>
      <c r="R502" s="85"/>
      <c r="S502" s="85"/>
      <c r="T502" s="85"/>
      <c r="U502" s="85"/>
      <c r="V502" s="85"/>
      <c r="W502" s="85"/>
      <c r="X502" s="85"/>
      <c r="Y502" s="85"/>
      <c r="Z502" s="85"/>
      <c r="AA502" s="85"/>
      <c r="AB502" s="85"/>
      <c r="AC502" s="81">
        <f t="shared" si="296"/>
        <v>0</v>
      </c>
      <c r="AD502" s="86"/>
      <c r="AE502" s="86"/>
      <c r="AF502" s="1180"/>
      <c r="AG502" s="86"/>
      <c r="AH502" s="86"/>
      <c r="AI502" s="86"/>
      <c r="AJ502" s="86"/>
      <c r="AK502" s="86"/>
      <c r="AL502" s="86"/>
      <c r="AM502" s="86"/>
      <c r="AN502" s="86"/>
      <c r="AO502" s="86"/>
      <c r="AP502" s="86"/>
      <c r="AQ502" s="86"/>
      <c r="AR502" s="86"/>
      <c r="AS502" s="86"/>
      <c r="AT502" s="82"/>
      <c r="AU502" s="87"/>
      <c r="AV502" s="818">
        <f t="shared" si="320"/>
        <v>0</v>
      </c>
      <c r="AW502" s="818">
        <f t="shared" si="321"/>
        <v>0</v>
      </c>
      <c r="AX502" s="818">
        <f t="shared" si="322"/>
        <v>0</v>
      </c>
      <c r="AY502" s="88">
        <f t="shared" si="297"/>
        <v>0</v>
      </c>
      <c r="AZ502" s="81">
        <f t="shared" si="298"/>
        <v>0</v>
      </c>
      <c r="BA502" s="81">
        <f t="shared" si="299"/>
        <v>0</v>
      </c>
      <c r="BB502" s="81">
        <f t="shared" si="300"/>
        <v>0</v>
      </c>
      <c r="BC502" s="81">
        <f t="shared" si="301"/>
        <v>0</v>
      </c>
      <c r="BD502" s="81">
        <f t="shared" si="302"/>
        <v>0</v>
      </c>
      <c r="BE502" s="81">
        <f t="shared" si="303"/>
        <v>0</v>
      </c>
      <c r="BF502" s="81">
        <f t="shared" si="304"/>
        <v>0</v>
      </c>
      <c r="BG502" s="81">
        <f t="shared" si="305"/>
        <v>0</v>
      </c>
      <c r="BH502" s="81">
        <f t="shared" si="306"/>
        <v>0</v>
      </c>
      <c r="BI502" s="81">
        <f t="shared" si="307"/>
        <v>0</v>
      </c>
      <c r="BJ502" s="81">
        <f t="shared" si="308"/>
        <v>0</v>
      </c>
      <c r="BK502" s="81">
        <f t="shared" si="309"/>
        <v>0</v>
      </c>
      <c r="BL502" s="81">
        <f t="shared" si="310"/>
        <v>0</v>
      </c>
      <c r="BM502" s="81">
        <f t="shared" si="311"/>
        <v>0</v>
      </c>
      <c r="BN502" s="81">
        <f t="shared" si="312"/>
        <v>0</v>
      </c>
      <c r="BO502" s="81">
        <f t="shared" si="313"/>
        <v>0</v>
      </c>
      <c r="BP502" s="81">
        <f t="shared" si="314"/>
        <v>0</v>
      </c>
      <c r="BQ502" s="81">
        <f t="shared" si="315"/>
        <v>0</v>
      </c>
      <c r="BR502" s="81">
        <f t="shared" si="316"/>
        <v>0</v>
      </c>
      <c r="BS502" s="81">
        <f t="shared" si="317"/>
        <v>0</v>
      </c>
      <c r="BT502" s="89">
        <f t="shared" si="318"/>
        <v>0</v>
      </c>
    </row>
    <row r="503" spans="1:72">
      <c r="A503" s="79"/>
      <c r="B503" s="1179"/>
      <c r="C503" s="1180"/>
      <c r="D503" s="2301"/>
      <c r="E503" s="81">
        <f t="shared" si="319"/>
        <v>0</v>
      </c>
      <c r="F503" s="82"/>
      <c r="G503" s="83">
        <f t="shared" si="294"/>
        <v>0</v>
      </c>
      <c r="H503" s="84">
        <f t="shared" si="295"/>
        <v>0</v>
      </c>
      <c r="I503" s="1180"/>
      <c r="J503" s="85"/>
      <c r="K503" s="1180"/>
      <c r="L503" s="85"/>
      <c r="M503" s="85"/>
      <c r="N503" s="85"/>
      <c r="O503" s="85"/>
      <c r="P503" s="85"/>
      <c r="Q503" s="85"/>
      <c r="R503" s="85"/>
      <c r="S503" s="85"/>
      <c r="T503" s="85"/>
      <c r="U503" s="85"/>
      <c r="V503" s="85"/>
      <c r="W503" s="85"/>
      <c r="X503" s="85"/>
      <c r="Y503" s="85"/>
      <c r="Z503" s="85"/>
      <c r="AA503" s="85"/>
      <c r="AB503" s="85"/>
      <c r="AC503" s="81">
        <f t="shared" si="296"/>
        <v>0</v>
      </c>
      <c r="AD503" s="86"/>
      <c r="AE503" s="86"/>
      <c r="AF503" s="1180"/>
      <c r="AG503" s="86"/>
      <c r="AH503" s="86"/>
      <c r="AI503" s="86"/>
      <c r="AJ503" s="86"/>
      <c r="AK503" s="86"/>
      <c r="AL503" s="86"/>
      <c r="AM503" s="86"/>
      <c r="AN503" s="86"/>
      <c r="AO503" s="86"/>
      <c r="AP503" s="86"/>
      <c r="AQ503" s="86"/>
      <c r="AR503" s="86"/>
      <c r="AS503" s="86"/>
      <c r="AT503" s="82"/>
      <c r="AU503" s="87"/>
      <c r="AV503" s="818">
        <f t="shared" si="320"/>
        <v>0</v>
      </c>
      <c r="AW503" s="818">
        <f t="shared" si="321"/>
        <v>0</v>
      </c>
      <c r="AX503" s="818">
        <f t="shared" si="322"/>
        <v>0</v>
      </c>
      <c r="AY503" s="88">
        <f t="shared" si="297"/>
        <v>0</v>
      </c>
      <c r="AZ503" s="81">
        <f t="shared" si="298"/>
        <v>0</v>
      </c>
      <c r="BA503" s="81">
        <f t="shared" si="299"/>
        <v>0</v>
      </c>
      <c r="BB503" s="81">
        <f t="shared" si="300"/>
        <v>0</v>
      </c>
      <c r="BC503" s="81">
        <f t="shared" si="301"/>
        <v>0</v>
      </c>
      <c r="BD503" s="81">
        <f t="shared" si="302"/>
        <v>0</v>
      </c>
      <c r="BE503" s="81">
        <f t="shared" si="303"/>
        <v>0</v>
      </c>
      <c r="BF503" s="81">
        <f t="shared" si="304"/>
        <v>0</v>
      </c>
      <c r="BG503" s="81">
        <f t="shared" si="305"/>
        <v>0</v>
      </c>
      <c r="BH503" s="81">
        <f t="shared" si="306"/>
        <v>0</v>
      </c>
      <c r="BI503" s="81">
        <f t="shared" si="307"/>
        <v>0</v>
      </c>
      <c r="BJ503" s="81">
        <f t="shared" si="308"/>
        <v>0</v>
      </c>
      <c r="BK503" s="81">
        <f t="shared" si="309"/>
        <v>0</v>
      </c>
      <c r="BL503" s="81">
        <f t="shared" si="310"/>
        <v>0</v>
      </c>
      <c r="BM503" s="81">
        <f t="shared" si="311"/>
        <v>0</v>
      </c>
      <c r="BN503" s="81">
        <f t="shared" si="312"/>
        <v>0</v>
      </c>
      <c r="BO503" s="81">
        <f t="shared" si="313"/>
        <v>0</v>
      </c>
      <c r="BP503" s="81">
        <f t="shared" si="314"/>
        <v>0</v>
      </c>
      <c r="BQ503" s="81">
        <f t="shared" si="315"/>
        <v>0</v>
      </c>
      <c r="BR503" s="81">
        <f t="shared" si="316"/>
        <v>0</v>
      </c>
      <c r="BS503" s="81">
        <f t="shared" si="317"/>
        <v>0</v>
      </c>
      <c r="BT503" s="89">
        <f t="shared" si="318"/>
        <v>0</v>
      </c>
    </row>
    <row r="504" spans="1:72">
      <c r="A504" s="79"/>
      <c r="B504" s="1179"/>
      <c r="C504" s="1180"/>
      <c r="D504" s="2301"/>
      <c r="E504" s="81">
        <f t="shared" si="319"/>
        <v>0</v>
      </c>
      <c r="F504" s="82"/>
      <c r="G504" s="83">
        <f t="shared" si="294"/>
        <v>0</v>
      </c>
      <c r="H504" s="84">
        <f t="shared" si="295"/>
        <v>0</v>
      </c>
      <c r="I504" s="1180"/>
      <c r="J504" s="85"/>
      <c r="K504" s="1180"/>
      <c r="L504" s="85"/>
      <c r="M504" s="85"/>
      <c r="N504" s="85"/>
      <c r="O504" s="85"/>
      <c r="P504" s="85"/>
      <c r="Q504" s="85"/>
      <c r="R504" s="85"/>
      <c r="S504" s="85"/>
      <c r="T504" s="85"/>
      <c r="U504" s="85"/>
      <c r="V504" s="85"/>
      <c r="W504" s="85"/>
      <c r="X504" s="85"/>
      <c r="Y504" s="85"/>
      <c r="Z504" s="85"/>
      <c r="AA504" s="85"/>
      <c r="AB504" s="85"/>
      <c r="AC504" s="81">
        <f t="shared" si="296"/>
        <v>0</v>
      </c>
      <c r="AD504" s="86"/>
      <c r="AE504" s="86"/>
      <c r="AF504" s="1180"/>
      <c r="AG504" s="86"/>
      <c r="AH504" s="86"/>
      <c r="AI504" s="86"/>
      <c r="AJ504" s="86"/>
      <c r="AK504" s="86"/>
      <c r="AL504" s="86"/>
      <c r="AM504" s="86"/>
      <c r="AN504" s="86"/>
      <c r="AO504" s="86"/>
      <c r="AP504" s="86"/>
      <c r="AQ504" s="86"/>
      <c r="AR504" s="86"/>
      <c r="AS504" s="86"/>
      <c r="AT504" s="82"/>
      <c r="AU504" s="87"/>
      <c r="AV504" s="818">
        <f t="shared" si="320"/>
        <v>0</v>
      </c>
      <c r="AW504" s="818">
        <f t="shared" si="321"/>
        <v>0</v>
      </c>
      <c r="AX504" s="818">
        <f t="shared" si="322"/>
        <v>0</v>
      </c>
      <c r="AY504" s="88">
        <f t="shared" si="297"/>
        <v>0</v>
      </c>
      <c r="AZ504" s="81">
        <f t="shared" si="298"/>
        <v>0</v>
      </c>
      <c r="BA504" s="81">
        <f t="shared" si="299"/>
        <v>0</v>
      </c>
      <c r="BB504" s="81">
        <f t="shared" si="300"/>
        <v>0</v>
      </c>
      <c r="BC504" s="81">
        <f t="shared" si="301"/>
        <v>0</v>
      </c>
      <c r="BD504" s="81">
        <f t="shared" si="302"/>
        <v>0</v>
      </c>
      <c r="BE504" s="81">
        <f t="shared" si="303"/>
        <v>0</v>
      </c>
      <c r="BF504" s="81">
        <f t="shared" si="304"/>
        <v>0</v>
      </c>
      <c r="BG504" s="81">
        <f t="shared" si="305"/>
        <v>0</v>
      </c>
      <c r="BH504" s="81">
        <f t="shared" si="306"/>
        <v>0</v>
      </c>
      <c r="BI504" s="81">
        <f t="shared" si="307"/>
        <v>0</v>
      </c>
      <c r="BJ504" s="81">
        <f t="shared" si="308"/>
        <v>0</v>
      </c>
      <c r="BK504" s="81">
        <f t="shared" si="309"/>
        <v>0</v>
      </c>
      <c r="BL504" s="81">
        <f t="shared" si="310"/>
        <v>0</v>
      </c>
      <c r="BM504" s="81">
        <f t="shared" si="311"/>
        <v>0</v>
      </c>
      <c r="BN504" s="81">
        <f t="shared" si="312"/>
        <v>0</v>
      </c>
      <c r="BO504" s="81">
        <f t="shared" si="313"/>
        <v>0</v>
      </c>
      <c r="BP504" s="81">
        <f t="shared" si="314"/>
        <v>0</v>
      </c>
      <c r="BQ504" s="81">
        <f t="shared" si="315"/>
        <v>0</v>
      </c>
      <c r="BR504" s="81">
        <f t="shared" si="316"/>
        <v>0</v>
      </c>
      <c r="BS504" s="81">
        <f t="shared" si="317"/>
        <v>0</v>
      </c>
      <c r="BT504" s="89">
        <f t="shared" si="318"/>
        <v>0</v>
      </c>
    </row>
    <row r="505" spans="1:72">
      <c r="A505" s="79"/>
      <c r="B505" s="1179"/>
      <c r="C505" s="1180"/>
      <c r="D505" s="2301"/>
      <c r="E505" s="81">
        <f t="shared" ref="E505:E536" si="323">IF($C$3="是",ROUND($A$3*G505/$B$3,2),ROUND($A$3*(G505-AT505)/$B$3,2))</f>
        <v>0</v>
      </c>
      <c r="F505" s="82"/>
      <c r="G505" s="83">
        <f t="shared" si="294"/>
        <v>0</v>
      </c>
      <c r="H505" s="84">
        <f t="shared" si="295"/>
        <v>0</v>
      </c>
      <c r="I505" s="1180"/>
      <c r="J505" s="85"/>
      <c r="K505" s="1180"/>
      <c r="L505" s="85"/>
      <c r="M505" s="85"/>
      <c r="N505" s="85"/>
      <c r="O505" s="85"/>
      <c r="P505" s="85"/>
      <c r="Q505" s="85"/>
      <c r="R505" s="85"/>
      <c r="S505" s="85"/>
      <c r="T505" s="85"/>
      <c r="U505" s="85"/>
      <c r="V505" s="85"/>
      <c r="W505" s="85"/>
      <c r="X505" s="85"/>
      <c r="Y505" s="85"/>
      <c r="Z505" s="85"/>
      <c r="AA505" s="85"/>
      <c r="AB505" s="85"/>
      <c r="AC505" s="81">
        <f t="shared" si="296"/>
        <v>0</v>
      </c>
      <c r="AD505" s="86"/>
      <c r="AE505" s="86"/>
      <c r="AF505" s="1180"/>
      <c r="AG505" s="86"/>
      <c r="AH505" s="86"/>
      <c r="AI505" s="86"/>
      <c r="AJ505" s="86"/>
      <c r="AK505" s="86"/>
      <c r="AL505" s="86"/>
      <c r="AM505" s="86"/>
      <c r="AN505" s="86"/>
      <c r="AO505" s="86"/>
      <c r="AP505" s="86"/>
      <c r="AQ505" s="86"/>
      <c r="AR505" s="86"/>
      <c r="AS505" s="86"/>
      <c r="AT505" s="82"/>
      <c r="AU505" s="87"/>
      <c r="AV505" s="818">
        <f t="shared" si="320"/>
        <v>0</v>
      </c>
      <c r="AW505" s="818">
        <f t="shared" si="321"/>
        <v>0</v>
      </c>
      <c r="AX505" s="818">
        <f t="shared" si="322"/>
        <v>0</v>
      </c>
      <c r="AY505" s="88">
        <f t="shared" si="297"/>
        <v>0</v>
      </c>
      <c r="AZ505" s="81">
        <f t="shared" si="298"/>
        <v>0</v>
      </c>
      <c r="BA505" s="81">
        <f t="shared" si="299"/>
        <v>0</v>
      </c>
      <c r="BB505" s="81">
        <f t="shared" si="300"/>
        <v>0</v>
      </c>
      <c r="BC505" s="81">
        <f t="shared" si="301"/>
        <v>0</v>
      </c>
      <c r="BD505" s="81">
        <f t="shared" si="302"/>
        <v>0</v>
      </c>
      <c r="BE505" s="81">
        <f t="shared" si="303"/>
        <v>0</v>
      </c>
      <c r="BF505" s="81">
        <f t="shared" si="304"/>
        <v>0</v>
      </c>
      <c r="BG505" s="81">
        <f t="shared" si="305"/>
        <v>0</v>
      </c>
      <c r="BH505" s="81">
        <f t="shared" si="306"/>
        <v>0</v>
      </c>
      <c r="BI505" s="81">
        <f t="shared" si="307"/>
        <v>0</v>
      </c>
      <c r="BJ505" s="81">
        <f t="shared" si="308"/>
        <v>0</v>
      </c>
      <c r="BK505" s="81">
        <f t="shared" si="309"/>
        <v>0</v>
      </c>
      <c r="BL505" s="81">
        <f t="shared" si="310"/>
        <v>0</v>
      </c>
      <c r="BM505" s="81">
        <f t="shared" si="311"/>
        <v>0</v>
      </c>
      <c r="BN505" s="81">
        <f t="shared" si="312"/>
        <v>0</v>
      </c>
      <c r="BO505" s="81">
        <f t="shared" si="313"/>
        <v>0</v>
      </c>
      <c r="BP505" s="81">
        <f t="shared" si="314"/>
        <v>0</v>
      </c>
      <c r="BQ505" s="81">
        <f t="shared" si="315"/>
        <v>0</v>
      </c>
      <c r="BR505" s="81">
        <f t="shared" si="316"/>
        <v>0</v>
      </c>
      <c r="BS505" s="81">
        <f t="shared" si="317"/>
        <v>0</v>
      </c>
      <c r="BT505" s="89">
        <f t="shared" si="318"/>
        <v>0</v>
      </c>
    </row>
    <row r="506" spans="1:72">
      <c r="A506" s="79"/>
      <c r="B506" s="1179"/>
      <c r="C506" s="1180"/>
      <c r="D506" s="2301"/>
      <c r="E506" s="81">
        <f t="shared" si="323"/>
        <v>0</v>
      </c>
      <c r="F506" s="82"/>
      <c r="G506" s="83">
        <f t="shared" si="294"/>
        <v>0</v>
      </c>
      <c r="H506" s="84">
        <f t="shared" si="295"/>
        <v>0</v>
      </c>
      <c r="I506" s="1180"/>
      <c r="J506" s="85"/>
      <c r="K506" s="1180"/>
      <c r="L506" s="85"/>
      <c r="M506" s="85"/>
      <c r="N506" s="85"/>
      <c r="O506" s="85"/>
      <c r="P506" s="85"/>
      <c r="Q506" s="85"/>
      <c r="R506" s="85"/>
      <c r="S506" s="85"/>
      <c r="T506" s="85"/>
      <c r="U506" s="85"/>
      <c r="V506" s="85"/>
      <c r="W506" s="85"/>
      <c r="X506" s="85"/>
      <c r="Y506" s="85"/>
      <c r="Z506" s="85"/>
      <c r="AA506" s="85"/>
      <c r="AB506" s="85"/>
      <c r="AC506" s="81">
        <f t="shared" si="296"/>
        <v>0</v>
      </c>
      <c r="AD506" s="86"/>
      <c r="AE506" s="86"/>
      <c r="AF506" s="1180"/>
      <c r="AG506" s="86"/>
      <c r="AH506" s="86"/>
      <c r="AI506" s="86"/>
      <c r="AJ506" s="86"/>
      <c r="AK506" s="86"/>
      <c r="AL506" s="86"/>
      <c r="AM506" s="86"/>
      <c r="AN506" s="86"/>
      <c r="AO506" s="86"/>
      <c r="AP506" s="86"/>
      <c r="AQ506" s="86"/>
      <c r="AR506" s="86"/>
      <c r="AS506" s="86"/>
      <c r="AT506" s="82"/>
      <c r="AU506" s="87"/>
      <c r="AV506" s="818">
        <f t="shared" ref="AV506:AV537" si="324">A506</f>
        <v>0</v>
      </c>
      <c r="AW506" s="818">
        <f t="shared" ref="AW506:AW537" si="325">B506</f>
        <v>0</v>
      </c>
      <c r="AX506" s="818">
        <f t="shared" ref="AX506:AX537" si="326">C506</f>
        <v>0</v>
      </c>
      <c r="AY506" s="88">
        <f t="shared" si="297"/>
        <v>0</v>
      </c>
      <c r="AZ506" s="81">
        <f t="shared" si="298"/>
        <v>0</v>
      </c>
      <c r="BA506" s="81">
        <f t="shared" si="299"/>
        <v>0</v>
      </c>
      <c r="BB506" s="81">
        <f t="shared" si="300"/>
        <v>0</v>
      </c>
      <c r="BC506" s="81">
        <f t="shared" si="301"/>
        <v>0</v>
      </c>
      <c r="BD506" s="81">
        <f t="shared" si="302"/>
        <v>0</v>
      </c>
      <c r="BE506" s="81">
        <f t="shared" si="303"/>
        <v>0</v>
      </c>
      <c r="BF506" s="81">
        <f t="shared" si="304"/>
        <v>0</v>
      </c>
      <c r="BG506" s="81">
        <f t="shared" si="305"/>
        <v>0</v>
      </c>
      <c r="BH506" s="81">
        <f t="shared" si="306"/>
        <v>0</v>
      </c>
      <c r="BI506" s="81">
        <f t="shared" si="307"/>
        <v>0</v>
      </c>
      <c r="BJ506" s="81">
        <f t="shared" si="308"/>
        <v>0</v>
      </c>
      <c r="BK506" s="81">
        <f t="shared" si="309"/>
        <v>0</v>
      </c>
      <c r="BL506" s="81">
        <f t="shared" si="310"/>
        <v>0</v>
      </c>
      <c r="BM506" s="81">
        <f t="shared" si="311"/>
        <v>0</v>
      </c>
      <c r="BN506" s="81">
        <f t="shared" si="312"/>
        <v>0</v>
      </c>
      <c r="BO506" s="81">
        <f t="shared" si="313"/>
        <v>0</v>
      </c>
      <c r="BP506" s="81">
        <f t="shared" si="314"/>
        <v>0</v>
      </c>
      <c r="BQ506" s="81">
        <f t="shared" si="315"/>
        <v>0</v>
      </c>
      <c r="BR506" s="81">
        <f t="shared" si="316"/>
        <v>0</v>
      </c>
      <c r="BS506" s="81">
        <f t="shared" si="317"/>
        <v>0</v>
      </c>
      <c r="BT506" s="89">
        <f t="shared" si="318"/>
        <v>0</v>
      </c>
    </row>
    <row r="507" spans="1:72">
      <c r="A507" s="79"/>
      <c r="B507" s="1179"/>
      <c r="C507" s="1180"/>
      <c r="D507" s="2301"/>
      <c r="E507" s="81">
        <f t="shared" si="323"/>
        <v>0</v>
      </c>
      <c r="F507" s="82"/>
      <c r="G507" s="83">
        <f t="shared" si="294"/>
        <v>0</v>
      </c>
      <c r="H507" s="84">
        <f t="shared" si="295"/>
        <v>0</v>
      </c>
      <c r="I507" s="1180"/>
      <c r="J507" s="85"/>
      <c r="K507" s="1180"/>
      <c r="L507" s="85"/>
      <c r="M507" s="85"/>
      <c r="N507" s="85"/>
      <c r="O507" s="85"/>
      <c r="P507" s="85"/>
      <c r="Q507" s="85"/>
      <c r="R507" s="85"/>
      <c r="S507" s="85"/>
      <c r="T507" s="85"/>
      <c r="U507" s="85"/>
      <c r="V507" s="85"/>
      <c r="W507" s="85"/>
      <c r="X507" s="85"/>
      <c r="Y507" s="85"/>
      <c r="Z507" s="85"/>
      <c r="AA507" s="85"/>
      <c r="AB507" s="85"/>
      <c r="AC507" s="81">
        <f t="shared" si="296"/>
        <v>0</v>
      </c>
      <c r="AD507" s="86"/>
      <c r="AE507" s="86"/>
      <c r="AF507" s="1180"/>
      <c r="AG507" s="86"/>
      <c r="AH507" s="86"/>
      <c r="AI507" s="86"/>
      <c r="AJ507" s="86"/>
      <c r="AK507" s="86"/>
      <c r="AL507" s="86"/>
      <c r="AM507" s="86"/>
      <c r="AN507" s="86"/>
      <c r="AO507" s="86"/>
      <c r="AP507" s="86"/>
      <c r="AQ507" s="86"/>
      <c r="AR507" s="86"/>
      <c r="AS507" s="86"/>
      <c r="AT507" s="82"/>
      <c r="AU507" s="87"/>
      <c r="AV507" s="818">
        <f t="shared" si="324"/>
        <v>0</v>
      </c>
      <c r="AW507" s="818">
        <f t="shared" si="325"/>
        <v>0</v>
      </c>
      <c r="AX507" s="818">
        <f t="shared" si="326"/>
        <v>0</v>
      </c>
      <c r="AY507" s="88">
        <f t="shared" si="297"/>
        <v>0</v>
      </c>
      <c r="AZ507" s="81">
        <f t="shared" si="298"/>
        <v>0</v>
      </c>
      <c r="BA507" s="81">
        <f t="shared" si="299"/>
        <v>0</v>
      </c>
      <c r="BB507" s="81">
        <f t="shared" si="300"/>
        <v>0</v>
      </c>
      <c r="BC507" s="81">
        <f t="shared" si="301"/>
        <v>0</v>
      </c>
      <c r="BD507" s="81">
        <f t="shared" si="302"/>
        <v>0</v>
      </c>
      <c r="BE507" s="81">
        <f t="shared" si="303"/>
        <v>0</v>
      </c>
      <c r="BF507" s="81">
        <f t="shared" si="304"/>
        <v>0</v>
      </c>
      <c r="BG507" s="81">
        <f t="shared" si="305"/>
        <v>0</v>
      </c>
      <c r="BH507" s="81">
        <f t="shared" si="306"/>
        <v>0</v>
      </c>
      <c r="BI507" s="81">
        <f t="shared" si="307"/>
        <v>0</v>
      </c>
      <c r="BJ507" s="81">
        <f t="shared" si="308"/>
        <v>0</v>
      </c>
      <c r="BK507" s="81">
        <f t="shared" si="309"/>
        <v>0</v>
      </c>
      <c r="BL507" s="81">
        <f t="shared" si="310"/>
        <v>0</v>
      </c>
      <c r="BM507" s="81">
        <f t="shared" si="311"/>
        <v>0</v>
      </c>
      <c r="BN507" s="81">
        <f t="shared" si="312"/>
        <v>0</v>
      </c>
      <c r="BO507" s="81">
        <f t="shared" si="313"/>
        <v>0</v>
      </c>
      <c r="BP507" s="81">
        <f t="shared" si="314"/>
        <v>0</v>
      </c>
      <c r="BQ507" s="81">
        <f t="shared" si="315"/>
        <v>0</v>
      </c>
      <c r="BR507" s="81">
        <f t="shared" si="316"/>
        <v>0</v>
      </c>
      <c r="BS507" s="81">
        <f t="shared" si="317"/>
        <v>0</v>
      </c>
      <c r="BT507" s="89">
        <f t="shared" si="318"/>
        <v>0</v>
      </c>
    </row>
    <row r="508" spans="1:72">
      <c r="A508" s="79"/>
      <c r="B508" s="1179"/>
      <c r="C508" s="1180"/>
      <c r="D508" s="2301"/>
      <c r="E508" s="81">
        <f t="shared" si="323"/>
        <v>0</v>
      </c>
      <c r="F508" s="82"/>
      <c r="G508" s="83">
        <f t="shared" si="294"/>
        <v>0</v>
      </c>
      <c r="H508" s="84">
        <f t="shared" si="295"/>
        <v>0</v>
      </c>
      <c r="I508" s="1180"/>
      <c r="J508" s="85"/>
      <c r="K508" s="1180"/>
      <c r="L508" s="85"/>
      <c r="M508" s="85"/>
      <c r="N508" s="85"/>
      <c r="O508" s="85"/>
      <c r="P508" s="85"/>
      <c r="Q508" s="85"/>
      <c r="R508" s="85"/>
      <c r="S508" s="85"/>
      <c r="T508" s="85"/>
      <c r="U508" s="85"/>
      <c r="V508" s="85"/>
      <c r="W508" s="85"/>
      <c r="X508" s="85"/>
      <c r="Y508" s="85"/>
      <c r="Z508" s="85"/>
      <c r="AA508" s="85"/>
      <c r="AB508" s="85"/>
      <c r="AC508" s="81">
        <f t="shared" si="296"/>
        <v>0</v>
      </c>
      <c r="AD508" s="86"/>
      <c r="AE508" s="86"/>
      <c r="AF508" s="1180"/>
      <c r="AG508" s="86"/>
      <c r="AH508" s="86"/>
      <c r="AI508" s="86"/>
      <c r="AJ508" s="86"/>
      <c r="AK508" s="86"/>
      <c r="AL508" s="86"/>
      <c r="AM508" s="86"/>
      <c r="AN508" s="86"/>
      <c r="AO508" s="86"/>
      <c r="AP508" s="86"/>
      <c r="AQ508" s="86"/>
      <c r="AR508" s="86"/>
      <c r="AS508" s="86"/>
      <c r="AT508" s="82"/>
      <c r="AU508" s="87"/>
      <c r="AV508" s="818">
        <f t="shared" si="324"/>
        <v>0</v>
      </c>
      <c r="AW508" s="818">
        <f t="shared" si="325"/>
        <v>0</v>
      </c>
      <c r="AX508" s="818">
        <f t="shared" si="326"/>
        <v>0</v>
      </c>
      <c r="AY508" s="88">
        <f t="shared" si="297"/>
        <v>0</v>
      </c>
      <c r="AZ508" s="81">
        <f t="shared" si="298"/>
        <v>0</v>
      </c>
      <c r="BA508" s="81">
        <f t="shared" si="299"/>
        <v>0</v>
      </c>
      <c r="BB508" s="81">
        <f t="shared" si="300"/>
        <v>0</v>
      </c>
      <c r="BC508" s="81">
        <f t="shared" si="301"/>
        <v>0</v>
      </c>
      <c r="BD508" s="81">
        <f t="shared" si="302"/>
        <v>0</v>
      </c>
      <c r="BE508" s="81">
        <f t="shared" si="303"/>
        <v>0</v>
      </c>
      <c r="BF508" s="81">
        <f t="shared" si="304"/>
        <v>0</v>
      </c>
      <c r="BG508" s="81">
        <f t="shared" si="305"/>
        <v>0</v>
      </c>
      <c r="BH508" s="81">
        <f t="shared" si="306"/>
        <v>0</v>
      </c>
      <c r="BI508" s="81">
        <f t="shared" si="307"/>
        <v>0</v>
      </c>
      <c r="BJ508" s="81">
        <f t="shared" si="308"/>
        <v>0</v>
      </c>
      <c r="BK508" s="81">
        <f t="shared" si="309"/>
        <v>0</v>
      </c>
      <c r="BL508" s="81">
        <f t="shared" si="310"/>
        <v>0</v>
      </c>
      <c r="BM508" s="81">
        <f t="shared" si="311"/>
        <v>0</v>
      </c>
      <c r="BN508" s="81">
        <f t="shared" si="312"/>
        <v>0</v>
      </c>
      <c r="BO508" s="81">
        <f t="shared" si="313"/>
        <v>0</v>
      </c>
      <c r="BP508" s="81">
        <f t="shared" si="314"/>
        <v>0</v>
      </c>
      <c r="BQ508" s="81">
        <f t="shared" si="315"/>
        <v>0</v>
      </c>
      <c r="BR508" s="81">
        <f t="shared" si="316"/>
        <v>0</v>
      </c>
      <c r="BS508" s="81">
        <f t="shared" si="317"/>
        <v>0</v>
      </c>
      <c r="BT508" s="89">
        <f t="shared" si="318"/>
        <v>0</v>
      </c>
    </row>
    <row r="509" spans="1:72">
      <c r="A509" s="79"/>
      <c r="B509" s="1179"/>
      <c r="C509" s="1180"/>
      <c r="D509" s="2301"/>
      <c r="E509" s="81">
        <f t="shared" si="323"/>
        <v>0</v>
      </c>
      <c r="F509" s="82"/>
      <c r="G509" s="83">
        <f t="shared" si="294"/>
        <v>0</v>
      </c>
      <c r="H509" s="84">
        <f t="shared" si="295"/>
        <v>0</v>
      </c>
      <c r="I509" s="1180"/>
      <c r="J509" s="85"/>
      <c r="K509" s="1180"/>
      <c r="L509" s="85"/>
      <c r="M509" s="85"/>
      <c r="N509" s="85"/>
      <c r="O509" s="85"/>
      <c r="P509" s="85"/>
      <c r="Q509" s="85"/>
      <c r="R509" s="85"/>
      <c r="S509" s="85"/>
      <c r="T509" s="85"/>
      <c r="U509" s="85"/>
      <c r="V509" s="85"/>
      <c r="W509" s="85"/>
      <c r="X509" s="85"/>
      <c r="Y509" s="85"/>
      <c r="Z509" s="85"/>
      <c r="AA509" s="85"/>
      <c r="AB509" s="85"/>
      <c r="AC509" s="81">
        <f t="shared" si="296"/>
        <v>0</v>
      </c>
      <c r="AD509" s="86"/>
      <c r="AE509" s="86"/>
      <c r="AF509" s="1180"/>
      <c r="AG509" s="86"/>
      <c r="AH509" s="86"/>
      <c r="AI509" s="86"/>
      <c r="AJ509" s="86"/>
      <c r="AK509" s="86"/>
      <c r="AL509" s="86"/>
      <c r="AM509" s="86"/>
      <c r="AN509" s="86"/>
      <c r="AO509" s="86"/>
      <c r="AP509" s="86"/>
      <c r="AQ509" s="86"/>
      <c r="AR509" s="86"/>
      <c r="AS509" s="86"/>
      <c r="AT509" s="82"/>
      <c r="AU509" s="87"/>
      <c r="AV509" s="818">
        <f t="shared" si="324"/>
        <v>0</v>
      </c>
      <c r="AW509" s="818">
        <f t="shared" si="325"/>
        <v>0</v>
      </c>
      <c r="AX509" s="818">
        <f t="shared" si="326"/>
        <v>0</v>
      </c>
      <c r="AY509" s="88">
        <f t="shared" si="297"/>
        <v>0</v>
      </c>
      <c r="AZ509" s="81">
        <f t="shared" si="298"/>
        <v>0</v>
      </c>
      <c r="BA509" s="81">
        <f t="shared" si="299"/>
        <v>0</v>
      </c>
      <c r="BB509" s="81">
        <f t="shared" si="300"/>
        <v>0</v>
      </c>
      <c r="BC509" s="81">
        <f t="shared" si="301"/>
        <v>0</v>
      </c>
      <c r="BD509" s="81">
        <f t="shared" si="302"/>
        <v>0</v>
      </c>
      <c r="BE509" s="81">
        <f t="shared" si="303"/>
        <v>0</v>
      </c>
      <c r="BF509" s="81">
        <f t="shared" si="304"/>
        <v>0</v>
      </c>
      <c r="BG509" s="81">
        <f t="shared" si="305"/>
        <v>0</v>
      </c>
      <c r="BH509" s="81">
        <f t="shared" si="306"/>
        <v>0</v>
      </c>
      <c r="BI509" s="81">
        <f t="shared" si="307"/>
        <v>0</v>
      </c>
      <c r="BJ509" s="81">
        <f t="shared" si="308"/>
        <v>0</v>
      </c>
      <c r="BK509" s="81">
        <f t="shared" si="309"/>
        <v>0</v>
      </c>
      <c r="BL509" s="81">
        <f t="shared" si="310"/>
        <v>0</v>
      </c>
      <c r="BM509" s="81">
        <f t="shared" si="311"/>
        <v>0</v>
      </c>
      <c r="BN509" s="81">
        <f t="shared" si="312"/>
        <v>0</v>
      </c>
      <c r="BO509" s="81">
        <f t="shared" si="313"/>
        <v>0</v>
      </c>
      <c r="BP509" s="81">
        <f t="shared" si="314"/>
        <v>0</v>
      </c>
      <c r="BQ509" s="81">
        <f t="shared" si="315"/>
        <v>0</v>
      </c>
      <c r="BR509" s="81">
        <f t="shared" si="316"/>
        <v>0</v>
      </c>
      <c r="BS509" s="81">
        <f t="shared" si="317"/>
        <v>0</v>
      </c>
      <c r="BT509" s="89">
        <f t="shared" si="318"/>
        <v>0</v>
      </c>
    </row>
    <row r="510" spans="1:72">
      <c r="A510" s="79"/>
      <c r="B510" s="1179"/>
      <c r="C510" s="1180"/>
      <c r="D510" s="2301"/>
      <c r="E510" s="81">
        <f t="shared" si="323"/>
        <v>0</v>
      </c>
      <c r="F510" s="82"/>
      <c r="G510" s="83">
        <f t="shared" ref="G510:G537" si="327">H510+AC510+AT510</f>
        <v>0</v>
      </c>
      <c r="H510" s="84">
        <f t="shared" ref="H510:H537" si="328">SUMIF(I$12:AB$12,"总值",I510:AB510)</f>
        <v>0</v>
      </c>
      <c r="I510" s="1180"/>
      <c r="J510" s="85"/>
      <c r="K510" s="1180"/>
      <c r="L510" s="85"/>
      <c r="M510" s="85"/>
      <c r="N510" s="85"/>
      <c r="O510" s="85"/>
      <c r="P510" s="85"/>
      <c r="Q510" s="85"/>
      <c r="R510" s="85"/>
      <c r="S510" s="85"/>
      <c r="T510" s="85"/>
      <c r="U510" s="85"/>
      <c r="V510" s="85"/>
      <c r="W510" s="85"/>
      <c r="X510" s="85"/>
      <c r="Y510" s="85"/>
      <c r="Z510" s="85"/>
      <c r="AA510" s="85"/>
      <c r="AB510" s="85"/>
      <c r="AC510" s="81">
        <f t="shared" ref="AC510:AC537" si="329">SUMIF(AD$12:AS$12,"总值",AD510:AS510)</f>
        <v>0</v>
      </c>
      <c r="AD510" s="86"/>
      <c r="AE510" s="86"/>
      <c r="AF510" s="1180"/>
      <c r="AG510" s="86"/>
      <c r="AH510" s="86"/>
      <c r="AI510" s="86"/>
      <c r="AJ510" s="86"/>
      <c r="AK510" s="86"/>
      <c r="AL510" s="86"/>
      <c r="AM510" s="86"/>
      <c r="AN510" s="86"/>
      <c r="AO510" s="86"/>
      <c r="AP510" s="86"/>
      <c r="AQ510" s="86"/>
      <c r="AR510" s="86"/>
      <c r="AS510" s="86"/>
      <c r="AT510" s="82"/>
      <c r="AU510" s="87"/>
      <c r="AV510" s="818">
        <f t="shared" si="324"/>
        <v>0</v>
      </c>
      <c r="AW510" s="818">
        <f t="shared" si="325"/>
        <v>0</v>
      </c>
      <c r="AX510" s="818">
        <f t="shared" si="326"/>
        <v>0</v>
      </c>
      <c r="AY510" s="88">
        <f t="shared" ref="AY510:AY537" si="330">ROUND($AY$6*AZ510/$AZ$5,2)</f>
        <v>0</v>
      </c>
      <c r="AZ510" s="81">
        <f t="shared" ref="AZ510:AZ537" si="331">BA510+BL510</f>
        <v>0</v>
      </c>
      <c r="BA510" s="81">
        <f t="shared" ref="BA510:BA537" si="332">SUM(BB510:BK510)</f>
        <v>0</v>
      </c>
      <c r="BB510" s="81">
        <f t="shared" ref="BB510:BB537" si="333">IF($D510="是",I510-J510,0)</f>
        <v>0</v>
      </c>
      <c r="BC510" s="81">
        <f t="shared" ref="BC510:BC537" si="334">IF($D510="是",K510-L510,0)</f>
        <v>0</v>
      </c>
      <c r="BD510" s="81">
        <f t="shared" ref="BD510:BD537" si="335">IF($D510="是",M510-N510,0)</f>
        <v>0</v>
      </c>
      <c r="BE510" s="81">
        <f t="shared" ref="BE510:BE537" si="336">IF($D510="是",O510-P510,0)</f>
        <v>0</v>
      </c>
      <c r="BF510" s="81">
        <f t="shared" ref="BF510:BF537" si="337">IF($D510="是",Q510-R510,0)</f>
        <v>0</v>
      </c>
      <c r="BG510" s="81">
        <f t="shared" ref="BG510:BG537" si="338">IF($D510="是",S510-T510,0)</f>
        <v>0</v>
      </c>
      <c r="BH510" s="81">
        <f t="shared" ref="BH510:BH537" si="339">IF($D510="是",U510-V510,0)</f>
        <v>0</v>
      </c>
      <c r="BI510" s="81">
        <f t="shared" ref="BI510:BI537" si="340">IF($D510="是",W510-X510,0)</f>
        <v>0</v>
      </c>
      <c r="BJ510" s="81">
        <f t="shared" ref="BJ510:BJ537" si="341">IF($D510="是",Y510-Z510,0)</f>
        <v>0</v>
      </c>
      <c r="BK510" s="81">
        <f t="shared" ref="BK510:BK537" si="342">IF($D510="是",AA510-AB510,0)</f>
        <v>0</v>
      </c>
      <c r="BL510" s="81">
        <f t="shared" ref="BL510:BL537" si="343">SUM(BM510:BT510)</f>
        <v>0</v>
      </c>
      <c r="BM510" s="81">
        <f t="shared" ref="BM510:BM537" si="344">IF($D510="是",AD510-AE510,0)</f>
        <v>0</v>
      </c>
      <c r="BN510" s="81">
        <f t="shared" ref="BN510:BN537" si="345">IF($D510="是",AF510-AG510,0)</f>
        <v>0</v>
      </c>
      <c r="BO510" s="81">
        <f t="shared" ref="BO510:BO537" si="346">IF($D510="是",AH510-AI510,0)</f>
        <v>0</v>
      </c>
      <c r="BP510" s="81">
        <f t="shared" ref="BP510:BP537" si="347">IF($D510="是",AJ510-AK510,0)</f>
        <v>0</v>
      </c>
      <c r="BQ510" s="81">
        <f t="shared" ref="BQ510:BQ537" si="348">IF($D510="是",AL510-AM510,0)</f>
        <v>0</v>
      </c>
      <c r="BR510" s="81">
        <f t="shared" ref="BR510:BR537" si="349">IF($D510="是",AN510-AO510,0)</f>
        <v>0</v>
      </c>
      <c r="BS510" s="81">
        <f t="shared" ref="BS510:BS537" si="350">IF($D510="是",AP510-AQ510,0)</f>
        <v>0</v>
      </c>
      <c r="BT510" s="89">
        <f t="shared" ref="BT510:BT537" si="351">IF($D510="是",AR510-AS510,0)</f>
        <v>0</v>
      </c>
    </row>
    <row r="511" spans="1:72">
      <c r="A511" s="79"/>
      <c r="B511" s="1179"/>
      <c r="C511" s="1180"/>
      <c r="D511" s="2301"/>
      <c r="E511" s="81">
        <f t="shared" si="323"/>
        <v>0</v>
      </c>
      <c r="F511" s="82"/>
      <c r="G511" s="83">
        <f t="shared" si="327"/>
        <v>0</v>
      </c>
      <c r="H511" s="84">
        <f t="shared" si="328"/>
        <v>0</v>
      </c>
      <c r="I511" s="1180"/>
      <c r="J511" s="85"/>
      <c r="K511" s="1180"/>
      <c r="L511" s="85"/>
      <c r="M511" s="85"/>
      <c r="N511" s="85"/>
      <c r="O511" s="85"/>
      <c r="P511" s="85"/>
      <c r="Q511" s="85"/>
      <c r="R511" s="85"/>
      <c r="S511" s="85"/>
      <c r="T511" s="85"/>
      <c r="U511" s="85"/>
      <c r="V511" s="85"/>
      <c r="W511" s="85"/>
      <c r="X511" s="85"/>
      <c r="Y511" s="85"/>
      <c r="Z511" s="85"/>
      <c r="AA511" s="85"/>
      <c r="AB511" s="85"/>
      <c r="AC511" s="81">
        <f t="shared" si="329"/>
        <v>0</v>
      </c>
      <c r="AD511" s="86"/>
      <c r="AE511" s="86"/>
      <c r="AF511" s="1180"/>
      <c r="AG511" s="86"/>
      <c r="AH511" s="86"/>
      <c r="AI511" s="86"/>
      <c r="AJ511" s="86"/>
      <c r="AK511" s="86"/>
      <c r="AL511" s="86"/>
      <c r="AM511" s="86"/>
      <c r="AN511" s="86"/>
      <c r="AO511" s="86"/>
      <c r="AP511" s="86"/>
      <c r="AQ511" s="86"/>
      <c r="AR511" s="86"/>
      <c r="AS511" s="86"/>
      <c r="AT511" s="82"/>
      <c r="AU511" s="87"/>
      <c r="AV511" s="818">
        <f t="shared" si="324"/>
        <v>0</v>
      </c>
      <c r="AW511" s="818">
        <f t="shared" si="325"/>
        <v>0</v>
      </c>
      <c r="AX511" s="818">
        <f t="shared" si="326"/>
        <v>0</v>
      </c>
      <c r="AY511" s="88">
        <f t="shared" si="330"/>
        <v>0</v>
      </c>
      <c r="AZ511" s="81">
        <f t="shared" si="331"/>
        <v>0</v>
      </c>
      <c r="BA511" s="81">
        <f t="shared" si="332"/>
        <v>0</v>
      </c>
      <c r="BB511" s="81">
        <f t="shared" si="333"/>
        <v>0</v>
      </c>
      <c r="BC511" s="81">
        <f t="shared" si="334"/>
        <v>0</v>
      </c>
      <c r="BD511" s="81">
        <f t="shared" si="335"/>
        <v>0</v>
      </c>
      <c r="BE511" s="81">
        <f t="shared" si="336"/>
        <v>0</v>
      </c>
      <c r="BF511" s="81">
        <f t="shared" si="337"/>
        <v>0</v>
      </c>
      <c r="BG511" s="81">
        <f t="shared" si="338"/>
        <v>0</v>
      </c>
      <c r="BH511" s="81">
        <f t="shared" si="339"/>
        <v>0</v>
      </c>
      <c r="BI511" s="81">
        <f t="shared" si="340"/>
        <v>0</v>
      </c>
      <c r="BJ511" s="81">
        <f t="shared" si="341"/>
        <v>0</v>
      </c>
      <c r="BK511" s="81">
        <f t="shared" si="342"/>
        <v>0</v>
      </c>
      <c r="BL511" s="81">
        <f t="shared" si="343"/>
        <v>0</v>
      </c>
      <c r="BM511" s="81">
        <f t="shared" si="344"/>
        <v>0</v>
      </c>
      <c r="BN511" s="81">
        <f t="shared" si="345"/>
        <v>0</v>
      </c>
      <c r="BO511" s="81">
        <f t="shared" si="346"/>
        <v>0</v>
      </c>
      <c r="BP511" s="81">
        <f t="shared" si="347"/>
        <v>0</v>
      </c>
      <c r="BQ511" s="81">
        <f t="shared" si="348"/>
        <v>0</v>
      </c>
      <c r="BR511" s="81">
        <f t="shared" si="349"/>
        <v>0</v>
      </c>
      <c r="BS511" s="81">
        <f t="shared" si="350"/>
        <v>0</v>
      </c>
      <c r="BT511" s="89">
        <f t="shared" si="351"/>
        <v>0</v>
      </c>
    </row>
    <row r="512" spans="1:72">
      <c r="A512" s="79"/>
      <c r="B512" s="1179"/>
      <c r="C512" s="1180"/>
      <c r="D512" s="2301"/>
      <c r="E512" s="81">
        <f t="shared" si="323"/>
        <v>0</v>
      </c>
      <c r="F512" s="82"/>
      <c r="G512" s="83">
        <f t="shared" si="327"/>
        <v>0</v>
      </c>
      <c r="H512" s="84">
        <f t="shared" si="328"/>
        <v>0</v>
      </c>
      <c r="I512" s="1180"/>
      <c r="J512" s="85"/>
      <c r="K512" s="1180"/>
      <c r="L512" s="85"/>
      <c r="M512" s="85"/>
      <c r="N512" s="85"/>
      <c r="O512" s="85"/>
      <c r="P512" s="85"/>
      <c r="Q512" s="85"/>
      <c r="R512" s="85"/>
      <c r="S512" s="85"/>
      <c r="T512" s="85"/>
      <c r="U512" s="85"/>
      <c r="V512" s="85"/>
      <c r="W512" s="85"/>
      <c r="X512" s="85"/>
      <c r="Y512" s="85"/>
      <c r="Z512" s="85"/>
      <c r="AA512" s="85"/>
      <c r="AB512" s="85"/>
      <c r="AC512" s="81">
        <f t="shared" si="329"/>
        <v>0</v>
      </c>
      <c r="AD512" s="86"/>
      <c r="AE512" s="86"/>
      <c r="AF512" s="1180"/>
      <c r="AG512" s="86"/>
      <c r="AH512" s="86"/>
      <c r="AI512" s="86"/>
      <c r="AJ512" s="86"/>
      <c r="AK512" s="86"/>
      <c r="AL512" s="86"/>
      <c r="AM512" s="86"/>
      <c r="AN512" s="86"/>
      <c r="AO512" s="86"/>
      <c r="AP512" s="86"/>
      <c r="AQ512" s="86"/>
      <c r="AR512" s="86"/>
      <c r="AS512" s="86"/>
      <c r="AT512" s="82"/>
      <c r="AU512" s="87"/>
      <c r="AV512" s="818">
        <f t="shared" si="324"/>
        <v>0</v>
      </c>
      <c r="AW512" s="818">
        <f t="shared" si="325"/>
        <v>0</v>
      </c>
      <c r="AX512" s="818">
        <f t="shared" si="326"/>
        <v>0</v>
      </c>
      <c r="AY512" s="88">
        <f t="shared" si="330"/>
        <v>0</v>
      </c>
      <c r="AZ512" s="81">
        <f t="shared" si="331"/>
        <v>0</v>
      </c>
      <c r="BA512" s="81">
        <f t="shared" si="332"/>
        <v>0</v>
      </c>
      <c r="BB512" s="81">
        <f t="shared" si="333"/>
        <v>0</v>
      </c>
      <c r="BC512" s="81">
        <f t="shared" si="334"/>
        <v>0</v>
      </c>
      <c r="BD512" s="81">
        <f t="shared" si="335"/>
        <v>0</v>
      </c>
      <c r="BE512" s="81">
        <f t="shared" si="336"/>
        <v>0</v>
      </c>
      <c r="BF512" s="81">
        <f t="shared" si="337"/>
        <v>0</v>
      </c>
      <c r="BG512" s="81">
        <f t="shared" si="338"/>
        <v>0</v>
      </c>
      <c r="BH512" s="81">
        <f t="shared" si="339"/>
        <v>0</v>
      </c>
      <c r="BI512" s="81">
        <f t="shared" si="340"/>
        <v>0</v>
      </c>
      <c r="BJ512" s="81">
        <f t="shared" si="341"/>
        <v>0</v>
      </c>
      <c r="BK512" s="81">
        <f t="shared" si="342"/>
        <v>0</v>
      </c>
      <c r="BL512" s="81">
        <f t="shared" si="343"/>
        <v>0</v>
      </c>
      <c r="BM512" s="81">
        <f t="shared" si="344"/>
        <v>0</v>
      </c>
      <c r="BN512" s="81">
        <f t="shared" si="345"/>
        <v>0</v>
      </c>
      <c r="BO512" s="81">
        <f t="shared" si="346"/>
        <v>0</v>
      </c>
      <c r="BP512" s="81">
        <f t="shared" si="347"/>
        <v>0</v>
      </c>
      <c r="BQ512" s="81">
        <f t="shared" si="348"/>
        <v>0</v>
      </c>
      <c r="BR512" s="81">
        <f t="shared" si="349"/>
        <v>0</v>
      </c>
      <c r="BS512" s="81">
        <f t="shared" si="350"/>
        <v>0</v>
      </c>
      <c r="BT512" s="89">
        <f t="shared" si="351"/>
        <v>0</v>
      </c>
    </row>
    <row r="513" spans="1:72">
      <c r="A513" s="79"/>
      <c r="B513" s="1179"/>
      <c r="C513" s="1180"/>
      <c r="D513" s="2301"/>
      <c r="E513" s="81">
        <f t="shared" si="323"/>
        <v>0</v>
      </c>
      <c r="F513" s="82"/>
      <c r="G513" s="83">
        <f t="shared" si="327"/>
        <v>0</v>
      </c>
      <c r="H513" s="84">
        <f t="shared" si="328"/>
        <v>0</v>
      </c>
      <c r="I513" s="1180"/>
      <c r="J513" s="85"/>
      <c r="K513" s="1180"/>
      <c r="L513" s="85"/>
      <c r="M513" s="85"/>
      <c r="N513" s="85"/>
      <c r="O513" s="85"/>
      <c r="P513" s="85"/>
      <c r="Q513" s="85"/>
      <c r="R513" s="85"/>
      <c r="S513" s="85"/>
      <c r="T513" s="85"/>
      <c r="U513" s="85"/>
      <c r="V513" s="85"/>
      <c r="W513" s="85"/>
      <c r="X513" s="85"/>
      <c r="Y513" s="85"/>
      <c r="Z513" s="85"/>
      <c r="AA513" s="85"/>
      <c r="AB513" s="85"/>
      <c r="AC513" s="81">
        <f t="shared" si="329"/>
        <v>0</v>
      </c>
      <c r="AD513" s="86"/>
      <c r="AE513" s="86"/>
      <c r="AF513" s="1180"/>
      <c r="AG513" s="86"/>
      <c r="AH513" s="86"/>
      <c r="AI513" s="86"/>
      <c r="AJ513" s="86"/>
      <c r="AK513" s="86"/>
      <c r="AL513" s="86"/>
      <c r="AM513" s="86"/>
      <c r="AN513" s="86"/>
      <c r="AO513" s="86"/>
      <c r="AP513" s="86"/>
      <c r="AQ513" s="86"/>
      <c r="AR513" s="86"/>
      <c r="AS513" s="86"/>
      <c r="AT513" s="82"/>
      <c r="AU513" s="87"/>
      <c r="AV513" s="818">
        <f t="shared" si="324"/>
        <v>0</v>
      </c>
      <c r="AW513" s="818">
        <f t="shared" si="325"/>
        <v>0</v>
      </c>
      <c r="AX513" s="818">
        <f t="shared" si="326"/>
        <v>0</v>
      </c>
      <c r="AY513" s="88">
        <f t="shared" si="330"/>
        <v>0</v>
      </c>
      <c r="AZ513" s="81">
        <f t="shared" si="331"/>
        <v>0</v>
      </c>
      <c r="BA513" s="81">
        <f t="shared" si="332"/>
        <v>0</v>
      </c>
      <c r="BB513" s="81">
        <f t="shared" si="333"/>
        <v>0</v>
      </c>
      <c r="BC513" s="81">
        <f t="shared" si="334"/>
        <v>0</v>
      </c>
      <c r="BD513" s="81">
        <f t="shared" si="335"/>
        <v>0</v>
      </c>
      <c r="BE513" s="81">
        <f t="shared" si="336"/>
        <v>0</v>
      </c>
      <c r="BF513" s="81">
        <f t="shared" si="337"/>
        <v>0</v>
      </c>
      <c r="BG513" s="81">
        <f t="shared" si="338"/>
        <v>0</v>
      </c>
      <c r="BH513" s="81">
        <f t="shared" si="339"/>
        <v>0</v>
      </c>
      <c r="BI513" s="81">
        <f t="shared" si="340"/>
        <v>0</v>
      </c>
      <c r="BJ513" s="81">
        <f t="shared" si="341"/>
        <v>0</v>
      </c>
      <c r="BK513" s="81">
        <f t="shared" si="342"/>
        <v>0</v>
      </c>
      <c r="BL513" s="81">
        <f t="shared" si="343"/>
        <v>0</v>
      </c>
      <c r="BM513" s="81">
        <f t="shared" si="344"/>
        <v>0</v>
      </c>
      <c r="BN513" s="81">
        <f t="shared" si="345"/>
        <v>0</v>
      </c>
      <c r="BO513" s="81">
        <f t="shared" si="346"/>
        <v>0</v>
      </c>
      <c r="BP513" s="81">
        <f t="shared" si="347"/>
        <v>0</v>
      </c>
      <c r="BQ513" s="81">
        <f t="shared" si="348"/>
        <v>0</v>
      </c>
      <c r="BR513" s="81">
        <f t="shared" si="349"/>
        <v>0</v>
      </c>
      <c r="BS513" s="81">
        <f t="shared" si="350"/>
        <v>0</v>
      </c>
      <c r="BT513" s="89">
        <f t="shared" si="351"/>
        <v>0</v>
      </c>
    </row>
    <row r="514" spans="1:72">
      <c r="A514" s="79"/>
      <c r="B514" s="1179"/>
      <c r="C514" s="1180"/>
      <c r="D514" s="2301"/>
      <c r="E514" s="81">
        <f t="shared" si="323"/>
        <v>0</v>
      </c>
      <c r="F514" s="82"/>
      <c r="G514" s="83">
        <f t="shared" si="327"/>
        <v>0</v>
      </c>
      <c r="H514" s="84">
        <f t="shared" si="328"/>
        <v>0</v>
      </c>
      <c r="I514" s="1180"/>
      <c r="J514" s="85"/>
      <c r="K514" s="1180"/>
      <c r="L514" s="85"/>
      <c r="M514" s="85"/>
      <c r="N514" s="85"/>
      <c r="O514" s="85"/>
      <c r="P514" s="85"/>
      <c r="Q514" s="85"/>
      <c r="R514" s="85"/>
      <c r="S514" s="85"/>
      <c r="T514" s="85"/>
      <c r="U514" s="85"/>
      <c r="V514" s="85"/>
      <c r="W514" s="85"/>
      <c r="X514" s="85"/>
      <c r="Y514" s="85"/>
      <c r="Z514" s="85"/>
      <c r="AA514" s="85"/>
      <c r="AB514" s="85"/>
      <c r="AC514" s="81">
        <f t="shared" si="329"/>
        <v>0</v>
      </c>
      <c r="AD514" s="86"/>
      <c r="AE514" s="86"/>
      <c r="AF514" s="1180"/>
      <c r="AG514" s="86"/>
      <c r="AH514" s="86"/>
      <c r="AI514" s="86"/>
      <c r="AJ514" s="86"/>
      <c r="AK514" s="86"/>
      <c r="AL514" s="86"/>
      <c r="AM514" s="86"/>
      <c r="AN514" s="86"/>
      <c r="AO514" s="86"/>
      <c r="AP514" s="86"/>
      <c r="AQ514" s="86"/>
      <c r="AR514" s="86"/>
      <c r="AS514" s="86"/>
      <c r="AT514" s="82"/>
      <c r="AU514" s="87"/>
      <c r="AV514" s="818">
        <f t="shared" si="324"/>
        <v>0</v>
      </c>
      <c r="AW514" s="818">
        <f t="shared" si="325"/>
        <v>0</v>
      </c>
      <c r="AX514" s="818">
        <f t="shared" si="326"/>
        <v>0</v>
      </c>
      <c r="AY514" s="88">
        <f t="shared" si="330"/>
        <v>0</v>
      </c>
      <c r="AZ514" s="81">
        <f t="shared" si="331"/>
        <v>0</v>
      </c>
      <c r="BA514" s="81">
        <f t="shared" si="332"/>
        <v>0</v>
      </c>
      <c r="BB514" s="81">
        <f t="shared" si="333"/>
        <v>0</v>
      </c>
      <c r="BC514" s="81">
        <f t="shared" si="334"/>
        <v>0</v>
      </c>
      <c r="BD514" s="81">
        <f t="shared" si="335"/>
        <v>0</v>
      </c>
      <c r="BE514" s="81">
        <f t="shared" si="336"/>
        <v>0</v>
      </c>
      <c r="BF514" s="81">
        <f t="shared" si="337"/>
        <v>0</v>
      </c>
      <c r="BG514" s="81">
        <f t="shared" si="338"/>
        <v>0</v>
      </c>
      <c r="BH514" s="81">
        <f t="shared" si="339"/>
        <v>0</v>
      </c>
      <c r="BI514" s="81">
        <f t="shared" si="340"/>
        <v>0</v>
      </c>
      <c r="BJ514" s="81">
        <f t="shared" si="341"/>
        <v>0</v>
      </c>
      <c r="BK514" s="81">
        <f t="shared" si="342"/>
        <v>0</v>
      </c>
      <c r="BL514" s="81">
        <f t="shared" si="343"/>
        <v>0</v>
      </c>
      <c r="BM514" s="81">
        <f t="shared" si="344"/>
        <v>0</v>
      </c>
      <c r="BN514" s="81">
        <f t="shared" si="345"/>
        <v>0</v>
      </c>
      <c r="BO514" s="81">
        <f t="shared" si="346"/>
        <v>0</v>
      </c>
      <c r="BP514" s="81">
        <f t="shared" si="347"/>
        <v>0</v>
      </c>
      <c r="BQ514" s="81">
        <f t="shared" si="348"/>
        <v>0</v>
      </c>
      <c r="BR514" s="81">
        <f t="shared" si="349"/>
        <v>0</v>
      </c>
      <c r="BS514" s="81">
        <f t="shared" si="350"/>
        <v>0</v>
      </c>
      <c r="BT514" s="89">
        <f t="shared" si="351"/>
        <v>0</v>
      </c>
    </row>
    <row r="515" spans="1:72">
      <c r="A515" s="79"/>
      <c r="B515" s="1179"/>
      <c r="C515" s="1180"/>
      <c r="D515" s="2301"/>
      <c r="E515" s="81">
        <f t="shared" si="323"/>
        <v>0</v>
      </c>
      <c r="F515" s="82"/>
      <c r="G515" s="83">
        <f t="shared" si="327"/>
        <v>0</v>
      </c>
      <c r="H515" s="84">
        <f t="shared" si="328"/>
        <v>0</v>
      </c>
      <c r="I515" s="1180"/>
      <c r="J515" s="85"/>
      <c r="K515" s="1180"/>
      <c r="L515" s="85"/>
      <c r="M515" s="1180"/>
      <c r="N515" s="85"/>
      <c r="O515" s="85"/>
      <c r="P515" s="85"/>
      <c r="Q515" s="85"/>
      <c r="R515" s="85"/>
      <c r="S515" s="85"/>
      <c r="T515" s="85"/>
      <c r="U515" s="85"/>
      <c r="V515" s="85"/>
      <c r="W515" s="85"/>
      <c r="X515" s="85"/>
      <c r="Y515" s="85"/>
      <c r="Z515" s="85"/>
      <c r="AA515" s="85"/>
      <c r="AB515" s="85"/>
      <c r="AC515" s="81">
        <f t="shared" si="329"/>
        <v>0</v>
      </c>
      <c r="AD515" s="86"/>
      <c r="AE515" s="86"/>
      <c r="AF515" s="1180"/>
      <c r="AG515" s="86"/>
      <c r="AH515" s="86"/>
      <c r="AI515" s="86"/>
      <c r="AJ515" s="86"/>
      <c r="AK515" s="86"/>
      <c r="AL515" s="86"/>
      <c r="AM515" s="86"/>
      <c r="AN515" s="86"/>
      <c r="AO515" s="86"/>
      <c r="AP515" s="86"/>
      <c r="AQ515" s="86"/>
      <c r="AR515" s="86"/>
      <c r="AS515" s="86"/>
      <c r="AT515" s="82"/>
      <c r="AU515" s="87"/>
      <c r="AV515" s="818">
        <f t="shared" si="324"/>
        <v>0</v>
      </c>
      <c r="AW515" s="818">
        <f t="shared" si="325"/>
        <v>0</v>
      </c>
      <c r="AX515" s="818">
        <f t="shared" si="326"/>
        <v>0</v>
      </c>
      <c r="AY515" s="88">
        <f t="shared" si="330"/>
        <v>0</v>
      </c>
      <c r="AZ515" s="81">
        <f t="shared" si="331"/>
        <v>0</v>
      </c>
      <c r="BA515" s="81">
        <f t="shared" si="332"/>
        <v>0</v>
      </c>
      <c r="BB515" s="81">
        <f t="shared" si="333"/>
        <v>0</v>
      </c>
      <c r="BC515" s="81">
        <f t="shared" si="334"/>
        <v>0</v>
      </c>
      <c r="BD515" s="81">
        <f t="shared" si="335"/>
        <v>0</v>
      </c>
      <c r="BE515" s="81">
        <f t="shared" si="336"/>
        <v>0</v>
      </c>
      <c r="BF515" s="81">
        <f t="shared" si="337"/>
        <v>0</v>
      </c>
      <c r="BG515" s="81">
        <f t="shared" si="338"/>
        <v>0</v>
      </c>
      <c r="BH515" s="81">
        <f t="shared" si="339"/>
        <v>0</v>
      </c>
      <c r="BI515" s="81">
        <f t="shared" si="340"/>
        <v>0</v>
      </c>
      <c r="BJ515" s="81">
        <f t="shared" si="341"/>
        <v>0</v>
      </c>
      <c r="BK515" s="81">
        <f t="shared" si="342"/>
        <v>0</v>
      </c>
      <c r="BL515" s="81">
        <f t="shared" si="343"/>
        <v>0</v>
      </c>
      <c r="BM515" s="81">
        <f t="shared" si="344"/>
        <v>0</v>
      </c>
      <c r="BN515" s="81">
        <f t="shared" si="345"/>
        <v>0</v>
      </c>
      <c r="BO515" s="81">
        <f t="shared" si="346"/>
        <v>0</v>
      </c>
      <c r="BP515" s="81">
        <f t="shared" si="347"/>
        <v>0</v>
      </c>
      <c r="BQ515" s="81">
        <f t="shared" si="348"/>
        <v>0</v>
      </c>
      <c r="BR515" s="81">
        <f t="shared" si="349"/>
        <v>0</v>
      </c>
      <c r="BS515" s="81">
        <f t="shared" si="350"/>
        <v>0</v>
      </c>
      <c r="BT515" s="89">
        <f t="shared" si="351"/>
        <v>0</v>
      </c>
    </row>
    <row r="516" spans="1:72">
      <c r="A516" s="79"/>
      <c r="B516" s="80"/>
      <c r="C516" s="80"/>
      <c r="D516" s="2301"/>
      <c r="E516" s="81">
        <f t="shared" si="323"/>
        <v>0</v>
      </c>
      <c r="F516" s="82"/>
      <c r="G516" s="83">
        <f t="shared" si="327"/>
        <v>0</v>
      </c>
      <c r="H516" s="84">
        <f t="shared" si="328"/>
        <v>0</v>
      </c>
      <c r="I516" s="85"/>
      <c r="J516" s="85"/>
      <c r="K516" s="85"/>
      <c r="L516" s="85"/>
      <c r="M516" s="85"/>
      <c r="N516" s="85"/>
      <c r="O516" s="85"/>
      <c r="P516" s="85"/>
      <c r="Q516" s="85"/>
      <c r="R516" s="85"/>
      <c r="S516" s="85"/>
      <c r="T516" s="85"/>
      <c r="U516" s="85"/>
      <c r="V516" s="85"/>
      <c r="W516" s="85"/>
      <c r="X516" s="85"/>
      <c r="Y516" s="85"/>
      <c r="Z516" s="85"/>
      <c r="AA516" s="85"/>
      <c r="AB516" s="85"/>
      <c r="AC516" s="81">
        <f t="shared" si="329"/>
        <v>0</v>
      </c>
      <c r="AD516" s="86"/>
      <c r="AE516" s="86"/>
      <c r="AF516" s="86"/>
      <c r="AG516" s="86"/>
      <c r="AH516" s="86"/>
      <c r="AI516" s="86"/>
      <c r="AJ516" s="86"/>
      <c r="AK516" s="86"/>
      <c r="AL516" s="86"/>
      <c r="AM516" s="86"/>
      <c r="AN516" s="86"/>
      <c r="AO516" s="86"/>
      <c r="AP516" s="86"/>
      <c r="AQ516" s="86"/>
      <c r="AR516" s="86"/>
      <c r="AS516" s="86"/>
      <c r="AT516" s="82"/>
      <c r="AU516" s="87"/>
      <c r="AV516" s="818">
        <f t="shared" si="324"/>
        <v>0</v>
      </c>
      <c r="AW516" s="818">
        <f t="shared" si="325"/>
        <v>0</v>
      </c>
      <c r="AX516" s="818">
        <f t="shared" si="326"/>
        <v>0</v>
      </c>
      <c r="AY516" s="88">
        <f t="shared" si="330"/>
        <v>0</v>
      </c>
      <c r="AZ516" s="81">
        <f t="shared" si="331"/>
        <v>0</v>
      </c>
      <c r="BA516" s="81">
        <f t="shared" si="332"/>
        <v>0</v>
      </c>
      <c r="BB516" s="81">
        <f t="shared" si="333"/>
        <v>0</v>
      </c>
      <c r="BC516" s="81">
        <f t="shared" si="334"/>
        <v>0</v>
      </c>
      <c r="BD516" s="81">
        <f t="shared" si="335"/>
        <v>0</v>
      </c>
      <c r="BE516" s="81">
        <f t="shared" si="336"/>
        <v>0</v>
      </c>
      <c r="BF516" s="81">
        <f t="shared" si="337"/>
        <v>0</v>
      </c>
      <c r="BG516" s="81">
        <f t="shared" si="338"/>
        <v>0</v>
      </c>
      <c r="BH516" s="81">
        <f t="shared" si="339"/>
        <v>0</v>
      </c>
      <c r="BI516" s="81">
        <f t="shared" si="340"/>
        <v>0</v>
      </c>
      <c r="BJ516" s="81">
        <f t="shared" si="341"/>
        <v>0</v>
      </c>
      <c r="BK516" s="81">
        <f t="shared" si="342"/>
        <v>0</v>
      </c>
      <c r="BL516" s="81">
        <f t="shared" si="343"/>
        <v>0</v>
      </c>
      <c r="BM516" s="81">
        <f t="shared" si="344"/>
        <v>0</v>
      </c>
      <c r="BN516" s="81">
        <f t="shared" si="345"/>
        <v>0</v>
      </c>
      <c r="BO516" s="81">
        <f t="shared" si="346"/>
        <v>0</v>
      </c>
      <c r="BP516" s="81">
        <f t="shared" si="347"/>
        <v>0</v>
      </c>
      <c r="BQ516" s="81">
        <f t="shared" si="348"/>
        <v>0</v>
      </c>
      <c r="BR516" s="81">
        <f t="shared" si="349"/>
        <v>0</v>
      </c>
      <c r="BS516" s="81">
        <f t="shared" si="350"/>
        <v>0</v>
      </c>
      <c r="BT516" s="89">
        <f t="shared" si="351"/>
        <v>0</v>
      </c>
    </row>
    <row r="517" spans="1:72">
      <c r="A517" s="79"/>
      <c r="B517" s="80"/>
      <c r="C517" s="80"/>
      <c r="D517" s="2301"/>
      <c r="E517" s="81">
        <f t="shared" si="323"/>
        <v>0</v>
      </c>
      <c r="F517" s="82"/>
      <c r="G517" s="83">
        <f t="shared" si="327"/>
        <v>0</v>
      </c>
      <c r="H517" s="84">
        <f t="shared" si="328"/>
        <v>0</v>
      </c>
      <c r="I517" s="85"/>
      <c r="J517" s="85"/>
      <c r="K517" s="85"/>
      <c r="L517" s="85"/>
      <c r="M517" s="85"/>
      <c r="N517" s="85"/>
      <c r="O517" s="85"/>
      <c r="P517" s="85"/>
      <c r="Q517" s="85"/>
      <c r="R517" s="85"/>
      <c r="S517" s="85"/>
      <c r="T517" s="85"/>
      <c r="U517" s="85"/>
      <c r="V517" s="85"/>
      <c r="W517" s="85"/>
      <c r="X517" s="85"/>
      <c r="Y517" s="85"/>
      <c r="Z517" s="85"/>
      <c r="AA517" s="85"/>
      <c r="AB517" s="85"/>
      <c r="AC517" s="81">
        <f t="shared" si="329"/>
        <v>0</v>
      </c>
      <c r="AD517" s="86"/>
      <c r="AE517" s="86"/>
      <c r="AF517" s="86"/>
      <c r="AG517" s="86"/>
      <c r="AH517" s="86"/>
      <c r="AI517" s="86"/>
      <c r="AJ517" s="86"/>
      <c r="AK517" s="86"/>
      <c r="AL517" s="86"/>
      <c r="AM517" s="86"/>
      <c r="AN517" s="86"/>
      <c r="AO517" s="86"/>
      <c r="AP517" s="86"/>
      <c r="AQ517" s="86"/>
      <c r="AR517" s="86"/>
      <c r="AS517" s="86"/>
      <c r="AT517" s="82"/>
      <c r="AU517" s="87"/>
      <c r="AV517" s="818">
        <f t="shared" si="324"/>
        <v>0</v>
      </c>
      <c r="AW517" s="818">
        <f t="shared" si="325"/>
        <v>0</v>
      </c>
      <c r="AX517" s="818">
        <f t="shared" si="326"/>
        <v>0</v>
      </c>
      <c r="AY517" s="88">
        <f t="shared" si="330"/>
        <v>0</v>
      </c>
      <c r="AZ517" s="81">
        <f t="shared" si="331"/>
        <v>0</v>
      </c>
      <c r="BA517" s="81">
        <f t="shared" si="332"/>
        <v>0</v>
      </c>
      <c r="BB517" s="81">
        <f t="shared" si="333"/>
        <v>0</v>
      </c>
      <c r="BC517" s="81">
        <f t="shared" si="334"/>
        <v>0</v>
      </c>
      <c r="BD517" s="81">
        <f t="shared" si="335"/>
        <v>0</v>
      </c>
      <c r="BE517" s="81">
        <f t="shared" si="336"/>
        <v>0</v>
      </c>
      <c r="BF517" s="81">
        <f t="shared" si="337"/>
        <v>0</v>
      </c>
      <c r="BG517" s="81">
        <f t="shared" si="338"/>
        <v>0</v>
      </c>
      <c r="BH517" s="81">
        <f t="shared" si="339"/>
        <v>0</v>
      </c>
      <c r="BI517" s="81">
        <f t="shared" si="340"/>
        <v>0</v>
      </c>
      <c r="BJ517" s="81">
        <f t="shared" si="341"/>
        <v>0</v>
      </c>
      <c r="BK517" s="81">
        <f t="shared" si="342"/>
        <v>0</v>
      </c>
      <c r="BL517" s="81">
        <f t="shared" si="343"/>
        <v>0</v>
      </c>
      <c r="BM517" s="81">
        <f t="shared" si="344"/>
        <v>0</v>
      </c>
      <c r="BN517" s="81">
        <f t="shared" si="345"/>
        <v>0</v>
      </c>
      <c r="BO517" s="81">
        <f t="shared" si="346"/>
        <v>0</v>
      </c>
      <c r="BP517" s="81">
        <f t="shared" si="347"/>
        <v>0</v>
      </c>
      <c r="BQ517" s="81">
        <f t="shared" si="348"/>
        <v>0</v>
      </c>
      <c r="BR517" s="81">
        <f t="shared" si="349"/>
        <v>0</v>
      </c>
      <c r="BS517" s="81">
        <f t="shared" si="350"/>
        <v>0</v>
      </c>
      <c r="BT517" s="89">
        <f t="shared" si="351"/>
        <v>0</v>
      </c>
    </row>
    <row r="518" spans="1:72">
      <c r="A518" s="79"/>
      <c r="B518" s="80"/>
      <c r="C518" s="80"/>
      <c r="D518" s="2301"/>
      <c r="E518" s="81">
        <f t="shared" si="323"/>
        <v>0</v>
      </c>
      <c r="F518" s="82"/>
      <c r="G518" s="83">
        <f t="shared" si="327"/>
        <v>0</v>
      </c>
      <c r="H518" s="84">
        <f t="shared" si="328"/>
        <v>0</v>
      </c>
      <c r="I518" s="85"/>
      <c r="J518" s="85"/>
      <c r="K518" s="85"/>
      <c r="L518" s="85"/>
      <c r="M518" s="85"/>
      <c r="N518" s="85"/>
      <c r="O518" s="85"/>
      <c r="P518" s="85"/>
      <c r="Q518" s="85"/>
      <c r="R518" s="85"/>
      <c r="S518" s="85"/>
      <c r="T518" s="85"/>
      <c r="U518" s="85"/>
      <c r="V518" s="85"/>
      <c r="W518" s="85"/>
      <c r="X518" s="85"/>
      <c r="Y518" s="85"/>
      <c r="Z518" s="85"/>
      <c r="AA518" s="85"/>
      <c r="AB518" s="85"/>
      <c r="AC518" s="81">
        <f t="shared" si="329"/>
        <v>0</v>
      </c>
      <c r="AD518" s="86"/>
      <c r="AE518" s="86"/>
      <c r="AF518" s="86"/>
      <c r="AG518" s="86"/>
      <c r="AH518" s="86"/>
      <c r="AI518" s="86"/>
      <c r="AJ518" s="86"/>
      <c r="AK518" s="86"/>
      <c r="AL518" s="86"/>
      <c r="AM518" s="86"/>
      <c r="AN518" s="86"/>
      <c r="AO518" s="86"/>
      <c r="AP518" s="86"/>
      <c r="AQ518" s="86"/>
      <c r="AR518" s="86"/>
      <c r="AS518" s="86"/>
      <c r="AT518" s="82"/>
      <c r="AU518" s="87"/>
      <c r="AV518" s="818">
        <f t="shared" si="324"/>
        <v>0</v>
      </c>
      <c r="AW518" s="818">
        <f t="shared" si="325"/>
        <v>0</v>
      </c>
      <c r="AX518" s="818">
        <f t="shared" si="326"/>
        <v>0</v>
      </c>
      <c r="AY518" s="88">
        <f t="shared" si="330"/>
        <v>0</v>
      </c>
      <c r="AZ518" s="81">
        <f t="shared" si="331"/>
        <v>0</v>
      </c>
      <c r="BA518" s="81">
        <f t="shared" si="332"/>
        <v>0</v>
      </c>
      <c r="BB518" s="81">
        <f t="shared" si="333"/>
        <v>0</v>
      </c>
      <c r="BC518" s="81">
        <f t="shared" si="334"/>
        <v>0</v>
      </c>
      <c r="BD518" s="81">
        <f t="shared" si="335"/>
        <v>0</v>
      </c>
      <c r="BE518" s="81">
        <f t="shared" si="336"/>
        <v>0</v>
      </c>
      <c r="BF518" s="81">
        <f t="shared" si="337"/>
        <v>0</v>
      </c>
      <c r="BG518" s="81">
        <f t="shared" si="338"/>
        <v>0</v>
      </c>
      <c r="BH518" s="81">
        <f t="shared" si="339"/>
        <v>0</v>
      </c>
      <c r="BI518" s="81">
        <f t="shared" si="340"/>
        <v>0</v>
      </c>
      <c r="BJ518" s="81">
        <f t="shared" si="341"/>
        <v>0</v>
      </c>
      <c r="BK518" s="81">
        <f t="shared" si="342"/>
        <v>0</v>
      </c>
      <c r="BL518" s="81">
        <f t="shared" si="343"/>
        <v>0</v>
      </c>
      <c r="BM518" s="81">
        <f t="shared" si="344"/>
        <v>0</v>
      </c>
      <c r="BN518" s="81">
        <f t="shared" si="345"/>
        <v>0</v>
      </c>
      <c r="BO518" s="81">
        <f t="shared" si="346"/>
        <v>0</v>
      </c>
      <c r="BP518" s="81">
        <f t="shared" si="347"/>
        <v>0</v>
      </c>
      <c r="BQ518" s="81">
        <f t="shared" si="348"/>
        <v>0</v>
      </c>
      <c r="BR518" s="81">
        <f t="shared" si="349"/>
        <v>0</v>
      </c>
      <c r="BS518" s="81">
        <f t="shared" si="350"/>
        <v>0</v>
      </c>
      <c r="BT518" s="89">
        <f t="shared" si="351"/>
        <v>0</v>
      </c>
    </row>
    <row r="519" spans="1:72">
      <c r="A519" s="79"/>
      <c r="B519" s="80"/>
      <c r="C519" s="80"/>
      <c r="D519" s="2301"/>
      <c r="E519" s="81">
        <f t="shared" si="323"/>
        <v>0</v>
      </c>
      <c r="F519" s="82"/>
      <c r="G519" s="83">
        <f t="shared" si="327"/>
        <v>0</v>
      </c>
      <c r="H519" s="84">
        <f t="shared" si="328"/>
        <v>0</v>
      </c>
      <c r="I519" s="85"/>
      <c r="J519" s="85"/>
      <c r="K519" s="85"/>
      <c r="L519" s="85"/>
      <c r="M519" s="85"/>
      <c r="N519" s="85"/>
      <c r="O519" s="85"/>
      <c r="P519" s="85"/>
      <c r="Q519" s="85"/>
      <c r="R519" s="85"/>
      <c r="S519" s="85"/>
      <c r="T519" s="85"/>
      <c r="U519" s="85"/>
      <c r="V519" s="85"/>
      <c r="W519" s="85"/>
      <c r="X519" s="85"/>
      <c r="Y519" s="85"/>
      <c r="Z519" s="85"/>
      <c r="AA519" s="85"/>
      <c r="AB519" s="85"/>
      <c r="AC519" s="81">
        <f t="shared" si="329"/>
        <v>0</v>
      </c>
      <c r="AD519" s="86"/>
      <c r="AE519" s="86"/>
      <c r="AF519" s="86"/>
      <c r="AG519" s="86"/>
      <c r="AH519" s="86"/>
      <c r="AI519" s="86"/>
      <c r="AJ519" s="86"/>
      <c r="AK519" s="86"/>
      <c r="AL519" s="86"/>
      <c r="AM519" s="86"/>
      <c r="AN519" s="86"/>
      <c r="AO519" s="86"/>
      <c r="AP519" s="86"/>
      <c r="AQ519" s="86"/>
      <c r="AR519" s="86"/>
      <c r="AS519" s="86"/>
      <c r="AT519" s="82"/>
      <c r="AU519" s="87"/>
      <c r="AV519" s="818">
        <f t="shared" si="324"/>
        <v>0</v>
      </c>
      <c r="AW519" s="818">
        <f t="shared" si="325"/>
        <v>0</v>
      </c>
      <c r="AX519" s="818">
        <f t="shared" si="326"/>
        <v>0</v>
      </c>
      <c r="AY519" s="88">
        <f t="shared" si="330"/>
        <v>0</v>
      </c>
      <c r="AZ519" s="81">
        <f t="shared" si="331"/>
        <v>0</v>
      </c>
      <c r="BA519" s="81">
        <f t="shared" si="332"/>
        <v>0</v>
      </c>
      <c r="BB519" s="81">
        <f t="shared" si="333"/>
        <v>0</v>
      </c>
      <c r="BC519" s="81">
        <f t="shared" si="334"/>
        <v>0</v>
      </c>
      <c r="BD519" s="81">
        <f t="shared" si="335"/>
        <v>0</v>
      </c>
      <c r="BE519" s="81">
        <f t="shared" si="336"/>
        <v>0</v>
      </c>
      <c r="BF519" s="81">
        <f t="shared" si="337"/>
        <v>0</v>
      </c>
      <c r="BG519" s="81">
        <f t="shared" si="338"/>
        <v>0</v>
      </c>
      <c r="BH519" s="81">
        <f t="shared" si="339"/>
        <v>0</v>
      </c>
      <c r="BI519" s="81">
        <f t="shared" si="340"/>
        <v>0</v>
      </c>
      <c r="BJ519" s="81">
        <f t="shared" si="341"/>
        <v>0</v>
      </c>
      <c r="BK519" s="81">
        <f t="shared" si="342"/>
        <v>0</v>
      </c>
      <c r="BL519" s="81">
        <f t="shared" si="343"/>
        <v>0</v>
      </c>
      <c r="BM519" s="81">
        <f t="shared" si="344"/>
        <v>0</v>
      </c>
      <c r="BN519" s="81">
        <f t="shared" si="345"/>
        <v>0</v>
      </c>
      <c r="BO519" s="81">
        <f t="shared" si="346"/>
        <v>0</v>
      </c>
      <c r="BP519" s="81">
        <f t="shared" si="347"/>
        <v>0</v>
      </c>
      <c r="BQ519" s="81">
        <f t="shared" si="348"/>
        <v>0</v>
      </c>
      <c r="BR519" s="81">
        <f t="shared" si="349"/>
        <v>0</v>
      </c>
      <c r="BS519" s="81">
        <f t="shared" si="350"/>
        <v>0</v>
      </c>
      <c r="BT519" s="89">
        <f t="shared" si="351"/>
        <v>0</v>
      </c>
    </row>
    <row r="520" spans="1:72">
      <c r="A520" s="79"/>
      <c r="B520" s="80"/>
      <c r="C520" s="80"/>
      <c r="D520" s="2301"/>
      <c r="E520" s="81">
        <f t="shared" si="323"/>
        <v>0</v>
      </c>
      <c r="F520" s="82"/>
      <c r="G520" s="83">
        <f t="shared" si="327"/>
        <v>0</v>
      </c>
      <c r="H520" s="84">
        <f t="shared" si="328"/>
        <v>0</v>
      </c>
      <c r="I520" s="85"/>
      <c r="J520" s="85"/>
      <c r="K520" s="85"/>
      <c r="L520" s="85"/>
      <c r="M520" s="85"/>
      <c r="N520" s="85"/>
      <c r="O520" s="85"/>
      <c r="P520" s="85"/>
      <c r="Q520" s="85"/>
      <c r="R520" s="85"/>
      <c r="S520" s="85"/>
      <c r="T520" s="85"/>
      <c r="U520" s="85"/>
      <c r="V520" s="85"/>
      <c r="W520" s="85"/>
      <c r="X520" s="85"/>
      <c r="Y520" s="85"/>
      <c r="Z520" s="85"/>
      <c r="AA520" s="85"/>
      <c r="AB520" s="85"/>
      <c r="AC520" s="81">
        <f t="shared" si="329"/>
        <v>0</v>
      </c>
      <c r="AD520" s="86"/>
      <c r="AE520" s="86"/>
      <c r="AF520" s="86"/>
      <c r="AG520" s="86"/>
      <c r="AH520" s="86"/>
      <c r="AI520" s="86"/>
      <c r="AJ520" s="86"/>
      <c r="AK520" s="86"/>
      <c r="AL520" s="86"/>
      <c r="AM520" s="86"/>
      <c r="AN520" s="86"/>
      <c r="AO520" s="86"/>
      <c r="AP520" s="86"/>
      <c r="AQ520" s="86"/>
      <c r="AR520" s="86"/>
      <c r="AS520" s="86"/>
      <c r="AT520" s="82"/>
      <c r="AU520" s="87"/>
      <c r="AV520" s="818">
        <f t="shared" si="324"/>
        <v>0</v>
      </c>
      <c r="AW520" s="818">
        <f t="shared" si="325"/>
        <v>0</v>
      </c>
      <c r="AX520" s="818">
        <f t="shared" si="326"/>
        <v>0</v>
      </c>
      <c r="AY520" s="88">
        <f t="shared" si="330"/>
        <v>0</v>
      </c>
      <c r="AZ520" s="81">
        <f t="shared" si="331"/>
        <v>0</v>
      </c>
      <c r="BA520" s="81">
        <f t="shared" si="332"/>
        <v>0</v>
      </c>
      <c r="BB520" s="81">
        <f t="shared" si="333"/>
        <v>0</v>
      </c>
      <c r="BC520" s="81">
        <f t="shared" si="334"/>
        <v>0</v>
      </c>
      <c r="BD520" s="81">
        <f t="shared" si="335"/>
        <v>0</v>
      </c>
      <c r="BE520" s="81">
        <f t="shared" si="336"/>
        <v>0</v>
      </c>
      <c r="BF520" s="81">
        <f t="shared" si="337"/>
        <v>0</v>
      </c>
      <c r="BG520" s="81">
        <f t="shared" si="338"/>
        <v>0</v>
      </c>
      <c r="BH520" s="81">
        <f t="shared" si="339"/>
        <v>0</v>
      </c>
      <c r="BI520" s="81">
        <f t="shared" si="340"/>
        <v>0</v>
      </c>
      <c r="BJ520" s="81">
        <f t="shared" si="341"/>
        <v>0</v>
      </c>
      <c r="BK520" s="81">
        <f t="shared" si="342"/>
        <v>0</v>
      </c>
      <c r="BL520" s="81">
        <f t="shared" si="343"/>
        <v>0</v>
      </c>
      <c r="BM520" s="81">
        <f t="shared" si="344"/>
        <v>0</v>
      </c>
      <c r="BN520" s="81">
        <f t="shared" si="345"/>
        <v>0</v>
      </c>
      <c r="BO520" s="81">
        <f t="shared" si="346"/>
        <v>0</v>
      </c>
      <c r="BP520" s="81">
        <f t="shared" si="347"/>
        <v>0</v>
      </c>
      <c r="BQ520" s="81">
        <f t="shared" si="348"/>
        <v>0</v>
      </c>
      <c r="BR520" s="81">
        <f t="shared" si="349"/>
        <v>0</v>
      </c>
      <c r="BS520" s="81">
        <f t="shared" si="350"/>
        <v>0</v>
      </c>
      <c r="BT520" s="89">
        <f t="shared" si="351"/>
        <v>0</v>
      </c>
    </row>
    <row r="521" spans="1:72">
      <c r="A521" s="79"/>
      <c r="B521" s="80"/>
      <c r="C521" s="80"/>
      <c r="D521" s="2301"/>
      <c r="E521" s="81">
        <f t="shared" si="323"/>
        <v>0</v>
      </c>
      <c r="F521" s="82"/>
      <c r="G521" s="83">
        <f t="shared" si="327"/>
        <v>0</v>
      </c>
      <c r="H521" s="84">
        <f t="shared" si="328"/>
        <v>0</v>
      </c>
      <c r="I521" s="85"/>
      <c r="J521" s="85"/>
      <c r="K521" s="85"/>
      <c r="L521" s="85"/>
      <c r="M521" s="85"/>
      <c r="N521" s="85"/>
      <c r="O521" s="85"/>
      <c r="P521" s="85"/>
      <c r="Q521" s="85"/>
      <c r="R521" s="85"/>
      <c r="S521" s="85"/>
      <c r="T521" s="85"/>
      <c r="U521" s="85"/>
      <c r="V521" s="85"/>
      <c r="W521" s="85"/>
      <c r="X521" s="85"/>
      <c r="Y521" s="85"/>
      <c r="Z521" s="85"/>
      <c r="AA521" s="85"/>
      <c r="AB521" s="85"/>
      <c r="AC521" s="81">
        <f t="shared" si="329"/>
        <v>0</v>
      </c>
      <c r="AD521" s="86"/>
      <c r="AE521" s="86"/>
      <c r="AF521" s="86"/>
      <c r="AG521" s="86"/>
      <c r="AH521" s="86"/>
      <c r="AI521" s="86"/>
      <c r="AJ521" s="86"/>
      <c r="AK521" s="86"/>
      <c r="AL521" s="86"/>
      <c r="AM521" s="86"/>
      <c r="AN521" s="86"/>
      <c r="AO521" s="86"/>
      <c r="AP521" s="86"/>
      <c r="AQ521" s="86"/>
      <c r="AR521" s="86"/>
      <c r="AS521" s="86"/>
      <c r="AT521" s="82"/>
      <c r="AU521" s="87"/>
      <c r="AV521" s="818">
        <f t="shared" si="324"/>
        <v>0</v>
      </c>
      <c r="AW521" s="818">
        <f t="shared" si="325"/>
        <v>0</v>
      </c>
      <c r="AX521" s="818">
        <f t="shared" si="326"/>
        <v>0</v>
      </c>
      <c r="AY521" s="88">
        <f t="shared" si="330"/>
        <v>0</v>
      </c>
      <c r="AZ521" s="81">
        <f t="shared" si="331"/>
        <v>0</v>
      </c>
      <c r="BA521" s="81">
        <f t="shared" si="332"/>
        <v>0</v>
      </c>
      <c r="BB521" s="81">
        <f t="shared" si="333"/>
        <v>0</v>
      </c>
      <c r="BC521" s="81">
        <f t="shared" si="334"/>
        <v>0</v>
      </c>
      <c r="BD521" s="81">
        <f t="shared" si="335"/>
        <v>0</v>
      </c>
      <c r="BE521" s="81">
        <f t="shared" si="336"/>
        <v>0</v>
      </c>
      <c r="BF521" s="81">
        <f t="shared" si="337"/>
        <v>0</v>
      </c>
      <c r="BG521" s="81">
        <f t="shared" si="338"/>
        <v>0</v>
      </c>
      <c r="BH521" s="81">
        <f t="shared" si="339"/>
        <v>0</v>
      </c>
      <c r="BI521" s="81">
        <f t="shared" si="340"/>
        <v>0</v>
      </c>
      <c r="BJ521" s="81">
        <f t="shared" si="341"/>
        <v>0</v>
      </c>
      <c r="BK521" s="81">
        <f t="shared" si="342"/>
        <v>0</v>
      </c>
      <c r="BL521" s="81">
        <f t="shared" si="343"/>
        <v>0</v>
      </c>
      <c r="BM521" s="81">
        <f t="shared" si="344"/>
        <v>0</v>
      </c>
      <c r="BN521" s="81">
        <f t="shared" si="345"/>
        <v>0</v>
      </c>
      <c r="BO521" s="81">
        <f t="shared" si="346"/>
        <v>0</v>
      </c>
      <c r="BP521" s="81">
        <f t="shared" si="347"/>
        <v>0</v>
      </c>
      <c r="BQ521" s="81">
        <f t="shared" si="348"/>
        <v>0</v>
      </c>
      <c r="BR521" s="81">
        <f t="shared" si="349"/>
        <v>0</v>
      </c>
      <c r="BS521" s="81">
        <f t="shared" si="350"/>
        <v>0</v>
      </c>
      <c r="BT521" s="89">
        <f t="shared" si="351"/>
        <v>0</v>
      </c>
    </row>
    <row r="522" spans="1:72">
      <c r="A522" s="79"/>
      <c r="B522" s="80"/>
      <c r="C522" s="80"/>
      <c r="D522" s="2301"/>
      <c r="E522" s="81">
        <f t="shared" si="323"/>
        <v>0</v>
      </c>
      <c r="F522" s="82"/>
      <c r="G522" s="83">
        <f t="shared" si="327"/>
        <v>0</v>
      </c>
      <c r="H522" s="84">
        <f t="shared" si="328"/>
        <v>0</v>
      </c>
      <c r="I522" s="85"/>
      <c r="J522" s="85"/>
      <c r="K522" s="85"/>
      <c r="L522" s="85"/>
      <c r="M522" s="85"/>
      <c r="N522" s="85"/>
      <c r="O522" s="85"/>
      <c r="P522" s="85"/>
      <c r="Q522" s="85"/>
      <c r="R522" s="85"/>
      <c r="S522" s="85"/>
      <c r="T522" s="85"/>
      <c r="U522" s="85"/>
      <c r="V522" s="85"/>
      <c r="W522" s="85"/>
      <c r="X522" s="85"/>
      <c r="Y522" s="85"/>
      <c r="Z522" s="85"/>
      <c r="AA522" s="85"/>
      <c r="AB522" s="85"/>
      <c r="AC522" s="81">
        <f t="shared" si="329"/>
        <v>0</v>
      </c>
      <c r="AD522" s="86"/>
      <c r="AE522" s="86"/>
      <c r="AF522" s="86"/>
      <c r="AG522" s="86"/>
      <c r="AH522" s="86"/>
      <c r="AI522" s="86"/>
      <c r="AJ522" s="86"/>
      <c r="AK522" s="86"/>
      <c r="AL522" s="86"/>
      <c r="AM522" s="86"/>
      <c r="AN522" s="86"/>
      <c r="AO522" s="86"/>
      <c r="AP522" s="86"/>
      <c r="AQ522" s="86"/>
      <c r="AR522" s="86"/>
      <c r="AS522" s="86"/>
      <c r="AT522" s="82"/>
      <c r="AU522" s="87"/>
      <c r="AV522" s="818">
        <f t="shared" si="324"/>
        <v>0</v>
      </c>
      <c r="AW522" s="818">
        <f t="shared" si="325"/>
        <v>0</v>
      </c>
      <c r="AX522" s="818">
        <f t="shared" si="326"/>
        <v>0</v>
      </c>
      <c r="AY522" s="88">
        <f t="shared" si="330"/>
        <v>0</v>
      </c>
      <c r="AZ522" s="81">
        <f t="shared" si="331"/>
        <v>0</v>
      </c>
      <c r="BA522" s="81">
        <f t="shared" si="332"/>
        <v>0</v>
      </c>
      <c r="BB522" s="81">
        <f t="shared" si="333"/>
        <v>0</v>
      </c>
      <c r="BC522" s="81">
        <f t="shared" si="334"/>
        <v>0</v>
      </c>
      <c r="BD522" s="81">
        <f t="shared" si="335"/>
        <v>0</v>
      </c>
      <c r="BE522" s="81">
        <f t="shared" si="336"/>
        <v>0</v>
      </c>
      <c r="BF522" s="81">
        <f t="shared" si="337"/>
        <v>0</v>
      </c>
      <c r="BG522" s="81">
        <f t="shared" si="338"/>
        <v>0</v>
      </c>
      <c r="BH522" s="81">
        <f t="shared" si="339"/>
        <v>0</v>
      </c>
      <c r="BI522" s="81">
        <f t="shared" si="340"/>
        <v>0</v>
      </c>
      <c r="BJ522" s="81">
        <f t="shared" si="341"/>
        <v>0</v>
      </c>
      <c r="BK522" s="81">
        <f t="shared" si="342"/>
        <v>0</v>
      </c>
      <c r="BL522" s="81">
        <f t="shared" si="343"/>
        <v>0</v>
      </c>
      <c r="BM522" s="81">
        <f t="shared" si="344"/>
        <v>0</v>
      </c>
      <c r="BN522" s="81">
        <f t="shared" si="345"/>
        <v>0</v>
      </c>
      <c r="BO522" s="81">
        <f t="shared" si="346"/>
        <v>0</v>
      </c>
      <c r="BP522" s="81">
        <f t="shared" si="347"/>
        <v>0</v>
      </c>
      <c r="BQ522" s="81">
        <f t="shared" si="348"/>
        <v>0</v>
      </c>
      <c r="BR522" s="81">
        <f t="shared" si="349"/>
        <v>0</v>
      </c>
      <c r="BS522" s="81">
        <f t="shared" si="350"/>
        <v>0</v>
      </c>
      <c r="BT522" s="89">
        <f t="shared" si="351"/>
        <v>0</v>
      </c>
    </row>
    <row r="523" spans="1:72">
      <c r="A523" s="79"/>
      <c r="B523" s="80"/>
      <c r="C523" s="80"/>
      <c r="D523" s="2301"/>
      <c r="E523" s="81">
        <f t="shared" si="323"/>
        <v>0</v>
      </c>
      <c r="F523" s="82"/>
      <c r="G523" s="83">
        <f t="shared" si="327"/>
        <v>0</v>
      </c>
      <c r="H523" s="84">
        <f t="shared" si="328"/>
        <v>0</v>
      </c>
      <c r="I523" s="85"/>
      <c r="J523" s="85"/>
      <c r="K523" s="85"/>
      <c r="L523" s="85"/>
      <c r="M523" s="85"/>
      <c r="N523" s="85"/>
      <c r="O523" s="85"/>
      <c r="P523" s="85"/>
      <c r="Q523" s="85"/>
      <c r="R523" s="85"/>
      <c r="S523" s="85"/>
      <c r="T523" s="85"/>
      <c r="U523" s="85"/>
      <c r="V523" s="85"/>
      <c r="W523" s="85"/>
      <c r="X523" s="85"/>
      <c r="Y523" s="85"/>
      <c r="Z523" s="85"/>
      <c r="AA523" s="85"/>
      <c r="AB523" s="85"/>
      <c r="AC523" s="81">
        <f t="shared" si="329"/>
        <v>0</v>
      </c>
      <c r="AD523" s="86"/>
      <c r="AE523" s="86"/>
      <c r="AF523" s="86"/>
      <c r="AG523" s="86"/>
      <c r="AH523" s="86"/>
      <c r="AI523" s="86"/>
      <c r="AJ523" s="86"/>
      <c r="AK523" s="86"/>
      <c r="AL523" s="86"/>
      <c r="AM523" s="86"/>
      <c r="AN523" s="86"/>
      <c r="AO523" s="86"/>
      <c r="AP523" s="86"/>
      <c r="AQ523" s="86"/>
      <c r="AR523" s="86"/>
      <c r="AS523" s="86"/>
      <c r="AT523" s="82"/>
      <c r="AU523" s="87"/>
      <c r="AV523" s="818">
        <f t="shared" si="324"/>
        <v>0</v>
      </c>
      <c r="AW523" s="818">
        <f t="shared" si="325"/>
        <v>0</v>
      </c>
      <c r="AX523" s="818">
        <f t="shared" si="326"/>
        <v>0</v>
      </c>
      <c r="AY523" s="88">
        <f t="shared" si="330"/>
        <v>0</v>
      </c>
      <c r="AZ523" s="81">
        <f t="shared" si="331"/>
        <v>0</v>
      </c>
      <c r="BA523" s="81">
        <f t="shared" si="332"/>
        <v>0</v>
      </c>
      <c r="BB523" s="81">
        <f t="shared" si="333"/>
        <v>0</v>
      </c>
      <c r="BC523" s="81">
        <f t="shared" si="334"/>
        <v>0</v>
      </c>
      <c r="BD523" s="81">
        <f t="shared" si="335"/>
        <v>0</v>
      </c>
      <c r="BE523" s="81">
        <f t="shared" si="336"/>
        <v>0</v>
      </c>
      <c r="BF523" s="81">
        <f t="shared" si="337"/>
        <v>0</v>
      </c>
      <c r="BG523" s="81">
        <f t="shared" si="338"/>
        <v>0</v>
      </c>
      <c r="BH523" s="81">
        <f t="shared" si="339"/>
        <v>0</v>
      </c>
      <c r="BI523" s="81">
        <f t="shared" si="340"/>
        <v>0</v>
      </c>
      <c r="BJ523" s="81">
        <f t="shared" si="341"/>
        <v>0</v>
      </c>
      <c r="BK523" s="81">
        <f t="shared" si="342"/>
        <v>0</v>
      </c>
      <c r="BL523" s="81">
        <f t="shared" si="343"/>
        <v>0</v>
      </c>
      <c r="BM523" s="81">
        <f t="shared" si="344"/>
        <v>0</v>
      </c>
      <c r="BN523" s="81">
        <f t="shared" si="345"/>
        <v>0</v>
      </c>
      <c r="BO523" s="81">
        <f t="shared" si="346"/>
        <v>0</v>
      </c>
      <c r="BP523" s="81">
        <f t="shared" si="347"/>
        <v>0</v>
      </c>
      <c r="BQ523" s="81">
        <f t="shared" si="348"/>
        <v>0</v>
      </c>
      <c r="BR523" s="81">
        <f t="shared" si="349"/>
        <v>0</v>
      </c>
      <c r="BS523" s="81">
        <f t="shared" si="350"/>
        <v>0</v>
      </c>
      <c r="BT523" s="89">
        <f t="shared" si="351"/>
        <v>0</v>
      </c>
    </row>
    <row r="524" spans="1:72">
      <c r="A524" s="79"/>
      <c r="B524" s="80"/>
      <c r="C524" s="80"/>
      <c r="D524" s="2301"/>
      <c r="E524" s="81">
        <f t="shared" si="323"/>
        <v>0</v>
      </c>
      <c r="F524" s="82"/>
      <c r="G524" s="83">
        <f t="shared" si="327"/>
        <v>0</v>
      </c>
      <c r="H524" s="84">
        <f t="shared" si="328"/>
        <v>0</v>
      </c>
      <c r="I524" s="85"/>
      <c r="J524" s="85"/>
      <c r="K524" s="85"/>
      <c r="L524" s="85"/>
      <c r="M524" s="85"/>
      <c r="N524" s="85"/>
      <c r="O524" s="85"/>
      <c r="P524" s="85"/>
      <c r="Q524" s="85"/>
      <c r="R524" s="85"/>
      <c r="S524" s="85"/>
      <c r="T524" s="85"/>
      <c r="U524" s="85"/>
      <c r="V524" s="85"/>
      <c r="W524" s="85"/>
      <c r="X524" s="85"/>
      <c r="Y524" s="85"/>
      <c r="Z524" s="85"/>
      <c r="AA524" s="85"/>
      <c r="AB524" s="85"/>
      <c r="AC524" s="81">
        <f t="shared" si="329"/>
        <v>0</v>
      </c>
      <c r="AD524" s="86"/>
      <c r="AE524" s="86"/>
      <c r="AF524" s="86"/>
      <c r="AG524" s="86"/>
      <c r="AH524" s="86"/>
      <c r="AI524" s="86"/>
      <c r="AJ524" s="86"/>
      <c r="AK524" s="86"/>
      <c r="AL524" s="86"/>
      <c r="AM524" s="86"/>
      <c r="AN524" s="86"/>
      <c r="AO524" s="86"/>
      <c r="AP524" s="86"/>
      <c r="AQ524" s="86"/>
      <c r="AR524" s="86"/>
      <c r="AS524" s="86"/>
      <c r="AT524" s="82"/>
      <c r="AU524" s="87"/>
      <c r="AV524" s="818">
        <f t="shared" si="324"/>
        <v>0</v>
      </c>
      <c r="AW524" s="818">
        <f t="shared" si="325"/>
        <v>0</v>
      </c>
      <c r="AX524" s="818">
        <f t="shared" si="326"/>
        <v>0</v>
      </c>
      <c r="AY524" s="88">
        <f t="shared" si="330"/>
        <v>0</v>
      </c>
      <c r="AZ524" s="81">
        <f t="shared" si="331"/>
        <v>0</v>
      </c>
      <c r="BA524" s="81">
        <f t="shared" si="332"/>
        <v>0</v>
      </c>
      <c r="BB524" s="81">
        <f t="shared" si="333"/>
        <v>0</v>
      </c>
      <c r="BC524" s="81">
        <f t="shared" si="334"/>
        <v>0</v>
      </c>
      <c r="BD524" s="81">
        <f t="shared" si="335"/>
        <v>0</v>
      </c>
      <c r="BE524" s="81">
        <f t="shared" si="336"/>
        <v>0</v>
      </c>
      <c r="BF524" s="81">
        <f t="shared" si="337"/>
        <v>0</v>
      </c>
      <c r="BG524" s="81">
        <f t="shared" si="338"/>
        <v>0</v>
      </c>
      <c r="BH524" s="81">
        <f t="shared" si="339"/>
        <v>0</v>
      </c>
      <c r="BI524" s="81">
        <f t="shared" si="340"/>
        <v>0</v>
      </c>
      <c r="BJ524" s="81">
        <f t="shared" si="341"/>
        <v>0</v>
      </c>
      <c r="BK524" s="81">
        <f t="shared" si="342"/>
        <v>0</v>
      </c>
      <c r="BL524" s="81">
        <f t="shared" si="343"/>
        <v>0</v>
      </c>
      <c r="BM524" s="81">
        <f t="shared" si="344"/>
        <v>0</v>
      </c>
      <c r="BN524" s="81">
        <f t="shared" si="345"/>
        <v>0</v>
      </c>
      <c r="BO524" s="81">
        <f t="shared" si="346"/>
        <v>0</v>
      </c>
      <c r="BP524" s="81">
        <f t="shared" si="347"/>
        <v>0</v>
      </c>
      <c r="BQ524" s="81">
        <f t="shared" si="348"/>
        <v>0</v>
      </c>
      <c r="BR524" s="81">
        <f t="shared" si="349"/>
        <v>0</v>
      </c>
      <c r="BS524" s="81">
        <f t="shared" si="350"/>
        <v>0</v>
      </c>
      <c r="BT524" s="89">
        <f t="shared" si="351"/>
        <v>0</v>
      </c>
    </row>
    <row r="525" spans="1:72">
      <c r="A525" s="79"/>
      <c r="B525" s="80"/>
      <c r="C525" s="80"/>
      <c r="D525" s="2301"/>
      <c r="E525" s="81">
        <f t="shared" si="323"/>
        <v>0</v>
      </c>
      <c r="F525" s="82"/>
      <c r="G525" s="83">
        <f t="shared" si="327"/>
        <v>0</v>
      </c>
      <c r="H525" s="84">
        <f t="shared" si="328"/>
        <v>0</v>
      </c>
      <c r="I525" s="85"/>
      <c r="J525" s="85"/>
      <c r="K525" s="85"/>
      <c r="L525" s="85"/>
      <c r="M525" s="85"/>
      <c r="N525" s="85"/>
      <c r="O525" s="85"/>
      <c r="P525" s="85"/>
      <c r="Q525" s="85"/>
      <c r="R525" s="85"/>
      <c r="S525" s="85"/>
      <c r="T525" s="85"/>
      <c r="U525" s="85"/>
      <c r="V525" s="85"/>
      <c r="W525" s="85"/>
      <c r="X525" s="85"/>
      <c r="Y525" s="85"/>
      <c r="Z525" s="85"/>
      <c r="AA525" s="85"/>
      <c r="AB525" s="85"/>
      <c r="AC525" s="81">
        <f t="shared" si="329"/>
        <v>0</v>
      </c>
      <c r="AD525" s="86"/>
      <c r="AE525" s="86"/>
      <c r="AF525" s="86"/>
      <c r="AG525" s="86"/>
      <c r="AH525" s="86"/>
      <c r="AI525" s="86"/>
      <c r="AJ525" s="86"/>
      <c r="AK525" s="86"/>
      <c r="AL525" s="86"/>
      <c r="AM525" s="86"/>
      <c r="AN525" s="86"/>
      <c r="AO525" s="86"/>
      <c r="AP525" s="86"/>
      <c r="AQ525" s="86"/>
      <c r="AR525" s="86"/>
      <c r="AS525" s="86"/>
      <c r="AT525" s="82"/>
      <c r="AU525" s="87"/>
      <c r="AV525" s="818">
        <f t="shared" si="324"/>
        <v>0</v>
      </c>
      <c r="AW525" s="818">
        <f t="shared" si="325"/>
        <v>0</v>
      </c>
      <c r="AX525" s="818">
        <f t="shared" si="326"/>
        <v>0</v>
      </c>
      <c r="AY525" s="88">
        <f t="shared" si="330"/>
        <v>0</v>
      </c>
      <c r="AZ525" s="81">
        <f t="shared" si="331"/>
        <v>0</v>
      </c>
      <c r="BA525" s="81">
        <f t="shared" si="332"/>
        <v>0</v>
      </c>
      <c r="BB525" s="81">
        <f t="shared" si="333"/>
        <v>0</v>
      </c>
      <c r="BC525" s="81">
        <f t="shared" si="334"/>
        <v>0</v>
      </c>
      <c r="BD525" s="81">
        <f t="shared" si="335"/>
        <v>0</v>
      </c>
      <c r="BE525" s="81">
        <f t="shared" si="336"/>
        <v>0</v>
      </c>
      <c r="BF525" s="81">
        <f t="shared" si="337"/>
        <v>0</v>
      </c>
      <c r="BG525" s="81">
        <f t="shared" si="338"/>
        <v>0</v>
      </c>
      <c r="BH525" s="81">
        <f t="shared" si="339"/>
        <v>0</v>
      </c>
      <c r="BI525" s="81">
        <f t="shared" si="340"/>
        <v>0</v>
      </c>
      <c r="BJ525" s="81">
        <f t="shared" si="341"/>
        <v>0</v>
      </c>
      <c r="BK525" s="81">
        <f t="shared" si="342"/>
        <v>0</v>
      </c>
      <c r="BL525" s="81">
        <f t="shared" si="343"/>
        <v>0</v>
      </c>
      <c r="BM525" s="81">
        <f t="shared" si="344"/>
        <v>0</v>
      </c>
      <c r="BN525" s="81">
        <f t="shared" si="345"/>
        <v>0</v>
      </c>
      <c r="BO525" s="81">
        <f t="shared" si="346"/>
        <v>0</v>
      </c>
      <c r="BP525" s="81">
        <f t="shared" si="347"/>
        <v>0</v>
      </c>
      <c r="BQ525" s="81">
        <f t="shared" si="348"/>
        <v>0</v>
      </c>
      <c r="BR525" s="81">
        <f t="shared" si="349"/>
        <v>0</v>
      </c>
      <c r="BS525" s="81">
        <f t="shared" si="350"/>
        <v>0</v>
      </c>
      <c r="BT525" s="89">
        <f t="shared" si="351"/>
        <v>0</v>
      </c>
    </row>
    <row r="526" spans="1:72">
      <c r="A526" s="79"/>
      <c r="B526" s="80"/>
      <c r="C526" s="80"/>
      <c r="D526" s="2301"/>
      <c r="E526" s="81">
        <f t="shared" si="323"/>
        <v>0</v>
      </c>
      <c r="F526" s="82"/>
      <c r="G526" s="83">
        <f t="shared" si="327"/>
        <v>0</v>
      </c>
      <c r="H526" s="84">
        <f t="shared" si="328"/>
        <v>0</v>
      </c>
      <c r="I526" s="85"/>
      <c r="J526" s="85"/>
      <c r="K526" s="85"/>
      <c r="L526" s="85"/>
      <c r="M526" s="85"/>
      <c r="N526" s="85"/>
      <c r="O526" s="85"/>
      <c r="P526" s="85"/>
      <c r="Q526" s="85"/>
      <c r="R526" s="85"/>
      <c r="S526" s="85"/>
      <c r="T526" s="85"/>
      <c r="U526" s="85"/>
      <c r="V526" s="85"/>
      <c r="W526" s="85"/>
      <c r="X526" s="85"/>
      <c r="Y526" s="85"/>
      <c r="Z526" s="85"/>
      <c r="AA526" s="85"/>
      <c r="AB526" s="85"/>
      <c r="AC526" s="81">
        <f t="shared" si="329"/>
        <v>0</v>
      </c>
      <c r="AD526" s="86"/>
      <c r="AE526" s="86"/>
      <c r="AF526" s="86"/>
      <c r="AG526" s="86"/>
      <c r="AH526" s="86"/>
      <c r="AI526" s="86"/>
      <c r="AJ526" s="86"/>
      <c r="AK526" s="86"/>
      <c r="AL526" s="86"/>
      <c r="AM526" s="86"/>
      <c r="AN526" s="86"/>
      <c r="AO526" s="86"/>
      <c r="AP526" s="86"/>
      <c r="AQ526" s="86"/>
      <c r="AR526" s="86"/>
      <c r="AS526" s="86"/>
      <c r="AT526" s="82"/>
      <c r="AU526" s="87"/>
      <c r="AV526" s="818">
        <f t="shared" si="324"/>
        <v>0</v>
      </c>
      <c r="AW526" s="818">
        <f t="shared" si="325"/>
        <v>0</v>
      </c>
      <c r="AX526" s="818">
        <f t="shared" si="326"/>
        <v>0</v>
      </c>
      <c r="AY526" s="88">
        <f t="shared" si="330"/>
        <v>0</v>
      </c>
      <c r="AZ526" s="81">
        <f t="shared" si="331"/>
        <v>0</v>
      </c>
      <c r="BA526" s="81">
        <f t="shared" si="332"/>
        <v>0</v>
      </c>
      <c r="BB526" s="81">
        <f t="shared" si="333"/>
        <v>0</v>
      </c>
      <c r="BC526" s="81">
        <f t="shared" si="334"/>
        <v>0</v>
      </c>
      <c r="BD526" s="81">
        <f t="shared" si="335"/>
        <v>0</v>
      </c>
      <c r="BE526" s="81">
        <f t="shared" si="336"/>
        <v>0</v>
      </c>
      <c r="BF526" s="81">
        <f t="shared" si="337"/>
        <v>0</v>
      </c>
      <c r="BG526" s="81">
        <f t="shared" si="338"/>
        <v>0</v>
      </c>
      <c r="BH526" s="81">
        <f t="shared" si="339"/>
        <v>0</v>
      </c>
      <c r="BI526" s="81">
        <f t="shared" si="340"/>
        <v>0</v>
      </c>
      <c r="BJ526" s="81">
        <f t="shared" si="341"/>
        <v>0</v>
      </c>
      <c r="BK526" s="81">
        <f t="shared" si="342"/>
        <v>0</v>
      </c>
      <c r="BL526" s="81">
        <f t="shared" si="343"/>
        <v>0</v>
      </c>
      <c r="BM526" s="81">
        <f t="shared" si="344"/>
        <v>0</v>
      </c>
      <c r="BN526" s="81">
        <f t="shared" si="345"/>
        <v>0</v>
      </c>
      <c r="BO526" s="81">
        <f t="shared" si="346"/>
        <v>0</v>
      </c>
      <c r="BP526" s="81">
        <f t="shared" si="347"/>
        <v>0</v>
      </c>
      <c r="BQ526" s="81">
        <f t="shared" si="348"/>
        <v>0</v>
      </c>
      <c r="BR526" s="81">
        <f t="shared" si="349"/>
        <v>0</v>
      </c>
      <c r="BS526" s="81">
        <f t="shared" si="350"/>
        <v>0</v>
      </c>
      <c r="BT526" s="89">
        <f t="shared" si="351"/>
        <v>0</v>
      </c>
    </row>
    <row r="527" spans="1:72">
      <c r="A527" s="79"/>
      <c r="B527" s="80"/>
      <c r="C527" s="80"/>
      <c r="D527" s="2301"/>
      <c r="E527" s="81">
        <f t="shared" si="323"/>
        <v>0</v>
      </c>
      <c r="F527" s="82"/>
      <c r="G527" s="83">
        <f t="shared" si="327"/>
        <v>0</v>
      </c>
      <c r="H527" s="84">
        <f t="shared" si="328"/>
        <v>0</v>
      </c>
      <c r="I527" s="85"/>
      <c r="J527" s="85"/>
      <c r="K527" s="85"/>
      <c r="L527" s="85"/>
      <c r="M527" s="85"/>
      <c r="N527" s="85"/>
      <c r="O527" s="85"/>
      <c r="P527" s="85"/>
      <c r="Q527" s="85"/>
      <c r="R527" s="85"/>
      <c r="S527" s="85"/>
      <c r="T527" s="85"/>
      <c r="U527" s="85"/>
      <c r="V527" s="85"/>
      <c r="W527" s="85"/>
      <c r="X527" s="85"/>
      <c r="Y527" s="85"/>
      <c r="Z527" s="85"/>
      <c r="AA527" s="85"/>
      <c r="AB527" s="85"/>
      <c r="AC527" s="81">
        <f t="shared" si="329"/>
        <v>0</v>
      </c>
      <c r="AD527" s="86"/>
      <c r="AE527" s="86"/>
      <c r="AF527" s="86"/>
      <c r="AG527" s="86"/>
      <c r="AH527" s="86"/>
      <c r="AI527" s="86"/>
      <c r="AJ527" s="86"/>
      <c r="AK527" s="86"/>
      <c r="AL527" s="86"/>
      <c r="AM527" s="86"/>
      <c r="AN527" s="86"/>
      <c r="AO527" s="86"/>
      <c r="AP527" s="86"/>
      <c r="AQ527" s="86"/>
      <c r="AR527" s="86"/>
      <c r="AS527" s="86"/>
      <c r="AT527" s="82"/>
      <c r="AU527" s="87"/>
      <c r="AV527" s="818">
        <f t="shared" si="324"/>
        <v>0</v>
      </c>
      <c r="AW527" s="818">
        <f t="shared" si="325"/>
        <v>0</v>
      </c>
      <c r="AX527" s="818">
        <f t="shared" si="326"/>
        <v>0</v>
      </c>
      <c r="AY527" s="88">
        <f t="shared" si="330"/>
        <v>0</v>
      </c>
      <c r="AZ527" s="81">
        <f t="shared" si="331"/>
        <v>0</v>
      </c>
      <c r="BA527" s="81">
        <f t="shared" si="332"/>
        <v>0</v>
      </c>
      <c r="BB527" s="81">
        <f t="shared" si="333"/>
        <v>0</v>
      </c>
      <c r="BC527" s="81">
        <f t="shared" si="334"/>
        <v>0</v>
      </c>
      <c r="BD527" s="81">
        <f t="shared" si="335"/>
        <v>0</v>
      </c>
      <c r="BE527" s="81">
        <f t="shared" si="336"/>
        <v>0</v>
      </c>
      <c r="BF527" s="81">
        <f t="shared" si="337"/>
        <v>0</v>
      </c>
      <c r="BG527" s="81">
        <f t="shared" si="338"/>
        <v>0</v>
      </c>
      <c r="BH527" s="81">
        <f t="shared" si="339"/>
        <v>0</v>
      </c>
      <c r="BI527" s="81">
        <f t="shared" si="340"/>
        <v>0</v>
      </c>
      <c r="BJ527" s="81">
        <f t="shared" si="341"/>
        <v>0</v>
      </c>
      <c r="BK527" s="81">
        <f t="shared" si="342"/>
        <v>0</v>
      </c>
      <c r="BL527" s="81">
        <f t="shared" si="343"/>
        <v>0</v>
      </c>
      <c r="BM527" s="81">
        <f t="shared" si="344"/>
        <v>0</v>
      </c>
      <c r="BN527" s="81">
        <f t="shared" si="345"/>
        <v>0</v>
      </c>
      <c r="BO527" s="81">
        <f t="shared" si="346"/>
        <v>0</v>
      </c>
      <c r="BP527" s="81">
        <f t="shared" si="347"/>
        <v>0</v>
      </c>
      <c r="BQ527" s="81">
        <f t="shared" si="348"/>
        <v>0</v>
      </c>
      <c r="BR527" s="81">
        <f t="shared" si="349"/>
        <v>0</v>
      </c>
      <c r="BS527" s="81">
        <f t="shared" si="350"/>
        <v>0</v>
      </c>
      <c r="BT527" s="89">
        <f t="shared" si="351"/>
        <v>0</v>
      </c>
    </row>
    <row r="528" spans="1:72">
      <c r="A528" s="79"/>
      <c r="B528" s="80"/>
      <c r="C528" s="80"/>
      <c r="D528" s="2301"/>
      <c r="E528" s="81">
        <f t="shared" si="323"/>
        <v>0</v>
      </c>
      <c r="F528" s="82"/>
      <c r="G528" s="83">
        <f t="shared" si="327"/>
        <v>0</v>
      </c>
      <c r="H528" s="84">
        <f t="shared" si="328"/>
        <v>0</v>
      </c>
      <c r="I528" s="85"/>
      <c r="J528" s="85"/>
      <c r="K528" s="85"/>
      <c r="L528" s="85"/>
      <c r="M528" s="85"/>
      <c r="N528" s="85"/>
      <c r="O528" s="85"/>
      <c r="P528" s="85"/>
      <c r="Q528" s="85"/>
      <c r="R528" s="85"/>
      <c r="S528" s="85"/>
      <c r="T528" s="85"/>
      <c r="U528" s="85"/>
      <c r="V528" s="85"/>
      <c r="W528" s="85"/>
      <c r="X528" s="85"/>
      <c r="Y528" s="85"/>
      <c r="Z528" s="85"/>
      <c r="AA528" s="85"/>
      <c r="AB528" s="85"/>
      <c r="AC528" s="81">
        <f t="shared" si="329"/>
        <v>0</v>
      </c>
      <c r="AD528" s="86"/>
      <c r="AE528" s="86"/>
      <c r="AF528" s="86"/>
      <c r="AG528" s="86"/>
      <c r="AH528" s="86"/>
      <c r="AI528" s="86"/>
      <c r="AJ528" s="86"/>
      <c r="AK528" s="86"/>
      <c r="AL528" s="86"/>
      <c r="AM528" s="86"/>
      <c r="AN528" s="86"/>
      <c r="AO528" s="86"/>
      <c r="AP528" s="86"/>
      <c r="AQ528" s="86"/>
      <c r="AR528" s="86"/>
      <c r="AS528" s="86"/>
      <c r="AT528" s="82"/>
      <c r="AU528" s="87"/>
      <c r="AV528" s="818">
        <f t="shared" si="324"/>
        <v>0</v>
      </c>
      <c r="AW528" s="818">
        <f t="shared" si="325"/>
        <v>0</v>
      </c>
      <c r="AX528" s="818">
        <f t="shared" si="326"/>
        <v>0</v>
      </c>
      <c r="AY528" s="88">
        <f t="shared" si="330"/>
        <v>0</v>
      </c>
      <c r="AZ528" s="81">
        <f t="shared" si="331"/>
        <v>0</v>
      </c>
      <c r="BA528" s="81">
        <f t="shared" si="332"/>
        <v>0</v>
      </c>
      <c r="BB528" s="81">
        <f t="shared" si="333"/>
        <v>0</v>
      </c>
      <c r="BC528" s="81">
        <f t="shared" si="334"/>
        <v>0</v>
      </c>
      <c r="BD528" s="81">
        <f t="shared" si="335"/>
        <v>0</v>
      </c>
      <c r="BE528" s="81">
        <f t="shared" si="336"/>
        <v>0</v>
      </c>
      <c r="BF528" s="81">
        <f t="shared" si="337"/>
        <v>0</v>
      </c>
      <c r="BG528" s="81">
        <f t="shared" si="338"/>
        <v>0</v>
      </c>
      <c r="BH528" s="81">
        <f t="shared" si="339"/>
        <v>0</v>
      </c>
      <c r="BI528" s="81">
        <f t="shared" si="340"/>
        <v>0</v>
      </c>
      <c r="BJ528" s="81">
        <f t="shared" si="341"/>
        <v>0</v>
      </c>
      <c r="BK528" s="81">
        <f t="shared" si="342"/>
        <v>0</v>
      </c>
      <c r="BL528" s="81">
        <f t="shared" si="343"/>
        <v>0</v>
      </c>
      <c r="BM528" s="81">
        <f t="shared" si="344"/>
        <v>0</v>
      </c>
      <c r="BN528" s="81">
        <f t="shared" si="345"/>
        <v>0</v>
      </c>
      <c r="BO528" s="81">
        <f t="shared" si="346"/>
        <v>0</v>
      </c>
      <c r="BP528" s="81">
        <f t="shared" si="347"/>
        <v>0</v>
      </c>
      <c r="BQ528" s="81">
        <f t="shared" si="348"/>
        <v>0</v>
      </c>
      <c r="BR528" s="81">
        <f t="shared" si="349"/>
        <v>0</v>
      </c>
      <c r="BS528" s="81">
        <f t="shared" si="350"/>
        <v>0</v>
      </c>
      <c r="BT528" s="89">
        <f t="shared" si="351"/>
        <v>0</v>
      </c>
    </row>
    <row r="529" spans="1:72">
      <c r="A529" s="79"/>
      <c r="B529" s="80"/>
      <c r="C529" s="80"/>
      <c r="D529" s="2301"/>
      <c r="E529" s="81">
        <f t="shared" si="323"/>
        <v>0</v>
      </c>
      <c r="F529" s="82"/>
      <c r="G529" s="83">
        <f t="shared" si="327"/>
        <v>0</v>
      </c>
      <c r="H529" s="84">
        <f t="shared" si="328"/>
        <v>0</v>
      </c>
      <c r="I529" s="85"/>
      <c r="J529" s="85"/>
      <c r="K529" s="85"/>
      <c r="L529" s="85"/>
      <c r="M529" s="85"/>
      <c r="N529" s="85"/>
      <c r="O529" s="85"/>
      <c r="P529" s="85"/>
      <c r="Q529" s="85"/>
      <c r="R529" s="85"/>
      <c r="S529" s="85"/>
      <c r="T529" s="85"/>
      <c r="U529" s="85"/>
      <c r="V529" s="85"/>
      <c r="W529" s="85"/>
      <c r="X529" s="85"/>
      <c r="Y529" s="85"/>
      <c r="Z529" s="85"/>
      <c r="AA529" s="85"/>
      <c r="AB529" s="85"/>
      <c r="AC529" s="81">
        <f t="shared" si="329"/>
        <v>0</v>
      </c>
      <c r="AD529" s="86"/>
      <c r="AE529" s="86"/>
      <c r="AF529" s="86"/>
      <c r="AG529" s="86"/>
      <c r="AH529" s="86"/>
      <c r="AI529" s="86"/>
      <c r="AJ529" s="86"/>
      <c r="AK529" s="86"/>
      <c r="AL529" s="86"/>
      <c r="AM529" s="86"/>
      <c r="AN529" s="86"/>
      <c r="AO529" s="86"/>
      <c r="AP529" s="86"/>
      <c r="AQ529" s="86"/>
      <c r="AR529" s="86"/>
      <c r="AS529" s="86"/>
      <c r="AT529" s="82"/>
      <c r="AU529" s="87"/>
      <c r="AV529" s="818">
        <f t="shared" si="324"/>
        <v>0</v>
      </c>
      <c r="AW529" s="818">
        <f t="shared" si="325"/>
        <v>0</v>
      </c>
      <c r="AX529" s="818">
        <f t="shared" si="326"/>
        <v>0</v>
      </c>
      <c r="AY529" s="88">
        <f t="shared" si="330"/>
        <v>0</v>
      </c>
      <c r="AZ529" s="81">
        <f t="shared" si="331"/>
        <v>0</v>
      </c>
      <c r="BA529" s="81">
        <f t="shared" si="332"/>
        <v>0</v>
      </c>
      <c r="BB529" s="81">
        <f t="shared" si="333"/>
        <v>0</v>
      </c>
      <c r="BC529" s="81">
        <f t="shared" si="334"/>
        <v>0</v>
      </c>
      <c r="BD529" s="81">
        <f t="shared" si="335"/>
        <v>0</v>
      </c>
      <c r="BE529" s="81">
        <f t="shared" si="336"/>
        <v>0</v>
      </c>
      <c r="BF529" s="81">
        <f t="shared" si="337"/>
        <v>0</v>
      </c>
      <c r="BG529" s="81">
        <f t="shared" si="338"/>
        <v>0</v>
      </c>
      <c r="BH529" s="81">
        <f t="shared" si="339"/>
        <v>0</v>
      </c>
      <c r="BI529" s="81">
        <f t="shared" si="340"/>
        <v>0</v>
      </c>
      <c r="BJ529" s="81">
        <f t="shared" si="341"/>
        <v>0</v>
      </c>
      <c r="BK529" s="81">
        <f t="shared" si="342"/>
        <v>0</v>
      </c>
      <c r="BL529" s="81">
        <f t="shared" si="343"/>
        <v>0</v>
      </c>
      <c r="BM529" s="81">
        <f t="shared" si="344"/>
        <v>0</v>
      </c>
      <c r="BN529" s="81">
        <f t="shared" si="345"/>
        <v>0</v>
      </c>
      <c r="BO529" s="81">
        <f t="shared" si="346"/>
        <v>0</v>
      </c>
      <c r="BP529" s="81">
        <f t="shared" si="347"/>
        <v>0</v>
      </c>
      <c r="BQ529" s="81">
        <f t="shared" si="348"/>
        <v>0</v>
      </c>
      <c r="BR529" s="81">
        <f t="shared" si="349"/>
        <v>0</v>
      </c>
      <c r="BS529" s="81">
        <f t="shared" si="350"/>
        <v>0</v>
      </c>
      <c r="BT529" s="89">
        <f t="shared" si="351"/>
        <v>0</v>
      </c>
    </row>
    <row r="530" spans="1:72">
      <c r="A530" s="79"/>
      <c r="B530" s="80"/>
      <c r="C530" s="80"/>
      <c r="D530" s="2301"/>
      <c r="E530" s="81">
        <f t="shared" si="323"/>
        <v>0</v>
      </c>
      <c r="F530" s="82"/>
      <c r="G530" s="83">
        <f t="shared" si="327"/>
        <v>0</v>
      </c>
      <c r="H530" s="84">
        <f t="shared" si="328"/>
        <v>0</v>
      </c>
      <c r="I530" s="85"/>
      <c r="J530" s="85"/>
      <c r="K530" s="85"/>
      <c r="L530" s="85"/>
      <c r="M530" s="85"/>
      <c r="N530" s="85"/>
      <c r="O530" s="85"/>
      <c r="P530" s="85"/>
      <c r="Q530" s="85"/>
      <c r="R530" s="85"/>
      <c r="S530" s="85"/>
      <c r="T530" s="85"/>
      <c r="U530" s="85"/>
      <c r="V530" s="85"/>
      <c r="W530" s="85"/>
      <c r="X530" s="85"/>
      <c r="Y530" s="85"/>
      <c r="Z530" s="85"/>
      <c r="AA530" s="85"/>
      <c r="AB530" s="85"/>
      <c r="AC530" s="81">
        <f t="shared" si="329"/>
        <v>0</v>
      </c>
      <c r="AD530" s="86"/>
      <c r="AE530" s="86"/>
      <c r="AF530" s="86"/>
      <c r="AG530" s="86"/>
      <c r="AH530" s="86"/>
      <c r="AI530" s="86"/>
      <c r="AJ530" s="86"/>
      <c r="AK530" s="86"/>
      <c r="AL530" s="86"/>
      <c r="AM530" s="86"/>
      <c r="AN530" s="86"/>
      <c r="AO530" s="86"/>
      <c r="AP530" s="86"/>
      <c r="AQ530" s="86"/>
      <c r="AR530" s="86"/>
      <c r="AS530" s="86"/>
      <c r="AT530" s="82"/>
      <c r="AU530" s="87"/>
      <c r="AV530" s="818">
        <f t="shared" si="324"/>
        <v>0</v>
      </c>
      <c r="AW530" s="818">
        <f t="shared" si="325"/>
        <v>0</v>
      </c>
      <c r="AX530" s="818">
        <f t="shared" si="326"/>
        <v>0</v>
      </c>
      <c r="AY530" s="88">
        <f t="shared" si="330"/>
        <v>0</v>
      </c>
      <c r="AZ530" s="81">
        <f t="shared" si="331"/>
        <v>0</v>
      </c>
      <c r="BA530" s="81">
        <f t="shared" si="332"/>
        <v>0</v>
      </c>
      <c r="BB530" s="81">
        <f t="shared" si="333"/>
        <v>0</v>
      </c>
      <c r="BC530" s="81">
        <f t="shared" si="334"/>
        <v>0</v>
      </c>
      <c r="BD530" s="81">
        <f t="shared" si="335"/>
        <v>0</v>
      </c>
      <c r="BE530" s="81">
        <f t="shared" si="336"/>
        <v>0</v>
      </c>
      <c r="BF530" s="81">
        <f t="shared" si="337"/>
        <v>0</v>
      </c>
      <c r="BG530" s="81">
        <f t="shared" si="338"/>
        <v>0</v>
      </c>
      <c r="BH530" s="81">
        <f t="shared" si="339"/>
        <v>0</v>
      </c>
      <c r="BI530" s="81">
        <f t="shared" si="340"/>
        <v>0</v>
      </c>
      <c r="BJ530" s="81">
        <f t="shared" si="341"/>
        <v>0</v>
      </c>
      <c r="BK530" s="81">
        <f t="shared" si="342"/>
        <v>0</v>
      </c>
      <c r="BL530" s="81">
        <f t="shared" si="343"/>
        <v>0</v>
      </c>
      <c r="BM530" s="81">
        <f t="shared" si="344"/>
        <v>0</v>
      </c>
      <c r="BN530" s="81">
        <f t="shared" si="345"/>
        <v>0</v>
      </c>
      <c r="BO530" s="81">
        <f t="shared" si="346"/>
        <v>0</v>
      </c>
      <c r="BP530" s="81">
        <f t="shared" si="347"/>
        <v>0</v>
      </c>
      <c r="BQ530" s="81">
        <f t="shared" si="348"/>
        <v>0</v>
      </c>
      <c r="BR530" s="81">
        <f t="shared" si="349"/>
        <v>0</v>
      </c>
      <c r="BS530" s="81">
        <f t="shared" si="350"/>
        <v>0</v>
      </c>
      <c r="BT530" s="89">
        <f t="shared" si="351"/>
        <v>0</v>
      </c>
    </row>
    <row r="531" spans="1:72">
      <c r="A531" s="79"/>
      <c r="B531" s="80"/>
      <c r="C531" s="80"/>
      <c r="D531" s="2301"/>
      <c r="E531" s="81">
        <f t="shared" si="323"/>
        <v>0</v>
      </c>
      <c r="F531" s="82"/>
      <c r="G531" s="83">
        <f t="shared" si="327"/>
        <v>0</v>
      </c>
      <c r="H531" s="84">
        <f t="shared" si="328"/>
        <v>0</v>
      </c>
      <c r="I531" s="85"/>
      <c r="J531" s="85"/>
      <c r="K531" s="85"/>
      <c r="L531" s="85"/>
      <c r="M531" s="85"/>
      <c r="N531" s="85"/>
      <c r="O531" s="85"/>
      <c r="P531" s="85"/>
      <c r="Q531" s="85"/>
      <c r="R531" s="85"/>
      <c r="S531" s="85"/>
      <c r="T531" s="85"/>
      <c r="U531" s="85"/>
      <c r="V531" s="85"/>
      <c r="W531" s="85"/>
      <c r="X531" s="85"/>
      <c r="Y531" s="85"/>
      <c r="Z531" s="85"/>
      <c r="AA531" s="85"/>
      <c r="AB531" s="85"/>
      <c r="AC531" s="81">
        <f t="shared" si="329"/>
        <v>0</v>
      </c>
      <c r="AD531" s="86"/>
      <c r="AE531" s="86"/>
      <c r="AF531" s="86"/>
      <c r="AG531" s="86"/>
      <c r="AH531" s="86"/>
      <c r="AI531" s="86"/>
      <c r="AJ531" s="86"/>
      <c r="AK531" s="86"/>
      <c r="AL531" s="86"/>
      <c r="AM531" s="86"/>
      <c r="AN531" s="86"/>
      <c r="AO531" s="86"/>
      <c r="AP531" s="86"/>
      <c r="AQ531" s="86"/>
      <c r="AR531" s="86"/>
      <c r="AS531" s="86"/>
      <c r="AT531" s="82"/>
      <c r="AU531" s="87"/>
      <c r="AV531" s="818">
        <f t="shared" si="324"/>
        <v>0</v>
      </c>
      <c r="AW531" s="818">
        <f t="shared" si="325"/>
        <v>0</v>
      </c>
      <c r="AX531" s="818">
        <f t="shared" si="326"/>
        <v>0</v>
      </c>
      <c r="AY531" s="88">
        <f t="shared" si="330"/>
        <v>0</v>
      </c>
      <c r="AZ531" s="81">
        <f t="shared" si="331"/>
        <v>0</v>
      </c>
      <c r="BA531" s="81">
        <f t="shared" si="332"/>
        <v>0</v>
      </c>
      <c r="BB531" s="81">
        <f t="shared" si="333"/>
        <v>0</v>
      </c>
      <c r="BC531" s="81">
        <f t="shared" si="334"/>
        <v>0</v>
      </c>
      <c r="BD531" s="81">
        <f t="shared" si="335"/>
        <v>0</v>
      </c>
      <c r="BE531" s="81">
        <f t="shared" si="336"/>
        <v>0</v>
      </c>
      <c r="BF531" s="81">
        <f t="shared" si="337"/>
        <v>0</v>
      </c>
      <c r="BG531" s="81">
        <f t="shared" si="338"/>
        <v>0</v>
      </c>
      <c r="BH531" s="81">
        <f t="shared" si="339"/>
        <v>0</v>
      </c>
      <c r="BI531" s="81">
        <f t="shared" si="340"/>
        <v>0</v>
      </c>
      <c r="BJ531" s="81">
        <f t="shared" si="341"/>
        <v>0</v>
      </c>
      <c r="BK531" s="81">
        <f t="shared" si="342"/>
        <v>0</v>
      </c>
      <c r="BL531" s="81">
        <f t="shared" si="343"/>
        <v>0</v>
      </c>
      <c r="BM531" s="81">
        <f t="shared" si="344"/>
        <v>0</v>
      </c>
      <c r="BN531" s="81">
        <f t="shared" si="345"/>
        <v>0</v>
      </c>
      <c r="BO531" s="81">
        <f t="shared" si="346"/>
        <v>0</v>
      </c>
      <c r="BP531" s="81">
        <f t="shared" si="347"/>
        <v>0</v>
      </c>
      <c r="BQ531" s="81">
        <f t="shared" si="348"/>
        <v>0</v>
      </c>
      <c r="BR531" s="81">
        <f t="shared" si="349"/>
        <v>0</v>
      </c>
      <c r="BS531" s="81">
        <f t="shared" si="350"/>
        <v>0</v>
      </c>
      <c r="BT531" s="89">
        <f t="shared" si="351"/>
        <v>0</v>
      </c>
    </row>
    <row r="532" spans="1:72">
      <c r="A532" s="79"/>
      <c r="B532" s="80"/>
      <c r="C532" s="80"/>
      <c r="D532" s="2301"/>
      <c r="E532" s="81">
        <f t="shared" si="323"/>
        <v>0</v>
      </c>
      <c r="F532" s="82"/>
      <c r="G532" s="83">
        <f t="shared" si="327"/>
        <v>0</v>
      </c>
      <c r="H532" s="84">
        <f t="shared" si="328"/>
        <v>0</v>
      </c>
      <c r="I532" s="85"/>
      <c r="J532" s="85"/>
      <c r="K532" s="85"/>
      <c r="L532" s="85"/>
      <c r="M532" s="85"/>
      <c r="N532" s="85"/>
      <c r="O532" s="85"/>
      <c r="P532" s="85"/>
      <c r="Q532" s="85"/>
      <c r="R532" s="85"/>
      <c r="S532" s="85"/>
      <c r="T532" s="85"/>
      <c r="U532" s="85"/>
      <c r="V532" s="85"/>
      <c r="W532" s="85"/>
      <c r="X532" s="85"/>
      <c r="Y532" s="85"/>
      <c r="Z532" s="85"/>
      <c r="AA532" s="85"/>
      <c r="AB532" s="85"/>
      <c r="AC532" s="81">
        <f t="shared" si="329"/>
        <v>0</v>
      </c>
      <c r="AD532" s="86"/>
      <c r="AE532" s="86"/>
      <c r="AF532" s="86"/>
      <c r="AG532" s="86"/>
      <c r="AH532" s="86"/>
      <c r="AI532" s="86"/>
      <c r="AJ532" s="86"/>
      <c r="AK532" s="86"/>
      <c r="AL532" s="86"/>
      <c r="AM532" s="86"/>
      <c r="AN532" s="86"/>
      <c r="AO532" s="86"/>
      <c r="AP532" s="86"/>
      <c r="AQ532" s="86"/>
      <c r="AR532" s="86"/>
      <c r="AS532" s="86"/>
      <c r="AT532" s="82"/>
      <c r="AU532" s="87"/>
      <c r="AV532" s="818">
        <f t="shared" si="324"/>
        <v>0</v>
      </c>
      <c r="AW532" s="818">
        <f t="shared" si="325"/>
        <v>0</v>
      </c>
      <c r="AX532" s="818">
        <f t="shared" si="326"/>
        <v>0</v>
      </c>
      <c r="AY532" s="88">
        <f t="shared" si="330"/>
        <v>0</v>
      </c>
      <c r="AZ532" s="81">
        <f t="shared" si="331"/>
        <v>0</v>
      </c>
      <c r="BA532" s="81">
        <f t="shared" si="332"/>
        <v>0</v>
      </c>
      <c r="BB532" s="81">
        <f t="shared" si="333"/>
        <v>0</v>
      </c>
      <c r="BC532" s="81">
        <f t="shared" si="334"/>
        <v>0</v>
      </c>
      <c r="BD532" s="81">
        <f t="shared" si="335"/>
        <v>0</v>
      </c>
      <c r="BE532" s="81">
        <f t="shared" si="336"/>
        <v>0</v>
      </c>
      <c r="BF532" s="81">
        <f t="shared" si="337"/>
        <v>0</v>
      </c>
      <c r="BG532" s="81">
        <f t="shared" si="338"/>
        <v>0</v>
      </c>
      <c r="BH532" s="81">
        <f t="shared" si="339"/>
        <v>0</v>
      </c>
      <c r="BI532" s="81">
        <f t="shared" si="340"/>
        <v>0</v>
      </c>
      <c r="BJ532" s="81">
        <f t="shared" si="341"/>
        <v>0</v>
      </c>
      <c r="BK532" s="81">
        <f t="shared" si="342"/>
        <v>0</v>
      </c>
      <c r="BL532" s="81">
        <f t="shared" si="343"/>
        <v>0</v>
      </c>
      <c r="BM532" s="81">
        <f t="shared" si="344"/>
        <v>0</v>
      </c>
      <c r="BN532" s="81">
        <f t="shared" si="345"/>
        <v>0</v>
      </c>
      <c r="BO532" s="81">
        <f t="shared" si="346"/>
        <v>0</v>
      </c>
      <c r="BP532" s="81">
        <f t="shared" si="347"/>
        <v>0</v>
      </c>
      <c r="BQ532" s="81">
        <f t="shared" si="348"/>
        <v>0</v>
      </c>
      <c r="BR532" s="81">
        <f t="shared" si="349"/>
        <v>0</v>
      </c>
      <c r="BS532" s="81">
        <f t="shared" si="350"/>
        <v>0</v>
      </c>
      <c r="BT532" s="89">
        <f t="shared" si="351"/>
        <v>0</v>
      </c>
    </row>
    <row r="533" spans="1:72">
      <c r="A533" s="79"/>
      <c r="B533" s="80"/>
      <c r="C533" s="80"/>
      <c r="D533" s="2301"/>
      <c r="E533" s="81">
        <f t="shared" si="323"/>
        <v>0</v>
      </c>
      <c r="F533" s="82"/>
      <c r="G533" s="83">
        <f t="shared" si="327"/>
        <v>0</v>
      </c>
      <c r="H533" s="84">
        <f t="shared" si="328"/>
        <v>0</v>
      </c>
      <c r="I533" s="85"/>
      <c r="J533" s="85"/>
      <c r="K533" s="85"/>
      <c r="L533" s="85"/>
      <c r="M533" s="85"/>
      <c r="N533" s="85"/>
      <c r="O533" s="85"/>
      <c r="P533" s="85"/>
      <c r="Q533" s="85"/>
      <c r="R533" s="85"/>
      <c r="S533" s="85"/>
      <c r="T533" s="85"/>
      <c r="U533" s="85"/>
      <c r="V533" s="85"/>
      <c r="W533" s="85"/>
      <c r="X533" s="85"/>
      <c r="Y533" s="85"/>
      <c r="Z533" s="85"/>
      <c r="AA533" s="85"/>
      <c r="AB533" s="85"/>
      <c r="AC533" s="81">
        <f t="shared" si="329"/>
        <v>0</v>
      </c>
      <c r="AD533" s="86"/>
      <c r="AE533" s="86"/>
      <c r="AF533" s="86"/>
      <c r="AG533" s="86"/>
      <c r="AH533" s="86"/>
      <c r="AI533" s="86"/>
      <c r="AJ533" s="86"/>
      <c r="AK533" s="86"/>
      <c r="AL533" s="86"/>
      <c r="AM533" s="86"/>
      <c r="AN533" s="86"/>
      <c r="AO533" s="86"/>
      <c r="AP533" s="86"/>
      <c r="AQ533" s="86"/>
      <c r="AR533" s="86"/>
      <c r="AS533" s="86"/>
      <c r="AT533" s="82"/>
      <c r="AU533" s="87"/>
      <c r="AV533" s="818">
        <f t="shared" si="324"/>
        <v>0</v>
      </c>
      <c r="AW533" s="818">
        <f t="shared" si="325"/>
        <v>0</v>
      </c>
      <c r="AX533" s="818">
        <f t="shared" si="326"/>
        <v>0</v>
      </c>
      <c r="AY533" s="88">
        <f t="shared" si="330"/>
        <v>0</v>
      </c>
      <c r="AZ533" s="81">
        <f t="shared" si="331"/>
        <v>0</v>
      </c>
      <c r="BA533" s="81">
        <f t="shared" si="332"/>
        <v>0</v>
      </c>
      <c r="BB533" s="81">
        <f t="shared" si="333"/>
        <v>0</v>
      </c>
      <c r="BC533" s="81">
        <f t="shared" si="334"/>
        <v>0</v>
      </c>
      <c r="BD533" s="81">
        <f t="shared" si="335"/>
        <v>0</v>
      </c>
      <c r="BE533" s="81">
        <f t="shared" si="336"/>
        <v>0</v>
      </c>
      <c r="BF533" s="81">
        <f t="shared" si="337"/>
        <v>0</v>
      </c>
      <c r="BG533" s="81">
        <f t="shared" si="338"/>
        <v>0</v>
      </c>
      <c r="BH533" s="81">
        <f t="shared" si="339"/>
        <v>0</v>
      </c>
      <c r="BI533" s="81">
        <f t="shared" si="340"/>
        <v>0</v>
      </c>
      <c r="BJ533" s="81">
        <f t="shared" si="341"/>
        <v>0</v>
      </c>
      <c r="BK533" s="81">
        <f t="shared" si="342"/>
        <v>0</v>
      </c>
      <c r="BL533" s="81">
        <f t="shared" si="343"/>
        <v>0</v>
      </c>
      <c r="BM533" s="81">
        <f t="shared" si="344"/>
        <v>0</v>
      </c>
      <c r="BN533" s="81">
        <f t="shared" si="345"/>
        <v>0</v>
      </c>
      <c r="BO533" s="81">
        <f t="shared" si="346"/>
        <v>0</v>
      </c>
      <c r="BP533" s="81">
        <f t="shared" si="347"/>
        <v>0</v>
      </c>
      <c r="BQ533" s="81">
        <f t="shared" si="348"/>
        <v>0</v>
      </c>
      <c r="BR533" s="81">
        <f t="shared" si="349"/>
        <v>0</v>
      </c>
      <c r="BS533" s="81">
        <f t="shared" si="350"/>
        <v>0</v>
      </c>
      <c r="BT533" s="89">
        <f t="shared" si="351"/>
        <v>0</v>
      </c>
    </row>
    <row r="534" spans="1:72">
      <c r="A534" s="79"/>
      <c r="B534" s="80"/>
      <c r="C534" s="80"/>
      <c r="D534" s="2301"/>
      <c r="E534" s="81">
        <f t="shared" si="323"/>
        <v>0</v>
      </c>
      <c r="F534" s="82"/>
      <c r="G534" s="83">
        <f t="shared" si="327"/>
        <v>0</v>
      </c>
      <c r="H534" s="84">
        <f t="shared" si="328"/>
        <v>0</v>
      </c>
      <c r="I534" s="85"/>
      <c r="J534" s="85"/>
      <c r="K534" s="85"/>
      <c r="L534" s="85"/>
      <c r="M534" s="85"/>
      <c r="N534" s="85"/>
      <c r="O534" s="85"/>
      <c r="P534" s="85"/>
      <c r="Q534" s="85"/>
      <c r="R534" s="85"/>
      <c r="S534" s="85"/>
      <c r="T534" s="85"/>
      <c r="U534" s="85"/>
      <c r="V534" s="85"/>
      <c r="W534" s="85"/>
      <c r="X534" s="85"/>
      <c r="Y534" s="85"/>
      <c r="Z534" s="85"/>
      <c r="AA534" s="85"/>
      <c r="AB534" s="85"/>
      <c r="AC534" s="81">
        <f t="shared" si="329"/>
        <v>0</v>
      </c>
      <c r="AD534" s="86"/>
      <c r="AE534" s="86"/>
      <c r="AF534" s="86"/>
      <c r="AG534" s="86"/>
      <c r="AH534" s="86"/>
      <c r="AI534" s="86"/>
      <c r="AJ534" s="86"/>
      <c r="AK534" s="86"/>
      <c r="AL534" s="86"/>
      <c r="AM534" s="86"/>
      <c r="AN534" s="86"/>
      <c r="AO534" s="86"/>
      <c r="AP534" s="86"/>
      <c r="AQ534" s="86"/>
      <c r="AR534" s="86"/>
      <c r="AS534" s="86"/>
      <c r="AT534" s="82"/>
      <c r="AU534" s="87"/>
      <c r="AV534" s="818">
        <f t="shared" si="324"/>
        <v>0</v>
      </c>
      <c r="AW534" s="818">
        <f t="shared" si="325"/>
        <v>0</v>
      </c>
      <c r="AX534" s="818">
        <f t="shared" si="326"/>
        <v>0</v>
      </c>
      <c r="AY534" s="88">
        <f t="shared" si="330"/>
        <v>0</v>
      </c>
      <c r="AZ534" s="81">
        <f t="shared" si="331"/>
        <v>0</v>
      </c>
      <c r="BA534" s="81">
        <f t="shared" si="332"/>
        <v>0</v>
      </c>
      <c r="BB534" s="81">
        <f t="shared" si="333"/>
        <v>0</v>
      </c>
      <c r="BC534" s="81">
        <f t="shared" si="334"/>
        <v>0</v>
      </c>
      <c r="BD534" s="81">
        <f t="shared" si="335"/>
        <v>0</v>
      </c>
      <c r="BE534" s="81">
        <f t="shared" si="336"/>
        <v>0</v>
      </c>
      <c r="BF534" s="81">
        <f t="shared" si="337"/>
        <v>0</v>
      </c>
      <c r="BG534" s="81">
        <f t="shared" si="338"/>
        <v>0</v>
      </c>
      <c r="BH534" s="81">
        <f t="shared" si="339"/>
        <v>0</v>
      </c>
      <c r="BI534" s="81">
        <f t="shared" si="340"/>
        <v>0</v>
      </c>
      <c r="BJ534" s="81">
        <f t="shared" si="341"/>
        <v>0</v>
      </c>
      <c r="BK534" s="81">
        <f t="shared" si="342"/>
        <v>0</v>
      </c>
      <c r="BL534" s="81">
        <f t="shared" si="343"/>
        <v>0</v>
      </c>
      <c r="BM534" s="81">
        <f t="shared" si="344"/>
        <v>0</v>
      </c>
      <c r="BN534" s="81">
        <f t="shared" si="345"/>
        <v>0</v>
      </c>
      <c r="BO534" s="81">
        <f t="shared" si="346"/>
        <v>0</v>
      </c>
      <c r="BP534" s="81">
        <f t="shared" si="347"/>
        <v>0</v>
      </c>
      <c r="BQ534" s="81">
        <f t="shared" si="348"/>
        <v>0</v>
      </c>
      <c r="BR534" s="81">
        <f t="shared" si="349"/>
        <v>0</v>
      </c>
      <c r="BS534" s="81">
        <f t="shared" si="350"/>
        <v>0</v>
      </c>
      <c r="BT534" s="89">
        <f t="shared" si="351"/>
        <v>0</v>
      </c>
    </row>
    <row r="535" spans="1:72">
      <c r="A535" s="79"/>
      <c r="B535" s="80"/>
      <c r="C535" s="80"/>
      <c r="D535" s="2301"/>
      <c r="E535" s="81">
        <f t="shared" si="323"/>
        <v>0</v>
      </c>
      <c r="F535" s="82"/>
      <c r="G535" s="83">
        <f t="shared" si="327"/>
        <v>0</v>
      </c>
      <c r="H535" s="84">
        <f t="shared" si="328"/>
        <v>0</v>
      </c>
      <c r="I535" s="85"/>
      <c r="J535" s="85"/>
      <c r="K535" s="85"/>
      <c r="L535" s="85"/>
      <c r="M535" s="85"/>
      <c r="N535" s="85"/>
      <c r="O535" s="85"/>
      <c r="P535" s="85"/>
      <c r="Q535" s="85"/>
      <c r="R535" s="85"/>
      <c r="S535" s="85"/>
      <c r="T535" s="85"/>
      <c r="U535" s="85"/>
      <c r="V535" s="85"/>
      <c r="W535" s="85"/>
      <c r="X535" s="85"/>
      <c r="Y535" s="85"/>
      <c r="Z535" s="85"/>
      <c r="AA535" s="85"/>
      <c r="AB535" s="85"/>
      <c r="AC535" s="81">
        <f t="shared" si="329"/>
        <v>0</v>
      </c>
      <c r="AD535" s="86"/>
      <c r="AE535" s="86"/>
      <c r="AF535" s="86"/>
      <c r="AG535" s="86"/>
      <c r="AH535" s="86"/>
      <c r="AI535" s="86"/>
      <c r="AJ535" s="86"/>
      <c r="AK535" s="86"/>
      <c r="AL535" s="86"/>
      <c r="AM535" s="86"/>
      <c r="AN535" s="86"/>
      <c r="AO535" s="86"/>
      <c r="AP535" s="86"/>
      <c r="AQ535" s="86"/>
      <c r="AR535" s="86"/>
      <c r="AS535" s="86"/>
      <c r="AT535" s="82"/>
      <c r="AU535" s="87"/>
      <c r="AV535" s="818">
        <f t="shared" si="324"/>
        <v>0</v>
      </c>
      <c r="AW535" s="818">
        <f t="shared" si="325"/>
        <v>0</v>
      </c>
      <c r="AX535" s="818">
        <f t="shared" si="326"/>
        <v>0</v>
      </c>
      <c r="AY535" s="88">
        <f t="shared" si="330"/>
        <v>0</v>
      </c>
      <c r="AZ535" s="81">
        <f t="shared" si="331"/>
        <v>0</v>
      </c>
      <c r="BA535" s="81">
        <f t="shared" si="332"/>
        <v>0</v>
      </c>
      <c r="BB535" s="81">
        <f t="shared" si="333"/>
        <v>0</v>
      </c>
      <c r="BC535" s="81">
        <f t="shared" si="334"/>
        <v>0</v>
      </c>
      <c r="BD535" s="81">
        <f t="shared" si="335"/>
        <v>0</v>
      </c>
      <c r="BE535" s="81">
        <f t="shared" si="336"/>
        <v>0</v>
      </c>
      <c r="BF535" s="81">
        <f t="shared" si="337"/>
        <v>0</v>
      </c>
      <c r="BG535" s="81">
        <f t="shared" si="338"/>
        <v>0</v>
      </c>
      <c r="BH535" s="81">
        <f t="shared" si="339"/>
        <v>0</v>
      </c>
      <c r="BI535" s="81">
        <f t="shared" si="340"/>
        <v>0</v>
      </c>
      <c r="BJ535" s="81">
        <f t="shared" si="341"/>
        <v>0</v>
      </c>
      <c r="BK535" s="81">
        <f t="shared" si="342"/>
        <v>0</v>
      </c>
      <c r="BL535" s="81">
        <f t="shared" si="343"/>
        <v>0</v>
      </c>
      <c r="BM535" s="81">
        <f t="shared" si="344"/>
        <v>0</v>
      </c>
      <c r="BN535" s="81">
        <f t="shared" si="345"/>
        <v>0</v>
      </c>
      <c r="BO535" s="81">
        <f t="shared" si="346"/>
        <v>0</v>
      </c>
      <c r="BP535" s="81">
        <f t="shared" si="347"/>
        <v>0</v>
      </c>
      <c r="BQ535" s="81">
        <f t="shared" si="348"/>
        <v>0</v>
      </c>
      <c r="BR535" s="81">
        <f t="shared" si="349"/>
        <v>0</v>
      </c>
      <c r="BS535" s="81">
        <f t="shared" si="350"/>
        <v>0</v>
      </c>
      <c r="BT535" s="89">
        <f t="shared" si="351"/>
        <v>0</v>
      </c>
    </row>
    <row r="536" spans="1:72">
      <c r="A536" s="79"/>
      <c r="B536" s="80"/>
      <c r="C536" s="80"/>
      <c r="D536" s="2301"/>
      <c r="E536" s="81">
        <f t="shared" si="323"/>
        <v>0</v>
      </c>
      <c r="F536" s="82"/>
      <c r="G536" s="83">
        <f t="shared" si="327"/>
        <v>0</v>
      </c>
      <c r="H536" s="84">
        <f t="shared" si="328"/>
        <v>0</v>
      </c>
      <c r="I536" s="85"/>
      <c r="J536" s="85"/>
      <c r="K536" s="85"/>
      <c r="L536" s="85"/>
      <c r="M536" s="85"/>
      <c r="N536" s="85"/>
      <c r="O536" s="85"/>
      <c r="P536" s="85"/>
      <c r="Q536" s="85"/>
      <c r="R536" s="85"/>
      <c r="S536" s="85"/>
      <c r="T536" s="85"/>
      <c r="U536" s="85"/>
      <c r="V536" s="85"/>
      <c r="W536" s="85"/>
      <c r="X536" s="85"/>
      <c r="Y536" s="85"/>
      <c r="Z536" s="85"/>
      <c r="AA536" s="85"/>
      <c r="AB536" s="85"/>
      <c r="AC536" s="81">
        <f t="shared" si="329"/>
        <v>0</v>
      </c>
      <c r="AD536" s="86"/>
      <c r="AE536" s="86"/>
      <c r="AF536" s="86"/>
      <c r="AG536" s="86"/>
      <c r="AH536" s="86"/>
      <c r="AI536" s="86"/>
      <c r="AJ536" s="86"/>
      <c r="AK536" s="86"/>
      <c r="AL536" s="86"/>
      <c r="AM536" s="86"/>
      <c r="AN536" s="86"/>
      <c r="AO536" s="86"/>
      <c r="AP536" s="86"/>
      <c r="AQ536" s="86"/>
      <c r="AR536" s="86"/>
      <c r="AS536" s="86"/>
      <c r="AT536" s="82"/>
      <c r="AU536" s="87"/>
      <c r="AV536" s="818">
        <f t="shared" si="324"/>
        <v>0</v>
      </c>
      <c r="AW536" s="818">
        <f t="shared" si="325"/>
        <v>0</v>
      </c>
      <c r="AX536" s="818">
        <f t="shared" si="326"/>
        <v>0</v>
      </c>
      <c r="AY536" s="88">
        <f t="shared" si="330"/>
        <v>0</v>
      </c>
      <c r="AZ536" s="81">
        <f t="shared" si="331"/>
        <v>0</v>
      </c>
      <c r="BA536" s="81">
        <f t="shared" si="332"/>
        <v>0</v>
      </c>
      <c r="BB536" s="81">
        <f t="shared" si="333"/>
        <v>0</v>
      </c>
      <c r="BC536" s="81">
        <f t="shared" si="334"/>
        <v>0</v>
      </c>
      <c r="BD536" s="81">
        <f t="shared" si="335"/>
        <v>0</v>
      </c>
      <c r="BE536" s="81">
        <f t="shared" si="336"/>
        <v>0</v>
      </c>
      <c r="BF536" s="81">
        <f t="shared" si="337"/>
        <v>0</v>
      </c>
      <c r="BG536" s="81">
        <f t="shared" si="338"/>
        <v>0</v>
      </c>
      <c r="BH536" s="81">
        <f t="shared" si="339"/>
        <v>0</v>
      </c>
      <c r="BI536" s="81">
        <f t="shared" si="340"/>
        <v>0</v>
      </c>
      <c r="BJ536" s="81">
        <f t="shared" si="341"/>
        <v>0</v>
      </c>
      <c r="BK536" s="81">
        <f t="shared" si="342"/>
        <v>0</v>
      </c>
      <c r="BL536" s="81">
        <f t="shared" si="343"/>
        <v>0</v>
      </c>
      <c r="BM536" s="81">
        <f t="shared" si="344"/>
        <v>0</v>
      </c>
      <c r="BN536" s="81">
        <f t="shared" si="345"/>
        <v>0</v>
      </c>
      <c r="BO536" s="81">
        <f t="shared" si="346"/>
        <v>0</v>
      </c>
      <c r="BP536" s="81">
        <f t="shared" si="347"/>
        <v>0</v>
      </c>
      <c r="BQ536" s="81">
        <f t="shared" si="348"/>
        <v>0</v>
      </c>
      <c r="BR536" s="81">
        <f t="shared" si="349"/>
        <v>0</v>
      </c>
      <c r="BS536" s="81">
        <f t="shared" si="350"/>
        <v>0</v>
      </c>
      <c r="BT536" s="89">
        <f t="shared" si="351"/>
        <v>0</v>
      </c>
    </row>
    <row r="537" spans="1:72">
      <c r="A537" s="79"/>
      <c r="B537" s="80"/>
      <c r="C537" s="80"/>
      <c r="D537" s="2301"/>
      <c r="E537" s="81">
        <f t="shared" ref="E537:E572" si="352">IF($C$3="是",ROUND($A$3*G537/$B$3,2),ROUND($A$3*(G537-AT537)/$B$3,2))</f>
        <v>0</v>
      </c>
      <c r="F537" s="82"/>
      <c r="G537" s="83">
        <f t="shared" si="327"/>
        <v>0</v>
      </c>
      <c r="H537" s="84">
        <f t="shared" si="328"/>
        <v>0</v>
      </c>
      <c r="I537" s="85"/>
      <c r="J537" s="85"/>
      <c r="K537" s="85"/>
      <c r="L537" s="85"/>
      <c r="M537" s="85"/>
      <c r="N537" s="85"/>
      <c r="O537" s="85"/>
      <c r="P537" s="85"/>
      <c r="Q537" s="85"/>
      <c r="R537" s="85"/>
      <c r="S537" s="85"/>
      <c r="T537" s="85"/>
      <c r="U537" s="85"/>
      <c r="V537" s="85"/>
      <c r="W537" s="85"/>
      <c r="X537" s="85"/>
      <c r="Y537" s="85"/>
      <c r="Z537" s="85"/>
      <c r="AA537" s="85"/>
      <c r="AB537" s="85"/>
      <c r="AC537" s="81">
        <f t="shared" si="329"/>
        <v>0</v>
      </c>
      <c r="AD537" s="86"/>
      <c r="AE537" s="86"/>
      <c r="AF537" s="86"/>
      <c r="AG537" s="86"/>
      <c r="AH537" s="86"/>
      <c r="AI537" s="86"/>
      <c r="AJ537" s="86"/>
      <c r="AK537" s="86"/>
      <c r="AL537" s="86"/>
      <c r="AM537" s="86"/>
      <c r="AN537" s="86"/>
      <c r="AO537" s="86"/>
      <c r="AP537" s="86"/>
      <c r="AQ537" s="86"/>
      <c r="AR537" s="86"/>
      <c r="AS537" s="86"/>
      <c r="AT537" s="82"/>
      <c r="AU537" s="87"/>
      <c r="AV537" s="818">
        <f t="shared" si="324"/>
        <v>0</v>
      </c>
      <c r="AW537" s="818">
        <f t="shared" si="325"/>
        <v>0</v>
      </c>
      <c r="AX537" s="818">
        <f t="shared" si="326"/>
        <v>0</v>
      </c>
      <c r="AY537" s="88">
        <f t="shared" si="330"/>
        <v>0</v>
      </c>
      <c r="AZ537" s="81">
        <f t="shared" si="331"/>
        <v>0</v>
      </c>
      <c r="BA537" s="81">
        <f t="shared" si="332"/>
        <v>0</v>
      </c>
      <c r="BB537" s="81">
        <f t="shared" si="333"/>
        <v>0</v>
      </c>
      <c r="BC537" s="81">
        <f t="shared" si="334"/>
        <v>0</v>
      </c>
      <c r="BD537" s="81">
        <f t="shared" si="335"/>
        <v>0</v>
      </c>
      <c r="BE537" s="81">
        <f t="shared" si="336"/>
        <v>0</v>
      </c>
      <c r="BF537" s="81">
        <f t="shared" si="337"/>
        <v>0</v>
      </c>
      <c r="BG537" s="81">
        <f t="shared" si="338"/>
        <v>0</v>
      </c>
      <c r="BH537" s="81">
        <f t="shared" si="339"/>
        <v>0</v>
      </c>
      <c r="BI537" s="81">
        <f t="shared" si="340"/>
        <v>0</v>
      </c>
      <c r="BJ537" s="81">
        <f t="shared" si="341"/>
        <v>0</v>
      </c>
      <c r="BK537" s="81">
        <f t="shared" si="342"/>
        <v>0</v>
      </c>
      <c r="BL537" s="81">
        <f t="shared" si="343"/>
        <v>0</v>
      </c>
      <c r="BM537" s="81">
        <f t="shared" si="344"/>
        <v>0</v>
      </c>
      <c r="BN537" s="81">
        <f t="shared" si="345"/>
        <v>0</v>
      </c>
      <c r="BO537" s="81">
        <f t="shared" si="346"/>
        <v>0</v>
      </c>
      <c r="BP537" s="81">
        <f t="shared" si="347"/>
        <v>0</v>
      </c>
      <c r="BQ537" s="81">
        <f t="shared" si="348"/>
        <v>0</v>
      </c>
      <c r="BR537" s="81">
        <f t="shared" si="349"/>
        <v>0</v>
      </c>
      <c r="BS537" s="81">
        <f t="shared" si="350"/>
        <v>0</v>
      </c>
      <c r="BT537" s="89">
        <f t="shared" si="351"/>
        <v>0</v>
      </c>
    </row>
    <row r="538" spans="1:72">
      <c r="A538" s="79"/>
      <c r="B538" s="80"/>
      <c r="C538" s="80"/>
      <c r="D538" s="2301"/>
      <c r="E538" s="81">
        <f t="shared" si="352"/>
        <v>0</v>
      </c>
      <c r="F538" s="82"/>
      <c r="G538" s="83">
        <f t="shared" ref="G538:G569" si="353">H538+AC538+AT538</f>
        <v>0</v>
      </c>
      <c r="H538" s="84">
        <f t="shared" ref="H538:H569" si="354">SUMIF(I$12:AB$12,"总值",I538:AB538)</f>
        <v>0</v>
      </c>
      <c r="I538" s="85"/>
      <c r="J538" s="85"/>
      <c r="K538" s="85"/>
      <c r="L538" s="85"/>
      <c r="M538" s="85"/>
      <c r="N538" s="85"/>
      <c r="O538" s="85"/>
      <c r="P538" s="85"/>
      <c r="Q538" s="85"/>
      <c r="R538" s="85"/>
      <c r="S538" s="85"/>
      <c r="T538" s="85"/>
      <c r="U538" s="85"/>
      <c r="V538" s="85"/>
      <c r="W538" s="85"/>
      <c r="X538" s="85"/>
      <c r="Y538" s="85"/>
      <c r="Z538" s="85"/>
      <c r="AA538" s="85"/>
      <c r="AB538" s="85"/>
      <c r="AC538" s="81">
        <f t="shared" ref="AC538:AC569" si="355">SUMIF(AD$12:AS$12,"总值",AD538:AS538)</f>
        <v>0</v>
      </c>
      <c r="AD538" s="86"/>
      <c r="AE538" s="86"/>
      <c r="AF538" s="86"/>
      <c r="AG538" s="86"/>
      <c r="AH538" s="86"/>
      <c r="AI538" s="86"/>
      <c r="AJ538" s="86"/>
      <c r="AK538" s="86"/>
      <c r="AL538" s="86"/>
      <c r="AM538" s="86"/>
      <c r="AN538" s="86"/>
      <c r="AO538" s="86"/>
      <c r="AP538" s="86"/>
      <c r="AQ538" s="86"/>
      <c r="AR538" s="86"/>
      <c r="AS538" s="86"/>
      <c r="AT538" s="82"/>
      <c r="AU538" s="87"/>
      <c r="AV538" s="818">
        <f t="shared" ref="AV538:AV572" si="356">A538</f>
        <v>0</v>
      </c>
      <c r="AW538" s="818">
        <f t="shared" ref="AW538:AW572" si="357">B538</f>
        <v>0</v>
      </c>
      <c r="AX538" s="818">
        <f t="shared" ref="AX538:AX572" si="358">C538</f>
        <v>0</v>
      </c>
      <c r="AY538" s="88">
        <f t="shared" ref="AY538:AY569" si="359">ROUND($AY$6*AZ538/$AZ$5,2)</f>
        <v>0</v>
      </c>
      <c r="AZ538" s="81">
        <f t="shared" ref="AZ538:AZ569" si="360">BA538+BL538</f>
        <v>0</v>
      </c>
      <c r="BA538" s="81">
        <f t="shared" ref="BA538:BA569" si="361">SUM(BB538:BK538)</f>
        <v>0</v>
      </c>
      <c r="BB538" s="81">
        <f t="shared" ref="BB538:BB569" si="362">IF($D538="是",I538-J538,0)</f>
        <v>0</v>
      </c>
      <c r="BC538" s="81">
        <f t="shared" ref="BC538:BC569" si="363">IF($D538="是",K538-L538,0)</f>
        <v>0</v>
      </c>
      <c r="BD538" s="81">
        <f t="shared" ref="BD538:BD569" si="364">IF($D538="是",M538-N538,0)</f>
        <v>0</v>
      </c>
      <c r="BE538" s="81">
        <f t="shared" ref="BE538:BE569" si="365">IF($D538="是",O538-P538,0)</f>
        <v>0</v>
      </c>
      <c r="BF538" s="81">
        <f t="shared" ref="BF538:BF569" si="366">IF($D538="是",Q538-R538,0)</f>
        <v>0</v>
      </c>
      <c r="BG538" s="81">
        <f t="shared" ref="BG538:BG569" si="367">IF($D538="是",S538-T538,0)</f>
        <v>0</v>
      </c>
      <c r="BH538" s="81">
        <f t="shared" ref="BH538:BH569" si="368">IF($D538="是",U538-V538,0)</f>
        <v>0</v>
      </c>
      <c r="BI538" s="81">
        <f t="shared" ref="BI538:BI569" si="369">IF($D538="是",W538-X538,0)</f>
        <v>0</v>
      </c>
      <c r="BJ538" s="81">
        <f t="shared" ref="BJ538:BJ569" si="370">IF($D538="是",Y538-Z538,0)</f>
        <v>0</v>
      </c>
      <c r="BK538" s="81">
        <f t="shared" ref="BK538:BK569" si="371">IF($D538="是",AA538-AB538,0)</f>
        <v>0</v>
      </c>
      <c r="BL538" s="81">
        <f t="shared" ref="BL538:BL569" si="372">SUM(BM538:BT538)</f>
        <v>0</v>
      </c>
      <c r="BM538" s="81">
        <f t="shared" ref="BM538:BM569" si="373">IF($D538="是",AD538-AE538,0)</f>
        <v>0</v>
      </c>
      <c r="BN538" s="81">
        <f t="shared" ref="BN538:BN569" si="374">IF($D538="是",AF538-AG538,0)</f>
        <v>0</v>
      </c>
      <c r="BO538" s="81">
        <f t="shared" ref="BO538:BO569" si="375">IF($D538="是",AH538-AI538,0)</f>
        <v>0</v>
      </c>
      <c r="BP538" s="81">
        <f t="shared" ref="BP538:BP569" si="376">IF($D538="是",AJ538-AK538,0)</f>
        <v>0</v>
      </c>
      <c r="BQ538" s="81">
        <f t="shared" ref="BQ538:BQ569" si="377">IF($D538="是",AL538-AM538,0)</f>
        <v>0</v>
      </c>
      <c r="BR538" s="81">
        <f t="shared" ref="BR538:BR569" si="378">IF($D538="是",AN538-AO538,0)</f>
        <v>0</v>
      </c>
      <c r="BS538" s="81">
        <f t="shared" ref="BS538:BS569" si="379">IF($D538="是",AP538-AQ538,0)</f>
        <v>0</v>
      </c>
      <c r="BT538" s="89">
        <f t="shared" ref="BT538:BT569" si="380">IF($D538="是",AR538-AS538,0)</f>
        <v>0</v>
      </c>
    </row>
    <row r="539" spans="1:72">
      <c r="A539" s="79"/>
      <c r="B539" s="80"/>
      <c r="C539" s="80"/>
      <c r="D539" s="2301"/>
      <c r="E539" s="81">
        <f t="shared" si="352"/>
        <v>0</v>
      </c>
      <c r="F539" s="82"/>
      <c r="G539" s="83">
        <f t="shared" si="353"/>
        <v>0</v>
      </c>
      <c r="H539" s="84">
        <f t="shared" si="354"/>
        <v>0</v>
      </c>
      <c r="I539" s="85"/>
      <c r="J539" s="85"/>
      <c r="K539" s="85"/>
      <c r="L539" s="85"/>
      <c r="M539" s="85"/>
      <c r="N539" s="85"/>
      <c r="O539" s="85"/>
      <c r="P539" s="85"/>
      <c r="Q539" s="85"/>
      <c r="R539" s="85"/>
      <c r="S539" s="85"/>
      <c r="T539" s="85"/>
      <c r="U539" s="85"/>
      <c r="V539" s="85"/>
      <c r="W539" s="85"/>
      <c r="X539" s="85"/>
      <c r="Y539" s="85"/>
      <c r="Z539" s="85"/>
      <c r="AA539" s="85"/>
      <c r="AB539" s="85"/>
      <c r="AC539" s="81">
        <f t="shared" si="355"/>
        <v>0</v>
      </c>
      <c r="AD539" s="86"/>
      <c r="AE539" s="86"/>
      <c r="AF539" s="86"/>
      <c r="AG539" s="86"/>
      <c r="AH539" s="86"/>
      <c r="AI539" s="86"/>
      <c r="AJ539" s="86"/>
      <c r="AK539" s="86"/>
      <c r="AL539" s="86"/>
      <c r="AM539" s="86"/>
      <c r="AN539" s="86"/>
      <c r="AO539" s="86"/>
      <c r="AP539" s="86"/>
      <c r="AQ539" s="86"/>
      <c r="AR539" s="86"/>
      <c r="AS539" s="86"/>
      <c r="AT539" s="82"/>
      <c r="AU539" s="87"/>
      <c r="AV539" s="818">
        <f t="shared" si="356"/>
        <v>0</v>
      </c>
      <c r="AW539" s="818">
        <f t="shared" si="357"/>
        <v>0</v>
      </c>
      <c r="AX539" s="818">
        <f t="shared" si="358"/>
        <v>0</v>
      </c>
      <c r="AY539" s="88">
        <f t="shared" si="359"/>
        <v>0</v>
      </c>
      <c r="AZ539" s="81">
        <f t="shared" si="360"/>
        <v>0</v>
      </c>
      <c r="BA539" s="81">
        <f t="shared" si="361"/>
        <v>0</v>
      </c>
      <c r="BB539" s="81">
        <f t="shared" si="362"/>
        <v>0</v>
      </c>
      <c r="BC539" s="81">
        <f t="shared" si="363"/>
        <v>0</v>
      </c>
      <c r="BD539" s="81">
        <f t="shared" si="364"/>
        <v>0</v>
      </c>
      <c r="BE539" s="81">
        <f t="shared" si="365"/>
        <v>0</v>
      </c>
      <c r="BF539" s="81">
        <f t="shared" si="366"/>
        <v>0</v>
      </c>
      <c r="BG539" s="81">
        <f t="shared" si="367"/>
        <v>0</v>
      </c>
      <c r="BH539" s="81">
        <f t="shared" si="368"/>
        <v>0</v>
      </c>
      <c r="BI539" s="81">
        <f t="shared" si="369"/>
        <v>0</v>
      </c>
      <c r="BJ539" s="81">
        <f t="shared" si="370"/>
        <v>0</v>
      </c>
      <c r="BK539" s="81">
        <f t="shared" si="371"/>
        <v>0</v>
      </c>
      <c r="BL539" s="81">
        <f t="shared" si="372"/>
        <v>0</v>
      </c>
      <c r="BM539" s="81">
        <f t="shared" si="373"/>
        <v>0</v>
      </c>
      <c r="BN539" s="81">
        <f t="shared" si="374"/>
        <v>0</v>
      </c>
      <c r="BO539" s="81">
        <f t="shared" si="375"/>
        <v>0</v>
      </c>
      <c r="BP539" s="81">
        <f t="shared" si="376"/>
        <v>0</v>
      </c>
      <c r="BQ539" s="81">
        <f t="shared" si="377"/>
        <v>0</v>
      </c>
      <c r="BR539" s="81">
        <f t="shared" si="378"/>
        <v>0</v>
      </c>
      <c r="BS539" s="81">
        <f t="shared" si="379"/>
        <v>0</v>
      </c>
      <c r="BT539" s="89">
        <f t="shared" si="380"/>
        <v>0</v>
      </c>
    </row>
    <row r="540" spans="1:72">
      <c r="A540" s="79"/>
      <c r="B540" s="80"/>
      <c r="C540" s="80"/>
      <c r="D540" s="2301"/>
      <c r="E540" s="81">
        <f t="shared" si="352"/>
        <v>0</v>
      </c>
      <c r="F540" s="82"/>
      <c r="G540" s="83">
        <f t="shared" si="353"/>
        <v>0</v>
      </c>
      <c r="H540" s="84">
        <f t="shared" si="354"/>
        <v>0</v>
      </c>
      <c r="I540" s="85"/>
      <c r="J540" s="85"/>
      <c r="K540" s="85"/>
      <c r="L540" s="85"/>
      <c r="M540" s="85"/>
      <c r="N540" s="85"/>
      <c r="O540" s="85"/>
      <c r="P540" s="85"/>
      <c r="Q540" s="85"/>
      <c r="R540" s="85"/>
      <c r="S540" s="85"/>
      <c r="T540" s="85"/>
      <c r="U540" s="85"/>
      <c r="V540" s="85"/>
      <c r="W540" s="85"/>
      <c r="X540" s="85"/>
      <c r="Y540" s="85"/>
      <c r="Z540" s="85"/>
      <c r="AA540" s="85"/>
      <c r="AB540" s="85"/>
      <c r="AC540" s="81">
        <f t="shared" si="355"/>
        <v>0</v>
      </c>
      <c r="AD540" s="86"/>
      <c r="AE540" s="86"/>
      <c r="AF540" s="86"/>
      <c r="AG540" s="86"/>
      <c r="AH540" s="86"/>
      <c r="AI540" s="86"/>
      <c r="AJ540" s="86"/>
      <c r="AK540" s="86"/>
      <c r="AL540" s="86"/>
      <c r="AM540" s="86"/>
      <c r="AN540" s="86"/>
      <c r="AO540" s="86"/>
      <c r="AP540" s="86"/>
      <c r="AQ540" s="86"/>
      <c r="AR540" s="86"/>
      <c r="AS540" s="86"/>
      <c r="AT540" s="82"/>
      <c r="AU540" s="87"/>
      <c r="AV540" s="818">
        <f t="shared" si="356"/>
        <v>0</v>
      </c>
      <c r="AW540" s="818">
        <f t="shared" si="357"/>
        <v>0</v>
      </c>
      <c r="AX540" s="818">
        <f t="shared" si="358"/>
        <v>0</v>
      </c>
      <c r="AY540" s="88">
        <f t="shared" si="359"/>
        <v>0</v>
      </c>
      <c r="AZ540" s="81">
        <f t="shared" si="360"/>
        <v>0</v>
      </c>
      <c r="BA540" s="81">
        <f t="shared" si="361"/>
        <v>0</v>
      </c>
      <c r="BB540" s="81">
        <f t="shared" si="362"/>
        <v>0</v>
      </c>
      <c r="BC540" s="81">
        <f t="shared" si="363"/>
        <v>0</v>
      </c>
      <c r="BD540" s="81">
        <f t="shared" si="364"/>
        <v>0</v>
      </c>
      <c r="BE540" s="81">
        <f t="shared" si="365"/>
        <v>0</v>
      </c>
      <c r="BF540" s="81">
        <f t="shared" si="366"/>
        <v>0</v>
      </c>
      <c r="BG540" s="81">
        <f t="shared" si="367"/>
        <v>0</v>
      </c>
      <c r="BH540" s="81">
        <f t="shared" si="368"/>
        <v>0</v>
      </c>
      <c r="BI540" s="81">
        <f t="shared" si="369"/>
        <v>0</v>
      </c>
      <c r="BJ540" s="81">
        <f t="shared" si="370"/>
        <v>0</v>
      </c>
      <c r="BK540" s="81">
        <f t="shared" si="371"/>
        <v>0</v>
      </c>
      <c r="BL540" s="81">
        <f t="shared" si="372"/>
        <v>0</v>
      </c>
      <c r="BM540" s="81">
        <f t="shared" si="373"/>
        <v>0</v>
      </c>
      <c r="BN540" s="81">
        <f t="shared" si="374"/>
        <v>0</v>
      </c>
      <c r="BO540" s="81">
        <f t="shared" si="375"/>
        <v>0</v>
      </c>
      <c r="BP540" s="81">
        <f t="shared" si="376"/>
        <v>0</v>
      </c>
      <c r="BQ540" s="81">
        <f t="shared" si="377"/>
        <v>0</v>
      </c>
      <c r="BR540" s="81">
        <f t="shared" si="378"/>
        <v>0</v>
      </c>
      <c r="BS540" s="81">
        <f t="shared" si="379"/>
        <v>0</v>
      </c>
      <c r="BT540" s="89">
        <f t="shared" si="380"/>
        <v>0</v>
      </c>
    </row>
    <row r="541" spans="1:72">
      <c r="A541" s="79"/>
      <c r="B541" s="80"/>
      <c r="C541" s="80"/>
      <c r="D541" s="2301"/>
      <c r="E541" s="81">
        <f t="shared" si="352"/>
        <v>0</v>
      </c>
      <c r="F541" s="82"/>
      <c r="G541" s="83">
        <f t="shared" si="353"/>
        <v>0</v>
      </c>
      <c r="H541" s="84">
        <f t="shared" si="354"/>
        <v>0</v>
      </c>
      <c r="I541" s="85"/>
      <c r="J541" s="85"/>
      <c r="K541" s="85"/>
      <c r="L541" s="85"/>
      <c r="M541" s="85"/>
      <c r="N541" s="85"/>
      <c r="O541" s="85"/>
      <c r="P541" s="85"/>
      <c r="Q541" s="85"/>
      <c r="R541" s="85"/>
      <c r="S541" s="85"/>
      <c r="T541" s="85"/>
      <c r="U541" s="85"/>
      <c r="V541" s="85"/>
      <c r="W541" s="85"/>
      <c r="X541" s="85"/>
      <c r="Y541" s="85"/>
      <c r="Z541" s="85"/>
      <c r="AA541" s="85"/>
      <c r="AB541" s="85"/>
      <c r="AC541" s="81">
        <f t="shared" si="355"/>
        <v>0</v>
      </c>
      <c r="AD541" s="86"/>
      <c r="AE541" s="86"/>
      <c r="AF541" s="86"/>
      <c r="AG541" s="86"/>
      <c r="AH541" s="86"/>
      <c r="AI541" s="86"/>
      <c r="AJ541" s="86"/>
      <c r="AK541" s="86"/>
      <c r="AL541" s="86"/>
      <c r="AM541" s="86"/>
      <c r="AN541" s="86"/>
      <c r="AO541" s="86"/>
      <c r="AP541" s="86"/>
      <c r="AQ541" s="86"/>
      <c r="AR541" s="86"/>
      <c r="AS541" s="86"/>
      <c r="AT541" s="82"/>
      <c r="AU541" s="87"/>
      <c r="AV541" s="818">
        <f t="shared" si="356"/>
        <v>0</v>
      </c>
      <c r="AW541" s="818">
        <f t="shared" si="357"/>
        <v>0</v>
      </c>
      <c r="AX541" s="818">
        <f t="shared" si="358"/>
        <v>0</v>
      </c>
      <c r="AY541" s="88">
        <f t="shared" si="359"/>
        <v>0</v>
      </c>
      <c r="AZ541" s="81">
        <f t="shared" si="360"/>
        <v>0</v>
      </c>
      <c r="BA541" s="81">
        <f t="shared" si="361"/>
        <v>0</v>
      </c>
      <c r="BB541" s="81">
        <f t="shared" si="362"/>
        <v>0</v>
      </c>
      <c r="BC541" s="81">
        <f t="shared" si="363"/>
        <v>0</v>
      </c>
      <c r="BD541" s="81">
        <f t="shared" si="364"/>
        <v>0</v>
      </c>
      <c r="BE541" s="81">
        <f t="shared" si="365"/>
        <v>0</v>
      </c>
      <c r="BF541" s="81">
        <f t="shared" si="366"/>
        <v>0</v>
      </c>
      <c r="BG541" s="81">
        <f t="shared" si="367"/>
        <v>0</v>
      </c>
      <c r="BH541" s="81">
        <f t="shared" si="368"/>
        <v>0</v>
      </c>
      <c r="BI541" s="81">
        <f t="shared" si="369"/>
        <v>0</v>
      </c>
      <c r="BJ541" s="81">
        <f t="shared" si="370"/>
        <v>0</v>
      </c>
      <c r="BK541" s="81">
        <f t="shared" si="371"/>
        <v>0</v>
      </c>
      <c r="BL541" s="81">
        <f t="shared" si="372"/>
        <v>0</v>
      </c>
      <c r="BM541" s="81">
        <f t="shared" si="373"/>
        <v>0</v>
      </c>
      <c r="BN541" s="81">
        <f t="shared" si="374"/>
        <v>0</v>
      </c>
      <c r="BO541" s="81">
        <f t="shared" si="375"/>
        <v>0</v>
      </c>
      <c r="BP541" s="81">
        <f t="shared" si="376"/>
        <v>0</v>
      </c>
      <c r="BQ541" s="81">
        <f t="shared" si="377"/>
        <v>0</v>
      </c>
      <c r="BR541" s="81">
        <f t="shared" si="378"/>
        <v>0</v>
      </c>
      <c r="BS541" s="81">
        <f t="shared" si="379"/>
        <v>0</v>
      </c>
      <c r="BT541" s="89">
        <f t="shared" si="380"/>
        <v>0</v>
      </c>
    </row>
    <row r="542" spans="1:72">
      <c r="A542" s="79"/>
      <c r="B542" s="80"/>
      <c r="C542" s="80"/>
      <c r="D542" s="2301"/>
      <c r="E542" s="81">
        <f t="shared" si="352"/>
        <v>0</v>
      </c>
      <c r="F542" s="82"/>
      <c r="G542" s="83">
        <f t="shared" si="353"/>
        <v>0</v>
      </c>
      <c r="H542" s="84">
        <f t="shared" si="354"/>
        <v>0</v>
      </c>
      <c r="I542" s="85"/>
      <c r="J542" s="85"/>
      <c r="K542" s="85"/>
      <c r="L542" s="85"/>
      <c r="M542" s="85"/>
      <c r="N542" s="85"/>
      <c r="O542" s="85"/>
      <c r="P542" s="85"/>
      <c r="Q542" s="85"/>
      <c r="R542" s="85"/>
      <c r="S542" s="85"/>
      <c r="T542" s="85"/>
      <c r="U542" s="85"/>
      <c r="V542" s="85"/>
      <c r="W542" s="85"/>
      <c r="X542" s="85"/>
      <c r="Y542" s="85"/>
      <c r="Z542" s="85"/>
      <c r="AA542" s="85"/>
      <c r="AB542" s="85"/>
      <c r="AC542" s="81">
        <f t="shared" si="355"/>
        <v>0</v>
      </c>
      <c r="AD542" s="86"/>
      <c r="AE542" s="86"/>
      <c r="AF542" s="86"/>
      <c r="AG542" s="86"/>
      <c r="AH542" s="86"/>
      <c r="AI542" s="86"/>
      <c r="AJ542" s="86"/>
      <c r="AK542" s="86"/>
      <c r="AL542" s="86"/>
      <c r="AM542" s="86"/>
      <c r="AN542" s="86"/>
      <c r="AO542" s="86"/>
      <c r="AP542" s="86"/>
      <c r="AQ542" s="86"/>
      <c r="AR542" s="86"/>
      <c r="AS542" s="86"/>
      <c r="AT542" s="82"/>
      <c r="AU542" s="87"/>
      <c r="AV542" s="818">
        <f t="shared" si="356"/>
        <v>0</v>
      </c>
      <c r="AW542" s="818">
        <f t="shared" si="357"/>
        <v>0</v>
      </c>
      <c r="AX542" s="818">
        <f t="shared" si="358"/>
        <v>0</v>
      </c>
      <c r="AY542" s="88">
        <f t="shared" si="359"/>
        <v>0</v>
      </c>
      <c r="AZ542" s="81">
        <f t="shared" si="360"/>
        <v>0</v>
      </c>
      <c r="BA542" s="81">
        <f t="shared" si="361"/>
        <v>0</v>
      </c>
      <c r="BB542" s="81">
        <f t="shared" si="362"/>
        <v>0</v>
      </c>
      <c r="BC542" s="81">
        <f t="shared" si="363"/>
        <v>0</v>
      </c>
      <c r="BD542" s="81">
        <f t="shared" si="364"/>
        <v>0</v>
      </c>
      <c r="BE542" s="81">
        <f t="shared" si="365"/>
        <v>0</v>
      </c>
      <c r="BF542" s="81">
        <f t="shared" si="366"/>
        <v>0</v>
      </c>
      <c r="BG542" s="81">
        <f t="shared" si="367"/>
        <v>0</v>
      </c>
      <c r="BH542" s="81">
        <f t="shared" si="368"/>
        <v>0</v>
      </c>
      <c r="BI542" s="81">
        <f t="shared" si="369"/>
        <v>0</v>
      </c>
      <c r="BJ542" s="81">
        <f t="shared" si="370"/>
        <v>0</v>
      </c>
      <c r="BK542" s="81">
        <f t="shared" si="371"/>
        <v>0</v>
      </c>
      <c r="BL542" s="81">
        <f t="shared" si="372"/>
        <v>0</v>
      </c>
      <c r="BM542" s="81">
        <f t="shared" si="373"/>
        <v>0</v>
      </c>
      <c r="BN542" s="81">
        <f t="shared" si="374"/>
        <v>0</v>
      </c>
      <c r="BO542" s="81">
        <f t="shared" si="375"/>
        <v>0</v>
      </c>
      <c r="BP542" s="81">
        <f t="shared" si="376"/>
        <v>0</v>
      </c>
      <c r="BQ542" s="81">
        <f t="shared" si="377"/>
        <v>0</v>
      </c>
      <c r="BR542" s="81">
        <f t="shared" si="378"/>
        <v>0</v>
      </c>
      <c r="BS542" s="81">
        <f t="shared" si="379"/>
        <v>0</v>
      </c>
      <c r="BT542" s="89">
        <f t="shared" si="380"/>
        <v>0</v>
      </c>
    </row>
    <row r="543" spans="1:72">
      <c r="A543" s="79"/>
      <c r="B543" s="80"/>
      <c r="C543" s="80"/>
      <c r="D543" s="2301"/>
      <c r="E543" s="81">
        <f t="shared" si="352"/>
        <v>0</v>
      </c>
      <c r="F543" s="82"/>
      <c r="G543" s="83">
        <f t="shared" si="353"/>
        <v>0</v>
      </c>
      <c r="H543" s="84">
        <f t="shared" si="354"/>
        <v>0</v>
      </c>
      <c r="I543" s="85"/>
      <c r="J543" s="85"/>
      <c r="K543" s="85"/>
      <c r="L543" s="85"/>
      <c r="M543" s="85"/>
      <c r="N543" s="85"/>
      <c r="O543" s="85"/>
      <c r="P543" s="85"/>
      <c r="Q543" s="85"/>
      <c r="R543" s="85"/>
      <c r="S543" s="85"/>
      <c r="T543" s="85"/>
      <c r="U543" s="85"/>
      <c r="V543" s="85"/>
      <c r="W543" s="85"/>
      <c r="X543" s="85"/>
      <c r="Y543" s="85"/>
      <c r="Z543" s="85"/>
      <c r="AA543" s="85"/>
      <c r="AB543" s="85"/>
      <c r="AC543" s="81">
        <f t="shared" si="355"/>
        <v>0</v>
      </c>
      <c r="AD543" s="86"/>
      <c r="AE543" s="86"/>
      <c r="AF543" s="86"/>
      <c r="AG543" s="86"/>
      <c r="AH543" s="86"/>
      <c r="AI543" s="86"/>
      <c r="AJ543" s="86"/>
      <c r="AK543" s="86"/>
      <c r="AL543" s="86"/>
      <c r="AM543" s="86"/>
      <c r="AN543" s="86"/>
      <c r="AO543" s="86"/>
      <c r="AP543" s="86"/>
      <c r="AQ543" s="86"/>
      <c r="AR543" s="86"/>
      <c r="AS543" s="86"/>
      <c r="AT543" s="82"/>
      <c r="AU543" s="87"/>
      <c r="AV543" s="818">
        <f t="shared" si="356"/>
        <v>0</v>
      </c>
      <c r="AW543" s="818">
        <f t="shared" si="357"/>
        <v>0</v>
      </c>
      <c r="AX543" s="818">
        <f t="shared" si="358"/>
        <v>0</v>
      </c>
      <c r="AY543" s="88">
        <f t="shared" si="359"/>
        <v>0</v>
      </c>
      <c r="AZ543" s="81">
        <f t="shared" si="360"/>
        <v>0</v>
      </c>
      <c r="BA543" s="81">
        <f t="shared" si="361"/>
        <v>0</v>
      </c>
      <c r="BB543" s="81">
        <f t="shared" si="362"/>
        <v>0</v>
      </c>
      <c r="BC543" s="81">
        <f t="shared" si="363"/>
        <v>0</v>
      </c>
      <c r="BD543" s="81">
        <f t="shared" si="364"/>
        <v>0</v>
      </c>
      <c r="BE543" s="81">
        <f t="shared" si="365"/>
        <v>0</v>
      </c>
      <c r="BF543" s="81">
        <f t="shared" si="366"/>
        <v>0</v>
      </c>
      <c r="BG543" s="81">
        <f t="shared" si="367"/>
        <v>0</v>
      </c>
      <c r="BH543" s="81">
        <f t="shared" si="368"/>
        <v>0</v>
      </c>
      <c r="BI543" s="81">
        <f t="shared" si="369"/>
        <v>0</v>
      </c>
      <c r="BJ543" s="81">
        <f t="shared" si="370"/>
        <v>0</v>
      </c>
      <c r="BK543" s="81">
        <f t="shared" si="371"/>
        <v>0</v>
      </c>
      <c r="BL543" s="81">
        <f t="shared" si="372"/>
        <v>0</v>
      </c>
      <c r="BM543" s="81">
        <f t="shared" si="373"/>
        <v>0</v>
      </c>
      <c r="BN543" s="81">
        <f t="shared" si="374"/>
        <v>0</v>
      </c>
      <c r="BO543" s="81">
        <f t="shared" si="375"/>
        <v>0</v>
      </c>
      <c r="BP543" s="81">
        <f t="shared" si="376"/>
        <v>0</v>
      </c>
      <c r="BQ543" s="81">
        <f t="shared" si="377"/>
        <v>0</v>
      </c>
      <c r="BR543" s="81">
        <f t="shared" si="378"/>
        <v>0</v>
      </c>
      <c r="BS543" s="81">
        <f t="shared" si="379"/>
        <v>0</v>
      </c>
      <c r="BT543" s="89">
        <f t="shared" si="380"/>
        <v>0</v>
      </c>
    </row>
    <row r="544" spans="1:72">
      <c r="A544" s="79"/>
      <c r="B544" s="80"/>
      <c r="C544" s="80"/>
      <c r="D544" s="2301"/>
      <c r="E544" s="81">
        <f t="shared" si="352"/>
        <v>0</v>
      </c>
      <c r="F544" s="82"/>
      <c r="G544" s="83">
        <f t="shared" si="353"/>
        <v>0</v>
      </c>
      <c r="H544" s="84">
        <f t="shared" si="354"/>
        <v>0</v>
      </c>
      <c r="I544" s="85"/>
      <c r="J544" s="85"/>
      <c r="K544" s="85"/>
      <c r="L544" s="85"/>
      <c r="M544" s="85"/>
      <c r="N544" s="85"/>
      <c r="O544" s="85"/>
      <c r="P544" s="85"/>
      <c r="Q544" s="85"/>
      <c r="R544" s="85"/>
      <c r="S544" s="85"/>
      <c r="T544" s="85"/>
      <c r="U544" s="85"/>
      <c r="V544" s="85"/>
      <c r="W544" s="85"/>
      <c r="X544" s="85"/>
      <c r="Y544" s="85"/>
      <c r="Z544" s="85"/>
      <c r="AA544" s="85"/>
      <c r="AB544" s="85"/>
      <c r="AC544" s="81">
        <f t="shared" si="355"/>
        <v>0</v>
      </c>
      <c r="AD544" s="86"/>
      <c r="AE544" s="86"/>
      <c r="AF544" s="86"/>
      <c r="AG544" s="86"/>
      <c r="AH544" s="86"/>
      <c r="AI544" s="86"/>
      <c r="AJ544" s="86"/>
      <c r="AK544" s="86"/>
      <c r="AL544" s="86"/>
      <c r="AM544" s="86"/>
      <c r="AN544" s="86"/>
      <c r="AO544" s="86"/>
      <c r="AP544" s="86"/>
      <c r="AQ544" s="86"/>
      <c r="AR544" s="86"/>
      <c r="AS544" s="86"/>
      <c r="AT544" s="82"/>
      <c r="AU544" s="87"/>
      <c r="AV544" s="818">
        <f t="shared" si="356"/>
        <v>0</v>
      </c>
      <c r="AW544" s="818">
        <f t="shared" si="357"/>
        <v>0</v>
      </c>
      <c r="AX544" s="818">
        <f t="shared" si="358"/>
        <v>0</v>
      </c>
      <c r="AY544" s="88">
        <f t="shared" si="359"/>
        <v>0</v>
      </c>
      <c r="AZ544" s="81">
        <f t="shared" si="360"/>
        <v>0</v>
      </c>
      <c r="BA544" s="81">
        <f t="shared" si="361"/>
        <v>0</v>
      </c>
      <c r="BB544" s="81">
        <f t="shared" si="362"/>
        <v>0</v>
      </c>
      <c r="BC544" s="81">
        <f t="shared" si="363"/>
        <v>0</v>
      </c>
      <c r="BD544" s="81">
        <f t="shared" si="364"/>
        <v>0</v>
      </c>
      <c r="BE544" s="81">
        <f t="shared" si="365"/>
        <v>0</v>
      </c>
      <c r="BF544" s="81">
        <f t="shared" si="366"/>
        <v>0</v>
      </c>
      <c r="BG544" s="81">
        <f t="shared" si="367"/>
        <v>0</v>
      </c>
      <c r="BH544" s="81">
        <f t="shared" si="368"/>
        <v>0</v>
      </c>
      <c r="BI544" s="81">
        <f t="shared" si="369"/>
        <v>0</v>
      </c>
      <c r="BJ544" s="81">
        <f t="shared" si="370"/>
        <v>0</v>
      </c>
      <c r="BK544" s="81">
        <f t="shared" si="371"/>
        <v>0</v>
      </c>
      <c r="BL544" s="81">
        <f t="shared" si="372"/>
        <v>0</v>
      </c>
      <c r="BM544" s="81">
        <f t="shared" si="373"/>
        <v>0</v>
      </c>
      <c r="BN544" s="81">
        <f t="shared" si="374"/>
        <v>0</v>
      </c>
      <c r="BO544" s="81">
        <f t="shared" si="375"/>
        <v>0</v>
      </c>
      <c r="BP544" s="81">
        <f t="shared" si="376"/>
        <v>0</v>
      </c>
      <c r="BQ544" s="81">
        <f t="shared" si="377"/>
        <v>0</v>
      </c>
      <c r="BR544" s="81">
        <f t="shared" si="378"/>
        <v>0</v>
      </c>
      <c r="BS544" s="81">
        <f t="shared" si="379"/>
        <v>0</v>
      </c>
      <c r="BT544" s="89">
        <f t="shared" si="380"/>
        <v>0</v>
      </c>
    </row>
    <row r="545" spans="1:72">
      <c r="A545" s="79"/>
      <c r="B545" s="80"/>
      <c r="C545" s="80"/>
      <c r="D545" s="2301"/>
      <c r="E545" s="81">
        <f t="shared" si="352"/>
        <v>0</v>
      </c>
      <c r="F545" s="82"/>
      <c r="G545" s="83">
        <f t="shared" si="353"/>
        <v>0</v>
      </c>
      <c r="H545" s="84">
        <f t="shared" si="354"/>
        <v>0</v>
      </c>
      <c r="I545" s="85"/>
      <c r="J545" s="85"/>
      <c r="K545" s="85"/>
      <c r="L545" s="85"/>
      <c r="M545" s="85"/>
      <c r="N545" s="85"/>
      <c r="O545" s="85"/>
      <c r="P545" s="85"/>
      <c r="Q545" s="85"/>
      <c r="R545" s="85"/>
      <c r="S545" s="85"/>
      <c r="T545" s="85"/>
      <c r="U545" s="85"/>
      <c r="V545" s="85"/>
      <c r="W545" s="85"/>
      <c r="X545" s="85"/>
      <c r="Y545" s="85"/>
      <c r="Z545" s="85"/>
      <c r="AA545" s="85"/>
      <c r="AB545" s="85"/>
      <c r="AC545" s="81">
        <f t="shared" si="355"/>
        <v>0</v>
      </c>
      <c r="AD545" s="86"/>
      <c r="AE545" s="86"/>
      <c r="AF545" s="86"/>
      <c r="AG545" s="86"/>
      <c r="AH545" s="86"/>
      <c r="AI545" s="86"/>
      <c r="AJ545" s="86"/>
      <c r="AK545" s="86"/>
      <c r="AL545" s="86"/>
      <c r="AM545" s="86"/>
      <c r="AN545" s="86"/>
      <c r="AO545" s="86"/>
      <c r="AP545" s="86"/>
      <c r="AQ545" s="86"/>
      <c r="AR545" s="86"/>
      <c r="AS545" s="86"/>
      <c r="AT545" s="82"/>
      <c r="AU545" s="87"/>
      <c r="AV545" s="818">
        <f t="shared" si="356"/>
        <v>0</v>
      </c>
      <c r="AW545" s="818">
        <f t="shared" si="357"/>
        <v>0</v>
      </c>
      <c r="AX545" s="818">
        <f t="shared" si="358"/>
        <v>0</v>
      </c>
      <c r="AY545" s="88">
        <f t="shared" si="359"/>
        <v>0</v>
      </c>
      <c r="AZ545" s="81">
        <f t="shared" si="360"/>
        <v>0</v>
      </c>
      <c r="BA545" s="81">
        <f t="shared" si="361"/>
        <v>0</v>
      </c>
      <c r="BB545" s="81">
        <f t="shared" si="362"/>
        <v>0</v>
      </c>
      <c r="BC545" s="81">
        <f t="shared" si="363"/>
        <v>0</v>
      </c>
      <c r="BD545" s="81">
        <f t="shared" si="364"/>
        <v>0</v>
      </c>
      <c r="BE545" s="81">
        <f t="shared" si="365"/>
        <v>0</v>
      </c>
      <c r="BF545" s="81">
        <f t="shared" si="366"/>
        <v>0</v>
      </c>
      <c r="BG545" s="81">
        <f t="shared" si="367"/>
        <v>0</v>
      </c>
      <c r="BH545" s="81">
        <f t="shared" si="368"/>
        <v>0</v>
      </c>
      <c r="BI545" s="81">
        <f t="shared" si="369"/>
        <v>0</v>
      </c>
      <c r="BJ545" s="81">
        <f t="shared" si="370"/>
        <v>0</v>
      </c>
      <c r="BK545" s="81">
        <f t="shared" si="371"/>
        <v>0</v>
      </c>
      <c r="BL545" s="81">
        <f t="shared" si="372"/>
        <v>0</v>
      </c>
      <c r="BM545" s="81">
        <f t="shared" si="373"/>
        <v>0</v>
      </c>
      <c r="BN545" s="81">
        <f t="shared" si="374"/>
        <v>0</v>
      </c>
      <c r="BO545" s="81">
        <f t="shared" si="375"/>
        <v>0</v>
      </c>
      <c r="BP545" s="81">
        <f t="shared" si="376"/>
        <v>0</v>
      </c>
      <c r="BQ545" s="81">
        <f t="shared" si="377"/>
        <v>0</v>
      </c>
      <c r="BR545" s="81">
        <f t="shared" si="378"/>
        <v>0</v>
      </c>
      <c r="BS545" s="81">
        <f t="shared" si="379"/>
        <v>0</v>
      </c>
      <c r="BT545" s="89">
        <f t="shared" si="380"/>
        <v>0</v>
      </c>
    </row>
    <row r="546" spans="1:72">
      <c r="A546" s="79"/>
      <c r="B546" s="80"/>
      <c r="C546" s="80"/>
      <c r="D546" s="2301"/>
      <c r="E546" s="81">
        <f t="shared" si="352"/>
        <v>0</v>
      </c>
      <c r="F546" s="82"/>
      <c r="G546" s="83">
        <f t="shared" si="353"/>
        <v>0</v>
      </c>
      <c r="H546" s="84">
        <f t="shared" si="354"/>
        <v>0</v>
      </c>
      <c r="I546" s="85"/>
      <c r="J546" s="85"/>
      <c r="K546" s="85"/>
      <c r="L546" s="85"/>
      <c r="M546" s="85"/>
      <c r="N546" s="85"/>
      <c r="O546" s="85"/>
      <c r="P546" s="85"/>
      <c r="Q546" s="85"/>
      <c r="R546" s="85"/>
      <c r="S546" s="85"/>
      <c r="T546" s="85"/>
      <c r="U546" s="85"/>
      <c r="V546" s="85"/>
      <c r="W546" s="85"/>
      <c r="X546" s="85"/>
      <c r="Y546" s="85"/>
      <c r="Z546" s="85"/>
      <c r="AA546" s="85"/>
      <c r="AB546" s="85"/>
      <c r="AC546" s="81">
        <f t="shared" si="355"/>
        <v>0</v>
      </c>
      <c r="AD546" s="86"/>
      <c r="AE546" s="86"/>
      <c r="AF546" s="86"/>
      <c r="AG546" s="86"/>
      <c r="AH546" s="86"/>
      <c r="AI546" s="86"/>
      <c r="AJ546" s="86"/>
      <c r="AK546" s="86"/>
      <c r="AL546" s="86"/>
      <c r="AM546" s="86"/>
      <c r="AN546" s="86"/>
      <c r="AO546" s="86"/>
      <c r="AP546" s="86"/>
      <c r="AQ546" s="86"/>
      <c r="AR546" s="86"/>
      <c r="AS546" s="86"/>
      <c r="AT546" s="82"/>
      <c r="AU546" s="87"/>
      <c r="AV546" s="818">
        <f t="shared" si="356"/>
        <v>0</v>
      </c>
      <c r="AW546" s="818">
        <f t="shared" si="357"/>
        <v>0</v>
      </c>
      <c r="AX546" s="818">
        <f t="shared" si="358"/>
        <v>0</v>
      </c>
      <c r="AY546" s="88">
        <f t="shared" si="359"/>
        <v>0</v>
      </c>
      <c r="AZ546" s="81">
        <f t="shared" si="360"/>
        <v>0</v>
      </c>
      <c r="BA546" s="81">
        <f t="shared" si="361"/>
        <v>0</v>
      </c>
      <c r="BB546" s="81">
        <f t="shared" si="362"/>
        <v>0</v>
      </c>
      <c r="BC546" s="81">
        <f t="shared" si="363"/>
        <v>0</v>
      </c>
      <c r="BD546" s="81">
        <f t="shared" si="364"/>
        <v>0</v>
      </c>
      <c r="BE546" s="81">
        <f t="shared" si="365"/>
        <v>0</v>
      </c>
      <c r="BF546" s="81">
        <f t="shared" si="366"/>
        <v>0</v>
      </c>
      <c r="BG546" s="81">
        <f t="shared" si="367"/>
        <v>0</v>
      </c>
      <c r="BH546" s="81">
        <f t="shared" si="368"/>
        <v>0</v>
      </c>
      <c r="BI546" s="81">
        <f t="shared" si="369"/>
        <v>0</v>
      </c>
      <c r="BJ546" s="81">
        <f t="shared" si="370"/>
        <v>0</v>
      </c>
      <c r="BK546" s="81">
        <f t="shared" si="371"/>
        <v>0</v>
      </c>
      <c r="BL546" s="81">
        <f t="shared" si="372"/>
        <v>0</v>
      </c>
      <c r="BM546" s="81">
        <f t="shared" si="373"/>
        <v>0</v>
      </c>
      <c r="BN546" s="81">
        <f t="shared" si="374"/>
        <v>0</v>
      </c>
      <c r="BO546" s="81">
        <f t="shared" si="375"/>
        <v>0</v>
      </c>
      <c r="BP546" s="81">
        <f t="shared" si="376"/>
        <v>0</v>
      </c>
      <c r="BQ546" s="81">
        <f t="shared" si="377"/>
        <v>0</v>
      </c>
      <c r="BR546" s="81">
        <f t="shared" si="378"/>
        <v>0</v>
      </c>
      <c r="BS546" s="81">
        <f t="shared" si="379"/>
        <v>0</v>
      </c>
      <c r="BT546" s="89">
        <f t="shared" si="380"/>
        <v>0</v>
      </c>
    </row>
    <row r="547" spans="1:72">
      <c r="A547" s="79"/>
      <c r="B547" s="80"/>
      <c r="C547" s="80"/>
      <c r="D547" s="2301"/>
      <c r="E547" s="81">
        <f t="shared" si="352"/>
        <v>0</v>
      </c>
      <c r="F547" s="82"/>
      <c r="G547" s="83">
        <f t="shared" si="353"/>
        <v>0</v>
      </c>
      <c r="H547" s="84">
        <f t="shared" si="354"/>
        <v>0</v>
      </c>
      <c r="I547" s="85"/>
      <c r="J547" s="85"/>
      <c r="K547" s="85"/>
      <c r="L547" s="85"/>
      <c r="M547" s="85"/>
      <c r="N547" s="85"/>
      <c r="O547" s="85"/>
      <c r="P547" s="85"/>
      <c r="Q547" s="85"/>
      <c r="R547" s="85"/>
      <c r="S547" s="85"/>
      <c r="T547" s="85"/>
      <c r="U547" s="85"/>
      <c r="V547" s="85"/>
      <c r="W547" s="85"/>
      <c r="X547" s="85"/>
      <c r="Y547" s="85"/>
      <c r="Z547" s="85"/>
      <c r="AA547" s="85"/>
      <c r="AB547" s="85"/>
      <c r="AC547" s="81">
        <f t="shared" si="355"/>
        <v>0</v>
      </c>
      <c r="AD547" s="86"/>
      <c r="AE547" s="86"/>
      <c r="AF547" s="86"/>
      <c r="AG547" s="86"/>
      <c r="AH547" s="86"/>
      <c r="AI547" s="86"/>
      <c r="AJ547" s="86"/>
      <c r="AK547" s="86"/>
      <c r="AL547" s="86"/>
      <c r="AM547" s="86"/>
      <c r="AN547" s="86"/>
      <c r="AO547" s="86"/>
      <c r="AP547" s="86"/>
      <c r="AQ547" s="86"/>
      <c r="AR547" s="86"/>
      <c r="AS547" s="86"/>
      <c r="AT547" s="82"/>
      <c r="AU547" s="87"/>
      <c r="AV547" s="818">
        <f t="shared" si="356"/>
        <v>0</v>
      </c>
      <c r="AW547" s="818">
        <f t="shared" si="357"/>
        <v>0</v>
      </c>
      <c r="AX547" s="818">
        <f t="shared" si="358"/>
        <v>0</v>
      </c>
      <c r="AY547" s="88">
        <f t="shared" si="359"/>
        <v>0</v>
      </c>
      <c r="AZ547" s="81">
        <f t="shared" si="360"/>
        <v>0</v>
      </c>
      <c r="BA547" s="81">
        <f t="shared" si="361"/>
        <v>0</v>
      </c>
      <c r="BB547" s="81">
        <f t="shared" si="362"/>
        <v>0</v>
      </c>
      <c r="BC547" s="81">
        <f t="shared" si="363"/>
        <v>0</v>
      </c>
      <c r="BD547" s="81">
        <f t="shared" si="364"/>
        <v>0</v>
      </c>
      <c r="BE547" s="81">
        <f t="shared" si="365"/>
        <v>0</v>
      </c>
      <c r="BF547" s="81">
        <f t="shared" si="366"/>
        <v>0</v>
      </c>
      <c r="BG547" s="81">
        <f t="shared" si="367"/>
        <v>0</v>
      </c>
      <c r="BH547" s="81">
        <f t="shared" si="368"/>
        <v>0</v>
      </c>
      <c r="BI547" s="81">
        <f t="shared" si="369"/>
        <v>0</v>
      </c>
      <c r="BJ547" s="81">
        <f t="shared" si="370"/>
        <v>0</v>
      </c>
      <c r="BK547" s="81">
        <f t="shared" si="371"/>
        <v>0</v>
      </c>
      <c r="BL547" s="81">
        <f t="shared" si="372"/>
        <v>0</v>
      </c>
      <c r="BM547" s="81">
        <f t="shared" si="373"/>
        <v>0</v>
      </c>
      <c r="BN547" s="81">
        <f t="shared" si="374"/>
        <v>0</v>
      </c>
      <c r="BO547" s="81">
        <f t="shared" si="375"/>
        <v>0</v>
      </c>
      <c r="BP547" s="81">
        <f t="shared" si="376"/>
        <v>0</v>
      </c>
      <c r="BQ547" s="81">
        <f t="shared" si="377"/>
        <v>0</v>
      </c>
      <c r="BR547" s="81">
        <f t="shared" si="378"/>
        <v>0</v>
      </c>
      <c r="BS547" s="81">
        <f t="shared" si="379"/>
        <v>0</v>
      </c>
      <c r="BT547" s="89">
        <f t="shared" si="380"/>
        <v>0</v>
      </c>
    </row>
    <row r="548" spans="1:72">
      <c r="A548" s="79"/>
      <c r="B548" s="80"/>
      <c r="C548" s="80"/>
      <c r="D548" s="2301"/>
      <c r="E548" s="81">
        <f t="shared" si="352"/>
        <v>0</v>
      </c>
      <c r="F548" s="82"/>
      <c r="G548" s="83">
        <f t="shared" si="353"/>
        <v>0</v>
      </c>
      <c r="H548" s="84">
        <f t="shared" si="354"/>
        <v>0</v>
      </c>
      <c r="I548" s="85"/>
      <c r="J548" s="85"/>
      <c r="K548" s="85"/>
      <c r="L548" s="85"/>
      <c r="M548" s="85"/>
      <c r="N548" s="85"/>
      <c r="O548" s="85"/>
      <c r="P548" s="85"/>
      <c r="Q548" s="85"/>
      <c r="R548" s="85"/>
      <c r="S548" s="85"/>
      <c r="T548" s="85"/>
      <c r="U548" s="85"/>
      <c r="V548" s="85"/>
      <c r="W548" s="85"/>
      <c r="X548" s="85"/>
      <c r="Y548" s="85"/>
      <c r="Z548" s="85"/>
      <c r="AA548" s="85"/>
      <c r="AB548" s="85"/>
      <c r="AC548" s="81">
        <f t="shared" si="355"/>
        <v>0</v>
      </c>
      <c r="AD548" s="86"/>
      <c r="AE548" s="86"/>
      <c r="AF548" s="86"/>
      <c r="AG548" s="86"/>
      <c r="AH548" s="86"/>
      <c r="AI548" s="86"/>
      <c r="AJ548" s="86"/>
      <c r="AK548" s="86"/>
      <c r="AL548" s="86"/>
      <c r="AM548" s="86"/>
      <c r="AN548" s="86"/>
      <c r="AO548" s="86"/>
      <c r="AP548" s="86"/>
      <c r="AQ548" s="86"/>
      <c r="AR548" s="86"/>
      <c r="AS548" s="86"/>
      <c r="AT548" s="82"/>
      <c r="AU548" s="87"/>
      <c r="AV548" s="818">
        <f t="shared" si="356"/>
        <v>0</v>
      </c>
      <c r="AW548" s="818">
        <f t="shared" si="357"/>
        <v>0</v>
      </c>
      <c r="AX548" s="818">
        <f t="shared" si="358"/>
        <v>0</v>
      </c>
      <c r="AY548" s="88">
        <f t="shared" si="359"/>
        <v>0</v>
      </c>
      <c r="AZ548" s="81">
        <f t="shared" si="360"/>
        <v>0</v>
      </c>
      <c r="BA548" s="81">
        <f t="shared" si="361"/>
        <v>0</v>
      </c>
      <c r="BB548" s="81">
        <f t="shared" si="362"/>
        <v>0</v>
      </c>
      <c r="BC548" s="81">
        <f t="shared" si="363"/>
        <v>0</v>
      </c>
      <c r="BD548" s="81">
        <f t="shared" si="364"/>
        <v>0</v>
      </c>
      <c r="BE548" s="81">
        <f t="shared" si="365"/>
        <v>0</v>
      </c>
      <c r="BF548" s="81">
        <f t="shared" si="366"/>
        <v>0</v>
      </c>
      <c r="BG548" s="81">
        <f t="shared" si="367"/>
        <v>0</v>
      </c>
      <c r="BH548" s="81">
        <f t="shared" si="368"/>
        <v>0</v>
      </c>
      <c r="BI548" s="81">
        <f t="shared" si="369"/>
        <v>0</v>
      </c>
      <c r="BJ548" s="81">
        <f t="shared" si="370"/>
        <v>0</v>
      </c>
      <c r="BK548" s="81">
        <f t="shared" si="371"/>
        <v>0</v>
      </c>
      <c r="BL548" s="81">
        <f t="shared" si="372"/>
        <v>0</v>
      </c>
      <c r="BM548" s="81">
        <f t="shared" si="373"/>
        <v>0</v>
      </c>
      <c r="BN548" s="81">
        <f t="shared" si="374"/>
        <v>0</v>
      </c>
      <c r="BO548" s="81">
        <f t="shared" si="375"/>
        <v>0</v>
      </c>
      <c r="BP548" s="81">
        <f t="shared" si="376"/>
        <v>0</v>
      </c>
      <c r="BQ548" s="81">
        <f t="shared" si="377"/>
        <v>0</v>
      </c>
      <c r="BR548" s="81">
        <f t="shared" si="378"/>
        <v>0</v>
      </c>
      <c r="BS548" s="81">
        <f t="shared" si="379"/>
        <v>0</v>
      </c>
      <c r="BT548" s="89">
        <f t="shared" si="380"/>
        <v>0</v>
      </c>
    </row>
    <row r="549" spans="1:72">
      <c r="A549" s="79"/>
      <c r="B549" s="80"/>
      <c r="C549" s="80"/>
      <c r="D549" s="2301"/>
      <c r="E549" s="81">
        <f t="shared" si="352"/>
        <v>0</v>
      </c>
      <c r="F549" s="82"/>
      <c r="G549" s="83">
        <f t="shared" si="353"/>
        <v>0</v>
      </c>
      <c r="H549" s="84">
        <f t="shared" si="354"/>
        <v>0</v>
      </c>
      <c r="I549" s="85"/>
      <c r="J549" s="85"/>
      <c r="K549" s="85"/>
      <c r="L549" s="85"/>
      <c r="M549" s="85"/>
      <c r="N549" s="85"/>
      <c r="O549" s="85"/>
      <c r="P549" s="85"/>
      <c r="Q549" s="85"/>
      <c r="R549" s="85"/>
      <c r="S549" s="85"/>
      <c r="T549" s="85"/>
      <c r="U549" s="85"/>
      <c r="V549" s="85"/>
      <c r="W549" s="85"/>
      <c r="X549" s="85"/>
      <c r="Y549" s="85"/>
      <c r="Z549" s="85"/>
      <c r="AA549" s="85"/>
      <c r="AB549" s="85"/>
      <c r="AC549" s="81">
        <f t="shared" si="355"/>
        <v>0</v>
      </c>
      <c r="AD549" s="86"/>
      <c r="AE549" s="86"/>
      <c r="AF549" s="86"/>
      <c r="AG549" s="86"/>
      <c r="AH549" s="86"/>
      <c r="AI549" s="86"/>
      <c r="AJ549" s="86"/>
      <c r="AK549" s="86"/>
      <c r="AL549" s="86"/>
      <c r="AM549" s="86"/>
      <c r="AN549" s="86"/>
      <c r="AO549" s="86"/>
      <c r="AP549" s="86"/>
      <c r="AQ549" s="86"/>
      <c r="AR549" s="86"/>
      <c r="AS549" s="86"/>
      <c r="AT549" s="82"/>
      <c r="AU549" s="87"/>
      <c r="AV549" s="818">
        <f t="shared" si="356"/>
        <v>0</v>
      </c>
      <c r="AW549" s="818">
        <f t="shared" si="357"/>
        <v>0</v>
      </c>
      <c r="AX549" s="818">
        <f t="shared" si="358"/>
        <v>0</v>
      </c>
      <c r="AY549" s="88">
        <f t="shared" si="359"/>
        <v>0</v>
      </c>
      <c r="AZ549" s="81">
        <f t="shared" si="360"/>
        <v>0</v>
      </c>
      <c r="BA549" s="81">
        <f t="shared" si="361"/>
        <v>0</v>
      </c>
      <c r="BB549" s="81">
        <f t="shared" si="362"/>
        <v>0</v>
      </c>
      <c r="BC549" s="81">
        <f t="shared" si="363"/>
        <v>0</v>
      </c>
      <c r="BD549" s="81">
        <f t="shared" si="364"/>
        <v>0</v>
      </c>
      <c r="BE549" s="81">
        <f t="shared" si="365"/>
        <v>0</v>
      </c>
      <c r="BF549" s="81">
        <f t="shared" si="366"/>
        <v>0</v>
      </c>
      <c r="BG549" s="81">
        <f t="shared" si="367"/>
        <v>0</v>
      </c>
      <c r="BH549" s="81">
        <f t="shared" si="368"/>
        <v>0</v>
      </c>
      <c r="BI549" s="81">
        <f t="shared" si="369"/>
        <v>0</v>
      </c>
      <c r="BJ549" s="81">
        <f t="shared" si="370"/>
        <v>0</v>
      </c>
      <c r="BK549" s="81">
        <f t="shared" si="371"/>
        <v>0</v>
      </c>
      <c r="BL549" s="81">
        <f t="shared" si="372"/>
        <v>0</v>
      </c>
      <c r="BM549" s="81">
        <f t="shared" si="373"/>
        <v>0</v>
      </c>
      <c r="BN549" s="81">
        <f t="shared" si="374"/>
        <v>0</v>
      </c>
      <c r="BO549" s="81">
        <f t="shared" si="375"/>
        <v>0</v>
      </c>
      <c r="BP549" s="81">
        <f t="shared" si="376"/>
        <v>0</v>
      </c>
      <c r="BQ549" s="81">
        <f t="shared" si="377"/>
        <v>0</v>
      </c>
      <c r="BR549" s="81">
        <f t="shared" si="378"/>
        <v>0</v>
      </c>
      <c r="BS549" s="81">
        <f t="shared" si="379"/>
        <v>0</v>
      </c>
      <c r="BT549" s="89">
        <f t="shared" si="380"/>
        <v>0</v>
      </c>
    </row>
    <row r="550" spans="1:72">
      <c r="A550" s="79"/>
      <c r="B550" s="80"/>
      <c r="C550" s="80"/>
      <c r="D550" s="2301"/>
      <c r="E550" s="81">
        <f t="shared" si="352"/>
        <v>0</v>
      </c>
      <c r="F550" s="82"/>
      <c r="G550" s="83">
        <f t="shared" si="353"/>
        <v>0</v>
      </c>
      <c r="H550" s="84">
        <f t="shared" si="354"/>
        <v>0</v>
      </c>
      <c r="I550" s="85"/>
      <c r="J550" s="85"/>
      <c r="K550" s="85"/>
      <c r="L550" s="85"/>
      <c r="M550" s="85"/>
      <c r="N550" s="85"/>
      <c r="O550" s="85"/>
      <c r="P550" s="85"/>
      <c r="Q550" s="85"/>
      <c r="R550" s="85"/>
      <c r="S550" s="85"/>
      <c r="T550" s="85"/>
      <c r="U550" s="85"/>
      <c r="V550" s="85"/>
      <c r="W550" s="85"/>
      <c r="X550" s="85"/>
      <c r="Y550" s="85"/>
      <c r="Z550" s="85"/>
      <c r="AA550" s="85"/>
      <c r="AB550" s="85"/>
      <c r="AC550" s="81">
        <f t="shared" si="355"/>
        <v>0</v>
      </c>
      <c r="AD550" s="86"/>
      <c r="AE550" s="86"/>
      <c r="AF550" s="86"/>
      <c r="AG550" s="86"/>
      <c r="AH550" s="86"/>
      <c r="AI550" s="86"/>
      <c r="AJ550" s="86"/>
      <c r="AK550" s="86"/>
      <c r="AL550" s="86"/>
      <c r="AM550" s="86"/>
      <c r="AN550" s="86"/>
      <c r="AO550" s="86"/>
      <c r="AP550" s="86"/>
      <c r="AQ550" s="86"/>
      <c r="AR550" s="86"/>
      <c r="AS550" s="86"/>
      <c r="AT550" s="82"/>
      <c r="AU550" s="87"/>
      <c r="AV550" s="818">
        <f t="shared" si="356"/>
        <v>0</v>
      </c>
      <c r="AW550" s="818">
        <f t="shared" si="357"/>
        <v>0</v>
      </c>
      <c r="AX550" s="818">
        <f t="shared" si="358"/>
        <v>0</v>
      </c>
      <c r="AY550" s="88">
        <f t="shared" si="359"/>
        <v>0</v>
      </c>
      <c r="AZ550" s="81">
        <f t="shared" si="360"/>
        <v>0</v>
      </c>
      <c r="BA550" s="81">
        <f t="shared" si="361"/>
        <v>0</v>
      </c>
      <c r="BB550" s="81">
        <f t="shared" si="362"/>
        <v>0</v>
      </c>
      <c r="BC550" s="81">
        <f t="shared" si="363"/>
        <v>0</v>
      </c>
      <c r="BD550" s="81">
        <f t="shared" si="364"/>
        <v>0</v>
      </c>
      <c r="BE550" s="81">
        <f t="shared" si="365"/>
        <v>0</v>
      </c>
      <c r="BF550" s="81">
        <f t="shared" si="366"/>
        <v>0</v>
      </c>
      <c r="BG550" s="81">
        <f t="shared" si="367"/>
        <v>0</v>
      </c>
      <c r="BH550" s="81">
        <f t="shared" si="368"/>
        <v>0</v>
      </c>
      <c r="BI550" s="81">
        <f t="shared" si="369"/>
        <v>0</v>
      </c>
      <c r="BJ550" s="81">
        <f t="shared" si="370"/>
        <v>0</v>
      </c>
      <c r="BK550" s="81">
        <f t="shared" si="371"/>
        <v>0</v>
      </c>
      <c r="BL550" s="81">
        <f t="shared" si="372"/>
        <v>0</v>
      </c>
      <c r="BM550" s="81">
        <f t="shared" si="373"/>
        <v>0</v>
      </c>
      <c r="BN550" s="81">
        <f t="shared" si="374"/>
        <v>0</v>
      </c>
      <c r="BO550" s="81">
        <f t="shared" si="375"/>
        <v>0</v>
      </c>
      <c r="BP550" s="81">
        <f t="shared" si="376"/>
        <v>0</v>
      </c>
      <c r="BQ550" s="81">
        <f t="shared" si="377"/>
        <v>0</v>
      </c>
      <c r="BR550" s="81">
        <f t="shared" si="378"/>
        <v>0</v>
      </c>
      <c r="BS550" s="81">
        <f t="shared" si="379"/>
        <v>0</v>
      </c>
      <c r="BT550" s="89">
        <f t="shared" si="380"/>
        <v>0</v>
      </c>
    </row>
    <row r="551" spans="1:72">
      <c r="A551" s="79"/>
      <c r="B551" s="80"/>
      <c r="C551" s="80"/>
      <c r="D551" s="2301"/>
      <c r="E551" s="81">
        <f t="shared" si="352"/>
        <v>0</v>
      </c>
      <c r="F551" s="82"/>
      <c r="G551" s="83">
        <f t="shared" si="353"/>
        <v>0</v>
      </c>
      <c r="H551" s="84">
        <f t="shared" si="354"/>
        <v>0</v>
      </c>
      <c r="I551" s="85"/>
      <c r="J551" s="85"/>
      <c r="K551" s="85"/>
      <c r="L551" s="85"/>
      <c r="M551" s="85"/>
      <c r="N551" s="85"/>
      <c r="O551" s="85"/>
      <c r="P551" s="85"/>
      <c r="Q551" s="85"/>
      <c r="R551" s="85"/>
      <c r="S551" s="85"/>
      <c r="T551" s="85"/>
      <c r="U551" s="85"/>
      <c r="V551" s="85"/>
      <c r="W551" s="85"/>
      <c r="X551" s="85"/>
      <c r="Y551" s="85"/>
      <c r="Z551" s="85"/>
      <c r="AA551" s="85"/>
      <c r="AB551" s="85"/>
      <c r="AC551" s="81">
        <f t="shared" si="355"/>
        <v>0</v>
      </c>
      <c r="AD551" s="86"/>
      <c r="AE551" s="86"/>
      <c r="AF551" s="86"/>
      <c r="AG551" s="86"/>
      <c r="AH551" s="86"/>
      <c r="AI551" s="86"/>
      <c r="AJ551" s="86"/>
      <c r="AK551" s="86"/>
      <c r="AL551" s="86"/>
      <c r="AM551" s="86"/>
      <c r="AN551" s="86"/>
      <c r="AO551" s="86"/>
      <c r="AP551" s="86"/>
      <c r="AQ551" s="86"/>
      <c r="AR551" s="86"/>
      <c r="AS551" s="86"/>
      <c r="AT551" s="82"/>
      <c r="AU551" s="87"/>
      <c r="AV551" s="818">
        <f t="shared" si="356"/>
        <v>0</v>
      </c>
      <c r="AW551" s="818">
        <f t="shared" si="357"/>
        <v>0</v>
      </c>
      <c r="AX551" s="818">
        <f t="shared" si="358"/>
        <v>0</v>
      </c>
      <c r="AY551" s="88">
        <f t="shared" si="359"/>
        <v>0</v>
      </c>
      <c r="AZ551" s="81">
        <f t="shared" si="360"/>
        <v>0</v>
      </c>
      <c r="BA551" s="81">
        <f t="shared" si="361"/>
        <v>0</v>
      </c>
      <c r="BB551" s="81">
        <f t="shared" si="362"/>
        <v>0</v>
      </c>
      <c r="BC551" s="81">
        <f t="shared" si="363"/>
        <v>0</v>
      </c>
      <c r="BD551" s="81">
        <f t="shared" si="364"/>
        <v>0</v>
      </c>
      <c r="BE551" s="81">
        <f t="shared" si="365"/>
        <v>0</v>
      </c>
      <c r="BF551" s="81">
        <f t="shared" si="366"/>
        <v>0</v>
      </c>
      <c r="BG551" s="81">
        <f t="shared" si="367"/>
        <v>0</v>
      </c>
      <c r="BH551" s="81">
        <f t="shared" si="368"/>
        <v>0</v>
      </c>
      <c r="BI551" s="81">
        <f t="shared" si="369"/>
        <v>0</v>
      </c>
      <c r="BJ551" s="81">
        <f t="shared" si="370"/>
        <v>0</v>
      </c>
      <c r="BK551" s="81">
        <f t="shared" si="371"/>
        <v>0</v>
      </c>
      <c r="BL551" s="81">
        <f t="shared" si="372"/>
        <v>0</v>
      </c>
      <c r="BM551" s="81">
        <f t="shared" si="373"/>
        <v>0</v>
      </c>
      <c r="BN551" s="81">
        <f t="shared" si="374"/>
        <v>0</v>
      </c>
      <c r="BO551" s="81">
        <f t="shared" si="375"/>
        <v>0</v>
      </c>
      <c r="BP551" s="81">
        <f t="shared" si="376"/>
        <v>0</v>
      </c>
      <c r="BQ551" s="81">
        <f t="shared" si="377"/>
        <v>0</v>
      </c>
      <c r="BR551" s="81">
        <f t="shared" si="378"/>
        <v>0</v>
      </c>
      <c r="BS551" s="81">
        <f t="shared" si="379"/>
        <v>0</v>
      </c>
      <c r="BT551" s="89">
        <f t="shared" si="380"/>
        <v>0</v>
      </c>
    </row>
    <row r="552" spans="1:72">
      <c r="A552" s="79"/>
      <c r="B552" s="80"/>
      <c r="C552" s="80"/>
      <c r="D552" s="2301"/>
      <c r="E552" s="81">
        <f t="shared" si="352"/>
        <v>0</v>
      </c>
      <c r="F552" s="82"/>
      <c r="G552" s="83">
        <f t="shared" si="353"/>
        <v>0</v>
      </c>
      <c r="H552" s="84">
        <f t="shared" si="354"/>
        <v>0</v>
      </c>
      <c r="I552" s="85"/>
      <c r="J552" s="85"/>
      <c r="K552" s="85"/>
      <c r="L552" s="85"/>
      <c r="M552" s="85"/>
      <c r="N552" s="85"/>
      <c r="O552" s="85"/>
      <c r="P552" s="85"/>
      <c r="Q552" s="85"/>
      <c r="R552" s="85"/>
      <c r="S552" s="85"/>
      <c r="T552" s="85"/>
      <c r="U552" s="85"/>
      <c r="V552" s="85"/>
      <c r="W552" s="85"/>
      <c r="X552" s="85"/>
      <c r="Y552" s="85"/>
      <c r="Z552" s="85"/>
      <c r="AA552" s="85"/>
      <c r="AB552" s="85"/>
      <c r="AC552" s="81">
        <f t="shared" si="355"/>
        <v>0</v>
      </c>
      <c r="AD552" s="86"/>
      <c r="AE552" s="86"/>
      <c r="AF552" s="86"/>
      <c r="AG552" s="86"/>
      <c r="AH552" s="86"/>
      <c r="AI552" s="86"/>
      <c r="AJ552" s="86"/>
      <c r="AK552" s="86"/>
      <c r="AL552" s="86"/>
      <c r="AM552" s="86"/>
      <c r="AN552" s="86"/>
      <c r="AO552" s="86"/>
      <c r="AP552" s="86"/>
      <c r="AQ552" s="86"/>
      <c r="AR552" s="86"/>
      <c r="AS552" s="86"/>
      <c r="AT552" s="82"/>
      <c r="AU552" s="87"/>
      <c r="AV552" s="818">
        <f t="shared" si="356"/>
        <v>0</v>
      </c>
      <c r="AW552" s="818">
        <f t="shared" si="357"/>
        <v>0</v>
      </c>
      <c r="AX552" s="818">
        <f t="shared" si="358"/>
        <v>0</v>
      </c>
      <c r="AY552" s="88">
        <f t="shared" si="359"/>
        <v>0</v>
      </c>
      <c r="AZ552" s="81">
        <f t="shared" si="360"/>
        <v>0</v>
      </c>
      <c r="BA552" s="81">
        <f t="shared" si="361"/>
        <v>0</v>
      </c>
      <c r="BB552" s="81">
        <f t="shared" si="362"/>
        <v>0</v>
      </c>
      <c r="BC552" s="81">
        <f t="shared" si="363"/>
        <v>0</v>
      </c>
      <c r="BD552" s="81">
        <f t="shared" si="364"/>
        <v>0</v>
      </c>
      <c r="BE552" s="81">
        <f t="shared" si="365"/>
        <v>0</v>
      </c>
      <c r="BF552" s="81">
        <f t="shared" si="366"/>
        <v>0</v>
      </c>
      <c r="BG552" s="81">
        <f t="shared" si="367"/>
        <v>0</v>
      </c>
      <c r="BH552" s="81">
        <f t="shared" si="368"/>
        <v>0</v>
      </c>
      <c r="BI552" s="81">
        <f t="shared" si="369"/>
        <v>0</v>
      </c>
      <c r="BJ552" s="81">
        <f t="shared" si="370"/>
        <v>0</v>
      </c>
      <c r="BK552" s="81">
        <f t="shared" si="371"/>
        <v>0</v>
      </c>
      <c r="BL552" s="81">
        <f t="shared" si="372"/>
        <v>0</v>
      </c>
      <c r="BM552" s="81">
        <f t="shared" si="373"/>
        <v>0</v>
      </c>
      <c r="BN552" s="81">
        <f t="shared" si="374"/>
        <v>0</v>
      </c>
      <c r="BO552" s="81">
        <f t="shared" si="375"/>
        <v>0</v>
      </c>
      <c r="BP552" s="81">
        <f t="shared" si="376"/>
        <v>0</v>
      </c>
      <c r="BQ552" s="81">
        <f t="shared" si="377"/>
        <v>0</v>
      </c>
      <c r="BR552" s="81">
        <f t="shared" si="378"/>
        <v>0</v>
      </c>
      <c r="BS552" s="81">
        <f t="shared" si="379"/>
        <v>0</v>
      </c>
      <c r="BT552" s="89">
        <f t="shared" si="380"/>
        <v>0</v>
      </c>
    </row>
    <row r="553" spans="1:72">
      <c r="A553" s="79"/>
      <c r="B553" s="80"/>
      <c r="C553" s="80"/>
      <c r="D553" s="2301"/>
      <c r="E553" s="81">
        <f t="shared" si="352"/>
        <v>0</v>
      </c>
      <c r="F553" s="82"/>
      <c r="G553" s="83">
        <f t="shared" si="353"/>
        <v>0</v>
      </c>
      <c r="H553" s="84">
        <f t="shared" si="354"/>
        <v>0</v>
      </c>
      <c r="I553" s="85"/>
      <c r="J553" s="85"/>
      <c r="K553" s="85"/>
      <c r="L553" s="85"/>
      <c r="M553" s="85"/>
      <c r="N553" s="85"/>
      <c r="O553" s="85"/>
      <c r="P553" s="85"/>
      <c r="Q553" s="85"/>
      <c r="R553" s="85"/>
      <c r="S553" s="85"/>
      <c r="T553" s="85"/>
      <c r="U553" s="85"/>
      <c r="V553" s="85"/>
      <c r="W553" s="85"/>
      <c r="X553" s="85"/>
      <c r="Y553" s="85"/>
      <c r="Z553" s="85"/>
      <c r="AA553" s="85"/>
      <c r="AB553" s="85"/>
      <c r="AC553" s="81">
        <f t="shared" si="355"/>
        <v>0</v>
      </c>
      <c r="AD553" s="86"/>
      <c r="AE553" s="86"/>
      <c r="AF553" s="86"/>
      <c r="AG553" s="86"/>
      <c r="AH553" s="86"/>
      <c r="AI553" s="86"/>
      <c r="AJ553" s="86"/>
      <c r="AK553" s="86"/>
      <c r="AL553" s="86"/>
      <c r="AM553" s="86"/>
      <c r="AN553" s="86"/>
      <c r="AO553" s="86"/>
      <c r="AP553" s="86"/>
      <c r="AQ553" s="86"/>
      <c r="AR553" s="86"/>
      <c r="AS553" s="86"/>
      <c r="AT553" s="82"/>
      <c r="AU553" s="87"/>
      <c r="AV553" s="818">
        <f t="shared" si="356"/>
        <v>0</v>
      </c>
      <c r="AW553" s="818">
        <f t="shared" si="357"/>
        <v>0</v>
      </c>
      <c r="AX553" s="818">
        <f t="shared" si="358"/>
        <v>0</v>
      </c>
      <c r="AY553" s="88">
        <f t="shared" si="359"/>
        <v>0</v>
      </c>
      <c r="AZ553" s="81">
        <f t="shared" si="360"/>
        <v>0</v>
      </c>
      <c r="BA553" s="81">
        <f t="shared" si="361"/>
        <v>0</v>
      </c>
      <c r="BB553" s="81">
        <f t="shared" si="362"/>
        <v>0</v>
      </c>
      <c r="BC553" s="81">
        <f t="shared" si="363"/>
        <v>0</v>
      </c>
      <c r="BD553" s="81">
        <f t="shared" si="364"/>
        <v>0</v>
      </c>
      <c r="BE553" s="81">
        <f t="shared" si="365"/>
        <v>0</v>
      </c>
      <c r="BF553" s="81">
        <f t="shared" si="366"/>
        <v>0</v>
      </c>
      <c r="BG553" s="81">
        <f t="shared" si="367"/>
        <v>0</v>
      </c>
      <c r="BH553" s="81">
        <f t="shared" si="368"/>
        <v>0</v>
      </c>
      <c r="BI553" s="81">
        <f t="shared" si="369"/>
        <v>0</v>
      </c>
      <c r="BJ553" s="81">
        <f t="shared" si="370"/>
        <v>0</v>
      </c>
      <c r="BK553" s="81">
        <f t="shared" si="371"/>
        <v>0</v>
      </c>
      <c r="BL553" s="81">
        <f t="shared" si="372"/>
        <v>0</v>
      </c>
      <c r="BM553" s="81">
        <f t="shared" si="373"/>
        <v>0</v>
      </c>
      <c r="BN553" s="81">
        <f t="shared" si="374"/>
        <v>0</v>
      </c>
      <c r="BO553" s="81">
        <f t="shared" si="375"/>
        <v>0</v>
      </c>
      <c r="BP553" s="81">
        <f t="shared" si="376"/>
        <v>0</v>
      </c>
      <c r="BQ553" s="81">
        <f t="shared" si="377"/>
        <v>0</v>
      </c>
      <c r="BR553" s="81">
        <f t="shared" si="378"/>
        <v>0</v>
      </c>
      <c r="BS553" s="81">
        <f t="shared" si="379"/>
        <v>0</v>
      </c>
      <c r="BT553" s="89">
        <f t="shared" si="380"/>
        <v>0</v>
      </c>
    </row>
    <row r="554" spans="1:72">
      <c r="A554" s="79"/>
      <c r="B554" s="80"/>
      <c r="C554" s="80"/>
      <c r="D554" s="2301"/>
      <c r="E554" s="81">
        <f t="shared" si="352"/>
        <v>0</v>
      </c>
      <c r="F554" s="82"/>
      <c r="G554" s="83">
        <f t="shared" si="353"/>
        <v>0</v>
      </c>
      <c r="H554" s="84">
        <f t="shared" si="354"/>
        <v>0</v>
      </c>
      <c r="I554" s="85"/>
      <c r="J554" s="85"/>
      <c r="K554" s="85"/>
      <c r="L554" s="85"/>
      <c r="M554" s="85"/>
      <c r="N554" s="85"/>
      <c r="O554" s="85"/>
      <c r="P554" s="85"/>
      <c r="Q554" s="85"/>
      <c r="R554" s="85"/>
      <c r="S554" s="85"/>
      <c r="T554" s="85"/>
      <c r="U554" s="85"/>
      <c r="V554" s="85"/>
      <c r="W554" s="85"/>
      <c r="X554" s="85"/>
      <c r="Y554" s="85"/>
      <c r="Z554" s="85"/>
      <c r="AA554" s="85"/>
      <c r="AB554" s="85"/>
      <c r="AC554" s="81">
        <f t="shared" si="355"/>
        <v>0</v>
      </c>
      <c r="AD554" s="86"/>
      <c r="AE554" s="86"/>
      <c r="AF554" s="86"/>
      <c r="AG554" s="86"/>
      <c r="AH554" s="86"/>
      <c r="AI554" s="86"/>
      <c r="AJ554" s="86"/>
      <c r="AK554" s="86"/>
      <c r="AL554" s="86"/>
      <c r="AM554" s="86"/>
      <c r="AN554" s="86"/>
      <c r="AO554" s="86"/>
      <c r="AP554" s="86"/>
      <c r="AQ554" s="86"/>
      <c r="AR554" s="86"/>
      <c r="AS554" s="86"/>
      <c r="AT554" s="82"/>
      <c r="AU554" s="87"/>
      <c r="AV554" s="818">
        <f t="shared" si="356"/>
        <v>0</v>
      </c>
      <c r="AW554" s="818">
        <f t="shared" si="357"/>
        <v>0</v>
      </c>
      <c r="AX554" s="818">
        <f t="shared" si="358"/>
        <v>0</v>
      </c>
      <c r="AY554" s="88">
        <f t="shared" si="359"/>
        <v>0</v>
      </c>
      <c r="AZ554" s="81">
        <f t="shared" si="360"/>
        <v>0</v>
      </c>
      <c r="BA554" s="81">
        <f t="shared" si="361"/>
        <v>0</v>
      </c>
      <c r="BB554" s="81">
        <f t="shared" si="362"/>
        <v>0</v>
      </c>
      <c r="BC554" s="81">
        <f t="shared" si="363"/>
        <v>0</v>
      </c>
      <c r="BD554" s="81">
        <f t="shared" si="364"/>
        <v>0</v>
      </c>
      <c r="BE554" s="81">
        <f t="shared" si="365"/>
        <v>0</v>
      </c>
      <c r="BF554" s="81">
        <f t="shared" si="366"/>
        <v>0</v>
      </c>
      <c r="BG554" s="81">
        <f t="shared" si="367"/>
        <v>0</v>
      </c>
      <c r="BH554" s="81">
        <f t="shared" si="368"/>
        <v>0</v>
      </c>
      <c r="BI554" s="81">
        <f t="shared" si="369"/>
        <v>0</v>
      </c>
      <c r="BJ554" s="81">
        <f t="shared" si="370"/>
        <v>0</v>
      </c>
      <c r="BK554" s="81">
        <f t="shared" si="371"/>
        <v>0</v>
      </c>
      <c r="BL554" s="81">
        <f t="shared" si="372"/>
        <v>0</v>
      </c>
      <c r="BM554" s="81">
        <f t="shared" si="373"/>
        <v>0</v>
      </c>
      <c r="BN554" s="81">
        <f t="shared" si="374"/>
        <v>0</v>
      </c>
      <c r="BO554" s="81">
        <f t="shared" si="375"/>
        <v>0</v>
      </c>
      <c r="BP554" s="81">
        <f t="shared" si="376"/>
        <v>0</v>
      </c>
      <c r="BQ554" s="81">
        <f t="shared" si="377"/>
        <v>0</v>
      </c>
      <c r="BR554" s="81">
        <f t="shared" si="378"/>
        <v>0</v>
      </c>
      <c r="BS554" s="81">
        <f t="shared" si="379"/>
        <v>0</v>
      </c>
      <c r="BT554" s="89">
        <f t="shared" si="380"/>
        <v>0</v>
      </c>
    </row>
    <row r="555" spans="1:72">
      <c r="A555" s="79"/>
      <c r="B555" s="80"/>
      <c r="C555" s="80"/>
      <c r="D555" s="2301"/>
      <c r="E555" s="81">
        <f t="shared" si="352"/>
        <v>0</v>
      </c>
      <c r="F555" s="82"/>
      <c r="G555" s="83">
        <f t="shared" si="353"/>
        <v>0</v>
      </c>
      <c r="H555" s="84">
        <f t="shared" si="354"/>
        <v>0</v>
      </c>
      <c r="I555" s="85"/>
      <c r="J555" s="85"/>
      <c r="K555" s="85"/>
      <c r="L555" s="85"/>
      <c r="M555" s="85"/>
      <c r="N555" s="85"/>
      <c r="O555" s="85"/>
      <c r="P555" s="85"/>
      <c r="Q555" s="85"/>
      <c r="R555" s="85"/>
      <c r="S555" s="85"/>
      <c r="T555" s="85"/>
      <c r="U555" s="85"/>
      <c r="V555" s="85"/>
      <c r="W555" s="85"/>
      <c r="X555" s="85"/>
      <c r="Y555" s="85"/>
      <c r="Z555" s="85"/>
      <c r="AA555" s="85"/>
      <c r="AB555" s="85"/>
      <c r="AC555" s="81">
        <f t="shared" si="355"/>
        <v>0</v>
      </c>
      <c r="AD555" s="86"/>
      <c r="AE555" s="86"/>
      <c r="AF555" s="86"/>
      <c r="AG555" s="86"/>
      <c r="AH555" s="86"/>
      <c r="AI555" s="86"/>
      <c r="AJ555" s="86"/>
      <c r="AK555" s="86"/>
      <c r="AL555" s="86"/>
      <c r="AM555" s="86"/>
      <c r="AN555" s="86"/>
      <c r="AO555" s="86"/>
      <c r="AP555" s="86"/>
      <c r="AQ555" s="86"/>
      <c r="AR555" s="86"/>
      <c r="AS555" s="86"/>
      <c r="AT555" s="82"/>
      <c r="AU555" s="87"/>
      <c r="AV555" s="818">
        <f t="shared" si="356"/>
        <v>0</v>
      </c>
      <c r="AW555" s="818">
        <f t="shared" si="357"/>
        <v>0</v>
      </c>
      <c r="AX555" s="818">
        <f t="shared" si="358"/>
        <v>0</v>
      </c>
      <c r="AY555" s="88">
        <f t="shared" si="359"/>
        <v>0</v>
      </c>
      <c r="AZ555" s="81">
        <f t="shared" si="360"/>
        <v>0</v>
      </c>
      <c r="BA555" s="81">
        <f t="shared" si="361"/>
        <v>0</v>
      </c>
      <c r="BB555" s="81">
        <f t="shared" si="362"/>
        <v>0</v>
      </c>
      <c r="BC555" s="81">
        <f t="shared" si="363"/>
        <v>0</v>
      </c>
      <c r="BD555" s="81">
        <f t="shared" si="364"/>
        <v>0</v>
      </c>
      <c r="BE555" s="81">
        <f t="shared" si="365"/>
        <v>0</v>
      </c>
      <c r="BF555" s="81">
        <f t="shared" si="366"/>
        <v>0</v>
      </c>
      <c r="BG555" s="81">
        <f t="shared" si="367"/>
        <v>0</v>
      </c>
      <c r="BH555" s="81">
        <f t="shared" si="368"/>
        <v>0</v>
      </c>
      <c r="BI555" s="81">
        <f t="shared" si="369"/>
        <v>0</v>
      </c>
      <c r="BJ555" s="81">
        <f t="shared" si="370"/>
        <v>0</v>
      </c>
      <c r="BK555" s="81">
        <f t="shared" si="371"/>
        <v>0</v>
      </c>
      <c r="BL555" s="81">
        <f t="shared" si="372"/>
        <v>0</v>
      </c>
      <c r="BM555" s="81">
        <f t="shared" si="373"/>
        <v>0</v>
      </c>
      <c r="BN555" s="81">
        <f t="shared" si="374"/>
        <v>0</v>
      </c>
      <c r="BO555" s="81">
        <f t="shared" si="375"/>
        <v>0</v>
      </c>
      <c r="BP555" s="81">
        <f t="shared" si="376"/>
        <v>0</v>
      </c>
      <c r="BQ555" s="81">
        <f t="shared" si="377"/>
        <v>0</v>
      </c>
      <c r="BR555" s="81">
        <f t="shared" si="378"/>
        <v>0</v>
      </c>
      <c r="BS555" s="81">
        <f t="shared" si="379"/>
        <v>0</v>
      </c>
      <c r="BT555" s="89">
        <f t="shared" si="380"/>
        <v>0</v>
      </c>
    </row>
    <row r="556" spans="1:72">
      <c r="A556" s="79"/>
      <c r="B556" s="80"/>
      <c r="C556" s="80"/>
      <c r="D556" s="2301"/>
      <c r="E556" s="81">
        <f t="shared" si="352"/>
        <v>0</v>
      </c>
      <c r="F556" s="82"/>
      <c r="G556" s="83">
        <f t="shared" si="353"/>
        <v>0</v>
      </c>
      <c r="H556" s="84">
        <f t="shared" si="354"/>
        <v>0</v>
      </c>
      <c r="I556" s="85"/>
      <c r="J556" s="85"/>
      <c r="K556" s="85"/>
      <c r="L556" s="85"/>
      <c r="M556" s="85"/>
      <c r="N556" s="85"/>
      <c r="O556" s="85"/>
      <c r="P556" s="85"/>
      <c r="Q556" s="85"/>
      <c r="R556" s="85"/>
      <c r="S556" s="85"/>
      <c r="T556" s="85"/>
      <c r="U556" s="85"/>
      <c r="V556" s="85"/>
      <c r="W556" s="85"/>
      <c r="X556" s="85"/>
      <c r="Y556" s="85"/>
      <c r="Z556" s="85"/>
      <c r="AA556" s="85"/>
      <c r="AB556" s="85"/>
      <c r="AC556" s="81">
        <f t="shared" si="355"/>
        <v>0</v>
      </c>
      <c r="AD556" s="86"/>
      <c r="AE556" s="86"/>
      <c r="AF556" s="86"/>
      <c r="AG556" s="86"/>
      <c r="AH556" s="86"/>
      <c r="AI556" s="86"/>
      <c r="AJ556" s="86"/>
      <c r="AK556" s="86"/>
      <c r="AL556" s="86"/>
      <c r="AM556" s="86"/>
      <c r="AN556" s="86"/>
      <c r="AO556" s="86"/>
      <c r="AP556" s="86"/>
      <c r="AQ556" s="86"/>
      <c r="AR556" s="86"/>
      <c r="AS556" s="86"/>
      <c r="AT556" s="82"/>
      <c r="AU556" s="87"/>
      <c r="AV556" s="818">
        <f t="shared" si="356"/>
        <v>0</v>
      </c>
      <c r="AW556" s="818">
        <f t="shared" si="357"/>
        <v>0</v>
      </c>
      <c r="AX556" s="818">
        <f t="shared" si="358"/>
        <v>0</v>
      </c>
      <c r="AY556" s="88">
        <f t="shared" si="359"/>
        <v>0</v>
      </c>
      <c r="AZ556" s="81">
        <f t="shared" si="360"/>
        <v>0</v>
      </c>
      <c r="BA556" s="81">
        <f t="shared" si="361"/>
        <v>0</v>
      </c>
      <c r="BB556" s="81">
        <f t="shared" si="362"/>
        <v>0</v>
      </c>
      <c r="BC556" s="81">
        <f t="shared" si="363"/>
        <v>0</v>
      </c>
      <c r="BD556" s="81">
        <f t="shared" si="364"/>
        <v>0</v>
      </c>
      <c r="BE556" s="81">
        <f t="shared" si="365"/>
        <v>0</v>
      </c>
      <c r="BF556" s="81">
        <f t="shared" si="366"/>
        <v>0</v>
      </c>
      <c r="BG556" s="81">
        <f t="shared" si="367"/>
        <v>0</v>
      </c>
      <c r="BH556" s="81">
        <f t="shared" si="368"/>
        <v>0</v>
      </c>
      <c r="BI556" s="81">
        <f t="shared" si="369"/>
        <v>0</v>
      </c>
      <c r="BJ556" s="81">
        <f t="shared" si="370"/>
        <v>0</v>
      </c>
      <c r="BK556" s="81">
        <f t="shared" si="371"/>
        <v>0</v>
      </c>
      <c r="BL556" s="81">
        <f t="shared" si="372"/>
        <v>0</v>
      </c>
      <c r="BM556" s="81">
        <f t="shared" si="373"/>
        <v>0</v>
      </c>
      <c r="BN556" s="81">
        <f t="shared" si="374"/>
        <v>0</v>
      </c>
      <c r="BO556" s="81">
        <f t="shared" si="375"/>
        <v>0</v>
      </c>
      <c r="BP556" s="81">
        <f t="shared" si="376"/>
        <v>0</v>
      </c>
      <c r="BQ556" s="81">
        <f t="shared" si="377"/>
        <v>0</v>
      </c>
      <c r="BR556" s="81">
        <f t="shared" si="378"/>
        <v>0</v>
      </c>
      <c r="BS556" s="81">
        <f t="shared" si="379"/>
        <v>0</v>
      </c>
      <c r="BT556" s="89">
        <f t="shared" si="380"/>
        <v>0</v>
      </c>
    </row>
    <row r="557" spans="1:72">
      <c r="A557" s="79"/>
      <c r="B557" s="80"/>
      <c r="C557" s="80"/>
      <c r="D557" s="2301"/>
      <c r="E557" s="81">
        <f t="shared" si="352"/>
        <v>0</v>
      </c>
      <c r="F557" s="82"/>
      <c r="G557" s="83">
        <f t="shared" si="353"/>
        <v>0</v>
      </c>
      <c r="H557" s="84">
        <f t="shared" si="354"/>
        <v>0</v>
      </c>
      <c r="I557" s="85"/>
      <c r="J557" s="85"/>
      <c r="K557" s="85"/>
      <c r="L557" s="85"/>
      <c r="M557" s="85"/>
      <c r="N557" s="85"/>
      <c r="O557" s="85"/>
      <c r="P557" s="85"/>
      <c r="Q557" s="85"/>
      <c r="R557" s="85"/>
      <c r="S557" s="85"/>
      <c r="T557" s="85"/>
      <c r="U557" s="85"/>
      <c r="V557" s="85"/>
      <c r="W557" s="85"/>
      <c r="X557" s="85"/>
      <c r="Y557" s="85"/>
      <c r="Z557" s="85"/>
      <c r="AA557" s="85"/>
      <c r="AB557" s="85"/>
      <c r="AC557" s="81">
        <f t="shared" si="355"/>
        <v>0</v>
      </c>
      <c r="AD557" s="86"/>
      <c r="AE557" s="86"/>
      <c r="AF557" s="86"/>
      <c r="AG557" s="86"/>
      <c r="AH557" s="86"/>
      <c r="AI557" s="86"/>
      <c r="AJ557" s="86"/>
      <c r="AK557" s="86"/>
      <c r="AL557" s="86"/>
      <c r="AM557" s="86"/>
      <c r="AN557" s="86"/>
      <c r="AO557" s="86"/>
      <c r="AP557" s="86"/>
      <c r="AQ557" s="86"/>
      <c r="AR557" s="86"/>
      <c r="AS557" s="86"/>
      <c r="AT557" s="82"/>
      <c r="AU557" s="87"/>
      <c r="AV557" s="818">
        <f t="shared" si="356"/>
        <v>0</v>
      </c>
      <c r="AW557" s="818">
        <f t="shared" si="357"/>
        <v>0</v>
      </c>
      <c r="AX557" s="818">
        <f t="shared" si="358"/>
        <v>0</v>
      </c>
      <c r="AY557" s="88">
        <f t="shared" si="359"/>
        <v>0</v>
      </c>
      <c r="AZ557" s="81">
        <f t="shared" si="360"/>
        <v>0</v>
      </c>
      <c r="BA557" s="81">
        <f t="shared" si="361"/>
        <v>0</v>
      </c>
      <c r="BB557" s="81">
        <f t="shared" si="362"/>
        <v>0</v>
      </c>
      <c r="BC557" s="81">
        <f t="shared" si="363"/>
        <v>0</v>
      </c>
      <c r="BD557" s="81">
        <f t="shared" si="364"/>
        <v>0</v>
      </c>
      <c r="BE557" s="81">
        <f t="shared" si="365"/>
        <v>0</v>
      </c>
      <c r="BF557" s="81">
        <f t="shared" si="366"/>
        <v>0</v>
      </c>
      <c r="BG557" s="81">
        <f t="shared" si="367"/>
        <v>0</v>
      </c>
      <c r="BH557" s="81">
        <f t="shared" si="368"/>
        <v>0</v>
      </c>
      <c r="BI557" s="81">
        <f t="shared" si="369"/>
        <v>0</v>
      </c>
      <c r="BJ557" s="81">
        <f t="shared" si="370"/>
        <v>0</v>
      </c>
      <c r="BK557" s="81">
        <f t="shared" si="371"/>
        <v>0</v>
      </c>
      <c r="BL557" s="81">
        <f t="shared" si="372"/>
        <v>0</v>
      </c>
      <c r="BM557" s="81">
        <f t="shared" si="373"/>
        <v>0</v>
      </c>
      <c r="BN557" s="81">
        <f t="shared" si="374"/>
        <v>0</v>
      </c>
      <c r="BO557" s="81">
        <f t="shared" si="375"/>
        <v>0</v>
      </c>
      <c r="BP557" s="81">
        <f t="shared" si="376"/>
        <v>0</v>
      </c>
      <c r="BQ557" s="81">
        <f t="shared" si="377"/>
        <v>0</v>
      </c>
      <c r="BR557" s="81">
        <f t="shared" si="378"/>
        <v>0</v>
      </c>
      <c r="BS557" s="81">
        <f t="shared" si="379"/>
        <v>0</v>
      </c>
      <c r="BT557" s="89">
        <f t="shared" si="380"/>
        <v>0</v>
      </c>
    </row>
    <row r="558" spans="1:72">
      <c r="A558" s="79"/>
      <c r="B558" s="80"/>
      <c r="C558" s="80"/>
      <c r="D558" s="2301"/>
      <c r="E558" s="81">
        <f t="shared" si="352"/>
        <v>0</v>
      </c>
      <c r="F558" s="82"/>
      <c r="G558" s="83">
        <f t="shared" si="353"/>
        <v>0</v>
      </c>
      <c r="H558" s="84">
        <f t="shared" si="354"/>
        <v>0</v>
      </c>
      <c r="I558" s="85"/>
      <c r="J558" s="85"/>
      <c r="K558" s="85"/>
      <c r="L558" s="85"/>
      <c r="M558" s="85"/>
      <c r="N558" s="85"/>
      <c r="O558" s="85"/>
      <c r="P558" s="85"/>
      <c r="Q558" s="85"/>
      <c r="R558" s="85"/>
      <c r="S558" s="85"/>
      <c r="T558" s="85"/>
      <c r="U558" s="85"/>
      <c r="V558" s="85"/>
      <c r="W558" s="85"/>
      <c r="X558" s="85"/>
      <c r="Y558" s="85"/>
      <c r="Z558" s="85"/>
      <c r="AA558" s="85"/>
      <c r="AB558" s="85"/>
      <c r="AC558" s="81">
        <f t="shared" si="355"/>
        <v>0</v>
      </c>
      <c r="AD558" s="86"/>
      <c r="AE558" s="86"/>
      <c r="AF558" s="86"/>
      <c r="AG558" s="86"/>
      <c r="AH558" s="86"/>
      <c r="AI558" s="86"/>
      <c r="AJ558" s="86"/>
      <c r="AK558" s="86"/>
      <c r="AL558" s="86"/>
      <c r="AM558" s="86"/>
      <c r="AN558" s="86"/>
      <c r="AO558" s="86"/>
      <c r="AP558" s="86"/>
      <c r="AQ558" s="86"/>
      <c r="AR558" s="86"/>
      <c r="AS558" s="86"/>
      <c r="AT558" s="82"/>
      <c r="AU558" s="87"/>
      <c r="AV558" s="818">
        <f t="shared" si="356"/>
        <v>0</v>
      </c>
      <c r="AW558" s="818">
        <f t="shared" si="357"/>
        <v>0</v>
      </c>
      <c r="AX558" s="818">
        <f t="shared" si="358"/>
        <v>0</v>
      </c>
      <c r="AY558" s="88">
        <f t="shared" si="359"/>
        <v>0</v>
      </c>
      <c r="AZ558" s="81">
        <f t="shared" si="360"/>
        <v>0</v>
      </c>
      <c r="BA558" s="81">
        <f t="shared" si="361"/>
        <v>0</v>
      </c>
      <c r="BB558" s="81">
        <f t="shared" si="362"/>
        <v>0</v>
      </c>
      <c r="BC558" s="81">
        <f t="shared" si="363"/>
        <v>0</v>
      </c>
      <c r="BD558" s="81">
        <f t="shared" si="364"/>
        <v>0</v>
      </c>
      <c r="BE558" s="81">
        <f t="shared" si="365"/>
        <v>0</v>
      </c>
      <c r="BF558" s="81">
        <f t="shared" si="366"/>
        <v>0</v>
      </c>
      <c r="BG558" s="81">
        <f t="shared" si="367"/>
        <v>0</v>
      </c>
      <c r="BH558" s="81">
        <f t="shared" si="368"/>
        <v>0</v>
      </c>
      <c r="BI558" s="81">
        <f t="shared" si="369"/>
        <v>0</v>
      </c>
      <c r="BJ558" s="81">
        <f t="shared" si="370"/>
        <v>0</v>
      </c>
      <c r="BK558" s="81">
        <f t="shared" si="371"/>
        <v>0</v>
      </c>
      <c r="BL558" s="81">
        <f t="shared" si="372"/>
        <v>0</v>
      </c>
      <c r="BM558" s="81">
        <f t="shared" si="373"/>
        <v>0</v>
      </c>
      <c r="BN558" s="81">
        <f t="shared" si="374"/>
        <v>0</v>
      </c>
      <c r="BO558" s="81">
        <f t="shared" si="375"/>
        <v>0</v>
      </c>
      <c r="BP558" s="81">
        <f t="shared" si="376"/>
        <v>0</v>
      </c>
      <c r="BQ558" s="81">
        <f t="shared" si="377"/>
        <v>0</v>
      </c>
      <c r="BR558" s="81">
        <f t="shared" si="378"/>
        <v>0</v>
      </c>
      <c r="BS558" s="81">
        <f t="shared" si="379"/>
        <v>0</v>
      </c>
      <c r="BT558" s="89">
        <f t="shared" si="380"/>
        <v>0</v>
      </c>
    </row>
    <row r="559" spans="1:72">
      <c r="A559" s="79"/>
      <c r="B559" s="80"/>
      <c r="C559" s="80"/>
      <c r="D559" s="2301"/>
      <c r="E559" s="81">
        <f t="shared" si="352"/>
        <v>0</v>
      </c>
      <c r="F559" s="82"/>
      <c r="G559" s="83">
        <f t="shared" si="353"/>
        <v>0</v>
      </c>
      <c r="H559" s="84">
        <f t="shared" si="354"/>
        <v>0</v>
      </c>
      <c r="I559" s="85"/>
      <c r="J559" s="85"/>
      <c r="K559" s="85"/>
      <c r="L559" s="85"/>
      <c r="M559" s="85"/>
      <c r="N559" s="85"/>
      <c r="O559" s="85"/>
      <c r="P559" s="85"/>
      <c r="Q559" s="85"/>
      <c r="R559" s="85"/>
      <c r="S559" s="85"/>
      <c r="T559" s="85"/>
      <c r="U559" s="85"/>
      <c r="V559" s="85"/>
      <c r="W559" s="85"/>
      <c r="X559" s="85"/>
      <c r="Y559" s="85"/>
      <c r="Z559" s="85"/>
      <c r="AA559" s="85"/>
      <c r="AB559" s="85"/>
      <c r="AC559" s="81">
        <f t="shared" si="355"/>
        <v>0</v>
      </c>
      <c r="AD559" s="86"/>
      <c r="AE559" s="86"/>
      <c r="AF559" s="86"/>
      <c r="AG559" s="86"/>
      <c r="AH559" s="86"/>
      <c r="AI559" s="86"/>
      <c r="AJ559" s="86"/>
      <c r="AK559" s="86"/>
      <c r="AL559" s="86"/>
      <c r="AM559" s="86"/>
      <c r="AN559" s="86"/>
      <c r="AO559" s="86"/>
      <c r="AP559" s="86"/>
      <c r="AQ559" s="86"/>
      <c r="AR559" s="86"/>
      <c r="AS559" s="86"/>
      <c r="AT559" s="82"/>
      <c r="AU559" s="87"/>
      <c r="AV559" s="818">
        <f t="shared" si="356"/>
        <v>0</v>
      </c>
      <c r="AW559" s="818">
        <f t="shared" si="357"/>
        <v>0</v>
      </c>
      <c r="AX559" s="818">
        <f t="shared" si="358"/>
        <v>0</v>
      </c>
      <c r="AY559" s="88">
        <f t="shared" si="359"/>
        <v>0</v>
      </c>
      <c r="AZ559" s="81">
        <f t="shared" si="360"/>
        <v>0</v>
      </c>
      <c r="BA559" s="81">
        <f t="shared" si="361"/>
        <v>0</v>
      </c>
      <c r="BB559" s="81">
        <f t="shared" si="362"/>
        <v>0</v>
      </c>
      <c r="BC559" s="81">
        <f t="shared" si="363"/>
        <v>0</v>
      </c>
      <c r="BD559" s="81">
        <f t="shared" si="364"/>
        <v>0</v>
      </c>
      <c r="BE559" s="81">
        <f t="shared" si="365"/>
        <v>0</v>
      </c>
      <c r="BF559" s="81">
        <f t="shared" si="366"/>
        <v>0</v>
      </c>
      <c r="BG559" s="81">
        <f t="shared" si="367"/>
        <v>0</v>
      </c>
      <c r="BH559" s="81">
        <f t="shared" si="368"/>
        <v>0</v>
      </c>
      <c r="BI559" s="81">
        <f t="shared" si="369"/>
        <v>0</v>
      </c>
      <c r="BJ559" s="81">
        <f t="shared" si="370"/>
        <v>0</v>
      </c>
      <c r="BK559" s="81">
        <f t="shared" si="371"/>
        <v>0</v>
      </c>
      <c r="BL559" s="81">
        <f t="shared" si="372"/>
        <v>0</v>
      </c>
      <c r="BM559" s="81">
        <f t="shared" si="373"/>
        <v>0</v>
      </c>
      <c r="BN559" s="81">
        <f t="shared" si="374"/>
        <v>0</v>
      </c>
      <c r="BO559" s="81">
        <f t="shared" si="375"/>
        <v>0</v>
      </c>
      <c r="BP559" s="81">
        <f t="shared" si="376"/>
        <v>0</v>
      </c>
      <c r="BQ559" s="81">
        <f t="shared" si="377"/>
        <v>0</v>
      </c>
      <c r="BR559" s="81">
        <f t="shared" si="378"/>
        <v>0</v>
      </c>
      <c r="BS559" s="81">
        <f t="shared" si="379"/>
        <v>0</v>
      </c>
      <c r="BT559" s="89">
        <f t="shared" si="380"/>
        <v>0</v>
      </c>
    </row>
    <row r="560" spans="1:72">
      <c r="A560" s="79"/>
      <c r="B560" s="80"/>
      <c r="C560" s="80"/>
      <c r="D560" s="2301"/>
      <c r="E560" s="81">
        <f t="shared" si="352"/>
        <v>0</v>
      </c>
      <c r="F560" s="82"/>
      <c r="G560" s="83">
        <f t="shared" si="353"/>
        <v>0</v>
      </c>
      <c r="H560" s="84">
        <f t="shared" si="354"/>
        <v>0</v>
      </c>
      <c r="I560" s="85"/>
      <c r="J560" s="85"/>
      <c r="K560" s="85"/>
      <c r="L560" s="85"/>
      <c r="M560" s="85"/>
      <c r="N560" s="85"/>
      <c r="O560" s="85"/>
      <c r="P560" s="85"/>
      <c r="Q560" s="85"/>
      <c r="R560" s="85"/>
      <c r="S560" s="85"/>
      <c r="T560" s="85"/>
      <c r="U560" s="85"/>
      <c r="V560" s="85"/>
      <c r="W560" s="85"/>
      <c r="X560" s="85"/>
      <c r="Y560" s="85"/>
      <c r="Z560" s="85"/>
      <c r="AA560" s="85"/>
      <c r="AB560" s="85"/>
      <c r="AC560" s="81">
        <f t="shared" si="355"/>
        <v>0</v>
      </c>
      <c r="AD560" s="86"/>
      <c r="AE560" s="86"/>
      <c r="AF560" s="86"/>
      <c r="AG560" s="86"/>
      <c r="AH560" s="86"/>
      <c r="AI560" s="86"/>
      <c r="AJ560" s="86"/>
      <c r="AK560" s="86"/>
      <c r="AL560" s="86"/>
      <c r="AM560" s="86"/>
      <c r="AN560" s="86"/>
      <c r="AO560" s="86"/>
      <c r="AP560" s="86"/>
      <c r="AQ560" s="86"/>
      <c r="AR560" s="86"/>
      <c r="AS560" s="86"/>
      <c r="AT560" s="82"/>
      <c r="AU560" s="87"/>
      <c r="AV560" s="818">
        <f t="shared" si="356"/>
        <v>0</v>
      </c>
      <c r="AW560" s="818">
        <f t="shared" si="357"/>
        <v>0</v>
      </c>
      <c r="AX560" s="818">
        <f t="shared" si="358"/>
        <v>0</v>
      </c>
      <c r="AY560" s="88">
        <f t="shared" si="359"/>
        <v>0</v>
      </c>
      <c r="AZ560" s="81">
        <f t="shared" si="360"/>
        <v>0</v>
      </c>
      <c r="BA560" s="81">
        <f t="shared" si="361"/>
        <v>0</v>
      </c>
      <c r="BB560" s="81">
        <f t="shared" si="362"/>
        <v>0</v>
      </c>
      <c r="BC560" s="81">
        <f t="shared" si="363"/>
        <v>0</v>
      </c>
      <c r="BD560" s="81">
        <f t="shared" si="364"/>
        <v>0</v>
      </c>
      <c r="BE560" s="81">
        <f t="shared" si="365"/>
        <v>0</v>
      </c>
      <c r="BF560" s="81">
        <f t="shared" si="366"/>
        <v>0</v>
      </c>
      <c r="BG560" s="81">
        <f t="shared" si="367"/>
        <v>0</v>
      </c>
      <c r="BH560" s="81">
        <f t="shared" si="368"/>
        <v>0</v>
      </c>
      <c r="BI560" s="81">
        <f t="shared" si="369"/>
        <v>0</v>
      </c>
      <c r="BJ560" s="81">
        <f t="shared" si="370"/>
        <v>0</v>
      </c>
      <c r="BK560" s="81">
        <f t="shared" si="371"/>
        <v>0</v>
      </c>
      <c r="BL560" s="81">
        <f t="shared" si="372"/>
        <v>0</v>
      </c>
      <c r="BM560" s="81">
        <f t="shared" si="373"/>
        <v>0</v>
      </c>
      <c r="BN560" s="81">
        <f t="shared" si="374"/>
        <v>0</v>
      </c>
      <c r="BO560" s="81">
        <f t="shared" si="375"/>
        <v>0</v>
      </c>
      <c r="BP560" s="81">
        <f t="shared" si="376"/>
        <v>0</v>
      </c>
      <c r="BQ560" s="81">
        <f t="shared" si="377"/>
        <v>0</v>
      </c>
      <c r="BR560" s="81">
        <f t="shared" si="378"/>
        <v>0</v>
      </c>
      <c r="BS560" s="81">
        <f t="shared" si="379"/>
        <v>0</v>
      </c>
      <c r="BT560" s="89">
        <f t="shared" si="380"/>
        <v>0</v>
      </c>
    </row>
    <row r="561" spans="1:72">
      <c r="A561" s="79"/>
      <c r="B561" s="80"/>
      <c r="C561" s="80"/>
      <c r="D561" s="2301"/>
      <c r="E561" s="81">
        <f t="shared" si="352"/>
        <v>0</v>
      </c>
      <c r="F561" s="82"/>
      <c r="G561" s="83">
        <f t="shared" si="353"/>
        <v>0</v>
      </c>
      <c r="H561" s="84">
        <f t="shared" si="354"/>
        <v>0</v>
      </c>
      <c r="I561" s="85"/>
      <c r="J561" s="85"/>
      <c r="K561" s="85"/>
      <c r="L561" s="85"/>
      <c r="M561" s="85"/>
      <c r="N561" s="85"/>
      <c r="O561" s="85"/>
      <c r="P561" s="85"/>
      <c r="Q561" s="85"/>
      <c r="R561" s="85"/>
      <c r="S561" s="85"/>
      <c r="T561" s="85"/>
      <c r="U561" s="85"/>
      <c r="V561" s="85"/>
      <c r="W561" s="85"/>
      <c r="X561" s="85"/>
      <c r="Y561" s="85"/>
      <c r="Z561" s="85"/>
      <c r="AA561" s="85"/>
      <c r="AB561" s="85"/>
      <c r="AC561" s="81">
        <f t="shared" si="355"/>
        <v>0</v>
      </c>
      <c r="AD561" s="86"/>
      <c r="AE561" s="86"/>
      <c r="AF561" s="86"/>
      <c r="AG561" s="86"/>
      <c r="AH561" s="86"/>
      <c r="AI561" s="86"/>
      <c r="AJ561" s="86"/>
      <c r="AK561" s="86"/>
      <c r="AL561" s="86"/>
      <c r="AM561" s="86"/>
      <c r="AN561" s="86"/>
      <c r="AO561" s="86"/>
      <c r="AP561" s="86"/>
      <c r="AQ561" s="86"/>
      <c r="AR561" s="86"/>
      <c r="AS561" s="86"/>
      <c r="AT561" s="82"/>
      <c r="AU561" s="87"/>
      <c r="AV561" s="818">
        <f t="shared" si="356"/>
        <v>0</v>
      </c>
      <c r="AW561" s="818">
        <f t="shared" si="357"/>
        <v>0</v>
      </c>
      <c r="AX561" s="818">
        <f t="shared" si="358"/>
        <v>0</v>
      </c>
      <c r="AY561" s="88">
        <f t="shared" si="359"/>
        <v>0</v>
      </c>
      <c r="AZ561" s="81">
        <f t="shared" si="360"/>
        <v>0</v>
      </c>
      <c r="BA561" s="81">
        <f t="shared" si="361"/>
        <v>0</v>
      </c>
      <c r="BB561" s="81">
        <f t="shared" si="362"/>
        <v>0</v>
      </c>
      <c r="BC561" s="81">
        <f t="shared" si="363"/>
        <v>0</v>
      </c>
      <c r="BD561" s="81">
        <f t="shared" si="364"/>
        <v>0</v>
      </c>
      <c r="BE561" s="81">
        <f t="shared" si="365"/>
        <v>0</v>
      </c>
      <c r="BF561" s="81">
        <f t="shared" si="366"/>
        <v>0</v>
      </c>
      <c r="BG561" s="81">
        <f t="shared" si="367"/>
        <v>0</v>
      </c>
      <c r="BH561" s="81">
        <f t="shared" si="368"/>
        <v>0</v>
      </c>
      <c r="BI561" s="81">
        <f t="shared" si="369"/>
        <v>0</v>
      </c>
      <c r="BJ561" s="81">
        <f t="shared" si="370"/>
        <v>0</v>
      </c>
      <c r="BK561" s="81">
        <f t="shared" si="371"/>
        <v>0</v>
      </c>
      <c r="BL561" s="81">
        <f t="shared" si="372"/>
        <v>0</v>
      </c>
      <c r="BM561" s="81">
        <f t="shared" si="373"/>
        <v>0</v>
      </c>
      <c r="BN561" s="81">
        <f t="shared" si="374"/>
        <v>0</v>
      </c>
      <c r="BO561" s="81">
        <f t="shared" si="375"/>
        <v>0</v>
      </c>
      <c r="BP561" s="81">
        <f t="shared" si="376"/>
        <v>0</v>
      </c>
      <c r="BQ561" s="81">
        <f t="shared" si="377"/>
        <v>0</v>
      </c>
      <c r="BR561" s="81">
        <f t="shared" si="378"/>
        <v>0</v>
      </c>
      <c r="BS561" s="81">
        <f t="shared" si="379"/>
        <v>0</v>
      </c>
      <c r="BT561" s="89">
        <f t="shared" si="380"/>
        <v>0</v>
      </c>
    </row>
    <row r="562" spans="1:72">
      <c r="A562" s="79"/>
      <c r="B562" s="80"/>
      <c r="C562" s="80"/>
      <c r="D562" s="2301"/>
      <c r="E562" s="81">
        <f t="shared" si="352"/>
        <v>0</v>
      </c>
      <c r="F562" s="82"/>
      <c r="G562" s="83">
        <f t="shared" si="353"/>
        <v>0</v>
      </c>
      <c r="H562" s="84">
        <f t="shared" si="354"/>
        <v>0</v>
      </c>
      <c r="I562" s="85"/>
      <c r="J562" s="85"/>
      <c r="K562" s="85"/>
      <c r="L562" s="85"/>
      <c r="M562" s="85"/>
      <c r="N562" s="85"/>
      <c r="O562" s="85"/>
      <c r="P562" s="85"/>
      <c r="Q562" s="85"/>
      <c r="R562" s="85"/>
      <c r="S562" s="85"/>
      <c r="T562" s="85"/>
      <c r="U562" s="85"/>
      <c r="V562" s="85"/>
      <c r="W562" s="85"/>
      <c r="X562" s="85"/>
      <c r="Y562" s="85"/>
      <c r="Z562" s="85"/>
      <c r="AA562" s="85"/>
      <c r="AB562" s="85"/>
      <c r="AC562" s="81">
        <f t="shared" si="355"/>
        <v>0</v>
      </c>
      <c r="AD562" s="86"/>
      <c r="AE562" s="86"/>
      <c r="AF562" s="86"/>
      <c r="AG562" s="86"/>
      <c r="AH562" s="86"/>
      <c r="AI562" s="86"/>
      <c r="AJ562" s="86"/>
      <c r="AK562" s="86"/>
      <c r="AL562" s="86"/>
      <c r="AM562" s="86"/>
      <c r="AN562" s="86"/>
      <c r="AO562" s="86"/>
      <c r="AP562" s="86"/>
      <c r="AQ562" s="86"/>
      <c r="AR562" s="86"/>
      <c r="AS562" s="86"/>
      <c r="AT562" s="82"/>
      <c r="AU562" s="87"/>
      <c r="AV562" s="818">
        <f t="shared" si="356"/>
        <v>0</v>
      </c>
      <c r="AW562" s="818">
        <f t="shared" si="357"/>
        <v>0</v>
      </c>
      <c r="AX562" s="818">
        <f t="shared" si="358"/>
        <v>0</v>
      </c>
      <c r="AY562" s="88">
        <f t="shared" si="359"/>
        <v>0</v>
      </c>
      <c r="AZ562" s="81">
        <f t="shared" si="360"/>
        <v>0</v>
      </c>
      <c r="BA562" s="81">
        <f t="shared" si="361"/>
        <v>0</v>
      </c>
      <c r="BB562" s="81">
        <f t="shared" si="362"/>
        <v>0</v>
      </c>
      <c r="BC562" s="81">
        <f t="shared" si="363"/>
        <v>0</v>
      </c>
      <c r="BD562" s="81">
        <f t="shared" si="364"/>
        <v>0</v>
      </c>
      <c r="BE562" s="81">
        <f t="shared" si="365"/>
        <v>0</v>
      </c>
      <c r="BF562" s="81">
        <f t="shared" si="366"/>
        <v>0</v>
      </c>
      <c r="BG562" s="81">
        <f t="shared" si="367"/>
        <v>0</v>
      </c>
      <c r="BH562" s="81">
        <f t="shared" si="368"/>
        <v>0</v>
      </c>
      <c r="BI562" s="81">
        <f t="shared" si="369"/>
        <v>0</v>
      </c>
      <c r="BJ562" s="81">
        <f t="shared" si="370"/>
        <v>0</v>
      </c>
      <c r="BK562" s="81">
        <f t="shared" si="371"/>
        <v>0</v>
      </c>
      <c r="BL562" s="81">
        <f t="shared" si="372"/>
        <v>0</v>
      </c>
      <c r="BM562" s="81">
        <f t="shared" si="373"/>
        <v>0</v>
      </c>
      <c r="BN562" s="81">
        <f t="shared" si="374"/>
        <v>0</v>
      </c>
      <c r="BO562" s="81">
        <f t="shared" si="375"/>
        <v>0</v>
      </c>
      <c r="BP562" s="81">
        <f t="shared" si="376"/>
        <v>0</v>
      </c>
      <c r="BQ562" s="81">
        <f t="shared" si="377"/>
        <v>0</v>
      </c>
      <c r="BR562" s="81">
        <f t="shared" si="378"/>
        <v>0</v>
      </c>
      <c r="BS562" s="81">
        <f t="shared" si="379"/>
        <v>0</v>
      </c>
      <c r="BT562" s="89">
        <f t="shared" si="380"/>
        <v>0</v>
      </c>
    </row>
    <row r="563" spans="1:72">
      <c r="A563" s="79"/>
      <c r="B563" s="80"/>
      <c r="C563" s="80"/>
      <c r="D563" s="2301"/>
      <c r="E563" s="81">
        <f t="shared" si="352"/>
        <v>0</v>
      </c>
      <c r="F563" s="82"/>
      <c r="G563" s="83">
        <f t="shared" si="353"/>
        <v>0</v>
      </c>
      <c r="H563" s="84">
        <f t="shared" si="354"/>
        <v>0</v>
      </c>
      <c r="I563" s="85"/>
      <c r="J563" s="85"/>
      <c r="K563" s="85"/>
      <c r="L563" s="85"/>
      <c r="M563" s="85"/>
      <c r="N563" s="85"/>
      <c r="O563" s="85"/>
      <c r="P563" s="85"/>
      <c r="Q563" s="85"/>
      <c r="R563" s="85"/>
      <c r="S563" s="85"/>
      <c r="T563" s="85"/>
      <c r="U563" s="85"/>
      <c r="V563" s="85"/>
      <c r="W563" s="85"/>
      <c r="X563" s="85"/>
      <c r="Y563" s="85"/>
      <c r="Z563" s="85"/>
      <c r="AA563" s="85"/>
      <c r="AB563" s="85"/>
      <c r="AC563" s="81">
        <f t="shared" si="355"/>
        <v>0</v>
      </c>
      <c r="AD563" s="86"/>
      <c r="AE563" s="86"/>
      <c r="AF563" s="86"/>
      <c r="AG563" s="86"/>
      <c r="AH563" s="86"/>
      <c r="AI563" s="86"/>
      <c r="AJ563" s="86"/>
      <c r="AK563" s="86"/>
      <c r="AL563" s="86"/>
      <c r="AM563" s="86"/>
      <c r="AN563" s="86"/>
      <c r="AO563" s="86"/>
      <c r="AP563" s="86"/>
      <c r="AQ563" s="86"/>
      <c r="AR563" s="86"/>
      <c r="AS563" s="86"/>
      <c r="AT563" s="82"/>
      <c r="AU563" s="87"/>
      <c r="AV563" s="818">
        <f t="shared" si="356"/>
        <v>0</v>
      </c>
      <c r="AW563" s="818">
        <f t="shared" si="357"/>
        <v>0</v>
      </c>
      <c r="AX563" s="818">
        <f t="shared" si="358"/>
        <v>0</v>
      </c>
      <c r="AY563" s="88">
        <f t="shared" si="359"/>
        <v>0</v>
      </c>
      <c r="AZ563" s="81">
        <f t="shared" si="360"/>
        <v>0</v>
      </c>
      <c r="BA563" s="81">
        <f t="shared" si="361"/>
        <v>0</v>
      </c>
      <c r="BB563" s="81">
        <f t="shared" si="362"/>
        <v>0</v>
      </c>
      <c r="BC563" s="81">
        <f t="shared" si="363"/>
        <v>0</v>
      </c>
      <c r="BD563" s="81">
        <f t="shared" si="364"/>
        <v>0</v>
      </c>
      <c r="BE563" s="81">
        <f t="shared" si="365"/>
        <v>0</v>
      </c>
      <c r="BF563" s="81">
        <f t="shared" si="366"/>
        <v>0</v>
      </c>
      <c r="BG563" s="81">
        <f t="shared" si="367"/>
        <v>0</v>
      </c>
      <c r="BH563" s="81">
        <f t="shared" si="368"/>
        <v>0</v>
      </c>
      <c r="BI563" s="81">
        <f t="shared" si="369"/>
        <v>0</v>
      </c>
      <c r="BJ563" s="81">
        <f t="shared" si="370"/>
        <v>0</v>
      </c>
      <c r="BK563" s="81">
        <f t="shared" si="371"/>
        <v>0</v>
      </c>
      <c r="BL563" s="81">
        <f t="shared" si="372"/>
        <v>0</v>
      </c>
      <c r="BM563" s="81">
        <f t="shared" si="373"/>
        <v>0</v>
      </c>
      <c r="BN563" s="81">
        <f t="shared" si="374"/>
        <v>0</v>
      </c>
      <c r="BO563" s="81">
        <f t="shared" si="375"/>
        <v>0</v>
      </c>
      <c r="BP563" s="81">
        <f t="shared" si="376"/>
        <v>0</v>
      </c>
      <c r="BQ563" s="81">
        <f t="shared" si="377"/>
        <v>0</v>
      </c>
      <c r="BR563" s="81">
        <f t="shared" si="378"/>
        <v>0</v>
      </c>
      <c r="BS563" s="81">
        <f t="shared" si="379"/>
        <v>0</v>
      </c>
      <c r="BT563" s="89">
        <f t="shared" si="380"/>
        <v>0</v>
      </c>
    </row>
    <row r="564" spans="1:72">
      <c r="A564" s="79"/>
      <c r="B564" s="80"/>
      <c r="C564" s="80"/>
      <c r="D564" s="2301"/>
      <c r="E564" s="81">
        <f t="shared" si="352"/>
        <v>0</v>
      </c>
      <c r="F564" s="82"/>
      <c r="G564" s="83">
        <f t="shared" si="353"/>
        <v>0</v>
      </c>
      <c r="H564" s="84">
        <f t="shared" si="354"/>
        <v>0</v>
      </c>
      <c r="I564" s="85"/>
      <c r="J564" s="85"/>
      <c r="K564" s="85"/>
      <c r="L564" s="85"/>
      <c r="M564" s="85"/>
      <c r="N564" s="85"/>
      <c r="O564" s="85"/>
      <c r="P564" s="85"/>
      <c r="Q564" s="85"/>
      <c r="R564" s="85"/>
      <c r="S564" s="85"/>
      <c r="T564" s="85"/>
      <c r="U564" s="85"/>
      <c r="V564" s="85"/>
      <c r="W564" s="85"/>
      <c r="X564" s="85"/>
      <c r="Y564" s="85"/>
      <c r="Z564" s="85"/>
      <c r="AA564" s="85"/>
      <c r="AB564" s="85"/>
      <c r="AC564" s="81">
        <f t="shared" si="355"/>
        <v>0</v>
      </c>
      <c r="AD564" s="86"/>
      <c r="AE564" s="86"/>
      <c r="AF564" s="86"/>
      <c r="AG564" s="86"/>
      <c r="AH564" s="86"/>
      <c r="AI564" s="86"/>
      <c r="AJ564" s="86"/>
      <c r="AK564" s="86"/>
      <c r="AL564" s="86"/>
      <c r="AM564" s="86"/>
      <c r="AN564" s="86"/>
      <c r="AO564" s="86"/>
      <c r="AP564" s="86"/>
      <c r="AQ564" s="86"/>
      <c r="AR564" s="86"/>
      <c r="AS564" s="86"/>
      <c r="AT564" s="82"/>
      <c r="AU564" s="87"/>
      <c r="AV564" s="818">
        <f t="shared" si="356"/>
        <v>0</v>
      </c>
      <c r="AW564" s="818">
        <f t="shared" si="357"/>
        <v>0</v>
      </c>
      <c r="AX564" s="818">
        <f t="shared" si="358"/>
        <v>0</v>
      </c>
      <c r="AY564" s="88">
        <f t="shared" si="359"/>
        <v>0</v>
      </c>
      <c r="AZ564" s="81">
        <f t="shared" si="360"/>
        <v>0</v>
      </c>
      <c r="BA564" s="81">
        <f t="shared" si="361"/>
        <v>0</v>
      </c>
      <c r="BB564" s="81">
        <f t="shared" si="362"/>
        <v>0</v>
      </c>
      <c r="BC564" s="81">
        <f t="shared" si="363"/>
        <v>0</v>
      </c>
      <c r="BD564" s="81">
        <f t="shared" si="364"/>
        <v>0</v>
      </c>
      <c r="BE564" s="81">
        <f t="shared" si="365"/>
        <v>0</v>
      </c>
      <c r="BF564" s="81">
        <f t="shared" si="366"/>
        <v>0</v>
      </c>
      <c r="BG564" s="81">
        <f t="shared" si="367"/>
        <v>0</v>
      </c>
      <c r="BH564" s="81">
        <f t="shared" si="368"/>
        <v>0</v>
      </c>
      <c r="BI564" s="81">
        <f t="shared" si="369"/>
        <v>0</v>
      </c>
      <c r="BJ564" s="81">
        <f t="shared" si="370"/>
        <v>0</v>
      </c>
      <c r="BK564" s="81">
        <f t="shared" si="371"/>
        <v>0</v>
      </c>
      <c r="BL564" s="81">
        <f t="shared" si="372"/>
        <v>0</v>
      </c>
      <c r="BM564" s="81">
        <f t="shared" si="373"/>
        <v>0</v>
      </c>
      <c r="BN564" s="81">
        <f t="shared" si="374"/>
        <v>0</v>
      </c>
      <c r="BO564" s="81">
        <f t="shared" si="375"/>
        <v>0</v>
      </c>
      <c r="BP564" s="81">
        <f t="shared" si="376"/>
        <v>0</v>
      </c>
      <c r="BQ564" s="81">
        <f t="shared" si="377"/>
        <v>0</v>
      </c>
      <c r="BR564" s="81">
        <f t="shared" si="378"/>
        <v>0</v>
      </c>
      <c r="BS564" s="81">
        <f t="shared" si="379"/>
        <v>0</v>
      </c>
      <c r="BT564" s="89">
        <f t="shared" si="380"/>
        <v>0</v>
      </c>
    </row>
    <row r="565" spans="1:72">
      <c r="A565" s="79"/>
      <c r="B565" s="80"/>
      <c r="C565" s="80"/>
      <c r="D565" s="2301"/>
      <c r="E565" s="81">
        <f t="shared" si="352"/>
        <v>0</v>
      </c>
      <c r="F565" s="82"/>
      <c r="G565" s="83">
        <f t="shared" si="353"/>
        <v>0</v>
      </c>
      <c r="H565" s="84">
        <f t="shared" si="354"/>
        <v>0</v>
      </c>
      <c r="I565" s="85"/>
      <c r="J565" s="85"/>
      <c r="K565" s="85"/>
      <c r="L565" s="85"/>
      <c r="M565" s="85"/>
      <c r="N565" s="85"/>
      <c r="O565" s="85"/>
      <c r="P565" s="85"/>
      <c r="Q565" s="85"/>
      <c r="R565" s="85"/>
      <c r="S565" s="85"/>
      <c r="T565" s="85"/>
      <c r="U565" s="85"/>
      <c r="V565" s="85"/>
      <c r="W565" s="85"/>
      <c r="X565" s="85"/>
      <c r="Y565" s="85"/>
      <c r="Z565" s="85"/>
      <c r="AA565" s="85"/>
      <c r="AB565" s="85"/>
      <c r="AC565" s="81">
        <f t="shared" si="355"/>
        <v>0</v>
      </c>
      <c r="AD565" s="86"/>
      <c r="AE565" s="86"/>
      <c r="AF565" s="86"/>
      <c r="AG565" s="86"/>
      <c r="AH565" s="86"/>
      <c r="AI565" s="86"/>
      <c r="AJ565" s="86"/>
      <c r="AK565" s="86"/>
      <c r="AL565" s="86"/>
      <c r="AM565" s="86"/>
      <c r="AN565" s="86"/>
      <c r="AO565" s="86"/>
      <c r="AP565" s="86"/>
      <c r="AQ565" s="86"/>
      <c r="AR565" s="86"/>
      <c r="AS565" s="86"/>
      <c r="AT565" s="82"/>
      <c r="AU565" s="87"/>
      <c r="AV565" s="818">
        <f t="shared" si="356"/>
        <v>0</v>
      </c>
      <c r="AW565" s="818">
        <f t="shared" si="357"/>
        <v>0</v>
      </c>
      <c r="AX565" s="818">
        <f t="shared" si="358"/>
        <v>0</v>
      </c>
      <c r="AY565" s="88">
        <f t="shared" si="359"/>
        <v>0</v>
      </c>
      <c r="AZ565" s="81">
        <f t="shared" si="360"/>
        <v>0</v>
      </c>
      <c r="BA565" s="81">
        <f t="shared" si="361"/>
        <v>0</v>
      </c>
      <c r="BB565" s="81">
        <f t="shared" si="362"/>
        <v>0</v>
      </c>
      <c r="BC565" s="81">
        <f t="shared" si="363"/>
        <v>0</v>
      </c>
      <c r="BD565" s="81">
        <f t="shared" si="364"/>
        <v>0</v>
      </c>
      <c r="BE565" s="81">
        <f t="shared" si="365"/>
        <v>0</v>
      </c>
      <c r="BF565" s="81">
        <f t="shared" si="366"/>
        <v>0</v>
      </c>
      <c r="BG565" s="81">
        <f t="shared" si="367"/>
        <v>0</v>
      </c>
      <c r="BH565" s="81">
        <f t="shared" si="368"/>
        <v>0</v>
      </c>
      <c r="BI565" s="81">
        <f t="shared" si="369"/>
        <v>0</v>
      </c>
      <c r="BJ565" s="81">
        <f t="shared" si="370"/>
        <v>0</v>
      </c>
      <c r="BK565" s="81">
        <f t="shared" si="371"/>
        <v>0</v>
      </c>
      <c r="BL565" s="81">
        <f t="shared" si="372"/>
        <v>0</v>
      </c>
      <c r="BM565" s="81">
        <f t="shared" si="373"/>
        <v>0</v>
      </c>
      <c r="BN565" s="81">
        <f t="shared" si="374"/>
        <v>0</v>
      </c>
      <c r="BO565" s="81">
        <f t="shared" si="375"/>
        <v>0</v>
      </c>
      <c r="BP565" s="81">
        <f t="shared" si="376"/>
        <v>0</v>
      </c>
      <c r="BQ565" s="81">
        <f t="shared" si="377"/>
        <v>0</v>
      </c>
      <c r="BR565" s="81">
        <f t="shared" si="378"/>
        <v>0</v>
      </c>
      <c r="BS565" s="81">
        <f t="shared" si="379"/>
        <v>0</v>
      </c>
      <c r="BT565" s="89">
        <f t="shared" si="380"/>
        <v>0</v>
      </c>
    </row>
    <row r="566" spans="1:72">
      <c r="A566" s="79"/>
      <c r="B566" s="80"/>
      <c r="C566" s="80"/>
      <c r="D566" s="2301"/>
      <c r="E566" s="81">
        <f t="shared" si="352"/>
        <v>0</v>
      </c>
      <c r="F566" s="82"/>
      <c r="G566" s="83">
        <f t="shared" si="353"/>
        <v>0</v>
      </c>
      <c r="H566" s="84">
        <f t="shared" si="354"/>
        <v>0</v>
      </c>
      <c r="I566" s="85"/>
      <c r="J566" s="85"/>
      <c r="K566" s="85"/>
      <c r="L566" s="85"/>
      <c r="M566" s="85"/>
      <c r="N566" s="85"/>
      <c r="O566" s="85"/>
      <c r="P566" s="85"/>
      <c r="Q566" s="85"/>
      <c r="R566" s="85"/>
      <c r="S566" s="85"/>
      <c r="T566" s="85"/>
      <c r="U566" s="85"/>
      <c r="V566" s="85"/>
      <c r="W566" s="85"/>
      <c r="X566" s="85"/>
      <c r="Y566" s="85"/>
      <c r="Z566" s="85"/>
      <c r="AA566" s="85"/>
      <c r="AB566" s="85"/>
      <c r="AC566" s="81">
        <f t="shared" si="355"/>
        <v>0</v>
      </c>
      <c r="AD566" s="86"/>
      <c r="AE566" s="86"/>
      <c r="AF566" s="86"/>
      <c r="AG566" s="86"/>
      <c r="AH566" s="86"/>
      <c r="AI566" s="86"/>
      <c r="AJ566" s="86"/>
      <c r="AK566" s="86"/>
      <c r="AL566" s="86"/>
      <c r="AM566" s="86"/>
      <c r="AN566" s="86"/>
      <c r="AO566" s="86"/>
      <c r="AP566" s="86"/>
      <c r="AQ566" s="86"/>
      <c r="AR566" s="86"/>
      <c r="AS566" s="86"/>
      <c r="AT566" s="82"/>
      <c r="AU566" s="87"/>
      <c r="AV566" s="818">
        <f t="shared" si="356"/>
        <v>0</v>
      </c>
      <c r="AW566" s="818">
        <f t="shared" si="357"/>
        <v>0</v>
      </c>
      <c r="AX566" s="818">
        <f t="shared" si="358"/>
        <v>0</v>
      </c>
      <c r="AY566" s="88">
        <f t="shared" si="359"/>
        <v>0</v>
      </c>
      <c r="AZ566" s="81">
        <f t="shared" si="360"/>
        <v>0</v>
      </c>
      <c r="BA566" s="81">
        <f t="shared" si="361"/>
        <v>0</v>
      </c>
      <c r="BB566" s="81">
        <f t="shared" si="362"/>
        <v>0</v>
      </c>
      <c r="BC566" s="81">
        <f t="shared" si="363"/>
        <v>0</v>
      </c>
      <c r="BD566" s="81">
        <f t="shared" si="364"/>
        <v>0</v>
      </c>
      <c r="BE566" s="81">
        <f t="shared" si="365"/>
        <v>0</v>
      </c>
      <c r="BF566" s="81">
        <f t="shared" si="366"/>
        <v>0</v>
      </c>
      <c r="BG566" s="81">
        <f t="shared" si="367"/>
        <v>0</v>
      </c>
      <c r="BH566" s="81">
        <f t="shared" si="368"/>
        <v>0</v>
      </c>
      <c r="BI566" s="81">
        <f t="shared" si="369"/>
        <v>0</v>
      </c>
      <c r="BJ566" s="81">
        <f t="shared" si="370"/>
        <v>0</v>
      </c>
      <c r="BK566" s="81">
        <f t="shared" si="371"/>
        <v>0</v>
      </c>
      <c r="BL566" s="81">
        <f t="shared" si="372"/>
        <v>0</v>
      </c>
      <c r="BM566" s="81">
        <f t="shared" si="373"/>
        <v>0</v>
      </c>
      <c r="BN566" s="81">
        <f t="shared" si="374"/>
        <v>0</v>
      </c>
      <c r="BO566" s="81">
        <f t="shared" si="375"/>
        <v>0</v>
      </c>
      <c r="BP566" s="81">
        <f t="shared" si="376"/>
        <v>0</v>
      </c>
      <c r="BQ566" s="81">
        <f t="shared" si="377"/>
        <v>0</v>
      </c>
      <c r="BR566" s="81">
        <f t="shared" si="378"/>
        <v>0</v>
      </c>
      <c r="BS566" s="81">
        <f t="shared" si="379"/>
        <v>0</v>
      </c>
      <c r="BT566" s="89">
        <f t="shared" si="380"/>
        <v>0</v>
      </c>
    </row>
    <row r="567" spans="1:72">
      <c r="A567" s="79"/>
      <c r="B567" s="80"/>
      <c r="C567" s="80"/>
      <c r="D567" s="2301"/>
      <c r="E567" s="81">
        <f t="shared" si="352"/>
        <v>0</v>
      </c>
      <c r="F567" s="82"/>
      <c r="G567" s="83">
        <f t="shared" si="353"/>
        <v>0</v>
      </c>
      <c r="H567" s="84">
        <f t="shared" si="354"/>
        <v>0</v>
      </c>
      <c r="I567" s="85"/>
      <c r="J567" s="85"/>
      <c r="K567" s="85"/>
      <c r="L567" s="85"/>
      <c r="M567" s="85"/>
      <c r="N567" s="85"/>
      <c r="O567" s="85"/>
      <c r="P567" s="85"/>
      <c r="Q567" s="85"/>
      <c r="R567" s="85"/>
      <c r="S567" s="85"/>
      <c r="T567" s="85"/>
      <c r="U567" s="85"/>
      <c r="V567" s="85"/>
      <c r="W567" s="85"/>
      <c r="X567" s="85"/>
      <c r="Y567" s="85"/>
      <c r="Z567" s="85"/>
      <c r="AA567" s="85"/>
      <c r="AB567" s="85"/>
      <c r="AC567" s="81">
        <f t="shared" si="355"/>
        <v>0</v>
      </c>
      <c r="AD567" s="86"/>
      <c r="AE567" s="86"/>
      <c r="AF567" s="86"/>
      <c r="AG567" s="86"/>
      <c r="AH567" s="86"/>
      <c r="AI567" s="86"/>
      <c r="AJ567" s="86"/>
      <c r="AK567" s="86"/>
      <c r="AL567" s="86"/>
      <c r="AM567" s="86"/>
      <c r="AN567" s="86"/>
      <c r="AO567" s="86"/>
      <c r="AP567" s="86"/>
      <c r="AQ567" s="86"/>
      <c r="AR567" s="86"/>
      <c r="AS567" s="86"/>
      <c r="AT567" s="82"/>
      <c r="AU567" s="87"/>
      <c r="AV567" s="818">
        <f t="shared" si="356"/>
        <v>0</v>
      </c>
      <c r="AW567" s="818">
        <f t="shared" si="357"/>
        <v>0</v>
      </c>
      <c r="AX567" s="818">
        <f t="shared" si="358"/>
        <v>0</v>
      </c>
      <c r="AY567" s="88">
        <f t="shared" si="359"/>
        <v>0</v>
      </c>
      <c r="AZ567" s="81">
        <f t="shared" si="360"/>
        <v>0</v>
      </c>
      <c r="BA567" s="81">
        <f t="shared" si="361"/>
        <v>0</v>
      </c>
      <c r="BB567" s="81">
        <f t="shared" si="362"/>
        <v>0</v>
      </c>
      <c r="BC567" s="81">
        <f t="shared" si="363"/>
        <v>0</v>
      </c>
      <c r="BD567" s="81">
        <f t="shared" si="364"/>
        <v>0</v>
      </c>
      <c r="BE567" s="81">
        <f t="shared" si="365"/>
        <v>0</v>
      </c>
      <c r="BF567" s="81">
        <f t="shared" si="366"/>
        <v>0</v>
      </c>
      <c r="BG567" s="81">
        <f t="shared" si="367"/>
        <v>0</v>
      </c>
      <c r="BH567" s="81">
        <f t="shared" si="368"/>
        <v>0</v>
      </c>
      <c r="BI567" s="81">
        <f t="shared" si="369"/>
        <v>0</v>
      </c>
      <c r="BJ567" s="81">
        <f t="shared" si="370"/>
        <v>0</v>
      </c>
      <c r="BK567" s="81">
        <f t="shared" si="371"/>
        <v>0</v>
      </c>
      <c r="BL567" s="81">
        <f t="shared" si="372"/>
        <v>0</v>
      </c>
      <c r="BM567" s="81">
        <f t="shared" si="373"/>
        <v>0</v>
      </c>
      <c r="BN567" s="81">
        <f t="shared" si="374"/>
        <v>0</v>
      </c>
      <c r="BO567" s="81">
        <f t="shared" si="375"/>
        <v>0</v>
      </c>
      <c r="BP567" s="81">
        <f t="shared" si="376"/>
        <v>0</v>
      </c>
      <c r="BQ567" s="81">
        <f t="shared" si="377"/>
        <v>0</v>
      </c>
      <c r="BR567" s="81">
        <f t="shared" si="378"/>
        <v>0</v>
      </c>
      <c r="BS567" s="81">
        <f t="shared" si="379"/>
        <v>0</v>
      </c>
      <c r="BT567" s="89">
        <f t="shared" si="380"/>
        <v>0</v>
      </c>
    </row>
    <row r="568" spans="1:72">
      <c r="A568" s="79"/>
      <c r="B568" s="80"/>
      <c r="C568" s="80"/>
      <c r="D568" s="2301"/>
      <c r="E568" s="81">
        <f t="shared" si="352"/>
        <v>0</v>
      </c>
      <c r="F568" s="82"/>
      <c r="G568" s="83">
        <f t="shared" si="353"/>
        <v>0</v>
      </c>
      <c r="H568" s="84">
        <f t="shared" si="354"/>
        <v>0</v>
      </c>
      <c r="I568" s="85"/>
      <c r="J568" s="85"/>
      <c r="K568" s="85"/>
      <c r="L568" s="85"/>
      <c r="M568" s="85"/>
      <c r="N568" s="85"/>
      <c r="O568" s="85"/>
      <c r="P568" s="85"/>
      <c r="Q568" s="85"/>
      <c r="R568" s="85"/>
      <c r="S568" s="85"/>
      <c r="T568" s="85"/>
      <c r="U568" s="85"/>
      <c r="V568" s="85"/>
      <c r="W568" s="85"/>
      <c r="X568" s="85"/>
      <c r="Y568" s="85"/>
      <c r="Z568" s="85"/>
      <c r="AA568" s="85"/>
      <c r="AB568" s="85"/>
      <c r="AC568" s="81">
        <f t="shared" si="355"/>
        <v>0</v>
      </c>
      <c r="AD568" s="86"/>
      <c r="AE568" s="86"/>
      <c r="AF568" s="86"/>
      <c r="AG568" s="86"/>
      <c r="AH568" s="86"/>
      <c r="AI568" s="86"/>
      <c r="AJ568" s="86"/>
      <c r="AK568" s="86"/>
      <c r="AL568" s="86"/>
      <c r="AM568" s="86"/>
      <c r="AN568" s="86"/>
      <c r="AO568" s="86"/>
      <c r="AP568" s="86"/>
      <c r="AQ568" s="86"/>
      <c r="AR568" s="86"/>
      <c r="AS568" s="86"/>
      <c r="AT568" s="82"/>
      <c r="AU568" s="87"/>
      <c r="AV568" s="818">
        <f t="shared" si="356"/>
        <v>0</v>
      </c>
      <c r="AW568" s="818">
        <f t="shared" si="357"/>
        <v>0</v>
      </c>
      <c r="AX568" s="818">
        <f t="shared" si="358"/>
        <v>0</v>
      </c>
      <c r="AY568" s="88">
        <f t="shared" si="359"/>
        <v>0</v>
      </c>
      <c r="AZ568" s="81">
        <f t="shared" si="360"/>
        <v>0</v>
      </c>
      <c r="BA568" s="81">
        <f t="shared" si="361"/>
        <v>0</v>
      </c>
      <c r="BB568" s="81">
        <f t="shared" si="362"/>
        <v>0</v>
      </c>
      <c r="BC568" s="81">
        <f t="shared" si="363"/>
        <v>0</v>
      </c>
      <c r="BD568" s="81">
        <f t="shared" si="364"/>
        <v>0</v>
      </c>
      <c r="BE568" s="81">
        <f t="shared" si="365"/>
        <v>0</v>
      </c>
      <c r="BF568" s="81">
        <f t="shared" si="366"/>
        <v>0</v>
      </c>
      <c r="BG568" s="81">
        <f t="shared" si="367"/>
        <v>0</v>
      </c>
      <c r="BH568" s="81">
        <f t="shared" si="368"/>
        <v>0</v>
      </c>
      <c r="BI568" s="81">
        <f t="shared" si="369"/>
        <v>0</v>
      </c>
      <c r="BJ568" s="81">
        <f t="shared" si="370"/>
        <v>0</v>
      </c>
      <c r="BK568" s="81">
        <f t="shared" si="371"/>
        <v>0</v>
      </c>
      <c r="BL568" s="81">
        <f t="shared" si="372"/>
        <v>0</v>
      </c>
      <c r="BM568" s="81">
        <f t="shared" si="373"/>
        <v>0</v>
      </c>
      <c r="BN568" s="81">
        <f t="shared" si="374"/>
        <v>0</v>
      </c>
      <c r="BO568" s="81">
        <f t="shared" si="375"/>
        <v>0</v>
      </c>
      <c r="BP568" s="81">
        <f t="shared" si="376"/>
        <v>0</v>
      </c>
      <c r="BQ568" s="81">
        <f t="shared" si="377"/>
        <v>0</v>
      </c>
      <c r="BR568" s="81">
        <f t="shared" si="378"/>
        <v>0</v>
      </c>
      <c r="BS568" s="81">
        <f t="shared" si="379"/>
        <v>0</v>
      </c>
      <c r="BT568" s="89">
        <f t="shared" si="380"/>
        <v>0</v>
      </c>
    </row>
    <row r="569" spans="1:72">
      <c r="A569" s="79"/>
      <c r="B569" s="80"/>
      <c r="C569" s="80"/>
      <c r="D569" s="2301"/>
      <c r="E569" s="81">
        <f t="shared" si="352"/>
        <v>0</v>
      </c>
      <c r="F569" s="82"/>
      <c r="G569" s="83">
        <f t="shared" si="353"/>
        <v>0</v>
      </c>
      <c r="H569" s="84">
        <f t="shared" si="354"/>
        <v>0</v>
      </c>
      <c r="I569" s="85"/>
      <c r="J569" s="85"/>
      <c r="K569" s="85"/>
      <c r="L569" s="85"/>
      <c r="M569" s="85"/>
      <c r="N569" s="85"/>
      <c r="O569" s="85"/>
      <c r="P569" s="85"/>
      <c r="Q569" s="85"/>
      <c r="R569" s="85"/>
      <c r="S569" s="85"/>
      <c r="T569" s="85"/>
      <c r="U569" s="85"/>
      <c r="V569" s="85"/>
      <c r="W569" s="85"/>
      <c r="X569" s="85"/>
      <c r="Y569" s="85"/>
      <c r="Z569" s="85"/>
      <c r="AA569" s="85"/>
      <c r="AB569" s="85"/>
      <c r="AC569" s="81">
        <f t="shared" si="355"/>
        <v>0</v>
      </c>
      <c r="AD569" s="86"/>
      <c r="AE569" s="86"/>
      <c r="AF569" s="86"/>
      <c r="AG569" s="86"/>
      <c r="AH569" s="86"/>
      <c r="AI569" s="86"/>
      <c r="AJ569" s="86"/>
      <c r="AK569" s="86"/>
      <c r="AL569" s="86"/>
      <c r="AM569" s="86"/>
      <c r="AN569" s="86"/>
      <c r="AO569" s="86"/>
      <c r="AP569" s="86"/>
      <c r="AQ569" s="86"/>
      <c r="AR569" s="86"/>
      <c r="AS569" s="86"/>
      <c r="AT569" s="82"/>
      <c r="AU569" s="87"/>
      <c r="AV569" s="818">
        <f t="shared" si="356"/>
        <v>0</v>
      </c>
      <c r="AW569" s="818">
        <f t="shared" si="357"/>
        <v>0</v>
      </c>
      <c r="AX569" s="818">
        <f t="shared" si="358"/>
        <v>0</v>
      </c>
      <c r="AY569" s="88">
        <f t="shared" si="359"/>
        <v>0</v>
      </c>
      <c r="AZ569" s="81">
        <f t="shared" si="360"/>
        <v>0</v>
      </c>
      <c r="BA569" s="81">
        <f t="shared" si="361"/>
        <v>0</v>
      </c>
      <c r="BB569" s="81">
        <f t="shared" si="362"/>
        <v>0</v>
      </c>
      <c r="BC569" s="81">
        <f t="shared" si="363"/>
        <v>0</v>
      </c>
      <c r="BD569" s="81">
        <f t="shared" si="364"/>
        <v>0</v>
      </c>
      <c r="BE569" s="81">
        <f t="shared" si="365"/>
        <v>0</v>
      </c>
      <c r="BF569" s="81">
        <f t="shared" si="366"/>
        <v>0</v>
      </c>
      <c r="BG569" s="81">
        <f t="shared" si="367"/>
        <v>0</v>
      </c>
      <c r="BH569" s="81">
        <f t="shared" si="368"/>
        <v>0</v>
      </c>
      <c r="BI569" s="81">
        <f t="shared" si="369"/>
        <v>0</v>
      </c>
      <c r="BJ569" s="81">
        <f t="shared" si="370"/>
        <v>0</v>
      </c>
      <c r="BK569" s="81">
        <f t="shared" si="371"/>
        <v>0</v>
      </c>
      <c r="BL569" s="81">
        <f t="shared" si="372"/>
        <v>0</v>
      </c>
      <c r="BM569" s="81">
        <f t="shared" si="373"/>
        <v>0</v>
      </c>
      <c r="BN569" s="81">
        <f t="shared" si="374"/>
        <v>0</v>
      </c>
      <c r="BO569" s="81">
        <f t="shared" si="375"/>
        <v>0</v>
      </c>
      <c r="BP569" s="81">
        <f t="shared" si="376"/>
        <v>0</v>
      </c>
      <c r="BQ569" s="81">
        <f t="shared" si="377"/>
        <v>0</v>
      </c>
      <c r="BR569" s="81">
        <f t="shared" si="378"/>
        <v>0</v>
      </c>
      <c r="BS569" s="81">
        <f t="shared" si="379"/>
        <v>0</v>
      </c>
      <c r="BT569" s="89">
        <f t="shared" si="380"/>
        <v>0</v>
      </c>
    </row>
    <row r="570" spans="1:72">
      <c r="A570" s="79"/>
      <c r="B570" s="79"/>
      <c r="C570" s="79"/>
      <c r="D570" s="2301"/>
      <c r="E570" s="81">
        <f t="shared" si="352"/>
        <v>0</v>
      </c>
      <c r="F570" s="86"/>
      <c r="G570" s="83">
        <f>H570+AC570+AT570</f>
        <v>0</v>
      </c>
      <c r="H570" s="84">
        <f>SUMIF(I$12:AB$12,"总值",I570:AB570)</f>
        <v>0</v>
      </c>
      <c r="I570" s="90"/>
      <c r="J570" s="90"/>
      <c r="K570" s="85"/>
      <c r="L570" s="85"/>
      <c r="M570" s="85"/>
      <c r="N570" s="85"/>
      <c r="O570" s="85"/>
      <c r="P570" s="85"/>
      <c r="Q570" s="85"/>
      <c r="R570" s="85"/>
      <c r="S570" s="85"/>
      <c r="T570" s="85"/>
      <c r="U570" s="85"/>
      <c r="V570" s="85"/>
      <c r="W570" s="85"/>
      <c r="X570" s="85"/>
      <c r="Y570" s="85"/>
      <c r="Z570" s="85"/>
      <c r="AA570" s="85"/>
      <c r="AB570" s="85"/>
      <c r="AC570" s="81">
        <f>SUMIF(AD$12:AS$12,"总值",AD570:AS570)</f>
        <v>0</v>
      </c>
      <c r="AD570" s="86"/>
      <c r="AE570" s="86"/>
      <c r="AF570" s="86"/>
      <c r="AG570" s="86"/>
      <c r="AH570" s="86"/>
      <c r="AI570" s="86"/>
      <c r="AJ570" s="86"/>
      <c r="AK570" s="86"/>
      <c r="AL570" s="86"/>
      <c r="AM570" s="86"/>
      <c r="AN570" s="86"/>
      <c r="AO570" s="86"/>
      <c r="AP570" s="86"/>
      <c r="AQ570" s="86"/>
      <c r="AR570" s="86"/>
      <c r="AS570" s="86"/>
      <c r="AT570" s="86"/>
      <c r="AU570" s="91"/>
      <c r="AV570" s="818">
        <f t="shared" si="356"/>
        <v>0</v>
      </c>
      <c r="AW570" s="818">
        <f t="shared" si="357"/>
        <v>0</v>
      </c>
      <c r="AX570" s="818">
        <f t="shared" si="358"/>
        <v>0</v>
      </c>
      <c r="AY570" s="88">
        <f>ROUND($AY$6*AZ570/$AZ$5,2)</f>
        <v>0</v>
      </c>
      <c r="AZ570" s="81">
        <f>BA570+BL570</f>
        <v>0</v>
      </c>
      <c r="BA570" s="81">
        <f>SUM(BB570:BK570)</f>
        <v>0</v>
      </c>
      <c r="BB570" s="81">
        <f>IF($D570="是",I570-J570,0)</f>
        <v>0</v>
      </c>
      <c r="BC570" s="81">
        <f>IF($D570="是",K570-L570,0)</f>
        <v>0</v>
      </c>
      <c r="BD570" s="81">
        <f>IF($D570="是",M570-N570,0)</f>
        <v>0</v>
      </c>
      <c r="BE570" s="81">
        <f>IF($D570="是",O570-P570,0)</f>
        <v>0</v>
      </c>
      <c r="BF570" s="81">
        <f>IF($D570="是",Q570-R570,0)</f>
        <v>0</v>
      </c>
      <c r="BG570" s="81">
        <f>IF($D570="是",S570-T570,0)</f>
        <v>0</v>
      </c>
      <c r="BH570" s="81">
        <f>IF($D570="是",U570-V570,0)</f>
        <v>0</v>
      </c>
      <c r="BI570" s="81">
        <f>IF($D570="是",W570-X570,0)</f>
        <v>0</v>
      </c>
      <c r="BJ570" s="81">
        <f>IF($D570="是",Y570-Z570,0)</f>
        <v>0</v>
      </c>
      <c r="BK570" s="81">
        <f>IF($D570="是",AA570-AB570,0)</f>
        <v>0</v>
      </c>
      <c r="BL570" s="81">
        <f>SUM(BM570:BT570)</f>
        <v>0</v>
      </c>
      <c r="BM570" s="81">
        <f>IF($D570="是",AD570-AE570,0)</f>
        <v>0</v>
      </c>
      <c r="BN570" s="81">
        <f>IF($D570="是",AF570-AG570,0)</f>
        <v>0</v>
      </c>
      <c r="BO570" s="81">
        <f>IF($D570="是",AH570-AI570,0)</f>
        <v>0</v>
      </c>
      <c r="BP570" s="81">
        <f>IF($D570="是",AJ570-AK570,0)</f>
        <v>0</v>
      </c>
      <c r="BQ570" s="81">
        <f>IF($D570="是",AL570-AM570,0)</f>
        <v>0</v>
      </c>
      <c r="BR570" s="81">
        <f>IF($D570="是",AN570-AO570,0)</f>
        <v>0</v>
      </c>
      <c r="BS570" s="81">
        <f>IF($D570="是",AP570-AQ570,0)</f>
        <v>0</v>
      </c>
      <c r="BT570" s="89">
        <f>IF($D570="是",AR570-AS570,0)</f>
        <v>0</v>
      </c>
    </row>
    <row r="571" spans="1:72">
      <c r="A571" s="79"/>
      <c r="B571" s="79"/>
      <c r="C571" s="79"/>
      <c r="D571" s="2301"/>
      <c r="E571" s="81">
        <f t="shared" si="352"/>
        <v>0</v>
      </c>
      <c r="F571" s="86"/>
      <c r="G571" s="83">
        <f>H571+AC571+AT571</f>
        <v>0</v>
      </c>
      <c r="H571" s="84">
        <f>SUMIF(I$12:AB$12,"总值",I571:AB571)</f>
        <v>0</v>
      </c>
      <c r="I571" s="85"/>
      <c r="J571" s="85"/>
      <c r="K571" s="85"/>
      <c r="L571" s="85"/>
      <c r="M571" s="85"/>
      <c r="N571" s="85"/>
      <c r="O571" s="85"/>
      <c r="P571" s="85"/>
      <c r="Q571" s="85"/>
      <c r="R571" s="85"/>
      <c r="S571" s="85"/>
      <c r="T571" s="85"/>
      <c r="U571" s="85"/>
      <c r="V571" s="85"/>
      <c r="W571" s="85"/>
      <c r="X571" s="85"/>
      <c r="Y571" s="85"/>
      <c r="Z571" s="85"/>
      <c r="AA571" s="85"/>
      <c r="AB571" s="85"/>
      <c r="AC571" s="81">
        <f>SUMIF(AD$12:AS$12,"总值",AD571:AS571)</f>
        <v>0</v>
      </c>
      <c r="AD571" s="86"/>
      <c r="AE571" s="86"/>
      <c r="AF571" s="86"/>
      <c r="AG571" s="86"/>
      <c r="AH571" s="86"/>
      <c r="AI571" s="86"/>
      <c r="AJ571" s="86"/>
      <c r="AK571" s="86"/>
      <c r="AL571" s="86"/>
      <c r="AM571" s="86"/>
      <c r="AN571" s="86"/>
      <c r="AO571" s="86"/>
      <c r="AP571" s="86"/>
      <c r="AQ571" s="86"/>
      <c r="AR571" s="86"/>
      <c r="AS571" s="86"/>
      <c r="AT571" s="86"/>
      <c r="AU571" s="91"/>
      <c r="AV571" s="818">
        <f t="shared" si="356"/>
        <v>0</v>
      </c>
      <c r="AW571" s="818">
        <f t="shared" si="357"/>
        <v>0</v>
      </c>
      <c r="AX571" s="818">
        <f t="shared" si="358"/>
        <v>0</v>
      </c>
      <c r="AY571" s="88">
        <f>ROUND($AY$6*AZ571/$AZ$5,2)</f>
        <v>0</v>
      </c>
      <c r="AZ571" s="81">
        <f>BA571+BL571</f>
        <v>0</v>
      </c>
      <c r="BA571" s="81">
        <f>SUM(BB571:BK571)</f>
        <v>0</v>
      </c>
      <c r="BB571" s="81">
        <f>IF($D571="是",I571-J571,0)</f>
        <v>0</v>
      </c>
      <c r="BC571" s="81">
        <f>IF($D571="是",K571-L571,0)</f>
        <v>0</v>
      </c>
      <c r="BD571" s="81">
        <f>IF($D571="是",M571-N571,0)</f>
        <v>0</v>
      </c>
      <c r="BE571" s="81">
        <f>IF($D571="是",O571-P571,0)</f>
        <v>0</v>
      </c>
      <c r="BF571" s="81">
        <f>IF($D571="是",Q571-R571,0)</f>
        <v>0</v>
      </c>
      <c r="BG571" s="81">
        <f>IF($D571="是",S571-T571,0)</f>
        <v>0</v>
      </c>
      <c r="BH571" s="81">
        <f>IF($D571="是",U571-V571,0)</f>
        <v>0</v>
      </c>
      <c r="BI571" s="81">
        <f>IF($D571="是",W571-X571,0)</f>
        <v>0</v>
      </c>
      <c r="BJ571" s="81">
        <f>IF($D571="是",Y571-Z571,0)</f>
        <v>0</v>
      </c>
      <c r="BK571" s="81">
        <f>IF($D571="是",AA571-AB571,0)</f>
        <v>0</v>
      </c>
      <c r="BL571" s="81">
        <f>SUM(BM571:BT571)</f>
        <v>0</v>
      </c>
      <c r="BM571" s="81">
        <f>IF($D571="是",AD571-AE571,0)</f>
        <v>0</v>
      </c>
      <c r="BN571" s="81">
        <f>IF($D571="是",AF571-AG571,0)</f>
        <v>0</v>
      </c>
      <c r="BO571" s="81">
        <f>IF($D571="是",AH571-AI571,0)</f>
        <v>0</v>
      </c>
      <c r="BP571" s="81">
        <f>IF($D571="是",AJ571-AK571,0)</f>
        <v>0</v>
      </c>
      <c r="BQ571" s="81">
        <f>IF($D571="是",AL571-AM571,0)</f>
        <v>0</v>
      </c>
      <c r="BR571" s="81">
        <f>IF($D571="是",AN571-AO571,0)</f>
        <v>0</v>
      </c>
      <c r="BS571" s="81">
        <f>IF($D571="是",AP571-AQ571,0)</f>
        <v>0</v>
      </c>
      <c r="BT571" s="89">
        <f>IF($D571="是",AR571-AS571,0)</f>
        <v>0</v>
      </c>
    </row>
    <row r="572" spans="1:72">
      <c r="A572" s="79"/>
      <c r="B572" s="79"/>
      <c r="C572" s="79"/>
      <c r="D572" s="2301"/>
      <c r="E572" s="81">
        <f t="shared" si="352"/>
        <v>0</v>
      </c>
      <c r="F572" s="86"/>
      <c r="G572" s="83">
        <f>H572+AC572+AT572</f>
        <v>0</v>
      </c>
      <c r="H572" s="84">
        <f>SUMIF(I$12:AB$12,"总值",I572:AB572)</f>
        <v>0</v>
      </c>
      <c r="I572" s="85"/>
      <c r="J572" s="85"/>
      <c r="K572" s="85"/>
      <c r="L572" s="85"/>
      <c r="M572" s="85"/>
      <c r="N572" s="85"/>
      <c r="O572" s="85"/>
      <c r="P572" s="85"/>
      <c r="Q572" s="85"/>
      <c r="R572" s="85"/>
      <c r="S572" s="85"/>
      <c r="T572" s="85"/>
      <c r="U572" s="85"/>
      <c r="V572" s="85"/>
      <c r="W572" s="85"/>
      <c r="X572" s="85"/>
      <c r="Y572" s="85"/>
      <c r="Z572" s="85"/>
      <c r="AA572" s="85"/>
      <c r="AB572" s="85"/>
      <c r="AC572" s="81">
        <f>SUMIF(AD$12:AS$12,"总值",AD572:AS572)</f>
        <v>0</v>
      </c>
      <c r="AD572" s="86"/>
      <c r="AE572" s="86"/>
      <c r="AF572" s="86"/>
      <c r="AG572" s="86"/>
      <c r="AH572" s="86"/>
      <c r="AI572" s="86"/>
      <c r="AJ572" s="86"/>
      <c r="AK572" s="86"/>
      <c r="AL572" s="86"/>
      <c r="AM572" s="86"/>
      <c r="AN572" s="86"/>
      <c r="AO572" s="86"/>
      <c r="AP572" s="86"/>
      <c r="AQ572" s="86"/>
      <c r="AR572" s="86"/>
      <c r="AS572" s="86"/>
      <c r="AT572" s="86"/>
      <c r="AU572" s="91"/>
      <c r="AV572" s="818">
        <f t="shared" si="356"/>
        <v>0</v>
      </c>
      <c r="AW572" s="818">
        <f t="shared" si="357"/>
        <v>0</v>
      </c>
      <c r="AX572" s="818">
        <f t="shared" si="358"/>
        <v>0</v>
      </c>
      <c r="AY572" s="88">
        <f>ROUND($AY$6*AZ572/$AZ$5,2)</f>
        <v>0</v>
      </c>
      <c r="AZ572" s="81">
        <f>BA572+BL572</f>
        <v>0</v>
      </c>
      <c r="BA572" s="81">
        <f>SUM(BB572:BK572)</f>
        <v>0</v>
      </c>
      <c r="BB572" s="81">
        <f>IF($D572="是",I572-J572,0)</f>
        <v>0</v>
      </c>
      <c r="BC572" s="81">
        <f>IF($D572="是",K572-L572,0)</f>
        <v>0</v>
      </c>
      <c r="BD572" s="81">
        <f>IF($D572="是",M572-N572,0)</f>
        <v>0</v>
      </c>
      <c r="BE572" s="81">
        <f>IF($D572="是",O572-P572,0)</f>
        <v>0</v>
      </c>
      <c r="BF572" s="81">
        <f>IF($D572="是",Q572-R572,0)</f>
        <v>0</v>
      </c>
      <c r="BG572" s="81">
        <f>IF($D572="是",S572-T572,0)</f>
        <v>0</v>
      </c>
      <c r="BH572" s="81">
        <f>IF($D572="是",U572-V572,0)</f>
        <v>0</v>
      </c>
      <c r="BI572" s="81">
        <f>IF($D572="是",W572-X572,0)</f>
        <v>0</v>
      </c>
      <c r="BJ572" s="81">
        <f>IF($D572="是",Y572-Z572,0)</f>
        <v>0</v>
      </c>
      <c r="BK572" s="81">
        <f>IF($D572="是",AA572-AB572,0)</f>
        <v>0</v>
      </c>
      <c r="BL572" s="81">
        <f>SUM(BM572:BT572)</f>
        <v>0</v>
      </c>
      <c r="BM572" s="81">
        <f>IF($D572="是",AD572-AE572,0)</f>
        <v>0</v>
      </c>
      <c r="BN572" s="81">
        <f>IF($D572="是",AF572-AG572,0)</f>
        <v>0</v>
      </c>
      <c r="BO572" s="81">
        <f>IF($D572="是",AH572-AI572,0)</f>
        <v>0</v>
      </c>
      <c r="BP572" s="81">
        <f>IF($D572="是",AJ572-AK572,0)</f>
        <v>0</v>
      </c>
      <c r="BQ572" s="81">
        <f>IF($D572="是",AL572-AM572,0)</f>
        <v>0</v>
      </c>
      <c r="BR572" s="81">
        <f>IF($D572="是",AN572-AO572,0)</f>
        <v>0</v>
      </c>
      <c r="BS572" s="81">
        <f>IF($D572="是",AP572-AQ572,0)</f>
        <v>0</v>
      </c>
      <c r="BT572" s="89">
        <f>IF($D572="是",AR572-AS572,0)</f>
        <v>0</v>
      </c>
    </row>
    <row r="573" spans="1:72">
      <c r="E573" s="92"/>
      <c r="F573" s="92"/>
      <c r="H573" s="92"/>
      <c r="I573" s="92"/>
      <c r="J573" s="92"/>
      <c r="K573" s="92"/>
      <c r="L573" s="92"/>
      <c r="M573" s="92"/>
      <c r="N573" s="92"/>
      <c r="O573" s="92"/>
      <c r="P573" s="92"/>
      <c r="Q573" s="92"/>
      <c r="R573" s="92"/>
      <c r="S573" s="92"/>
      <c r="T573" s="92"/>
      <c r="U573" s="92"/>
      <c r="V573" s="92"/>
      <c r="W573" s="92"/>
      <c r="X573" s="92"/>
      <c r="Y573" s="92"/>
      <c r="Z573" s="92"/>
      <c r="AA573" s="92"/>
      <c r="AB573" s="92"/>
      <c r="AC573" s="92"/>
      <c r="AD573" s="92"/>
      <c r="AE573" s="92"/>
      <c r="AF573" s="92"/>
      <c r="AG573" s="92"/>
      <c r="AH573" s="92"/>
      <c r="AI573" s="92"/>
      <c r="AJ573" s="92"/>
      <c r="AK573" s="92"/>
      <c r="AL573" s="92"/>
      <c r="AM573" s="92"/>
      <c r="AN573" s="92"/>
      <c r="AO573" s="92"/>
      <c r="AP573" s="92"/>
      <c r="AQ573" s="92"/>
      <c r="AR573" s="92"/>
      <c r="AS573" s="92"/>
      <c r="AT573" s="92"/>
    </row>
    <row r="574" spans="1:72" s="93" customFormat="1">
      <c r="C574" s="94"/>
      <c r="D574" s="94"/>
    </row>
    <row r="575" spans="1:72" s="93" customFormat="1">
      <c r="C575" s="94"/>
      <c r="D575" s="94"/>
    </row>
    <row r="578" spans="2:2">
      <c r="B578" s="94"/>
    </row>
  </sheetData>
  <sheetProtection password="CEE9" sheet="1" objects="1" scenarios="1" formatCells="0" formatColumns="0" formatRows="0"/>
  <phoneticPr fontId="3" type="noConversion"/>
  <dataValidations count="4">
    <dataValidation type="list" allowBlank="1" showInputMessage="1" showErrorMessage="1" sqref="C3 D13:D572" xr:uid="{00000000-0002-0000-0B00-000000000000}">
      <formula1>估价范围判定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I10 K10 M10 O10 Q10 S10 U10 W10 Y10 AA10" xr:uid="{00000000-0002-0000-0B00-000002000000}">
      <formula1>主用途</formula1>
    </dataValidation>
    <dataValidation type="list" allowBlank="1" showInputMessage="1" showErrorMessage="1" sqref="I11 K11 M11 O11 Q11 S11 U11 W11 Y11 AA11" xr:uid="{00000000-0002-0000-0B00-000003000000}">
      <formula1>用途类型</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
    <tabColor rgb="FFFFFF00"/>
    <pageSetUpPr fitToPage="1"/>
  </sheetPr>
  <dimension ref="A1:S33"/>
  <sheetViews>
    <sheetView view="pageBreakPreview" zoomScale="87" zoomScaleNormal="70" zoomScaleSheetLayoutView="87" workbookViewId="0">
      <selection activeCell="L8" sqref="L8"/>
    </sheetView>
  </sheetViews>
  <sheetFormatPr defaultColWidth="9.25" defaultRowHeight="14.25"/>
  <cols>
    <col min="1" max="1" width="8.25" style="1634" customWidth="1"/>
    <col min="2" max="2" width="10.25" style="1634" customWidth="1"/>
    <col min="3" max="3" width="18.5" style="1634" customWidth="1"/>
    <col min="4" max="4" width="11.125" style="1634" customWidth="1"/>
    <col min="5" max="5" width="13.375" style="1634" customWidth="1"/>
    <col min="6" max="8" width="11.5" style="1634" customWidth="1"/>
    <col min="9" max="9" width="10.375" style="1634" customWidth="1"/>
    <col min="10" max="10" width="3.125" style="1634" customWidth="1"/>
    <col min="11" max="16" width="11.625" style="1634" customWidth="1"/>
    <col min="17" max="17" width="3.375" style="1634" customWidth="1"/>
    <col min="18" max="16384" width="9.25" style="1634"/>
  </cols>
  <sheetData>
    <row r="1" spans="1:16" ht="18.75">
      <c r="A1" s="95" t="s">
        <v>168</v>
      </c>
      <c r="B1" s="1633"/>
      <c r="C1" s="1633"/>
      <c r="D1" s="1633"/>
      <c r="E1" s="1633"/>
      <c r="F1" s="1633"/>
      <c r="G1" s="1633"/>
      <c r="H1" s="1633"/>
      <c r="I1" s="1633"/>
      <c r="J1" s="1633"/>
      <c r="K1" s="1633"/>
      <c r="L1" s="1633"/>
      <c r="M1" s="1633"/>
      <c r="N1" s="1633"/>
      <c r="O1" s="1633"/>
      <c r="P1" s="1633"/>
    </row>
    <row r="2" spans="1:16" ht="15">
      <c r="A2" s="3518" t="s">
        <v>169</v>
      </c>
      <c r="B2" s="3518"/>
      <c r="C2" s="3518"/>
      <c r="D2" s="1631" t="s">
        <v>170</v>
      </c>
      <c r="E2" s="97" t="s">
        <v>171</v>
      </c>
      <c r="F2" s="2610"/>
      <c r="G2" s="1042"/>
      <c r="H2" s="1043"/>
      <c r="I2" s="1044" t="s">
        <v>795</v>
      </c>
      <c r="J2" s="2610"/>
      <c r="K2" s="2610"/>
      <c r="L2" s="2610"/>
      <c r="M2" s="2610"/>
      <c r="N2" s="2610"/>
      <c r="O2" s="2610"/>
      <c r="P2" s="2610"/>
    </row>
    <row r="3" spans="1:16" ht="15.75" thickBot="1">
      <c r="A3" s="3519" t="s">
        <v>172</v>
      </c>
      <c r="B3" s="3519"/>
      <c r="C3" s="3519"/>
      <c r="D3" s="98">
        <f>'数据-基础表'!AY6</f>
        <v>82949.97</v>
      </c>
      <c r="E3" s="98">
        <f>'数据-基础表'!AZ5</f>
        <v>82949.97</v>
      </c>
      <c r="F3" s="2610"/>
      <c r="G3" s="106" t="s">
        <v>796</v>
      </c>
      <c r="H3" s="102" t="s">
        <v>797</v>
      </c>
      <c r="I3" s="997">
        <f>ROUND('数据-基础表'!B3/'数据-基础表'!A3,2)</f>
        <v>1</v>
      </c>
      <c r="J3" s="2610"/>
      <c r="K3" s="2610"/>
      <c r="L3" s="2610"/>
      <c r="M3" s="2610"/>
      <c r="N3" s="2610"/>
      <c r="O3" s="2610"/>
      <c r="P3" s="2610"/>
    </row>
    <row r="4" spans="1:16" ht="15">
      <c r="A4" s="3520"/>
      <c r="B4" s="3521"/>
      <c r="C4" s="3522"/>
      <c r="D4" s="99" t="s">
        <v>170</v>
      </c>
      <c r="E4" s="100" t="s">
        <v>171</v>
      </c>
      <c r="F4" s="2610"/>
      <c r="G4" s="119"/>
      <c r="H4" s="102" t="s">
        <v>798</v>
      </c>
      <c r="I4" s="997">
        <f>ROUND(SUMIF('数据-基础表'!I9:AS9,"地上",'数据-基础表'!I5:AS5)/'数据-基础表'!A3,2)</f>
        <v>1</v>
      </c>
      <c r="J4" s="2610"/>
      <c r="K4" s="2610"/>
      <c r="L4" s="2610"/>
      <c r="M4" s="2610"/>
      <c r="N4" s="2610"/>
      <c r="O4" s="2610"/>
      <c r="P4" s="2610"/>
    </row>
    <row r="5" spans="1:16">
      <c r="A5" s="101" t="s">
        <v>173</v>
      </c>
      <c r="B5" s="3523" t="s">
        <v>196</v>
      </c>
      <c r="C5" s="3523"/>
      <c r="D5" s="102">
        <f>ROUND($D$3*E5/$E$3,2)</f>
        <v>0</v>
      </c>
      <c r="E5" s="103">
        <f>SUMIF('数据-基础表'!$11:$11,"住宅",'数据-基础表'!$5:$5)</f>
        <v>0</v>
      </c>
      <c r="F5" s="2610"/>
      <c r="G5" s="106" t="s">
        <v>799</v>
      </c>
      <c r="H5" s="102" t="s">
        <v>797</v>
      </c>
      <c r="I5" s="997">
        <f>ROUND(E31/D31,2)</f>
        <v>1</v>
      </c>
      <c r="J5" s="2610"/>
      <c r="K5" s="2610"/>
      <c r="L5" s="2610"/>
      <c r="M5" s="2610"/>
      <c r="N5" s="2610"/>
      <c r="O5" s="2610"/>
      <c r="P5" s="2610"/>
    </row>
    <row r="6" spans="1:16" ht="15" thickBot="1">
      <c r="A6" s="104"/>
      <c r="B6" s="3523" t="s">
        <v>174</v>
      </c>
      <c r="C6" s="3523"/>
      <c r="D6" s="102">
        <f>ROUND($D$3*E6/$E$3,2)</f>
        <v>82949.97</v>
      </c>
      <c r="E6" s="103">
        <f>E3-E5</f>
        <v>82949.97</v>
      </c>
      <c r="F6" s="2610"/>
      <c r="G6" s="119"/>
      <c r="H6" s="102" t="s">
        <v>798</v>
      </c>
      <c r="I6" s="997">
        <f>ROUND(F31/D31,2)</f>
        <v>1</v>
      </c>
      <c r="J6" s="2610"/>
      <c r="K6" s="2610"/>
      <c r="L6" s="2610"/>
      <c r="M6" s="2610"/>
      <c r="N6" s="2610"/>
      <c r="O6" s="2610"/>
      <c r="P6" s="2610"/>
    </row>
    <row r="7" spans="1:16" ht="15">
      <c r="A7" s="3515"/>
      <c r="B7" s="3516"/>
      <c r="C7" s="3517"/>
      <c r="D7" s="99" t="s">
        <v>170</v>
      </c>
      <c r="E7" s="105" t="s">
        <v>197</v>
      </c>
      <c r="F7" s="2610"/>
      <c r="G7" s="1002" t="s">
        <v>1180</v>
      </c>
      <c r="H7" s="1003"/>
      <c r="I7" s="127">
        <v>1</v>
      </c>
      <c r="J7" s="2610"/>
      <c r="K7" s="2610"/>
      <c r="L7" s="2610"/>
      <c r="M7" s="2610"/>
      <c r="N7" s="2610"/>
      <c r="O7" s="2610"/>
      <c r="P7" s="2610"/>
    </row>
    <row r="8" spans="1:16">
      <c r="A8" s="101" t="s">
        <v>175</v>
      </c>
      <c r="B8" s="106" t="s">
        <v>176</v>
      </c>
      <c r="C8" s="102" t="s">
        <v>177</v>
      </c>
      <c r="D8" s="102">
        <f t="shared" ref="D8:D15" si="0">ROUND($D$3*E8/$E$3,2)</f>
        <v>82949.97</v>
      </c>
      <c r="E8" s="107">
        <f>SUMIF('数据-基础表'!BB10:BK10,"地上",'数据-基础表'!BB5:BK5)</f>
        <v>82949.97</v>
      </c>
      <c r="F8" s="2610"/>
      <c r="G8" s="2610"/>
      <c r="H8" s="2610"/>
      <c r="I8" s="2610"/>
      <c r="J8" s="2610"/>
      <c r="K8" s="2610"/>
      <c r="L8" s="2610"/>
      <c r="M8" s="2610"/>
      <c r="N8" s="2610"/>
      <c r="O8" s="2610"/>
      <c r="P8" s="2610"/>
    </row>
    <row r="9" spans="1:16">
      <c r="A9" s="108"/>
      <c r="B9" s="109"/>
      <c r="C9" s="102" t="s">
        <v>178</v>
      </c>
      <c r="D9" s="102">
        <f t="shared" si="0"/>
        <v>0</v>
      </c>
      <c r="E9" s="110">
        <v>0</v>
      </c>
      <c r="F9" s="2610"/>
      <c r="G9" s="2610"/>
      <c r="H9" s="2610"/>
      <c r="I9" s="2610"/>
      <c r="J9" s="2610"/>
      <c r="K9" s="2610"/>
      <c r="L9" s="2610"/>
      <c r="M9" s="2610"/>
      <c r="N9" s="2610"/>
      <c r="O9" s="2610"/>
      <c r="P9" s="2610"/>
    </row>
    <row r="10" spans="1:16">
      <c r="A10" s="108"/>
      <c r="B10" s="109"/>
      <c r="C10" s="102" t="s">
        <v>179</v>
      </c>
      <c r="D10" s="102">
        <f t="shared" si="0"/>
        <v>0</v>
      </c>
      <c r="E10" s="107">
        <f>SUMPRODUCT(('数据-基础表'!BB10:BK10="地下")*('数据-基础表'!BB11:BK11="商业")*('数据-基础表'!BB5:BK5))</f>
        <v>0</v>
      </c>
      <c r="F10" s="2610"/>
      <c r="G10" s="2610"/>
      <c r="H10" s="2610"/>
      <c r="I10" s="2610"/>
      <c r="J10" s="2610"/>
      <c r="K10" s="2610"/>
      <c r="L10" s="2610"/>
      <c r="M10" s="2610"/>
      <c r="N10" s="2610"/>
      <c r="O10" s="2610"/>
      <c r="P10" s="2610"/>
    </row>
    <row r="11" spans="1:16">
      <c r="A11" s="108"/>
      <c r="B11" s="109"/>
      <c r="C11" s="1918" t="s">
        <v>1684</v>
      </c>
      <c r="D11" s="102">
        <f t="shared" si="0"/>
        <v>0</v>
      </c>
      <c r="E11" s="107">
        <f>SUMPRODUCT(('数据-基础表'!BB10:BK10="地下")*('数据-基础表'!BB11:BK11="办公")*('数据-基础表'!BB5:BK5))+'数据-基础表'!AJ5</f>
        <v>0</v>
      </c>
      <c r="F11" s="2610"/>
      <c r="G11" s="2610"/>
      <c r="H11" s="2610"/>
      <c r="I11" s="2610"/>
      <c r="J11" s="2610"/>
      <c r="K11" s="2610"/>
      <c r="L11" s="2610"/>
      <c r="M11" s="2610"/>
      <c r="N11" s="2610"/>
      <c r="O11" s="2610"/>
      <c r="P11" s="2610"/>
    </row>
    <row r="12" spans="1:16">
      <c r="A12" s="108"/>
      <c r="B12" s="109"/>
      <c r="C12" s="102" t="s">
        <v>180</v>
      </c>
      <c r="D12" s="102">
        <f t="shared" si="0"/>
        <v>0</v>
      </c>
      <c r="E12" s="107">
        <f>SUMPRODUCT(('数据-基础表'!BB10:BK10="地下")*('数据-基础表'!BB11:BK11="仓储")*('数据-基础表'!BB5:BK5))</f>
        <v>0</v>
      </c>
      <c r="F12" s="2610"/>
      <c r="G12" s="2610"/>
      <c r="H12" s="2610"/>
      <c r="I12" s="2610"/>
      <c r="J12" s="2610"/>
      <c r="K12" s="2610"/>
      <c r="L12" s="2610"/>
      <c r="M12" s="2610"/>
      <c r="N12" s="2610"/>
      <c r="O12" s="2610"/>
      <c r="P12" s="2610"/>
    </row>
    <row r="13" spans="1:16">
      <c r="A13" s="108"/>
      <c r="B13" s="109"/>
      <c r="C13" s="1918" t="s">
        <v>1691</v>
      </c>
      <c r="D13" s="102">
        <f t="shared" si="0"/>
        <v>0</v>
      </c>
      <c r="E13" s="107">
        <f>SUMPRODUCT(('数据-基础表'!BB10:BK10="地下")*('数据-基础表'!BB11:BK11="车库")*('数据-基础表'!BB5:BK5))</f>
        <v>0</v>
      </c>
      <c r="F13" s="2610"/>
      <c r="G13" s="2610"/>
      <c r="H13" s="2610"/>
      <c r="I13" s="2610"/>
      <c r="J13" s="2610"/>
      <c r="K13" s="2610"/>
      <c r="L13" s="2610"/>
      <c r="M13" s="2610"/>
      <c r="N13" s="2610"/>
      <c r="O13" s="2610"/>
      <c r="P13" s="2610"/>
    </row>
    <row r="14" spans="1:16">
      <c r="A14" s="108"/>
      <c r="B14" s="109"/>
      <c r="C14" s="102" t="s">
        <v>198</v>
      </c>
      <c r="D14" s="102">
        <f t="shared" si="0"/>
        <v>0</v>
      </c>
      <c r="E14" s="107">
        <f>SUMPRODUCT(('数据-基础表'!BB10:BK10="地下")*('数据-基础表'!BB11:BK11="车库—商业")*('数据-基础表'!BB5:BK5))</f>
        <v>0</v>
      </c>
      <c r="F14" s="2610"/>
      <c r="G14" s="2610"/>
      <c r="H14" s="2610"/>
      <c r="I14" s="2610"/>
      <c r="J14" s="2610"/>
      <c r="K14" s="2610"/>
      <c r="L14" s="2610"/>
      <c r="M14" s="2610"/>
      <c r="N14" s="2610"/>
      <c r="O14" s="2610"/>
      <c r="P14" s="2610"/>
    </row>
    <row r="15" spans="1:16" ht="15" thickBot="1">
      <c r="A15" s="108"/>
      <c r="B15" s="109"/>
      <c r="C15" s="102" t="s">
        <v>199</v>
      </c>
      <c r="D15" s="102">
        <f t="shared" si="0"/>
        <v>0</v>
      </c>
      <c r="E15" s="107">
        <f>SUMPRODUCT(('数据-基础表'!BB10:BK10="地下")*('数据-基础表'!BB11:BK11="车库—办公")*('数据-基础表'!BB5:BK5))</f>
        <v>0</v>
      </c>
      <c r="F15" s="2610"/>
      <c r="G15" s="2610"/>
      <c r="H15" s="2610"/>
      <c r="I15" s="2610"/>
      <c r="J15" s="2610"/>
      <c r="K15" s="2610"/>
      <c r="L15" s="2610"/>
      <c r="M15" s="2610"/>
      <c r="N15" s="2610"/>
      <c r="O15" s="2610"/>
      <c r="P15" s="2610"/>
    </row>
    <row r="16" spans="1:16" ht="15.75" thickBot="1">
      <c r="A16" s="104"/>
      <c r="B16" s="109"/>
      <c r="C16" s="106" t="s">
        <v>181</v>
      </c>
      <c r="D16" s="106">
        <f>SUM(D8:D15)</f>
        <v>82949.97</v>
      </c>
      <c r="E16" s="111">
        <f>SUM(E8:E15)</f>
        <v>82949.97</v>
      </c>
      <c r="F16" s="2610"/>
      <c r="G16" s="2610"/>
      <c r="H16" s="883" t="s">
        <v>185</v>
      </c>
      <c r="I16" s="884"/>
      <c r="J16" s="1633"/>
      <c r="K16" s="3509" t="s">
        <v>1849</v>
      </c>
      <c r="L16" s="3510"/>
      <c r="M16" s="3510"/>
      <c r="N16" s="3510"/>
      <c r="O16" s="3510"/>
      <c r="P16" s="3511"/>
    </row>
    <row r="17" spans="1:19" ht="15">
      <c r="A17" s="112" t="s">
        <v>182</v>
      </c>
      <c r="B17" s="113" t="s">
        <v>183</v>
      </c>
      <c r="C17" s="1886" t="s">
        <v>1670</v>
      </c>
      <c r="D17" s="99" t="s">
        <v>170</v>
      </c>
      <c r="E17" s="115" t="s">
        <v>171</v>
      </c>
      <c r="F17" s="116"/>
      <c r="G17" s="1159"/>
      <c r="H17" s="885" t="s">
        <v>184</v>
      </c>
      <c r="I17" s="886" t="s">
        <v>1669</v>
      </c>
      <c r="J17" s="1633"/>
      <c r="K17" s="3512" t="s">
        <v>1850</v>
      </c>
      <c r="L17" s="3513"/>
      <c r="M17" s="3514"/>
      <c r="N17" s="3512" t="s">
        <v>1851</v>
      </c>
      <c r="O17" s="3513"/>
      <c r="P17" s="3514"/>
      <c r="R17" s="1887" t="s">
        <v>1668</v>
      </c>
      <c r="S17" s="125"/>
    </row>
    <row r="18" spans="1:19" ht="15">
      <c r="A18" s="108"/>
      <c r="B18" s="119"/>
      <c r="C18" s="96"/>
      <c r="D18" s="1631"/>
      <c r="E18" s="120" t="s">
        <v>186</v>
      </c>
      <c r="F18" s="121" t="s">
        <v>187</v>
      </c>
      <c r="G18" s="1160" t="s">
        <v>188</v>
      </c>
      <c r="H18" s="887" t="s">
        <v>189</v>
      </c>
      <c r="I18" s="888" t="s">
        <v>190</v>
      </c>
      <c r="J18" s="1633"/>
      <c r="K18" s="2063" t="s">
        <v>1852</v>
      </c>
      <c r="L18" s="2064" t="s">
        <v>1853</v>
      </c>
      <c r="M18" s="2065" t="s">
        <v>1854</v>
      </c>
      <c r="N18" s="2063" t="s">
        <v>1852</v>
      </c>
      <c r="O18" s="2064" t="s">
        <v>1853</v>
      </c>
      <c r="P18" s="2065" t="s">
        <v>1854</v>
      </c>
      <c r="R18" s="1888" t="s">
        <v>1666</v>
      </c>
      <c r="S18" s="1888" t="s">
        <v>1667</v>
      </c>
    </row>
    <row r="19" spans="1:19">
      <c r="A19" s="123"/>
      <c r="B19" s="106" t="s">
        <v>191</v>
      </c>
      <c r="C19" s="2310" t="s">
        <v>3271</v>
      </c>
      <c r="D19" s="102">
        <f t="shared" ref="D19:D26" si="1">ROUND($D$3*E19/$E$3,2)</f>
        <v>82949.97</v>
      </c>
      <c r="E19" s="124">
        <f t="shared" ref="E19:E26" si="2">SUM(F19:G19)</f>
        <v>82949.97</v>
      </c>
      <c r="F19" s="2611">
        <f>'数据-基础表'!I13</f>
        <v>82949.97</v>
      </c>
      <c r="G19" s="2612"/>
      <c r="H19" s="889">
        <f>ROUND($D$3*I19/$E$3,2)</f>
        <v>0</v>
      </c>
      <c r="I19" s="107">
        <f>IF($I$17="自定义",P19,M19)</f>
        <v>0</v>
      </c>
      <c r="J19" s="1633"/>
      <c r="K19" s="889">
        <f t="shared" ref="K19:K26" si="3">ROUND(E$28*E19/E$27,2)</f>
        <v>0</v>
      </c>
      <c r="L19" s="102">
        <f t="shared" ref="L19:L26" si="4">ROUND(IF(COUNTIF(C19,"*住宅*")&gt;0,E$29*E19/E$32,0),2)</f>
        <v>0</v>
      </c>
      <c r="M19" s="107">
        <f>K19+L19</f>
        <v>0</v>
      </c>
      <c r="N19" s="2066"/>
      <c r="O19" s="2067"/>
      <c r="P19" s="2068">
        <f>N19+O19</f>
        <v>0</v>
      </c>
      <c r="R19" s="102">
        <f t="shared" ref="R19:S26" si="5">D19+H19</f>
        <v>82949.97</v>
      </c>
      <c r="S19" s="124">
        <f t="shared" si="5"/>
        <v>82949.97</v>
      </c>
    </row>
    <row r="20" spans="1:19">
      <c r="A20" s="123"/>
      <c r="B20" s="106" t="s">
        <v>192</v>
      </c>
      <c r="C20" s="2310"/>
      <c r="D20" s="102">
        <f t="shared" si="1"/>
        <v>0</v>
      </c>
      <c r="E20" s="124">
        <f t="shared" si="2"/>
        <v>0</v>
      </c>
      <c r="F20" s="2611"/>
      <c r="G20" s="2612"/>
      <c r="H20" s="889">
        <f t="shared" ref="H20:H26" si="6">ROUND($D$3*I20/$E$3,2)</f>
        <v>0</v>
      </c>
      <c r="I20" s="107">
        <f t="shared" ref="I20:I26" si="7">IF($I$17="自定义",P20,M20)</f>
        <v>0</v>
      </c>
      <c r="J20" s="1633"/>
      <c r="K20" s="889">
        <f t="shared" si="3"/>
        <v>0</v>
      </c>
      <c r="L20" s="102">
        <f t="shared" si="4"/>
        <v>0</v>
      </c>
      <c r="M20" s="107">
        <f t="shared" ref="M20:M26" si="8">K20+L20</f>
        <v>0</v>
      </c>
      <c r="N20" s="2066"/>
      <c r="O20" s="2067"/>
      <c r="P20" s="2068">
        <f t="shared" ref="P20:P26" si="9">N20+O20</f>
        <v>0</v>
      </c>
      <c r="R20" s="102">
        <f t="shared" si="5"/>
        <v>0</v>
      </c>
      <c r="S20" s="124">
        <f t="shared" si="5"/>
        <v>0</v>
      </c>
    </row>
    <row r="21" spans="1:19">
      <c r="A21" s="123"/>
      <c r="B21" s="106" t="s">
        <v>192</v>
      </c>
      <c r="C21" s="2310"/>
      <c r="D21" s="102">
        <f t="shared" si="1"/>
        <v>0</v>
      </c>
      <c r="E21" s="124">
        <f t="shared" si="2"/>
        <v>0</v>
      </c>
      <c r="F21" s="2611"/>
      <c r="G21" s="2612"/>
      <c r="H21" s="889">
        <f t="shared" si="6"/>
        <v>0</v>
      </c>
      <c r="I21" s="107">
        <f t="shared" si="7"/>
        <v>0</v>
      </c>
      <c r="J21" s="1633"/>
      <c r="K21" s="889">
        <f t="shared" si="3"/>
        <v>0</v>
      </c>
      <c r="L21" s="102">
        <f t="shared" si="4"/>
        <v>0</v>
      </c>
      <c r="M21" s="107">
        <f t="shared" si="8"/>
        <v>0</v>
      </c>
      <c r="N21" s="2066"/>
      <c r="O21" s="2067"/>
      <c r="P21" s="2068">
        <f t="shared" si="9"/>
        <v>0</v>
      </c>
      <c r="R21" s="102">
        <f t="shared" si="5"/>
        <v>0</v>
      </c>
      <c r="S21" s="124">
        <f t="shared" si="5"/>
        <v>0</v>
      </c>
    </row>
    <row r="22" spans="1:19">
      <c r="A22" s="123"/>
      <c r="B22" s="106" t="s">
        <v>192</v>
      </c>
      <c r="C22" s="3083"/>
      <c r="D22" s="102">
        <f t="shared" si="1"/>
        <v>0</v>
      </c>
      <c r="E22" s="124">
        <f t="shared" si="2"/>
        <v>0</v>
      </c>
      <c r="F22" s="2613"/>
      <c r="G22" s="2614"/>
      <c r="H22" s="889">
        <f t="shared" si="6"/>
        <v>0</v>
      </c>
      <c r="I22" s="107">
        <f t="shared" si="7"/>
        <v>0</v>
      </c>
      <c r="J22" s="1633"/>
      <c r="K22" s="889">
        <f t="shared" si="3"/>
        <v>0</v>
      </c>
      <c r="L22" s="102">
        <f t="shared" si="4"/>
        <v>0</v>
      </c>
      <c r="M22" s="107">
        <f t="shared" si="8"/>
        <v>0</v>
      </c>
      <c r="N22" s="2066"/>
      <c r="O22" s="2067"/>
      <c r="P22" s="2068">
        <f t="shared" si="9"/>
        <v>0</v>
      </c>
      <c r="R22" s="102">
        <f t="shared" si="5"/>
        <v>0</v>
      </c>
      <c r="S22" s="124">
        <f t="shared" si="5"/>
        <v>0</v>
      </c>
    </row>
    <row r="23" spans="1:19">
      <c r="A23" s="123"/>
      <c r="B23" s="106" t="s">
        <v>192</v>
      </c>
      <c r="C23" s="3083"/>
      <c r="D23" s="102">
        <f>ROUND($D$3*E23/$E$3,2)</f>
        <v>0</v>
      </c>
      <c r="E23" s="124">
        <f>SUM(F23:G23)</f>
        <v>0</v>
      </c>
      <c r="F23" s="2613"/>
      <c r="G23" s="2614"/>
      <c r="H23" s="889">
        <f>ROUND($D$3*I23/$E$3,2)</f>
        <v>0</v>
      </c>
      <c r="I23" s="107">
        <f t="shared" si="7"/>
        <v>0</v>
      </c>
      <c r="J23" s="1633"/>
      <c r="K23" s="889">
        <f t="shared" si="3"/>
        <v>0</v>
      </c>
      <c r="L23" s="102">
        <f t="shared" si="4"/>
        <v>0</v>
      </c>
      <c r="M23" s="107">
        <f t="shared" si="8"/>
        <v>0</v>
      </c>
      <c r="N23" s="2066"/>
      <c r="O23" s="2067"/>
      <c r="P23" s="2068">
        <f t="shared" si="9"/>
        <v>0</v>
      </c>
      <c r="R23" s="102">
        <f t="shared" si="5"/>
        <v>0</v>
      </c>
      <c r="S23" s="124">
        <f t="shared" si="5"/>
        <v>0</v>
      </c>
    </row>
    <row r="24" spans="1:19">
      <c r="A24" s="123"/>
      <c r="B24" s="106" t="s">
        <v>192</v>
      </c>
      <c r="C24" s="3083"/>
      <c r="D24" s="102">
        <f>ROUND($D$3*E24/$E$3,2)</f>
        <v>0</v>
      </c>
      <c r="E24" s="124">
        <f>SUM(F24:G24)</f>
        <v>0</v>
      </c>
      <c r="F24" s="2613"/>
      <c r="G24" s="2614"/>
      <c r="H24" s="889">
        <f>ROUND($D$3*I24/$E$3,2)</f>
        <v>0</v>
      </c>
      <c r="I24" s="107">
        <f t="shared" si="7"/>
        <v>0</v>
      </c>
      <c r="J24" s="1633"/>
      <c r="K24" s="889">
        <f t="shared" si="3"/>
        <v>0</v>
      </c>
      <c r="L24" s="102">
        <f t="shared" si="4"/>
        <v>0</v>
      </c>
      <c r="M24" s="107">
        <f t="shared" si="8"/>
        <v>0</v>
      </c>
      <c r="N24" s="2066"/>
      <c r="O24" s="2067"/>
      <c r="P24" s="2068">
        <f t="shared" si="9"/>
        <v>0</v>
      </c>
      <c r="R24" s="102">
        <f t="shared" si="5"/>
        <v>0</v>
      </c>
      <c r="S24" s="124">
        <f t="shared" si="5"/>
        <v>0</v>
      </c>
    </row>
    <row r="25" spans="1:19">
      <c r="A25" s="123"/>
      <c r="B25" s="106" t="s">
        <v>192</v>
      </c>
      <c r="C25" s="3083"/>
      <c r="D25" s="102">
        <f t="shared" si="1"/>
        <v>0</v>
      </c>
      <c r="E25" s="124">
        <f t="shared" si="2"/>
        <v>0</v>
      </c>
      <c r="F25" s="2613"/>
      <c r="G25" s="2614"/>
      <c r="H25" s="101">
        <f t="shared" si="6"/>
        <v>0</v>
      </c>
      <c r="I25" s="107">
        <f t="shared" si="7"/>
        <v>0</v>
      </c>
      <c r="J25" s="1633"/>
      <c r="K25" s="889">
        <f t="shared" si="3"/>
        <v>0</v>
      </c>
      <c r="L25" s="102">
        <f t="shared" si="4"/>
        <v>0</v>
      </c>
      <c r="M25" s="107">
        <f t="shared" si="8"/>
        <v>0</v>
      </c>
      <c r="N25" s="2066"/>
      <c r="O25" s="2067"/>
      <c r="P25" s="2068">
        <f t="shared" si="9"/>
        <v>0</v>
      </c>
      <c r="R25" s="102">
        <f t="shared" si="5"/>
        <v>0</v>
      </c>
      <c r="S25" s="124">
        <f t="shared" si="5"/>
        <v>0</v>
      </c>
    </row>
    <row r="26" spans="1:19">
      <c r="A26" s="123"/>
      <c r="B26" s="106" t="s">
        <v>192</v>
      </c>
      <c r="C26" s="128"/>
      <c r="D26" s="102">
        <f t="shared" si="1"/>
        <v>0</v>
      </c>
      <c r="E26" s="124">
        <f t="shared" si="2"/>
        <v>0</v>
      </c>
      <c r="F26" s="2613"/>
      <c r="G26" s="2614"/>
      <c r="H26" s="101">
        <f t="shared" si="6"/>
        <v>0</v>
      </c>
      <c r="I26" s="107">
        <f t="shared" si="7"/>
        <v>0</v>
      </c>
      <c r="J26" s="1633"/>
      <c r="K26" s="101">
        <f t="shared" si="3"/>
        <v>0</v>
      </c>
      <c r="L26" s="106">
        <f t="shared" si="4"/>
        <v>0</v>
      </c>
      <c r="M26" s="111">
        <f t="shared" si="8"/>
        <v>0</v>
      </c>
      <c r="N26" s="2069"/>
      <c r="O26" s="2070"/>
      <c r="P26" s="2071">
        <f t="shared" si="9"/>
        <v>0</v>
      </c>
      <c r="R26" s="102">
        <f t="shared" si="5"/>
        <v>0</v>
      </c>
      <c r="S26" s="124">
        <f t="shared" si="5"/>
        <v>0</v>
      </c>
    </row>
    <row r="27" spans="1:19" ht="15.75" thickBot="1">
      <c r="A27" s="123"/>
      <c r="B27" s="102"/>
      <c r="C27" s="118" t="s">
        <v>181</v>
      </c>
      <c r="D27" s="124">
        <f>SUM(D19:D26)</f>
        <v>82949.97</v>
      </c>
      <c r="E27" s="129">
        <f>IF(SUM(E19:E26)='数据-基础表'!BA5,SUM(E19:E26),IF(F27="地上面积有误","面积有误","地下面积有误"))</f>
        <v>82949.97</v>
      </c>
      <c r="F27" s="124">
        <f>IF(SUM(F19:F26)=E8,SUM(F19:F26),"地上面积有误")</f>
        <v>82949.97</v>
      </c>
      <c r="G27" s="103">
        <f>SUM(G19:G26)</f>
        <v>0</v>
      </c>
      <c r="H27" s="890">
        <f>SUM(H19:H26)</f>
        <v>0</v>
      </c>
      <c r="I27" s="891">
        <f>SUM(I19:I26)</f>
        <v>0</v>
      </c>
      <c r="J27" s="1633"/>
      <c r="K27" s="2072">
        <f t="shared" ref="K27:P27" si="10">SUM(K19:K26)</f>
        <v>0</v>
      </c>
      <c r="L27" s="2073">
        <f t="shared" si="10"/>
        <v>0</v>
      </c>
      <c r="M27" s="2074">
        <f t="shared" si="10"/>
        <v>0</v>
      </c>
      <c r="N27" s="2072">
        <f t="shared" si="10"/>
        <v>0</v>
      </c>
      <c r="O27" s="2073">
        <f t="shared" si="10"/>
        <v>0</v>
      </c>
      <c r="P27" s="194">
        <f t="shared" si="10"/>
        <v>0</v>
      </c>
      <c r="R27" s="1892">
        <f>IF(SUM(R19:R26)=$D$3,SUM(R19:R26),SUM(R19:R26)&amp;"误差"&amp;ROUND(SUM(R19:R26)-$D$3,2))</f>
        <v>82949.97</v>
      </c>
      <c r="S27" s="102">
        <f>IF(SUM(S19:S26)=$E$3,SUM(S19:S26),SUM(S19:S26)&amp;"误差"&amp;ROUND(SUM(S19:S26)-E3,2))</f>
        <v>82949.97</v>
      </c>
    </row>
    <row r="28" spans="1:19">
      <c r="A28" s="123"/>
      <c r="B28" s="106" t="s">
        <v>193</v>
      </c>
      <c r="C28" s="125" t="s">
        <v>194</v>
      </c>
      <c r="D28" s="102">
        <f>ROUND($D$3*E28/$E$3,2)</f>
        <v>0</v>
      </c>
      <c r="E28" s="124">
        <f>SUM(F28:G28)</f>
        <v>0</v>
      </c>
      <c r="F28" s="125">
        <f>'数据-基础表'!BQ5+'数据-基础表'!BS5</f>
        <v>0</v>
      </c>
      <c r="G28" s="130">
        <f>'数据-基础表'!BR5+'数据-基础表'!BT5</f>
        <v>0</v>
      </c>
      <c r="H28" s="2610"/>
      <c r="I28" s="2610"/>
      <c r="J28" s="2610"/>
      <c r="K28" s="2610"/>
      <c r="L28" s="2610"/>
      <c r="M28" s="2610"/>
      <c r="N28" s="2610"/>
      <c r="O28" s="2610"/>
      <c r="P28" s="2610"/>
    </row>
    <row r="29" spans="1:19">
      <c r="A29" s="123"/>
      <c r="B29" s="106" t="s">
        <v>193</v>
      </c>
      <c r="C29" s="1900" t="s">
        <v>1677</v>
      </c>
      <c r="D29" s="102">
        <f>ROUND($D$3*E29/$E$3,2)</f>
        <v>0</v>
      </c>
      <c r="E29" s="124">
        <f>SUM(F29:G29)</f>
        <v>0</v>
      </c>
      <c r="F29" s="125">
        <f>'数据-基础表'!BM5+'数据-基础表'!BO5</f>
        <v>0</v>
      </c>
      <c r="G29" s="111">
        <f>'数据-基础表'!BN5+'数据-基础表'!BP5</f>
        <v>0</v>
      </c>
      <c r="H29" s="2610"/>
      <c r="I29" s="2610"/>
      <c r="J29" s="2610"/>
      <c r="K29" s="2610"/>
      <c r="L29" s="2610"/>
      <c r="M29" s="2610"/>
      <c r="N29" s="2610"/>
      <c r="O29" s="2610"/>
      <c r="P29" s="2610"/>
    </row>
    <row r="30" spans="1:19">
      <c r="A30" s="123"/>
      <c r="B30" s="102"/>
      <c r="C30" s="131" t="s">
        <v>181</v>
      </c>
      <c r="D30" s="124">
        <f>SUM(D28:D29)</f>
        <v>0</v>
      </c>
      <c r="E30" s="124">
        <f>SUM(E28:E29)</f>
        <v>0</v>
      </c>
      <c r="F30" s="124">
        <f>SUM(F28:F29)</f>
        <v>0</v>
      </c>
      <c r="G30" s="103">
        <f>SUM(G28:G29)</f>
        <v>0</v>
      </c>
      <c r="H30" s="2610"/>
      <c r="I30" s="2610"/>
      <c r="J30" s="2610"/>
      <c r="K30" s="2610"/>
      <c r="L30" s="2610"/>
      <c r="M30" s="2610"/>
      <c r="N30" s="2610"/>
      <c r="O30" s="2610"/>
      <c r="P30" s="2610"/>
    </row>
    <row r="31" spans="1:19" ht="32.25" customHeight="1" thickBot="1">
      <c r="A31" s="1161"/>
      <c r="B31" s="1162" t="s">
        <v>195</v>
      </c>
      <c r="C31" s="1917" t="s">
        <v>1679</v>
      </c>
      <c r="D31" s="1163">
        <f>D27+D30</f>
        <v>82949.97</v>
      </c>
      <c r="E31" s="1163">
        <f>E27+E30</f>
        <v>82949.97</v>
      </c>
      <c r="F31" s="1164">
        <f>F27+F30</f>
        <v>82949.97</v>
      </c>
      <c r="G31" s="1165">
        <f>G27+G30</f>
        <v>0</v>
      </c>
      <c r="H31" s="2610"/>
      <c r="I31" s="2610"/>
      <c r="J31" s="2610"/>
      <c r="K31" s="2610"/>
      <c r="L31" s="2610"/>
      <c r="M31" s="2610"/>
      <c r="N31" s="2610"/>
      <c r="O31" s="2610"/>
      <c r="P31" s="2610"/>
    </row>
    <row r="32" spans="1:19">
      <c r="A32" s="1633"/>
      <c r="B32" s="1929" t="s">
        <v>1678</v>
      </c>
      <c r="C32" s="2087"/>
      <c r="D32" s="119"/>
      <c r="E32" s="119">
        <f>SUMIF(C19:C26,"*住宅*",E19:E26)</f>
        <v>0</v>
      </c>
      <c r="F32" s="119"/>
      <c r="G32" s="119"/>
      <c r="H32" s="2610"/>
      <c r="I32" s="2610"/>
      <c r="J32" s="2610"/>
      <c r="K32" s="2610"/>
      <c r="L32" s="2610"/>
      <c r="M32" s="2610"/>
      <c r="N32" s="2610"/>
      <c r="O32" s="2610"/>
      <c r="P32" s="2610"/>
    </row>
    <row r="33" spans="4:4">
      <c r="D33" s="1635"/>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1" priority="1" stopIfTrue="1" operator="containsText" text="面积有误">
      <formula>NOT(ISERROR(SEARCH("面积有误",E27)))</formula>
    </cfRule>
    <cfRule type="cellIs" dxfId="150" priority="3" stopIfTrue="1" operator="equal">
      <formula>"地下面积有误"</formula>
    </cfRule>
  </conditionalFormatting>
  <conditionalFormatting sqref="F27">
    <cfRule type="cellIs" dxfId="149" priority="2" stopIfTrue="1" operator="equal">
      <formula>"地上面积有误"</formula>
    </cfRule>
  </conditionalFormatting>
  <dataValidations count="2">
    <dataValidation type="list" allowBlank="1" showInputMessage="1" showErrorMessage="1" sqref="B28:B29 B19:B26" xr:uid="{00000000-0002-0000-0C00-000000000000}">
      <formula1>类别</formula1>
    </dataValidation>
    <dataValidation type="list" allowBlank="1" showInputMessage="1" showErrorMessage="1" sqref="I17" xr:uid="{00000000-0002-0000-0C00-000001000000}">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
    <tabColor rgb="FFFFFF00"/>
    <pageSetUpPr fitToPage="1"/>
  </sheetPr>
  <dimension ref="A1:CE192"/>
  <sheetViews>
    <sheetView zoomScale="96" zoomScaleNormal="96" workbookViewId="0">
      <pane xSplit="3" ySplit="5" topLeftCell="H6" activePane="bottomRight" state="frozen"/>
      <selection pane="topRight" activeCell="D1" sqref="D1"/>
      <selection pane="bottomLeft" activeCell="A4" sqref="A4"/>
      <selection pane="bottomRight" activeCell="N25" sqref="N25"/>
    </sheetView>
  </sheetViews>
  <sheetFormatPr defaultColWidth="13.75" defaultRowHeight="12.75"/>
  <cols>
    <col min="1" max="1" width="20.875" style="1056" customWidth="1"/>
    <col min="2" max="3" width="12" style="1045" customWidth="1"/>
    <col min="4" max="4" width="9.125" style="1057" customWidth="1"/>
    <col min="5" max="5" width="15" style="1045" bestFit="1" customWidth="1"/>
    <col min="6" max="10" width="8.875" style="1045" customWidth="1"/>
    <col min="11" max="12" width="12.375" style="1058" customWidth="1"/>
    <col min="13" max="13" width="8.625" style="1045" customWidth="1"/>
    <col min="14" max="14" width="9.75" style="1045" customWidth="1"/>
    <col min="15" max="16" width="9.625" style="1045" customWidth="1"/>
    <col min="17" max="17" width="10.875" style="1045" customWidth="1"/>
    <col min="18" max="19" width="12.5" style="1045" customWidth="1"/>
    <col min="20" max="20" width="12.125" style="1045" customWidth="1"/>
    <col min="21" max="21" width="7.5" style="1045" customWidth="1"/>
    <col min="22" max="22" width="6.375" style="1045" customWidth="1"/>
    <col min="23" max="24" width="6.75" style="1045" customWidth="1"/>
    <col min="25" max="25" width="8.125" style="1045" customWidth="1"/>
    <col min="26" max="30" width="6.75" style="1045" customWidth="1"/>
    <col min="31" max="31" width="6.5" style="1045" customWidth="1"/>
    <col min="32" max="34" width="7.25" style="1045" customWidth="1"/>
    <col min="35" max="39" width="8" style="1045" customWidth="1"/>
    <col min="40" max="41" width="13.75" style="237"/>
    <col min="42" max="42" width="13.75" style="237" customWidth="1"/>
    <col min="43" max="83" width="13.75" style="237"/>
    <col min="84" max="16384" width="13.75" style="1045"/>
  </cols>
  <sheetData>
    <row r="1" spans="1:83" ht="19.5" thickBot="1">
      <c r="A1" s="132" t="s">
        <v>200</v>
      </c>
      <c r="B1" s="287"/>
      <c r="C1" s="1636"/>
      <c r="D1" s="1637"/>
      <c r="E1" s="1636"/>
      <c r="F1" s="1636"/>
      <c r="G1" s="1636"/>
      <c r="H1" s="1636"/>
      <c r="I1" s="1636"/>
      <c r="J1" s="1636"/>
      <c r="K1" s="1638"/>
      <c r="L1" s="1638"/>
      <c r="M1" s="1636"/>
      <c r="N1" s="1636"/>
      <c r="O1" s="1636"/>
      <c r="P1" s="1636"/>
      <c r="Q1" s="1636"/>
      <c r="R1" s="1636"/>
      <c r="S1" s="1636"/>
      <c r="T1" s="1636"/>
      <c r="U1" s="1636"/>
      <c r="V1" s="1636"/>
      <c r="W1" s="1636"/>
      <c r="X1" s="1636"/>
      <c r="Y1" s="1636"/>
      <c r="Z1" s="1636"/>
      <c r="AA1" s="1636"/>
      <c r="AB1" s="1636"/>
      <c r="AC1" s="1636"/>
      <c r="AD1" s="1636"/>
      <c r="AE1" s="1636"/>
      <c r="AF1" s="1636"/>
      <c r="AG1" s="1636"/>
      <c r="AH1" s="1636"/>
      <c r="AI1" s="1636"/>
      <c r="AJ1" s="1636"/>
      <c r="AK1" s="1636"/>
      <c r="AL1" s="1636"/>
      <c r="AM1" s="1636"/>
      <c r="AN1" s="2616"/>
      <c r="AO1" s="2616"/>
      <c r="AP1" s="2616"/>
      <c r="AQ1" s="2616"/>
      <c r="AR1" s="2616"/>
      <c r="AS1" s="2616"/>
      <c r="AT1" s="2616"/>
      <c r="AU1" s="2616"/>
      <c r="AV1" s="2616"/>
      <c r="AW1" s="2616"/>
      <c r="AX1" s="2616"/>
      <c r="AY1" s="2616"/>
      <c r="AZ1" s="2616"/>
    </row>
    <row r="2" spans="1:83" s="1047" customFormat="1" ht="15.75" thickBot="1">
      <c r="A2" s="133" t="s">
        <v>201</v>
      </c>
      <c r="B2" s="1925">
        <f>项目基本情况!D3</f>
        <v>45483</v>
      </c>
      <c r="C2" s="1633"/>
      <c r="D2" s="1639"/>
      <c r="E2" s="1633"/>
      <c r="F2" s="1633"/>
      <c r="G2" s="1633"/>
      <c r="H2" s="1633"/>
      <c r="I2" s="1633"/>
      <c r="J2" s="1633"/>
      <c r="K2" s="1640"/>
      <c r="L2" s="1640"/>
      <c r="M2" s="1633"/>
      <c r="N2" s="1633"/>
      <c r="O2" s="1633"/>
      <c r="P2" s="1633"/>
      <c r="Q2" s="1633"/>
      <c r="R2" s="1633"/>
      <c r="S2" s="1633"/>
      <c r="T2" s="1633"/>
      <c r="U2" s="1633"/>
      <c r="V2" s="1633"/>
      <c r="W2" s="1633"/>
      <c r="X2" s="1633"/>
      <c r="Y2" s="1633"/>
      <c r="Z2" s="1633"/>
      <c r="AA2" s="1633"/>
      <c r="AB2" s="1633"/>
      <c r="AC2" s="1633"/>
      <c r="AD2" s="1633"/>
      <c r="AE2" s="1633"/>
      <c r="AF2" s="1633"/>
      <c r="AG2" s="1633"/>
      <c r="AH2" s="1633"/>
      <c r="AI2" s="1633"/>
      <c r="AJ2" s="1633"/>
      <c r="AK2" s="1633"/>
      <c r="AL2" s="1633"/>
      <c r="AM2" s="1633"/>
      <c r="AN2" s="2610"/>
      <c r="AO2" s="2610"/>
      <c r="AP2" s="2610"/>
      <c r="AQ2" s="2610"/>
      <c r="AR2" s="2610"/>
      <c r="AS2" s="2610"/>
      <c r="AT2" s="2610"/>
      <c r="AU2" s="2610"/>
      <c r="AV2" s="2610"/>
      <c r="AW2" s="2610"/>
      <c r="AX2" s="2610"/>
      <c r="AY2" s="2610"/>
      <c r="AZ2" s="2610"/>
      <c r="BA2" s="1634"/>
      <c r="BB2" s="1634"/>
      <c r="BC2" s="1634"/>
      <c r="BD2" s="1634"/>
      <c r="BE2" s="1634"/>
      <c r="BF2" s="1634"/>
      <c r="BG2" s="1634"/>
      <c r="BH2" s="1634"/>
      <c r="BI2" s="1634"/>
      <c r="BJ2" s="1634"/>
      <c r="BK2" s="1634"/>
      <c r="BL2" s="1634"/>
      <c r="BM2" s="1634"/>
      <c r="BN2" s="1634"/>
      <c r="BO2" s="1634"/>
      <c r="BP2" s="1634"/>
      <c r="BQ2" s="1634"/>
      <c r="BR2" s="1634"/>
      <c r="BS2" s="1634"/>
      <c r="BT2" s="1634"/>
      <c r="BU2" s="1634"/>
      <c r="BV2" s="1634"/>
      <c r="BW2" s="1634"/>
      <c r="BX2" s="1634"/>
      <c r="BY2" s="1634"/>
      <c r="BZ2" s="1634"/>
      <c r="CA2" s="1634"/>
      <c r="CB2" s="1634"/>
      <c r="CC2" s="1634"/>
      <c r="CD2" s="1634"/>
      <c r="CE2" s="1634"/>
    </row>
    <row r="3" spans="1:83" s="1047" customFormat="1" ht="15" thickBot="1">
      <c r="A3" s="1048"/>
      <c r="B3" s="96"/>
      <c r="C3" s="1633"/>
      <c r="D3" s="1639"/>
      <c r="E3" s="1633"/>
      <c r="F3" s="1633"/>
      <c r="G3" s="1633"/>
      <c r="H3" s="1633"/>
      <c r="I3" s="1633"/>
      <c r="J3" s="1633"/>
      <c r="K3" s="1640"/>
      <c r="L3" s="1640"/>
      <c r="M3" s="1633"/>
      <c r="N3" s="1633"/>
      <c r="O3" s="1633"/>
      <c r="P3" s="1633"/>
      <c r="Q3" s="1633"/>
      <c r="R3" s="1633"/>
      <c r="S3" s="1633"/>
      <c r="T3" s="1633"/>
      <c r="U3" s="1633"/>
      <c r="V3" s="1633"/>
      <c r="W3" s="1633"/>
      <c r="X3" s="1633"/>
      <c r="Y3" s="1633"/>
      <c r="Z3" s="1633"/>
      <c r="AA3" s="1633"/>
      <c r="AB3" s="1633"/>
      <c r="AC3" s="1633"/>
      <c r="AD3" s="1633"/>
      <c r="AE3" s="1633"/>
      <c r="AF3" s="1633"/>
      <c r="AG3" s="1633"/>
      <c r="AH3" s="1633"/>
      <c r="AI3" s="1633"/>
      <c r="AJ3" s="1633"/>
      <c r="AK3" s="1633"/>
      <c r="AL3" s="1633"/>
      <c r="AM3" s="1633"/>
      <c r="AN3" s="2610"/>
      <c r="AO3" s="2610"/>
      <c r="AP3" s="2610"/>
      <c r="AQ3" s="2610"/>
      <c r="AR3" s="2610"/>
      <c r="AS3" s="2610"/>
      <c r="AT3" s="2610"/>
      <c r="AU3" s="2610"/>
      <c r="AV3" s="2610"/>
      <c r="AW3" s="2610"/>
      <c r="AX3" s="2610"/>
      <c r="AY3" s="2610"/>
      <c r="AZ3" s="2610"/>
      <c r="BA3" s="1634"/>
      <c r="BB3" s="1634"/>
      <c r="BC3" s="1634"/>
      <c r="BD3" s="1634"/>
      <c r="BE3" s="1634"/>
      <c r="BF3" s="1634"/>
      <c r="BG3" s="1634"/>
      <c r="BH3" s="1634"/>
      <c r="BI3" s="1634"/>
      <c r="BJ3" s="1634"/>
      <c r="BK3" s="1634"/>
      <c r="BL3" s="1634"/>
      <c r="BM3" s="1634"/>
      <c r="BN3" s="1634"/>
      <c r="BO3" s="1634"/>
      <c r="BP3" s="1634"/>
      <c r="BQ3" s="1634"/>
      <c r="BR3" s="1634"/>
      <c r="BS3" s="1634"/>
      <c r="BT3" s="1634"/>
      <c r="BU3" s="1634"/>
      <c r="BV3" s="1634"/>
      <c r="BW3" s="1634"/>
      <c r="BX3" s="1634"/>
      <c r="BY3" s="1634"/>
      <c r="BZ3" s="1634"/>
      <c r="CA3" s="1634"/>
      <c r="CB3" s="1634"/>
      <c r="CC3" s="1634"/>
      <c r="CD3" s="1634"/>
      <c r="CE3" s="1634"/>
    </row>
    <row r="4" spans="1:83" s="1047" customFormat="1" ht="15" thickBot="1">
      <c r="A4" s="134" t="s">
        <v>802</v>
      </c>
      <c r="B4" s="136"/>
      <c r="C4" s="137"/>
      <c r="D4" s="1049"/>
      <c r="E4" s="1050" t="s">
        <v>803</v>
      </c>
      <c r="F4" s="137"/>
      <c r="G4" s="137"/>
      <c r="H4" s="137"/>
      <c r="I4" s="137"/>
      <c r="J4" s="138"/>
      <c r="K4" s="1051"/>
      <c r="L4" s="1052"/>
      <c r="M4" s="137"/>
      <c r="N4" s="1050" t="s">
        <v>804</v>
      </c>
      <c r="O4" s="137"/>
      <c r="P4" s="137"/>
      <c r="Q4" s="137"/>
      <c r="R4" s="137"/>
      <c r="S4" s="138"/>
      <c r="T4" s="892" t="str">
        <f>'数据-汇总表'!I17</f>
        <v>按面积比例</v>
      </c>
      <c r="U4" s="136" t="s">
        <v>805</v>
      </c>
      <c r="V4" s="137"/>
      <c r="W4" s="137"/>
      <c r="X4" s="137"/>
      <c r="Y4" s="138"/>
      <c r="Z4" s="114" t="s">
        <v>806</v>
      </c>
      <c r="AA4" s="114"/>
      <c r="AB4" s="114"/>
      <c r="AC4" s="114"/>
      <c r="AD4" s="114"/>
      <c r="AE4" s="112" t="s">
        <v>807</v>
      </c>
      <c r="AF4" s="114"/>
      <c r="AG4" s="139"/>
      <c r="AH4" s="136"/>
      <c r="AI4" s="137"/>
      <c r="AJ4" s="137"/>
      <c r="AK4" s="137"/>
      <c r="AL4" s="137"/>
      <c r="AM4" s="138"/>
      <c r="AN4" s="2610"/>
      <c r="AO4" s="2610"/>
      <c r="AP4" s="2610"/>
      <c r="AQ4" s="2610"/>
      <c r="AR4" s="2610"/>
      <c r="AS4" s="2610"/>
      <c r="AT4" s="2610"/>
      <c r="AU4" s="2610"/>
      <c r="AV4" s="2610"/>
      <c r="AW4" s="2610"/>
      <c r="AX4" s="2610"/>
      <c r="AY4" s="2610"/>
      <c r="AZ4" s="2610"/>
      <c r="BA4" s="1634"/>
      <c r="BB4" s="1634"/>
      <c r="BC4" s="1634"/>
      <c r="BD4" s="1634"/>
      <c r="BE4" s="1634"/>
      <c r="BF4" s="1634"/>
      <c r="BG4" s="1634"/>
      <c r="BH4" s="1634"/>
      <c r="BI4" s="1634"/>
      <c r="BJ4" s="1634"/>
      <c r="BK4" s="1634"/>
      <c r="BL4" s="1634"/>
      <c r="BM4" s="1634"/>
      <c r="BN4" s="1634"/>
      <c r="BO4" s="1634"/>
      <c r="BP4" s="1634"/>
      <c r="BQ4" s="1634"/>
      <c r="BR4" s="1634"/>
      <c r="BS4" s="1634"/>
      <c r="BT4" s="1634"/>
      <c r="BU4" s="1634"/>
      <c r="BV4" s="1634"/>
      <c r="BW4" s="1634"/>
      <c r="BX4" s="1634"/>
      <c r="BY4" s="1634"/>
      <c r="BZ4" s="1634"/>
      <c r="CA4" s="1634"/>
      <c r="CB4" s="1634"/>
      <c r="CC4" s="1634"/>
      <c r="CD4" s="1634"/>
      <c r="CE4" s="1634"/>
    </row>
    <row r="5" spans="1:83" s="1053" customFormat="1" ht="54">
      <c r="A5" s="1891" t="s">
        <v>1681</v>
      </c>
      <c r="B5" s="140" t="s">
        <v>202</v>
      </c>
      <c r="C5" s="141" t="s">
        <v>203</v>
      </c>
      <c r="D5" s="142" t="s">
        <v>204</v>
      </c>
      <c r="E5" s="143" t="s">
        <v>205</v>
      </c>
      <c r="F5" s="144" t="s">
        <v>206</v>
      </c>
      <c r="G5" s="143" t="s">
        <v>207</v>
      </c>
      <c r="H5" s="143" t="s">
        <v>800</v>
      </c>
      <c r="I5" s="143" t="s">
        <v>801</v>
      </c>
      <c r="J5" s="145" t="s">
        <v>208</v>
      </c>
      <c r="K5" s="146" t="s">
        <v>209</v>
      </c>
      <c r="L5" s="147" t="s">
        <v>210</v>
      </c>
      <c r="M5" s="148" t="s">
        <v>211</v>
      </c>
      <c r="N5" s="1059" t="s">
        <v>3428</v>
      </c>
      <c r="O5" s="147" t="s">
        <v>212</v>
      </c>
      <c r="P5" s="149" t="s">
        <v>213</v>
      </c>
      <c r="Q5" s="150" t="s">
        <v>214</v>
      </c>
      <c r="R5" s="151" t="s">
        <v>215</v>
      </c>
      <c r="S5" s="2075" t="s">
        <v>1855</v>
      </c>
      <c r="T5" s="152" t="s">
        <v>216</v>
      </c>
      <c r="U5" s="153" t="s">
        <v>217</v>
      </c>
      <c r="V5" s="143" t="s">
        <v>218</v>
      </c>
      <c r="W5" s="143" t="s">
        <v>219</v>
      </c>
      <c r="X5" s="1510"/>
      <c r="Y5" s="154" t="s">
        <v>220</v>
      </c>
      <c r="Z5" s="155" t="s">
        <v>221</v>
      </c>
      <c r="AA5" s="143" t="s">
        <v>218</v>
      </c>
      <c r="AB5" s="143" t="s">
        <v>219</v>
      </c>
      <c r="AC5" s="1511"/>
      <c r="AD5" s="156" t="s">
        <v>220</v>
      </c>
      <c r="AE5" s="1" t="s">
        <v>808</v>
      </c>
      <c r="AF5" s="143" t="s">
        <v>222</v>
      </c>
      <c r="AG5" s="154" t="s">
        <v>223</v>
      </c>
      <c r="AH5" s="1511" t="s">
        <v>1680</v>
      </c>
      <c r="AI5" s="155" t="s">
        <v>1649</v>
      </c>
      <c r="AJ5" s="155" t="s">
        <v>224</v>
      </c>
      <c r="AK5" s="143" t="s">
        <v>225</v>
      </c>
      <c r="AL5" s="143" t="s">
        <v>226</v>
      </c>
      <c r="AM5" s="156" t="s">
        <v>227</v>
      </c>
      <c r="AN5" s="1950" t="s">
        <v>1727</v>
      </c>
      <c r="AO5" s="2628"/>
      <c r="AP5" s="2615" t="s">
        <v>2264</v>
      </c>
      <c r="AQ5" s="2628"/>
      <c r="AR5" s="2628"/>
      <c r="AS5" s="2628"/>
      <c r="AT5" s="2628"/>
      <c r="AU5" s="2628"/>
      <c r="AV5" s="2628"/>
      <c r="AW5" s="2628"/>
      <c r="AX5" s="2628"/>
      <c r="AY5" s="2628"/>
      <c r="AZ5" s="2628"/>
      <c r="BA5" s="1642"/>
      <c r="BB5" s="1642"/>
      <c r="BC5" s="1642"/>
      <c r="BD5" s="1642"/>
      <c r="BE5" s="1642"/>
      <c r="BF5" s="1642"/>
      <c r="BG5" s="1642"/>
      <c r="BH5" s="1642"/>
      <c r="BI5" s="1642"/>
      <c r="BJ5" s="1642"/>
      <c r="BK5" s="1642"/>
      <c r="BL5" s="1642"/>
      <c r="BM5" s="1642"/>
      <c r="BN5" s="1642"/>
      <c r="BO5" s="1642"/>
      <c r="BP5" s="1642"/>
      <c r="BQ5" s="1642"/>
      <c r="BR5" s="1642"/>
      <c r="BS5" s="1642"/>
      <c r="BT5" s="1642"/>
      <c r="BU5" s="1642"/>
      <c r="BV5" s="1642"/>
      <c r="BW5" s="1642"/>
      <c r="BX5" s="1642"/>
      <c r="BY5" s="1642"/>
      <c r="BZ5" s="1642"/>
      <c r="CA5" s="1642"/>
      <c r="CB5" s="1642"/>
      <c r="CC5" s="1642"/>
      <c r="CD5" s="1642"/>
      <c r="CE5" s="1642"/>
    </row>
    <row r="6" spans="1:83" s="1047" customFormat="1" ht="14.25">
      <c r="A6" s="1889" t="str">
        <f>'数据-汇总表'!C19</f>
        <v>工业</v>
      </c>
      <c r="B6" s="1924" t="str">
        <f>IF(A6=0,"","经营性")</f>
        <v>经营性</v>
      </c>
      <c r="C6" s="157" t="s">
        <v>905</v>
      </c>
      <c r="D6" s="1895">
        <f>SUMIF(项目基本情况!C$15:I$15,C6,项目基本情况!C$18:I$18)</f>
        <v>50</v>
      </c>
      <c r="E6" s="1896">
        <f>IF(B6="","",SUMIF(项目基本情况!C$15:I$15,C6,项目基本情况!C$17:I$17))</f>
        <v>57111</v>
      </c>
      <c r="F6" s="158">
        <f>SUMIF(项目基本情况!C$15:I$15,C6,项目基本情况!C$19:I$19)</f>
        <v>31.85</v>
      </c>
      <c r="G6" s="159">
        <f t="shared" ref="G6:G13" si="0">IF(ISERROR(ROUND(POWER(1+H6,D6-F6)*(POWER(1+H6,F6)-1)/(POWER(1+H6,D6)-1),3)),0,ROUND(POWER(1+H6,D6-F6)*(POWER(1+H6,F6)-1)/(POWER(1+H6,D6)-1),3))</f>
        <v>0.86399999999999999</v>
      </c>
      <c r="H6" s="3390">
        <v>0.05</v>
      </c>
      <c r="I6" s="3390">
        <v>0.06</v>
      </c>
      <c r="J6" s="3391">
        <v>7.0000000000000007E-2</v>
      </c>
      <c r="K6" s="163">
        <f>SUMIF('数据-汇总表'!C$19:C$33,'数据-取费表'!A6,'数据-汇总表'!E$19:E$33)</f>
        <v>82949.97</v>
      </c>
      <c r="L6" s="2312">
        <v>2500</v>
      </c>
      <c r="M6" s="161">
        <f t="shared" ref="M6:M14" si="1">ROUND(K6*L6/10000,0)</f>
        <v>20737</v>
      </c>
      <c r="N6" s="2313">
        <v>0.75</v>
      </c>
      <c r="O6" s="161" t="str">
        <f>IF($N$5="成新度","——",ROUND(M6*N6,0))</f>
        <v>——</v>
      </c>
      <c r="P6" s="162" t="str">
        <f>IF($N$5="成新度","——",M6-O6)</f>
        <v>——</v>
      </c>
      <c r="Q6" s="2314">
        <v>0.1</v>
      </c>
      <c r="R6" s="163">
        <f>SUMIF('数据-汇总表'!C$19:C$33,A6,'数据-汇总表'!R$19:R$33)</f>
        <v>82949.97</v>
      </c>
      <c r="S6" s="122">
        <f>IF('数据-汇总表'!$I$17="按面积比例",SUMIF('数据-汇总表'!C$19:C$33,A6,'数据-汇总表'!K$19:K$33),SUMIF('数据-汇总表'!C$19:C$33,A6,'数据-汇总表'!N$19:N$33))</f>
        <v>0</v>
      </c>
      <c r="T6" s="1827" t="str">
        <f>IF($T$4="按面积比例",IF(ISERROR(ROUND($M$14*S6/S$16,0)),"0",ROUND($M$14*S6/S$16,0)),"需自行计算录入")</f>
        <v>0</v>
      </c>
      <c r="U6" s="164">
        <v>1.2</v>
      </c>
      <c r="V6" s="165">
        <v>0.01</v>
      </c>
      <c r="W6" s="165">
        <v>0.1</v>
      </c>
      <c r="X6" s="1908"/>
      <c r="Y6" s="166">
        <f>N6</f>
        <v>0.75</v>
      </c>
      <c r="Z6" s="167"/>
      <c r="AA6" s="160"/>
      <c r="AB6" s="160"/>
      <c r="AC6" s="1911"/>
      <c r="AD6" s="168"/>
      <c r="AE6" s="887">
        <f ca="1">IF(AN6="",0,SUMIF(INDIRECT("'"&amp;AN6&amp;"'"&amp;"!E:E"),$AE$5,INDIRECT("'"&amp;AN6&amp;"'"&amp;"!F:F")))</f>
        <v>31.85</v>
      </c>
      <c r="AF6" s="127"/>
      <c r="AG6" s="1054">
        <f>IF(AF6="",0,AE6-AF6)</f>
        <v>0</v>
      </c>
      <c r="AH6" s="127"/>
      <c r="AI6" s="171">
        <v>365</v>
      </c>
      <c r="AJ6" s="127"/>
      <c r="AK6" s="172">
        <v>5.0000000000000001E-3</v>
      </c>
      <c r="AL6" s="3419">
        <v>1E-3</v>
      </c>
      <c r="AM6" s="2322">
        <v>0.01</v>
      </c>
      <c r="AN6" s="1125" t="s">
        <v>3425</v>
      </c>
      <c r="AO6" s="2610"/>
      <c r="AP6" s="96">
        <f>ROUND(1-1/(1+H6)^F6,3)</f>
        <v>0.78900000000000003</v>
      </c>
      <c r="AQ6" s="2610"/>
      <c r="AR6" s="2610"/>
      <c r="AS6" s="2610"/>
      <c r="AT6" s="2610"/>
      <c r="AU6" s="2610"/>
      <c r="AV6" s="2610"/>
      <c r="AW6" s="2610"/>
      <c r="AX6" s="2610"/>
      <c r="AY6" s="2610"/>
      <c r="AZ6" s="2610"/>
      <c r="BA6" s="1634"/>
      <c r="BB6" s="1634"/>
      <c r="BC6" s="1634"/>
      <c r="BD6" s="1634"/>
      <c r="BE6" s="1634"/>
      <c r="BF6" s="1634"/>
      <c r="BG6" s="1634"/>
      <c r="BH6" s="1634"/>
      <c r="BI6" s="1634"/>
      <c r="BJ6" s="1634"/>
      <c r="BK6" s="1634"/>
      <c r="BL6" s="1634"/>
      <c r="BM6" s="1634"/>
      <c r="BN6" s="1634"/>
      <c r="BO6" s="1634"/>
      <c r="BP6" s="1634"/>
      <c r="BQ6" s="1634"/>
      <c r="BR6" s="1634"/>
      <c r="BS6" s="1634"/>
      <c r="BT6" s="1634"/>
      <c r="BU6" s="1634"/>
      <c r="BV6" s="1634"/>
      <c r="BW6" s="1634"/>
      <c r="BX6" s="1634"/>
      <c r="BY6" s="1634"/>
      <c r="BZ6" s="1634"/>
      <c r="CA6" s="1634"/>
      <c r="CB6" s="1634"/>
      <c r="CC6" s="1634"/>
      <c r="CD6" s="1634"/>
      <c r="CE6" s="1634"/>
    </row>
    <row r="7" spans="1:83" s="1047" customFormat="1" ht="14.25">
      <c r="A7" s="1889">
        <f>'数据-汇总表'!C20</f>
        <v>0</v>
      </c>
      <c r="B7" s="1924" t="str">
        <f t="shared" ref="B7:B13" si="2">IF(A7=0,"","经营性")</f>
        <v/>
      </c>
      <c r="C7" s="157"/>
      <c r="D7" s="1895">
        <f>SUMIF(项目基本情况!C$15:I$15,C7,项目基本情况!C$18:I$18)</f>
        <v>0</v>
      </c>
      <c r="E7" s="1896" t="str">
        <f>IF(B7="","",SUMIF(项目基本情况!C$15:I$15,C7,项目基本情况!C$17:I$17))</f>
        <v/>
      </c>
      <c r="F7" s="158">
        <f>SUMIF(项目基本情况!C$15:I$15,C7,项目基本情况!C$19:I$19)</f>
        <v>0</v>
      </c>
      <c r="G7" s="159">
        <f t="shared" si="0"/>
        <v>0</v>
      </c>
      <c r="H7" s="2311"/>
      <c r="I7" s="2311"/>
      <c r="J7" s="160"/>
      <c r="K7" s="163">
        <f>SUMIF('数据-汇总表'!C$19:C$33,'数据-取费表'!A7,'数据-汇总表'!E$19:E$33)</f>
        <v>0</v>
      </c>
      <c r="L7" s="2312"/>
      <c r="M7" s="161">
        <f t="shared" si="1"/>
        <v>0</v>
      </c>
      <c r="N7" s="2313"/>
      <c r="O7" s="161" t="str">
        <f t="shared" ref="O7:O14" si="3">IF($N$5="成新度","——",ROUND(M7*N7,0))</f>
        <v>——</v>
      </c>
      <c r="P7" s="162" t="str">
        <f t="shared" ref="P7:P14" si="4">IF($N$5="成新度","——",M7-O7)</f>
        <v>——</v>
      </c>
      <c r="Q7" s="2314"/>
      <c r="R7" s="163">
        <f>SUMIF('数据-汇总表'!C$19:C$33,A7,'数据-汇总表'!R$19:R$33)</f>
        <v>0</v>
      </c>
      <c r="S7" s="122">
        <f>IF('数据-汇总表'!$I$17="按面积比例",SUMIF('数据-汇总表'!C$19:C$33,A7,'数据-汇总表'!K$19:K$33),SUMIF('数据-汇总表'!C$19:C$33,A7,'数据-汇总表'!N$19:N$33))</f>
        <v>0</v>
      </c>
      <c r="T7" s="1827" t="str">
        <f t="shared" ref="T7:T13" si="5">IF($T$4="按面积比例",IF(ISERROR(ROUND($M$14*S7/S$16,0)),"0",ROUND($M$14*S7/S$16,0)),"需自行计算录入")</f>
        <v>0</v>
      </c>
      <c r="U7" s="164"/>
      <c r="V7" s="165"/>
      <c r="W7" s="165"/>
      <c r="X7" s="1908"/>
      <c r="Y7" s="166"/>
      <c r="Z7" s="167"/>
      <c r="AA7" s="160"/>
      <c r="AB7" s="160"/>
      <c r="AC7" s="1911"/>
      <c r="AD7" s="168"/>
      <c r="AE7" s="887">
        <f t="shared" ref="AE7:AE13" ca="1" si="6">IF(AN7="",0,SUMIF(INDIRECT("'"&amp;AN7&amp;"'"&amp;"!E:E"),$AE$5,INDIRECT("'"&amp;AN7&amp;"'"&amp;"!F:F")))</f>
        <v>0</v>
      </c>
      <c r="AF7" s="127"/>
      <c r="AG7" s="1054">
        <f t="shared" ref="AG7:AG13" si="7">IF(AF7="",0,AE7-AF7)</f>
        <v>0</v>
      </c>
      <c r="AH7" s="127"/>
      <c r="AI7" s="171"/>
      <c r="AJ7" s="127"/>
      <c r="AK7" s="172"/>
      <c r="AL7" s="173"/>
      <c r="AM7" s="2322"/>
      <c r="AN7" s="1125"/>
      <c r="AO7" s="2610"/>
      <c r="AP7" s="96">
        <f t="shared" ref="AP7:AP13" si="8">ROUND(1-1/(1+H7)^F7,3)</f>
        <v>0</v>
      </c>
      <c r="AQ7" s="2610"/>
      <c r="AR7" s="2610"/>
      <c r="AS7" s="2610"/>
      <c r="AT7" s="2610"/>
      <c r="AU7" s="2610"/>
      <c r="AV7" s="2610"/>
      <c r="AW7" s="2610"/>
      <c r="AX7" s="2610"/>
      <c r="AY7" s="2610"/>
      <c r="AZ7" s="2610"/>
      <c r="BA7" s="1634"/>
      <c r="BB7" s="1634"/>
      <c r="BC7" s="1634"/>
      <c r="BD7" s="1634"/>
      <c r="BE7" s="1634"/>
      <c r="BF7" s="1634"/>
      <c r="BG7" s="1634"/>
      <c r="BH7" s="1634"/>
      <c r="BI7" s="1634"/>
      <c r="BJ7" s="1634"/>
      <c r="BK7" s="1634"/>
      <c r="BL7" s="1634"/>
      <c r="BM7" s="1634"/>
      <c r="BN7" s="1634"/>
      <c r="BO7" s="1634"/>
      <c r="BP7" s="1634"/>
      <c r="BQ7" s="1634"/>
      <c r="BR7" s="1634"/>
      <c r="BS7" s="1634"/>
      <c r="BT7" s="1634"/>
      <c r="BU7" s="1634"/>
      <c r="BV7" s="1634"/>
      <c r="BW7" s="1634"/>
      <c r="BX7" s="1634"/>
      <c r="BY7" s="1634"/>
      <c r="BZ7" s="1634"/>
      <c r="CA7" s="1634"/>
      <c r="CB7" s="1634"/>
      <c r="CC7" s="1634"/>
      <c r="CD7" s="1634"/>
      <c r="CE7" s="1634"/>
    </row>
    <row r="8" spans="1:83" s="1047" customFormat="1" ht="14.25">
      <c r="A8" s="1889">
        <f>'数据-汇总表'!C21</f>
        <v>0</v>
      </c>
      <c r="B8" s="1924" t="str">
        <f t="shared" si="2"/>
        <v/>
      </c>
      <c r="C8" s="157"/>
      <c r="D8" s="1895">
        <f>SUMIF(项目基本情况!C$15:I$15,C8,项目基本情况!C$18:I$18)</f>
        <v>0</v>
      </c>
      <c r="E8" s="1896" t="str">
        <f>IF(B8="","",SUMIF(项目基本情况!C$15:I$15,C8,项目基本情况!C$17:I$17))</f>
        <v/>
      </c>
      <c r="F8" s="158">
        <f>SUMIF(项目基本情况!C$15:I$15,C8,项目基本情况!C$19:I$19)</f>
        <v>0</v>
      </c>
      <c r="G8" s="159">
        <f t="shared" si="0"/>
        <v>0</v>
      </c>
      <c r="H8" s="2311"/>
      <c r="I8" s="2311"/>
      <c r="J8" s="160"/>
      <c r="K8" s="163">
        <f>SUMIF('数据-汇总表'!C$19:C$33,'数据-取费表'!A8,'数据-汇总表'!E$19:E$33)</f>
        <v>0</v>
      </c>
      <c r="L8" s="2312"/>
      <c r="M8" s="161">
        <f>ROUND(K8*L8/10000,0)</f>
        <v>0</v>
      </c>
      <c r="N8" s="2313"/>
      <c r="O8" s="161" t="str">
        <f t="shared" si="3"/>
        <v>——</v>
      </c>
      <c r="P8" s="162" t="str">
        <f t="shared" si="4"/>
        <v>——</v>
      </c>
      <c r="Q8" s="2314"/>
      <c r="R8" s="163">
        <f>SUMIF('数据-汇总表'!C$19:C$33,A8,'数据-汇总表'!R$19:R$33)</f>
        <v>0</v>
      </c>
      <c r="S8" s="122">
        <f>IF('数据-汇总表'!$I$17="按面积比例",SUMIF('数据-汇总表'!C$19:C$33,A8,'数据-汇总表'!K$19:K$33),SUMIF('数据-汇总表'!C$19:C$33,A8,'数据-汇总表'!N$19:N$33))</f>
        <v>0</v>
      </c>
      <c r="T8" s="1827" t="str">
        <f t="shared" si="5"/>
        <v>0</v>
      </c>
      <c r="U8" s="164"/>
      <c r="V8" s="165"/>
      <c r="W8" s="165"/>
      <c r="X8" s="1908"/>
      <c r="Y8" s="166"/>
      <c r="Z8" s="167"/>
      <c r="AA8" s="160"/>
      <c r="AB8" s="160"/>
      <c r="AC8" s="1911"/>
      <c r="AD8" s="168"/>
      <c r="AE8" s="887">
        <f t="shared" ca="1" si="6"/>
        <v>0</v>
      </c>
      <c r="AF8" s="127"/>
      <c r="AG8" s="1054">
        <f t="shared" si="7"/>
        <v>0</v>
      </c>
      <c r="AH8" s="127"/>
      <c r="AI8" s="171"/>
      <c r="AJ8" s="127"/>
      <c r="AK8" s="172"/>
      <c r="AL8" s="173"/>
      <c r="AM8" s="2322"/>
      <c r="AN8" s="1125"/>
      <c r="AO8" s="2610"/>
      <c r="AP8" s="96">
        <f t="shared" si="8"/>
        <v>0</v>
      </c>
      <c r="AQ8" s="2610"/>
      <c r="AR8" s="2610"/>
      <c r="AS8" s="2610"/>
      <c r="AT8" s="2610"/>
      <c r="AU8" s="2610"/>
      <c r="AV8" s="2610"/>
      <c r="AW8" s="2610"/>
      <c r="AX8" s="2610"/>
      <c r="AY8" s="2610"/>
      <c r="AZ8" s="2610"/>
      <c r="BA8" s="1634"/>
      <c r="BB8" s="1634"/>
      <c r="BC8" s="1634"/>
      <c r="BD8" s="1634"/>
      <c r="BE8" s="1634"/>
      <c r="BF8" s="1634"/>
      <c r="BG8" s="1634"/>
      <c r="BH8" s="1634"/>
      <c r="BI8" s="1634"/>
      <c r="BJ8" s="1634"/>
      <c r="BK8" s="1634"/>
      <c r="BL8" s="1634"/>
      <c r="BM8" s="1634"/>
      <c r="BN8" s="1634"/>
      <c r="BO8" s="1634"/>
      <c r="BP8" s="1634"/>
      <c r="BQ8" s="1634"/>
      <c r="BR8" s="1634"/>
      <c r="BS8" s="1634"/>
      <c r="BT8" s="1634"/>
      <c r="BU8" s="1634"/>
      <c r="BV8" s="1634"/>
      <c r="BW8" s="1634"/>
      <c r="BX8" s="1634"/>
      <c r="BY8" s="1634"/>
      <c r="BZ8" s="1634"/>
      <c r="CA8" s="1634"/>
      <c r="CB8" s="1634"/>
      <c r="CC8" s="1634"/>
      <c r="CD8" s="1634"/>
      <c r="CE8" s="1634"/>
    </row>
    <row r="9" spans="1:83" s="1047" customFormat="1" ht="14.25">
      <c r="A9" s="1889">
        <f>'数据-汇总表'!C22</f>
        <v>0</v>
      </c>
      <c r="B9" s="1924" t="str">
        <f t="shared" si="2"/>
        <v/>
      </c>
      <c r="C9" s="157"/>
      <c r="D9" s="1895">
        <f>SUMIF(项目基本情况!C$15:I$15,C9,项目基本情况!C$18:I$18)</f>
        <v>0</v>
      </c>
      <c r="E9" s="1896" t="str">
        <f>IF(B9="","",SUMIF(项目基本情况!C$15:I$15,C9,项目基本情况!C$17:I$17))</f>
        <v/>
      </c>
      <c r="F9" s="158">
        <f>SUMIF(项目基本情况!C$15:I$15,C9,项目基本情况!C$19:I$19)</f>
        <v>0</v>
      </c>
      <c r="G9" s="159">
        <f t="shared" si="0"/>
        <v>0</v>
      </c>
      <c r="H9" s="160"/>
      <c r="I9" s="160"/>
      <c r="J9" s="160"/>
      <c r="K9" s="163">
        <f>SUMIF('数据-汇总表'!C$19:C$33,'数据-取费表'!A9,'数据-汇总表'!E$19:E$33)</f>
        <v>0</v>
      </c>
      <c r="L9" s="2312"/>
      <c r="M9" s="161">
        <f t="shared" si="1"/>
        <v>0</v>
      </c>
      <c r="N9" s="2313"/>
      <c r="O9" s="161" t="str">
        <f t="shared" si="3"/>
        <v>——</v>
      </c>
      <c r="P9" s="162" t="str">
        <f t="shared" si="4"/>
        <v>——</v>
      </c>
      <c r="Q9" s="175"/>
      <c r="R9" s="163">
        <f>SUMIF('数据-汇总表'!C$19:C$33,A9,'数据-汇总表'!R$19:R$33)</f>
        <v>0</v>
      </c>
      <c r="S9" s="122">
        <f>IF('数据-汇总表'!$I$17="按面积比例",SUMIF('数据-汇总表'!C$19:C$33,A9,'数据-汇总表'!K$19:K$33),SUMIF('数据-汇总表'!C$19:C$33,A9,'数据-汇总表'!N$19:N$33))</f>
        <v>0</v>
      </c>
      <c r="T9" s="1827" t="str">
        <f t="shared" si="5"/>
        <v>0</v>
      </c>
      <c r="U9" s="164"/>
      <c r="V9" s="165"/>
      <c r="W9" s="165"/>
      <c r="X9" s="1908"/>
      <c r="Y9" s="166"/>
      <c r="Z9" s="167"/>
      <c r="AA9" s="160"/>
      <c r="AB9" s="160"/>
      <c r="AC9" s="1911"/>
      <c r="AD9" s="168"/>
      <c r="AE9" s="887">
        <f t="shared" ca="1" si="6"/>
        <v>0</v>
      </c>
      <c r="AF9" s="127"/>
      <c r="AG9" s="1054">
        <f t="shared" si="7"/>
        <v>0</v>
      </c>
      <c r="AH9" s="127"/>
      <c r="AI9" s="171"/>
      <c r="AJ9" s="127"/>
      <c r="AK9" s="172"/>
      <c r="AL9" s="173"/>
      <c r="AM9" s="2322"/>
      <c r="AN9" s="1125"/>
      <c r="AO9" s="2610"/>
      <c r="AP9" s="96">
        <f t="shared" si="8"/>
        <v>0</v>
      </c>
      <c r="AQ9" s="2610"/>
      <c r="AR9" s="2610"/>
      <c r="AS9" s="2610"/>
      <c r="AT9" s="2610"/>
      <c r="AU9" s="2610"/>
      <c r="AV9" s="2610"/>
      <c r="AW9" s="2610"/>
      <c r="AX9" s="2610"/>
      <c r="AY9" s="2610"/>
      <c r="AZ9" s="2610"/>
      <c r="BA9" s="1634"/>
      <c r="BB9" s="1634"/>
      <c r="BC9" s="1634"/>
      <c r="BD9" s="1634"/>
      <c r="BE9" s="1634"/>
      <c r="BF9" s="1634"/>
      <c r="BG9" s="1634"/>
      <c r="BH9" s="1634"/>
      <c r="BI9" s="1634"/>
      <c r="BJ9" s="1634"/>
      <c r="BK9" s="1634"/>
      <c r="BL9" s="1634"/>
      <c r="BM9" s="1634"/>
      <c r="BN9" s="1634"/>
      <c r="BO9" s="1634"/>
      <c r="BP9" s="1634"/>
      <c r="BQ9" s="1634"/>
      <c r="BR9" s="1634"/>
      <c r="BS9" s="1634"/>
      <c r="BT9" s="1634"/>
      <c r="BU9" s="1634"/>
      <c r="BV9" s="1634"/>
      <c r="BW9" s="1634"/>
      <c r="BX9" s="1634"/>
      <c r="BY9" s="1634"/>
      <c r="BZ9" s="1634"/>
      <c r="CA9" s="1634"/>
      <c r="CB9" s="1634"/>
      <c r="CC9" s="1634"/>
      <c r="CD9" s="1634"/>
      <c r="CE9" s="1634"/>
    </row>
    <row r="10" spans="1:83" s="1047" customFormat="1" ht="14.25">
      <c r="A10" s="1889">
        <f>'数据-汇总表'!C23</f>
        <v>0</v>
      </c>
      <c r="B10" s="1924" t="str">
        <f t="shared" si="2"/>
        <v/>
      </c>
      <c r="C10" s="157"/>
      <c r="D10" s="1895">
        <f>SUMIF(项目基本情况!C$15:I$15,C10,项目基本情况!C$18:I$18)</f>
        <v>0</v>
      </c>
      <c r="E10" s="1896" t="str">
        <f>IF(B10="","",SUMIF(项目基本情况!C$15:I$15,C10,项目基本情况!C$17:I$17))</f>
        <v/>
      </c>
      <c r="F10" s="158">
        <f>SUMIF(项目基本情况!C$15:I$15,C10,项目基本情况!C$19:I$19)</f>
        <v>0</v>
      </c>
      <c r="G10" s="159">
        <f t="shared" si="0"/>
        <v>0</v>
      </c>
      <c r="H10" s="160"/>
      <c r="I10" s="160"/>
      <c r="J10" s="160"/>
      <c r="K10" s="163">
        <f>SUMIF('数据-汇总表'!C$19:C$33,'数据-取费表'!A10,'数据-汇总表'!E$19:E$33)</f>
        <v>0</v>
      </c>
      <c r="L10" s="2312"/>
      <c r="M10" s="161">
        <f t="shared" si="1"/>
        <v>0</v>
      </c>
      <c r="N10" s="2313"/>
      <c r="O10" s="161" t="str">
        <f t="shared" si="3"/>
        <v>——</v>
      </c>
      <c r="P10" s="162" t="str">
        <f t="shared" si="4"/>
        <v>——</v>
      </c>
      <c r="Q10" s="175"/>
      <c r="R10" s="163">
        <f>SUMIF('数据-汇总表'!C$19:C$33,A10,'数据-汇总表'!R$19:R$33)</f>
        <v>0</v>
      </c>
      <c r="S10" s="122">
        <f>IF('数据-汇总表'!$I$17="按面积比例",SUMIF('数据-汇总表'!C$19:C$33,A10,'数据-汇总表'!K$19:K$33),SUMIF('数据-汇总表'!C$19:C$33,A10,'数据-汇总表'!N$19:N$33))</f>
        <v>0</v>
      </c>
      <c r="T10" s="1827" t="str">
        <f t="shared" si="5"/>
        <v>0</v>
      </c>
      <c r="U10" s="164"/>
      <c r="V10" s="165"/>
      <c r="W10" s="165"/>
      <c r="X10" s="1908"/>
      <c r="Y10" s="166"/>
      <c r="Z10" s="167"/>
      <c r="AA10" s="160"/>
      <c r="AB10" s="160"/>
      <c r="AC10" s="1911"/>
      <c r="AD10" s="168"/>
      <c r="AE10" s="887">
        <f t="shared" ca="1" si="6"/>
        <v>0</v>
      </c>
      <c r="AF10" s="127"/>
      <c r="AG10" s="1054">
        <f t="shared" si="7"/>
        <v>0</v>
      </c>
      <c r="AH10" s="127"/>
      <c r="AI10" s="171"/>
      <c r="AJ10" s="127"/>
      <c r="AK10" s="172"/>
      <c r="AL10" s="173"/>
      <c r="AM10" s="2322"/>
      <c r="AN10" s="1125"/>
      <c r="AO10" s="2610"/>
      <c r="AP10" s="96">
        <f t="shared" si="8"/>
        <v>0</v>
      </c>
      <c r="AQ10" s="2610"/>
      <c r="AR10" s="2610"/>
      <c r="AS10" s="2610"/>
      <c r="AT10" s="2610"/>
      <c r="AU10" s="2610"/>
      <c r="AV10" s="2610"/>
      <c r="AW10" s="2610"/>
      <c r="AX10" s="2610"/>
      <c r="AY10" s="2610"/>
      <c r="AZ10" s="2610"/>
      <c r="BA10" s="1634"/>
      <c r="BB10" s="1634"/>
      <c r="BC10" s="1634"/>
      <c r="BD10" s="1634"/>
      <c r="BE10" s="1634"/>
      <c r="BF10" s="1634"/>
      <c r="BG10" s="1634"/>
      <c r="BH10" s="1634"/>
      <c r="BI10" s="1634"/>
      <c r="BJ10" s="1634"/>
      <c r="BK10" s="1634"/>
      <c r="BL10" s="1634"/>
      <c r="BM10" s="1634"/>
      <c r="BN10" s="1634"/>
      <c r="BO10" s="1634"/>
      <c r="BP10" s="1634"/>
      <c r="BQ10" s="1634"/>
      <c r="BR10" s="1634"/>
      <c r="BS10" s="1634"/>
      <c r="BT10" s="1634"/>
      <c r="BU10" s="1634"/>
      <c r="BV10" s="1634"/>
      <c r="BW10" s="1634"/>
      <c r="BX10" s="1634"/>
      <c r="BY10" s="1634"/>
      <c r="BZ10" s="1634"/>
      <c r="CA10" s="1634"/>
      <c r="CB10" s="1634"/>
      <c r="CC10" s="1634"/>
      <c r="CD10" s="1634"/>
      <c r="CE10" s="1634"/>
    </row>
    <row r="11" spans="1:83" s="1047" customFormat="1" ht="14.25">
      <c r="A11" s="1889">
        <f>'数据-汇总表'!C24</f>
        <v>0</v>
      </c>
      <c r="B11" s="1924" t="str">
        <f t="shared" si="2"/>
        <v/>
      </c>
      <c r="C11" s="157"/>
      <c r="D11" s="1895">
        <f>SUMIF(项目基本情况!C$15:I$15,C11,项目基本情况!C$18:I$18)</f>
        <v>0</v>
      </c>
      <c r="E11" s="1896" t="str">
        <f>IF(B11="","",SUMIF(项目基本情况!C$15:I$15,C11,项目基本情况!C$17:I$17))</f>
        <v/>
      </c>
      <c r="F11" s="158">
        <f>SUMIF(项目基本情况!C$15:I$15,C11,项目基本情况!C$19:I$19)</f>
        <v>0</v>
      </c>
      <c r="G11" s="159">
        <f t="shared" si="0"/>
        <v>0</v>
      </c>
      <c r="H11" s="160"/>
      <c r="I11" s="160"/>
      <c r="J11" s="160"/>
      <c r="K11" s="163">
        <f>SUMIF('数据-汇总表'!C$19:C$33,'数据-取费表'!A11,'数据-汇总表'!E$19:E$33)</f>
        <v>0</v>
      </c>
      <c r="L11" s="2312"/>
      <c r="M11" s="161">
        <f t="shared" si="1"/>
        <v>0</v>
      </c>
      <c r="N11" s="2313"/>
      <c r="O11" s="161" t="str">
        <f t="shared" si="3"/>
        <v>——</v>
      </c>
      <c r="P11" s="162" t="str">
        <f t="shared" si="4"/>
        <v>——</v>
      </c>
      <c r="Q11" s="175"/>
      <c r="R11" s="163">
        <f>SUMIF('数据-汇总表'!C$19:C$33,A11,'数据-汇总表'!R$19:R$33)</f>
        <v>0</v>
      </c>
      <c r="S11" s="122">
        <f>IF('数据-汇总表'!$I$17="按面积比例",SUMIF('数据-汇总表'!C$19:C$33,A11,'数据-汇总表'!K$19:K$33),SUMIF('数据-汇总表'!C$19:C$33,A11,'数据-汇总表'!N$19:N$33))</f>
        <v>0</v>
      </c>
      <c r="T11" s="1827" t="str">
        <f t="shared" si="5"/>
        <v>0</v>
      </c>
      <c r="U11" s="169"/>
      <c r="V11" s="165"/>
      <c r="W11" s="160"/>
      <c r="X11" s="1911"/>
      <c r="Y11" s="166"/>
      <c r="Z11" s="178"/>
      <c r="AA11" s="160"/>
      <c r="AB11" s="160"/>
      <c r="AC11" s="1911"/>
      <c r="AD11" s="168"/>
      <c r="AE11" s="887">
        <f t="shared" ca="1" si="6"/>
        <v>0</v>
      </c>
      <c r="AF11" s="127"/>
      <c r="AG11" s="1054">
        <f t="shared" si="7"/>
        <v>0</v>
      </c>
      <c r="AH11" s="127"/>
      <c r="AI11" s="171"/>
      <c r="AJ11" s="127"/>
      <c r="AK11" s="172"/>
      <c r="AL11" s="173"/>
      <c r="AM11" s="2322"/>
      <c r="AN11" s="1125"/>
      <c r="AO11" s="2610"/>
      <c r="AP11" s="96">
        <f t="shared" si="8"/>
        <v>0</v>
      </c>
      <c r="AQ11" s="2610"/>
      <c r="AR11" s="2610"/>
      <c r="AS11" s="2610"/>
      <c r="AT11" s="2610"/>
      <c r="AU11" s="2610"/>
      <c r="AV11" s="2610"/>
      <c r="AW11" s="2610"/>
      <c r="AX11" s="2610"/>
      <c r="AY11" s="2610"/>
      <c r="AZ11" s="2610"/>
      <c r="BA11" s="1634"/>
      <c r="BB11" s="1634"/>
      <c r="BC11" s="1634"/>
      <c r="BD11" s="1634"/>
      <c r="BE11" s="1634"/>
      <c r="BF11" s="1634"/>
      <c r="BG11" s="1634"/>
      <c r="BH11" s="1634"/>
      <c r="BI11" s="1634"/>
      <c r="BJ11" s="1634"/>
      <c r="BK11" s="1634"/>
      <c r="BL11" s="1634"/>
      <c r="BM11" s="1634"/>
      <c r="BN11" s="1634"/>
      <c r="BO11" s="1634"/>
      <c r="BP11" s="1634"/>
      <c r="BQ11" s="1634"/>
      <c r="BR11" s="1634"/>
      <c r="BS11" s="1634"/>
      <c r="BT11" s="1634"/>
      <c r="BU11" s="1634"/>
      <c r="BV11" s="1634"/>
      <c r="BW11" s="1634"/>
      <c r="BX11" s="1634"/>
      <c r="BY11" s="1634"/>
      <c r="BZ11" s="1634"/>
      <c r="CA11" s="1634"/>
      <c r="CB11" s="1634"/>
      <c r="CC11" s="1634"/>
      <c r="CD11" s="1634"/>
      <c r="CE11" s="1634"/>
    </row>
    <row r="12" spans="1:83" s="1047" customFormat="1" ht="14.25">
      <c r="A12" s="1889">
        <f>'数据-汇总表'!C25</f>
        <v>0</v>
      </c>
      <c r="B12" s="1924" t="str">
        <f t="shared" si="2"/>
        <v/>
      </c>
      <c r="C12" s="157"/>
      <c r="D12" s="1895">
        <f>SUMIF(项目基本情况!C$15:I$15,C12,项目基本情况!C$18:I$18)</f>
        <v>0</v>
      </c>
      <c r="E12" s="1896" t="str">
        <f>IF(B12="","",SUMIF(项目基本情况!C$15:I$15,C12,项目基本情况!C$17:I$17))</f>
        <v/>
      </c>
      <c r="F12" s="158">
        <f>SUMIF(项目基本情况!C$15:I$15,C12,项目基本情况!C$19:I$19)</f>
        <v>0</v>
      </c>
      <c r="G12" s="159">
        <f t="shared" si="0"/>
        <v>0</v>
      </c>
      <c r="H12" s="160"/>
      <c r="I12" s="160"/>
      <c r="J12" s="160"/>
      <c r="K12" s="163">
        <f>SUMIF('数据-汇总表'!C$19:C$33,'数据-取费表'!A12,'数据-汇总表'!E$19:E$33)</f>
        <v>0</v>
      </c>
      <c r="L12" s="2312"/>
      <c r="M12" s="161">
        <f>ROUND(K12*L12/10000,0)</f>
        <v>0</v>
      </c>
      <c r="N12" s="2313"/>
      <c r="O12" s="161" t="str">
        <f t="shared" si="3"/>
        <v>——</v>
      </c>
      <c r="P12" s="162" t="str">
        <f t="shared" si="4"/>
        <v>——</v>
      </c>
      <c r="Q12" s="175"/>
      <c r="R12" s="163">
        <f>SUMIF('数据-汇总表'!C$19:C$33,A12,'数据-汇总表'!R$19:R$33)</f>
        <v>0</v>
      </c>
      <c r="S12" s="122">
        <f>IF('数据-汇总表'!$I$17="按面积比例",SUMIF('数据-汇总表'!C$19:C$33,A12,'数据-汇总表'!K$19:K$33),SUMIF('数据-汇总表'!C$19:C$33,A12,'数据-汇总表'!N$19:N$33))</f>
        <v>0</v>
      </c>
      <c r="T12" s="1827" t="str">
        <f t="shared" si="5"/>
        <v>0</v>
      </c>
      <c r="U12" s="169"/>
      <c r="V12" s="165"/>
      <c r="W12" s="160"/>
      <c r="X12" s="1911"/>
      <c r="Y12" s="166"/>
      <c r="Z12" s="178"/>
      <c r="AA12" s="160"/>
      <c r="AB12" s="160"/>
      <c r="AC12" s="1911"/>
      <c r="AD12" s="168"/>
      <c r="AE12" s="887">
        <f t="shared" ca="1" si="6"/>
        <v>0</v>
      </c>
      <c r="AF12" s="127"/>
      <c r="AG12" s="1054">
        <f t="shared" si="7"/>
        <v>0</v>
      </c>
      <c r="AH12" s="127"/>
      <c r="AI12" s="171"/>
      <c r="AJ12" s="127"/>
      <c r="AK12" s="172"/>
      <c r="AL12" s="173"/>
      <c r="AM12" s="2322"/>
      <c r="AN12" s="1125"/>
      <c r="AO12" s="2610"/>
      <c r="AP12" s="96">
        <f t="shared" si="8"/>
        <v>0</v>
      </c>
      <c r="AQ12" s="2610"/>
      <c r="AR12" s="2610"/>
      <c r="AS12" s="2610"/>
      <c r="AT12" s="2610"/>
      <c r="AU12" s="2610"/>
      <c r="AV12" s="2610"/>
      <c r="AW12" s="2610"/>
      <c r="AX12" s="2610"/>
      <c r="AY12" s="2610"/>
      <c r="AZ12" s="2610"/>
      <c r="BA12" s="1634"/>
      <c r="BB12" s="1634"/>
      <c r="BC12" s="1634"/>
      <c r="BD12" s="1634"/>
      <c r="BE12" s="1634"/>
      <c r="BF12" s="1634"/>
      <c r="BG12" s="1634"/>
      <c r="BH12" s="1634"/>
      <c r="BI12" s="1634"/>
      <c r="BJ12" s="1634"/>
      <c r="BK12" s="1634"/>
      <c r="BL12" s="1634"/>
      <c r="BM12" s="1634"/>
      <c r="BN12" s="1634"/>
      <c r="BO12" s="1634"/>
      <c r="BP12" s="1634"/>
      <c r="BQ12" s="1634"/>
      <c r="BR12" s="1634"/>
      <c r="BS12" s="1634"/>
      <c r="BT12" s="1634"/>
      <c r="BU12" s="1634"/>
      <c r="BV12" s="1634"/>
      <c r="BW12" s="1634"/>
      <c r="BX12" s="1634"/>
      <c r="BY12" s="1634"/>
      <c r="BZ12" s="1634"/>
      <c r="CA12" s="1634"/>
      <c r="CB12" s="1634"/>
      <c r="CC12" s="1634"/>
      <c r="CD12" s="1634"/>
      <c r="CE12" s="1634"/>
    </row>
    <row r="13" spans="1:83" s="1047" customFormat="1" ht="14.25">
      <c r="A13" s="1889">
        <f>'数据-汇总表'!C26</f>
        <v>0</v>
      </c>
      <c r="B13" s="1924" t="str">
        <f t="shared" si="2"/>
        <v/>
      </c>
      <c r="C13" s="157"/>
      <c r="D13" s="1895">
        <f>SUMIF(项目基本情况!C$15:I$15,C13,项目基本情况!C$18:I$18)</f>
        <v>0</v>
      </c>
      <c r="E13" s="1896" t="str">
        <f>IF(B13="","",SUMIF(项目基本情况!C$15:I$15,C13,项目基本情况!C$17:I$17))</f>
        <v/>
      </c>
      <c r="F13" s="158">
        <f>SUMIF(项目基本情况!C$15:I$15,C13,项目基本情况!C$19:I$19)</f>
        <v>0</v>
      </c>
      <c r="G13" s="159">
        <f t="shared" si="0"/>
        <v>0</v>
      </c>
      <c r="H13" s="160"/>
      <c r="I13" s="160"/>
      <c r="J13" s="160"/>
      <c r="K13" s="163">
        <f>SUMIF('数据-汇总表'!C$19:C$33,'数据-取费表'!A13,'数据-汇总表'!E$19:E$33)</f>
        <v>0</v>
      </c>
      <c r="L13" s="176"/>
      <c r="M13" s="161">
        <f>ROUND(K13*L13/10000,0)</f>
        <v>0</v>
      </c>
      <c r="N13" s="177"/>
      <c r="O13" s="161" t="str">
        <f t="shared" si="3"/>
        <v>——</v>
      </c>
      <c r="P13" s="162" t="str">
        <f t="shared" si="4"/>
        <v>——</v>
      </c>
      <c r="Q13" s="175"/>
      <c r="R13" s="163">
        <f>SUMIF('数据-汇总表'!C$19:C$33,A13,'数据-汇总表'!R$19:R$33)</f>
        <v>0</v>
      </c>
      <c r="S13" s="122">
        <f>IF('数据-汇总表'!$I$17="按面积比例",SUMIF('数据-汇总表'!C$19:C$33,A13,'数据-汇总表'!K$19:K$33),SUMIF('数据-汇总表'!C$19:C$33,A13,'数据-汇总表'!N$19:N$33))</f>
        <v>0</v>
      </c>
      <c r="T13" s="1827" t="str">
        <f t="shared" si="5"/>
        <v>0</v>
      </c>
      <c r="U13" s="164"/>
      <c r="V13" s="165"/>
      <c r="W13" s="165"/>
      <c r="X13" s="1908"/>
      <c r="Y13" s="166"/>
      <c r="Z13" s="167"/>
      <c r="AA13" s="160"/>
      <c r="AB13" s="160"/>
      <c r="AC13" s="1911"/>
      <c r="AD13" s="168"/>
      <c r="AE13" s="887">
        <f t="shared" ca="1" si="6"/>
        <v>0</v>
      </c>
      <c r="AF13" s="127"/>
      <c r="AG13" s="1054">
        <f t="shared" si="7"/>
        <v>0</v>
      </c>
      <c r="AH13" s="127"/>
      <c r="AI13" s="171"/>
      <c r="AJ13" s="127"/>
      <c r="AK13" s="172"/>
      <c r="AL13" s="173"/>
      <c r="AM13" s="1949"/>
      <c r="AN13" s="1125"/>
      <c r="AO13" s="2610"/>
      <c r="AP13" s="96">
        <f t="shared" si="8"/>
        <v>0</v>
      </c>
      <c r="AQ13" s="2610"/>
      <c r="AR13" s="2610"/>
      <c r="AS13" s="2610"/>
      <c r="AT13" s="2610"/>
      <c r="AU13" s="2610"/>
      <c r="AV13" s="2610"/>
      <c r="AW13" s="2610"/>
      <c r="AX13" s="2610"/>
      <c r="AY13" s="2610"/>
      <c r="AZ13" s="2610"/>
      <c r="BA13" s="1634"/>
      <c r="BB13" s="1634"/>
      <c r="BC13" s="1634"/>
      <c r="BD13" s="1634"/>
      <c r="BE13" s="1634"/>
      <c r="BF13" s="1634"/>
      <c r="BG13" s="1634"/>
      <c r="BH13" s="1634"/>
      <c r="BI13" s="1634"/>
      <c r="BJ13" s="1634"/>
      <c r="BK13" s="1634"/>
      <c r="BL13" s="1634"/>
      <c r="BM13" s="1634"/>
      <c r="BN13" s="1634"/>
      <c r="BO13" s="1634"/>
      <c r="BP13" s="1634"/>
      <c r="BQ13" s="1634"/>
      <c r="BR13" s="1634"/>
      <c r="BS13" s="1634"/>
      <c r="BT13" s="1634"/>
      <c r="BU13" s="1634"/>
      <c r="BV13" s="1634"/>
      <c r="BW13" s="1634"/>
      <c r="BX13" s="1634"/>
      <c r="BY13" s="1634"/>
      <c r="BZ13" s="1634"/>
      <c r="CA13" s="1634"/>
      <c r="CB13" s="1634"/>
      <c r="CC13" s="1634"/>
      <c r="CD13" s="1634"/>
      <c r="CE13" s="1634"/>
    </row>
    <row r="14" spans="1:83" s="1047" customFormat="1" ht="14.25">
      <c r="A14" s="1890" t="s">
        <v>1671</v>
      </c>
      <c r="B14" s="1893" t="s">
        <v>1213</v>
      </c>
      <c r="C14" s="1894" t="s">
        <v>1671</v>
      </c>
      <c r="D14" s="1895"/>
      <c r="E14" s="1896"/>
      <c r="F14" s="158"/>
      <c r="G14" s="159"/>
      <c r="H14" s="1897"/>
      <c r="I14" s="1897"/>
      <c r="J14" s="1897"/>
      <c r="K14" s="163">
        <f>SUMIF('数据-汇总表'!C$19:C$33,'数据-取费表'!A14,'数据-汇总表'!E$19:E$33)</f>
        <v>0</v>
      </c>
      <c r="L14" s="176"/>
      <c r="M14" s="161">
        <f t="shared" si="1"/>
        <v>0</v>
      </c>
      <c r="N14" s="177"/>
      <c r="O14" s="161" t="str">
        <f t="shared" si="3"/>
        <v>——</v>
      </c>
      <c r="P14" s="162" t="str">
        <f t="shared" si="4"/>
        <v>——</v>
      </c>
      <c r="Q14" s="1905"/>
      <c r="R14" s="163"/>
      <c r="S14" s="122"/>
      <c r="T14" s="1904"/>
      <c r="U14" s="889"/>
      <c r="V14" s="1907"/>
      <c r="W14" s="1907"/>
      <c r="X14" s="1908"/>
      <c r="Y14" s="1909"/>
      <c r="Z14" s="125"/>
      <c r="AA14" s="1910"/>
      <c r="AB14" s="1910"/>
      <c r="AC14" s="1911"/>
      <c r="AD14" s="1908"/>
      <c r="AE14" s="887"/>
      <c r="AF14" s="997"/>
      <c r="AG14" s="1054"/>
      <c r="AH14" s="997"/>
      <c r="AI14" s="997"/>
      <c r="AJ14" s="997"/>
      <c r="AK14" s="1912"/>
      <c r="AL14" s="1913"/>
      <c r="AM14" s="1914"/>
      <c r="AN14" s="2610"/>
      <c r="AO14" s="2610"/>
      <c r="AP14" s="2610"/>
      <c r="AQ14" s="2610"/>
      <c r="AR14" s="2610"/>
      <c r="AS14" s="2610"/>
      <c r="AT14" s="2610"/>
      <c r="AU14" s="2610"/>
      <c r="AV14" s="2610"/>
      <c r="AW14" s="2610"/>
      <c r="AX14" s="2610"/>
      <c r="AY14" s="2610"/>
      <c r="AZ14" s="2610"/>
      <c r="BA14" s="1634"/>
      <c r="BB14" s="1634"/>
      <c r="BC14" s="1634"/>
      <c r="BD14" s="1634"/>
      <c r="BE14" s="1634"/>
      <c r="BF14" s="1634"/>
      <c r="BG14" s="1634"/>
      <c r="BH14" s="1634"/>
      <c r="BI14" s="1634"/>
      <c r="BJ14" s="1634"/>
      <c r="BK14" s="1634"/>
      <c r="BL14" s="1634"/>
      <c r="BM14" s="1634"/>
      <c r="BN14" s="1634"/>
      <c r="BO14" s="1634"/>
      <c r="BP14" s="1634"/>
      <c r="BQ14" s="1634"/>
      <c r="BR14" s="1634"/>
      <c r="BS14" s="1634"/>
      <c r="BT14" s="1634"/>
      <c r="BU14" s="1634"/>
      <c r="BV14" s="1634"/>
      <c r="BW14" s="1634"/>
      <c r="BX14" s="1634"/>
      <c r="BY14" s="1634"/>
      <c r="BZ14" s="1634"/>
      <c r="CA14" s="1634"/>
      <c r="CB14" s="1634"/>
      <c r="CC14" s="1634"/>
      <c r="CD14" s="1634"/>
      <c r="CE14" s="1634"/>
    </row>
    <row r="15" spans="1:83" s="1047" customFormat="1" ht="27">
      <c r="A15" s="1899" t="s">
        <v>1673</v>
      </c>
      <c r="B15" s="1893" t="s">
        <v>1213</v>
      </c>
      <c r="C15" s="1894" t="s">
        <v>1672</v>
      </c>
      <c r="D15" s="1895"/>
      <c r="E15" s="1896"/>
      <c r="F15" s="158"/>
      <c r="G15" s="159"/>
      <c r="H15" s="1897"/>
      <c r="I15" s="1897"/>
      <c r="J15" s="1897"/>
      <c r="K15" s="163">
        <f>SUMIF('数据-汇总表'!C$19:C$33,'数据-取费表'!A15,'数据-汇总表'!E$19:E$33)</f>
        <v>0</v>
      </c>
      <c r="L15" s="1903"/>
      <c r="M15" s="161"/>
      <c r="N15" s="1906"/>
      <c r="O15" s="161"/>
      <c r="P15" s="162"/>
      <c r="Q15" s="1905"/>
      <c r="R15" s="163"/>
      <c r="S15" s="122"/>
      <c r="T15" s="1904"/>
      <c r="U15" s="889"/>
      <c r="V15" s="1907"/>
      <c r="W15" s="1907"/>
      <c r="X15" s="1908"/>
      <c r="Y15" s="1909"/>
      <c r="Z15" s="125"/>
      <c r="AA15" s="1910"/>
      <c r="AB15" s="1910"/>
      <c r="AC15" s="1911"/>
      <c r="AD15" s="1908"/>
      <c r="AE15" s="887"/>
      <c r="AF15" s="997"/>
      <c r="AG15" s="1054"/>
      <c r="AH15" s="997"/>
      <c r="AI15" s="997"/>
      <c r="AJ15" s="997"/>
      <c r="AK15" s="1912"/>
      <c r="AL15" s="1913"/>
      <c r="AM15" s="1914"/>
      <c r="AN15" s="2610"/>
      <c r="AO15" s="2610"/>
      <c r="AP15" s="2610"/>
      <c r="AQ15" s="2610"/>
      <c r="AR15" s="2610"/>
      <c r="AS15" s="2610"/>
      <c r="AT15" s="2610"/>
      <c r="AU15" s="2610"/>
      <c r="AV15" s="2610"/>
      <c r="AW15" s="2610"/>
      <c r="AX15" s="2610"/>
      <c r="AY15" s="2610"/>
      <c r="AZ15" s="2610"/>
      <c r="BA15" s="1634"/>
      <c r="BB15" s="1634"/>
      <c r="BC15" s="1634"/>
      <c r="BD15" s="1634"/>
      <c r="BE15" s="1634"/>
      <c r="BF15" s="1634"/>
      <c r="BG15" s="1634"/>
      <c r="BH15" s="1634"/>
      <c r="BI15" s="1634"/>
      <c r="BJ15" s="1634"/>
      <c r="BK15" s="1634"/>
      <c r="BL15" s="1634"/>
      <c r="BM15" s="1634"/>
      <c r="BN15" s="1634"/>
      <c r="BO15" s="1634"/>
      <c r="BP15" s="1634"/>
      <c r="BQ15" s="1634"/>
      <c r="BR15" s="1634"/>
      <c r="BS15" s="1634"/>
      <c r="BT15" s="1634"/>
      <c r="BU15" s="1634"/>
      <c r="BV15" s="1634"/>
      <c r="BW15" s="1634"/>
      <c r="BX15" s="1634"/>
      <c r="BY15" s="1634"/>
      <c r="BZ15" s="1634"/>
      <c r="CA15" s="1634"/>
      <c r="CB15" s="1634"/>
      <c r="CC15" s="1634"/>
      <c r="CD15" s="1634"/>
      <c r="CE15" s="1634"/>
    </row>
    <row r="16" spans="1:83" s="1047" customFormat="1" ht="15.75" thickBot="1">
      <c r="A16" s="179" t="s">
        <v>228</v>
      </c>
      <c r="B16" s="180"/>
      <c r="C16" s="181"/>
      <c r="D16" s="182"/>
      <c r="E16" s="180"/>
      <c r="F16" s="180"/>
      <c r="G16" s="183">
        <f>ROUND(SUMPRODUCT(G6:G13,K6:K13)/SUMPRODUCT((G6:G13&gt;0)*(K6:K13)),3)</f>
        <v>0.86399999999999999</v>
      </c>
      <c r="H16" s="184">
        <f>ROUND(SUMPRODUCT(H6:H13,K6:K13)/SUMPRODUCT((H6:H13&gt;0)*(K6:K13)),3)</f>
        <v>0.05</v>
      </c>
      <c r="I16" s="185"/>
      <c r="J16" s="185"/>
      <c r="K16" s="186">
        <f>SUM(K6:K15)</f>
        <v>82949.97</v>
      </c>
      <c r="L16" s="187">
        <f>ROUND(M16*10000/SUM(K6:K14),0)</f>
        <v>2500</v>
      </c>
      <c r="M16" s="187">
        <f>SUM(M6:M14)</f>
        <v>20737</v>
      </c>
      <c r="N16" s="188">
        <f>ROUND(SUMPRODUCT(M6:M14,N6:N14)/M16,3)</f>
        <v>0.75</v>
      </c>
      <c r="O16" s="187">
        <f>SUM(O6:O14)</f>
        <v>0</v>
      </c>
      <c r="P16" s="187">
        <f>SUM(P6:P14)</f>
        <v>0</v>
      </c>
      <c r="Q16" s="189">
        <f>ROUND(SUMPRODUCT(Q6:Q13,K6:K13)/SUMPRODUCT((Q6:Q13&gt;0)*(K6:K13)),2)</f>
        <v>0.1</v>
      </c>
      <c r="R16" s="1898">
        <f>SUM(R6:R13)</f>
        <v>82949.97</v>
      </c>
      <c r="S16" s="190">
        <f>SUM(S6:S13)</f>
        <v>0</v>
      </c>
      <c r="T16" s="191">
        <f>IF(SUMIF(T6:T13,"&lt;9E307")=M14,SUMIF(T6:T13,"&lt;9E307"),"有误，请检查")</f>
        <v>0</v>
      </c>
      <c r="U16" s="192"/>
      <c r="V16" s="193"/>
      <c r="W16" s="193"/>
      <c r="X16" s="196"/>
      <c r="Y16" s="194"/>
      <c r="Z16" s="195"/>
      <c r="AA16" s="193"/>
      <c r="AB16" s="193"/>
      <c r="AC16" s="196"/>
      <c r="AD16" s="196"/>
      <c r="AE16" s="192"/>
      <c r="AF16" s="193"/>
      <c r="AG16" s="194"/>
      <c r="AH16" s="193"/>
      <c r="AI16" s="195"/>
      <c r="AJ16" s="195"/>
      <c r="AK16" s="193"/>
      <c r="AL16" s="193"/>
      <c r="AM16" s="194"/>
      <c r="AN16" s="2610"/>
      <c r="AO16" s="2610"/>
      <c r="AP16" s="96">
        <f>ROUND(SUMPRODUCT(AP6:AP13,K6:K13)/SUMPRODUCT((AP6:AP13&gt;0)*(K6:K13)),3)</f>
        <v>0.78900000000000003</v>
      </c>
      <c r="AQ16" s="2610"/>
      <c r="AR16" s="2610"/>
      <c r="AS16" s="2610"/>
      <c r="AT16" s="2610"/>
      <c r="AU16" s="2610"/>
      <c r="AV16" s="2610"/>
      <c r="AW16" s="2610"/>
      <c r="AX16" s="2610"/>
      <c r="AY16" s="2610"/>
      <c r="AZ16" s="2610"/>
      <c r="BA16" s="1634"/>
      <c r="BB16" s="1634"/>
      <c r="BC16" s="1634"/>
      <c r="BD16" s="1634"/>
      <c r="BE16" s="1634"/>
      <c r="BF16" s="1634"/>
      <c r="BG16" s="1634"/>
      <c r="BH16" s="1634"/>
      <c r="BI16" s="1634"/>
      <c r="BJ16" s="1634"/>
      <c r="BK16" s="1634"/>
      <c r="BL16" s="1634"/>
      <c r="BM16" s="1634"/>
      <c r="BN16" s="1634"/>
      <c r="BO16" s="1634"/>
      <c r="BP16" s="1634"/>
      <c r="BQ16" s="1634"/>
      <c r="BR16" s="1634"/>
      <c r="BS16" s="1634"/>
      <c r="BT16" s="1634"/>
      <c r="BU16" s="1634"/>
      <c r="BV16" s="1634"/>
      <c r="BW16" s="1634"/>
      <c r="BX16" s="1634"/>
      <c r="BY16" s="1634"/>
      <c r="BZ16" s="1634"/>
      <c r="CA16" s="1634"/>
      <c r="CB16" s="1634"/>
      <c r="CC16" s="1634"/>
      <c r="CD16" s="1634"/>
      <c r="CE16" s="1634"/>
    </row>
    <row r="17" spans="1:52" ht="13.5" thickBot="1">
      <c r="A17" s="1055"/>
      <c r="B17" s="2616"/>
      <c r="C17" s="2616"/>
      <c r="D17" s="2617"/>
      <c r="E17" s="2617"/>
      <c r="F17" s="2616"/>
      <c r="G17" s="2616"/>
      <c r="H17" s="2616"/>
      <c r="I17" s="2616"/>
      <c r="J17" s="2616"/>
      <c r="K17" s="2618"/>
      <c r="L17" s="2618"/>
      <c r="M17" s="2616"/>
      <c r="N17" s="2616"/>
      <c r="O17" s="2616"/>
      <c r="P17" s="2616"/>
      <c r="Q17" s="2616"/>
      <c r="R17" s="2616"/>
      <c r="S17" s="2616"/>
      <c r="T17" s="2616"/>
      <c r="U17" s="2616"/>
      <c r="V17" s="2616"/>
      <c r="W17" s="2616"/>
      <c r="X17" s="2616"/>
      <c r="Y17" s="2616"/>
      <c r="Z17" s="2616"/>
      <c r="AA17" s="2616"/>
      <c r="AB17" s="2616"/>
      <c r="AC17" s="2616"/>
      <c r="AD17" s="2616"/>
      <c r="AE17" s="2616"/>
      <c r="AF17" s="2616"/>
      <c r="AG17" s="2616"/>
      <c r="AH17" s="2616"/>
      <c r="AI17" s="2616"/>
      <c r="AJ17" s="2616"/>
      <c r="AK17" s="2616"/>
      <c r="AL17" s="2616"/>
      <c r="AM17" s="2616"/>
      <c r="AN17" s="2616"/>
      <c r="AO17" s="2616"/>
      <c r="AP17" s="2616"/>
      <c r="AQ17" s="2616"/>
      <c r="AR17" s="2616"/>
      <c r="AS17" s="2616"/>
      <c r="AT17" s="2616"/>
      <c r="AU17" s="2616"/>
      <c r="AV17" s="2616"/>
      <c r="AW17" s="2616"/>
      <c r="AX17" s="2616"/>
      <c r="AY17" s="2616"/>
      <c r="AZ17" s="2616"/>
    </row>
    <row r="18" spans="1:52" ht="15" thickBot="1">
      <c r="A18" s="134" t="s">
        <v>229</v>
      </c>
      <c r="B18" s="2610"/>
      <c r="C18" s="2610"/>
      <c r="D18" s="2619"/>
      <c r="E18" s="2610"/>
      <c r="F18" s="2610"/>
      <c r="G18" s="2610"/>
      <c r="H18" s="2610"/>
      <c r="I18" s="2610"/>
      <c r="J18" s="2610"/>
      <c r="K18" s="2618"/>
      <c r="L18" s="2618"/>
      <c r="M18" s="2616"/>
      <c r="N18" s="2616"/>
      <c r="O18" s="2616"/>
      <c r="P18" s="2616"/>
      <c r="Q18" s="2616"/>
      <c r="R18" s="2616"/>
      <c r="S18" s="2616"/>
      <c r="T18" s="2616"/>
      <c r="U18" s="2616"/>
      <c r="V18" s="2616"/>
      <c r="W18" s="2616"/>
      <c r="X18" s="2616"/>
      <c r="Y18" s="2616"/>
      <c r="Z18" s="2616"/>
      <c r="AA18" s="2616"/>
      <c r="AB18" s="2616"/>
      <c r="AC18" s="2616"/>
      <c r="AD18" s="2616"/>
      <c r="AE18" s="2616"/>
      <c r="AF18" s="2616"/>
      <c r="AG18" s="2616"/>
      <c r="AH18" s="2616"/>
      <c r="AI18" s="2616"/>
      <c r="AJ18" s="2616"/>
      <c r="AK18" s="2616"/>
      <c r="AL18" s="2616"/>
      <c r="AM18" s="2616"/>
      <c r="AN18" s="2616"/>
      <c r="AO18" s="2616"/>
      <c r="AP18" s="2616"/>
      <c r="AQ18" s="2616"/>
      <c r="AR18" s="2616"/>
      <c r="AS18" s="2616"/>
      <c r="AT18" s="2616"/>
      <c r="AU18" s="2616"/>
      <c r="AV18" s="2616"/>
      <c r="AW18" s="2616"/>
      <c r="AX18" s="2616"/>
      <c r="AY18" s="2616"/>
      <c r="AZ18" s="2616"/>
    </row>
    <row r="19" spans="1:52" ht="14.25">
      <c r="A19" s="198" t="s">
        <v>230</v>
      </c>
      <c r="B19" s="199">
        <v>1</v>
      </c>
      <c r="C19" s="2629" t="s">
        <v>2276</v>
      </c>
      <c r="D19" s="2619"/>
      <c r="E19" s="2610"/>
      <c r="F19" s="2610"/>
      <c r="G19" s="2610"/>
      <c r="H19" s="2610"/>
      <c r="I19" s="2610"/>
      <c r="J19" s="2610"/>
      <c r="K19" s="2618"/>
      <c r="L19" s="2618"/>
      <c r="M19" s="2616"/>
      <c r="N19" s="2616"/>
      <c r="O19" s="2616"/>
      <c r="P19" s="2616"/>
      <c r="Q19" s="2616"/>
      <c r="R19" s="2616"/>
      <c r="S19" s="2616"/>
      <c r="T19" s="2616"/>
      <c r="U19" s="2616"/>
      <c r="V19" s="2616"/>
      <c r="W19" s="2616"/>
      <c r="X19" s="2616"/>
      <c r="Y19" s="2616"/>
      <c r="Z19" s="2616"/>
      <c r="AA19" s="2616"/>
      <c r="AB19" s="2616"/>
      <c r="AC19" s="2616"/>
      <c r="AD19" s="2616"/>
      <c r="AE19" s="2616"/>
      <c r="AF19" s="2616"/>
      <c r="AG19" s="2616"/>
      <c r="AH19" s="2616"/>
      <c r="AI19" s="2616"/>
      <c r="AJ19" s="2616"/>
      <c r="AK19" s="2616"/>
      <c r="AL19" s="2616"/>
      <c r="AM19" s="2616"/>
      <c r="AN19" s="2616"/>
      <c r="AO19" s="2616"/>
      <c r="AP19" s="2616"/>
      <c r="AQ19" s="2616"/>
      <c r="AR19" s="2616"/>
      <c r="AS19" s="2616"/>
      <c r="AT19" s="2616"/>
      <c r="AU19" s="2616"/>
      <c r="AV19" s="2616"/>
      <c r="AW19" s="2616"/>
      <c r="AX19" s="2616"/>
      <c r="AY19" s="2616"/>
      <c r="AZ19" s="2616"/>
    </row>
    <row r="20" spans="1:52" ht="14.25">
      <c r="A20" s="200" t="s">
        <v>231</v>
      </c>
      <c r="B20" s="201">
        <v>1</v>
      </c>
      <c r="C20" s="2629" t="s">
        <v>1692</v>
      </c>
      <c r="D20" s="2619"/>
      <c r="E20" s="2610"/>
      <c r="F20" s="2610"/>
      <c r="G20" s="2610"/>
      <c r="H20" s="2610"/>
      <c r="I20" s="2610"/>
      <c r="J20" s="2610"/>
      <c r="K20" s="2618"/>
      <c r="L20" s="2618"/>
      <c r="M20" s="2616"/>
      <c r="N20" s="2616">
        <v>2007</v>
      </c>
      <c r="O20" s="2616"/>
      <c r="P20" s="2616"/>
      <c r="Q20" s="2616"/>
      <c r="R20" s="2616"/>
      <c r="S20" s="2616"/>
      <c r="T20" s="2616"/>
      <c r="U20" s="2616"/>
      <c r="V20" s="2616"/>
      <c r="W20" s="2616"/>
      <c r="X20" s="2616"/>
      <c r="Y20" s="2616"/>
      <c r="Z20" s="2616"/>
      <c r="AA20" s="2616"/>
      <c r="AB20" s="2616"/>
      <c r="AC20" s="2616"/>
      <c r="AD20" s="2616"/>
      <c r="AE20" s="2616"/>
      <c r="AF20" s="2616"/>
      <c r="AG20" s="2616"/>
      <c r="AH20" s="2616"/>
      <c r="AI20" s="2616"/>
      <c r="AJ20" s="2616"/>
      <c r="AK20" s="2616"/>
      <c r="AL20" s="2616"/>
      <c r="AM20" s="2616"/>
      <c r="AN20" s="2616"/>
      <c r="AO20" s="2616"/>
      <c r="AP20" s="2616"/>
      <c r="AQ20" s="2616"/>
      <c r="AR20" s="2616"/>
      <c r="AS20" s="2616"/>
      <c r="AT20" s="2616"/>
      <c r="AU20" s="2616"/>
      <c r="AV20" s="2616"/>
      <c r="AW20" s="2616"/>
      <c r="AX20" s="2616"/>
      <c r="AY20" s="2616"/>
      <c r="AZ20" s="2616"/>
    </row>
    <row r="21" spans="1:52" ht="14.25">
      <c r="A21" s="202" t="s">
        <v>232</v>
      </c>
      <c r="B21" s="201">
        <v>1</v>
      </c>
      <c r="C21" s="2610"/>
      <c r="D21" s="2619"/>
      <c r="E21" s="2610"/>
      <c r="F21" s="2610"/>
      <c r="G21" s="2610"/>
      <c r="H21" s="2610"/>
      <c r="I21" s="2610"/>
      <c r="J21" s="2610"/>
      <c r="K21" s="2618"/>
      <c r="L21" s="2618"/>
      <c r="M21" s="2616"/>
      <c r="N21" s="2616">
        <f>2024-N20</f>
        <v>17</v>
      </c>
      <c r="O21" s="2616"/>
      <c r="P21" s="2616"/>
      <c r="Q21" s="2616"/>
      <c r="R21" s="2616"/>
      <c r="S21" s="2616"/>
      <c r="T21" s="2616"/>
      <c r="U21" s="2616"/>
      <c r="V21" s="2616"/>
      <c r="W21" s="2616"/>
      <c r="X21" s="2616"/>
      <c r="Y21" s="2616"/>
      <c r="Z21" s="2616"/>
      <c r="AA21" s="2616"/>
      <c r="AB21" s="2616"/>
      <c r="AC21" s="2616"/>
      <c r="AD21" s="2616"/>
      <c r="AE21" s="2616"/>
      <c r="AF21" s="2616"/>
      <c r="AG21" s="2616"/>
      <c r="AH21" s="2616"/>
      <c r="AI21" s="2616"/>
      <c r="AJ21" s="2616"/>
      <c r="AK21" s="2616"/>
      <c r="AL21" s="2616"/>
      <c r="AM21" s="2616"/>
      <c r="AN21" s="2616"/>
      <c r="AO21" s="2616"/>
      <c r="AP21" s="2616"/>
      <c r="AQ21" s="2616"/>
      <c r="AR21" s="2616"/>
      <c r="AS21" s="2616"/>
      <c r="AT21" s="2616"/>
      <c r="AU21" s="2616"/>
      <c r="AV21" s="2616"/>
      <c r="AW21" s="2616"/>
      <c r="AX21" s="2616"/>
      <c r="AY21" s="2616"/>
      <c r="AZ21" s="2616"/>
    </row>
    <row r="22" spans="1:52" ht="14.25">
      <c r="A22" s="200" t="s">
        <v>233</v>
      </c>
      <c r="B22" s="203">
        <f>B19+B20</f>
        <v>2</v>
      </c>
      <c r="C22" s="2610"/>
      <c r="D22" s="2619"/>
      <c r="E22" s="2610"/>
      <c r="F22" s="2610"/>
      <c r="G22" s="2610"/>
      <c r="H22" s="2610"/>
      <c r="I22" s="2610"/>
      <c r="J22" s="2610"/>
      <c r="K22" s="2618"/>
      <c r="L22" s="2618"/>
      <c r="M22" s="2616"/>
      <c r="N22" s="2616">
        <f>(60-17)/60</f>
        <v>0.71666666666666667</v>
      </c>
      <c r="O22" s="2616"/>
      <c r="P22" s="2616"/>
      <c r="Q22" s="2616"/>
      <c r="R22" s="2616"/>
      <c r="S22" s="2616"/>
      <c r="T22" s="2616"/>
      <c r="U22" s="2616"/>
      <c r="V22" s="2616"/>
      <c r="W22" s="2616"/>
      <c r="X22" s="2616"/>
      <c r="Y22" s="2616"/>
      <c r="Z22" s="2616"/>
      <c r="AA22" s="2616"/>
      <c r="AB22" s="2616"/>
      <c r="AC22" s="2616"/>
      <c r="AD22" s="2616"/>
      <c r="AE22" s="2616"/>
      <c r="AF22" s="2616"/>
      <c r="AG22" s="2616"/>
      <c r="AH22" s="2616"/>
      <c r="AI22" s="2616"/>
      <c r="AJ22" s="2616"/>
      <c r="AK22" s="2616"/>
      <c r="AL22" s="2616"/>
      <c r="AM22" s="2616"/>
      <c r="AN22" s="2616"/>
      <c r="AO22" s="2616"/>
      <c r="AP22" s="2616"/>
      <c r="AQ22" s="2616"/>
      <c r="AR22" s="2616"/>
      <c r="AS22" s="2616"/>
      <c r="AT22" s="2616"/>
      <c r="AU22" s="2616"/>
      <c r="AV22" s="2616"/>
      <c r="AW22" s="2616"/>
      <c r="AX22" s="2616"/>
      <c r="AY22" s="2616"/>
      <c r="AZ22" s="2616"/>
    </row>
    <row r="23" spans="1:52" ht="14.25">
      <c r="A23" s="202" t="s">
        <v>234</v>
      </c>
      <c r="B23" s="203">
        <f>B19+B21</f>
        <v>2</v>
      </c>
      <c r="C23" s="2610"/>
      <c r="D23" s="2619"/>
      <c r="E23" s="2610"/>
      <c r="F23" s="2610"/>
      <c r="G23" s="2610"/>
      <c r="H23" s="2610"/>
      <c r="I23" s="2610"/>
      <c r="J23" s="2610"/>
      <c r="K23" s="2618"/>
      <c r="L23" s="2618"/>
      <c r="M23" s="2616"/>
      <c r="N23" s="2616"/>
      <c r="O23" s="2616"/>
      <c r="P23" s="2616"/>
      <c r="Q23" s="2616"/>
      <c r="R23" s="2616"/>
      <c r="S23" s="2616"/>
      <c r="T23" s="2616"/>
      <c r="U23" s="2616"/>
      <c r="V23" s="2616"/>
      <c r="W23" s="2616"/>
      <c r="X23" s="2616"/>
      <c r="Y23" s="2616"/>
      <c r="Z23" s="2616"/>
      <c r="AA23" s="2616"/>
      <c r="AB23" s="2616"/>
      <c r="AC23" s="2616"/>
      <c r="AD23" s="2616"/>
      <c r="AE23" s="2616"/>
      <c r="AF23" s="2616"/>
      <c r="AG23" s="2616"/>
      <c r="AH23" s="2616"/>
      <c r="AI23" s="2616"/>
      <c r="AJ23" s="2616"/>
      <c r="AK23" s="2616"/>
      <c r="AL23" s="2616"/>
      <c r="AM23" s="2616"/>
      <c r="AN23" s="2616"/>
      <c r="AO23" s="2616"/>
      <c r="AP23" s="2616"/>
      <c r="AQ23" s="2616"/>
      <c r="AR23" s="2616"/>
      <c r="AS23" s="2616"/>
      <c r="AT23" s="2616"/>
      <c r="AU23" s="2616"/>
      <c r="AV23" s="2616"/>
      <c r="AW23" s="2616"/>
      <c r="AX23" s="2616"/>
      <c r="AY23" s="2616"/>
      <c r="AZ23" s="2616"/>
    </row>
    <row r="24" spans="1:52" ht="15" thickBot="1">
      <c r="A24" s="204" t="s">
        <v>235</v>
      </c>
      <c r="B24" s="205">
        <f>B20-B21</f>
        <v>0</v>
      </c>
      <c r="C24" s="2610"/>
      <c r="D24" s="2619"/>
      <c r="E24" s="2610"/>
      <c r="F24" s="2610"/>
      <c r="G24" s="2610"/>
      <c r="H24" s="2610"/>
      <c r="I24" s="2610"/>
      <c r="J24" s="2610"/>
      <c r="K24" s="2618"/>
      <c r="L24" s="2618"/>
      <c r="M24" s="2616"/>
      <c r="N24" s="2616"/>
      <c r="O24" s="2616"/>
      <c r="P24" s="2616"/>
      <c r="Q24" s="2616"/>
      <c r="R24" s="2616"/>
      <c r="S24" s="2616"/>
      <c r="T24" s="2616"/>
      <c r="U24" s="2616"/>
      <c r="V24" s="2616"/>
      <c r="W24" s="2616"/>
      <c r="X24" s="2616"/>
      <c r="Y24" s="2616"/>
      <c r="Z24" s="2616"/>
      <c r="AA24" s="2616"/>
      <c r="AB24" s="2616"/>
      <c r="AC24" s="2616"/>
      <c r="AD24" s="2616"/>
      <c r="AE24" s="2616"/>
      <c r="AF24" s="2616"/>
      <c r="AG24" s="2616"/>
      <c r="AH24" s="2616"/>
      <c r="AI24" s="2616"/>
      <c r="AJ24" s="2616"/>
      <c r="AK24" s="2616"/>
      <c r="AL24" s="2616"/>
      <c r="AM24" s="2616"/>
      <c r="AN24" s="2616"/>
      <c r="AO24" s="2616"/>
      <c r="AP24" s="2616"/>
      <c r="AQ24" s="2616"/>
      <c r="AR24" s="2616"/>
      <c r="AS24" s="2616"/>
      <c r="AT24" s="2616"/>
      <c r="AU24" s="2616"/>
      <c r="AV24" s="2616"/>
      <c r="AW24" s="2616"/>
      <c r="AX24" s="2616"/>
      <c r="AY24" s="2616"/>
      <c r="AZ24" s="2616"/>
    </row>
    <row r="25" spans="1:52" ht="15" thickBot="1">
      <c r="A25" s="1048"/>
      <c r="B25" s="96"/>
      <c r="C25" s="2610"/>
      <c r="D25" s="2619"/>
      <c r="E25" s="2610"/>
      <c r="F25" s="2610"/>
      <c r="G25" s="2610"/>
      <c r="H25" s="2610"/>
      <c r="I25" s="2610"/>
      <c r="J25" s="2610"/>
      <c r="K25" s="2618"/>
      <c r="L25" s="2618"/>
      <c r="M25" s="2616"/>
      <c r="N25" s="2616"/>
      <c r="O25" s="2616"/>
      <c r="P25" s="2616"/>
      <c r="Q25" s="2616"/>
      <c r="R25" s="2616"/>
      <c r="S25" s="2616"/>
      <c r="T25" s="2616"/>
      <c r="U25" s="2616"/>
      <c r="V25" s="2616"/>
      <c r="W25" s="2616"/>
      <c r="X25" s="2616"/>
      <c r="Y25" s="2616"/>
      <c r="Z25" s="2616"/>
      <c r="AA25" s="2616"/>
      <c r="AB25" s="2616"/>
      <c r="AC25" s="2616"/>
      <c r="AD25" s="2616"/>
      <c r="AE25" s="2616"/>
      <c r="AF25" s="2616"/>
      <c r="AG25" s="2616"/>
      <c r="AH25" s="2616"/>
      <c r="AI25" s="2616"/>
      <c r="AJ25" s="2616"/>
      <c r="AK25" s="2616"/>
      <c r="AL25" s="2616"/>
      <c r="AM25" s="2616"/>
      <c r="AN25" s="2616"/>
      <c r="AO25" s="2616"/>
      <c r="AP25" s="2616"/>
      <c r="AQ25" s="2616"/>
      <c r="AR25" s="2616"/>
      <c r="AS25" s="2616"/>
      <c r="AT25" s="2616"/>
      <c r="AU25" s="2616"/>
      <c r="AV25" s="2616"/>
      <c r="AW25" s="2616"/>
      <c r="AX25" s="2616"/>
      <c r="AY25" s="2616"/>
      <c r="AZ25" s="2616"/>
    </row>
    <row r="26" spans="1:52" ht="15" thickBot="1">
      <c r="A26" s="133" t="s">
        <v>236</v>
      </c>
      <c r="B26" s="206" t="s">
        <v>237</v>
      </c>
      <c r="C26" s="2620" t="s">
        <v>238</v>
      </c>
      <c r="D26" s="2619"/>
      <c r="E26" s="2610"/>
      <c r="F26" s="2610"/>
      <c r="G26" s="2610"/>
      <c r="H26" s="2610"/>
      <c r="I26" s="2610"/>
      <c r="J26" s="2610"/>
      <c r="K26" s="2618"/>
      <c r="L26" s="2618"/>
      <c r="M26" s="2616"/>
      <c r="N26" s="2616"/>
      <c r="O26" s="2616"/>
      <c r="P26" s="2616"/>
      <c r="Q26" s="2616"/>
      <c r="R26" s="2616"/>
      <c r="S26" s="2616"/>
      <c r="T26" s="2616"/>
      <c r="U26" s="2616"/>
      <c r="V26" s="2616"/>
      <c r="W26" s="2616"/>
      <c r="X26" s="2616"/>
      <c r="Y26" s="2616"/>
      <c r="Z26" s="2616"/>
      <c r="AA26" s="2616"/>
      <c r="AB26" s="2616"/>
      <c r="AC26" s="2616"/>
      <c r="AD26" s="2616"/>
      <c r="AE26" s="2616"/>
      <c r="AF26" s="2616"/>
      <c r="AG26" s="2616"/>
      <c r="AH26" s="2616"/>
      <c r="AI26" s="2616"/>
      <c r="AJ26" s="2616"/>
      <c r="AK26" s="2616"/>
      <c r="AL26" s="2616"/>
      <c r="AM26" s="2616"/>
      <c r="AN26" s="2616"/>
      <c r="AO26" s="2616"/>
      <c r="AP26" s="2616"/>
      <c r="AQ26" s="2616"/>
      <c r="AR26" s="2616"/>
      <c r="AS26" s="2616"/>
      <c r="AT26" s="2616"/>
      <c r="AU26" s="2616"/>
      <c r="AV26" s="2616"/>
      <c r="AW26" s="2616"/>
      <c r="AX26" s="2616"/>
      <c r="AY26" s="2616"/>
      <c r="AZ26" s="2616"/>
    </row>
    <row r="27" spans="1:52" ht="27.75">
      <c r="A27" s="207" t="s">
        <v>1694</v>
      </c>
      <c r="B27" s="208"/>
      <c r="C27" s="2630" t="s">
        <v>2277</v>
      </c>
      <c r="D27" s="2622"/>
      <c r="E27" s="2623"/>
      <c r="F27" s="2623"/>
      <c r="G27" s="2610"/>
      <c r="H27" s="2610"/>
      <c r="I27" s="2610"/>
      <c r="J27" s="2610"/>
      <c r="K27" s="2618"/>
      <c r="L27" s="2618"/>
      <c r="M27" s="2616"/>
      <c r="N27" s="2616"/>
      <c r="O27" s="2616"/>
      <c r="P27" s="2616"/>
      <c r="Q27" s="2616"/>
      <c r="R27" s="2616"/>
      <c r="S27" s="2616"/>
      <c r="T27" s="2616"/>
      <c r="U27" s="2616"/>
      <c r="V27" s="2616"/>
      <c r="W27" s="2616"/>
      <c r="X27" s="2616"/>
      <c r="Y27" s="2616"/>
      <c r="Z27" s="2616"/>
      <c r="AA27" s="2616"/>
      <c r="AB27" s="2616"/>
      <c r="AC27" s="2616"/>
      <c r="AD27" s="2616"/>
      <c r="AE27" s="2616"/>
      <c r="AF27" s="2616"/>
      <c r="AG27" s="2616"/>
      <c r="AH27" s="2616"/>
      <c r="AI27" s="2616"/>
      <c r="AJ27" s="2616"/>
      <c r="AK27" s="2616"/>
      <c r="AL27" s="2616"/>
      <c r="AM27" s="2616"/>
      <c r="AN27" s="2616"/>
      <c r="AO27" s="2616"/>
      <c r="AP27" s="2616"/>
      <c r="AQ27" s="2616"/>
      <c r="AR27" s="2616"/>
      <c r="AS27" s="2616"/>
      <c r="AT27" s="2616"/>
      <c r="AU27" s="2616"/>
      <c r="AV27" s="2616"/>
      <c r="AW27" s="2616"/>
      <c r="AX27" s="2616"/>
      <c r="AY27" s="2616"/>
      <c r="AZ27" s="2616"/>
    </row>
    <row r="28" spans="1:52" ht="27.75">
      <c r="A28" s="209" t="s">
        <v>1695</v>
      </c>
      <c r="B28" s="210">
        <v>170</v>
      </c>
      <c r="C28" s="2624"/>
      <c r="D28" s="2622"/>
      <c r="E28" s="2623"/>
      <c r="F28" s="2623"/>
      <c r="G28" s="2610"/>
      <c r="H28" s="2610"/>
      <c r="I28" s="2610"/>
      <c r="J28" s="2610"/>
      <c r="K28" s="2618"/>
      <c r="L28" s="2618"/>
      <c r="M28" s="2616"/>
      <c r="N28" s="2616"/>
      <c r="O28" s="2616"/>
      <c r="P28" s="2616"/>
      <c r="Q28" s="2616"/>
      <c r="R28" s="2616"/>
      <c r="S28" s="2616"/>
      <c r="T28" s="2616"/>
      <c r="U28" s="2616"/>
      <c r="V28" s="2616"/>
      <c r="W28" s="2616"/>
      <c r="X28" s="2616"/>
      <c r="Y28" s="2616"/>
      <c r="Z28" s="2616"/>
      <c r="AA28" s="2616"/>
      <c r="AB28" s="2616"/>
      <c r="AC28" s="2616"/>
      <c r="AD28" s="2616"/>
      <c r="AE28" s="2616"/>
      <c r="AF28" s="2616"/>
      <c r="AG28" s="2616"/>
      <c r="AH28" s="2616"/>
      <c r="AI28" s="2616"/>
      <c r="AJ28" s="2616"/>
      <c r="AK28" s="2616"/>
      <c r="AL28" s="2616"/>
      <c r="AM28" s="2616"/>
      <c r="AN28" s="2616"/>
      <c r="AO28" s="2616"/>
      <c r="AP28" s="2616"/>
      <c r="AQ28" s="2616"/>
      <c r="AR28" s="2616"/>
      <c r="AS28" s="2616"/>
      <c r="AT28" s="2616"/>
      <c r="AU28" s="2616"/>
      <c r="AV28" s="2616"/>
      <c r="AW28" s="2616"/>
      <c r="AX28" s="2616"/>
      <c r="AY28" s="2616"/>
      <c r="AZ28" s="2616"/>
    </row>
    <row r="29" spans="1:52" ht="28.5" thickBot="1">
      <c r="A29" s="212" t="s">
        <v>1693</v>
      </c>
      <c r="B29" s="213">
        <f ca="1">'剩余法-待开发'!C22</f>
        <v>1410</v>
      </c>
      <c r="C29" s="2631" t="s">
        <v>1696</v>
      </c>
      <c r="D29" s="2622"/>
      <c r="E29" s="2623"/>
      <c r="F29" s="2623"/>
      <c r="G29" s="2610"/>
      <c r="H29" s="2610"/>
      <c r="I29" s="2610"/>
      <c r="J29" s="2610"/>
      <c r="K29" s="2618"/>
      <c r="L29" s="2618"/>
      <c r="M29" s="2616"/>
      <c r="N29" s="2616"/>
      <c r="O29" s="2616"/>
      <c r="P29" s="2616"/>
      <c r="Q29" s="2616"/>
      <c r="R29" s="2616"/>
      <c r="S29" s="2616"/>
      <c r="T29" s="2616"/>
      <c r="U29" s="2616"/>
      <c r="V29" s="2616"/>
      <c r="W29" s="2616"/>
      <c r="X29" s="2616"/>
      <c r="Y29" s="2616"/>
      <c r="Z29" s="2616"/>
      <c r="AA29" s="2616"/>
      <c r="AB29" s="2616"/>
      <c r="AC29" s="2616"/>
      <c r="AD29" s="2616"/>
      <c r="AE29" s="2616"/>
      <c r="AF29" s="2616"/>
      <c r="AG29" s="2616"/>
      <c r="AH29" s="2616"/>
      <c r="AI29" s="2616"/>
      <c r="AJ29" s="2616"/>
      <c r="AK29" s="2616"/>
      <c r="AL29" s="2616"/>
      <c r="AM29" s="2616"/>
      <c r="AN29" s="2616"/>
      <c r="AO29" s="2616"/>
      <c r="AP29" s="2616"/>
      <c r="AQ29" s="2616"/>
      <c r="AR29" s="2616"/>
      <c r="AS29" s="2616"/>
      <c r="AT29" s="2616"/>
      <c r="AU29" s="2616"/>
      <c r="AV29" s="2616"/>
      <c r="AW29" s="2616"/>
      <c r="AX29" s="2616"/>
      <c r="AY29" s="2616"/>
      <c r="AZ29" s="2616"/>
    </row>
    <row r="30" spans="1:52" ht="27">
      <c r="A30" s="216" t="s">
        <v>239</v>
      </c>
      <c r="B30" s="893">
        <v>200</v>
      </c>
      <c r="C30" s="2624"/>
      <c r="D30" s="2622"/>
      <c r="E30" s="2623"/>
      <c r="F30" s="2623"/>
      <c r="G30" s="2610"/>
      <c r="H30" s="2610"/>
      <c r="I30" s="2610"/>
      <c r="J30" s="2610"/>
      <c r="K30" s="2618"/>
      <c r="L30" s="2618"/>
      <c r="M30" s="2616"/>
      <c r="N30" s="2616"/>
      <c r="O30" s="2616"/>
      <c r="P30" s="2616"/>
      <c r="Q30" s="2616"/>
      <c r="R30" s="2616"/>
      <c r="S30" s="2616"/>
      <c r="T30" s="2616"/>
      <c r="U30" s="2616"/>
      <c r="V30" s="2616"/>
      <c r="W30" s="2616"/>
      <c r="X30" s="2616"/>
      <c r="Y30" s="2616"/>
      <c r="Z30" s="2616"/>
      <c r="AA30" s="2616"/>
      <c r="AB30" s="2616"/>
      <c r="AC30" s="2616"/>
      <c r="AD30" s="2616"/>
      <c r="AE30" s="2616"/>
      <c r="AF30" s="2616"/>
      <c r="AG30" s="2616"/>
      <c r="AH30" s="2616"/>
      <c r="AI30" s="2616"/>
      <c r="AJ30" s="2616"/>
      <c r="AK30" s="2616"/>
      <c r="AL30" s="2616"/>
      <c r="AM30" s="2616"/>
      <c r="AN30" s="2616"/>
      <c r="AO30" s="2616"/>
      <c r="AP30" s="2616"/>
      <c r="AQ30" s="2616"/>
      <c r="AR30" s="2616"/>
      <c r="AS30" s="2616"/>
      <c r="AT30" s="2616"/>
      <c r="AU30" s="2616"/>
      <c r="AV30" s="2616"/>
      <c r="AW30" s="2616"/>
      <c r="AX30" s="2616"/>
      <c r="AY30" s="2616"/>
      <c r="AZ30" s="2616"/>
    </row>
    <row r="31" spans="1:52" ht="27">
      <c r="A31" s="209" t="s">
        <v>240</v>
      </c>
      <c r="B31" s="211">
        <f>B30-B32</f>
        <v>200</v>
      </c>
      <c r="C31" s="2621"/>
      <c r="D31" s="2622"/>
      <c r="E31" s="2623"/>
      <c r="F31" s="2623"/>
      <c r="G31" s="2610"/>
      <c r="H31" s="2610"/>
      <c r="I31" s="2610"/>
      <c r="J31" s="2610"/>
      <c r="K31" s="2618"/>
      <c r="L31" s="2618"/>
      <c r="M31" s="2616"/>
      <c r="N31" s="2616"/>
      <c r="O31" s="2616"/>
      <c r="P31" s="2616"/>
      <c r="Q31" s="2616"/>
      <c r="R31" s="2616"/>
      <c r="S31" s="2616"/>
      <c r="T31" s="2616"/>
      <c r="U31" s="2616"/>
      <c r="V31" s="2616"/>
      <c r="W31" s="2616"/>
      <c r="X31" s="2616"/>
      <c r="Y31" s="2616"/>
      <c r="Z31" s="2616"/>
      <c r="AA31" s="2616"/>
      <c r="AB31" s="2616"/>
      <c r="AC31" s="2616"/>
      <c r="AD31" s="2616"/>
      <c r="AE31" s="2616"/>
      <c r="AF31" s="2616"/>
      <c r="AG31" s="2616"/>
      <c r="AH31" s="2616"/>
      <c r="AI31" s="2616"/>
      <c r="AJ31" s="2616"/>
      <c r="AK31" s="2616"/>
      <c r="AL31" s="2616"/>
      <c r="AM31" s="2616"/>
      <c r="AN31" s="2616"/>
      <c r="AO31" s="2616"/>
      <c r="AP31" s="2616"/>
      <c r="AQ31" s="2616"/>
      <c r="AR31" s="2616"/>
      <c r="AS31" s="2616"/>
      <c r="AT31" s="2616"/>
      <c r="AU31" s="2616"/>
      <c r="AV31" s="2616"/>
      <c r="AW31" s="2616"/>
      <c r="AX31" s="2616"/>
      <c r="AY31" s="2616"/>
      <c r="AZ31" s="2616"/>
    </row>
    <row r="32" spans="1:52" ht="27.75" thickBot="1">
      <c r="A32" s="218" t="s">
        <v>241</v>
      </c>
      <c r="B32" s="1169"/>
      <c r="C32" s="2624"/>
      <c r="D32" s="2619"/>
      <c r="E32" s="2610"/>
      <c r="F32" s="2610"/>
      <c r="G32" s="2610"/>
      <c r="H32" s="2610"/>
      <c r="I32" s="2610"/>
      <c r="J32" s="2610"/>
      <c r="K32" s="2618"/>
      <c r="L32" s="2618"/>
      <c r="M32" s="2616"/>
      <c r="N32" s="2616"/>
      <c r="O32" s="2616"/>
      <c r="P32" s="2616"/>
      <c r="Q32" s="2616"/>
      <c r="R32" s="2616"/>
      <c r="S32" s="2616"/>
      <c r="T32" s="2616"/>
      <c r="U32" s="2616"/>
      <c r="V32" s="2616"/>
      <c r="W32" s="2616"/>
      <c r="X32" s="2616"/>
      <c r="Y32" s="2616"/>
      <c r="Z32" s="2616"/>
      <c r="AA32" s="2616"/>
      <c r="AB32" s="2616"/>
      <c r="AC32" s="2616"/>
      <c r="AD32" s="2616"/>
      <c r="AE32" s="2616"/>
      <c r="AF32" s="2616"/>
      <c r="AG32" s="2616"/>
      <c r="AH32" s="2616"/>
      <c r="AI32" s="2616"/>
      <c r="AJ32" s="2616"/>
      <c r="AK32" s="2616"/>
      <c r="AL32" s="2616"/>
      <c r="AM32" s="2616"/>
      <c r="AN32" s="2616"/>
      <c r="AO32" s="2616"/>
      <c r="AP32" s="2616"/>
      <c r="AQ32" s="2616"/>
      <c r="AR32" s="2616"/>
      <c r="AS32" s="2616"/>
      <c r="AT32" s="2616"/>
      <c r="AU32" s="2616"/>
      <c r="AV32" s="2616"/>
      <c r="AW32" s="2616"/>
      <c r="AX32" s="2616"/>
      <c r="AY32" s="2616"/>
      <c r="AZ32" s="2616"/>
    </row>
    <row r="33" spans="1:52" ht="14.25">
      <c r="A33" s="207" t="s">
        <v>244</v>
      </c>
      <c r="B33" s="3420">
        <v>0.03</v>
      </c>
      <c r="C33" s="2632" t="s">
        <v>2265</v>
      </c>
      <c r="D33" s="2622"/>
      <c r="E33" s="2623"/>
      <c r="F33" s="2623"/>
      <c r="G33" s="2610"/>
      <c r="H33" s="2610"/>
      <c r="I33" s="2610"/>
      <c r="J33" s="2610"/>
      <c r="K33" s="2618"/>
      <c r="L33" s="2618"/>
      <c r="M33" s="2616"/>
      <c r="N33" s="2616"/>
      <c r="O33" s="2616"/>
      <c r="P33" s="2616"/>
      <c r="Q33" s="2616"/>
      <c r="R33" s="2616"/>
      <c r="S33" s="2616"/>
      <c r="T33" s="2616"/>
      <c r="U33" s="2616"/>
      <c r="V33" s="2616"/>
      <c r="W33" s="2616"/>
      <c r="X33" s="2616"/>
      <c r="Y33" s="2616"/>
      <c r="Z33" s="2616"/>
      <c r="AA33" s="2616"/>
      <c r="AB33" s="2616"/>
      <c r="AC33" s="2616"/>
      <c r="AD33" s="2616"/>
      <c r="AE33" s="2616"/>
      <c r="AF33" s="2616"/>
      <c r="AG33" s="2616"/>
      <c r="AH33" s="2616"/>
      <c r="AI33" s="2616"/>
      <c r="AJ33" s="2616"/>
      <c r="AK33" s="2616"/>
      <c r="AL33" s="2616"/>
      <c r="AM33" s="2616"/>
      <c r="AN33" s="2616"/>
      <c r="AO33" s="2616"/>
      <c r="AP33" s="2616"/>
      <c r="AQ33" s="2616"/>
      <c r="AR33" s="2616"/>
      <c r="AS33" s="2616"/>
      <c r="AT33" s="2616"/>
      <c r="AU33" s="2616"/>
      <c r="AV33" s="2616"/>
      <c r="AW33" s="2616"/>
      <c r="AX33" s="2616"/>
      <c r="AY33" s="2616"/>
      <c r="AZ33" s="2616"/>
    </row>
    <row r="34" spans="1:52" ht="14.25">
      <c r="A34" s="209" t="s">
        <v>245</v>
      </c>
      <c r="B34" s="214">
        <v>0</v>
      </c>
      <c r="C34" s="2632" t="s">
        <v>2266</v>
      </c>
      <c r="D34" s="2633" t="s">
        <v>2273</v>
      </c>
      <c r="E34" s="2616"/>
      <c r="F34" s="2610"/>
      <c r="G34" s="2610"/>
      <c r="H34" s="2610"/>
      <c r="I34" s="2610"/>
      <c r="J34" s="2610"/>
      <c r="K34" s="2618"/>
      <c r="L34" s="2618"/>
      <c r="M34" s="2616"/>
      <c r="N34" s="2616"/>
      <c r="O34" s="2616"/>
      <c r="P34" s="2616"/>
      <c r="Q34" s="2616"/>
      <c r="R34" s="2616"/>
      <c r="S34" s="2616"/>
      <c r="T34" s="2616"/>
      <c r="U34" s="2616"/>
      <c r="V34" s="2616"/>
      <c r="W34" s="2616"/>
      <c r="X34" s="2616"/>
      <c r="Y34" s="2616"/>
      <c r="Z34" s="2616"/>
      <c r="AA34" s="2616"/>
      <c r="AB34" s="2616"/>
      <c r="AC34" s="2616"/>
      <c r="AD34" s="2616"/>
      <c r="AE34" s="2616"/>
      <c r="AF34" s="2616"/>
      <c r="AG34" s="2616"/>
      <c r="AH34" s="2616"/>
      <c r="AI34" s="2616"/>
      <c r="AJ34" s="2616"/>
      <c r="AK34" s="2616"/>
      <c r="AL34" s="2616"/>
      <c r="AM34" s="2616"/>
      <c r="AN34" s="2616"/>
      <c r="AO34" s="2616"/>
      <c r="AP34" s="2616"/>
      <c r="AQ34" s="2616"/>
      <c r="AR34" s="2616"/>
      <c r="AS34" s="2616"/>
      <c r="AT34" s="2616"/>
      <c r="AU34" s="2616"/>
      <c r="AV34" s="2616"/>
      <c r="AW34" s="2616"/>
      <c r="AX34" s="2616"/>
      <c r="AY34" s="2616"/>
      <c r="AZ34" s="2616"/>
    </row>
    <row r="35" spans="1:52" ht="14.25">
      <c r="A35" s="209" t="s">
        <v>242</v>
      </c>
      <c r="B35" s="210">
        <v>200</v>
      </c>
      <c r="C35" s="2632" t="s">
        <v>2267</v>
      </c>
      <c r="D35" s="2619"/>
      <c r="E35" s="2610"/>
      <c r="F35" s="2610"/>
      <c r="G35" s="2610"/>
      <c r="H35" s="2610"/>
      <c r="I35" s="2610"/>
      <c r="J35" s="2610"/>
      <c r="K35" s="2618"/>
      <c r="L35" s="2618"/>
      <c r="M35" s="2616"/>
      <c r="N35" s="2616"/>
      <c r="O35" s="2616"/>
      <c r="P35" s="2616"/>
      <c r="Q35" s="2616"/>
      <c r="R35" s="2616"/>
      <c r="S35" s="2616"/>
      <c r="T35" s="2616"/>
      <c r="U35" s="2616"/>
      <c r="V35" s="2616"/>
      <c r="W35" s="2616"/>
      <c r="X35" s="2616"/>
      <c r="Y35" s="2616"/>
      <c r="Z35" s="2616"/>
      <c r="AA35" s="2616"/>
      <c r="AB35" s="2616"/>
      <c r="AC35" s="2616"/>
      <c r="AD35" s="2616"/>
      <c r="AE35" s="2616"/>
      <c r="AF35" s="2616"/>
      <c r="AG35" s="2616"/>
      <c r="AH35" s="2616"/>
      <c r="AI35" s="2616"/>
      <c r="AJ35" s="2616"/>
      <c r="AK35" s="2616"/>
      <c r="AL35" s="2616"/>
      <c r="AM35" s="2616"/>
      <c r="AN35" s="2616"/>
      <c r="AO35" s="2616"/>
      <c r="AP35" s="2616"/>
      <c r="AQ35" s="2616"/>
      <c r="AR35" s="2616"/>
      <c r="AS35" s="2616"/>
      <c r="AT35" s="2616"/>
      <c r="AU35" s="2616"/>
      <c r="AV35" s="2616"/>
      <c r="AW35" s="2616"/>
      <c r="AX35" s="2616"/>
      <c r="AY35" s="2616"/>
      <c r="AZ35" s="2616"/>
    </row>
    <row r="36" spans="1:52" ht="15" thickBot="1">
      <c r="A36" s="212" t="s">
        <v>243</v>
      </c>
      <c r="B36" s="215">
        <v>0.02</v>
      </c>
      <c r="C36" s="2632" t="s">
        <v>2268</v>
      </c>
      <c r="D36" s="2617"/>
      <c r="E36" s="2616"/>
      <c r="F36" s="2610"/>
      <c r="G36" s="2610"/>
      <c r="H36" s="2610"/>
      <c r="I36" s="2610"/>
      <c r="J36" s="2610"/>
      <c r="K36" s="2618"/>
      <c r="L36" s="2618"/>
      <c r="M36" s="2616"/>
      <c r="N36" s="2616"/>
      <c r="O36" s="2616"/>
      <c r="P36" s="2616"/>
      <c r="Q36" s="2616"/>
      <c r="R36" s="2616"/>
      <c r="S36" s="2616"/>
      <c r="T36" s="2616"/>
      <c r="U36" s="2616"/>
      <c r="V36" s="2616"/>
      <c r="W36" s="2616"/>
      <c r="X36" s="2616"/>
      <c r="Y36" s="2616"/>
      <c r="Z36" s="2616"/>
      <c r="AA36" s="2616"/>
      <c r="AB36" s="2616"/>
      <c r="AC36" s="2616"/>
      <c r="AD36" s="2616"/>
      <c r="AE36" s="2616"/>
      <c r="AF36" s="2616"/>
      <c r="AG36" s="2616"/>
      <c r="AH36" s="2616"/>
      <c r="AI36" s="2616"/>
      <c r="AJ36" s="2616"/>
      <c r="AK36" s="2616"/>
      <c r="AL36" s="2616"/>
      <c r="AM36" s="2616"/>
      <c r="AN36" s="2616"/>
      <c r="AO36" s="2616"/>
      <c r="AP36" s="2616"/>
      <c r="AQ36" s="2616"/>
      <c r="AR36" s="2616"/>
      <c r="AS36" s="2616"/>
      <c r="AT36" s="2616"/>
      <c r="AU36" s="2616"/>
      <c r="AV36" s="2616"/>
      <c r="AW36" s="2616"/>
      <c r="AX36" s="2616"/>
      <c r="AY36" s="2616"/>
      <c r="AZ36" s="2616"/>
    </row>
    <row r="37" spans="1:52" ht="14.25">
      <c r="A37" s="216" t="s">
        <v>246</v>
      </c>
      <c r="B37" s="217">
        <v>0.02</v>
      </c>
      <c r="C37" s="2632" t="s">
        <v>2269</v>
      </c>
      <c r="D37" s="2619"/>
      <c r="E37" s="2610"/>
      <c r="F37" s="2610"/>
      <c r="G37" s="2610"/>
      <c r="H37" s="2610"/>
      <c r="I37" s="2610"/>
      <c r="J37" s="2610"/>
      <c r="K37" s="2618"/>
      <c r="L37" s="2618"/>
      <c r="M37" s="2616"/>
      <c r="N37" s="2616"/>
      <c r="O37" s="2616"/>
      <c r="P37" s="2616"/>
      <c r="Q37" s="2616"/>
      <c r="R37" s="2616"/>
      <c r="S37" s="2616"/>
      <c r="T37" s="2616"/>
      <c r="U37" s="2616"/>
      <c r="V37" s="2616"/>
      <c r="W37" s="2616"/>
      <c r="X37" s="2616"/>
      <c r="Y37" s="2616"/>
      <c r="Z37" s="2616"/>
      <c r="AA37" s="2616"/>
      <c r="AB37" s="2616"/>
      <c r="AC37" s="2616"/>
      <c r="AD37" s="2616"/>
      <c r="AE37" s="2616"/>
      <c r="AF37" s="2616"/>
      <c r="AG37" s="2616"/>
      <c r="AH37" s="2616"/>
      <c r="AI37" s="2616"/>
      <c r="AJ37" s="2616"/>
      <c r="AK37" s="2616"/>
      <c r="AL37" s="2616"/>
      <c r="AM37" s="2616"/>
      <c r="AN37" s="2616"/>
      <c r="AO37" s="2616"/>
      <c r="AP37" s="2616"/>
      <c r="AQ37" s="2616"/>
      <c r="AR37" s="2616"/>
      <c r="AS37" s="2616"/>
      <c r="AT37" s="2616"/>
      <c r="AU37" s="2616"/>
      <c r="AV37" s="2616"/>
      <c r="AW37" s="2616"/>
      <c r="AX37" s="2616"/>
      <c r="AY37" s="2616"/>
      <c r="AZ37" s="2616"/>
    </row>
    <row r="38" spans="1:52" ht="14.25">
      <c r="A38" s="209" t="s">
        <v>247</v>
      </c>
      <c r="B38" s="214">
        <v>0.02</v>
      </c>
      <c r="C38" s="2632" t="s">
        <v>2269</v>
      </c>
      <c r="D38" s="2619"/>
      <c r="E38" s="2610"/>
      <c r="F38" s="2610"/>
      <c r="G38" s="2610"/>
      <c r="H38" s="2610"/>
      <c r="I38" s="2610"/>
      <c r="J38" s="2610"/>
      <c r="K38" s="2618"/>
      <c r="L38" s="2618"/>
      <c r="M38" s="2616"/>
      <c r="N38" s="2616"/>
      <c r="O38" s="2616"/>
      <c r="P38" s="2616"/>
      <c r="Q38" s="2616"/>
      <c r="R38" s="2616"/>
      <c r="S38" s="2616"/>
      <c r="T38" s="2616"/>
      <c r="U38" s="2616"/>
      <c r="V38" s="2616"/>
      <c r="W38" s="2616"/>
      <c r="X38" s="2616"/>
      <c r="Y38" s="2616"/>
      <c r="Z38" s="2616"/>
      <c r="AA38" s="2616"/>
      <c r="AB38" s="2616"/>
      <c r="AC38" s="2616"/>
      <c r="AD38" s="2616"/>
      <c r="AE38" s="2616"/>
      <c r="AF38" s="2616"/>
      <c r="AG38" s="2616"/>
      <c r="AH38" s="2616"/>
      <c r="AI38" s="2616"/>
      <c r="AJ38" s="2616"/>
      <c r="AK38" s="2616"/>
      <c r="AL38" s="2616"/>
      <c r="AM38" s="2616"/>
      <c r="AN38" s="2616"/>
      <c r="AO38" s="2616"/>
      <c r="AP38" s="2616"/>
      <c r="AQ38" s="2616"/>
      <c r="AR38" s="2616"/>
      <c r="AS38" s="2616"/>
      <c r="AT38" s="2616"/>
      <c r="AU38" s="2616"/>
      <c r="AV38" s="2616"/>
      <c r="AW38" s="2616"/>
      <c r="AX38" s="2616"/>
      <c r="AY38" s="2616"/>
      <c r="AZ38" s="2616"/>
    </row>
    <row r="39" spans="1:52" ht="14.25">
      <c r="A39" s="1993" t="s">
        <v>1801</v>
      </c>
      <c r="B39" s="735">
        <f ca="1">存贷款利率!C4</f>
        <v>1.4999999999999999E-2</v>
      </c>
      <c r="C39" s="2625"/>
      <c r="D39" s="2619"/>
      <c r="E39" s="2610"/>
      <c r="F39" s="2610"/>
      <c r="G39" s="2610"/>
      <c r="H39" s="2610"/>
      <c r="I39" s="2610"/>
      <c r="J39" s="2610"/>
      <c r="K39" s="2618"/>
      <c r="L39" s="2618"/>
      <c r="M39" s="2616"/>
      <c r="N39" s="2616"/>
      <c r="O39" s="2616"/>
      <c r="P39" s="2616"/>
      <c r="Q39" s="2616"/>
      <c r="R39" s="2616"/>
      <c r="S39" s="2616"/>
      <c r="T39" s="2616"/>
      <c r="U39" s="2616"/>
      <c r="V39" s="2616"/>
      <c r="W39" s="2616"/>
      <c r="X39" s="2616"/>
      <c r="Y39" s="2616"/>
      <c r="Z39" s="2616"/>
      <c r="AA39" s="2616"/>
      <c r="AB39" s="2616"/>
      <c r="AC39" s="2616"/>
      <c r="AD39" s="2616"/>
      <c r="AE39" s="2616"/>
      <c r="AF39" s="2616"/>
      <c r="AG39" s="2616"/>
      <c r="AH39" s="2616"/>
      <c r="AI39" s="2616"/>
      <c r="AJ39" s="2616"/>
      <c r="AK39" s="2616"/>
      <c r="AL39" s="2616"/>
      <c r="AM39" s="2616"/>
      <c r="AN39" s="2616"/>
      <c r="AO39" s="2616"/>
      <c r="AP39" s="2616"/>
      <c r="AQ39" s="2616"/>
      <c r="AR39" s="2616"/>
      <c r="AS39" s="2616"/>
      <c r="AT39" s="2616"/>
      <c r="AU39" s="2616"/>
      <c r="AV39" s="2616"/>
      <c r="AW39" s="2616"/>
      <c r="AX39" s="2616"/>
      <c r="AY39" s="2616"/>
      <c r="AZ39" s="2616"/>
    </row>
    <row r="40" spans="1:52" ht="15" thickBot="1">
      <c r="A40" s="2778" t="s">
        <v>2291</v>
      </c>
      <c r="B40" s="1991">
        <f ca="1">IF(A40="利息：取LPR",存贷款利率!E2,存贷款利率!E2+C40)</f>
        <v>3.4500000000000003E-2</v>
      </c>
      <c r="C40" s="2779">
        <v>5.0000000000000001E-3</v>
      </c>
      <c r="D40" s="2619"/>
      <c r="E40" s="2610"/>
      <c r="F40" s="2610"/>
      <c r="G40" s="2610"/>
      <c r="H40" s="2610"/>
      <c r="I40" s="2610"/>
      <c r="J40" s="2610"/>
      <c r="K40" s="2618"/>
      <c r="L40" s="2618"/>
      <c r="M40" s="2616"/>
      <c r="N40" s="2616"/>
      <c r="O40" s="2616"/>
      <c r="P40" s="2616"/>
      <c r="Q40" s="2616"/>
      <c r="R40" s="2616"/>
      <c r="S40" s="2616"/>
      <c r="T40" s="2616"/>
      <c r="U40" s="2616"/>
      <c r="V40" s="2616"/>
      <c r="W40" s="2616"/>
      <c r="X40" s="2616"/>
      <c r="Y40" s="2616"/>
      <c r="Z40" s="2616"/>
      <c r="AA40" s="2616"/>
      <c r="AB40" s="2616"/>
      <c r="AC40" s="2616"/>
      <c r="AD40" s="2616"/>
      <c r="AE40" s="2616"/>
      <c r="AF40" s="2616"/>
      <c r="AG40" s="2616"/>
      <c r="AH40" s="2616"/>
      <c r="AI40" s="2616"/>
      <c r="AJ40" s="2616"/>
      <c r="AK40" s="2616"/>
      <c r="AL40" s="2616"/>
      <c r="AM40" s="2616"/>
      <c r="AN40" s="2616"/>
      <c r="AO40" s="2616"/>
      <c r="AP40" s="2616"/>
      <c r="AQ40" s="2616"/>
      <c r="AR40" s="2616"/>
      <c r="AS40" s="2616"/>
      <c r="AT40" s="2616"/>
      <c r="AU40" s="2616"/>
      <c r="AV40" s="2616"/>
      <c r="AW40" s="2616"/>
      <c r="AX40" s="2616"/>
      <c r="AY40" s="2616"/>
      <c r="AZ40" s="2616"/>
    </row>
    <row r="41" spans="1:52" ht="14.25">
      <c r="A41" s="207" t="s">
        <v>248</v>
      </c>
      <c r="B41" s="219">
        <f>B42+B43</f>
        <v>5.5000000000000007E-2</v>
      </c>
      <c r="C41" s="2621"/>
      <c r="D41" s="2619"/>
      <c r="E41" s="2610"/>
      <c r="F41" s="2610"/>
      <c r="G41" s="2610"/>
      <c r="H41" s="2610"/>
      <c r="I41" s="2610"/>
      <c r="J41" s="2610"/>
      <c r="K41" s="2618"/>
      <c r="L41" s="2618"/>
      <c r="M41" s="2616"/>
      <c r="N41" s="2616"/>
      <c r="O41" s="2616"/>
      <c r="P41" s="2616"/>
      <c r="Q41" s="2616"/>
      <c r="R41" s="2616"/>
      <c r="S41" s="2616"/>
      <c r="T41" s="2616"/>
      <c r="U41" s="2616"/>
      <c r="V41" s="2616"/>
      <c r="W41" s="2616"/>
      <c r="X41" s="2616"/>
      <c r="Y41" s="2616"/>
      <c r="Z41" s="2616"/>
      <c r="AA41" s="2616"/>
      <c r="AB41" s="2616"/>
      <c r="AC41" s="2616"/>
      <c r="AD41" s="2616"/>
      <c r="AE41" s="2616"/>
      <c r="AF41" s="2616"/>
      <c r="AG41" s="2616"/>
      <c r="AH41" s="2616"/>
      <c r="AI41" s="2616"/>
      <c r="AJ41" s="2616"/>
      <c r="AK41" s="2616"/>
      <c r="AL41" s="2616"/>
      <c r="AM41" s="2616"/>
      <c r="AN41" s="2616"/>
      <c r="AO41" s="2616"/>
      <c r="AP41" s="2616"/>
      <c r="AQ41" s="2616"/>
      <c r="AR41" s="2616"/>
      <c r="AS41" s="2616"/>
      <c r="AT41" s="2616"/>
      <c r="AU41" s="2616"/>
      <c r="AV41" s="2616"/>
      <c r="AW41" s="2616"/>
      <c r="AX41" s="2616"/>
      <c r="AY41" s="2616"/>
      <c r="AZ41" s="2616"/>
    </row>
    <row r="42" spans="1:52" ht="14.25">
      <c r="A42" s="894" t="s">
        <v>249</v>
      </c>
      <c r="B42" s="221">
        <v>0.05</v>
      </c>
      <c r="C42" s="2634">
        <f>IF(B2&lt;DATE(2016,5,1),0,B42)</f>
        <v>0.05</v>
      </c>
      <c r="D42" s="2619"/>
      <c r="E42" s="2610"/>
      <c r="F42" s="2610"/>
      <c r="G42" s="2610"/>
      <c r="H42" s="2610"/>
      <c r="I42" s="2610"/>
      <c r="J42" s="2610"/>
      <c r="K42" s="2618"/>
      <c r="L42" s="2618"/>
      <c r="M42" s="2616"/>
      <c r="N42" s="2616"/>
      <c r="O42" s="2616"/>
      <c r="P42" s="2616"/>
      <c r="Q42" s="2616"/>
      <c r="R42" s="2616"/>
      <c r="S42" s="2616"/>
      <c r="T42" s="2616"/>
      <c r="U42" s="2616"/>
      <c r="V42" s="2616"/>
      <c r="W42" s="2616"/>
      <c r="X42" s="2616"/>
      <c r="Y42" s="2616"/>
      <c r="Z42" s="2616"/>
      <c r="AA42" s="2616"/>
      <c r="AB42" s="2616"/>
      <c r="AC42" s="2616"/>
      <c r="AD42" s="2616"/>
      <c r="AE42" s="2616"/>
      <c r="AF42" s="2616"/>
      <c r="AG42" s="2616"/>
      <c r="AH42" s="2616"/>
      <c r="AI42" s="2616"/>
      <c r="AJ42" s="2616"/>
      <c r="AK42" s="2616"/>
      <c r="AL42" s="2616"/>
      <c r="AM42" s="2616"/>
      <c r="AN42" s="2616"/>
      <c r="AO42" s="2616"/>
      <c r="AP42" s="2616"/>
      <c r="AQ42" s="2616"/>
      <c r="AR42" s="2616"/>
      <c r="AS42" s="2616"/>
      <c r="AT42" s="2616"/>
      <c r="AU42" s="2616"/>
      <c r="AV42" s="2616"/>
      <c r="AW42" s="2616"/>
      <c r="AX42" s="2616"/>
      <c r="AY42" s="2616"/>
      <c r="AZ42" s="2616"/>
    </row>
    <row r="43" spans="1:52" ht="14.25">
      <c r="A43" s="894" t="s">
        <v>250</v>
      </c>
      <c r="B43" s="222">
        <f>B42*(B44+B45+B46)+B47</f>
        <v>5.000000000000001E-3</v>
      </c>
      <c r="C43" s="2621"/>
      <c r="D43" s="2619"/>
      <c r="E43" s="2610"/>
      <c r="F43" s="2610"/>
      <c r="G43" s="2610"/>
      <c r="H43" s="2610"/>
      <c r="I43" s="2610"/>
      <c r="J43" s="2610"/>
      <c r="K43" s="2618"/>
      <c r="L43" s="2618"/>
      <c r="M43" s="2616"/>
      <c r="N43" s="2616"/>
      <c r="O43" s="2616"/>
      <c r="P43" s="2616"/>
      <c r="Q43" s="2616"/>
      <c r="R43" s="2616"/>
      <c r="S43" s="2616"/>
      <c r="T43" s="2616"/>
      <c r="U43" s="2616"/>
      <c r="V43" s="2616"/>
      <c r="W43" s="2616"/>
      <c r="X43" s="2616"/>
      <c r="Y43" s="2616"/>
      <c r="Z43" s="2616"/>
      <c r="AA43" s="2616"/>
      <c r="AB43" s="2616"/>
      <c r="AC43" s="2616"/>
      <c r="AD43" s="2616"/>
      <c r="AE43" s="2616"/>
      <c r="AF43" s="2616"/>
      <c r="AG43" s="2616"/>
      <c r="AH43" s="2616"/>
      <c r="AI43" s="2616"/>
      <c r="AJ43" s="2616"/>
      <c r="AK43" s="2616"/>
      <c r="AL43" s="2616"/>
      <c r="AM43" s="2616"/>
      <c r="AN43" s="2616"/>
      <c r="AO43" s="2616"/>
      <c r="AP43" s="2616"/>
      <c r="AQ43" s="2616"/>
      <c r="AR43" s="2616"/>
      <c r="AS43" s="2616"/>
      <c r="AT43" s="2616"/>
      <c r="AU43" s="2616"/>
      <c r="AV43" s="2616"/>
      <c r="AW43" s="2616"/>
      <c r="AX43" s="2616"/>
      <c r="AY43" s="2616"/>
      <c r="AZ43" s="2616"/>
    </row>
    <row r="44" spans="1:52" ht="14.25">
      <c r="A44" s="220" t="s">
        <v>251</v>
      </c>
      <c r="B44" s="223">
        <v>0.05</v>
      </c>
      <c r="C44" s="2632" t="s">
        <v>2274</v>
      </c>
      <c r="D44" s="2619"/>
      <c r="E44" s="2610"/>
      <c r="F44" s="2610"/>
      <c r="G44" s="2610"/>
      <c r="H44" s="2610"/>
      <c r="I44" s="2610"/>
      <c r="J44" s="2610"/>
      <c r="K44" s="2618"/>
      <c r="L44" s="2618"/>
      <c r="M44" s="2616"/>
      <c r="N44" s="2616"/>
      <c r="O44" s="2616"/>
      <c r="P44" s="2616"/>
      <c r="Q44" s="2616"/>
      <c r="R44" s="2616"/>
      <c r="S44" s="2616"/>
      <c r="T44" s="2616"/>
      <c r="U44" s="2616"/>
      <c r="V44" s="2616"/>
      <c r="W44" s="2616"/>
      <c r="X44" s="2616"/>
      <c r="Y44" s="2616"/>
      <c r="Z44" s="2616"/>
      <c r="AA44" s="2616"/>
      <c r="AB44" s="2616"/>
      <c r="AC44" s="2616"/>
      <c r="AD44" s="2616"/>
      <c r="AE44" s="2616"/>
      <c r="AF44" s="2616"/>
      <c r="AG44" s="2616"/>
      <c r="AH44" s="2616"/>
      <c r="AI44" s="2616"/>
      <c r="AJ44" s="2616"/>
      <c r="AK44" s="2616"/>
      <c r="AL44" s="2616"/>
      <c r="AM44" s="2616"/>
      <c r="AN44" s="2616"/>
      <c r="AO44" s="2616"/>
      <c r="AP44" s="2616"/>
      <c r="AQ44" s="2616"/>
      <c r="AR44" s="2616"/>
      <c r="AS44" s="2616"/>
      <c r="AT44" s="2616"/>
      <c r="AU44" s="2616"/>
      <c r="AV44" s="2616"/>
      <c r="AW44" s="2616"/>
      <c r="AX44" s="2616"/>
      <c r="AY44" s="2616"/>
      <c r="AZ44" s="2616"/>
    </row>
    <row r="45" spans="1:52" ht="14.25">
      <c r="A45" s="220" t="s">
        <v>252</v>
      </c>
      <c r="B45" s="221">
        <v>0.03</v>
      </c>
      <c r="C45" s="2635" t="s">
        <v>2270</v>
      </c>
      <c r="D45" s="2619"/>
      <c r="E45" s="2610"/>
      <c r="F45" s="2610"/>
      <c r="G45" s="2610"/>
      <c r="H45" s="2610"/>
      <c r="I45" s="2610"/>
      <c r="J45" s="2610"/>
      <c r="K45" s="2618"/>
      <c r="L45" s="2618"/>
      <c r="M45" s="2616"/>
      <c r="N45" s="2616"/>
      <c r="O45" s="2616"/>
      <c r="P45" s="2616"/>
      <c r="Q45" s="2616"/>
      <c r="R45" s="2616"/>
      <c r="S45" s="2616"/>
      <c r="T45" s="2616"/>
      <c r="U45" s="2616"/>
      <c r="V45" s="2616"/>
      <c r="W45" s="2616"/>
      <c r="X45" s="2616"/>
      <c r="Y45" s="2616"/>
      <c r="Z45" s="2616"/>
      <c r="AA45" s="2616"/>
      <c r="AB45" s="2616"/>
      <c r="AC45" s="2616"/>
      <c r="AD45" s="2616"/>
      <c r="AE45" s="2616"/>
      <c r="AF45" s="2616"/>
      <c r="AG45" s="2616"/>
      <c r="AH45" s="2616"/>
      <c r="AI45" s="2616"/>
      <c r="AJ45" s="2616"/>
      <c r="AK45" s="2616"/>
      <c r="AL45" s="2616"/>
      <c r="AM45" s="2616"/>
      <c r="AN45" s="2616"/>
      <c r="AO45" s="2616"/>
      <c r="AP45" s="2616"/>
      <c r="AQ45" s="2616"/>
      <c r="AR45" s="2616"/>
      <c r="AS45" s="2616"/>
      <c r="AT45" s="2616"/>
      <c r="AU45" s="2616"/>
      <c r="AV45" s="2616"/>
      <c r="AW45" s="2616"/>
      <c r="AX45" s="2616"/>
      <c r="AY45" s="2616"/>
      <c r="AZ45" s="2616"/>
    </row>
    <row r="46" spans="1:52" ht="14.25">
      <c r="A46" s="220" t="s">
        <v>253</v>
      </c>
      <c r="B46" s="221">
        <v>0.02</v>
      </c>
      <c r="C46" s="2635" t="s">
        <v>2271</v>
      </c>
      <c r="D46" s="2619"/>
      <c r="E46" s="2610"/>
      <c r="F46" s="2610"/>
      <c r="G46" s="2610"/>
      <c r="H46" s="2610"/>
      <c r="I46" s="2610"/>
      <c r="J46" s="2610"/>
      <c r="K46" s="2618"/>
      <c r="L46" s="2618"/>
      <c r="M46" s="2616"/>
      <c r="N46" s="2616"/>
      <c r="O46" s="2616"/>
      <c r="P46" s="2616"/>
      <c r="Q46" s="2616"/>
      <c r="R46" s="2616"/>
      <c r="S46" s="2616"/>
      <c r="T46" s="2616"/>
      <c r="U46" s="2616"/>
      <c r="V46" s="2616"/>
      <c r="W46" s="2616"/>
      <c r="X46" s="2616"/>
      <c r="Y46" s="2616"/>
      <c r="Z46" s="2616"/>
      <c r="AA46" s="2616"/>
      <c r="AB46" s="2616"/>
      <c r="AC46" s="2616"/>
      <c r="AD46" s="2616"/>
      <c r="AE46" s="2616"/>
      <c r="AF46" s="2616"/>
      <c r="AG46" s="2616"/>
      <c r="AH46" s="2616"/>
      <c r="AI46" s="2616"/>
      <c r="AJ46" s="2616"/>
      <c r="AK46" s="2616"/>
      <c r="AL46" s="2616"/>
      <c r="AM46" s="2616"/>
      <c r="AN46" s="2616"/>
      <c r="AO46" s="2616"/>
      <c r="AP46" s="2616"/>
      <c r="AQ46" s="2616"/>
      <c r="AR46" s="2616"/>
      <c r="AS46" s="2616"/>
      <c r="AT46" s="2616"/>
      <c r="AU46" s="2616"/>
      <c r="AV46" s="2616"/>
      <c r="AW46" s="2616"/>
      <c r="AX46" s="2616"/>
      <c r="AY46" s="2616"/>
      <c r="AZ46" s="2616"/>
    </row>
    <row r="47" spans="1:52" ht="15" thickBot="1">
      <c r="A47" s="224" t="s">
        <v>254</v>
      </c>
      <c r="B47" s="225"/>
      <c r="C47" s="2630" t="s">
        <v>2278</v>
      </c>
      <c r="D47" s="2619"/>
      <c r="E47" s="2610"/>
      <c r="F47" s="2610"/>
      <c r="G47" s="2610"/>
      <c r="H47" s="2610"/>
      <c r="I47" s="2610"/>
      <c r="J47" s="2610"/>
      <c r="K47" s="2618"/>
      <c r="L47" s="2618"/>
      <c r="M47" s="2616"/>
      <c r="N47" s="2616"/>
      <c r="O47" s="2616"/>
      <c r="P47" s="2616"/>
      <c r="Q47" s="2616"/>
      <c r="R47" s="2616"/>
      <c r="S47" s="2616"/>
      <c r="T47" s="2616"/>
      <c r="U47" s="2616"/>
      <c r="V47" s="2616"/>
      <c r="W47" s="2616"/>
      <c r="X47" s="2616"/>
      <c r="Y47" s="2616"/>
      <c r="Z47" s="2616"/>
      <c r="AA47" s="2616"/>
      <c r="AB47" s="2616"/>
      <c r="AC47" s="2616"/>
      <c r="AD47" s="2616"/>
      <c r="AE47" s="2616"/>
      <c r="AF47" s="2616"/>
      <c r="AG47" s="2616"/>
      <c r="AH47" s="2616"/>
      <c r="AI47" s="2616"/>
      <c r="AJ47" s="2616"/>
      <c r="AK47" s="2616"/>
      <c r="AL47" s="2616"/>
      <c r="AM47" s="2616"/>
      <c r="AN47" s="2616"/>
      <c r="AO47" s="2616"/>
      <c r="AP47" s="2616"/>
      <c r="AQ47" s="2616"/>
      <c r="AR47" s="2616"/>
      <c r="AS47" s="2616"/>
      <c r="AT47" s="2616"/>
      <c r="AU47" s="2616"/>
      <c r="AV47" s="2616"/>
      <c r="AW47" s="2616"/>
      <c r="AX47" s="2616"/>
      <c r="AY47" s="2616"/>
      <c r="AZ47" s="2616"/>
    </row>
    <row r="48" spans="1:52" ht="14.25">
      <c r="A48" s="226" t="s">
        <v>255</v>
      </c>
      <c r="B48" s="227">
        <v>0.03</v>
      </c>
      <c r="C48" s="2635" t="s">
        <v>2270</v>
      </c>
      <c r="D48" s="2619"/>
      <c r="E48" s="2610"/>
      <c r="F48" s="2610"/>
      <c r="G48" s="2610"/>
      <c r="H48" s="2610"/>
      <c r="I48" s="2610"/>
      <c r="J48" s="2610"/>
      <c r="K48" s="2618"/>
      <c r="L48" s="2618"/>
      <c r="M48" s="2616"/>
      <c r="N48" s="2616"/>
      <c r="O48" s="2616"/>
      <c r="P48" s="2616"/>
      <c r="Q48" s="2616"/>
      <c r="R48" s="2616"/>
      <c r="S48" s="2616"/>
      <c r="T48" s="2616"/>
      <c r="U48" s="2616"/>
      <c r="V48" s="2616"/>
      <c r="W48" s="2616"/>
      <c r="X48" s="2616"/>
      <c r="Y48" s="2616"/>
      <c r="Z48" s="2616"/>
      <c r="AA48" s="2616"/>
      <c r="AB48" s="2616"/>
      <c r="AC48" s="2616"/>
      <c r="AD48" s="2616"/>
      <c r="AE48" s="2616"/>
      <c r="AF48" s="2616"/>
      <c r="AG48" s="2616"/>
      <c r="AH48" s="2616"/>
      <c r="AI48" s="2616"/>
      <c r="AJ48" s="2616"/>
      <c r="AK48" s="2616"/>
      <c r="AL48" s="2616"/>
      <c r="AM48" s="2616"/>
      <c r="AN48" s="2616"/>
      <c r="AO48" s="2616"/>
      <c r="AP48" s="2616"/>
      <c r="AQ48" s="2616"/>
      <c r="AR48" s="2616"/>
      <c r="AS48" s="2616"/>
      <c r="AT48" s="2616"/>
      <c r="AU48" s="2616"/>
      <c r="AV48" s="2616"/>
      <c r="AW48" s="2616"/>
      <c r="AX48" s="2616"/>
      <c r="AY48" s="2616"/>
      <c r="AZ48" s="2616"/>
    </row>
    <row r="49" spans="1:52" ht="15" thickBot="1">
      <c r="A49" s="218" t="s">
        <v>256</v>
      </c>
      <c r="B49" s="221">
        <v>5.0000000000000001E-4</v>
      </c>
      <c r="C49" s="2635" t="s">
        <v>2272</v>
      </c>
      <c r="D49" s="2619"/>
      <c r="E49" s="2610"/>
      <c r="F49" s="2610"/>
      <c r="G49" s="2610"/>
      <c r="H49" s="2610"/>
      <c r="I49" s="2610"/>
      <c r="J49" s="2610"/>
      <c r="K49" s="2618"/>
      <c r="L49" s="2618"/>
      <c r="M49" s="2616"/>
      <c r="N49" s="2616"/>
      <c r="O49" s="2616"/>
      <c r="P49" s="2616"/>
      <c r="Q49" s="2616"/>
      <c r="R49" s="2616"/>
      <c r="S49" s="2616"/>
      <c r="T49" s="2616"/>
      <c r="U49" s="2616"/>
      <c r="V49" s="2616"/>
      <c r="W49" s="2616"/>
      <c r="X49" s="2616"/>
      <c r="Y49" s="2616"/>
      <c r="Z49" s="2616"/>
      <c r="AA49" s="2616"/>
      <c r="AB49" s="2616"/>
      <c r="AC49" s="2616"/>
      <c r="AD49" s="2616"/>
      <c r="AE49" s="2616"/>
      <c r="AF49" s="2616"/>
      <c r="AG49" s="2616"/>
      <c r="AH49" s="2616"/>
      <c r="AI49" s="2616"/>
      <c r="AJ49" s="2616"/>
      <c r="AK49" s="2616"/>
      <c r="AL49" s="2616"/>
      <c r="AM49" s="2616"/>
      <c r="AN49" s="2616"/>
      <c r="AO49" s="2616"/>
      <c r="AP49" s="2616"/>
      <c r="AQ49" s="2616"/>
      <c r="AR49" s="2616"/>
      <c r="AS49" s="2616"/>
      <c r="AT49" s="2616"/>
      <c r="AU49" s="2616"/>
      <c r="AV49" s="2616"/>
      <c r="AW49" s="2616"/>
      <c r="AX49" s="2616"/>
      <c r="AY49" s="2616"/>
      <c r="AZ49" s="2616"/>
    </row>
    <row r="50" spans="1:52" ht="14.25">
      <c r="A50" s="228" t="s">
        <v>257</v>
      </c>
      <c r="B50" s="229">
        <v>1.2E-2</v>
      </c>
      <c r="C50" s="2624"/>
      <c r="D50" s="2619"/>
      <c r="E50" s="2610"/>
      <c r="F50" s="2610"/>
      <c r="G50" s="2610"/>
      <c r="H50" s="2610"/>
      <c r="I50" s="2610"/>
      <c r="J50" s="2610"/>
      <c r="K50" s="2618"/>
      <c r="L50" s="2618"/>
      <c r="M50" s="2616"/>
      <c r="N50" s="2616"/>
      <c r="O50" s="2616"/>
      <c r="P50" s="2616"/>
      <c r="Q50" s="2616"/>
      <c r="R50" s="2616"/>
      <c r="S50" s="2616"/>
      <c r="T50" s="2616"/>
      <c r="U50" s="2616"/>
      <c r="V50" s="2616"/>
      <c r="W50" s="2616"/>
      <c r="X50" s="2616"/>
      <c r="Y50" s="2616"/>
      <c r="Z50" s="2616"/>
      <c r="AA50" s="2616"/>
      <c r="AB50" s="2616"/>
      <c r="AC50" s="2616"/>
      <c r="AD50" s="2616"/>
      <c r="AE50" s="2616"/>
      <c r="AF50" s="2616"/>
      <c r="AG50" s="2616"/>
      <c r="AH50" s="2616"/>
      <c r="AI50" s="2616"/>
      <c r="AJ50" s="2616"/>
      <c r="AK50" s="2616"/>
      <c r="AL50" s="2616"/>
      <c r="AM50" s="2616"/>
      <c r="AN50" s="2616"/>
      <c r="AO50" s="2616"/>
      <c r="AP50" s="2616"/>
      <c r="AQ50" s="2616"/>
      <c r="AR50" s="2616"/>
      <c r="AS50" s="2616"/>
      <c r="AT50" s="2616"/>
      <c r="AU50" s="2616"/>
      <c r="AV50" s="2616"/>
      <c r="AW50" s="2616"/>
      <c r="AX50" s="2616"/>
      <c r="AY50" s="2616"/>
      <c r="AZ50" s="2616"/>
    </row>
    <row r="51" spans="1:52" ht="15" thickBot="1">
      <c r="A51" s="212" t="s">
        <v>258</v>
      </c>
      <c r="B51" s="230">
        <v>0.12</v>
      </c>
      <c r="C51" s="2624"/>
      <c r="D51" s="2619"/>
      <c r="E51" s="2610"/>
      <c r="F51" s="2610"/>
      <c r="G51" s="2610"/>
      <c r="H51" s="2610"/>
      <c r="I51" s="2610"/>
      <c r="J51" s="2610"/>
      <c r="K51" s="2618"/>
      <c r="L51" s="2618"/>
      <c r="M51" s="2616"/>
      <c r="N51" s="2616"/>
      <c r="O51" s="2616"/>
      <c r="P51" s="2616"/>
      <c r="Q51" s="2616"/>
      <c r="R51" s="2616"/>
      <c r="S51" s="2616"/>
      <c r="T51" s="2616"/>
      <c r="U51" s="2616"/>
      <c r="V51" s="2616"/>
      <c r="W51" s="2616"/>
      <c r="X51" s="2616"/>
      <c r="Y51" s="2616"/>
      <c r="Z51" s="2616"/>
      <c r="AA51" s="2616"/>
      <c r="AB51" s="2616"/>
      <c r="AC51" s="2616"/>
      <c r="AD51" s="2616"/>
      <c r="AE51" s="2616"/>
      <c r="AF51" s="2616"/>
      <c r="AG51" s="2616"/>
      <c r="AH51" s="2616"/>
      <c r="AI51" s="2616"/>
      <c r="AJ51" s="2616"/>
      <c r="AK51" s="2616"/>
      <c r="AL51" s="2616"/>
      <c r="AM51" s="2616"/>
      <c r="AN51" s="2616"/>
      <c r="AO51" s="2616"/>
      <c r="AP51" s="2616"/>
      <c r="AQ51" s="2616"/>
      <c r="AR51" s="2616"/>
      <c r="AS51" s="2616"/>
      <c r="AT51" s="2616"/>
      <c r="AU51" s="2616"/>
      <c r="AV51" s="2616"/>
      <c r="AW51" s="2616"/>
      <c r="AX51" s="2616"/>
      <c r="AY51" s="2616"/>
      <c r="AZ51" s="2616"/>
    </row>
    <row r="52" spans="1:52" ht="14.25">
      <c r="A52" s="228" t="s">
        <v>259</v>
      </c>
      <c r="B52" s="231">
        <f>SUMIF(A54:A63,B53,B54:B63)</f>
        <v>1.5</v>
      </c>
      <c r="C52" s="2624"/>
      <c r="D52" s="2619"/>
      <c r="E52" s="2610"/>
      <c r="F52" s="2610"/>
      <c r="G52" s="2610"/>
      <c r="H52" s="2610"/>
      <c r="I52" s="2610"/>
      <c r="J52" s="2610"/>
      <c r="K52" s="2618"/>
      <c r="L52" s="2618"/>
      <c r="M52" s="2616"/>
      <c r="N52" s="2616"/>
      <c r="O52" s="2616"/>
      <c r="P52" s="2616"/>
      <c r="Q52" s="2616"/>
      <c r="R52" s="2616"/>
      <c r="S52" s="2616"/>
      <c r="T52" s="2616"/>
      <c r="U52" s="2616"/>
      <c r="V52" s="2616"/>
      <c r="W52" s="2616"/>
      <c r="X52" s="2616"/>
      <c r="Y52" s="2616"/>
      <c r="Z52" s="2616"/>
      <c r="AA52" s="2616"/>
      <c r="AB52" s="2616"/>
      <c r="AC52" s="2616"/>
      <c r="AD52" s="2616"/>
      <c r="AE52" s="2616"/>
      <c r="AF52" s="2616"/>
      <c r="AG52" s="2616"/>
      <c r="AH52" s="2616"/>
      <c r="AI52" s="2616"/>
      <c r="AJ52" s="2616"/>
      <c r="AK52" s="2616"/>
      <c r="AL52" s="2616"/>
      <c r="AM52" s="2616"/>
      <c r="AN52" s="2616"/>
      <c r="AO52" s="2616"/>
      <c r="AP52" s="2616"/>
      <c r="AQ52" s="2616"/>
      <c r="AR52" s="2616"/>
      <c r="AS52" s="2616"/>
      <c r="AT52" s="2616"/>
      <c r="AU52" s="2616"/>
      <c r="AV52" s="2616"/>
      <c r="AW52" s="2616"/>
      <c r="AX52" s="2616"/>
      <c r="AY52" s="2616"/>
      <c r="AZ52" s="2616"/>
    </row>
    <row r="53" spans="1:52" ht="27">
      <c r="A53" s="209" t="s">
        <v>260</v>
      </c>
      <c r="B53" s="232" t="s">
        <v>1153</v>
      </c>
      <c r="C53" s="2626" t="s">
        <v>2167</v>
      </c>
      <c r="D53" s="2636" t="s">
        <v>2275</v>
      </c>
      <c r="E53" s="2610"/>
      <c r="F53" s="2610"/>
      <c r="G53" s="2610"/>
      <c r="H53" s="2610"/>
      <c r="I53" s="2610"/>
      <c r="J53" s="2610"/>
      <c r="K53" s="2618"/>
      <c r="L53" s="2618"/>
      <c r="M53" s="2616"/>
      <c r="N53" s="2616"/>
      <c r="O53" s="2616"/>
      <c r="P53" s="2616"/>
      <c r="Q53" s="2616"/>
      <c r="R53" s="2616"/>
      <c r="S53" s="2616"/>
      <c r="T53" s="2616"/>
      <c r="U53" s="2616"/>
      <c r="V53" s="2616"/>
      <c r="W53" s="2616"/>
      <c r="X53" s="2616"/>
      <c r="Y53" s="2616"/>
      <c r="Z53" s="2616"/>
      <c r="AA53" s="2616"/>
      <c r="AB53" s="2616"/>
      <c r="AC53" s="2616"/>
      <c r="AD53" s="2616"/>
      <c r="AE53" s="2616"/>
      <c r="AF53" s="2616"/>
      <c r="AG53" s="2616"/>
      <c r="AH53" s="2616"/>
      <c r="AI53" s="2616"/>
      <c r="AJ53" s="2616"/>
      <c r="AK53" s="2616"/>
      <c r="AL53" s="2616"/>
      <c r="AM53" s="2616"/>
      <c r="AN53" s="2616"/>
      <c r="AO53" s="2616"/>
      <c r="AP53" s="2616"/>
      <c r="AQ53" s="2616"/>
      <c r="AR53" s="2616"/>
      <c r="AS53" s="2616"/>
      <c r="AT53" s="2616"/>
      <c r="AU53" s="2616"/>
      <c r="AV53" s="2616"/>
      <c r="AW53" s="2616"/>
      <c r="AX53" s="2616"/>
      <c r="AY53" s="2616"/>
      <c r="AZ53" s="2616"/>
    </row>
    <row r="54" spans="1:52" ht="14.25">
      <c r="A54" s="2342" t="s">
        <v>2168</v>
      </c>
      <c r="B54" s="170"/>
      <c r="C54" s="2623">
        <v>30</v>
      </c>
      <c r="D54" s="2627"/>
      <c r="E54" s="2610"/>
      <c r="F54" s="2610"/>
      <c r="G54" s="2610"/>
      <c r="H54" s="2610"/>
      <c r="I54" s="2610"/>
      <c r="J54" s="2610"/>
      <c r="K54" s="2618"/>
      <c r="L54" s="2618"/>
      <c r="M54" s="2616"/>
      <c r="N54" s="2616"/>
      <c r="O54" s="2616"/>
      <c r="P54" s="2616"/>
      <c r="Q54" s="2616"/>
      <c r="R54" s="2616"/>
      <c r="S54" s="2616"/>
      <c r="T54" s="2616"/>
      <c r="U54" s="2616"/>
      <c r="V54" s="2616"/>
      <c r="W54" s="2616"/>
      <c r="X54" s="2616"/>
      <c r="Y54" s="2616"/>
      <c r="Z54" s="2616"/>
      <c r="AA54" s="2616"/>
      <c r="AB54" s="2616"/>
      <c r="AC54" s="2616"/>
      <c r="AD54" s="2616"/>
      <c r="AE54" s="2616"/>
      <c r="AF54" s="2616"/>
      <c r="AG54" s="2616"/>
      <c r="AH54" s="2616"/>
      <c r="AI54" s="2616"/>
      <c r="AJ54" s="2616"/>
      <c r="AK54" s="2616"/>
      <c r="AL54" s="2616"/>
      <c r="AM54" s="2616"/>
      <c r="AN54" s="2616"/>
      <c r="AO54" s="2616"/>
      <c r="AP54" s="2616"/>
      <c r="AQ54" s="2616"/>
      <c r="AR54" s="2616"/>
      <c r="AS54" s="2616"/>
      <c r="AT54" s="2616"/>
      <c r="AU54" s="2616"/>
      <c r="AV54" s="2616"/>
      <c r="AW54" s="2616"/>
      <c r="AX54" s="2616"/>
      <c r="AY54" s="2616"/>
      <c r="AZ54" s="2616"/>
    </row>
    <row r="55" spans="1:52" ht="14.25">
      <c r="A55" s="2342" t="s">
        <v>2169</v>
      </c>
      <c r="B55" s="170"/>
      <c r="C55" s="2623">
        <v>24</v>
      </c>
      <c r="D55" s="2627"/>
      <c r="E55" s="2610"/>
      <c r="F55" s="2610"/>
      <c r="G55" s="2610"/>
      <c r="H55" s="2610"/>
      <c r="I55" s="2610"/>
      <c r="J55" s="2610"/>
      <c r="K55" s="2618"/>
      <c r="L55" s="2618"/>
      <c r="M55" s="2616"/>
      <c r="N55" s="2616"/>
      <c r="O55" s="2616"/>
      <c r="P55" s="2616"/>
      <c r="Q55" s="2616"/>
      <c r="R55" s="2616"/>
      <c r="S55" s="2616"/>
      <c r="T55" s="2616"/>
      <c r="U55" s="2616"/>
      <c r="V55" s="2616"/>
      <c r="W55" s="2616"/>
      <c r="X55" s="2616"/>
      <c r="Y55" s="2616"/>
      <c r="Z55" s="2616"/>
      <c r="AA55" s="2616"/>
      <c r="AB55" s="2616"/>
      <c r="AC55" s="2616"/>
      <c r="AD55" s="2616"/>
      <c r="AE55" s="2616"/>
      <c r="AF55" s="2616"/>
      <c r="AG55" s="2616"/>
      <c r="AH55" s="2616"/>
      <c r="AI55" s="2616"/>
      <c r="AJ55" s="2616"/>
      <c r="AK55" s="2616"/>
      <c r="AL55" s="2616"/>
      <c r="AM55" s="2616"/>
      <c r="AN55" s="2616"/>
      <c r="AO55" s="2616"/>
      <c r="AP55" s="2616"/>
      <c r="AQ55" s="2616"/>
      <c r="AR55" s="2616"/>
      <c r="AS55" s="2616"/>
      <c r="AT55" s="2616"/>
      <c r="AU55" s="2616"/>
      <c r="AV55" s="2616"/>
      <c r="AW55" s="2616"/>
      <c r="AX55" s="2616"/>
      <c r="AY55" s="2616"/>
      <c r="AZ55" s="2616"/>
    </row>
    <row r="56" spans="1:52" ht="14.25">
      <c r="A56" s="2342" t="s">
        <v>2170</v>
      </c>
      <c r="B56" s="170"/>
      <c r="C56" s="2623">
        <v>18</v>
      </c>
      <c r="D56" s="2627"/>
      <c r="E56" s="2610"/>
      <c r="F56" s="2610"/>
      <c r="G56" s="2610"/>
      <c r="H56" s="2610"/>
      <c r="I56" s="2610"/>
      <c r="J56" s="2610"/>
      <c r="K56" s="2618"/>
      <c r="L56" s="2618"/>
      <c r="M56" s="2616"/>
      <c r="N56" s="2616"/>
      <c r="O56" s="2616"/>
      <c r="P56" s="2616"/>
      <c r="Q56" s="2616"/>
      <c r="R56" s="2616"/>
      <c r="S56" s="2616"/>
      <c r="T56" s="2616"/>
      <c r="U56" s="2616"/>
      <c r="V56" s="2616"/>
      <c r="W56" s="2616"/>
      <c r="X56" s="2616"/>
      <c r="Y56" s="2616"/>
      <c r="Z56" s="2616"/>
      <c r="AA56" s="2616"/>
      <c r="AB56" s="2616"/>
      <c r="AC56" s="2616"/>
      <c r="AD56" s="2616"/>
      <c r="AE56" s="2616"/>
      <c r="AF56" s="2616"/>
      <c r="AG56" s="2616"/>
      <c r="AH56" s="2616"/>
      <c r="AI56" s="2616"/>
      <c r="AJ56" s="2616"/>
      <c r="AK56" s="2616"/>
      <c r="AL56" s="2616"/>
      <c r="AM56" s="2616"/>
      <c r="AN56" s="2616"/>
      <c r="AO56" s="2616"/>
      <c r="AP56" s="2616"/>
      <c r="AQ56" s="2616"/>
      <c r="AR56" s="2616"/>
      <c r="AS56" s="2616"/>
      <c r="AT56" s="2616"/>
      <c r="AU56" s="2616"/>
      <c r="AV56" s="2616"/>
      <c r="AW56" s="2616"/>
      <c r="AX56" s="2616"/>
      <c r="AY56" s="2616"/>
      <c r="AZ56" s="2616"/>
    </row>
    <row r="57" spans="1:52" ht="14.25">
      <c r="A57" s="2342" t="s">
        <v>2171</v>
      </c>
      <c r="B57" s="170"/>
      <c r="C57" s="2623">
        <v>12</v>
      </c>
      <c r="D57" s="2627"/>
      <c r="E57" s="2610"/>
      <c r="F57" s="2610"/>
      <c r="G57" s="2610"/>
      <c r="H57" s="2610"/>
      <c r="I57" s="2610"/>
      <c r="J57" s="2610"/>
      <c r="K57" s="2618"/>
      <c r="L57" s="2618"/>
      <c r="M57" s="2616"/>
      <c r="N57" s="2616"/>
      <c r="O57" s="2616"/>
      <c r="P57" s="2616"/>
      <c r="Q57" s="2616"/>
      <c r="R57" s="2616"/>
      <c r="S57" s="2616"/>
      <c r="T57" s="2616"/>
      <c r="U57" s="2616"/>
      <c r="V57" s="2616"/>
      <c r="W57" s="2616"/>
      <c r="X57" s="2616"/>
      <c r="Y57" s="2616"/>
      <c r="Z57" s="2616"/>
      <c r="AA57" s="2616"/>
      <c r="AB57" s="2616"/>
      <c r="AC57" s="2616"/>
      <c r="AD57" s="2616"/>
      <c r="AE57" s="2616"/>
      <c r="AF57" s="2616"/>
      <c r="AG57" s="2616"/>
      <c r="AH57" s="2616"/>
      <c r="AI57" s="2616"/>
      <c r="AJ57" s="2616"/>
      <c r="AK57" s="2616"/>
      <c r="AL57" s="2616"/>
      <c r="AM57" s="2616"/>
      <c r="AN57" s="2616"/>
      <c r="AO57" s="2616"/>
      <c r="AP57" s="2616"/>
      <c r="AQ57" s="2616"/>
      <c r="AR57" s="2616"/>
      <c r="AS57" s="2616"/>
      <c r="AT57" s="2616"/>
      <c r="AU57" s="2616"/>
      <c r="AV57" s="2616"/>
      <c r="AW57" s="2616"/>
      <c r="AX57" s="2616"/>
      <c r="AY57" s="2616"/>
      <c r="AZ57" s="2616"/>
    </row>
    <row r="58" spans="1:52" ht="14.25">
      <c r="A58" s="2342" t="s">
        <v>2172</v>
      </c>
      <c r="B58" s="170"/>
      <c r="C58" s="2623">
        <v>3</v>
      </c>
      <c r="D58" s="2627"/>
      <c r="E58" s="2610"/>
      <c r="F58" s="2610"/>
      <c r="G58" s="2610"/>
      <c r="H58" s="2610"/>
      <c r="I58" s="2610"/>
      <c r="J58" s="2610"/>
      <c r="K58" s="2618"/>
      <c r="L58" s="2618"/>
      <c r="M58" s="2616"/>
      <c r="N58" s="2616"/>
      <c r="O58" s="2616"/>
      <c r="P58" s="2616"/>
      <c r="Q58" s="2616"/>
      <c r="R58" s="2616"/>
      <c r="S58" s="2616"/>
      <c r="T58" s="2616"/>
      <c r="U58" s="2616"/>
      <c r="V58" s="2616"/>
      <c r="W58" s="2616"/>
      <c r="X58" s="2616"/>
      <c r="Y58" s="2616"/>
      <c r="Z58" s="2616"/>
      <c r="AA58" s="2616"/>
      <c r="AB58" s="2616"/>
      <c r="AC58" s="2616"/>
      <c r="AD58" s="2616"/>
      <c r="AE58" s="2616"/>
      <c r="AF58" s="2616"/>
      <c r="AG58" s="2616"/>
      <c r="AH58" s="2616"/>
      <c r="AI58" s="2616"/>
      <c r="AJ58" s="2616"/>
      <c r="AK58" s="2616"/>
      <c r="AL58" s="2616"/>
      <c r="AM58" s="2616"/>
      <c r="AN58" s="2616"/>
      <c r="AO58" s="2616"/>
      <c r="AP58" s="2616"/>
      <c r="AQ58" s="2616"/>
      <c r="AR58" s="2616"/>
      <c r="AS58" s="2616"/>
      <c r="AT58" s="2616"/>
      <c r="AU58" s="2616"/>
      <c r="AV58" s="2616"/>
      <c r="AW58" s="2616"/>
      <c r="AX58" s="2616"/>
      <c r="AY58" s="2616"/>
      <c r="AZ58" s="2616"/>
    </row>
    <row r="59" spans="1:52" ht="14.25">
      <c r="A59" s="2342" t="s">
        <v>2173</v>
      </c>
      <c r="B59" s="170">
        <v>1.5</v>
      </c>
      <c r="C59" s="2623">
        <v>1.5</v>
      </c>
      <c r="D59" s="2627"/>
      <c r="E59" s="2610"/>
      <c r="F59" s="2610"/>
      <c r="G59" s="2610"/>
      <c r="H59" s="2610"/>
      <c r="I59" s="2610"/>
      <c r="J59" s="2610"/>
      <c r="K59" s="2618"/>
      <c r="L59" s="2618"/>
      <c r="M59" s="2616"/>
      <c r="N59" s="2616"/>
      <c r="O59" s="2616"/>
      <c r="P59" s="2616"/>
      <c r="Q59" s="2616"/>
      <c r="R59" s="2616"/>
      <c r="S59" s="2616"/>
      <c r="T59" s="2616"/>
      <c r="U59" s="2616"/>
      <c r="V59" s="2616"/>
      <c r="W59" s="2616"/>
      <c r="X59" s="2616"/>
      <c r="Y59" s="2616"/>
      <c r="Z59" s="2616"/>
      <c r="AA59" s="2616"/>
      <c r="AB59" s="2616"/>
      <c r="AC59" s="2616"/>
      <c r="AD59" s="2616"/>
      <c r="AE59" s="2616"/>
      <c r="AF59" s="2616"/>
      <c r="AG59" s="2616"/>
      <c r="AH59" s="2616"/>
      <c r="AI59" s="2616"/>
      <c r="AJ59" s="2616"/>
      <c r="AK59" s="2616"/>
      <c r="AL59" s="2616"/>
      <c r="AM59" s="2616"/>
      <c r="AN59" s="2616"/>
      <c r="AO59" s="2616"/>
      <c r="AP59" s="2616"/>
      <c r="AQ59" s="2616"/>
      <c r="AR59" s="2616"/>
      <c r="AS59" s="2616"/>
      <c r="AT59" s="2616"/>
      <c r="AU59" s="2616"/>
      <c r="AV59" s="2616"/>
      <c r="AW59" s="2616"/>
      <c r="AX59" s="2616"/>
      <c r="AY59" s="2616"/>
      <c r="AZ59" s="2616"/>
    </row>
    <row r="60" spans="1:52" ht="14.25">
      <c r="A60" s="2342" t="s">
        <v>2174</v>
      </c>
      <c r="B60" s="170"/>
      <c r="C60" s="2610"/>
      <c r="D60" s="2619"/>
      <c r="E60" s="2610"/>
      <c r="F60" s="2610"/>
      <c r="G60" s="2610"/>
      <c r="H60" s="2610"/>
      <c r="I60" s="2610"/>
      <c r="J60" s="2610"/>
      <c r="K60" s="2618"/>
      <c r="L60" s="2618"/>
      <c r="M60" s="2616"/>
      <c r="N60" s="2616"/>
      <c r="O60" s="2616"/>
      <c r="P60" s="2616"/>
      <c r="Q60" s="2616"/>
      <c r="R60" s="2616"/>
      <c r="S60" s="2616"/>
      <c r="T60" s="2616"/>
      <c r="U60" s="2616"/>
      <c r="V60" s="2616"/>
      <c r="W60" s="2616"/>
      <c r="X60" s="2616"/>
      <c r="Y60" s="2616"/>
      <c r="Z60" s="2616"/>
      <c r="AA60" s="2616"/>
      <c r="AB60" s="2616"/>
      <c r="AC60" s="2616"/>
      <c r="AD60" s="2616"/>
      <c r="AE60" s="2616"/>
      <c r="AF60" s="2616"/>
      <c r="AG60" s="2616"/>
      <c r="AH60" s="2616"/>
      <c r="AI60" s="2616"/>
      <c r="AJ60" s="2616"/>
      <c r="AK60" s="2616"/>
      <c r="AL60" s="2616"/>
      <c r="AM60" s="2616"/>
      <c r="AN60" s="2616"/>
      <c r="AO60" s="2616"/>
      <c r="AP60" s="2616"/>
      <c r="AQ60" s="2616"/>
      <c r="AR60" s="2616"/>
      <c r="AS60" s="2616"/>
      <c r="AT60" s="2616"/>
      <c r="AU60" s="2616"/>
      <c r="AV60" s="2616"/>
      <c r="AW60" s="2616"/>
      <c r="AX60" s="2616"/>
      <c r="AY60" s="2616"/>
      <c r="AZ60" s="2616"/>
    </row>
    <row r="61" spans="1:52" ht="14.25">
      <c r="A61" s="2342" t="s">
        <v>2175</v>
      </c>
      <c r="B61" s="170"/>
      <c r="C61" s="2610"/>
      <c r="D61" s="2619"/>
      <c r="E61" s="2610"/>
      <c r="F61" s="2610"/>
      <c r="G61" s="2610"/>
      <c r="H61" s="2610"/>
      <c r="I61" s="2610"/>
      <c r="J61" s="2610"/>
      <c r="K61" s="2618"/>
      <c r="L61" s="2618"/>
      <c r="M61" s="2616"/>
      <c r="N61" s="2616"/>
      <c r="O61" s="2616"/>
      <c r="P61" s="2616"/>
      <c r="Q61" s="2616"/>
      <c r="R61" s="2616"/>
      <c r="S61" s="2616"/>
      <c r="T61" s="2616"/>
      <c r="U61" s="2616"/>
      <c r="V61" s="2616"/>
      <c r="W61" s="2616"/>
      <c r="X61" s="2616"/>
      <c r="Y61" s="2616"/>
      <c r="Z61" s="2616"/>
      <c r="AA61" s="2616"/>
      <c r="AB61" s="2616"/>
      <c r="AC61" s="2616"/>
      <c r="AD61" s="2616"/>
      <c r="AE61" s="2616"/>
      <c r="AF61" s="2616"/>
      <c r="AG61" s="2616"/>
      <c r="AH61" s="2616"/>
      <c r="AI61" s="2616"/>
      <c r="AJ61" s="2616"/>
      <c r="AK61" s="2616"/>
      <c r="AL61" s="2616"/>
      <c r="AM61" s="2616"/>
      <c r="AN61" s="2616"/>
      <c r="AO61" s="2616"/>
      <c r="AP61" s="2616"/>
      <c r="AQ61" s="2616"/>
      <c r="AR61" s="2616"/>
      <c r="AS61" s="2616"/>
      <c r="AT61" s="2616"/>
      <c r="AU61" s="2616"/>
      <c r="AV61" s="2616"/>
      <c r="AW61" s="2616"/>
      <c r="AX61" s="2616"/>
      <c r="AY61" s="2616"/>
      <c r="AZ61" s="2616"/>
    </row>
    <row r="62" spans="1:52" ht="14.25">
      <c r="A62" s="2342" t="s">
        <v>2176</v>
      </c>
      <c r="B62" s="170"/>
      <c r="C62" s="2610"/>
      <c r="D62" s="2619"/>
      <c r="E62" s="2610"/>
      <c r="F62" s="2610"/>
      <c r="G62" s="2610"/>
      <c r="H62" s="2610"/>
      <c r="I62" s="2610"/>
      <c r="J62" s="2610"/>
      <c r="K62" s="2618"/>
      <c r="L62" s="2618"/>
      <c r="M62" s="2616"/>
      <c r="N62" s="2616"/>
      <c r="O62" s="2616"/>
      <c r="P62" s="2616"/>
      <c r="Q62" s="2616"/>
      <c r="R62" s="2616"/>
      <c r="S62" s="2616"/>
      <c r="T62" s="2616"/>
      <c r="U62" s="2616"/>
      <c r="V62" s="2616"/>
      <c r="W62" s="2616"/>
      <c r="X62" s="2616"/>
      <c r="Y62" s="2616"/>
      <c r="Z62" s="2616"/>
      <c r="AA62" s="2616"/>
      <c r="AB62" s="2616"/>
      <c r="AC62" s="2616"/>
      <c r="AD62" s="2616"/>
      <c r="AE62" s="2616"/>
      <c r="AF62" s="2616"/>
      <c r="AG62" s="2616"/>
      <c r="AH62" s="2616"/>
      <c r="AI62" s="2616"/>
      <c r="AJ62" s="2616"/>
      <c r="AK62" s="2616"/>
      <c r="AL62" s="2616"/>
      <c r="AM62" s="2616"/>
      <c r="AN62" s="2616"/>
      <c r="AO62" s="2616"/>
      <c r="AP62" s="2616"/>
      <c r="AQ62" s="2616"/>
      <c r="AR62" s="2616"/>
      <c r="AS62" s="2616"/>
      <c r="AT62" s="2616"/>
      <c r="AU62" s="2616"/>
      <c r="AV62" s="2616"/>
      <c r="AW62" s="2616"/>
      <c r="AX62" s="2616"/>
      <c r="AY62" s="2616"/>
      <c r="AZ62" s="2616"/>
    </row>
    <row r="63" spans="1:52" ht="15" thickBot="1">
      <c r="A63" s="2343" t="s">
        <v>2177</v>
      </c>
      <c r="B63" s="233"/>
      <c r="C63" s="2610"/>
      <c r="D63" s="2619"/>
      <c r="E63" s="2610"/>
      <c r="F63" s="2610"/>
      <c r="G63" s="2610"/>
      <c r="H63" s="2610"/>
      <c r="I63" s="2610"/>
      <c r="J63" s="2610"/>
      <c r="K63" s="2618"/>
      <c r="L63" s="2618"/>
      <c r="M63" s="2616"/>
      <c r="N63" s="2616"/>
      <c r="O63" s="2616"/>
      <c r="P63" s="2616"/>
      <c r="Q63" s="2616"/>
      <c r="R63" s="2616"/>
      <c r="S63" s="2616"/>
      <c r="T63" s="2616"/>
      <c r="U63" s="2616"/>
      <c r="V63" s="2616"/>
      <c r="W63" s="2616"/>
      <c r="X63" s="2616"/>
      <c r="Y63" s="2616"/>
      <c r="Z63" s="2616"/>
      <c r="AA63" s="2616"/>
      <c r="AB63" s="2616"/>
      <c r="AC63" s="2616"/>
      <c r="AD63" s="2616"/>
      <c r="AE63" s="2616"/>
      <c r="AF63" s="2616"/>
      <c r="AG63" s="2616"/>
      <c r="AH63" s="2616"/>
      <c r="AI63" s="2616"/>
      <c r="AJ63" s="2616"/>
      <c r="AK63" s="2616"/>
      <c r="AL63" s="2616"/>
      <c r="AM63" s="2616"/>
      <c r="AN63" s="2616"/>
      <c r="AO63" s="2616"/>
      <c r="AP63" s="2616"/>
      <c r="AQ63" s="2616"/>
      <c r="AR63" s="2616"/>
      <c r="AS63" s="2616"/>
      <c r="AT63" s="2616"/>
      <c r="AU63" s="2616"/>
      <c r="AV63" s="2616"/>
      <c r="AW63" s="2616"/>
      <c r="AX63" s="2616"/>
      <c r="AY63" s="2616"/>
      <c r="AZ63" s="2616"/>
    </row>
    <row r="64" spans="1:52" s="237" customFormat="1">
      <c r="A64" s="234"/>
      <c r="D64" s="1641"/>
      <c r="K64" s="53"/>
      <c r="L64" s="53"/>
    </row>
    <row r="65" spans="1:12" s="237" customFormat="1">
      <c r="A65" s="234"/>
      <c r="D65" s="1641"/>
      <c r="K65" s="53"/>
      <c r="L65" s="53"/>
    </row>
    <row r="66" spans="1:12" s="237" customFormat="1">
      <c r="A66" s="234"/>
      <c r="D66" s="1641"/>
      <c r="K66" s="53"/>
      <c r="L66" s="53"/>
    </row>
    <row r="67" spans="1:12" s="237" customFormat="1">
      <c r="A67" s="234"/>
      <c r="D67" s="1641"/>
      <c r="K67" s="53"/>
      <c r="L67" s="53"/>
    </row>
    <row r="68" spans="1:12" s="237" customFormat="1">
      <c r="A68" s="234"/>
      <c r="D68" s="1641"/>
      <c r="K68" s="53"/>
      <c r="L68" s="53"/>
    </row>
    <row r="69" spans="1:12" s="237" customFormat="1">
      <c r="A69" s="234"/>
      <c r="D69" s="1641"/>
      <c r="K69" s="53"/>
      <c r="L69" s="53"/>
    </row>
    <row r="70" spans="1:12" s="237" customFormat="1">
      <c r="A70" s="234"/>
      <c r="D70" s="1641"/>
      <c r="K70" s="53"/>
      <c r="L70" s="53"/>
    </row>
    <row r="71" spans="1:12" s="237" customFormat="1">
      <c r="A71" s="234"/>
      <c r="D71" s="1641"/>
      <c r="K71" s="53"/>
      <c r="L71" s="53"/>
    </row>
    <row r="72" spans="1:12" s="237" customFormat="1">
      <c r="A72" s="234"/>
      <c r="D72" s="1641"/>
      <c r="K72" s="53"/>
      <c r="L72" s="53"/>
    </row>
    <row r="73" spans="1:12" s="237" customFormat="1">
      <c r="A73" s="234"/>
      <c r="D73" s="1641"/>
      <c r="K73" s="53"/>
      <c r="L73" s="53"/>
    </row>
    <row r="74" spans="1:12" s="237" customFormat="1">
      <c r="A74" s="234"/>
      <c r="D74" s="1641"/>
      <c r="K74" s="53"/>
      <c r="L74" s="53"/>
    </row>
    <row r="75" spans="1:12" s="237" customFormat="1">
      <c r="A75" s="234"/>
      <c r="D75" s="1641"/>
      <c r="K75" s="53"/>
      <c r="L75" s="53"/>
    </row>
    <row r="76" spans="1:12" s="237" customFormat="1">
      <c r="A76" s="234"/>
      <c r="D76" s="1641"/>
      <c r="K76" s="53"/>
      <c r="L76" s="53"/>
    </row>
    <row r="77" spans="1:12" s="237" customFormat="1">
      <c r="A77" s="234"/>
      <c r="D77" s="1641"/>
      <c r="K77" s="53"/>
      <c r="L77" s="53"/>
    </row>
    <row r="78" spans="1:12" s="237" customFormat="1">
      <c r="A78" s="234"/>
      <c r="D78" s="1641"/>
      <c r="K78" s="53"/>
      <c r="L78" s="53"/>
    </row>
    <row r="79" spans="1:12" s="237" customFormat="1">
      <c r="A79" s="234"/>
      <c r="D79" s="1641"/>
      <c r="K79" s="53"/>
      <c r="L79" s="53"/>
    </row>
    <row r="80" spans="1:12" s="237" customFormat="1">
      <c r="A80" s="234"/>
      <c r="D80" s="1641"/>
      <c r="K80" s="53"/>
      <c r="L80" s="53"/>
    </row>
    <row r="81" spans="1:12" s="237" customFormat="1">
      <c r="A81" s="234"/>
      <c r="D81" s="1641"/>
      <c r="K81" s="53"/>
      <c r="L81" s="53"/>
    </row>
    <row r="82" spans="1:12" s="237" customFormat="1">
      <c r="A82" s="234"/>
      <c r="D82" s="1641"/>
      <c r="K82" s="53"/>
      <c r="L82" s="53"/>
    </row>
    <row r="83" spans="1:12" s="237" customFormat="1">
      <c r="A83" s="234"/>
      <c r="D83" s="1641"/>
      <c r="K83" s="53"/>
      <c r="L83" s="53"/>
    </row>
    <row r="84" spans="1:12" s="237" customFormat="1">
      <c r="A84" s="234"/>
      <c r="D84" s="1641"/>
      <c r="K84" s="53"/>
      <c r="L84" s="53"/>
    </row>
    <row r="85" spans="1:12" s="237" customFormat="1">
      <c r="A85" s="234"/>
      <c r="D85" s="1641"/>
      <c r="K85" s="53"/>
      <c r="L85" s="53"/>
    </row>
    <row r="86" spans="1:12" s="237" customFormat="1">
      <c r="A86" s="234"/>
      <c r="D86" s="1641"/>
      <c r="K86" s="53"/>
      <c r="L86" s="53"/>
    </row>
    <row r="87" spans="1:12" s="237" customFormat="1">
      <c r="A87" s="234"/>
      <c r="D87" s="1641"/>
      <c r="K87" s="53"/>
      <c r="L87" s="53"/>
    </row>
    <row r="88" spans="1:12" s="237" customFormat="1">
      <c r="A88" s="234"/>
      <c r="D88" s="1641"/>
      <c r="K88" s="53"/>
      <c r="L88" s="53"/>
    </row>
    <row r="89" spans="1:12" s="237" customFormat="1">
      <c r="A89" s="234"/>
      <c r="D89" s="1641"/>
      <c r="K89" s="53"/>
      <c r="L89" s="53"/>
    </row>
    <row r="90" spans="1:12" s="237" customFormat="1">
      <c r="A90" s="234"/>
      <c r="D90" s="1641"/>
      <c r="K90" s="53"/>
      <c r="L90" s="53"/>
    </row>
    <row r="91" spans="1:12" s="237" customFormat="1">
      <c r="A91" s="234"/>
      <c r="D91" s="1641"/>
      <c r="K91" s="53"/>
      <c r="L91" s="53"/>
    </row>
    <row r="92" spans="1:12" s="237" customFormat="1">
      <c r="A92" s="234"/>
      <c r="D92" s="1641"/>
      <c r="K92" s="53"/>
      <c r="L92" s="53"/>
    </row>
    <row r="93" spans="1:12" s="237" customFormat="1">
      <c r="A93" s="234"/>
      <c r="D93" s="1641"/>
      <c r="K93" s="53"/>
      <c r="L93" s="53"/>
    </row>
    <row r="94" spans="1:12" s="237" customFormat="1">
      <c r="A94" s="234"/>
      <c r="D94" s="1641"/>
      <c r="K94" s="53"/>
      <c r="L94" s="53"/>
    </row>
    <row r="95" spans="1:12" s="237" customFormat="1">
      <c r="A95" s="234"/>
      <c r="D95" s="1641"/>
      <c r="K95" s="53"/>
      <c r="L95" s="53"/>
    </row>
    <row r="96" spans="1:12" s="237" customFormat="1">
      <c r="A96" s="234"/>
      <c r="D96" s="1641"/>
      <c r="K96" s="53"/>
      <c r="L96" s="53"/>
    </row>
    <row r="97" spans="1:12" s="237" customFormat="1">
      <c r="A97" s="234"/>
      <c r="D97" s="1641"/>
      <c r="K97" s="53"/>
      <c r="L97" s="53"/>
    </row>
    <row r="98" spans="1:12" s="237" customFormat="1">
      <c r="A98" s="234"/>
      <c r="D98" s="1641"/>
      <c r="K98" s="53"/>
      <c r="L98" s="53"/>
    </row>
    <row r="99" spans="1:12" s="237" customFormat="1">
      <c r="A99" s="234"/>
      <c r="D99" s="1641"/>
      <c r="K99" s="53"/>
      <c r="L99" s="53"/>
    </row>
    <row r="100" spans="1:12" s="237" customFormat="1">
      <c r="A100" s="234"/>
      <c r="D100" s="1641"/>
      <c r="K100" s="53"/>
      <c r="L100" s="53"/>
    </row>
    <row r="101" spans="1:12" s="237" customFormat="1">
      <c r="A101" s="234"/>
      <c r="D101" s="1641"/>
      <c r="K101" s="53"/>
      <c r="L101" s="53"/>
    </row>
    <row r="102" spans="1:12" s="237" customFormat="1">
      <c r="A102" s="234"/>
      <c r="D102" s="1641"/>
      <c r="K102" s="53"/>
      <c r="L102" s="53"/>
    </row>
    <row r="103" spans="1:12" s="237" customFormat="1">
      <c r="A103" s="234"/>
      <c r="D103" s="1641"/>
      <c r="K103" s="53"/>
      <c r="L103" s="53"/>
    </row>
    <row r="104" spans="1:12" s="237" customFormat="1">
      <c r="A104" s="234"/>
      <c r="D104" s="1641"/>
      <c r="K104" s="53"/>
      <c r="L104" s="53"/>
    </row>
    <row r="105" spans="1:12" s="237" customFormat="1">
      <c r="A105" s="234"/>
      <c r="D105" s="1641"/>
      <c r="K105" s="53"/>
      <c r="L105" s="53"/>
    </row>
    <row r="106" spans="1:12" s="237" customFormat="1">
      <c r="A106" s="234"/>
      <c r="D106" s="1641"/>
      <c r="K106" s="53"/>
      <c r="L106" s="53"/>
    </row>
    <row r="107" spans="1:12" s="237" customFormat="1">
      <c r="A107" s="234"/>
      <c r="D107" s="1641"/>
      <c r="K107" s="53"/>
      <c r="L107" s="53"/>
    </row>
    <row r="108" spans="1:12" s="237" customFormat="1">
      <c r="A108" s="234"/>
      <c r="D108" s="1641"/>
      <c r="K108" s="53"/>
      <c r="L108" s="53"/>
    </row>
    <row r="109" spans="1:12" s="237" customFormat="1">
      <c r="A109" s="234"/>
      <c r="D109" s="1641"/>
      <c r="K109" s="53"/>
      <c r="L109" s="53"/>
    </row>
    <row r="110" spans="1:12" s="237" customFormat="1">
      <c r="A110" s="234"/>
      <c r="D110" s="1641"/>
      <c r="K110" s="53"/>
      <c r="L110" s="53"/>
    </row>
    <row r="111" spans="1:12" s="237" customFormat="1">
      <c r="A111" s="234"/>
      <c r="D111" s="1641"/>
      <c r="K111" s="53"/>
      <c r="L111" s="53"/>
    </row>
    <row r="112" spans="1:12" s="237" customFormat="1">
      <c r="A112" s="234"/>
      <c r="D112" s="1641"/>
      <c r="K112" s="53"/>
      <c r="L112" s="53"/>
    </row>
    <row r="113" spans="1:12" s="237" customFormat="1">
      <c r="A113" s="234"/>
      <c r="D113" s="1641"/>
      <c r="K113" s="53"/>
      <c r="L113" s="53"/>
    </row>
    <row r="114" spans="1:12" s="237" customFormat="1">
      <c r="A114" s="234"/>
      <c r="D114" s="1641"/>
      <c r="K114" s="53"/>
      <c r="L114" s="53"/>
    </row>
    <row r="115" spans="1:12" s="237" customFormat="1">
      <c r="A115" s="234"/>
      <c r="D115" s="1641"/>
      <c r="K115" s="53"/>
      <c r="L115" s="53"/>
    </row>
    <row r="116" spans="1:12" s="237" customFormat="1">
      <c r="A116" s="234"/>
      <c r="D116" s="1641"/>
      <c r="K116" s="53"/>
      <c r="L116" s="53"/>
    </row>
    <row r="117" spans="1:12" s="237" customFormat="1">
      <c r="A117" s="234"/>
      <c r="D117" s="1641"/>
      <c r="K117" s="53"/>
      <c r="L117" s="53"/>
    </row>
    <row r="118" spans="1:12" s="237" customFormat="1">
      <c r="A118" s="234"/>
      <c r="D118" s="1641"/>
      <c r="K118" s="53"/>
      <c r="L118" s="53"/>
    </row>
    <row r="119" spans="1:12" s="237" customFormat="1">
      <c r="A119" s="234"/>
      <c r="D119" s="1641"/>
      <c r="K119" s="53"/>
      <c r="L119" s="53"/>
    </row>
    <row r="120" spans="1:12" s="237" customFormat="1">
      <c r="A120" s="234"/>
      <c r="D120" s="1641"/>
      <c r="K120" s="53"/>
      <c r="L120" s="53"/>
    </row>
    <row r="121" spans="1:12" s="237" customFormat="1">
      <c r="A121" s="234"/>
      <c r="D121" s="1641"/>
      <c r="K121" s="53"/>
      <c r="L121" s="53"/>
    </row>
    <row r="122" spans="1:12" s="237" customFormat="1">
      <c r="A122" s="234"/>
      <c r="D122" s="1641"/>
      <c r="K122" s="53"/>
      <c r="L122" s="53"/>
    </row>
    <row r="123" spans="1:12" s="237" customFormat="1">
      <c r="A123" s="234"/>
      <c r="D123" s="1641"/>
      <c r="K123" s="53"/>
      <c r="L123" s="53"/>
    </row>
    <row r="124" spans="1:12" s="237" customFormat="1">
      <c r="A124" s="234"/>
      <c r="D124" s="1641"/>
      <c r="K124" s="53"/>
      <c r="L124" s="53"/>
    </row>
    <row r="125" spans="1:12" s="237" customFormat="1">
      <c r="A125" s="234"/>
      <c r="D125" s="1641"/>
      <c r="K125" s="53"/>
      <c r="L125" s="53"/>
    </row>
    <row r="126" spans="1:12" s="237" customFormat="1">
      <c r="A126" s="234"/>
      <c r="D126" s="1641"/>
      <c r="K126" s="53"/>
      <c r="L126" s="53"/>
    </row>
    <row r="127" spans="1:12" s="237" customFormat="1">
      <c r="A127" s="234"/>
      <c r="D127" s="1641"/>
      <c r="K127" s="53"/>
      <c r="L127" s="53"/>
    </row>
    <row r="128" spans="1:12" s="237" customFormat="1">
      <c r="A128" s="234"/>
      <c r="D128" s="1641"/>
      <c r="K128" s="53"/>
      <c r="L128" s="53"/>
    </row>
    <row r="129" spans="1:12" s="237" customFormat="1">
      <c r="A129" s="234"/>
      <c r="D129" s="1641"/>
      <c r="K129" s="53"/>
      <c r="L129" s="53"/>
    </row>
    <row r="130" spans="1:12" s="237" customFormat="1">
      <c r="A130" s="234"/>
      <c r="D130" s="1641"/>
      <c r="K130" s="53"/>
      <c r="L130" s="53"/>
    </row>
    <row r="131" spans="1:12" s="237" customFormat="1">
      <c r="A131" s="234"/>
      <c r="D131" s="1641"/>
      <c r="K131" s="53"/>
      <c r="L131" s="53"/>
    </row>
    <row r="132" spans="1:12" s="237" customFormat="1">
      <c r="A132" s="234"/>
      <c r="D132" s="1641"/>
      <c r="K132" s="53"/>
      <c r="L132" s="53"/>
    </row>
    <row r="133" spans="1:12" s="237" customFormat="1">
      <c r="A133" s="234"/>
      <c r="D133" s="1641"/>
      <c r="K133" s="53"/>
      <c r="L133" s="53"/>
    </row>
    <row r="134" spans="1:12" s="237" customFormat="1">
      <c r="A134" s="234"/>
      <c r="D134" s="1641"/>
      <c r="K134" s="53"/>
      <c r="L134" s="53"/>
    </row>
    <row r="135" spans="1:12" s="237" customFormat="1">
      <c r="A135" s="234"/>
      <c r="D135" s="1641"/>
      <c r="K135" s="53"/>
      <c r="L135" s="53"/>
    </row>
    <row r="136" spans="1:12" s="237" customFormat="1">
      <c r="A136" s="234"/>
      <c r="D136" s="1641"/>
      <c r="K136" s="53"/>
      <c r="L136" s="53"/>
    </row>
    <row r="137" spans="1:12" s="237" customFormat="1">
      <c r="A137" s="234"/>
      <c r="D137" s="1641"/>
      <c r="K137" s="53"/>
      <c r="L137" s="53"/>
    </row>
    <row r="138" spans="1:12" s="237" customFormat="1">
      <c r="A138" s="234"/>
      <c r="D138" s="1641"/>
      <c r="K138" s="53"/>
      <c r="L138" s="53"/>
    </row>
    <row r="139" spans="1:12" s="237" customFormat="1">
      <c r="A139" s="234"/>
      <c r="D139" s="1641"/>
      <c r="K139" s="53"/>
      <c r="L139" s="53"/>
    </row>
    <row r="140" spans="1:12" s="237" customFormat="1">
      <c r="A140" s="234"/>
      <c r="D140" s="1641"/>
      <c r="K140" s="53"/>
      <c r="L140" s="53"/>
    </row>
    <row r="141" spans="1:12" s="237" customFormat="1">
      <c r="A141" s="234"/>
      <c r="D141" s="1641"/>
      <c r="K141" s="53"/>
      <c r="L141" s="53"/>
    </row>
    <row r="142" spans="1:12" s="237" customFormat="1">
      <c r="A142" s="234"/>
      <c r="D142" s="1641"/>
      <c r="K142" s="53"/>
      <c r="L142" s="53"/>
    </row>
    <row r="143" spans="1:12" s="237" customFormat="1">
      <c r="A143" s="234"/>
      <c r="D143" s="1641"/>
      <c r="K143" s="53"/>
      <c r="L143" s="53"/>
    </row>
    <row r="144" spans="1:12" s="237" customFormat="1">
      <c r="A144" s="234"/>
      <c r="D144" s="1641"/>
      <c r="K144" s="53"/>
      <c r="L144" s="53"/>
    </row>
    <row r="145" spans="1:12" s="237" customFormat="1">
      <c r="A145" s="234"/>
      <c r="D145" s="1641"/>
      <c r="K145" s="53"/>
      <c r="L145" s="53"/>
    </row>
    <row r="146" spans="1:12" s="237" customFormat="1">
      <c r="A146" s="234"/>
      <c r="D146" s="1641"/>
      <c r="K146" s="53"/>
      <c r="L146" s="53"/>
    </row>
    <row r="147" spans="1:12" s="237" customFormat="1">
      <c r="A147" s="234"/>
      <c r="D147" s="1641"/>
      <c r="K147" s="53"/>
      <c r="L147" s="53"/>
    </row>
    <row r="148" spans="1:12" s="237" customFormat="1">
      <c r="A148" s="234"/>
      <c r="D148" s="1641"/>
      <c r="K148" s="53"/>
      <c r="L148" s="53"/>
    </row>
    <row r="149" spans="1:12" s="237" customFormat="1">
      <c r="A149" s="234"/>
      <c r="D149" s="1641"/>
      <c r="K149" s="53"/>
      <c r="L149" s="53"/>
    </row>
    <row r="150" spans="1:12" s="237" customFormat="1">
      <c r="A150" s="234"/>
      <c r="D150" s="1641"/>
      <c r="K150" s="53"/>
      <c r="L150" s="53"/>
    </row>
    <row r="151" spans="1:12" s="237" customFormat="1">
      <c r="A151" s="234"/>
      <c r="D151" s="1641"/>
      <c r="K151" s="53"/>
      <c r="L151" s="53"/>
    </row>
    <row r="152" spans="1:12" s="237" customFormat="1">
      <c r="A152" s="234"/>
      <c r="D152" s="1641"/>
      <c r="K152" s="53"/>
      <c r="L152" s="53"/>
    </row>
    <row r="153" spans="1:12" s="237" customFormat="1">
      <c r="A153" s="234"/>
      <c r="D153" s="1641"/>
      <c r="K153" s="53"/>
      <c r="L153" s="53"/>
    </row>
    <row r="154" spans="1:12" s="237" customFormat="1">
      <c r="A154" s="234"/>
      <c r="D154" s="1641"/>
      <c r="K154" s="53"/>
      <c r="L154" s="53"/>
    </row>
    <row r="155" spans="1:12" s="237" customFormat="1">
      <c r="A155" s="234"/>
      <c r="D155" s="1641"/>
      <c r="K155" s="53"/>
      <c r="L155" s="53"/>
    </row>
    <row r="156" spans="1:12" s="237" customFormat="1">
      <c r="A156" s="234"/>
      <c r="D156" s="1641"/>
      <c r="K156" s="53"/>
      <c r="L156" s="53"/>
    </row>
    <row r="157" spans="1:12" s="237" customFormat="1">
      <c r="A157" s="234"/>
      <c r="D157" s="1641"/>
      <c r="K157" s="53"/>
      <c r="L157" s="53"/>
    </row>
    <row r="158" spans="1:12" s="237" customFormat="1">
      <c r="A158" s="234"/>
      <c r="D158" s="1641"/>
      <c r="K158" s="53"/>
      <c r="L158" s="53"/>
    </row>
    <row r="159" spans="1:12" s="237" customFormat="1">
      <c r="A159" s="234"/>
      <c r="D159" s="1641"/>
      <c r="K159" s="53"/>
      <c r="L159" s="53"/>
    </row>
    <row r="160" spans="1:12" s="237" customFormat="1">
      <c r="A160" s="234"/>
      <c r="D160" s="1641"/>
      <c r="K160" s="53"/>
      <c r="L160" s="53"/>
    </row>
    <row r="161" spans="1:12" s="237" customFormat="1">
      <c r="A161" s="234"/>
      <c r="D161" s="1641"/>
      <c r="K161" s="53"/>
      <c r="L161" s="53"/>
    </row>
    <row r="162" spans="1:12" s="237" customFormat="1">
      <c r="A162" s="234"/>
      <c r="D162" s="1641"/>
      <c r="K162" s="53"/>
      <c r="L162" s="53"/>
    </row>
    <row r="163" spans="1:12" s="237" customFormat="1">
      <c r="A163" s="234"/>
      <c r="D163" s="1641"/>
      <c r="K163" s="53"/>
      <c r="L163" s="53"/>
    </row>
    <row r="164" spans="1:12" s="237" customFormat="1">
      <c r="A164" s="234"/>
      <c r="D164" s="1641"/>
      <c r="K164" s="53"/>
      <c r="L164" s="53"/>
    </row>
    <row r="165" spans="1:12" s="237" customFormat="1">
      <c r="A165" s="234"/>
      <c r="D165" s="1641"/>
      <c r="K165" s="53"/>
      <c r="L165" s="53"/>
    </row>
    <row r="166" spans="1:12" s="237" customFormat="1">
      <c r="A166" s="234"/>
      <c r="D166" s="1641"/>
      <c r="K166" s="53"/>
      <c r="L166" s="53"/>
    </row>
    <row r="167" spans="1:12" s="237" customFormat="1">
      <c r="A167" s="234"/>
      <c r="D167" s="1641"/>
      <c r="K167" s="53"/>
      <c r="L167" s="53"/>
    </row>
    <row r="168" spans="1:12" s="237" customFormat="1">
      <c r="A168" s="234"/>
      <c r="D168" s="1641"/>
      <c r="K168" s="53"/>
      <c r="L168" s="53"/>
    </row>
    <row r="169" spans="1:12" s="237" customFormat="1">
      <c r="A169" s="234"/>
      <c r="D169" s="1641"/>
      <c r="K169" s="53"/>
      <c r="L169" s="53"/>
    </row>
    <row r="170" spans="1:12" s="237" customFormat="1">
      <c r="A170" s="234"/>
      <c r="D170" s="1641"/>
      <c r="K170" s="53"/>
      <c r="L170" s="53"/>
    </row>
    <row r="171" spans="1:12" s="237" customFormat="1">
      <c r="A171" s="234"/>
      <c r="D171" s="1641"/>
      <c r="K171" s="53"/>
      <c r="L171" s="53"/>
    </row>
    <row r="172" spans="1:12" s="237" customFormat="1">
      <c r="A172" s="234"/>
      <c r="D172" s="1641"/>
      <c r="K172" s="53"/>
      <c r="L172" s="53"/>
    </row>
    <row r="173" spans="1:12" s="237" customFormat="1">
      <c r="A173" s="234"/>
      <c r="D173" s="1641"/>
      <c r="K173" s="53"/>
      <c r="L173" s="53"/>
    </row>
    <row r="174" spans="1:12" s="237" customFormat="1">
      <c r="A174" s="234"/>
      <c r="D174" s="1641"/>
      <c r="K174" s="53"/>
      <c r="L174" s="53"/>
    </row>
    <row r="175" spans="1:12" s="237" customFormat="1">
      <c r="A175" s="234"/>
      <c r="D175" s="1641"/>
      <c r="K175" s="53"/>
      <c r="L175" s="53"/>
    </row>
    <row r="176" spans="1:12" s="237" customFormat="1">
      <c r="A176" s="234"/>
      <c r="D176" s="1641"/>
      <c r="K176" s="53"/>
      <c r="L176" s="53"/>
    </row>
    <row r="177" spans="1:12" s="237" customFormat="1">
      <c r="A177" s="234"/>
      <c r="D177" s="1641"/>
      <c r="K177" s="53"/>
      <c r="L177" s="53"/>
    </row>
    <row r="178" spans="1:12" s="237" customFormat="1">
      <c r="A178" s="234"/>
      <c r="D178" s="1641"/>
      <c r="K178" s="53"/>
      <c r="L178" s="53"/>
    </row>
    <row r="179" spans="1:12" s="237" customFormat="1">
      <c r="A179" s="234"/>
      <c r="D179" s="1641"/>
      <c r="K179" s="53"/>
      <c r="L179" s="53"/>
    </row>
    <row r="180" spans="1:12" s="237" customFormat="1">
      <c r="A180" s="234"/>
      <c r="D180" s="1641"/>
      <c r="K180" s="53"/>
      <c r="L180" s="53"/>
    </row>
    <row r="181" spans="1:12" s="237" customFormat="1">
      <c r="A181" s="234"/>
      <c r="D181" s="1641"/>
      <c r="K181" s="53"/>
      <c r="L181" s="53"/>
    </row>
    <row r="182" spans="1:12" s="237" customFormat="1">
      <c r="A182" s="234"/>
      <c r="D182" s="1641"/>
      <c r="K182" s="53"/>
      <c r="L182" s="53"/>
    </row>
    <row r="183" spans="1:12" s="237" customFormat="1">
      <c r="A183" s="234"/>
      <c r="D183" s="1641"/>
      <c r="K183" s="53"/>
      <c r="L183" s="53"/>
    </row>
    <row r="184" spans="1:12" s="237" customFormat="1">
      <c r="A184" s="234"/>
      <c r="D184" s="1641"/>
      <c r="K184" s="53"/>
      <c r="L184" s="53"/>
    </row>
    <row r="185" spans="1:12" s="237" customFormat="1">
      <c r="A185" s="234"/>
      <c r="D185" s="1641"/>
      <c r="K185" s="53"/>
      <c r="L185" s="53"/>
    </row>
    <row r="186" spans="1:12" s="237" customFormat="1">
      <c r="A186" s="234"/>
      <c r="D186" s="1641"/>
      <c r="K186" s="53"/>
      <c r="L186" s="53"/>
    </row>
    <row r="187" spans="1:12" s="237" customFormat="1">
      <c r="A187" s="234"/>
      <c r="D187" s="1641"/>
      <c r="K187" s="53"/>
      <c r="L187" s="53"/>
    </row>
    <row r="188" spans="1:12" s="237" customFormat="1">
      <c r="A188" s="234"/>
      <c r="D188" s="1641"/>
      <c r="K188" s="53"/>
      <c r="L188" s="53"/>
    </row>
    <row r="189" spans="1:12" s="237" customFormat="1">
      <c r="A189" s="234"/>
      <c r="D189" s="1641"/>
      <c r="K189" s="53"/>
      <c r="L189" s="53"/>
    </row>
    <row r="190" spans="1:12" s="237" customFormat="1">
      <c r="A190" s="234"/>
      <c r="D190" s="1641"/>
      <c r="K190" s="53"/>
      <c r="L190" s="53"/>
    </row>
    <row r="191" spans="1:12" s="237" customFormat="1">
      <c r="A191" s="234"/>
      <c r="D191" s="1641"/>
      <c r="K191" s="53"/>
      <c r="L191" s="53"/>
    </row>
    <row r="192" spans="1:12" s="237" customFormat="1">
      <c r="A192" s="234"/>
      <c r="D192" s="1641"/>
      <c r="K192" s="53"/>
      <c r="L192" s="53"/>
    </row>
  </sheetData>
  <sheetProtection password="CEE9" sheet="1" objects="1" scenarios="1" formatCells="0" formatColumns="0" formatRows="0"/>
  <dataConsolidate/>
  <phoneticPr fontId="3" type="noConversion"/>
  <conditionalFormatting sqref="T6:T13">
    <cfRule type="containsText" dxfId="148" priority="10" stopIfTrue="1" operator="containsText" text="自行计算">
      <formula>NOT(ISERROR(SEARCH("自行计算",T6)))</formula>
    </cfRule>
    <cfRule type="containsText" dxfId="147" priority="11" stopIfTrue="1" operator="containsText" text="自行计算">
      <formula>NOT(ISERROR(SEARCH("自行计算",T6)))</formula>
    </cfRule>
  </conditionalFormatting>
  <conditionalFormatting sqref="T6:T15">
    <cfRule type="expression" dxfId="146" priority="1" stopIfTrue="1">
      <formula>$T$4="按面积比例"</formula>
    </cfRule>
    <cfRule type="containsText" dxfId="145" priority="12" stopIfTrue="1" operator="containsText" text="自行计算">
      <formula>NOT(ISERROR(SEARCH("自行计算",T6)))</formula>
    </cfRule>
    <cfRule type="containsText" dxfId="144" priority="13" stopIfTrue="1" operator="containsText" text="自行计算">
      <formula>NOT(ISERROR(SEARCH("自行计算",T6)))</formula>
    </cfRule>
  </conditionalFormatting>
  <conditionalFormatting sqref="T12:T13">
    <cfRule type="containsText" dxfId="143" priority="2" stopIfTrue="1" operator="containsText" text="自行计算">
      <formula>NOT(ISERROR(SEARCH("自行计算",T12)))</formula>
    </cfRule>
    <cfRule type="containsText" dxfId="142" priority="3" stopIfTrue="1" operator="containsText" text="自行计算">
      <formula>NOT(ISERROR(SEARCH("自行计算",T12)))</formula>
    </cfRule>
    <cfRule type="containsText" dxfId="141" priority="4" stopIfTrue="1" operator="containsText" text="自行计算">
      <formula>NOT(ISERROR(SEARCH("自行计算",T12)))</formula>
    </cfRule>
    <cfRule type="containsText" dxfId="140" priority="5" stopIfTrue="1" operator="containsText" text="自行计算">
      <formula>NOT(ISERROR(SEARCH("自行计算",T12)))</formula>
    </cfRule>
  </conditionalFormatting>
  <dataValidations count="8">
    <dataValidation type="list" allowBlank="1" showInputMessage="1" showErrorMessage="1" sqref="B44" xr:uid="{00000000-0002-0000-0D00-000000000000}">
      <formula1>"7%,5%,1%"</formula1>
    </dataValidation>
    <dataValidation type="list" allowBlank="1" showInputMessage="1" showErrorMessage="1" sqref="B53" xr:uid="{00000000-0002-0000-0D00-000001000000}">
      <formula1>城镇土地纳税等级分级范围</formula1>
    </dataValidation>
    <dataValidation type="list" allowBlank="1" showInputMessage="1" showErrorMessage="1" sqref="N5" xr:uid="{00000000-0002-0000-0D00-000002000000}">
      <formula1>"工程进度,成新度"</formula1>
    </dataValidation>
    <dataValidation type="list" allowBlank="1" showInputMessage="1" showErrorMessage="1" sqref="C6:C15" xr:uid="{00000000-0002-0000-0D00-000003000000}">
      <formula1>地类判定</formula1>
    </dataValidation>
    <dataValidation type="list" showInputMessage="1" showErrorMessage="1" sqref="AI6:AI13" xr:uid="{00000000-0002-0000-0D00-000004000000}">
      <formula1>"365,12,1"</formula1>
    </dataValidation>
    <dataValidation type="list" allowBlank="1" showInputMessage="1" showErrorMessage="1" sqref="B14:B15" xr:uid="{00000000-0002-0000-0D00-000005000000}">
      <formula1>类别</formula1>
    </dataValidation>
    <dataValidation type="list" allowBlank="1" showInputMessage="1" showErrorMessage="1" sqref="AN6:AN13" xr:uid="{00000000-0002-0000-0D00-000006000000}">
      <formula1>估价方法</formula1>
    </dataValidation>
    <dataValidation type="list" allowBlank="1" showInputMessage="1" showErrorMessage="1" sqref="A40" xr:uid="{00000000-0002-0000-0D00-00000700000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G24" sqref="G24"/>
    </sheetView>
  </sheetViews>
  <sheetFormatPr defaultColWidth="9" defaultRowHeight="13.5"/>
  <cols>
    <col min="1" max="1" width="9.5" style="2645" customWidth="1"/>
    <col min="2" max="2" width="23.5" style="2666" customWidth="1"/>
    <col min="3" max="3" width="32.25" style="2666" customWidth="1"/>
    <col min="4" max="4" width="2.625" style="2666" customWidth="1"/>
    <col min="5" max="5" width="5.875" style="2666" customWidth="1"/>
    <col min="6" max="6" width="23.625" style="2666" customWidth="1"/>
    <col min="7" max="7" width="33.375" style="2666" customWidth="1"/>
    <col min="8" max="8" width="11.875" style="2666" customWidth="1"/>
    <col min="9" max="9" width="16.75" style="2666" customWidth="1"/>
    <col min="10" max="10" width="2.625" style="2666" customWidth="1"/>
    <col min="11" max="11" width="11.875" style="2666" customWidth="1"/>
    <col min="12" max="12" width="16.75" style="2666" customWidth="1"/>
    <col min="13" max="13" width="2.625" style="2666" customWidth="1"/>
    <col min="14" max="14" width="11.875" style="2666" customWidth="1"/>
    <col min="15" max="15" width="16.75" style="2666" customWidth="1"/>
    <col min="16" max="16" width="2.625" style="2666" customWidth="1"/>
    <col min="17" max="17" width="11.875" style="2666" customWidth="1"/>
    <col min="18" max="18" width="16.75" style="2645" customWidth="1"/>
    <col min="19" max="16384" width="9" style="2645"/>
  </cols>
  <sheetData>
    <row r="1" spans="1:18" s="2639" customFormat="1" ht="19.5" thickBot="1">
      <c r="A1" s="3524" t="s">
        <v>1198</v>
      </c>
      <c r="B1" s="3525"/>
      <c r="C1" s="3525"/>
      <c r="D1" s="3525"/>
      <c r="E1" s="3525"/>
      <c r="F1" s="3525"/>
      <c r="G1" s="3525"/>
      <c r="H1" s="2637"/>
      <c r="I1" s="2637"/>
      <c r="J1" s="2637"/>
      <c r="K1" s="2637"/>
      <c r="L1" s="2637"/>
      <c r="M1" s="2637"/>
      <c r="N1" s="2637"/>
      <c r="O1" s="2637"/>
      <c r="P1" s="2637"/>
      <c r="Q1" s="2638"/>
    </row>
    <row r="2" spans="1:18" ht="14.25" thickBot="1">
      <c r="A2" s="2640"/>
      <c r="B2" s="2641"/>
      <c r="C2" s="2642" t="s">
        <v>1199</v>
      </c>
      <c r="D2" s="2643"/>
      <c r="E2" s="2640"/>
      <c r="F2" s="2644"/>
      <c r="G2" s="2642" t="s">
        <v>1200</v>
      </c>
      <c r="H2" s="2645"/>
      <c r="I2" s="2645"/>
      <c r="J2" s="2645"/>
      <c r="K2" s="2645"/>
      <c r="L2" s="2645"/>
      <c r="M2" s="2645"/>
      <c r="N2" s="2645"/>
      <c r="O2" s="2645"/>
      <c r="P2" s="2645"/>
      <c r="Q2" s="2645"/>
    </row>
    <row r="3" spans="1:18" ht="40.5">
      <c r="A3" s="2646" t="s">
        <v>1201</v>
      </c>
      <c r="B3" s="2647" t="s">
        <v>1188</v>
      </c>
      <c r="C3" s="2648" t="s">
        <v>2184</v>
      </c>
      <c r="D3" s="2649"/>
      <c r="E3" s="2650" t="s">
        <v>1201</v>
      </c>
      <c r="F3" s="2651" t="s">
        <v>1189</v>
      </c>
      <c r="G3" s="2652" t="s">
        <v>2183</v>
      </c>
      <c r="H3" s="2645"/>
      <c r="I3" s="2645"/>
      <c r="J3" s="2645"/>
      <c r="K3" s="2645"/>
      <c r="L3" s="2645"/>
      <c r="M3" s="2645"/>
      <c r="N3" s="2645"/>
      <c r="O3" s="2645"/>
      <c r="P3" s="2645"/>
      <c r="Q3" s="2645"/>
    </row>
    <row r="4" spans="1:18" ht="40.5">
      <c r="A4" s="2650"/>
      <c r="B4" s="2653" t="s">
        <v>1202</v>
      </c>
      <c r="C4" s="2654" t="s">
        <v>2185</v>
      </c>
      <c r="D4" s="2649"/>
      <c r="E4" s="2655"/>
      <c r="F4" s="2656" t="s">
        <v>1203</v>
      </c>
      <c r="G4" s="2657" t="s">
        <v>2180</v>
      </c>
      <c r="H4" s="2645"/>
      <c r="I4" s="2645"/>
      <c r="J4" s="2645"/>
      <c r="K4" s="2645"/>
      <c r="L4" s="2645"/>
      <c r="M4" s="2645"/>
      <c r="N4" s="2645"/>
      <c r="O4" s="2645"/>
      <c r="P4" s="2645"/>
      <c r="Q4" s="2645"/>
    </row>
    <row r="5" spans="1:18" ht="41.25">
      <c r="A5" s="2650"/>
      <c r="B5" s="2653" t="s">
        <v>1204</v>
      </c>
      <c r="C5" s="2654" t="s">
        <v>2186</v>
      </c>
      <c r="D5" s="2649"/>
      <c r="E5" s="2655"/>
      <c r="F5" s="2653" t="s">
        <v>1829</v>
      </c>
      <c r="G5" s="2657" t="s">
        <v>2181</v>
      </c>
      <c r="H5" s="2645"/>
      <c r="I5" s="2645"/>
      <c r="J5" s="2645"/>
      <c r="K5" s="2645"/>
      <c r="L5" s="2645"/>
      <c r="M5" s="2645"/>
      <c r="N5" s="2645"/>
      <c r="O5" s="2645"/>
      <c r="P5" s="2645"/>
      <c r="Q5" s="2645"/>
    </row>
    <row r="6" spans="1:18" ht="40.5">
      <c r="A6" s="2650"/>
      <c r="B6" s="2653" t="s">
        <v>1190</v>
      </c>
      <c r="C6" s="2657" t="s">
        <v>2180</v>
      </c>
      <c r="D6" s="2649"/>
      <c r="E6" s="2655"/>
      <c r="F6" s="2653" t="s">
        <v>1830</v>
      </c>
      <c r="G6" s="2657" t="s">
        <v>2178</v>
      </c>
      <c r="H6" s="2645"/>
      <c r="I6" s="2645"/>
      <c r="J6" s="2645"/>
      <c r="K6" s="2645"/>
      <c r="L6" s="2645"/>
      <c r="M6" s="2645"/>
      <c r="N6" s="2645"/>
      <c r="O6" s="2645"/>
      <c r="P6" s="2645"/>
      <c r="Q6" s="2645"/>
    </row>
    <row r="7" spans="1:18" ht="27.75" thickBot="1">
      <c r="A7" s="2650"/>
      <c r="B7" s="2653" t="s">
        <v>1829</v>
      </c>
      <c r="C7" s="2657" t="s">
        <v>2181</v>
      </c>
      <c r="D7" s="2658"/>
      <c r="E7" s="2659"/>
      <c r="F7" s="2660" t="s">
        <v>1205</v>
      </c>
      <c r="G7" s="2661" t="s">
        <v>2182</v>
      </c>
      <c r="H7" s="2645"/>
      <c r="I7" s="2645"/>
      <c r="J7" s="2645"/>
      <c r="K7" s="2645"/>
      <c r="L7" s="2645"/>
      <c r="M7" s="2645"/>
      <c r="N7" s="2645"/>
      <c r="O7" s="2645"/>
      <c r="P7" s="2645"/>
      <c r="Q7" s="2645"/>
    </row>
    <row r="8" spans="1:18">
      <c r="A8" s="2650"/>
      <c r="B8" s="2653" t="s">
        <v>1830</v>
      </c>
      <c r="C8" s="2657" t="s">
        <v>2178</v>
      </c>
      <c r="D8" s="2658"/>
      <c r="E8" s="2658"/>
      <c r="F8" s="2662"/>
      <c r="G8" s="2662"/>
      <c r="H8" s="2645"/>
      <c r="I8" s="2645"/>
      <c r="J8" s="2645"/>
      <c r="K8" s="2645"/>
      <c r="L8" s="2645"/>
      <c r="M8" s="2645"/>
      <c r="N8" s="2645"/>
      <c r="O8" s="2645"/>
      <c r="P8" s="2645"/>
      <c r="Q8" s="2645"/>
    </row>
    <row r="9" spans="1:18" ht="27">
      <c r="A9" s="2650"/>
      <c r="B9" s="2653" t="s">
        <v>1191</v>
      </c>
      <c r="C9" s="2654" t="s">
        <v>2179</v>
      </c>
      <c r="D9" s="2649"/>
      <c r="E9" s="2658"/>
      <c r="F9" s="2662"/>
      <c r="G9" s="2662"/>
      <c r="H9" s="2645"/>
      <c r="I9" s="2645"/>
      <c r="J9" s="2645"/>
      <c r="K9" s="2645"/>
      <c r="L9" s="2645"/>
      <c r="M9" s="2645"/>
      <c r="N9" s="2645"/>
      <c r="O9" s="2645"/>
      <c r="P9" s="2645"/>
      <c r="Q9" s="2645"/>
    </row>
    <row r="10" spans="1:18" ht="15" thickBot="1">
      <c r="A10" s="2663"/>
      <c r="B10" s="2664" t="s">
        <v>1206</v>
      </c>
      <c r="C10" s="2665"/>
      <c r="D10" s="2649"/>
      <c r="E10" s="2649"/>
      <c r="F10" s="2662"/>
      <c r="G10" s="2662"/>
      <c r="J10" s="2667"/>
      <c r="M10" s="2667"/>
      <c r="P10" s="2667"/>
      <c r="R10" s="2666"/>
    </row>
    <row r="11" spans="1:18">
      <c r="A11" s="2668"/>
      <c r="B11" s="2658"/>
      <c r="C11" s="2649"/>
      <c r="D11" s="2649"/>
      <c r="E11" s="2649"/>
      <c r="F11" s="2658"/>
      <c r="G11" s="2658"/>
      <c r="J11" s="2667"/>
      <c r="M11" s="2667"/>
      <c r="P11" s="2667"/>
      <c r="R11" s="2666"/>
    </row>
    <row r="12" spans="1:18" s="2639" customFormat="1" ht="18.75">
      <c r="A12" s="2668"/>
      <c r="B12" s="2658"/>
      <c r="C12" s="2649"/>
      <c r="D12" s="2669"/>
      <c r="E12" s="2649"/>
      <c r="F12" s="2658"/>
      <c r="G12" s="2658"/>
      <c r="H12" s="2670"/>
      <c r="I12" s="2670"/>
      <c r="J12" s="2670"/>
      <c r="K12" s="2670"/>
      <c r="L12" s="2671"/>
      <c r="M12" s="2670"/>
      <c r="N12" s="2672"/>
      <c r="O12" s="2672"/>
      <c r="P12" s="2672"/>
      <c r="Q12" s="2672"/>
    </row>
    <row r="13" spans="1:18" ht="19.5" thickBot="1">
      <c r="A13" s="2673" t="s">
        <v>1207</v>
      </c>
      <c r="B13" s="2669"/>
      <c r="C13" s="2669"/>
      <c r="D13" s="2643"/>
      <c r="E13" s="2669"/>
      <c r="F13" s="2669"/>
      <c r="G13" s="2669"/>
    </row>
    <row r="14" spans="1:18" ht="14.25" thickBot="1">
      <c r="A14" s="2674"/>
      <c r="B14" s="2674"/>
      <c r="C14" s="2675" t="s">
        <v>1199</v>
      </c>
      <c r="D14" s="2649"/>
      <c r="E14" s="2676"/>
      <c r="F14" s="2676"/>
      <c r="G14" s="2642" t="s">
        <v>1200</v>
      </c>
    </row>
    <row r="15" spans="1:18" ht="40.5">
      <c r="A15" s="2677" t="s">
        <v>1192</v>
      </c>
      <c r="B15" s="2678" t="s">
        <v>1188</v>
      </c>
      <c r="C15" s="2679" t="str">
        <f>C3</f>
        <v>估价对象周边居住用地比例、居住小区规模和社区发展完善程度，综合评价居住社区成熟度一般</v>
      </c>
      <c r="D15" s="2649"/>
      <c r="E15" s="2680" t="s">
        <v>1193</v>
      </c>
      <c r="F15" s="2678" t="s">
        <v>1208</v>
      </c>
      <c r="G15" s="2681" t="str">
        <f>G3</f>
        <v>估价对象位于XX开发区，园区建设成熟度XX，产业集聚程度XX</v>
      </c>
    </row>
    <row r="16" spans="1:18" ht="40.5">
      <c r="A16" s="2682"/>
      <c r="B16" s="2683" t="s">
        <v>1202</v>
      </c>
      <c r="C16" s="2684" t="str">
        <f>C4</f>
        <v>估价对象位于XX商圈，周边商业氛围成熟，人流量大，商业繁华度好</v>
      </c>
      <c r="D16" s="2649"/>
      <c r="E16" s="2685"/>
      <c r="F16" s="2686" t="s">
        <v>1203</v>
      </c>
      <c r="G16" s="2687" t="str">
        <f>G4</f>
        <v>估价对象周边道路状况、公共交通通达情况、停车便捷程度，综合评价交通便捷度较好</v>
      </c>
    </row>
    <row r="17" spans="1:7" ht="40.5">
      <c r="A17" s="2682"/>
      <c r="B17" s="2683" t="s">
        <v>1204</v>
      </c>
      <c r="C17" s="2684" t="str">
        <f>C5</f>
        <v>估价对象位于XX商圈，周边办公楼项目较多，入驻率高，办公集聚程度较好</v>
      </c>
      <c r="D17" s="2658"/>
      <c r="E17" s="2685"/>
      <c r="F17" s="2686" t="s">
        <v>1209</v>
      </c>
      <c r="G17" s="2688"/>
    </row>
    <row r="18" spans="1:7" ht="40.5">
      <c r="A18" s="2682"/>
      <c r="B18" s="2686" t="s">
        <v>1190</v>
      </c>
      <c r="C18" s="2687" t="str">
        <f>C6</f>
        <v>估价对象周边道路状况、公共交通通达情况、停车便捷程度，综合评价交通便捷度较好</v>
      </c>
      <c r="D18" s="2658"/>
      <c r="E18" s="2685"/>
      <c r="F18" s="2686" t="s">
        <v>1205</v>
      </c>
      <c r="G18" s="2687" t="str">
        <f>G7</f>
        <v>该园区内是否有污染型企业，绿化情况，卫生条件，整体环境状况判断</v>
      </c>
    </row>
    <row r="19" spans="1:7" ht="27">
      <c r="A19" s="2682"/>
      <c r="B19" s="2686" t="s">
        <v>1194</v>
      </c>
      <c r="C19" s="2688"/>
      <c r="D19" s="2649"/>
      <c r="E19" s="2685"/>
      <c r="F19" s="2653" t="s">
        <v>1829</v>
      </c>
      <c r="G19" s="2687" t="str">
        <f>G5</f>
        <v>估价对象所在区域公共配套设施齐备情况</v>
      </c>
    </row>
    <row r="20" spans="1:7" ht="27">
      <c r="A20" s="2682"/>
      <c r="B20" s="2686" t="s">
        <v>1195</v>
      </c>
      <c r="C20" s="2684" t="str">
        <f>C9</f>
        <v>区域自然环境：；人文环境；综合评价环境状况一般</v>
      </c>
      <c r="D20" s="2658"/>
      <c r="E20" s="2685"/>
      <c r="F20" s="2653" t="s">
        <v>1830</v>
      </c>
      <c r="G20" s="2687" t="str">
        <f>G6</f>
        <v>估价对象所在区域基础设施水平</v>
      </c>
    </row>
    <row r="21" spans="1:7" ht="27">
      <c r="A21" s="2682"/>
      <c r="B21" s="2653" t="s">
        <v>1829</v>
      </c>
      <c r="C21" s="2687" t="str">
        <f>C7</f>
        <v>估价对象所在区域公共配套设施齐备情况</v>
      </c>
      <c r="D21" s="2649"/>
      <c r="E21" s="2685"/>
      <c r="F21" s="2686" t="s">
        <v>1196</v>
      </c>
      <c r="G21" s="2689"/>
    </row>
    <row r="22" spans="1:7" ht="14.25">
      <c r="A22" s="2682"/>
      <c r="B22" s="2653" t="s">
        <v>1830</v>
      </c>
      <c r="C22" s="2687" t="str">
        <f>C8</f>
        <v>估价对象所在区域基础设施水平</v>
      </c>
      <c r="D22" s="2649"/>
      <c r="E22" s="2685"/>
      <c r="F22" s="2686" t="s">
        <v>1206</v>
      </c>
      <c r="G22" s="2688"/>
    </row>
    <row r="23" spans="1:7" ht="15" thickBot="1">
      <c r="A23" s="2682"/>
      <c r="B23" s="2686" t="s">
        <v>1196</v>
      </c>
      <c r="C23" s="2689"/>
      <c r="E23" s="2690"/>
      <c r="F23" s="2691" t="s">
        <v>1210</v>
      </c>
      <c r="G23" s="3398" t="s">
        <v>3355</v>
      </c>
    </row>
    <row r="24" spans="1:7" ht="14.25" thickBot="1">
      <c r="A24" s="2692"/>
      <c r="B24" s="2691" t="s">
        <v>1197</v>
      </c>
      <c r="C24" s="2693">
        <f>C10</f>
        <v>0</v>
      </c>
      <c r="E24" s="2658"/>
      <c r="F24" s="2658"/>
      <c r="G24" s="2658"/>
    </row>
    <row r="25" spans="1:7">
      <c r="E25" s="2645"/>
      <c r="F25" s="2645"/>
      <c r="G25" s="2645"/>
    </row>
    <row r="26" spans="1:7">
      <c r="E26" s="2645"/>
      <c r="F26" s="2645"/>
      <c r="G26" s="2645"/>
    </row>
    <row r="27" spans="1:7">
      <c r="E27" s="2645"/>
      <c r="F27" s="2645"/>
      <c r="G27" s="2645"/>
    </row>
    <row r="28" spans="1:7">
      <c r="E28" s="2645"/>
      <c r="F28" s="2645"/>
      <c r="G28" s="2645"/>
    </row>
    <row r="29" spans="1:7">
      <c r="E29" s="2645"/>
      <c r="F29" s="2645"/>
      <c r="G29" s="2645"/>
    </row>
    <row r="30" spans="1:7">
      <c r="E30" s="2645"/>
      <c r="F30" s="2645"/>
      <c r="G30" s="2645"/>
    </row>
    <row r="31" spans="1:7">
      <c r="E31" s="2645"/>
      <c r="F31" s="2645"/>
      <c r="G31" s="2645"/>
    </row>
    <row r="32" spans="1:7">
      <c r="E32" s="2645"/>
      <c r="F32" s="2645"/>
      <c r="G32" s="2645"/>
    </row>
    <row r="33" spans="5:7">
      <c r="E33" s="2645"/>
      <c r="F33" s="2645"/>
      <c r="G33" s="2645"/>
    </row>
    <row r="34" spans="5:7">
      <c r="E34" s="2645"/>
      <c r="F34" s="2645"/>
      <c r="G34" s="2645"/>
    </row>
    <row r="35" spans="5:7">
      <c r="E35" s="2645"/>
      <c r="F35" s="2645"/>
      <c r="G35" s="2645"/>
    </row>
    <row r="36" spans="5:7">
      <c r="E36" s="2645"/>
      <c r="F36" s="2645"/>
      <c r="G36" s="2645"/>
    </row>
    <row r="37" spans="5:7">
      <c r="E37" s="2645"/>
      <c r="F37" s="2645"/>
      <c r="G37" s="2645"/>
    </row>
  </sheetData>
  <sheetProtection formatCells="0" formatColumns="0" formatRows="0"/>
  <mergeCells count="1">
    <mergeCell ref="A1:G1"/>
  </mergeCells>
  <phoneticPr fontId="21" type="noConversion"/>
  <dataValidations count="1">
    <dataValidation type="list" allowBlank="1" showInputMessage="1" showErrorMessage="1" sqref="C23 G21" xr:uid="{00000000-0002-0000-0E00-000000000000}">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0000"/>
  </sheetPr>
  <dimension ref="A1:J26"/>
  <sheetViews>
    <sheetView view="pageBreakPreview" zoomScale="80" zoomScaleNormal="80" zoomScaleSheetLayoutView="80" workbookViewId="0">
      <selection activeCell="I14" sqref="I14"/>
    </sheetView>
  </sheetViews>
  <sheetFormatPr defaultColWidth="14.625" defaultRowHeight="13.5"/>
  <cols>
    <col min="1" max="1" width="24.375" style="2695" customWidth="1"/>
    <col min="2" max="16384" width="14.625" style="2695"/>
  </cols>
  <sheetData>
    <row r="1" spans="1:10" ht="16.5">
      <c r="A1" s="2694" t="s">
        <v>2118</v>
      </c>
      <c r="B1" s="2694">
        <f>SUM(B14:B23)</f>
        <v>0</v>
      </c>
      <c r="C1" s="2702"/>
      <c r="D1" s="2702"/>
      <c r="E1" s="2702"/>
      <c r="F1" s="2702"/>
      <c r="G1" s="2703"/>
      <c r="H1" s="2703"/>
      <c r="I1" s="2703"/>
      <c r="J1" s="2703"/>
    </row>
    <row r="2" spans="1:10" ht="16.5">
      <c r="A2" s="2694" t="s">
        <v>2119</v>
      </c>
      <c r="B2" s="2694">
        <f>SUM(C14:C23)</f>
        <v>0</v>
      </c>
      <c r="C2" s="2702"/>
      <c r="D2" s="2702"/>
      <c r="E2" s="2702"/>
      <c r="F2" s="2702"/>
      <c r="G2" s="2703"/>
      <c r="H2" s="2703"/>
      <c r="I2" s="2703"/>
      <c r="J2" s="2703"/>
    </row>
    <row r="3" spans="1:10" ht="16.5">
      <c r="A3" s="2694" t="s">
        <v>2120</v>
      </c>
      <c r="B3" s="2696">
        <f>项目基本情况!D3</f>
        <v>45483</v>
      </c>
      <c r="C3" s="2702"/>
      <c r="D3" s="2702"/>
      <c r="E3" s="2702"/>
      <c r="F3" s="2702"/>
      <c r="G3" s="2703"/>
      <c r="H3" s="2703"/>
      <c r="I3" s="2703"/>
      <c r="J3" s="2703"/>
    </row>
    <row r="4" spans="1:10" ht="33">
      <c r="A4" s="2694" t="s">
        <v>2121</v>
      </c>
      <c r="B4" s="2694" t="s">
        <v>2122</v>
      </c>
      <c r="C4" s="2694" t="s">
        <v>2123</v>
      </c>
      <c r="D4" s="2694" t="s">
        <v>2124</v>
      </c>
      <c r="E4" s="2702"/>
      <c r="F4" s="2702"/>
      <c r="G4" s="2703"/>
      <c r="H4" s="2703"/>
      <c r="I4" s="2703"/>
      <c r="J4" s="2703"/>
    </row>
    <row r="5" spans="1:10" ht="16.5">
      <c r="A5" s="2694" t="s">
        <v>2125</v>
      </c>
      <c r="B5" s="2694">
        <f>SUM(D14:D23)</f>
        <v>0</v>
      </c>
      <c r="C5" s="2694" t="e">
        <f>ROUND(B5*10000/$B$1,0)</f>
        <v>#DIV/0!</v>
      </c>
      <c r="D5" s="2694" t="e">
        <f>ROUND(B5*10000/$B$2,0)</f>
        <v>#DIV/0!</v>
      </c>
      <c r="E5" s="2702"/>
      <c r="F5" s="2702"/>
      <c r="G5" s="2703"/>
      <c r="H5" s="2703"/>
      <c r="I5" s="2703"/>
      <c r="J5" s="2703"/>
    </row>
    <row r="6" spans="1:10" ht="16.5">
      <c r="A6" s="2694" t="s">
        <v>2126</v>
      </c>
      <c r="B6" s="2694">
        <f>SUM(G14:G23)</f>
        <v>0</v>
      </c>
      <c r="C6" s="2694" t="e">
        <f>ROUND(B6*10000/$B$1,0)</f>
        <v>#DIV/0!</v>
      </c>
      <c r="D6" s="2694" t="e">
        <f>ROUND(B6*10000/$B$2,0)</f>
        <v>#DIV/0!</v>
      </c>
      <c r="E6" s="2702"/>
      <c r="F6" s="2702"/>
      <c r="G6" s="2703"/>
      <c r="H6" s="2703"/>
      <c r="I6" s="2703"/>
      <c r="J6" s="2703"/>
    </row>
    <row r="7" spans="1:10" ht="16.5">
      <c r="A7" s="2694" t="s">
        <v>2127</v>
      </c>
      <c r="B7" s="2694">
        <f>SUM(H14:H23)</f>
        <v>0</v>
      </c>
      <c r="C7" s="2694" t="e">
        <f>ROUND(B7*10000/$B$1,0)</f>
        <v>#DIV/0!</v>
      </c>
      <c r="D7" s="2694" t="e">
        <f>ROUND(B7*10000/$B$2,0)</f>
        <v>#DIV/0!</v>
      </c>
      <c r="E7" s="2702"/>
      <c r="F7" s="2702"/>
      <c r="G7" s="2703"/>
      <c r="H7" s="2703"/>
      <c r="I7" s="2703"/>
      <c r="J7" s="2703"/>
    </row>
    <row r="8" spans="1:10" ht="16.5">
      <c r="A8" s="2694" t="s">
        <v>2128</v>
      </c>
      <c r="B8" s="2694">
        <f>SUM(I14:I23)</f>
        <v>0</v>
      </c>
      <c r="C8" s="2694" t="e">
        <f>ROUND(B8*10000/$B$1,0)</f>
        <v>#DIV/0!</v>
      </c>
      <c r="D8" s="2694" t="e">
        <f>ROUND(B8*10000/$B$2,0)</f>
        <v>#DIV/0!</v>
      </c>
      <c r="E8" s="2702"/>
      <c r="F8" s="2702"/>
      <c r="G8" s="2703"/>
      <c r="H8" s="2703"/>
      <c r="I8" s="2703"/>
      <c r="J8" s="2703"/>
    </row>
    <row r="9" spans="1:10" ht="16.5">
      <c r="A9" s="2694" t="s">
        <v>2129</v>
      </c>
      <c r="B9" s="2326"/>
      <c r="C9" s="2702"/>
      <c r="D9" s="2702"/>
      <c r="E9" s="2702"/>
      <c r="F9" s="2702"/>
      <c r="G9" s="2703"/>
      <c r="H9" s="2703"/>
      <c r="I9" s="2703"/>
      <c r="J9" s="2703"/>
    </row>
    <row r="10" spans="1:10" ht="16.5">
      <c r="A10" s="2694" t="s">
        <v>2130</v>
      </c>
      <c r="B10" s="2326"/>
      <c r="C10" s="2702"/>
      <c r="D10" s="2702"/>
      <c r="E10" s="2702"/>
      <c r="F10" s="2702"/>
      <c r="G10" s="2703"/>
      <c r="H10" s="2703"/>
      <c r="I10" s="2703"/>
      <c r="J10" s="2703"/>
    </row>
    <row r="11" spans="1:10" ht="16.5">
      <c r="A11" s="2694" t="s">
        <v>2147</v>
      </c>
      <c r="B11" s="2326"/>
      <c r="C11" s="2702"/>
      <c r="D11" s="2702"/>
      <c r="E11" s="2702"/>
      <c r="F11" s="2702"/>
      <c r="G11" s="2703"/>
      <c r="H11" s="2703"/>
      <c r="I11" s="2703"/>
      <c r="J11" s="2703"/>
    </row>
    <row r="12" spans="1:10" ht="16.5">
      <c r="A12" s="2702"/>
      <c r="B12" s="2702"/>
      <c r="C12" s="2702"/>
      <c r="D12" s="2702"/>
      <c r="E12" s="2702"/>
      <c r="F12" s="2702"/>
      <c r="G12" s="2703"/>
      <c r="H12" s="2703"/>
      <c r="I12" s="2703"/>
      <c r="J12" s="2703"/>
    </row>
    <row r="13" spans="1:10" ht="33">
      <c r="A13" s="2697" t="s">
        <v>2146</v>
      </c>
      <c r="B13" s="2698" t="s">
        <v>2118</v>
      </c>
      <c r="C13" s="2698" t="s">
        <v>2119</v>
      </c>
      <c r="D13" s="2698" t="s">
        <v>2131</v>
      </c>
      <c r="E13" s="2694" t="s">
        <v>2145</v>
      </c>
      <c r="F13" s="2694" t="s">
        <v>2124</v>
      </c>
      <c r="G13" s="2698" t="s">
        <v>2132</v>
      </c>
      <c r="H13" s="2698" t="s">
        <v>2133</v>
      </c>
      <c r="I13" s="2698" t="s">
        <v>2134</v>
      </c>
      <c r="J13" s="2703"/>
    </row>
    <row r="14" spans="1:10" ht="16.5">
      <c r="A14" s="2699" t="s">
        <v>2144</v>
      </c>
      <c r="B14" s="2700"/>
      <c r="C14" s="2700"/>
      <c r="D14" s="2700"/>
      <c r="E14" s="2700" t="e">
        <f>ROUND(D14*10000/B14,0)</f>
        <v>#DIV/0!</v>
      </c>
      <c r="F14" s="2700" t="e">
        <f>ROUND(D14*10000/C14,0)</f>
        <v>#DIV/0!</v>
      </c>
      <c r="G14" s="2700"/>
      <c r="H14" s="2700"/>
      <c r="I14" s="2700"/>
      <c r="J14" s="2703"/>
    </row>
    <row r="15" spans="1:10" ht="16.5">
      <c r="A15" s="2699" t="s">
        <v>2135</v>
      </c>
      <c r="B15" s="2701"/>
      <c r="C15" s="2701"/>
      <c r="D15" s="2701"/>
      <c r="E15" s="2700" t="e">
        <f t="shared" ref="E15:E23" si="0">ROUND(D15*10000/B15,0)</f>
        <v>#DIV/0!</v>
      </c>
      <c r="F15" s="2700" t="e">
        <f t="shared" ref="F15:F23" si="1">ROUND(D15*10000/C15,0)</f>
        <v>#DIV/0!</v>
      </c>
      <c r="G15" s="2326"/>
      <c r="H15" s="2326"/>
      <c r="I15" s="2701"/>
      <c r="J15" s="2703"/>
    </row>
    <row r="16" spans="1:10" ht="16.5">
      <c r="A16" s="2699" t="s">
        <v>2136</v>
      </c>
      <c r="B16" s="2701"/>
      <c r="C16" s="2701"/>
      <c r="D16" s="2701"/>
      <c r="E16" s="2700" t="e">
        <f t="shared" si="0"/>
        <v>#DIV/0!</v>
      </c>
      <c r="F16" s="2700" t="e">
        <f t="shared" si="1"/>
        <v>#DIV/0!</v>
      </c>
      <c r="G16" s="2326"/>
      <c r="H16" s="2326"/>
      <c r="I16" s="2701"/>
      <c r="J16" s="2703"/>
    </row>
    <row r="17" spans="1:10" ht="16.5">
      <c r="A17" s="2699" t="s">
        <v>2137</v>
      </c>
      <c r="B17" s="2701"/>
      <c r="C17" s="2701"/>
      <c r="D17" s="2701"/>
      <c r="E17" s="2700" t="e">
        <f t="shared" si="0"/>
        <v>#DIV/0!</v>
      </c>
      <c r="F17" s="2700" t="e">
        <f t="shared" si="1"/>
        <v>#DIV/0!</v>
      </c>
      <c r="G17" s="2326"/>
      <c r="H17" s="2326"/>
      <c r="I17" s="2701"/>
      <c r="J17" s="2703"/>
    </row>
    <row r="18" spans="1:10" ht="16.5">
      <c r="A18" s="2699" t="s">
        <v>2138</v>
      </c>
      <c r="B18" s="2701"/>
      <c r="C18" s="2701"/>
      <c r="D18" s="2701"/>
      <c r="E18" s="2700" t="e">
        <f t="shared" si="0"/>
        <v>#DIV/0!</v>
      </c>
      <c r="F18" s="2700" t="e">
        <f t="shared" si="1"/>
        <v>#DIV/0!</v>
      </c>
      <c r="G18" s="2701"/>
      <c r="H18" s="2701"/>
      <c r="I18" s="2701"/>
      <c r="J18" s="2703"/>
    </row>
    <row r="19" spans="1:10" ht="16.5">
      <c r="A19" s="2699" t="s">
        <v>2139</v>
      </c>
      <c r="B19" s="2701"/>
      <c r="C19" s="2701"/>
      <c r="D19" s="2701"/>
      <c r="E19" s="2700" t="e">
        <f t="shared" si="0"/>
        <v>#DIV/0!</v>
      </c>
      <c r="F19" s="2700" t="e">
        <f t="shared" si="1"/>
        <v>#DIV/0!</v>
      </c>
      <c r="G19" s="2701"/>
      <c r="H19" s="2701"/>
      <c r="I19" s="2701"/>
      <c r="J19" s="2703"/>
    </row>
    <row r="20" spans="1:10" ht="16.5">
      <c r="A20" s="2699" t="s">
        <v>2140</v>
      </c>
      <c r="B20" s="2701"/>
      <c r="C20" s="2701"/>
      <c r="D20" s="2701"/>
      <c r="E20" s="2700" t="e">
        <f t="shared" si="0"/>
        <v>#DIV/0!</v>
      </c>
      <c r="F20" s="2700" t="e">
        <f t="shared" si="1"/>
        <v>#DIV/0!</v>
      </c>
      <c r="G20" s="2701"/>
      <c r="H20" s="2701"/>
      <c r="I20" s="2701"/>
      <c r="J20" s="2703"/>
    </row>
    <row r="21" spans="1:10" ht="16.5">
      <c r="A21" s="2699" t="s">
        <v>2141</v>
      </c>
      <c r="B21" s="2701"/>
      <c r="C21" s="2701"/>
      <c r="D21" s="2701"/>
      <c r="E21" s="2700" t="e">
        <f t="shared" si="0"/>
        <v>#DIV/0!</v>
      </c>
      <c r="F21" s="2700" t="e">
        <f t="shared" si="1"/>
        <v>#DIV/0!</v>
      </c>
      <c r="G21" s="2701"/>
      <c r="H21" s="2701"/>
      <c r="I21" s="2701"/>
      <c r="J21" s="2703"/>
    </row>
    <row r="22" spans="1:10" ht="16.5">
      <c r="A22" s="2699" t="s">
        <v>2142</v>
      </c>
      <c r="B22" s="2701"/>
      <c r="C22" s="2701"/>
      <c r="D22" s="2701"/>
      <c r="E22" s="2700" t="e">
        <f t="shared" si="0"/>
        <v>#DIV/0!</v>
      </c>
      <c r="F22" s="2700" t="e">
        <f t="shared" si="1"/>
        <v>#DIV/0!</v>
      </c>
      <c r="G22" s="2701"/>
      <c r="H22" s="2701"/>
      <c r="I22" s="2701"/>
      <c r="J22" s="2703"/>
    </row>
    <row r="23" spans="1:10" ht="16.5">
      <c r="A23" s="2699" t="s">
        <v>2143</v>
      </c>
      <c r="B23" s="2701"/>
      <c r="C23" s="2701"/>
      <c r="D23" s="2701"/>
      <c r="E23" s="2326" t="e">
        <f t="shared" si="0"/>
        <v>#DIV/0!</v>
      </c>
      <c r="F23" s="2326" t="e">
        <f t="shared" si="1"/>
        <v>#DIV/0!</v>
      </c>
      <c r="G23" s="2701"/>
      <c r="H23" s="2701"/>
      <c r="I23" s="2701"/>
      <c r="J23" s="2703"/>
    </row>
    <row r="24" spans="1:10">
      <c r="A24" s="2703"/>
      <c r="B24" s="2703"/>
      <c r="C24" s="2703"/>
      <c r="D24" s="2703"/>
      <c r="E24" s="2703"/>
      <c r="F24" s="2703"/>
      <c r="G24" s="2703"/>
      <c r="H24" s="2703"/>
      <c r="I24" s="2703"/>
      <c r="J24" s="2703"/>
    </row>
    <row r="25" spans="1:10">
      <c r="A25" s="2703"/>
      <c r="B25" s="2703"/>
      <c r="C25" s="2703"/>
      <c r="D25" s="2703"/>
      <c r="E25" s="2703"/>
      <c r="F25" s="2703"/>
      <c r="G25" s="2703"/>
      <c r="H25" s="2703"/>
      <c r="I25" s="2703"/>
      <c r="J25" s="2703"/>
    </row>
    <row r="26" spans="1:10">
      <c r="A26" s="2703"/>
      <c r="B26" s="2703"/>
      <c r="C26" s="2703"/>
      <c r="D26" s="2703"/>
      <c r="E26" s="2703"/>
      <c r="F26" s="2703"/>
      <c r="G26" s="2703"/>
      <c r="H26" s="2703"/>
      <c r="I26" s="2703"/>
      <c r="J26" s="2703"/>
    </row>
  </sheetData>
  <sheetProtection password="CEE9" sheet="1" objects="1" scenarios="1" formatCells="0" formatColumns="0" formatRows="0"/>
  <phoneticPr fontId="224"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9">
    <tabColor rgb="FFFF0000"/>
    <pageSetUpPr fitToPage="1"/>
  </sheetPr>
  <dimension ref="A1:Z206"/>
  <sheetViews>
    <sheetView view="pageBreakPreview" zoomScale="96" zoomScaleNormal="100" zoomScaleSheetLayoutView="96" zoomScalePageLayoutView="80" workbookViewId="0">
      <selection activeCell="C5" sqref="C5:C7"/>
    </sheetView>
  </sheetViews>
  <sheetFormatPr defaultColWidth="12.625" defaultRowHeight="21.75" customHeight="1"/>
  <cols>
    <col min="1" max="2" width="12.75" style="1045" bestFit="1" customWidth="1"/>
    <col min="3" max="4" width="12.625" style="1045" customWidth="1"/>
    <col min="5" max="9" width="12.75" style="1045" bestFit="1" customWidth="1"/>
    <col min="10" max="10" width="2.25" style="237" customWidth="1"/>
    <col min="11" max="12" width="12.625" style="237" customWidth="1"/>
    <col min="13" max="13" width="12.625" style="237"/>
    <col min="14" max="14" width="15.625" style="237" bestFit="1" customWidth="1"/>
    <col min="15" max="19" width="12.75" style="237" bestFit="1" customWidth="1"/>
    <col min="20" max="26" width="12.625" style="237"/>
    <col min="27" max="16384" width="12.625" style="1045"/>
  </cols>
  <sheetData>
    <row r="1" spans="1:22" ht="21.75" customHeight="1" thickBot="1">
      <c r="A1" s="1473" t="s">
        <v>1573</v>
      </c>
      <c r="B1" s="1474"/>
      <c r="C1" s="1499" t="s">
        <v>1574</v>
      </c>
      <c r="D1" s="1500"/>
      <c r="E1" s="1499" t="s">
        <v>1575</v>
      </c>
      <c r="F1" s="1501"/>
      <c r="G1" s="287"/>
      <c r="H1" s="287"/>
      <c r="I1" s="287"/>
      <c r="J1" s="1636"/>
      <c r="K1" s="1636"/>
      <c r="L1" s="1636"/>
      <c r="M1" s="1636"/>
      <c r="N1" s="1636"/>
      <c r="O1" s="1636"/>
      <c r="P1" s="1636"/>
      <c r="Q1" s="1636"/>
      <c r="R1" s="1636"/>
      <c r="S1" s="1636"/>
      <c r="T1" s="1636"/>
      <c r="U1" s="1636"/>
      <c r="V1" s="1636"/>
    </row>
    <row r="2" spans="1:22" ht="21.75" customHeight="1" thickBot="1">
      <c r="A2" s="3570" t="str">
        <f>项目基本情况!K2</f>
        <v>出让国有建设用地使用权</v>
      </c>
      <c r="B2" s="3571"/>
      <c r="C2" s="3572"/>
      <c r="D2" s="3572"/>
      <c r="E2" s="3572"/>
      <c r="F2" s="3572"/>
      <c r="G2" s="3571"/>
      <c r="H2" s="3571"/>
      <c r="I2" s="3573"/>
      <c r="J2" s="1643"/>
      <c r="K2" s="1636"/>
      <c r="L2" s="1636"/>
      <c r="M2" s="1636"/>
      <c r="N2" s="1636"/>
      <c r="O2" s="1636"/>
      <c r="P2" s="1636"/>
      <c r="Q2" s="1636"/>
      <c r="R2" s="1636"/>
      <c r="S2" s="1636"/>
      <c r="T2" s="1636"/>
      <c r="U2" s="1636"/>
      <c r="V2" s="1636"/>
    </row>
    <row r="3" spans="1:22" ht="14.25">
      <c r="A3" s="3581" t="s">
        <v>264</v>
      </c>
      <c r="B3" s="3582"/>
      <c r="C3" s="3582"/>
      <c r="D3" s="3582"/>
      <c r="E3" s="3582"/>
      <c r="F3" s="3582"/>
      <c r="G3" s="3582"/>
      <c r="H3" s="3582"/>
      <c r="I3" s="3582"/>
      <c r="J3" s="1643"/>
      <c r="K3" s="1636"/>
      <c r="L3" s="1636"/>
      <c r="M3" s="1636"/>
      <c r="N3" s="1636"/>
      <c r="O3" s="1636"/>
      <c r="P3" s="1636"/>
      <c r="Q3" s="1636"/>
      <c r="R3" s="1636"/>
      <c r="S3" s="1636"/>
      <c r="T3" s="1636"/>
      <c r="U3" s="1636"/>
      <c r="V3" s="1636"/>
    </row>
    <row r="4" spans="1:22" ht="14.25">
      <c r="A4" s="238" t="s">
        <v>265</v>
      </c>
      <c r="B4" s="239" t="s">
        <v>266</v>
      </c>
      <c r="C4" s="240" t="s">
        <v>3469</v>
      </c>
      <c r="D4" s="240" t="s">
        <v>3356</v>
      </c>
      <c r="E4" s="3545" t="s">
        <v>267</v>
      </c>
      <c r="F4" s="3587"/>
      <c r="G4" s="3587"/>
      <c r="H4" s="3587"/>
      <c r="I4" s="3546"/>
      <c r="J4" s="1643"/>
      <c r="K4" s="1636"/>
      <c r="L4" s="1119" t="str">
        <f>IF(ISNUMBER(FIND("比较法",C4)),"比较法",IF(ISNUMBER(FIND("成本法",C4)),"成本法",IF(ISNUMBER(FIND("剩余法",C4)),"剩余法",IF(ISNUMBER(FIND("收益法",C4)),"收益法","基准地价系数修正法"))))</f>
        <v>基准地价系数修正法</v>
      </c>
      <c r="M4" s="867" t="str">
        <f>IF(ISNUMBER(FIND("比较法",D4)),"比较法",IF(ISNUMBER(FIND("成本法",D4)),"成本法",IF(ISNUMBER(FIND("剩余法",D4)),"剩余法",IF(ISNUMBER(FIND("收益法",D4)),"收益法","基准地价系数修正法"))))</f>
        <v>基准地价系数修正法</v>
      </c>
      <c r="N4" s="1636"/>
      <c r="O4" s="1636"/>
      <c r="P4" s="1636"/>
      <c r="Q4" s="1636"/>
      <c r="R4" s="1636"/>
      <c r="S4" s="1636"/>
      <c r="T4" s="1636"/>
      <c r="U4" s="1636"/>
      <c r="V4" s="1636"/>
    </row>
    <row r="5" spans="1:22" ht="14.25">
      <c r="A5" s="3574" t="s">
        <v>268</v>
      </c>
      <c r="B5" s="3575">
        <v>25</v>
      </c>
      <c r="C5" s="3583">
        <v>3</v>
      </c>
      <c r="D5" s="3586">
        <f>10-C5</f>
        <v>7</v>
      </c>
      <c r="E5" s="241" t="s">
        <v>269</v>
      </c>
      <c r="F5" s="242"/>
      <c r="G5" s="242"/>
      <c r="H5" s="242"/>
      <c r="I5" s="243"/>
      <c r="J5" s="1643"/>
      <c r="K5" s="1636"/>
      <c r="L5" s="1636"/>
      <c r="M5" s="1636"/>
      <c r="N5" s="1636"/>
      <c r="O5" s="1636"/>
      <c r="P5" s="1636"/>
      <c r="Q5" s="1636"/>
      <c r="R5" s="1636"/>
      <c r="S5" s="1636"/>
      <c r="T5" s="1636"/>
      <c r="U5" s="1636"/>
      <c r="V5" s="1636"/>
    </row>
    <row r="6" spans="1:22" ht="14.25">
      <c r="A6" s="3574"/>
      <c r="B6" s="3575"/>
      <c r="C6" s="3584"/>
      <c r="D6" s="3586"/>
      <c r="E6" s="241" t="s">
        <v>270</v>
      </c>
      <c r="F6" s="242"/>
      <c r="G6" s="242"/>
      <c r="H6" s="242"/>
      <c r="I6" s="243"/>
      <c r="J6" s="1643"/>
      <c r="K6" s="1636"/>
      <c r="L6" s="1636"/>
      <c r="M6" s="1636"/>
      <c r="N6" s="1636"/>
      <c r="O6" s="1636"/>
      <c r="P6" s="1636"/>
      <c r="Q6" s="1636"/>
      <c r="R6" s="1636"/>
      <c r="S6" s="1636"/>
      <c r="T6" s="1636"/>
      <c r="U6" s="1636"/>
      <c r="V6" s="1636"/>
    </row>
    <row r="7" spans="1:22" ht="14.25">
      <c r="A7" s="3574"/>
      <c r="B7" s="3575"/>
      <c r="C7" s="3585"/>
      <c r="D7" s="3586"/>
      <c r="E7" s="241" t="s">
        <v>271</v>
      </c>
      <c r="F7" s="242"/>
      <c r="G7" s="242"/>
      <c r="H7" s="242"/>
      <c r="I7" s="243"/>
      <c r="J7" s="1643"/>
      <c r="K7" s="1636"/>
      <c r="L7" s="1636"/>
      <c r="M7" s="1636"/>
      <c r="N7" s="1636"/>
      <c r="O7" s="1636"/>
      <c r="P7" s="1636"/>
      <c r="Q7" s="1636"/>
      <c r="R7" s="1636"/>
      <c r="S7" s="1636"/>
      <c r="T7" s="1636"/>
      <c r="U7" s="1636"/>
      <c r="V7" s="1636"/>
    </row>
    <row r="8" spans="1:22" ht="14.25">
      <c r="A8" s="3574" t="s">
        <v>272</v>
      </c>
      <c r="B8" s="3575">
        <v>15</v>
      </c>
      <c r="C8" s="3583"/>
      <c r="D8" s="3586"/>
      <c r="E8" s="241" t="s">
        <v>273</v>
      </c>
      <c r="F8" s="242"/>
      <c r="G8" s="242"/>
      <c r="H8" s="242"/>
      <c r="I8" s="243"/>
      <c r="J8" s="1643"/>
      <c r="K8" s="1636"/>
      <c r="L8" s="1636"/>
      <c r="M8" s="1636"/>
      <c r="N8" s="1636"/>
      <c r="O8" s="1636"/>
      <c r="P8" s="1636"/>
      <c r="Q8" s="1636"/>
      <c r="R8" s="1636"/>
      <c r="S8" s="1636"/>
      <c r="T8" s="1636"/>
      <c r="U8" s="1636"/>
      <c r="V8" s="1636"/>
    </row>
    <row r="9" spans="1:22" ht="14.25">
      <c r="A9" s="3574"/>
      <c r="B9" s="3575"/>
      <c r="C9" s="3585"/>
      <c r="D9" s="3586"/>
      <c r="E9" s="241" t="s">
        <v>274</v>
      </c>
      <c r="F9" s="242"/>
      <c r="G9" s="242"/>
      <c r="H9" s="242"/>
      <c r="I9" s="243"/>
      <c r="J9" s="1643"/>
      <c r="K9" s="1636"/>
      <c r="L9" s="1636"/>
      <c r="M9" s="1636"/>
      <c r="N9" s="1636"/>
      <c r="O9" s="1636"/>
      <c r="P9" s="1636"/>
      <c r="Q9" s="1636"/>
      <c r="R9" s="1636"/>
      <c r="S9" s="1636"/>
      <c r="T9" s="1636"/>
      <c r="U9" s="1636"/>
      <c r="V9" s="1636"/>
    </row>
    <row r="10" spans="1:22" ht="14.25">
      <c r="A10" s="3574" t="s">
        <v>275</v>
      </c>
      <c r="B10" s="3575">
        <v>15</v>
      </c>
      <c r="C10" s="3583"/>
      <c r="D10" s="3586"/>
      <c r="E10" s="241" t="s">
        <v>276</v>
      </c>
      <c r="F10" s="242"/>
      <c r="G10" s="242"/>
      <c r="H10" s="242"/>
      <c r="I10" s="243"/>
      <c r="J10" s="1643"/>
      <c r="K10" s="1636"/>
      <c r="L10" s="1636"/>
      <c r="M10" s="1636"/>
      <c r="N10" s="1636"/>
      <c r="O10" s="1636"/>
      <c r="P10" s="1636"/>
      <c r="Q10" s="1636"/>
      <c r="R10" s="1636"/>
      <c r="S10" s="1636"/>
      <c r="T10" s="1636"/>
      <c r="U10" s="1636"/>
      <c r="V10" s="1636"/>
    </row>
    <row r="11" spans="1:22" ht="14.25">
      <c r="A11" s="3574"/>
      <c r="B11" s="3575"/>
      <c r="C11" s="3585"/>
      <c r="D11" s="3586"/>
      <c r="E11" s="241" t="s">
        <v>277</v>
      </c>
      <c r="F11" s="242"/>
      <c r="G11" s="242"/>
      <c r="H11" s="242"/>
      <c r="I11" s="243"/>
      <c r="J11" s="1643"/>
      <c r="K11" s="1636"/>
      <c r="L11" s="1636"/>
      <c r="M11" s="1636"/>
      <c r="N11" s="1636"/>
      <c r="O11" s="1636"/>
      <c r="P11" s="1636"/>
      <c r="Q11" s="1636"/>
      <c r="R11" s="1636"/>
      <c r="S11" s="1636"/>
      <c r="T11" s="1636"/>
      <c r="U11" s="1636"/>
      <c r="V11" s="1636"/>
    </row>
    <row r="12" spans="1:22" ht="14.25">
      <c r="A12" s="3574" t="s">
        <v>278</v>
      </c>
      <c r="B12" s="3575">
        <v>15</v>
      </c>
      <c r="C12" s="3583"/>
      <c r="D12" s="3586"/>
      <c r="E12" s="241" t="s">
        <v>279</v>
      </c>
      <c r="F12" s="242"/>
      <c r="G12" s="242"/>
      <c r="H12" s="242"/>
      <c r="I12" s="243"/>
      <c r="J12" s="1643"/>
      <c r="K12" s="1636"/>
      <c r="L12" s="1636"/>
      <c r="M12" s="1636"/>
      <c r="N12" s="1636"/>
      <c r="O12" s="1636"/>
      <c r="P12" s="1636"/>
      <c r="Q12" s="1636"/>
      <c r="R12" s="1636"/>
      <c r="S12" s="1636"/>
      <c r="T12" s="1636"/>
      <c r="U12" s="1636"/>
      <c r="V12" s="1636"/>
    </row>
    <row r="13" spans="1:22" ht="14.25">
      <c r="A13" s="3574"/>
      <c r="B13" s="3575"/>
      <c r="C13" s="3585"/>
      <c r="D13" s="3586"/>
      <c r="E13" s="241" t="s">
        <v>280</v>
      </c>
      <c r="F13" s="242"/>
      <c r="G13" s="242"/>
      <c r="H13" s="242"/>
      <c r="I13" s="243"/>
      <c r="J13" s="1643"/>
      <c r="K13" s="1636"/>
      <c r="L13" s="1636"/>
      <c r="M13" s="1636"/>
      <c r="N13" s="1636"/>
      <c r="O13" s="1636"/>
      <c r="P13" s="1636"/>
      <c r="Q13" s="1636"/>
      <c r="R13" s="1636"/>
      <c r="S13" s="1636"/>
      <c r="T13" s="1636"/>
      <c r="U13" s="1636"/>
      <c r="V13" s="1636"/>
    </row>
    <row r="14" spans="1:22" ht="14.25">
      <c r="A14" s="3574" t="s">
        <v>281</v>
      </c>
      <c r="B14" s="3575">
        <v>30</v>
      </c>
      <c r="C14" s="3583"/>
      <c r="D14" s="3586"/>
      <c r="E14" s="241" t="s">
        <v>282</v>
      </c>
      <c r="F14" s="242"/>
      <c r="G14" s="242"/>
      <c r="H14" s="242"/>
      <c r="I14" s="243"/>
      <c r="J14" s="1643"/>
      <c r="K14" s="1636"/>
      <c r="L14" s="1636"/>
      <c r="M14" s="1636"/>
      <c r="N14" s="1636"/>
      <c r="O14" s="1636"/>
      <c r="P14" s="1636"/>
      <c r="Q14" s="1636"/>
      <c r="R14" s="1636"/>
      <c r="S14" s="1636"/>
      <c r="T14" s="1636"/>
      <c r="U14" s="1636"/>
      <c r="V14" s="1636"/>
    </row>
    <row r="15" spans="1:22" ht="14.25">
      <c r="A15" s="3574"/>
      <c r="B15" s="3575"/>
      <c r="C15" s="3584"/>
      <c r="D15" s="3586"/>
      <c r="E15" s="241" t="s">
        <v>283</v>
      </c>
      <c r="F15" s="242"/>
      <c r="G15" s="242"/>
      <c r="H15" s="242"/>
      <c r="I15" s="243"/>
      <c r="J15" s="1643"/>
      <c r="K15" s="1636"/>
      <c r="L15" s="1636"/>
      <c r="M15" s="1636"/>
      <c r="N15" s="1636"/>
      <c r="O15" s="1636"/>
      <c r="P15" s="1636"/>
      <c r="Q15" s="1636"/>
      <c r="R15" s="1636"/>
      <c r="S15" s="1636"/>
      <c r="T15" s="1636"/>
      <c r="U15" s="1636"/>
      <c r="V15" s="1636"/>
    </row>
    <row r="16" spans="1:22" ht="14.25">
      <c r="A16" s="3574"/>
      <c r="B16" s="3575"/>
      <c r="C16" s="3585"/>
      <c r="D16" s="3586"/>
      <c r="E16" s="241" t="s">
        <v>284</v>
      </c>
      <c r="F16" s="242"/>
      <c r="G16" s="242"/>
      <c r="H16" s="242"/>
      <c r="I16" s="243"/>
      <c r="J16" s="1643"/>
      <c r="K16" s="1636"/>
      <c r="L16" s="1636"/>
      <c r="M16" s="1636"/>
      <c r="N16" s="1636"/>
      <c r="O16" s="1636"/>
      <c r="P16" s="1636"/>
      <c r="Q16" s="1636"/>
      <c r="R16" s="1636"/>
      <c r="S16" s="1636"/>
      <c r="T16" s="1636"/>
      <c r="U16" s="1636"/>
      <c r="V16" s="1636"/>
    </row>
    <row r="17" spans="1:22" ht="15">
      <c r="A17" s="244" t="s">
        <v>285</v>
      </c>
      <c r="B17" s="125"/>
      <c r="C17" s="245">
        <f>SUM(C5:C16)</f>
        <v>3</v>
      </c>
      <c r="D17" s="245">
        <f>SUM(D5:D16)</f>
        <v>7</v>
      </c>
      <c r="E17" s="287"/>
      <c r="F17" s="287"/>
      <c r="G17" s="287"/>
      <c r="H17" s="287"/>
      <c r="I17" s="287"/>
      <c r="J17" s="1643"/>
      <c r="K17" s="1636"/>
      <c r="L17" s="1636"/>
      <c r="M17" s="1636"/>
      <c r="N17" s="1636"/>
      <c r="O17" s="1636"/>
      <c r="P17" s="1636"/>
      <c r="Q17" s="1636"/>
      <c r="R17" s="1636"/>
      <c r="S17" s="1636"/>
      <c r="T17" s="1636"/>
      <c r="U17" s="1636"/>
      <c r="V17" s="1636"/>
    </row>
    <row r="18" spans="1:22" ht="32.450000000000003" customHeight="1" thickBot="1">
      <c r="A18" s="246" t="s">
        <v>286</v>
      </c>
      <c r="B18" s="96"/>
      <c r="C18" s="247">
        <f>ROUND(C17/SUM(C17:D17),2)</f>
        <v>0.3</v>
      </c>
      <c r="D18" s="247">
        <f>1-C18</f>
        <v>0.7</v>
      </c>
      <c r="E18" s="3588" t="s">
        <v>2254</v>
      </c>
      <c r="F18" s="3589"/>
      <c r="G18" s="3589"/>
      <c r="H18" s="3589"/>
      <c r="I18" s="3589"/>
      <c r="J18" s="1636"/>
      <c r="K18" s="1636"/>
      <c r="L18" s="1636"/>
      <c r="M18" s="1636"/>
      <c r="N18" s="1636"/>
      <c r="O18" s="1636"/>
      <c r="P18" s="1636"/>
      <c r="Q18" s="1636"/>
      <c r="R18" s="1636"/>
      <c r="S18" s="1636"/>
      <c r="T18" s="1636"/>
      <c r="U18" s="1636"/>
      <c r="V18" s="1636"/>
    </row>
    <row r="19" spans="1:22" ht="15">
      <c r="A19" s="248" t="s">
        <v>287</v>
      </c>
      <c r="B19" s="249" t="s">
        <v>288</v>
      </c>
      <c r="C19" s="250">
        <f ca="1">SUMIF(INDIRECT("'"&amp;C4&amp;"'"&amp;"!A:A"),结果表!B19,INDIRECT("'"&amp;C4&amp;"'"&amp;"!B:B"))</f>
        <v>12354</v>
      </c>
      <c r="D19" s="251">
        <f ca="1">SUMIF(INDIRECT("'"&amp;D4&amp;"'"&amp;"!A:A"),结果表!B19,INDIRECT("'"&amp;D4&amp;"'"&amp;"!B:B"))</f>
        <v>17702</v>
      </c>
      <c r="E19" s="248" t="s">
        <v>289</v>
      </c>
      <c r="F19" s="249" t="s">
        <v>288</v>
      </c>
      <c r="G19" s="252">
        <f ca="1">ROUND(G20*'数据-取费表'!K6/10000,0)</f>
        <v>16101</v>
      </c>
      <c r="H19" s="253" t="s">
        <v>290</v>
      </c>
      <c r="I19" s="287"/>
      <c r="J19" s="1636"/>
      <c r="K19" s="1636"/>
      <c r="L19" s="1636"/>
      <c r="M19" s="1636"/>
      <c r="N19" s="1636"/>
      <c r="O19" s="1636"/>
      <c r="P19" s="1636"/>
      <c r="Q19" s="1636"/>
      <c r="R19" s="1636"/>
      <c r="S19" s="1636"/>
      <c r="T19" s="1636"/>
      <c r="U19" s="1636"/>
      <c r="V19" s="1636"/>
    </row>
    <row r="20" spans="1:22" ht="15">
      <c r="A20" s="254"/>
      <c r="B20" s="102" t="s">
        <v>291</v>
      </c>
      <c r="C20" s="255">
        <f ca="1">SUMIF(INDIRECT("'"&amp;C4&amp;"'"&amp;"!A:A"),结果表!B20,INDIRECT("'"&amp;C4&amp;"'"&amp;"!B:B"))</f>
        <v>1489</v>
      </c>
      <c r="D20" s="256">
        <f ca="1">SUMIF(INDIRECT("'"&amp;D4&amp;"'"&amp;"!A:A"),结果表!B20,INDIRECT("'"&amp;D4&amp;"'"&amp;"!B:B"))</f>
        <v>2134</v>
      </c>
      <c r="E20" s="254"/>
      <c r="F20" s="102" t="s">
        <v>291</v>
      </c>
      <c r="G20" s="257">
        <f ca="1">ROUND(C20*$C$18+D20*$D$18,0)</f>
        <v>1941</v>
      </c>
      <c r="H20" s="258" t="s">
        <v>292</v>
      </c>
      <c r="I20" s="287"/>
      <c r="J20" s="1636"/>
      <c r="K20" s="1636"/>
      <c r="L20" s="1636"/>
      <c r="M20" s="1636"/>
      <c r="N20" s="1636"/>
      <c r="O20" s="1636"/>
      <c r="P20" s="1636"/>
      <c r="Q20" s="1636"/>
      <c r="R20" s="1636"/>
      <c r="S20" s="1636"/>
      <c r="T20" s="1636"/>
      <c r="U20" s="1636"/>
      <c r="V20" s="1636"/>
    </row>
    <row r="21" spans="1:22" ht="15" customHeight="1">
      <c r="A21" s="254"/>
      <c r="B21" s="106" t="s">
        <v>293</v>
      </c>
      <c r="C21" s="259">
        <f ca="1">SUMIF(INDIRECT("'"&amp;C4&amp;"'"&amp;"!A:A"),结果表!B21,INDIRECT("'"&amp;C4&amp;"'"&amp;"!B:B"))</f>
        <v>1489</v>
      </c>
      <c r="D21" s="135">
        <f ca="1">SUMIF(INDIRECT("'"&amp;D4&amp;"'"&amp;"!A:A"),结果表!B21,INDIRECT("'"&amp;D4&amp;"'"&amp;"!B:B"))</f>
        <v>2134</v>
      </c>
      <c r="E21" s="254"/>
      <c r="F21" s="106" t="s">
        <v>293</v>
      </c>
      <c r="G21" s="260">
        <f ca="1">ROUND(C21*$C$18+D21*$D$18,0)</f>
        <v>1941</v>
      </c>
      <c r="H21" s="258" t="s">
        <v>292</v>
      </c>
      <c r="I21" s="287"/>
      <c r="J21" s="1636"/>
      <c r="K21" s="1636"/>
      <c r="L21" s="1636"/>
      <c r="M21" s="1636"/>
      <c r="N21" s="1636"/>
      <c r="O21" s="1636"/>
      <c r="P21" s="1636"/>
      <c r="Q21" s="1636"/>
      <c r="R21" s="1636"/>
      <c r="S21" s="1636"/>
      <c r="T21" s="1636"/>
      <c r="U21" s="1636"/>
      <c r="V21" s="1636"/>
    </row>
    <row r="22" spans="1:22" ht="15.75" thickBot="1">
      <c r="A22" s="117" t="s">
        <v>294</v>
      </c>
      <c r="B22" s="1061"/>
      <c r="C22" s="241"/>
      <c r="D22" s="261">
        <f ca="1">IF(C19&lt;D19,D19/C19-1,C19/D19-1)</f>
        <v>0.43289622794236693</v>
      </c>
      <c r="E22" s="262"/>
      <c r="F22" s="263"/>
      <c r="G22" s="264">
        <f ca="1">ROUND(G19/('数据-汇总表'!D3/666.67),0)</f>
        <v>129</v>
      </c>
      <c r="H22" s="265" t="s">
        <v>295</v>
      </c>
      <c r="I22" s="287"/>
      <c r="J22" s="1636"/>
      <c r="K22" s="1636"/>
      <c r="L22" s="1636"/>
      <c r="M22" s="1636"/>
      <c r="N22" s="1636"/>
      <c r="O22" s="1636"/>
      <c r="P22" s="1636"/>
      <c r="Q22" s="1636"/>
      <c r="R22" s="1636"/>
      <c r="S22" s="1636"/>
      <c r="T22" s="1636"/>
      <c r="U22" s="1636"/>
      <c r="V22" s="1636"/>
    </row>
    <row r="23" spans="1:22" ht="13.5" thickBot="1">
      <c r="A23" s="287"/>
      <c r="B23" s="287"/>
      <c r="C23" s="287"/>
      <c r="D23" s="287"/>
      <c r="E23" s="287"/>
      <c r="F23" s="287"/>
      <c r="G23" s="287"/>
      <c r="H23" s="287"/>
      <c r="I23" s="287"/>
      <c r="J23" s="1636"/>
      <c r="K23" s="1636"/>
      <c r="L23" s="1636"/>
      <c r="M23" s="1636"/>
      <c r="N23" s="1636"/>
      <c r="O23" s="1636"/>
      <c r="P23" s="1636"/>
      <c r="Q23" s="1636"/>
      <c r="R23" s="1636"/>
      <c r="S23" s="1636"/>
      <c r="T23" s="1636"/>
      <c r="U23" s="1636"/>
      <c r="V23" s="1636"/>
    </row>
    <row r="24" spans="1:22" ht="15" thickBot="1">
      <c r="A24" s="3547" t="s">
        <v>296</v>
      </c>
      <c r="B24" s="249" t="s">
        <v>288</v>
      </c>
      <c r="C24" s="266">
        <f>IF(B30=0,0,D30)</f>
        <v>0</v>
      </c>
      <c r="D24" s="267"/>
      <c r="E24" s="287"/>
      <c r="F24" s="287"/>
      <c r="G24" s="287"/>
      <c r="H24" s="287"/>
      <c r="I24" s="287"/>
      <c r="J24" s="1636"/>
      <c r="K24" s="1636"/>
      <c r="L24" s="1636"/>
      <c r="M24" s="1636"/>
      <c r="N24" s="1636"/>
      <c r="O24" s="1636"/>
      <c r="P24" s="1636"/>
      <c r="Q24" s="1636"/>
      <c r="R24" s="1636"/>
      <c r="S24" s="1636"/>
      <c r="T24" s="1636"/>
      <c r="U24" s="1636"/>
      <c r="V24" s="1636"/>
    </row>
    <row r="25" spans="1:22" ht="18">
      <c r="A25" s="3594"/>
      <c r="B25" s="1125" t="s">
        <v>297</v>
      </c>
      <c r="C25" s="268">
        <f>IF(B30=0,0,C30)</f>
        <v>0</v>
      </c>
      <c r="D25" s="269"/>
      <c r="E25" s="287"/>
      <c r="F25" s="287"/>
      <c r="G25" s="287"/>
      <c r="H25" s="287"/>
      <c r="I25" s="287"/>
      <c r="J25" s="1636"/>
      <c r="K25" s="1062" t="str">
        <f ca="1">项目基本情况!A17&amp;"国有建设用地使用权价格："&amp;O38&amp;"万元"</f>
        <v>出让国有建设用地使用权价格：16101万元</v>
      </c>
      <c r="L25" s="1063"/>
      <c r="M25" s="1063"/>
      <c r="N25" s="1063"/>
      <c r="O25" s="1064"/>
      <c r="P25" s="1636"/>
      <c r="Q25" s="1636"/>
      <c r="R25" s="1636"/>
      <c r="S25" s="1636"/>
      <c r="T25" s="1636"/>
      <c r="U25" s="1636"/>
      <c r="V25" s="1636"/>
    </row>
    <row r="26" spans="1:22" ht="18">
      <c r="A26" s="270" t="s">
        <v>298</v>
      </c>
      <c r="B26" s="271" t="s">
        <v>299</v>
      </c>
      <c r="C26" s="271" t="s">
        <v>300</v>
      </c>
      <c r="D26" s="272" t="s">
        <v>301</v>
      </c>
      <c r="E26" s="287"/>
      <c r="F26" s="287"/>
      <c r="G26" s="287"/>
      <c r="H26" s="287"/>
      <c r="I26" s="287"/>
      <c r="J26" s="1636"/>
      <c r="K26" s="1065" t="str">
        <f ca="1">"大写金额：人民币"&amp;NUMBERSTRING(INT(O38*10000),2)&amp;"元整"</f>
        <v>大写金额：人民币壹亿陆仟壹佰零壹万元整</v>
      </c>
      <c r="L26" s="1061"/>
      <c r="M26" s="1061"/>
      <c r="N26" s="1061"/>
      <c r="O26" s="258"/>
      <c r="P26" s="1636"/>
      <c r="Q26" s="1636"/>
      <c r="R26" s="1636"/>
      <c r="S26" s="1636"/>
      <c r="T26" s="1636"/>
      <c r="U26" s="1636"/>
      <c r="V26" s="1636"/>
    </row>
    <row r="27" spans="1:22" ht="18">
      <c r="A27" s="270"/>
      <c r="B27" s="271"/>
      <c r="C27" s="271"/>
      <c r="D27" s="272"/>
      <c r="E27" s="287"/>
      <c r="F27" s="287"/>
      <c r="G27" s="287"/>
      <c r="H27" s="287"/>
      <c r="I27" s="287"/>
      <c r="J27" s="1636"/>
      <c r="K27" s="1065" t="str">
        <f ca="1">"单位面积地价："&amp;M38&amp;"元/平方米"</f>
        <v>单位面积地价：1941元/平方米</v>
      </c>
      <c r="L27" s="1061"/>
      <c r="M27" s="1061"/>
      <c r="N27" s="1061"/>
      <c r="O27" s="258"/>
      <c r="P27" s="1636"/>
      <c r="Q27" s="1636"/>
      <c r="R27" s="1636"/>
      <c r="S27" s="1636"/>
      <c r="T27" s="1636"/>
      <c r="U27" s="1636"/>
      <c r="V27" s="1636"/>
    </row>
    <row r="28" spans="1:22" ht="18.75" customHeight="1">
      <c r="A28" s="270"/>
      <c r="B28" s="271"/>
      <c r="C28" s="271"/>
      <c r="D28" s="272"/>
      <c r="E28" s="287"/>
      <c r="F28" s="287"/>
      <c r="G28" s="287"/>
      <c r="H28" s="287"/>
      <c r="I28" s="287"/>
      <c r="J28" s="1636"/>
      <c r="K28" s="1065" t="str">
        <f ca="1">"楼面地价："&amp;N38&amp;"元/平方米"</f>
        <v>楼面地价：1941元/平方米</v>
      </c>
      <c r="L28" s="1061"/>
      <c r="M28" s="1061"/>
      <c r="N28" s="1061"/>
      <c r="O28" s="258"/>
      <c r="P28" s="1636"/>
      <c r="V28" s="1636"/>
    </row>
    <row r="29" spans="1:22" ht="18">
      <c r="A29" s="270"/>
      <c r="B29" s="271"/>
      <c r="C29" s="271"/>
      <c r="D29" s="272"/>
      <c r="E29" s="287"/>
      <c r="F29" s="287"/>
      <c r="G29" s="287"/>
      <c r="H29" s="287"/>
      <c r="I29" s="287"/>
      <c r="J29" s="1636"/>
      <c r="K29" s="1065" t="str">
        <f>IF(OR(项目基本情况!E8="抵押价格",项目基本情况!E8="已注销及未注销"),"抵押价格："&amp;O39&amp;"万元","——")</f>
        <v>——</v>
      </c>
      <c r="L29" s="1061"/>
      <c r="M29" s="1061"/>
      <c r="N29" s="1061"/>
      <c r="O29" s="258"/>
      <c r="P29" s="1636"/>
      <c r="V29" s="1636"/>
    </row>
    <row r="30" spans="1:22" ht="18.75" thickBot="1">
      <c r="A30" s="2365" t="s">
        <v>302</v>
      </c>
      <c r="B30" s="285"/>
      <c r="C30" s="285"/>
      <c r="D30" s="286"/>
      <c r="E30" s="2539" t="s">
        <v>2255</v>
      </c>
      <c r="F30" s="287"/>
      <c r="G30" s="287"/>
      <c r="H30" s="287"/>
      <c r="I30" s="287"/>
      <c r="J30" s="1636"/>
      <c r="K30" s="1065" t="str">
        <f>IF(K29="——","——","大写金额：人民币"&amp;NUMBERSTRING(INT(O39*10000),2)&amp;"元整")</f>
        <v>——</v>
      </c>
      <c r="L30" s="1061"/>
      <c r="M30" s="1061"/>
      <c r="N30" s="1061"/>
      <c r="O30" s="258"/>
      <c r="P30" s="1636"/>
      <c r="V30" s="1636"/>
    </row>
    <row r="31" spans="1:22" ht="24" customHeight="1" thickBot="1">
      <c r="A31" s="3590" t="s">
        <v>2256</v>
      </c>
      <c r="B31" s="3590"/>
      <c r="C31" s="3590"/>
      <c r="D31" s="3590"/>
      <c r="E31" s="3590"/>
      <c r="F31" s="3590"/>
      <c r="G31" s="3590"/>
      <c r="H31" s="3590"/>
      <c r="I31" s="3590"/>
      <c r="J31" s="1636"/>
      <c r="K31" s="1980" t="str">
        <f>IF(项目基本情况!E8="抵押价格","——","抵押担保权已注销时的抵押价格："&amp;O40&amp;"万元")</f>
        <v>抵押担保权已注销时的抵押价格：——万元</v>
      </c>
      <c r="L31" s="1977"/>
      <c r="M31" s="1977"/>
      <c r="N31" s="1977"/>
      <c r="O31" s="1978"/>
      <c r="P31" s="1636"/>
      <c r="V31" s="1636"/>
    </row>
    <row r="32" spans="1:22" ht="19.5" thickTop="1" thickBot="1">
      <c r="A32" s="254" t="s">
        <v>303</v>
      </c>
      <c r="B32" s="2540" t="s">
        <v>1221</v>
      </c>
      <c r="C32" s="246">
        <f ca="1">G19-C24</f>
        <v>16101</v>
      </c>
      <c r="D32" s="2541" t="s">
        <v>1222</v>
      </c>
      <c r="E32" s="287"/>
      <c r="F32" s="287"/>
      <c r="G32" s="287"/>
      <c r="H32" s="287"/>
      <c r="I32" s="287"/>
      <c r="J32" s="1636"/>
      <c r="K32" s="1976" t="e">
        <f>IF(K31="——","——","大写金额：人民币"&amp;NUMBERSTRING(INT(O40*10000),2)&amp;"元整")</f>
        <v>#VALUE!</v>
      </c>
      <c r="L32" s="1636"/>
      <c r="M32" s="1636"/>
      <c r="N32" s="1636"/>
      <c r="O32" s="1979"/>
      <c r="P32" s="1636"/>
      <c r="V32" s="1636"/>
    </row>
    <row r="33" spans="1:22" ht="18.75" thickBot="1">
      <c r="A33" s="275" t="s">
        <v>306</v>
      </c>
      <c r="B33" s="1172" t="s">
        <v>1223</v>
      </c>
      <c r="C33" s="244">
        <f ca="1">ROUND(C32*10000/'数据-汇总表'!E3,0)</f>
        <v>1941</v>
      </c>
      <c r="D33" s="1173" t="s">
        <v>1224</v>
      </c>
      <c r="E33" s="3547" t="s">
        <v>304</v>
      </c>
      <c r="F33" s="273" t="s">
        <v>305</v>
      </c>
      <c r="G33" s="274"/>
      <c r="H33" s="895"/>
      <c r="I33" s="1066"/>
      <c r="J33" s="1636"/>
      <c r="K33" s="1065" t="str">
        <f>IF(项目基本情况!E9="——","——","抵押净值："&amp;C46&amp;"万元")</f>
        <v>抵押净值：——万元</v>
      </c>
      <c r="L33" s="1061"/>
      <c r="M33" s="1061"/>
      <c r="N33" s="1061"/>
      <c r="O33" s="258"/>
      <c r="P33" s="1636"/>
      <c r="V33" s="1636"/>
    </row>
    <row r="34" spans="1:22" ht="18.75" thickBot="1">
      <c r="A34" s="277"/>
      <c r="B34" s="98" t="s">
        <v>1225</v>
      </c>
      <c r="C34" s="244">
        <f ca="1">ROUND(C32*10000/'数据-汇总表'!D3,0)</f>
        <v>1941</v>
      </c>
      <c r="D34" s="1173" t="s">
        <v>1224</v>
      </c>
      <c r="E34" s="3548"/>
      <c r="F34" s="118" t="s">
        <v>307</v>
      </c>
      <c r="G34" s="276"/>
      <c r="H34" s="96"/>
      <c r="I34" s="287"/>
      <c r="J34" s="1636"/>
      <c r="K34" s="1068" t="e">
        <f>IF(K33="——","——","大写金额：人民币"&amp;NUMBERSTRING(INT(O41*10000),2)&amp;"元整")</f>
        <v>#VALUE!</v>
      </c>
      <c r="L34" s="1069"/>
      <c r="M34" s="1069"/>
      <c r="N34" s="1069"/>
      <c r="O34" s="1070"/>
      <c r="P34" s="1636"/>
      <c r="V34" s="1636"/>
    </row>
    <row r="35" spans="1:22" ht="15.75" thickBot="1">
      <c r="A35" s="262"/>
      <c r="B35" s="1174"/>
      <c r="C35" s="1175">
        <f ca="1">ROUND(C32/('数据-汇总表'!D3/666.67),0)</f>
        <v>129</v>
      </c>
      <c r="D35" s="1176" t="s">
        <v>1226</v>
      </c>
      <c r="E35" s="3549"/>
      <c r="F35" s="278" t="s">
        <v>308</v>
      </c>
      <c r="G35" s="897"/>
      <c r="H35" s="896" t="s">
        <v>309</v>
      </c>
      <c r="I35" s="287"/>
      <c r="J35" s="1636"/>
      <c r="K35" s="3553" t="s">
        <v>316</v>
      </c>
      <c r="L35" s="3553" t="s">
        <v>317</v>
      </c>
      <c r="M35" s="1071" t="s">
        <v>318</v>
      </c>
      <c r="N35" s="3553" t="s">
        <v>319</v>
      </c>
      <c r="O35" s="3553" t="s">
        <v>320</v>
      </c>
      <c r="P35" s="1636"/>
      <c r="V35" s="1636"/>
    </row>
    <row r="36" spans="1:22" ht="16.5" customHeight="1">
      <c r="A36" s="280" t="s">
        <v>310</v>
      </c>
      <c r="B36" s="281" t="s">
        <v>299</v>
      </c>
      <c r="C36" s="282" t="s">
        <v>311</v>
      </c>
      <c r="D36" s="282" t="s">
        <v>312</v>
      </c>
      <c r="E36" s="283" t="s">
        <v>313</v>
      </c>
      <c r="F36" s="287"/>
      <c r="G36" s="287"/>
      <c r="H36" s="287"/>
      <c r="I36" s="287"/>
      <c r="J36" s="1644"/>
      <c r="K36" s="3554"/>
      <c r="L36" s="3554"/>
      <c r="M36" s="1073" t="s">
        <v>321</v>
      </c>
      <c r="N36" s="3554"/>
      <c r="O36" s="3554"/>
      <c r="P36" s="1636"/>
      <c r="V36" s="1636"/>
    </row>
    <row r="37" spans="1:22" ht="16.5" customHeight="1" thickBot="1">
      <c r="A37" s="1067" t="s">
        <v>314</v>
      </c>
      <c r="B37" s="270"/>
      <c r="C37" s="271"/>
      <c r="D37" s="271"/>
      <c r="E37" s="272"/>
      <c r="F37" s="287"/>
      <c r="G37" s="287"/>
      <c r="H37" s="287"/>
      <c r="I37" s="287"/>
      <c r="J37" s="1644"/>
      <c r="K37" s="3555"/>
      <c r="L37" s="3555"/>
      <c r="M37" s="1074"/>
      <c r="N37" s="3555"/>
      <c r="O37" s="3555"/>
      <c r="P37" s="1636"/>
      <c r="V37" s="1636"/>
    </row>
    <row r="38" spans="1:22" ht="16.5" customHeight="1" thickBot="1">
      <c r="A38" s="1067" t="s">
        <v>315</v>
      </c>
      <c r="B38" s="270"/>
      <c r="C38" s="271"/>
      <c r="D38" s="271"/>
      <c r="E38" s="272"/>
      <c r="F38" s="287"/>
      <c r="G38" s="287"/>
      <c r="H38" s="287"/>
      <c r="I38" s="287"/>
      <c r="J38" s="1644"/>
      <c r="K38" s="1075">
        <f>'数据-汇总表'!D3</f>
        <v>82949.97</v>
      </c>
      <c r="L38" s="1076">
        <f>'数据-汇总表'!E3</f>
        <v>82949.97</v>
      </c>
      <c r="M38" s="1076">
        <f ca="1">C34</f>
        <v>1941</v>
      </c>
      <c r="N38" s="1076">
        <f ca="1">C33</f>
        <v>1941</v>
      </c>
      <c r="O38" s="1077">
        <f ca="1">C32</f>
        <v>16101</v>
      </c>
      <c r="P38" s="1636"/>
      <c r="V38" s="1636"/>
    </row>
    <row r="39" spans="1:22" ht="16.5" customHeight="1" thickBot="1">
      <c r="A39" s="1072"/>
      <c r="B39" s="284"/>
      <c r="C39" s="285"/>
      <c r="D39" s="285"/>
      <c r="E39" s="286"/>
      <c r="F39" s="287"/>
      <c r="G39" s="287"/>
      <c r="H39" s="287"/>
      <c r="I39" s="287"/>
      <c r="J39" s="1644"/>
      <c r="K39" s="3566" t="str">
        <f>MID(A44,3,LEN(A44)-2)</f>
        <v/>
      </c>
      <c r="L39" s="3567"/>
      <c r="M39" s="3567"/>
      <c r="N39" s="3568"/>
      <c r="O39" s="1178" t="str">
        <f>C44</f>
        <v>——</v>
      </c>
      <c r="P39" s="1636"/>
      <c r="V39" s="1636"/>
    </row>
    <row r="40" spans="1:22" ht="19.5" thickBot="1">
      <c r="A40" s="95" t="s">
        <v>810</v>
      </c>
      <c r="B40" s="287"/>
      <c r="C40" s="287"/>
      <c r="D40" s="287"/>
      <c r="E40" s="287"/>
      <c r="F40" s="287"/>
      <c r="G40" s="287"/>
      <c r="H40" s="287"/>
      <c r="I40" s="287"/>
      <c r="J40" s="1644"/>
      <c r="K40" s="3566" t="str">
        <f>MID(A45,3,LEN(A45)-2)</f>
        <v/>
      </c>
      <c r="L40" s="3567"/>
      <c r="M40" s="3567"/>
      <c r="N40" s="3568"/>
      <c r="O40" s="1178" t="str">
        <f>C45</f>
        <v>——</v>
      </c>
      <c r="P40" s="1636"/>
      <c r="V40" s="1636"/>
    </row>
    <row r="41" spans="1:22" ht="16.5" thickBot="1">
      <c r="A41" s="288" t="s">
        <v>322</v>
      </c>
      <c r="B41" s="289"/>
      <c r="C41" s="290" t="s">
        <v>323</v>
      </c>
      <c r="D41" s="291" t="s">
        <v>324</v>
      </c>
      <c r="E41" s="291" t="s">
        <v>325</v>
      </c>
      <c r="F41" s="292" t="s">
        <v>326</v>
      </c>
      <c r="G41" s="287"/>
      <c r="H41" s="287"/>
      <c r="I41" s="287"/>
      <c r="J41" s="1644"/>
      <c r="K41" s="3566" t="str">
        <f>MID(A46,3,LEN(A46)-2)</f>
        <v/>
      </c>
      <c r="L41" s="3567"/>
      <c r="M41" s="3567"/>
      <c r="N41" s="3568"/>
      <c r="O41" s="1178" t="str">
        <f>C46</f>
        <v>——</v>
      </c>
      <c r="P41" s="1636"/>
      <c r="V41" s="1636"/>
    </row>
    <row r="42" spans="1:22" ht="29.25">
      <c r="A42" s="3595" t="s">
        <v>1585</v>
      </c>
      <c r="B42" s="3596"/>
      <c r="C42" s="244">
        <f ca="1">C32</f>
        <v>16101</v>
      </c>
      <c r="D42" s="293">
        <f ca="1">C33</f>
        <v>1941</v>
      </c>
      <c r="E42" s="293">
        <f ca="1">C34</f>
        <v>1941</v>
      </c>
      <c r="F42" s="294">
        <f ca="1">C35</f>
        <v>129</v>
      </c>
      <c r="G42" s="287"/>
      <c r="H42" s="287"/>
      <c r="I42" s="295"/>
      <c r="J42" s="1644"/>
      <c r="K42" s="1078" t="s">
        <v>327</v>
      </c>
      <c r="L42" s="1660" t="s">
        <v>328</v>
      </c>
      <c r="M42" s="1079" t="s">
        <v>329</v>
      </c>
      <c r="N42" s="1661" t="s">
        <v>330</v>
      </c>
      <c r="O42" s="1662" t="s">
        <v>331</v>
      </c>
      <c r="P42" s="1636"/>
      <c r="V42" s="1636"/>
    </row>
    <row r="43" spans="1:22" ht="18">
      <c r="A43" s="3605" t="s">
        <v>2012</v>
      </c>
      <c r="B43" s="3606"/>
      <c r="C43" s="244">
        <f>IF(H33="正常操作",G33+G34+G35,G34+G35)</f>
        <v>0</v>
      </c>
      <c r="D43" s="293" t="s">
        <v>17</v>
      </c>
      <c r="E43" s="293" t="s">
        <v>18</v>
      </c>
      <c r="F43" s="294" t="s">
        <v>18</v>
      </c>
      <c r="G43" s="2171" t="s">
        <v>877</v>
      </c>
      <c r="H43" s="287"/>
      <c r="I43" s="295"/>
      <c r="J43" s="1644"/>
      <c r="K43" s="1080" t="str">
        <f>C4</f>
        <v>成本逼近法</v>
      </c>
      <c r="L43" s="1081">
        <f ca="1">IF(L42="估价结果/万元",C19,C20)</f>
        <v>12354</v>
      </c>
      <c r="M43" s="1082">
        <f>C18</f>
        <v>0.3</v>
      </c>
      <c r="N43" s="1083">
        <f ca="1">IF(N42="测算结果/万元",G19,G20)</f>
        <v>16101</v>
      </c>
      <c r="O43" s="1084">
        <f ca="1">IF(O42="最终结果/万元",C32,C33)</f>
        <v>16101</v>
      </c>
      <c r="P43" s="1636"/>
      <c r="V43" s="1636"/>
    </row>
    <row r="44" spans="1:22" ht="18.75" thickBot="1">
      <c r="A44" s="3595" t="str">
        <f>IF(OR(项目基本情况!E8="抵押价格",项目基本情况!E8="已注销及未注销"),"3.抵押价格","——")</f>
        <v>——</v>
      </c>
      <c r="B44" s="3596"/>
      <c r="C44" s="244" t="str">
        <f>IF(A44="——","——",C42-C43)</f>
        <v>——</v>
      </c>
      <c r="D44" s="293" t="e">
        <f>ROUND(C44*10000/'数据-汇总表'!E3,0)</f>
        <v>#VALUE!</v>
      </c>
      <c r="E44" s="293" t="e">
        <f>ROUND(C44*10000/'数据-汇总表'!D3,0)</f>
        <v>#VALUE!</v>
      </c>
      <c r="F44" s="294" t="e">
        <f>ROUND(C44/('数据-汇总表'!D3/666.67),0)</f>
        <v>#VALUE!</v>
      </c>
      <c r="G44" s="287"/>
      <c r="H44" s="287"/>
      <c r="I44" s="295"/>
      <c r="J44" s="1644"/>
      <c r="K44" s="1085" t="str">
        <f>D4</f>
        <v>基准地价</v>
      </c>
      <c r="L44" s="1086">
        <f ca="1">IF(L42="估价结果/万元",D19,D20)</f>
        <v>17702</v>
      </c>
      <c r="M44" s="1087">
        <f>D18</f>
        <v>0.7</v>
      </c>
      <c r="N44" s="1088"/>
      <c r="O44" s="1089"/>
      <c r="P44" s="1636"/>
      <c r="V44" s="1636"/>
    </row>
    <row r="45" spans="1:22" ht="15">
      <c r="A45" s="3600" t="str">
        <f>IF(项目基本情况!E8="已注销及未注销","4.抵押担保权已注销时的抵押价格",IF(项目基本情况!E8="已注销","3.抵押担保权已注销时的抵押价格","——"))</f>
        <v>——</v>
      </c>
      <c r="B45" s="3601"/>
      <c r="C45" s="1498" t="str">
        <f>IF(A45="——","——",IF(项目基本情况!E8="抵押价格","——",C32-G34-G35))</f>
        <v>——</v>
      </c>
      <c r="D45" s="293" t="e">
        <f>ROUND(C45*10000/'数据-汇总表'!E3,0)</f>
        <v>#VALUE!</v>
      </c>
      <c r="E45" s="293" t="e">
        <f>ROUND(C45*10000/'数据-汇总表'!D3,0)</f>
        <v>#VALUE!</v>
      </c>
      <c r="F45" s="294" t="e">
        <f>ROUND(C45/('数据-汇总表'!D3/666.67),0)</f>
        <v>#VALUE!</v>
      </c>
      <c r="G45" s="287"/>
      <c r="H45" s="287"/>
      <c r="I45" s="295"/>
      <c r="J45" s="1644"/>
      <c r="K45" s="1636"/>
      <c r="L45" s="1636"/>
      <c r="M45" s="1636"/>
      <c r="N45" s="1636"/>
      <c r="O45" s="1636"/>
      <c r="P45" s="1636"/>
      <c r="V45" s="1636"/>
    </row>
    <row r="46" spans="1:22" ht="15.75" thickBot="1">
      <c r="A46" s="3597" t="str">
        <f>IF(项目基本情况!E9="抵押净值",IF(A45="——","4.抵押净值","5.抵押净值"),"——")</f>
        <v>——</v>
      </c>
      <c r="B46" s="3598"/>
      <c r="C46" s="296" t="str">
        <f>IF(A46="——","——",O79)</f>
        <v>——</v>
      </c>
      <c r="D46" s="293" t="e">
        <f>ROUND(C46*10000/'数据-汇总表'!E3,0)</f>
        <v>#VALUE!</v>
      </c>
      <c r="E46" s="293" t="e">
        <f>ROUND(C46*10000/'数据-汇总表'!D3,0)</f>
        <v>#VALUE!</v>
      </c>
      <c r="F46" s="294" t="e">
        <f>ROUND(C46/('数据-汇总表'!D3/666.67),0)</f>
        <v>#VALUE!</v>
      </c>
      <c r="G46" s="287"/>
      <c r="H46" s="287"/>
      <c r="I46" s="295"/>
      <c r="J46" s="1644"/>
      <c r="K46" s="1636"/>
      <c r="L46" s="1636"/>
      <c r="M46" s="1636"/>
      <c r="N46" s="1636"/>
      <c r="O46" s="1636"/>
      <c r="P46" s="1636"/>
      <c r="Q46" s="1636"/>
      <c r="R46" s="1636"/>
      <c r="S46" s="1636"/>
      <c r="T46" s="1636"/>
      <c r="U46" s="1636"/>
      <c r="V46" s="1636"/>
    </row>
    <row r="47" spans="1:22" ht="15.75">
      <c r="A47" s="297" t="s">
        <v>332</v>
      </c>
      <c r="B47" s="1090"/>
      <c r="C47" s="298" t="s">
        <v>333</v>
      </c>
      <c r="D47" s="15"/>
      <c r="E47" s="15"/>
      <c r="F47" s="15"/>
      <c r="G47" s="299"/>
      <c r="H47" s="300"/>
      <c r="I47" s="301"/>
      <c r="J47" s="1644"/>
      <c r="K47" s="287" t="str">
        <f>IF(C43=0,"本次评估"&amp;IF(G43="设定","设定估价对象","")&amp;"不存在"&amp;MID(A43,3,LEN(A43)-2),"本次评估"&amp;IF(G43="设定","设定","")&amp;MID(A43,3,LEN(A43)-2)&amp;"为人民币"&amp;C43&amp;"万元整。")</f>
        <v>本次评估不存在估价师知悉的法定优先受偿款</v>
      </c>
      <c r="L47" s="1636"/>
      <c r="M47" s="1636"/>
      <c r="N47" s="1636"/>
      <c r="O47" s="1636"/>
      <c r="P47" s="1636"/>
      <c r="Q47" s="1636"/>
      <c r="R47" s="1636"/>
      <c r="S47" s="1636"/>
      <c r="T47" s="1636"/>
      <c r="U47" s="1636"/>
      <c r="V47" s="1636"/>
    </row>
    <row r="48" spans="1:22" ht="12.75">
      <c r="A48" s="302">
        <v>1</v>
      </c>
      <c r="B48" s="303"/>
      <c r="C48" s="303"/>
      <c r="D48" s="15"/>
      <c r="E48" s="15"/>
      <c r="F48" s="15"/>
      <c r="G48" s="15"/>
      <c r="H48" s="53"/>
      <c r="I48" s="304"/>
      <c r="J48" s="1644"/>
      <c r="K48" s="1636"/>
      <c r="L48" s="1636"/>
      <c r="M48" s="1636"/>
      <c r="N48" s="1636"/>
      <c r="O48" s="1636"/>
      <c r="P48" s="1636"/>
      <c r="Q48" s="1636"/>
      <c r="R48" s="1636"/>
      <c r="S48" s="1636"/>
      <c r="T48" s="1636"/>
      <c r="U48" s="1636"/>
      <c r="V48" s="1636"/>
    </row>
    <row r="49" spans="1:22" ht="12.75">
      <c r="A49" s="302">
        <v>2</v>
      </c>
      <c r="B49" s="303"/>
      <c r="C49" s="303"/>
      <c r="D49" s="15"/>
      <c r="E49" s="15"/>
      <c r="F49" s="15"/>
      <c r="G49" s="15"/>
      <c r="H49" s="53"/>
      <c r="I49" s="304"/>
      <c r="J49" s="1645"/>
      <c r="K49" s="1636"/>
      <c r="L49" s="1636"/>
      <c r="M49" s="1636"/>
      <c r="N49" s="1636"/>
      <c r="O49" s="1636"/>
      <c r="P49" s="1636"/>
      <c r="Q49" s="1636"/>
      <c r="R49" s="1636"/>
      <c r="S49" s="1636"/>
      <c r="T49" s="1636"/>
      <c r="U49" s="1636"/>
      <c r="V49" s="1636"/>
    </row>
    <row r="50" spans="1:22" ht="12.75">
      <c r="A50" s="302">
        <v>3</v>
      </c>
      <c r="B50" s="303"/>
      <c r="C50" s="303"/>
      <c r="D50" s="15"/>
      <c r="E50" s="15"/>
      <c r="F50" s="15"/>
      <c r="G50" s="15"/>
      <c r="H50" s="53"/>
      <c r="I50" s="304"/>
      <c r="J50" s="1645"/>
      <c r="K50" s="1636"/>
      <c r="L50" s="1636"/>
      <c r="M50" s="1636"/>
      <c r="N50" s="1636"/>
      <c r="O50" s="1636"/>
      <c r="P50" s="1636"/>
      <c r="Q50" s="1636"/>
      <c r="R50" s="1636"/>
      <c r="S50" s="1636"/>
      <c r="T50" s="1636"/>
      <c r="U50" s="1636"/>
      <c r="V50" s="1636"/>
    </row>
    <row r="51" spans="1:22" ht="12.75">
      <c r="A51" s="305"/>
      <c r="B51" s="306"/>
      <c r="C51" s="306"/>
      <c r="D51" s="307"/>
      <c r="E51" s="307"/>
      <c r="F51" s="307"/>
      <c r="G51" s="307"/>
      <c r="H51" s="308"/>
      <c r="I51" s="309"/>
      <c r="J51" s="1645"/>
      <c r="K51" s="1636"/>
      <c r="L51" s="1636"/>
      <c r="M51" s="1636"/>
      <c r="N51" s="1636"/>
      <c r="O51" s="1636"/>
      <c r="P51" s="1636"/>
      <c r="Q51" s="1636"/>
      <c r="R51" s="1636"/>
      <c r="S51" s="1636"/>
      <c r="T51" s="1636"/>
      <c r="U51" s="1636"/>
      <c r="V51" s="1636"/>
    </row>
    <row r="52" spans="1:22" ht="12.75">
      <c r="A52" s="303"/>
      <c r="B52" s="303"/>
      <c r="C52" s="303"/>
      <c r="D52" s="15"/>
      <c r="E52" s="15"/>
      <c r="F52" s="15"/>
      <c r="G52" s="15"/>
      <c r="H52" s="53"/>
      <c r="I52" s="237"/>
      <c r="J52" s="1645"/>
      <c r="K52" s="1636"/>
      <c r="L52" s="1636"/>
      <c r="M52" s="1636"/>
      <c r="N52" s="1636"/>
      <c r="O52" s="1636"/>
      <c r="P52" s="1636"/>
      <c r="Q52" s="1636"/>
      <c r="R52" s="1636"/>
      <c r="S52" s="1636"/>
      <c r="T52" s="1636"/>
      <c r="U52" s="1636"/>
      <c r="V52" s="1636"/>
    </row>
    <row r="53" spans="1:22" ht="12.75">
      <c r="A53" s="237"/>
      <c r="B53" s="237"/>
      <c r="C53" s="237"/>
      <c r="D53" s="237"/>
      <c r="E53" s="237"/>
      <c r="F53" s="310" t="s">
        <v>334</v>
      </c>
      <c r="G53" s="311"/>
      <c r="H53" s="311"/>
      <c r="I53" s="312" t="s">
        <v>335</v>
      </c>
      <c r="J53" s="1645"/>
      <c r="K53" s="1636"/>
      <c r="L53" s="1636"/>
      <c r="M53" s="1636"/>
      <c r="N53" s="1636"/>
      <c r="O53" s="1636"/>
      <c r="P53" s="1636"/>
      <c r="Q53" s="1636"/>
      <c r="R53" s="1636"/>
      <c r="S53" s="1636"/>
      <c r="T53" s="1636"/>
      <c r="U53" s="1636"/>
      <c r="V53" s="1636"/>
    </row>
    <row r="54" spans="1:22" ht="12.75">
      <c r="A54" s="237"/>
      <c r="B54" s="313" t="s">
        <v>336</v>
      </c>
      <c r="C54" s="237"/>
      <c r="D54" s="237"/>
      <c r="E54" s="237"/>
      <c r="F54" s="237"/>
      <c r="G54" s="237"/>
      <c r="H54" s="237"/>
      <c r="I54" s="237"/>
      <c r="J54" s="1645"/>
      <c r="K54" s="1636"/>
      <c r="L54" s="1636"/>
      <c r="M54" s="1636"/>
      <c r="N54" s="1636"/>
      <c r="O54" s="1636"/>
      <c r="P54" s="1636"/>
      <c r="Q54" s="1636"/>
      <c r="R54" s="1636"/>
      <c r="S54" s="1636"/>
      <c r="T54" s="1636"/>
      <c r="U54" s="1636"/>
      <c r="V54" s="1636"/>
    </row>
    <row r="55" spans="1:22" ht="12.75">
      <c r="A55" s="237"/>
      <c r="B55" s="237"/>
      <c r="C55" s="237"/>
      <c r="D55" s="237"/>
      <c r="E55" s="237"/>
      <c r="F55" s="237"/>
      <c r="G55" s="237"/>
      <c r="H55" s="237"/>
      <c r="I55" s="237"/>
      <c r="J55" s="1645"/>
      <c r="K55" s="1636"/>
      <c r="L55" s="1636"/>
      <c r="M55" s="1636"/>
      <c r="N55" s="1636"/>
      <c r="O55" s="1636"/>
      <c r="P55" s="1636"/>
      <c r="Q55" s="1636"/>
      <c r="R55" s="1636"/>
      <c r="S55" s="1636"/>
      <c r="T55" s="1636"/>
      <c r="U55" s="1636"/>
      <c r="V55" s="1636"/>
    </row>
    <row r="56" spans="1:22" ht="12.75">
      <c r="A56" s="237"/>
      <c r="B56" s="311"/>
      <c r="C56" s="311"/>
      <c r="D56" s="311"/>
      <c r="E56" s="311"/>
      <c r="F56" s="311"/>
      <c r="G56" s="311"/>
      <c r="H56" s="311"/>
      <c r="I56" s="312" t="s">
        <v>337</v>
      </c>
      <c r="J56" s="1645"/>
      <c r="K56" s="1636"/>
      <c r="L56" s="1636"/>
      <c r="M56" s="1636"/>
      <c r="N56" s="1636"/>
      <c r="O56" s="1636"/>
      <c r="P56" s="1636"/>
      <c r="Q56" s="1636"/>
      <c r="R56" s="1636"/>
      <c r="S56" s="1636"/>
      <c r="T56" s="1636"/>
      <c r="U56" s="1636"/>
      <c r="V56" s="1636"/>
    </row>
    <row r="57" spans="1:22" ht="12.75">
      <c r="A57" s="237"/>
      <c r="B57" s="313" t="s">
        <v>338</v>
      </c>
      <c r="C57" s="237"/>
      <c r="D57" s="237"/>
      <c r="E57" s="237"/>
      <c r="F57" s="237"/>
      <c r="G57" s="237"/>
      <c r="H57" s="237"/>
      <c r="I57" s="237"/>
      <c r="J57" s="1645"/>
      <c r="K57" s="1636"/>
      <c r="L57" s="1636"/>
      <c r="M57" s="1636"/>
      <c r="N57" s="1636"/>
      <c r="O57" s="1636"/>
      <c r="P57" s="1636"/>
      <c r="Q57" s="1636"/>
      <c r="R57" s="1636"/>
      <c r="S57" s="1636"/>
      <c r="T57" s="1636"/>
      <c r="U57" s="1636"/>
      <c r="V57" s="1636"/>
    </row>
    <row r="58" spans="1:22" ht="12.75">
      <c r="A58" s="237"/>
      <c r="B58" s="313"/>
      <c r="C58" s="237"/>
      <c r="D58" s="237"/>
      <c r="E58" s="237"/>
      <c r="F58" s="237"/>
      <c r="G58" s="237"/>
      <c r="H58" s="237"/>
      <c r="I58" s="237"/>
      <c r="J58" s="1645"/>
      <c r="K58" s="1636"/>
      <c r="L58" s="1636"/>
      <c r="M58" s="1636"/>
      <c r="N58" s="1636"/>
      <c r="O58" s="1636"/>
      <c r="P58" s="1636"/>
      <c r="Q58" s="1636"/>
      <c r="R58" s="1636"/>
      <c r="S58" s="1636"/>
      <c r="T58" s="1636"/>
      <c r="U58" s="1636"/>
      <c r="V58" s="1636"/>
    </row>
    <row r="59" spans="1:22" ht="12.75">
      <c r="A59" s="237"/>
      <c r="B59" s="311"/>
      <c r="C59" s="311"/>
      <c r="D59" s="311"/>
      <c r="E59" s="311"/>
      <c r="F59" s="311"/>
      <c r="G59" s="311"/>
      <c r="H59" s="311"/>
      <c r="I59" s="312" t="s">
        <v>337</v>
      </c>
      <c r="J59" s="1645"/>
      <c r="K59" s="1636"/>
      <c r="L59" s="1636"/>
      <c r="M59" s="1636"/>
      <c r="N59" s="1636"/>
      <c r="O59" s="1636"/>
      <c r="P59" s="1636"/>
      <c r="Q59" s="1636"/>
      <c r="R59" s="1636"/>
      <c r="S59" s="1636"/>
      <c r="T59" s="1636"/>
      <c r="U59" s="1636"/>
      <c r="V59" s="1636"/>
    </row>
    <row r="60" spans="1:22" ht="12.75">
      <c r="A60" s="237"/>
      <c r="B60" s="237"/>
      <c r="C60" s="237"/>
      <c r="D60" s="237"/>
      <c r="E60" s="237"/>
      <c r="F60" s="237"/>
      <c r="G60" s="237"/>
      <c r="H60" s="237"/>
      <c r="I60" s="237"/>
      <c r="J60" s="1645"/>
      <c r="K60" s="1636"/>
      <c r="L60" s="1636"/>
      <c r="M60" s="1636"/>
      <c r="N60" s="1636"/>
      <c r="O60" s="1636"/>
      <c r="P60" s="1636"/>
      <c r="Q60" s="1636"/>
      <c r="R60" s="1636"/>
      <c r="S60" s="1636"/>
      <c r="T60" s="1636"/>
      <c r="U60" s="1636"/>
      <c r="V60" s="1636"/>
    </row>
    <row r="61" spans="1:22" ht="12.75">
      <c r="A61" s="237"/>
      <c r="B61" s="313"/>
      <c r="C61" s="314"/>
      <c r="D61" s="197"/>
      <c r="E61" s="197"/>
      <c r="F61" s="234"/>
      <c r="G61" s="237"/>
      <c r="H61" s="237"/>
      <c r="I61" s="237"/>
      <c r="J61" s="1645"/>
      <c r="K61" s="1636"/>
      <c r="L61" s="1636"/>
      <c r="M61" s="1636"/>
      <c r="N61" s="1636"/>
      <c r="O61" s="1636"/>
      <c r="P61" s="1636"/>
      <c r="Q61" s="1636"/>
      <c r="R61" s="1636"/>
      <c r="S61" s="1636"/>
      <c r="T61" s="1636"/>
      <c r="U61" s="1636"/>
      <c r="V61" s="1636"/>
    </row>
    <row r="62" spans="1:22" ht="18.75">
      <c r="A62" s="11" t="s">
        <v>339</v>
      </c>
      <c r="B62" s="1091"/>
      <c r="C62" s="1091"/>
      <c r="D62" s="1092"/>
      <c r="E62" s="1092"/>
      <c r="F62" s="1093"/>
      <c r="G62" s="1093"/>
      <c r="H62" s="1093"/>
      <c r="I62" s="1093"/>
      <c r="J62" s="1646"/>
      <c r="K62" s="1636"/>
      <c r="L62" s="1636"/>
      <c r="M62" s="1636"/>
      <c r="N62" s="1636"/>
      <c r="O62" s="1636"/>
      <c r="P62" s="1636"/>
      <c r="Q62" s="1636"/>
      <c r="R62" s="1636"/>
      <c r="S62" s="1636"/>
      <c r="T62" s="1636"/>
      <c r="U62" s="1636"/>
      <c r="V62" s="1636"/>
    </row>
    <row r="63" spans="1:22" ht="14.25" customHeight="1" thickBot="1">
      <c r="A63" s="3558" t="s">
        <v>340</v>
      </c>
      <c r="B63" s="3559"/>
      <c r="C63" s="3560"/>
      <c r="D63" s="315">
        <f ca="1">ROUND(C42*F63,0)</f>
        <v>16101</v>
      </c>
      <c r="E63" s="279" t="s">
        <v>341</v>
      </c>
      <c r="F63" s="316">
        <v>1</v>
      </c>
      <c r="G63" s="317" t="s">
        <v>342</v>
      </c>
      <c r="H63" s="287"/>
      <c r="I63" s="287"/>
      <c r="J63" s="1636"/>
      <c r="K63" s="1636"/>
      <c r="L63" s="1636"/>
      <c r="M63" s="1636"/>
      <c r="N63" s="1636"/>
      <c r="O63" s="1636"/>
      <c r="P63" s="1636"/>
      <c r="Q63" s="1636"/>
      <c r="R63" s="1636"/>
      <c r="S63" s="1636"/>
      <c r="T63" s="1636"/>
      <c r="U63" s="1636"/>
      <c r="V63" s="1636"/>
    </row>
    <row r="64" spans="1:22" ht="14.25" customHeight="1">
      <c r="A64" s="3602" t="s">
        <v>344</v>
      </c>
      <c r="B64" s="3603"/>
      <c r="C64" s="3603"/>
      <c r="D64" s="3603"/>
      <c r="E64" s="3603"/>
      <c r="F64" s="3603"/>
      <c r="G64" s="3604"/>
      <c r="H64" s="1094"/>
      <c r="I64" s="867"/>
      <c r="J64" s="1638"/>
      <c r="K64" s="1301" t="s">
        <v>343</v>
      </c>
      <c r="L64" s="9"/>
      <c r="M64" s="9"/>
      <c r="N64" s="9"/>
      <c r="O64" s="9"/>
      <c r="P64" s="287"/>
      <c r="Q64" s="1636"/>
      <c r="R64" s="1636"/>
      <c r="S64" s="1636"/>
      <c r="T64" s="1636"/>
      <c r="U64" s="1636"/>
      <c r="V64" s="1636"/>
    </row>
    <row r="65" spans="1:22" ht="12" customHeight="1">
      <c r="A65" s="318" t="s">
        <v>346</v>
      </c>
      <c r="B65" s="319"/>
      <c r="C65" s="320"/>
      <c r="D65" s="321" t="s">
        <v>347</v>
      </c>
      <c r="E65" s="49" t="s">
        <v>348</v>
      </c>
      <c r="F65" s="322" t="s">
        <v>349</v>
      </c>
      <c r="G65" s="323" t="s">
        <v>350</v>
      </c>
      <c r="H65" s="1094"/>
      <c r="I65" s="867"/>
      <c r="J65" s="1638"/>
      <c r="K65" s="1095"/>
      <c r="L65" s="1096"/>
      <c r="M65" s="1096"/>
      <c r="N65" s="1126" t="s">
        <v>345</v>
      </c>
      <c r="O65" s="1127"/>
      <c r="P65" s="1128"/>
      <c r="Q65" s="1636"/>
      <c r="R65" s="1636"/>
      <c r="S65" s="1636"/>
      <c r="T65" s="1636"/>
      <c r="U65" s="1636"/>
      <c r="V65" s="1636"/>
    </row>
    <row r="66" spans="1:22" ht="25.5">
      <c r="A66" s="3599" t="s">
        <v>352</v>
      </c>
      <c r="B66" s="3565"/>
      <c r="C66" s="3565"/>
      <c r="D66" s="241" t="b">
        <f>IF(H66="情况1",0,IF(H66="情况2",D70,IF(H66="情况3",D71,IF(H66="情况4",D72))))</f>
        <v>0</v>
      </c>
      <c r="E66" s="907" t="str">
        <f>IF(H66="情况4","(销售额-原购置价)×税（费）率","销售额×税（费）率")</f>
        <v>销售额×税（费）率</v>
      </c>
      <c r="F66" s="324">
        <f>IF(H66="情况1","免征",'数据-取费表'!B41)</f>
        <v>5.5000000000000007E-2</v>
      </c>
      <c r="G66" s="325" t="s">
        <v>353</v>
      </c>
      <c r="H66" s="174"/>
      <c r="I66" s="1094"/>
      <c r="J66" s="1648"/>
      <c r="K66" s="1097">
        <v>1</v>
      </c>
      <c r="L66" s="3526" t="s">
        <v>351</v>
      </c>
      <c r="M66" s="3527"/>
      <c r="N66" s="1973"/>
      <c r="O66" s="1974"/>
      <c r="P66" s="1975"/>
      <c r="Q66" s="1636"/>
      <c r="R66" s="1636"/>
      <c r="S66" s="1636"/>
      <c r="T66" s="1636"/>
      <c r="U66" s="1636"/>
      <c r="V66" s="1636"/>
    </row>
    <row r="67" spans="1:22" ht="25.5" customHeight="1">
      <c r="A67" s="326" t="s">
        <v>355</v>
      </c>
      <c r="B67" s="3577" t="s">
        <v>356</v>
      </c>
      <c r="C67" s="3577"/>
      <c r="D67" s="327">
        <v>0</v>
      </c>
      <c r="E67" s="37" t="s">
        <v>357</v>
      </c>
      <c r="F67" s="58" t="s">
        <v>15</v>
      </c>
      <c r="G67" s="3561"/>
      <c r="H67" s="2542" t="s">
        <v>2257</v>
      </c>
      <c r="I67" s="2544"/>
      <c r="J67" s="1649"/>
      <c r="K67" s="1632">
        <v>2</v>
      </c>
      <c r="L67" s="3531" t="s">
        <v>354</v>
      </c>
      <c r="M67" s="3531"/>
      <c r="N67" s="1129">
        <f>'数据-取费表'!B2</f>
        <v>45483</v>
      </c>
      <c r="O67" s="1129"/>
      <c r="P67" s="1129"/>
      <c r="Q67" s="1636"/>
      <c r="R67" s="1636"/>
      <c r="S67" s="1636"/>
      <c r="T67" s="1636"/>
      <c r="U67" s="1636"/>
      <c r="V67" s="1636"/>
    </row>
    <row r="68" spans="1:22" ht="25.5" customHeight="1">
      <c r="A68" s="328"/>
      <c r="B68" s="3577" t="s">
        <v>359</v>
      </c>
      <c r="C68" s="3577"/>
      <c r="D68" s="329"/>
      <c r="E68" s="73"/>
      <c r="F68" s="330"/>
      <c r="G68" s="3562"/>
      <c r="H68" s="2543" t="s">
        <v>2258</v>
      </c>
      <c r="I68" s="2544"/>
      <c r="J68" s="1649"/>
      <c r="K68" s="1632">
        <v>3</v>
      </c>
      <c r="L68" s="3531" t="s">
        <v>358</v>
      </c>
      <c r="M68" s="3531"/>
      <c r="N68" s="1099">
        <f ca="1">C42</f>
        <v>16101</v>
      </c>
      <c r="O68" s="1099"/>
      <c r="P68" s="1099"/>
      <c r="Q68" s="1636"/>
      <c r="R68" s="1636"/>
      <c r="S68" s="1636"/>
      <c r="T68" s="1636"/>
      <c r="U68" s="1636"/>
      <c r="V68" s="1636"/>
    </row>
    <row r="69" spans="1:22" ht="23.45" customHeight="1">
      <c r="A69" s="331"/>
      <c r="B69" s="3577" t="s">
        <v>360</v>
      </c>
      <c r="C69" s="3577"/>
      <c r="D69" s="332"/>
      <c r="E69" s="69"/>
      <c r="F69" s="330"/>
      <c r="G69" s="3563"/>
      <c r="H69" s="2543" t="s">
        <v>2259</v>
      </c>
      <c r="I69" s="2544"/>
      <c r="J69" s="1649"/>
      <c r="K69" s="1100">
        <v>4</v>
      </c>
      <c r="L69" s="3532" t="s">
        <v>2157</v>
      </c>
      <c r="M69" s="3533"/>
      <c r="N69" s="1101" t="str">
        <f>C44</f>
        <v>——</v>
      </c>
      <c r="O69" s="1101"/>
      <c r="P69" s="1101"/>
      <c r="Q69" s="1636"/>
      <c r="R69" s="1636"/>
      <c r="S69" s="1636"/>
      <c r="T69" s="1636"/>
      <c r="U69" s="1636"/>
      <c r="V69" s="1636"/>
    </row>
    <row r="70" spans="1:22" ht="24" customHeight="1">
      <c r="A70" s="333" t="s">
        <v>361</v>
      </c>
      <c r="B70" s="3577" t="s">
        <v>362</v>
      </c>
      <c r="C70" s="3577"/>
      <c r="D70" s="332">
        <f ca="1">ROUND(D63*'数据-取费表'!B41/(1+'数据-取费表'!C42),0)</f>
        <v>843</v>
      </c>
      <c r="E70" s="14" t="s">
        <v>363</v>
      </c>
      <c r="F70" s="334">
        <f>'数据-取费表'!B41</f>
        <v>5.5000000000000007E-2</v>
      </c>
      <c r="G70" s="335"/>
      <c r="H70" s="287"/>
      <c r="I70" s="1098"/>
      <c r="J70" s="1649"/>
      <c r="K70" s="2333"/>
      <c r="L70" s="2334"/>
      <c r="M70" s="2334"/>
      <c r="N70" s="2335" t="s">
        <v>2161</v>
      </c>
      <c r="O70" s="2334"/>
      <c r="P70" s="2336"/>
      <c r="Q70" s="1636"/>
      <c r="R70" s="1636"/>
      <c r="S70" s="1636"/>
      <c r="T70" s="1636"/>
      <c r="U70" s="1636"/>
      <c r="V70" s="1636"/>
    </row>
    <row r="71" spans="1:22" ht="12" customHeight="1">
      <c r="A71" s="333" t="s">
        <v>369</v>
      </c>
      <c r="B71" s="3576" t="s">
        <v>2286</v>
      </c>
      <c r="C71" s="3593"/>
      <c r="D71" s="332">
        <f ca="1">ROUND(D63*'数据-取费表'!B41/(1+'数据-取费表'!C42),0)</f>
        <v>843</v>
      </c>
      <c r="E71" s="14" t="s">
        <v>363</v>
      </c>
      <c r="F71" s="334">
        <f>'数据-取费表'!B41</f>
        <v>5.5000000000000007E-2</v>
      </c>
      <c r="G71" s="335"/>
      <c r="H71" s="287"/>
      <c r="I71" s="1098"/>
      <c r="J71" s="1649"/>
      <c r="K71" s="2332" t="s">
        <v>364</v>
      </c>
      <c r="L71" s="3534" t="s">
        <v>365</v>
      </c>
      <c r="M71" s="3534"/>
      <c r="N71" s="2332" t="s">
        <v>366</v>
      </c>
      <c r="O71" s="2332" t="s">
        <v>367</v>
      </c>
      <c r="P71" s="2332" t="s">
        <v>368</v>
      </c>
      <c r="Q71" s="1636"/>
      <c r="R71" s="1636"/>
      <c r="S71" s="1636"/>
      <c r="T71" s="1636"/>
      <c r="U71" s="1636"/>
      <c r="V71" s="1636"/>
    </row>
    <row r="72" spans="1:22" ht="12" customHeight="1">
      <c r="A72" s="333" t="s">
        <v>371</v>
      </c>
      <c r="B72" s="3576" t="s">
        <v>2287</v>
      </c>
      <c r="C72" s="3593"/>
      <c r="D72" s="332">
        <f ca="1">C86</f>
        <v>843</v>
      </c>
      <c r="E72" s="69" t="s">
        <v>372</v>
      </c>
      <c r="F72" s="334">
        <f>'数据-取费表'!B41</f>
        <v>5.5000000000000007E-2</v>
      </c>
      <c r="G72" s="335"/>
      <c r="H72" s="1104"/>
      <c r="I72" s="1098"/>
      <c r="J72" s="1649"/>
      <c r="K72" s="1632">
        <v>1</v>
      </c>
      <c r="L72" s="3530" t="s">
        <v>370</v>
      </c>
      <c r="M72" s="3530"/>
      <c r="N72" s="1102" t="b">
        <f>D66</f>
        <v>0</v>
      </c>
      <c r="O72" s="1539" t="str">
        <f>E66</f>
        <v>销售额×税（费）率</v>
      </c>
      <c r="P72" s="1103">
        <f>F66</f>
        <v>5.5000000000000007E-2</v>
      </c>
      <c r="Q72" s="1636"/>
      <c r="R72" s="1636"/>
      <c r="S72" s="1636"/>
      <c r="T72" s="1636"/>
      <c r="U72" s="1636"/>
      <c r="V72" s="1636"/>
    </row>
    <row r="73" spans="1:22" ht="24" customHeight="1">
      <c r="A73" s="3564" t="s">
        <v>374</v>
      </c>
      <c r="B73" s="3565"/>
      <c r="C73" s="3565"/>
      <c r="D73" s="336">
        <f ca="1">IF(H73="个人住宅",0,ROUND(D63*I73,0))</f>
        <v>8</v>
      </c>
      <c r="E73" s="14" t="s">
        <v>375</v>
      </c>
      <c r="F73" s="334" t="str">
        <f>IF(H73="正常",I73,"免征")</f>
        <v>免征</v>
      </c>
      <c r="G73" s="335"/>
      <c r="H73" s="174"/>
      <c r="I73" s="334">
        <f>'数据-取费表'!B49</f>
        <v>5.0000000000000001E-4</v>
      </c>
      <c r="J73" s="1649"/>
      <c r="K73" s="1632">
        <v>2</v>
      </c>
      <c r="L73" s="3530" t="s">
        <v>373</v>
      </c>
      <c r="M73" s="3530"/>
      <c r="N73" s="1102">
        <f t="shared" ref="N73:P74" ca="1" si="0">D73</f>
        <v>8</v>
      </c>
      <c r="O73" s="1539" t="str">
        <f t="shared" si="0"/>
        <v>销售额×税（费）率</v>
      </c>
      <c r="P73" s="1103" t="str">
        <f t="shared" si="0"/>
        <v>免征</v>
      </c>
      <c r="Q73" s="1636"/>
      <c r="R73" s="1636"/>
      <c r="S73" s="1636"/>
      <c r="T73" s="1636"/>
      <c r="U73" s="1636"/>
      <c r="V73" s="1636"/>
    </row>
    <row r="74" spans="1:22" ht="24.75">
      <c r="A74" s="3564" t="s">
        <v>377</v>
      </c>
      <c r="B74" s="3565"/>
      <c r="C74" s="3565"/>
      <c r="D74" s="336">
        <f ca="1">IF(H74="个人住宅",D75,D76)</f>
        <v>9127</v>
      </c>
      <c r="E74" s="14" t="s">
        <v>378</v>
      </c>
      <c r="F74" s="334" t="str">
        <f>IF(H74="正常",F76,"免征")</f>
        <v>免征</v>
      </c>
      <c r="G74" s="898" t="s">
        <v>379</v>
      </c>
      <c r="H74" s="337"/>
      <c r="I74" s="38"/>
      <c r="J74" s="1649"/>
      <c r="K74" s="1632">
        <v>3</v>
      </c>
      <c r="L74" s="3530" t="s">
        <v>376</v>
      </c>
      <c r="M74" s="3530"/>
      <c r="N74" s="1102">
        <f t="shared" ca="1" si="0"/>
        <v>9127</v>
      </c>
      <c r="O74" s="1539" t="str">
        <f t="shared" si="0"/>
        <v>增值额×税（费）率</v>
      </c>
      <c r="P74" s="1105" t="str">
        <f t="shared" si="0"/>
        <v>免征</v>
      </c>
      <c r="Q74" s="1636"/>
      <c r="R74" s="1636"/>
      <c r="S74" s="1636"/>
      <c r="T74" s="1636"/>
      <c r="U74" s="1636"/>
      <c r="V74" s="1636"/>
    </row>
    <row r="75" spans="1:22" ht="12.75">
      <c r="A75" s="333" t="s">
        <v>380</v>
      </c>
      <c r="B75" s="3545" t="s">
        <v>381</v>
      </c>
      <c r="C75" s="3546"/>
      <c r="D75" s="338">
        <v>0</v>
      </c>
      <c r="E75" s="37" t="s">
        <v>382</v>
      </c>
      <c r="F75" s="339"/>
      <c r="G75" s="335"/>
      <c r="H75" s="38"/>
      <c r="I75" s="38"/>
      <c r="J75" s="1649"/>
      <c r="K75" s="1632">
        <f>IF(H77="非个人房产","",4)</f>
        <v>4</v>
      </c>
      <c r="L75" s="3530" t="str">
        <f>IF(H77="非个人房产","——","个人所得税")</f>
        <v>个人所得税</v>
      </c>
      <c r="M75" s="3530"/>
      <c r="N75" s="1106">
        <f>D77</f>
        <v>0</v>
      </c>
      <c r="O75" s="1540" t="str">
        <f>E77</f>
        <v>差额计税</v>
      </c>
      <c r="P75" s="1107">
        <f>F77</f>
        <v>0.01</v>
      </c>
      <c r="Q75" s="1636"/>
      <c r="R75" s="1636"/>
      <c r="S75" s="1636"/>
      <c r="T75" s="1636"/>
      <c r="U75" s="1636"/>
      <c r="V75" s="1636"/>
    </row>
    <row r="76" spans="1:22" ht="24.75">
      <c r="A76" s="333" t="s">
        <v>361</v>
      </c>
      <c r="B76" s="3545" t="s">
        <v>384</v>
      </c>
      <c r="C76" s="3587"/>
      <c r="D76" s="336">
        <f ca="1">IF(H76="转让取得",C99,C115)</f>
        <v>9127</v>
      </c>
      <c r="E76" s="14" t="s">
        <v>385</v>
      </c>
      <c r="F76" s="49" t="s">
        <v>15</v>
      </c>
      <c r="G76" s="335"/>
      <c r="H76" s="337"/>
      <c r="I76" s="38"/>
      <c r="J76" s="1649"/>
      <c r="K76" s="1632" t="str">
        <f>IF(项目基本情况!K6="上海银行",IF(K75="",4,K75+1),"")</f>
        <v/>
      </c>
      <c r="L76" s="3541" t="str">
        <f>IF(项目基本情况!K6="上海银行","其他处置费用","")</f>
        <v/>
      </c>
      <c r="M76" s="3542"/>
      <c r="N76" s="1102" t="str">
        <f>IF(项目基本情况!K6="上海银行",N89,"")</f>
        <v/>
      </c>
      <c r="O76" s="3543" t="str">
        <f>IF(项目基本情况!K6="上海银行","包含处置中涉及的律师、诉讼、拍卖、评估等费用","")</f>
        <v/>
      </c>
      <c r="P76" s="3544"/>
      <c r="Q76" s="1636"/>
      <c r="R76" s="1636"/>
      <c r="S76" s="1636"/>
      <c r="T76" s="1636"/>
      <c r="U76" s="1636"/>
      <c r="V76" s="1636"/>
    </row>
    <row r="77" spans="1:22" ht="24.75" thickBot="1">
      <c r="A77" s="3556" t="s">
        <v>387</v>
      </c>
      <c r="B77" s="3557"/>
      <c r="C77" s="3557"/>
      <c r="D77" s="2547">
        <f>IF(H77="非个人房产","——",IF(H77="个人住宅（满五唯一有凭证）",0,IF(H77="个人其他（无凭证）",ROUND(D63*F77,0),ROUND(C84*F77,0))))</f>
        <v>0</v>
      </c>
      <c r="E77" s="2548" t="str">
        <f>IF(H77="非个人房产","——",IF(H77="个人其他（无凭证）","销售额×税（费）率",IF(H77="个人住宅（满五唯一有凭证）","免征","差额计税")))</f>
        <v>差额计税</v>
      </c>
      <c r="F77" s="2549">
        <f>IF(OR(H77="非个人房产",H77="个人住宅（满五唯一有凭证）"),"——",IF(H77="个人其他（有凭证）",20%,1%))</f>
        <v>0.01</v>
      </c>
      <c r="G77" s="899" t="s">
        <v>379</v>
      </c>
      <c r="H77" s="2546"/>
      <c r="I77" s="2545" t="s">
        <v>2260</v>
      </c>
      <c r="J77" s="1649"/>
      <c r="K77" s="3552">
        <f>IF(AND(K75="",K76=""),4,IF(项目基本情况!K6="上海银行",K76+1,K75+1))</f>
        <v>5</v>
      </c>
      <c r="L77" s="3530" t="s">
        <v>2158</v>
      </c>
      <c r="M77" s="2331" t="s">
        <v>383</v>
      </c>
      <c r="N77" s="1108"/>
      <c r="O77" s="1109">
        <f ca="1">SUMIF(N72:N76,"&lt;9e307")</f>
        <v>9135</v>
      </c>
      <c r="P77" s="1110"/>
      <c r="Q77" s="2329" t="e">
        <f ca="1">O77/N69</f>
        <v>#VALUE!</v>
      </c>
      <c r="R77" s="1636"/>
      <c r="S77" s="1636"/>
      <c r="T77" s="1636"/>
      <c r="U77" s="1636"/>
      <c r="V77" s="1636"/>
    </row>
    <row r="78" spans="1:22" ht="12" customHeight="1">
      <c r="A78" s="1111"/>
      <c r="B78" s="287"/>
      <c r="C78" s="287"/>
      <c r="D78" s="287"/>
      <c r="E78" s="38"/>
      <c r="F78" s="38"/>
      <c r="G78" s="38"/>
      <c r="H78" s="867"/>
      <c r="I78" s="287"/>
      <c r="J78" s="1649"/>
      <c r="K78" s="3552"/>
      <c r="L78" s="3530"/>
      <c r="M78" s="2331" t="s">
        <v>386</v>
      </c>
      <c r="N78" s="1108"/>
      <c r="O78" s="1109" t="str">
        <f ca="1">NUMBERSTRING(INT(O77*10000),2)&amp;"元整"</f>
        <v>玖仟壹佰叁拾伍万元整</v>
      </c>
      <c r="P78" s="1110"/>
      <c r="Q78" s="1636"/>
      <c r="R78" s="1636"/>
      <c r="S78" s="1636"/>
      <c r="T78" s="1636"/>
      <c r="U78" s="1636"/>
      <c r="V78" s="1636"/>
    </row>
    <row r="79" spans="1:22" ht="13.5" thickBot="1">
      <c r="A79" s="3607" t="s">
        <v>388</v>
      </c>
      <c r="B79" s="3607"/>
      <c r="C79" s="3607"/>
      <c r="D79" s="3607"/>
      <c r="E79" s="3607"/>
      <c r="F79" s="38"/>
      <c r="G79" s="38"/>
      <c r="H79" s="867"/>
      <c r="I79" s="287"/>
      <c r="J79" s="1649"/>
      <c r="K79" s="3528">
        <f>K77+1</f>
        <v>6</v>
      </c>
      <c r="L79" s="3530" t="s">
        <v>2159</v>
      </c>
      <c r="M79" s="2331" t="s">
        <v>383</v>
      </c>
      <c r="N79" s="1108"/>
      <c r="O79" s="1109" t="e">
        <f ca="1">N69-O77</f>
        <v>#VALUE!</v>
      </c>
      <c r="P79" s="1110"/>
      <c r="Q79" s="1636"/>
      <c r="R79" s="1636"/>
      <c r="S79" s="1636"/>
      <c r="T79" s="1636"/>
      <c r="U79" s="1636"/>
      <c r="V79" s="1636"/>
    </row>
    <row r="80" spans="1:22" ht="12.75">
      <c r="A80" s="3538" t="s">
        <v>389</v>
      </c>
      <c r="B80" s="3539"/>
      <c r="C80" s="908"/>
      <c r="D80" s="908" t="s">
        <v>390</v>
      </c>
      <c r="E80" s="340" t="s">
        <v>391</v>
      </c>
      <c r="F80" s="38"/>
      <c r="G80" s="38"/>
      <c r="H80" s="867"/>
      <c r="I80" s="287"/>
      <c r="J80" s="1636"/>
      <c r="K80" s="3529"/>
      <c r="L80" s="3530"/>
      <c r="M80" s="2331" t="s">
        <v>386</v>
      </c>
      <c r="N80" s="1108"/>
      <c r="O80" s="1109" t="e">
        <f ca="1">NUMBERSTRING(INT(O79*10000),2)&amp;"元整"</f>
        <v>#VALUE!</v>
      </c>
      <c r="P80" s="1110"/>
      <c r="Q80" s="1636"/>
      <c r="R80" s="1636"/>
      <c r="S80" s="1636"/>
      <c r="T80" s="1636"/>
      <c r="U80" s="1636"/>
      <c r="V80" s="1636"/>
    </row>
    <row r="81" spans="1:26" ht="13.5" thickBot="1">
      <c r="A81" s="351" t="s">
        <v>1352</v>
      </c>
      <c r="B81" s="341" t="s">
        <v>392</v>
      </c>
      <c r="C81" s="342">
        <f ca="1">ROUND((C82+C83)/(1+'数据-取费表'!C42),0)</f>
        <v>15334</v>
      </c>
      <c r="D81" s="343"/>
      <c r="E81" s="344"/>
      <c r="F81" s="38"/>
      <c r="G81" s="38"/>
      <c r="H81" s="867"/>
      <c r="I81" s="287"/>
      <c r="J81" s="1636"/>
      <c r="K81" s="1632">
        <f>K79+1</f>
        <v>7</v>
      </c>
      <c r="L81" s="3550" t="s">
        <v>2160</v>
      </c>
      <c r="M81" s="3551"/>
      <c r="N81" s="1112"/>
      <c r="O81" s="1113" t="e">
        <f ca="1">ROUND(O79*10000/'数据-汇总表'!E3,0)</f>
        <v>#VALUE!</v>
      </c>
      <c r="P81" s="1114"/>
      <c r="Q81" s="1636"/>
      <c r="R81" s="1636"/>
      <c r="S81" s="1636"/>
      <c r="T81" s="1636"/>
      <c r="U81" s="1636"/>
      <c r="V81" s="1636"/>
    </row>
    <row r="82" spans="1:26" ht="13.5" thickTop="1">
      <c r="A82" s="345" t="s">
        <v>1353</v>
      </c>
      <c r="B82" s="346" t="s">
        <v>393</v>
      </c>
      <c r="C82" s="347">
        <f ca="1">D63</f>
        <v>16101</v>
      </c>
      <c r="D82" s="348" t="s">
        <v>13</v>
      </c>
      <c r="E82" s="349"/>
      <c r="F82" s="38"/>
      <c r="G82" s="38"/>
      <c r="H82" s="867"/>
      <c r="I82" s="287"/>
      <c r="J82" s="1636"/>
      <c r="K82" s="1636"/>
      <c r="L82" s="1636"/>
      <c r="M82" s="1636"/>
      <c r="N82" s="1636"/>
      <c r="O82" s="1636"/>
      <c r="P82" s="1636"/>
      <c r="Q82" s="1636"/>
      <c r="R82" s="1636"/>
      <c r="S82" s="1636"/>
      <c r="T82" s="1636"/>
      <c r="U82" s="1636"/>
      <c r="V82" s="1636"/>
    </row>
    <row r="83" spans="1:26" ht="12.75">
      <c r="A83" s="345" t="s">
        <v>1354</v>
      </c>
      <c r="B83" s="346" t="s">
        <v>394</v>
      </c>
      <c r="C83" s="350"/>
      <c r="D83" s="348"/>
      <c r="E83" s="349"/>
      <c r="F83" s="38"/>
      <c r="G83" s="38"/>
      <c r="H83" s="867"/>
      <c r="I83" s="287"/>
      <c r="J83" s="1636"/>
      <c r="K83" s="3540" t="s">
        <v>2148</v>
      </c>
      <c r="L83" s="2337" t="s">
        <v>2149</v>
      </c>
      <c r="M83" s="2327" t="e">
        <f>IF(N69&gt;10000,N69*0.5%,IF(AND(N69&gt;1000,N69&lt;=10000),N69*1%,IF(AND(N69&gt;100,N69&lt;=1000),N69*3%,IF(AND(N69&gt;10,N69&lt;=100),N69*5%,N69*8%))))</f>
        <v>#VALUE!</v>
      </c>
      <c r="N83" s="49" t="e">
        <f>ROUND(M83,1)</f>
        <v>#VALUE!</v>
      </c>
      <c r="O83" s="2330"/>
      <c r="P83" s="1636"/>
      <c r="Q83" s="1636"/>
      <c r="R83" s="1636"/>
      <c r="S83" s="1636"/>
      <c r="T83" s="1636"/>
      <c r="U83" s="1636"/>
      <c r="V83" s="1636"/>
    </row>
    <row r="84" spans="1:26" ht="12.75">
      <c r="A84" s="351" t="s">
        <v>1355</v>
      </c>
      <c r="B84" s="352" t="s">
        <v>395</v>
      </c>
      <c r="C84" s="353"/>
      <c r="D84" s="354" t="s">
        <v>13</v>
      </c>
      <c r="E84" s="2352" t="s">
        <v>2203</v>
      </c>
      <c r="F84" s="38"/>
      <c r="G84" s="38"/>
      <c r="H84" s="867"/>
      <c r="I84" s="287"/>
      <c r="J84" s="1636"/>
      <c r="K84" s="3540"/>
      <c r="L84" s="2337" t="s">
        <v>2150</v>
      </c>
      <c r="M84" s="2327" t="e">
        <f>IF(N69&gt;2000,N69*0.5%,IF(AND(N69&gt;1000,N69&lt;=2000),N69*0.6%,IF(AND(N69&gt;500,N69&lt;=1000),N69*0.7%,IF(AND(N69&gt;200,N69&lt;=500),N69*0.8%,IF(AND(N69&gt;100,N69&lt;=200),N69*0.9%,IF(AND(N69&gt;50,N69&lt;=100),N69*1%,IF(AND(N69&gt;20,N69&lt;=50),N69*1.5%,IF(AND(N69&gt;10,N69&lt;=20),N69*2%,IF(AND(N69&gt;1,N69&lt;=10),N69*2.5%)))))))))</f>
        <v>#VALUE!</v>
      </c>
      <c r="N84" s="49" t="e">
        <f>ROUND(M84,1)</f>
        <v>#VALUE!</v>
      </c>
      <c r="O84" s="1636" t="s">
        <v>2151</v>
      </c>
      <c r="P84" s="1636"/>
      <c r="Q84" s="1636"/>
      <c r="R84" s="1636"/>
      <c r="S84" s="1636"/>
      <c r="T84" s="1636"/>
      <c r="U84" s="1636"/>
      <c r="V84" s="1636"/>
    </row>
    <row r="85" spans="1:26" ht="12.75">
      <c r="A85" s="351" t="s">
        <v>1356</v>
      </c>
      <c r="B85" s="352" t="s">
        <v>396</v>
      </c>
      <c r="C85" s="355">
        <f ca="1">C81-C84</f>
        <v>15334</v>
      </c>
      <c r="D85" s="348" t="s">
        <v>13</v>
      </c>
      <c r="E85" s="349"/>
      <c r="F85" s="38"/>
      <c r="G85" s="38"/>
      <c r="H85" s="867"/>
      <c r="I85" s="287"/>
      <c r="J85" s="1636"/>
      <c r="K85" s="3540"/>
      <c r="L85" s="2337" t="s">
        <v>2152</v>
      </c>
      <c r="M85" s="2327" t="e">
        <f>IF(N69&gt;1000,N69*0.1%,IF(AND(N69&gt;500,N69&lt;=1000),N69*0.5%,IF(AND(N69&gt;50,N69&lt;=500),N69*1%,IF(AND(N69&gt;1,N69&lt;=50),N69*1.5%))))</f>
        <v>#VALUE!</v>
      </c>
      <c r="N85" s="49" t="e">
        <f>ROUND(M85,1)</f>
        <v>#VALUE!</v>
      </c>
      <c r="O85" s="1636" t="s">
        <v>2151</v>
      </c>
      <c r="P85" s="1636"/>
      <c r="Q85" s="1636"/>
      <c r="R85" s="1636"/>
      <c r="S85" s="1636"/>
      <c r="T85" s="1636"/>
      <c r="U85" s="1636"/>
      <c r="V85" s="1636"/>
    </row>
    <row r="86" spans="1:26" ht="13.5" thickBot="1">
      <c r="A86" s="356" t="s">
        <v>1357</v>
      </c>
      <c r="B86" s="357" t="s">
        <v>397</v>
      </c>
      <c r="C86" s="358">
        <f ca="1">IF(C85&lt;=0,0,ROUND(C85*D86,0))</f>
        <v>843</v>
      </c>
      <c r="D86" s="359">
        <f>'数据-取费表'!B41</f>
        <v>5.5000000000000007E-2</v>
      </c>
      <c r="E86" s="360"/>
      <c r="F86" s="38"/>
      <c r="G86" s="38"/>
      <c r="H86" s="867"/>
      <c r="I86" s="287"/>
      <c r="J86" s="1636"/>
      <c r="K86" s="3540"/>
      <c r="L86" s="2337" t="s">
        <v>2153</v>
      </c>
      <c r="M86" s="2327" t="e">
        <f>N69*0.5%</f>
        <v>#VALUE!</v>
      </c>
      <c r="N86" s="49" t="e">
        <f>IF(M86&gt;0.5,0.5,ROUND(M86,0))</f>
        <v>#VALUE!</v>
      </c>
      <c r="O86" s="1636" t="s">
        <v>2154</v>
      </c>
      <c r="P86" s="1636"/>
      <c r="Q86" s="1636"/>
      <c r="R86" s="1636"/>
      <c r="S86" s="1636"/>
      <c r="T86" s="1636"/>
      <c r="U86" s="1636"/>
      <c r="V86" s="1636"/>
    </row>
    <row r="87" spans="1:26" ht="14.25" customHeight="1">
      <c r="A87" s="1115"/>
      <c r="B87" s="1116"/>
      <c r="C87" s="1117"/>
      <c r="D87" s="1118"/>
      <c r="E87" s="1119"/>
      <c r="F87" s="38"/>
      <c r="G87" s="38"/>
      <c r="H87" s="867"/>
      <c r="I87" s="287"/>
      <c r="J87" s="1636"/>
      <c r="K87" s="3540"/>
      <c r="L87" s="2337" t="s">
        <v>2155</v>
      </c>
      <c r="M87" s="2327" t="e">
        <f>IF(N69&gt;=10000,(8.25+(N69-10000)*0.01%),IF(AND(N69&gt;=8000,N69&lt;10000),(7.85+(N69-8000)*0.02%),IF(AND(N69&gt;=5000,N69&lt;8000),(6.65+(N69-5000)*0.04%),IF(AND(N69&gt;=2000,N69&lt;5000),(4.25+(PN69-2000)*0.08%),IF(AND(N69&gt;=1000,N69&lt;2000),(2.75+(N69-1000)*0.15%),IF(AND(N69&gt;=100,N69&lt;1000),(0.5+(N69-100)*0.25%),IF(AND(N69&gt;0,N69&lt;100),N69*0.5%)))))))</f>
        <v>#VALUE!</v>
      </c>
      <c r="N87" s="49" t="e">
        <f>ROUND(M87*0.9,1)</f>
        <v>#VALUE!</v>
      </c>
      <c r="O87" s="2330"/>
      <c r="P87" s="1636"/>
      <c r="Q87" s="1636"/>
      <c r="R87" s="1636"/>
      <c r="S87" s="1636"/>
      <c r="T87" s="1636"/>
      <c r="U87" s="1636"/>
      <c r="V87" s="1636"/>
    </row>
    <row r="88" spans="1:26" s="1008" customFormat="1" ht="15" thickBot="1">
      <c r="A88" s="3579" t="s">
        <v>398</v>
      </c>
      <c r="B88" s="3580"/>
      <c r="C88" s="3580"/>
      <c r="D88" s="3580"/>
      <c r="E88" s="3580"/>
      <c r="F88" s="3580"/>
      <c r="G88" s="3580"/>
      <c r="H88" s="3580"/>
      <c r="I88" s="1120"/>
      <c r="J88" s="1650"/>
      <c r="K88" s="3540"/>
      <c r="L88" s="2337" t="s">
        <v>2156</v>
      </c>
      <c r="M88" s="2327" t="e">
        <f>IF(N69&gt;10000,N69*0.5%,IF(AND(N69&gt;5000,N69&lt;=10000),N69*1%,IF(AND(N69&gt;1000,N69&lt;=5000),N69*2%,IF(AND(N69&gt;200,N69&lt;=1000),N69*3%,N69*5%))))</f>
        <v>#VALUE!</v>
      </c>
      <c r="N88" s="49" t="e">
        <f>ROUND(M88,1)</f>
        <v>#VALUE!</v>
      </c>
      <c r="O88" s="2330"/>
      <c r="P88" s="1647"/>
      <c r="Q88" s="1647"/>
      <c r="R88" s="1647"/>
      <c r="S88" s="1647"/>
      <c r="T88" s="1647"/>
      <c r="U88" s="1647"/>
      <c r="V88" s="1647"/>
      <c r="W88" s="1651"/>
      <c r="X88" s="1651"/>
      <c r="Y88" s="1651"/>
      <c r="Z88" s="1651"/>
    </row>
    <row r="89" spans="1:26" s="1008" customFormat="1" ht="14.25">
      <c r="A89" s="3538" t="s">
        <v>389</v>
      </c>
      <c r="B89" s="3539"/>
      <c r="C89" s="908"/>
      <c r="D89" s="908" t="s">
        <v>390</v>
      </c>
      <c r="E89" s="361" t="s">
        <v>399</v>
      </c>
      <c r="F89" s="362"/>
      <c r="G89" s="362"/>
      <c r="H89" s="363"/>
      <c r="I89" s="1121"/>
      <c r="J89" s="1652"/>
      <c r="K89" s="3540"/>
      <c r="L89" s="2337" t="s">
        <v>16</v>
      </c>
      <c r="M89" s="2328"/>
      <c r="N89" s="49" t="e">
        <f>ROUND(SUM(N83:N88),0)</f>
        <v>#VALUE!</v>
      </c>
      <c r="O89" s="2338" t="e">
        <f>N89/N69</f>
        <v>#VALUE!</v>
      </c>
      <c r="P89" s="1647"/>
      <c r="Q89" s="1647"/>
      <c r="R89" s="1647"/>
      <c r="S89" s="1647"/>
      <c r="T89" s="1647"/>
      <c r="U89" s="1647"/>
      <c r="V89" s="1647"/>
      <c r="W89" s="1651"/>
      <c r="X89" s="1651"/>
      <c r="Y89" s="1651"/>
      <c r="Z89" s="1651"/>
    </row>
    <row r="90" spans="1:26" s="1008" customFormat="1" ht="14.25">
      <c r="A90" s="351" t="s">
        <v>1352</v>
      </c>
      <c r="B90" s="352" t="s">
        <v>400</v>
      </c>
      <c r="C90" s="355">
        <f ca="1">ROUND(D63/(1+'数据-取费表'!C42),0)</f>
        <v>15334</v>
      </c>
      <c r="D90" s="348" t="s">
        <v>13</v>
      </c>
      <c r="E90" s="906"/>
      <c r="F90" s="905"/>
      <c r="G90" s="905"/>
      <c r="H90" s="364"/>
      <c r="I90" s="1121"/>
      <c r="J90" s="1652"/>
      <c r="K90" s="1647"/>
      <c r="L90" s="1647"/>
      <c r="M90" s="1647"/>
      <c r="N90" s="1647"/>
      <c r="O90" s="1647"/>
      <c r="P90" s="1647"/>
      <c r="Q90" s="1647"/>
      <c r="R90" s="1647"/>
      <c r="S90" s="1647"/>
      <c r="T90" s="1647"/>
      <c r="U90" s="1647"/>
      <c r="V90" s="1647"/>
      <c r="W90" s="1651"/>
      <c r="X90" s="1651"/>
      <c r="Y90" s="1651"/>
      <c r="Z90" s="1651"/>
    </row>
    <row r="91" spans="1:26" s="1008" customFormat="1" ht="14.25">
      <c r="A91" s="351" t="s">
        <v>1358</v>
      </c>
      <c r="B91" s="322" t="s">
        <v>401</v>
      </c>
      <c r="C91" s="355">
        <f ca="1">C92+C96</f>
        <v>77</v>
      </c>
      <c r="D91" s="348" t="s">
        <v>13</v>
      </c>
      <c r="E91" s="906"/>
      <c r="F91" s="905"/>
      <c r="G91" s="905"/>
      <c r="H91" s="364"/>
      <c r="I91" s="1121"/>
      <c r="J91" s="1652"/>
      <c r="K91" s="1647"/>
      <c r="L91" s="1647"/>
      <c r="M91" s="1647"/>
      <c r="N91" s="1647"/>
      <c r="O91" s="1647"/>
      <c r="P91" s="1647"/>
      <c r="Q91" s="1647"/>
      <c r="R91" s="1647"/>
      <c r="S91" s="1647"/>
      <c r="T91" s="1647"/>
      <c r="U91" s="1647"/>
      <c r="V91" s="1647"/>
      <c r="W91" s="1651"/>
      <c r="X91" s="1651"/>
      <c r="Y91" s="1651"/>
      <c r="Z91" s="1651"/>
    </row>
    <row r="92" spans="1:26" s="1008" customFormat="1" ht="24">
      <c r="A92" s="365" t="s">
        <v>1359</v>
      </c>
      <c r="B92" s="346" t="s">
        <v>402</v>
      </c>
      <c r="C92" s="348">
        <f>ROUND(IF(G95="2016年5月1日后购买",C93/(1+'数据-取费表'!C30)+C94+C95,C93+C94+C95),0)</f>
        <v>0</v>
      </c>
      <c r="D92" s="348" t="s">
        <v>13</v>
      </c>
      <c r="E92" s="906"/>
      <c r="F92" s="905"/>
      <c r="G92" s="905"/>
      <c r="H92" s="364"/>
      <c r="I92" s="1121"/>
      <c r="J92" s="1652"/>
      <c r="K92" s="1647"/>
      <c r="L92" s="1647"/>
      <c r="M92" s="1647"/>
      <c r="N92" s="1647"/>
      <c r="O92" s="1647"/>
      <c r="P92" s="1647"/>
      <c r="Q92" s="1647"/>
      <c r="R92" s="1647"/>
      <c r="S92" s="1647"/>
      <c r="T92" s="1647"/>
      <c r="U92" s="1647"/>
      <c r="V92" s="1647"/>
      <c r="W92" s="1651"/>
      <c r="X92" s="1651"/>
      <c r="Y92" s="1651"/>
      <c r="Z92" s="1651"/>
    </row>
    <row r="93" spans="1:26" s="1008" customFormat="1" ht="14.25">
      <c r="A93" s="365" t="s">
        <v>1360</v>
      </c>
      <c r="B93" s="346" t="s">
        <v>403</v>
      </c>
      <c r="C93" s="366"/>
      <c r="D93" s="348" t="s">
        <v>13</v>
      </c>
      <c r="E93" s="367" t="s">
        <v>404</v>
      </c>
      <c r="F93" s="368"/>
      <c r="G93" s="367" t="s">
        <v>405</v>
      </c>
      <c r="H93" s="369">
        <v>5</v>
      </c>
      <c r="I93" s="9"/>
      <c r="J93" s="1647"/>
      <c r="K93" s="1647"/>
      <c r="L93" s="1647"/>
      <c r="M93" s="1647"/>
      <c r="N93" s="1647"/>
      <c r="O93" s="1647"/>
      <c r="P93" s="1647"/>
      <c r="Q93" s="1647"/>
      <c r="R93" s="1647"/>
      <c r="S93" s="1647"/>
      <c r="T93" s="1647"/>
      <c r="U93" s="1647"/>
      <c r="V93" s="1647"/>
      <c r="W93" s="1651"/>
      <c r="X93" s="1651"/>
      <c r="Y93" s="1651"/>
      <c r="Z93" s="1651"/>
    </row>
    <row r="94" spans="1:26" s="1008" customFormat="1" ht="24.75" customHeight="1">
      <c r="A94" s="365" t="s">
        <v>1361</v>
      </c>
      <c r="B94" s="370" t="s">
        <v>406</v>
      </c>
      <c r="C94" s="348">
        <f>IF(F93="购房发票",ROUND(C93*H93*5%,0),0)</f>
        <v>0</v>
      </c>
      <c r="D94" s="371">
        <v>0.05</v>
      </c>
      <c r="E94" s="3576" t="s">
        <v>407</v>
      </c>
      <c r="F94" s="3577"/>
      <c r="G94" s="3577"/>
      <c r="H94" s="3578"/>
      <c r="I94" s="1121"/>
      <c r="J94" s="1652"/>
      <c r="K94" s="1647"/>
      <c r="L94" s="1647"/>
      <c r="M94" s="1647"/>
      <c r="N94" s="1647"/>
      <c r="O94" s="1647"/>
      <c r="P94" s="1647"/>
      <c r="Q94" s="1647"/>
      <c r="R94" s="1647"/>
      <c r="S94" s="1647"/>
      <c r="T94" s="1647"/>
      <c r="U94" s="1647"/>
      <c r="V94" s="1647"/>
      <c r="W94" s="1651"/>
      <c r="X94" s="1651"/>
      <c r="Y94" s="1651"/>
      <c r="Z94" s="1651"/>
    </row>
    <row r="95" spans="1:26" s="1008" customFormat="1" ht="24.75" customHeight="1">
      <c r="A95" s="365" t="s">
        <v>1362</v>
      </c>
      <c r="B95" s="346" t="s">
        <v>408</v>
      </c>
      <c r="C95" s="348">
        <f>ROUND(IF(G95="个人买卖住房",0,IF(G95="2016年5月1日前购买",C93*D95,C93*D95/(1+'数据-取费表'!C42))),0)</f>
        <v>0</v>
      </c>
      <c r="D95" s="372">
        <f>'数据-取费表'!B48+'数据-取费表'!B49</f>
        <v>3.0499999999999999E-2</v>
      </c>
      <c r="E95" s="22" t="s">
        <v>409</v>
      </c>
      <c r="F95" s="373"/>
      <c r="G95" s="374"/>
      <c r="H95" s="913" t="str">
        <f>IF(G95="个人买卖住房","免征印花税"," ")</f>
        <v xml:space="preserve"> </v>
      </c>
      <c r="I95" s="1121"/>
      <c r="J95" s="1652"/>
      <c r="K95" s="1647"/>
      <c r="L95" s="1647"/>
      <c r="M95" s="1647"/>
      <c r="N95" s="1647"/>
      <c r="O95" s="1647"/>
      <c r="P95" s="1647"/>
      <c r="Q95" s="1647"/>
      <c r="R95" s="1647"/>
      <c r="S95" s="1647"/>
      <c r="T95" s="1647"/>
      <c r="U95" s="1647"/>
      <c r="V95" s="1647"/>
      <c r="W95" s="1651"/>
      <c r="X95" s="1651"/>
      <c r="Y95" s="1651"/>
      <c r="Z95" s="1651"/>
    </row>
    <row r="96" spans="1:26" s="1008" customFormat="1" ht="24.75" customHeight="1">
      <c r="A96" s="365" t="s">
        <v>1363</v>
      </c>
      <c r="B96" s="346" t="s">
        <v>410</v>
      </c>
      <c r="C96" s="375">
        <f ca="1">ROUND(D63*D96/(1+'数据-取费表'!C42),0)</f>
        <v>77</v>
      </c>
      <c r="D96" s="376">
        <f>'数据-取费表'!B43</f>
        <v>5.000000000000001E-3</v>
      </c>
      <c r="E96" s="3535" t="s">
        <v>1780</v>
      </c>
      <c r="F96" s="3536"/>
      <c r="G96" s="3536"/>
      <c r="H96" s="3537"/>
      <c r="I96" s="1122"/>
      <c r="J96" s="1653"/>
      <c r="K96" s="1647"/>
      <c r="L96" s="1647"/>
      <c r="M96" s="1647"/>
      <c r="N96" s="1647"/>
      <c r="O96" s="1647"/>
      <c r="P96" s="1647"/>
      <c r="Q96" s="1647"/>
      <c r="R96" s="1647"/>
      <c r="S96" s="1647"/>
      <c r="T96" s="1647"/>
      <c r="U96" s="1647"/>
      <c r="V96" s="1647"/>
      <c r="W96" s="1651"/>
      <c r="X96" s="1651"/>
      <c r="Y96" s="1651"/>
      <c r="Z96" s="1651"/>
    </row>
    <row r="97" spans="1:26" s="1008" customFormat="1" ht="14.25">
      <c r="A97" s="1339" t="s">
        <v>1364</v>
      </c>
      <c r="B97" s="352" t="s">
        <v>411</v>
      </c>
      <c r="C97" s="355">
        <f ca="1">C90-C91</f>
        <v>15257</v>
      </c>
      <c r="D97" s="348" t="s">
        <v>13</v>
      </c>
      <c r="E97" s="906"/>
      <c r="F97" s="905"/>
      <c r="G97" s="905"/>
      <c r="H97" s="364"/>
      <c r="I97" s="1121"/>
      <c r="J97" s="1652"/>
      <c r="K97" s="1647"/>
      <c r="L97" s="1647"/>
      <c r="M97" s="1647"/>
      <c r="N97" s="1647"/>
      <c r="O97" s="1647"/>
      <c r="P97" s="1647"/>
      <c r="Q97" s="1647"/>
      <c r="R97" s="1647"/>
      <c r="S97" s="1647"/>
      <c r="T97" s="1647"/>
      <c r="U97" s="1647"/>
      <c r="V97" s="1647"/>
      <c r="W97" s="1651"/>
      <c r="X97" s="1651"/>
      <c r="Y97" s="1651"/>
      <c r="Z97" s="1651"/>
    </row>
    <row r="98" spans="1:26" s="1008" customFormat="1" ht="24">
      <c r="A98" s="1339" t="s">
        <v>1365</v>
      </c>
      <c r="B98" s="352" t="s">
        <v>412</v>
      </c>
      <c r="C98" s="377">
        <f ca="1">IF(C97&lt;=0,0,C97/C91)</f>
        <v>198.14285714285714</v>
      </c>
      <c r="D98" s="348" t="s">
        <v>13</v>
      </c>
      <c r="E98" s="22" t="str">
        <f ca="1">IF(C98&gt;=200%,"增值额超过扣除项目金额200%",IF(C98&gt;=100%,"增值额超过扣除项目金额100%，未超过200%",IF(C98&gt;=50%,"增值额超过扣除项目金额50%，未超过100%",IF(C98&lt;50%,"增值额未超过扣除项目金额50%"))))</f>
        <v>增值额超过扣除项目金额200%</v>
      </c>
      <c r="F98" s="905"/>
      <c r="G98" s="905"/>
      <c r="H98" s="364"/>
      <c r="I98" s="1121"/>
      <c r="J98" s="1652"/>
      <c r="K98" s="1647"/>
      <c r="L98" s="1647"/>
      <c r="M98" s="1647"/>
      <c r="N98" s="1647"/>
      <c r="O98" s="1647"/>
      <c r="P98" s="1647"/>
      <c r="Q98" s="1647"/>
      <c r="R98" s="1647"/>
      <c r="S98" s="1647"/>
      <c r="T98" s="1647"/>
      <c r="U98" s="1647"/>
      <c r="V98" s="1647"/>
      <c r="W98" s="1651"/>
      <c r="X98" s="1651"/>
      <c r="Y98" s="1651"/>
      <c r="Z98" s="1651"/>
    </row>
    <row r="99" spans="1:26" s="1008" customFormat="1" ht="24.75" thickBot="1">
      <c r="A99" s="1340" t="s">
        <v>1366</v>
      </c>
      <c r="B99" s="357" t="s">
        <v>413</v>
      </c>
      <c r="C99" s="378">
        <f ca="1">ROUND(IF(C97&lt;=0,0,IF(C98&gt;=200%,C97*60%-C91*35%,IF(C98&gt;=100%,C97*50%-C91*15%,IF(C98&gt;=50%,C97*40%-C91*5%,IF(C98&lt;50%,C97*30%,0))))),0)</f>
        <v>9127</v>
      </c>
      <c r="D99" s="379" t="s">
        <v>13</v>
      </c>
      <c r="E99" s="38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381"/>
      <c r="G99" s="381"/>
      <c r="H99" s="382"/>
      <c r="I99" s="1121"/>
      <c r="J99" s="1652"/>
      <c r="K99" s="1647"/>
      <c r="L99" s="1647"/>
      <c r="M99" s="1647"/>
      <c r="N99" s="1647"/>
      <c r="O99" s="1647"/>
      <c r="P99" s="1647"/>
      <c r="Q99" s="1647"/>
      <c r="R99" s="1647"/>
      <c r="S99" s="1647"/>
      <c r="T99" s="1647"/>
      <c r="U99" s="1647"/>
      <c r="V99" s="1647"/>
      <c r="W99" s="1651"/>
      <c r="X99" s="1651"/>
      <c r="Y99" s="1651"/>
      <c r="Z99" s="1651"/>
    </row>
    <row r="100" spans="1:26" s="1008" customFormat="1" ht="7.5" customHeight="1">
      <c r="A100" s="9"/>
      <c r="B100" s="1123"/>
      <c r="C100" s="9"/>
      <c r="D100" s="9"/>
      <c r="E100" s="1123"/>
      <c r="F100" s="1123"/>
      <c r="G100" s="1123"/>
      <c r="H100" s="1124"/>
      <c r="I100" s="1122"/>
      <c r="J100" s="1653"/>
      <c r="K100" s="1647"/>
      <c r="L100" s="1647"/>
      <c r="M100" s="1647"/>
      <c r="N100" s="1647"/>
      <c r="O100" s="1647"/>
      <c r="P100" s="1647"/>
      <c r="Q100" s="1647"/>
      <c r="R100" s="1647"/>
      <c r="S100" s="1647"/>
      <c r="T100" s="1647"/>
      <c r="U100" s="1647"/>
      <c r="V100" s="1647"/>
      <c r="W100" s="1651"/>
      <c r="X100" s="1651"/>
      <c r="Y100" s="1651"/>
      <c r="Z100" s="1651"/>
    </row>
    <row r="101" spans="1:26" s="1008" customFormat="1" ht="15" thickBot="1">
      <c r="A101" s="3579" t="s">
        <v>414</v>
      </c>
      <c r="B101" s="3580"/>
      <c r="C101" s="3580"/>
      <c r="D101" s="3580"/>
      <c r="E101" s="3580"/>
      <c r="F101" s="3580"/>
      <c r="G101" s="3580"/>
      <c r="H101" s="3580"/>
      <c r="I101" s="9"/>
      <c r="J101" s="1647"/>
      <c r="K101" s="1647"/>
      <c r="L101" s="1647"/>
      <c r="M101" s="1647"/>
      <c r="N101" s="1647"/>
      <c r="O101" s="1647"/>
      <c r="P101" s="1647"/>
      <c r="Q101" s="1647"/>
      <c r="R101" s="1647"/>
      <c r="S101" s="1647"/>
      <c r="T101" s="1647"/>
      <c r="U101" s="1647"/>
      <c r="V101" s="1647"/>
      <c r="W101" s="1651"/>
      <c r="X101" s="1651"/>
      <c r="Y101" s="1651"/>
      <c r="Z101" s="1651"/>
    </row>
    <row r="102" spans="1:26" s="1008" customFormat="1" ht="14.25">
      <c r="A102" s="3538" t="s">
        <v>389</v>
      </c>
      <c r="B102" s="3539"/>
      <c r="C102" s="908"/>
      <c r="D102" s="908" t="s">
        <v>390</v>
      </c>
      <c r="E102" s="361" t="s">
        <v>399</v>
      </c>
      <c r="F102" s="362"/>
      <c r="G102" s="362"/>
      <c r="H102" s="383"/>
      <c r="I102" s="9"/>
      <c r="J102" s="1647"/>
      <c r="K102" s="1647"/>
      <c r="L102" s="1647"/>
      <c r="M102" s="1647"/>
      <c r="N102" s="1647"/>
      <c r="O102" s="1647"/>
      <c r="P102" s="1647"/>
      <c r="Q102" s="1647"/>
      <c r="R102" s="1647"/>
      <c r="S102" s="1647"/>
      <c r="T102" s="1647"/>
      <c r="U102" s="1647"/>
      <c r="V102" s="1647"/>
      <c r="W102" s="1651"/>
      <c r="X102" s="1651"/>
      <c r="Y102" s="1651"/>
      <c r="Z102" s="1651"/>
    </row>
    <row r="103" spans="1:26" s="1008" customFormat="1" ht="14.25">
      <c r="A103" s="351" t="s">
        <v>1352</v>
      </c>
      <c r="B103" s="352" t="s">
        <v>400</v>
      </c>
      <c r="C103" s="355">
        <f ca="1">ROUND(D63/(1+'数据-取费表'!C42),0)</f>
        <v>15334</v>
      </c>
      <c r="D103" s="348" t="s">
        <v>13</v>
      </c>
      <c r="E103" s="906"/>
      <c r="F103" s="905"/>
      <c r="G103" s="905"/>
      <c r="H103" s="384"/>
      <c r="I103" s="9"/>
      <c r="J103" s="1647"/>
      <c r="K103" s="1647"/>
      <c r="L103" s="1647"/>
      <c r="M103" s="1647"/>
      <c r="N103" s="1647"/>
      <c r="O103" s="1647"/>
      <c r="P103" s="1647"/>
      <c r="Q103" s="1647"/>
      <c r="R103" s="1647"/>
      <c r="S103" s="1647"/>
      <c r="T103" s="1647"/>
      <c r="U103" s="1647"/>
      <c r="V103" s="1647"/>
      <c r="W103" s="1651"/>
      <c r="X103" s="1651"/>
      <c r="Y103" s="1651"/>
      <c r="Z103" s="1651"/>
    </row>
    <row r="104" spans="1:26" s="1008" customFormat="1" ht="14.25">
      <c r="A104" s="351" t="s">
        <v>1358</v>
      </c>
      <c r="B104" s="322" t="s">
        <v>401</v>
      </c>
      <c r="C104" s="355">
        <f ca="1">IF(H106="仅含出让金",C105+C108+C109+C110+C111+C112,C105+C109+C110+C111+C112)</f>
        <v>77</v>
      </c>
      <c r="D104" s="385"/>
      <c r="E104" s="906"/>
      <c r="F104" s="905"/>
      <c r="G104" s="905"/>
      <c r="H104" s="384"/>
      <c r="I104" s="9"/>
      <c r="J104" s="1647"/>
      <c r="K104" s="1647"/>
      <c r="L104" s="1647"/>
      <c r="M104" s="1647"/>
      <c r="N104" s="1647"/>
      <c r="O104" s="1647"/>
      <c r="P104" s="1647"/>
      <c r="Q104" s="1647"/>
      <c r="R104" s="1647"/>
      <c r="S104" s="1647"/>
      <c r="T104" s="1647"/>
      <c r="U104" s="1647"/>
      <c r="V104" s="1647"/>
      <c r="W104" s="1651"/>
      <c r="X104" s="1651"/>
      <c r="Y104" s="1651"/>
      <c r="Z104" s="1651"/>
    </row>
    <row r="105" spans="1:26" s="1008" customFormat="1" ht="14.25">
      <c r="A105" s="365" t="s">
        <v>1359</v>
      </c>
      <c r="B105" s="346" t="s">
        <v>415</v>
      </c>
      <c r="C105" s="375">
        <f>C106+C107</f>
        <v>0</v>
      </c>
      <c r="D105" s="376"/>
      <c r="E105" s="900"/>
      <c r="F105" s="901"/>
      <c r="G105" s="901"/>
      <c r="H105" s="902"/>
      <c r="I105" s="9"/>
      <c r="J105" s="1647"/>
      <c r="K105" s="1647"/>
      <c r="L105" s="1647"/>
      <c r="M105" s="1647"/>
      <c r="N105" s="1647"/>
      <c r="O105" s="1647"/>
      <c r="P105" s="1647"/>
      <c r="Q105" s="1647"/>
      <c r="R105" s="1647"/>
      <c r="S105" s="1647"/>
      <c r="T105" s="1647"/>
      <c r="U105" s="1647"/>
      <c r="V105" s="1647"/>
      <c r="W105" s="1651"/>
      <c r="X105" s="1651"/>
      <c r="Y105" s="1651"/>
      <c r="Z105" s="1651"/>
    </row>
    <row r="106" spans="1:26" s="1008" customFormat="1" ht="14.25">
      <c r="A106" s="365" t="s">
        <v>1360</v>
      </c>
      <c r="B106" s="346" t="s">
        <v>416</v>
      </c>
      <c r="C106" s="386"/>
      <c r="D106" s="376"/>
      <c r="E106" s="387" t="s">
        <v>417</v>
      </c>
      <c r="F106" s="901"/>
      <c r="G106" s="388" t="s">
        <v>418</v>
      </c>
      <c r="H106" s="389"/>
      <c r="I106" s="9"/>
      <c r="J106" s="1647"/>
      <c r="K106" s="2744" t="s">
        <v>2280</v>
      </c>
      <c r="L106" s="1647"/>
      <c r="M106" s="1647"/>
      <c r="N106" s="1647"/>
      <c r="O106" s="1647"/>
      <c r="P106" s="1647"/>
      <c r="Q106" s="1647"/>
      <c r="R106" s="1647"/>
      <c r="S106" s="1647"/>
      <c r="T106" s="1647"/>
      <c r="U106" s="1647"/>
      <c r="V106" s="1647"/>
      <c r="W106" s="1651"/>
      <c r="X106" s="1651"/>
      <c r="Y106" s="1651"/>
      <c r="Z106" s="1651"/>
    </row>
    <row r="107" spans="1:26" s="1008" customFormat="1" ht="14.25">
      <c r="A107" s="365" t="s">
        <v>1361</v>
      </c>
      <c r="B107" s="346" t="s">
        <v>408</v>
      </c>
      <c r="C107" s="375">
        <f>ROUND(C106*D107,0)</f>
        <v>0</v>
      </c>
      <c r="D107" s="376">
        <f>'数据-取费表'!B48+'数据-取费表'!B49</f>
        <v>3.0499999999999999E-2</v>
      </c>
      <c r="E107" s="387" t="s">
        <v>419</v>
      </c>
      <c r="F107" s="901"/>
      <c r="G107" s="901"/>
      <c r="H107" s="902"/>
      <c r="I107" s="9"/>
      <c r="J107" s="1647"/>
      <c r="K107" s="1647"/>
      <c r="L107" s="1647"/>
      <c r="M107" s="1647"/>
      <c r="N107" s="1647"/>
      <c r="O107" s="1647"/>
      <c r="P107" s="1647"/>
      <c r="Q107" s="1647"/>
      <c r="R107" s="1647"/>
      <c r="S107" s="1647"/>
      <c r="T107" s="1647"/>
      <c r="U107" s="1647"/>
      <c r="V107" s="1647"/>
      <c r="W107" s="1651"/>
      <c r="X107" s="1651"/>
      <c r="Y107" s="1651"/>
      <c r="Z107" s="1651"/>
    </row>
    <row r="108" spans="1:26" s="1008" customFormat="1" ht="14.25">
      <c r="A108" s="365" t="s">
        <v>1363</v>
      </c>
      <c r="B108" s="346" t="s">
        <v>420</v>
      </c>
      <c r="C108" s="386"/>
      <c r="D108" s="376"/>
      <c r="E108" s="387" t="str">
        <f>IF(H106="-","土地取得成本中已包含该笔费用"," ")</f>
        <v xml:space="preserve"> </v>
      </c>
      <c r="F108" s="901"/>
      <c r="G108" s="3591" t="s">
        <v>2252</v>
      </c>
      <c r="H108" s="3592"/>
      <c r="I108" s="2417"/>
      <c r="J108" s="1647"/>
      <c r="K108" s="2744" t="s">
        <v>2281</v>
      </c>
      <c r="L108" s="1647"/>
      <c r="M108" s="1647"/>
      <c r="N108" s="1647"/>
      <c r="O108" s="1647"/>
      <c r="P108" s="1647"/>
      <c r="Q108" s="1647"/>
      <c r="R108" s="1647"/>
      <c r="S108" s="1647"/>
      <c r="T108" s="1647"/>
      <c r="U108" s="1647"/>
      <c r="V108" s="1647"/>
      <c r="W108" s="1651"/>
      <c r="X108" s="1651"/>
      <c r="Y108" s="1651"/>
      <c r="Z108" s="1651"/>
    </row>
    <row r="109" spans="1:26" s="1008" customFormat="1" ht="24" customHeight="1">
      <c r="A109" s="1341" t="s">
        <v>1367</v>
      </c>
      <c r="B109" s="346" t="s">
        <v>421</v>
      </c>
      <c r="C109" s="375">
        <f>IF(H109="——",IF(F1="现房",'剩余法-现房'!C18,0),I109)</f>
        <v>0</v>
      </c>
      <c r="D109" s="376"/>
      <c r="E109" s="3569" t="s">
        <v>422</v>
      </c>
      <c r="F109" s="3536"/>
      <c r="G109" s="3536"/>
      <c r="H109" s="1600" t="s">
        <v>877</v>
      </c>
      <c r="I109" s="1601"/>
      <c r="J109" s="1647"/>
      <c r="K109" s="1647"/>
      <c r="L109" s="1647"/>
      <c r="M109" s="1647"/>
      <c r="N109" s="1647"/>
      <c r="O109" s="1647"/>
      <c r="P109" s="1647"/>
      <c r="Q109" s="1647"/>
      <c r="R109" s="1647"/>
      <c r="S109" s="1647"/>
      <c r="T109" s="1647"/>
      <c r="U109" s="1647"/>
      <c r="V109" s="1647"/>
      <c r="W109" s="1651"/>
      <c r="X109" s="1651"/>
      <c r="Y109" s="1651"/>
      <c r="Z109" s="1651"/>
    </row>
    <row r="110" spans="1:26" s="1008" customFormat="1" ht="25.5" customHeight="1">
      <c r="A110" s="1341" t="s">
        <v>1368</v>
      </c>
      <c r="B110" s="346" t="s">
        <v>423</v>
      </c>
      <c r="C110" s="375">
        <f>ROUND((C105+C108+C109)*D110,0)</f>
        <v>0</v>
      </c>
      <c r="D110" s="2774">
        <v>0</v>
      </c>
      <c r="E110" s="3569" t="s">
        <v>424</v>
      </c>
      <c r="F110" s="3536"/>
      <c r="G110" s="3536"/>
      <c r="H110" s="3537"/>
      <c r="I110" s="9"/>
      <c r="J110" s="1647"/>
      <c r="K110" s="2745" t="s">
        <v>2282</v>
      </c>
      <c r="L110" s="1647"/>
      <c r="M110" s="1647"/>
      <c r="N110" s="1647"/>
      <c r="O110" s="1647"/>
      <c r="P110" s="1647"/>
      <c r="Q110" s="1647"/>
      <c r="R110" s="1647"/>
      <c r="S110" s="1647"/>
      <c r="T110" s="1647"/>
      <c r="U110" s="1647"/>
      <c r="V110" s="1647"/>
      <c r="W110" s="1651"/>
      <c r="X110" s="1651"/>
      <c r="Y110" s="1651"/>
      <c r="Z110" s="1651"/>
    </row>
    <row r="111" spans="1:26" s="1008" customFormat="1" ht="25.5" customHeight="1">
      <c r="A111" s="1341" t="s">
        <v>1369</v>
      </c>
      <c r="B111" s="346" t="s">
        <v>410</v>
      </c>
      <c r="C111" s="375">
        <f ca="1">ROUND(D63*D111/(1+'数据-取费表'!C42),0)</f>
        <v>77</v>
      </c>
      <c r="D111" s="376">
        <f>'数据-取费表'!B43</f>
        <v>5.000000000000001E-3</v>
      </c>
      <c r="E111" s="3535" t="s">
        <v>1780</v>
      </c>
      <c r="F111" s="3536"/>
      <c r="G111" s="3536"/>
      <c r="H111" s="3537"/>
      <c r="I111" s="9"/>
      <c r="J111" s="1647"/>
      <c r="K111" s="1647"/>
      <c r="L111" s="1647"/>
      <c r="M111" s="1647"/>
      <c r="N111" s="1647"/>
      <c r="O111" s="1647"/>
      <c r="P111" s="1647"/>
      <c r="Q111" s="1647"/>
      <c r="R111" s="1647"/>
      <c r="S111" s="1647"/>
      <c r="T111" s="1647"/>
      <c r="U111" s="1647"/>
      <c r="V111" s="1647"/>
      <c r="W111" s="1651"/>
      <c r="X111" s="1651"/>
      <c r="Y111" s="1651"/>
      <c r="Z111" s="1651"/>
    </row>
    <row r="112" spans="1:26" s="1008" customFormat="1" ht="25.5" customHeight="1">
      <c r="A112" s="1341" t="s">
        <v>1370</v>
      </c>
      <c r="B112" s="346" t="s">
        <v>425</v>
      </c>
      <c r="C112" s="375">
        <f>ROUND(C108*D112,0)</f>
        <v>0</v>
      </c>
      <c r="D112" s="376">
        <v>0.2</v>
      </c>
      <c r="E112" s="3569" t="s">
        <v>1799</v>
      </c>
      <c r="F112" s="3536"/>
      <c r="G112" s="3536"/>
      <c r="H112" s="3537"/>
      <c r="I112" s="9"/>
      <c r="J112" s="1647"/>
      <c r="K112" s="1647"/>
      <c r="L112" s="1647"/>
      <c r="M112" s="1647"/>
      <c r="N112" s="1647"/>
      <c r="O112" s="1647"/>
      <c r="P112" s="1647"/>
      <c r="Q112" s="1647"/>
      <c r="R112" s="1647"/>
      <c r="S112" s="1647"/>
      <c r="T112" s="1647"/>
      <c r="U112" s="1647"/>
      <c r="V112" s="1647"/>
      <c r="W112" s="1651"/>
      <c r="X112" s="1651"/>
      <c r="Y112" s="1651"/>
      <c r="Z112" s="1651"/>
    </row>
    <row r="113" spans="1:26" s="1008" customFormat="1" ht="14.25">
      <c r="A113" s="1339" t="s">
        <v>1364</v>
      </c>
      <c r="B113" s="352" t="s">
        <v>411</v>
      </c>
      <c r="C113" s="355">
        <f ca="1">ROUND(C103-C104,0)</f>
        <v>15257</v>
      </c>
      <c r="D113" s="348" t="s">
        <v>13</v>
      </c>
      <c r="E113" s="906"/>
      <c r="F113" s="905"/>
      <c r="G113" s="905"/>
      <c r="H113" s="384"/>
      <c r="I113" s="9"/>
      <c r="J113" s="1647"/>
      <c r="K113" s="1647"/>
      <c r="L113" s="1647"/>
      <c r="M113" s="1647"/>
      <c r="N113" s="1647"/>
      <c r="O113" s="1647"/>
      <c r="P113" s="1647"/>
      <c r="Q113" s="1647"/>
      <c r="R113" s="1647"/>
      <c r="S113" s="1647"/>
      <c r="T113" s="1647"/>
      <c r="U113" s="1647"/>
      <c r="V113" s="1647"/>
      <c r="W113" s="1651"/>
      <c r="X113" s="1651"/>
      <c r="Y113" s="1651"/>
      <c r="Z113" s="1651"/>
    </row>
    <row r="114" spans="1:26" s="1008" customFormat="1" ht="24">
      <c r="A114" s="1339" t="s">
        <v>1365</v>
      </c>
      <c r="B114" s="352" t="s">
        <v>412</v>
      </c>
      <c r="C114" s="377">
        <f ca="1">IF(C113&lt;=0,0,C113/C104)</f>
        <v>198.14285714285714</v>
      </c>
      <c r="D114" s="348" t="s">
        <v>13</v>
      </c>
      <c r="E114" s="22" t="str">
        <f ca="1">IF(C114&gt;=200%,"增值额超过扣除项目金额200%",IF(C114&gt;=100%,"增值额超过扣除项目金额100%，未超过200%",IF(C114&gt;=50%,"增值额超过扣除项目金额50%，未超过100%",IF(C114&lt;50%,"增值额未超过扣除项目金额50%"))))</f>
        <v>增值额超过扣除项目金额200%</v>
      </c>
      <c r="F114" s="905"/>
      <c r="G114" s="905"/>
      <c r="H114" s="384"/>
      <c r="I114" s="9"/>
      <c r="J114" s="1647"/>
      <c r="K114" s="1647"/>
      <c r="L114" s="1647"/>
      <c r="M114" s="1647"/>
      <c r="N114" s="1647"/>
      <c r="O114" s="1647"/>
      <c r="P114" s="1647"/>
      <c r="Q114" s="1647"/>
      <c r="R114" s="1647"/>
      <c r="S114" s="1647"/>
      <c r="T114" s="1647"/>
      <c r="U114" s="1647"/>
      <c r="V114" s="1647"/>
      <c r="W114" s="1651"/>
      <c r="X114" s="1651"/>
      <c r="Y114" s="1651"/>
      <c r="Z114" s="1651"/>
    </row>
    <row r="115" spans="1:26" s="1008" customFormat="1" ht="24.75" thickBot="1">
      <c r="A115" s="1340" t="s">
        <v>1366</v>
      </c>
      <c r="B115" s="357" t="s">
        <v>413</v>
      </c>
      <c r="C115" s="378">
        <f ca="1">ROUND(IF(C113&lt;=0,0,IF(C114&gt;=200%,C113*60%-C104*35%,IF(C114&gt;=100%,C113*50%-C104*15%,IF(C114&gt;=50%,C113*40%-C104*5%,IF(C114&lt;50%,C113*30%,0))))),0)</f>
        <v>9127</v>
      </c>
      <c r="D115" s="379" t="s">
        <v>13</v>
      </c>
      <c r="E115" s="38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381"/>
      <c r="G115" s="381"/>
      <c r="H115" s="390"/>
      <c r="I115" s="9"/>
      <c r="J115" s="1647"/>
      <c r="K115" s="1647"/>
      <c r="L115" s="1647"/>
      <c r="M115" s="1647"/>
      <c r="N115" s="1647"/>
      <c r="O115" s="1647"/>
      <c r="P115" s="1647"/>
      <c r="Q115" s="1647"/>
      <c r="R115" s="1647"/>
      <c r="S115" s="1647"/>
      <c r="T115" s="1647"/>
      <c r="U115" s="1647"/>
      <c r="V115" s="1647"/>
      <c r="W115" s="1651"/>
      <c r="X115" s="1651"/>
      <c r="Y115" s="1651"/>
      <c r="Z115" s="1651"/>
    </row>
    <row r="116" spans="1:26" s="1654" customFormat="1" ht="21.75" customHeight="1">
      <c r="K116" s="1636"/>
      <c r="L116" s="1636"/>
      <c r="M116" s="1636"/>
      <c r="N116" s="1636"/>
      <c r="O116" s="1636"/>
    </row>
    <row r="117" spans="1:26" s="1654" customFormat="1" ht="21.75" customHeight="1"/>
    <row r="118" spans="1:26" s="1654" customFormat="1" ht="21.75" customHeight="1"/>
    <row r="119" spans="1:26" s="1654" customFormat="1" ht="21.75" customHeight="1"/>
    <row r="120" spans="1:26" s="1654" customFormat="1" ht="21.75" customHeight="1"/>
    <row r="121" spans="1:26" s="1654" customFormat="1" ht="21.75" customHeight="1"/>
    <row r="122" spans="1:26" s="1654" customFormat="1" ht="21.75" customHeight="1">
      <c r="J122" s="1655"/>
    </row>
    <row r="123" spans="1:26" s="1654" customFormat="1" ht="21.75" customHeight="1"/>
    <row r="124" spans="1:26" s="1654" customFormat="1" ht="21.75" customHeight="1"/>
    <row r="125" spans="1:26" s="1654" customFormat="1" ht="21.75" customHeight="1">
      <c r="J125" s="1655"/>
    </row>
    <row r="126" spans="1:26" s="1654" customFormat="1" ht="21.75" customHeight="1"/>
    <row r="127" spans="1:26" s="1654" customFormat="1" ht="21.75" customHeight="1"/>
    <row r="128" spans="1:26" s="1654" customFormat="1" ht="21.75" customHeight="1">
      <c r="J128" s="1655"/>
    </row>
    <row r="129" spans="2:6" s="1654" customFormat="1" ht="21.75" customHeight="1"/>
    <row r="130" spans="2:6" s="1654" customFormat="1" ht="21.75" customHeight="1">
      <c r="B130" s="1656"/>
      <c r="C130" s="1657"/>
      <c r="D130" s="1658"/>
      <c r="E130" s="1658"/>
      <c r="F130" s="1659"/>
    </row>
    <row r="131" spans="2:6" s="1654" customFormat="1" ht="21.75" customHeight="1"/>
    <row r="132" spans="2:6" s="1654" customFormat="1" ht="21.75" customHeight="1"/>
    <row r="133" spans="2:6" s="1654" customFormat="1" ht="21.75" customHeight="1"/>
    <row r="134" spans="2:6" s="1654" customFormat="1" ht="21.75" customHeight="1"/>
    <row r="135" spans="2:6" s="1654" customFormat="1" ht="21.75" customHeight="1"/>
    <row r="136" spans="2:6" s="1654" customFormat="1" ht="21.75" customHeight="1"/>
    <row r="137" spans="2:6" s="1654" customFormat="1" ht="21.75" customHeight="1"/>
    <row r="138" spans="2:6" s="1654" customFormat="1" ht="21.75" customHeight="1"/>
    <row r="139" spans="2:6" s="1654" customFormat="1" ht="21.75" customHeight="1"/>
    <row r="140" spans="2:6" s="1654" customFormat="1" ht="21.75" customHeight="1"/>
    <row r="141" spans="2:6" s="1654" customFormat="1" ht="21.75" customHeight="1"/>
    <row r="142" spans="2:6" s="1654" customFormat="1" ht="21.75" customHeight="1"/>
    <row r="143" spans="2:6" s="1654" customFormat="1" ht="21.75" customHeight="1"/>
    <row r="144" spans="2:6" s="1654" customFormat="1" ht="21.75" customHeight="1"/>
    <row r="145" s="1654" customFormat="1" ht="21.75" customHeight="1"/>
    <row r="146" s="1654" customFormat="1" ht="21.75" customHeight="1"/>
    <row r="147" s="1654" customFormat="1" ht="21.75" customHeight="1"/>
    <row r="148" s="1654" customFormat="1" ht="21.75" customHeight="1"/>
    <row r="149" s="1654" customFormat="1" ht="21.75" customHeight="1"/>
    <row r="150" s="1654" customFormat="1" ht="21.75" customHeight="1"/>
    <row r="151" s="1654" customFormat="1" ht="21.75" customHeight="1"/>
    <row r="152" s="1654" customFormat="1" ht="21.75" customHeight="1"/>
    <row r="153" s="1654" customFormat="1" ht="21.75" customHeight="1"/>
    <row r="154" s="1654" customFormat="1" ht="21.75" customHeight="1"/>
    <row r="155" s="1654" customFormat="1" ht="21.75" customHeight="1"/>
    <row r="156" s="1654" customFormat="1" ht="21.75" customHeight="1"/>
    <row r="157" s="1654" customFormat="1" ht="21.75" customHeight="1"/>
    <row r="158" s="1654" customFormat="1" ht="21.75" customHeight="1"/>
    <row r="159" s="1654" customFormat="1" ht="21.75" customHeight="1"/>
    <row r="160" s="1654" customFormat="1" ht="21.75" customHeight="1"/>
    <row r="161" s="1654" customFormat="1" ht="21.75" customHeight="1"/>
    <row r="162" s="1654" customFormat="1" ht="21.75" customHeight="1"/>
    <row r="163" s="1654" customFormat="1" ht="21.75" customHeight="1"/>
    <row r="164" s="1654" customFormat="1" ht="21.75" customHeight="1"/>
    <row r="165" s="1654" customFormat="1" ht="21.75" customHeight="1"/>
    <row r="166" s="1654" customFormat="1" ht="21.75" customHeight="1"/>
    <row r="167" s="1654" customFormat="1" ht="21.75" customHeight="1"/>
    <row r="168" s="1654" customFormat="1" ht="21.75" customHeight="1"/>
    <row r="169" s="1654" customFormat="1" ht="21.75" customHeight="1"/>
    <row r="170" s="1654" customFormat="1" ht="21.75" customHeight="1"/>
    <row r="171" s="1654" customFormat="1" ht="21.75" customHeight="1"/>
    <row r="172" s="1654" customFormat="1" ht="21.75" customHeight="1"/>
    <row r="173" s="1654" customFormat="1" ht="21.75" customHeight="1"/>
    <row r="174" s="1654" customFormat="1" ht="21.75" customHeight="1"/>
    <row r="175" s="1654" customFormat="1" ht="21.75" customHeight="1"/>
    <row r="176" s="1654" customFormat="1" ht="21.75" customHeight="1"/>
    <row r="177" spans="11:15" s="1654" customFormat="1" ht="21.75" customHeight="1"/>
    <row r="178" spans="11:15" s="1654" customFormat="1" ht="21.75" customHeight="1"/>
    <row r="179" spans="11:15" s="1654" customFormat="1" ht="21.75" customHeight="1"/>
    <row r="180" spans="11:15" s="1654" customFormat="1" ht="21.75" customHeight="1"/>
    <row r="181" spans="11:15" s="1654" customFormat="1" ht="21.75" customHeight="1"/>
    <row r="182" spans="11:15" s="1654" customFormat="1" ht="21.75" customHeight="1"/>
    <row r="183" spans="11:15" s="1654" customFormat="1" ht="21.75" customHeight="1"/>
    <row r="184" spans="11:15" s="1654" customFormat="1" ht="21.75" customHeight="1"/>
    <row r="185" spans="11:15" s="237" customFormat="1" ht="21.75" customHeight="1">
      <c r="K185" s="1654"/>
      <c r="L185" s="1654"/>
      <c r="M185" s="1654"/>
      <c r="N185" s="1654"/>
      <c r="O185" s="1654"/>
    </row>
    <row r="186" spans="11:15" s="237" customFormat="1" ht="21.75" customHeight="1"/>
    <row r="187" spans="11:15" s="237" customFormat="1" ht="21.75" customHeight="1"/>
    <row r="188" spans="11:15" s="237" customFormat="1" ht="21.75" customHeight="1"/>
    <row r="189" spans="11:15" s="237" customFormat="1" ht="21.75" customHeight="1"/>
    <row r="190" spans="11:15" s="237" customFormat="1" ht="21.75" customHeight="1"/>
    <row r="191" spans="11:15" s="237" customFormat="1" ht="21.75" customHeight="1"/>
    <row r="192" spans="11:15" s="237" customFormat="1" ht="21.75" customHeight="1"/>
    <row r="193" s="237" customFormat="1" ht="21.75" customHeight="1"/>
    <row r="194" s="237" customFormat="1" ht="21.75" customHeight="1"/>
    <row r="195" s="237" customFormat="1" ht="21.75" customHeight="1"/>
    <row r="196" s="237" customFormat="1" ht="21.75" customHeight="1"/>
    <row r="197" s="237" customFormat="1" ht="21.75" customHeight="1"/>
    <row r="198" s="237" customFormat="1" ht="21.75" customHeight="1"/>
    <row r="199" s="237" customFormat="1" ht="21.75" customHeight="1"/>
    <row r="200" s="237" customFormat="1" ht="21.75" customHeight="1"/>
    <row r="201" s="237" customFormat="1" ht="21.75" customHeight="1"/>
    <row r="202" s="237" customFormat="1" ht="21.75" customHeight="1"/>
    <row r="203" s="237" customFormat="1" ht="21.75" customHeight="1"/>
    <row r="204" s="237" customFormat="1" ht="21.75" customHeight="1"/>
    <row r="205" s="237" customFormat="1" ht="21.75" customHeight="1"/>
    <row r="206" s="237" customFormat="1" ht="21.75" customHeight="1"/>
  </sheetData>
  <sheetProtection formatCells="0" formatColumns="0" formatRows="0"/>
  <mergeCells count="84">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E18:I18"/>
    <mergeCell ref="A31:I31"/>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9" type="noConversion"/>
  <conditionalFormatting sqref="C108">
    <cfRule type="expression" dxfId="139" priority="3" stopIfTrue="1">
      <formula>$H$106&lt;&gt;"仅含出让金"</formula>
    </cfRule>
  </conditionalFormatting>
  <conditionalFormatting sqref="C109">
    <cfRule type="expression" dxfId="138" priority="2" stopIfTrue="1">
      <formula>$H$109="由企业提供"</formula>
    </cfRule>
  </conditionalFormatting>
  <conditionalFormatting sqref="C5:D7">
    <cfRule type="cellIs" dxfId="137" priority="10" stopIfTrue="1" operator="equal">
      <formula>25</formula>
    </cfRule>
  </conditionalFormatting>
  <conditionalFormatting sqref="C8:D13">
    <cfRule type="cellIs" dxfId="136" priority="8" stopIfTrue="1" operator="equal">
      <formula>15</formula>
    </cfRule>
  </conditionalFormatting>
  <conditionalFormatting sqref="C14:D16">
    <cfRule type="cellIs" dxfId="135" priority="6" stopIfTrue="1" operator="equal">
      <formula>30</formula>
    </cfRule>
  </conditionalFormatting>
  <conditionalFormatting sqref="I33">
    <cfRule type="expression" dxfId="134" priority="1" stopIfTrue="1">
      <formula>$H$33="同一抵押权人同一抵押物续贷"</formula>
    </cfRule>
  </conditionalFormatting>
  <dataValidations count="21">
    <dataValidation type="list" allowBlank="1" showInputMessage="1" showErrorMessage="1" sqref="C4:D4" xr:uid="{00000000-0002-0000-1000-000000000000}">
      <formula1>估价方法</formula1>
    </dataValidation>
    <dataValidation type="list" allowBlank="1" showInputMessage="1" showErrorMessage="1" sqref="H73:H74" xr:uid="{00000000-0002-0000-1000-000001000000}">
      <formula1>"个人住宅,正常"</formula1>
    </dataValidation>
    <dataValidation type="list" allowBlank="1" showInputMessage="1" showErrorMessage="1" sqref="H66" xr:uid="{00000000-0002-0000-1000-000002000000}">
      <formula1>"情况1,情况2,情况3,情况4"</formula1>
    </dataValidation>
    <dataValidation type="list" allowBlank="1" showInputMessage="1" showErrorMessage="1" sqref="H76" xr:uid="{00000000-0002-0000-1000-000003000000}">
      <formula1>"转让取得,自行开发建设"</formula1>
    </dataValidation>
    <dataValidation type="list" allowBlank="1" showInputMessage="1" showErrorMessage="1" sqref="F63" xr:uid="{00000000-0002-0000-1000-000004000000}">
      <formula1>"100%,70%,56%"</formula1>
    </dataValidation>
    <dataValidation type="list" allowBlank="1" showInputMessage="1" showErrorMessage="1" sqref="H106" xr:uid="{00000000-0002-0000-1000-000005000000}">
      <formula1>"仅含出让金,出让金+开发费"</formula1>
    </dataValidation>
    <dataValidation type="list" allowBlank="1" showInputMessage="1" showErrorMessage="1" sqref="G95" xr:uid="{00000000-0002-0000-1000-000006000000}">
      <formula1>"个人买卖住房,,2016年5月1日前购买,2016年5月1日后购买"</formula1>
    </dataValidation>
    <dataValidation type="list" allowBlank="1" showInputMessage="1" showErrorMessage="1" sqref="F93" xr:uid="{00000000-0002-0000-1000-000007000000}">
      <formula1>"买卖合同,购房发票"</formula1>
    </dataValidation>
    <dataValidation type="list" allowBlank="1" showInputMessage="1" showErrorMessage="1" sqref="H33" xr:uid="{00000000-0002-0000-1000-000008000000}">
      <formula1>"同一抵押权人同一抵押物续贷,注销后放款,正常操作"</formula1>
    </dataValidation>
    <dataValidation type="list" allowBlank="1" showInputMessage="1" showErrorMessage="1" sqref="C47" xr:uid="{00000000-0002-0000-1000-000009000000}">
      <formula1>"无,有"</formula1>
    </dataValidation>
    <dataValidation type="list" allowBlank="1" showInputMessage="1" showErrorMessage="1" sqref="B25" xr:uid="{00000000-0002-0000-1000-00000A000000}">
      <formula1>"楼面地价,单位面积地价"</formula1>
    </dataValidation>
    <dataValidation type="list" allowBlank="1" showInputMessage="1" showErrorMessage="1" sqref="L42" xr:uid="{00000000-0002-0000-1000-00000B000000}">
      <formula1>"估价结果/万元,估价结果/（元/平方米）"</formula1>
    </dataValidation>
    <dataValidation type="list" allowBlank="1" showInputMessage="1" showErrorMessage="1" sqref="O42" xr:uid="{00000000-0002-0000-1000-00000C000000}">
      <formula1>"最终结果/万元,最终结果/（元/平方米）"</formula1>
    </dataValidation>
    <dataValidation type="list" allowBlank="1" showInputMessage="1" showErrorMessage="1" sqref="N42" xr:uid="{00000000-0002-0000-1000-00000D000000}">
      <formula1>"测算结果/万元,测算结果/（元/平方米）"</formula1>
    </dataValidation>
    <dataValidation type="list" allowBlank="1" showInputMessage="1" showErrorMessage="1" sqref="D1" xr:uid="{00000000-0002-0000-1000-00000E000000}">
      <formula1>"项目局部,项目全部"</formula1>
    </dataValidation>
    <dataValidation type="list" showInputMessage="1" showErrorMessage="1" sqref="F1" xr:uid="{00000000-0002-0000-1000-00000F000000}">
      <formula1>"土地,现房"</formula1>
    </dataValidation>
    <dataValidation type="list" allowBlank="1" showInputMessage="1" showErrorMessage="1" sqref="H109" xr:uid="{00000000-0002-0000-1000-000010000000}">
      <formula1>"企业提供(在右侧录入),——"</formula1>
    </dataValidation>
    <dataValidation type="list" allowBlank="1" showInputMessage="1" showErrorMessage="1" sqref="G43" xr:uid="{00000000-0002-0000-1000-000011000000}">
      <formula1>"设定,——"</formula1>
    </dataValidation>
    <dataValidation type="list" allowBlank="1" showInputMessage="1" showErrorMessage="1" sqref="A43" xr:uid="{00000000-0002-0000-1000-000012000000}">
      <formula1>"2.估价师知悉的法定优先受偿款,2.估价师知悉的除抵押担保权以外的法定优先受偿款,——"</formula1>
    </dataValidation>
    <dataValidation type="list" allowBlank="1" showInputMessage="1" showErrorMessage="1" sqref="H77" xr:uid="{00000000-0002-0000-1000-000013000000}">
      <formula1>"非个人房产,个人住宅（满五唯一有凭证）,个人其他（有凭证）,个人其他（无凭证）"</formula1>
    </dataValidation>
    <dataValidation type="list" allowBlank="1" showInputMessage="1" showErrorMessage="1" sqref="D110" xr:uid="{00000000-0002-0000-1000-00001400000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5">
    <tabColor rgb="FF92D050"/>
    <pageSetUpPr fitToPage="1"/>
  </sheetPr>
  <dimension ref="A1:AC258"/>
  <sheetViews>
    <sheetView view="pageBreakPreview" topLeftCell="A7" zoomScaleNormal="95" zoomScaleSheetLayoutView="100" workbookViewId="0">
      <selection activeCell="E7" sqref="E7:F7"/>
    </sheetView>
  </sheetViews>
  <sheetFormatPr defaultColWidth="9" defaultRowHeight="14.25"/>
  <cols>
    <col min="1" max="1" width="15.625" style="1132" customWidth="1"/>
    <col min="2" max="2" width="15.75" style="1132" customWidth="1"/>
    <col min="3" max="3" width="15.25" style="1132" customWidth="1"/>
    <col min="4" max="4" width="12.25" style="1132" customWidth="1"/>
    <col min="5" max="5" width="16.125" style="1132" customWidth="1"/>
    <col min="6" max="6" width="12.25" style="1132" customWidth="1"/>
    <col min="7" max="7" width="15.625" style="1132" customWidth="1"/>
    <col min="8" max="8" width="12.25" style="1132" customWidth="1"/>
    <col min="9" max="9" width="15.625" style="1132" customWidth="1"/>
    <col min="10" max="10" width="12.25" style="1132" customWidth="1"/>
    <col min="11" max="11" width="12.25" style="1137" customWidth="1"/>
    <col min="12" max="12" width="12.25" style="1138" customWidth="1"/>
    <col min="13" max="15" width="12.25" style="1132" customWidth="1"/>
    <col min="16" max="16" width="4.75" style="1132" customWidth="1"/>
    <col min="17" max="17" width="19.5" style="1132" customWidth="1"/>
    <col min="18" max="22" width="6.125" style="1132" customWidth="1"/>
    <col min="23" max="23" width="5.75" style="1132" customWidth="1"/>
    <col min="24" max="24" width="4.25" style="1132" customWidth="1"/>
    <col min="25" max="25" width="3.5" style="1132" customWidth="1"/>
    <col min="26" max="26" width="19.75" style="1132" customWidth="1"/>
    <col min="27" max="28" width="9.375" style="1132" customWidth="1"/>
    <col min="29" max="16384" width="9" style="1132"/>
  </cols>
  <sheetData>
    <row r="1" spans="1:29" s="1131" customFormat="1" ht="28.5" customHeight="1">
      <c r="A1" s="453" t="s">
        <v>465</v>
      </c>
      <c r="B1" s="454"/>
      <c r="C1" s="455" t="s">
        <v>466</v>
      </c>
      <c r="D1" s="456" t="s">
        <v>467</v>
      </c>
      <c r="E1" s="457"/>
      <c r="F1" s="398"/>
      <c r="G1" s="457"/>
      <c r="H1" s="457"/>
      <c r="I1" s="457"/>
      <c r="J1" s="457"/>
      <c r="K1" s="458"/>
      <c r="L1" s="2717"/>
      <c r="M1" s="2718"/>
      <c r="N1" s="2718"/>
      <c r="O1" s="2718"/>
      <c r="P1" s="1740"/>
      <c r="Q1" s="1740"/>
      <c r="R1" s="1740"/>
      <c r="S1" s="1740"/>
      <c r="T1" s="1740"/>
      <c r="U1" s="1740"/>
      <c r="V1" s="1740"/>
      <c r="W1" s="1740"/>
      <c r="X1" s="1740"/>
      <c r="Y1" s="1740"/>
      <c r="Z1" s="1740"/>
      <c r="AA1" s="1740"/>
      <c r="AB1" s="1740"/>
      <c r="AC1" s="1674"/>
    </row>
    <row r="2" spans="1:29" s="1131" customFormat="1" ht="28.5" customHeight="1">
      <c r="A2" s="393" t="s">
        <v>427</v>
      </c>
      <c r="B2" s="459" t="e">
        <f>F67</f>
        <v>#DIV/0!</v>
      </c>
      <c r="C2" s="2726"/>
      <c r="D2" s="2726"/>
      <c r="E2" s="2728"/>
      <c r="F2" s="2729"/>
      <c r="G2" s="2728"/>
      <c r="H2" s="2728"/>
      <c r="I2" s="2728"/>
      <c r="J2" s="2728"/>
      <c r="K2" s="2730"/>
      <c r="L2" s="1739"/>
      <c r="M2" s="1740"/>
      <c r="N2" s="1740"/>
      <c r="O2" s="1740"/>
      <c r="P2" s="1740"/>
      <c r="Q2" s="1740"/>
      <c r="R2" s="1740"/>
      <c r="S2" s="1740"/>
      <c r="T2" s="1740"/>
      <c r="U2" s="1740"/>
      <c r="V2" s="1740"/>
      <c r="W2" s="1740"/>
      <c r="X2" s="1740"/>
      <c r="Y2" s="1740"/>
      <c r="Z2" s="1740"/>
      <c r="AA2" s="1740"/>
      <c r="AB2" s="1740"/>
      <c r="AC2" s="1674"/>
    </row>
    <row r="3" spans="1:29" s="1131" customFormat="1" ht="28.5" customHeight="1">
      <c r="A3" s="1170" t="s">
        <v>1217</v>
      </c>
      <c r="B3" s="461" t="e">
        <f>ROUND(B2*10000/'数据-汇总表'!E3,0)</f>
        <v>#DIV/0!</v>
      </c>
      <c r="C3" s="2727"/>
      <c r="D3" s="2731"/>
      <c r="E3" s="2727"/>
      <c r="F3" s="2727"/>
      <c r="G3" s="2728"/>
      <c r="H3" s="2728"/>
      <c r="I3" s="2728"/>
      <c r="J3" s="2728"/>
      <c r="K3" s="2730"/>
      <c r="L3" s="1739"/>
      <c r="M3" s="1740"/>
      <c r="N3" s="1740"/>
      <c r="O3" s="1740"/>
      <c r="P3" s="1740"/>
      <c r="Q3" s="1740"/>
      <c r="R3" s="1740"/>
      <c r="S3" s="1740"/>
      <c r="T3" s="1740"/>
      <c r="U3" s="1740"/>
      <c r="V3" s="1740"/>
      <c r="W3" s="1740"/>
      <c r="X3" s="1740"/>
      <c r="Y3" s="1740"/>
      <c r="Z3" s="1740"/>
      <c r="AA3" s="1740"/>
      <c r="AB3" s="2719"/>
      <c r="AC3" s="1674"/>
    </row>
    <row r="4" spans="1:29" s="1131" customFormat="1" ht="28.5" customHeight="1">
      <c r="A4" s="462" t="s">
        <v>469</v>
      </c>
      <c r="B4" s="397" t="e">
        <f>IF(B48="单位面积地价",C50,ROUND(B2*10000/'数据-汇总表'!D3,0))</f>
        <v>#DIV/0!</v>
      </c>
      <c r="C4" s="2727"/>
      <c r="D4" s="2731"/>
      <c r="E4" s="2727"/>
      <c r="F4" s="2727"/>
      <c r="G4" s="2728"/>
      <c r="H4" s="2728"/>
      <c r="I4" s="2728"/>
      <c r="J4" s="2728"/>
      <c r="K4" s="2730"/>
      <c r="L4" s="1739"/>
      <c r="M4" s="1740"/>
      <c r="N4" s="1740"/>
      <c r="O4" s="1740"/>
      <c r="P4" s="1740"/>
      <c r="Q4" s="1740"/>
      <c r="R4" s="1740"/>
      <c r="S4" s="1740"/>
      <c r="T4" s="1740"/>
      <c r="U4" s="1740"/>
      <c r="V4" s="1740"/>
      <c r="W4" s="1740"/>
      <c r="X4" s="1740"/>
      <c r="Y4" s="1740"/>
      <c r="Z4" s="1740"/>
      <c r="AA4" s="1740"/>
      <c r="AB4" s="1740"/>
      <c r="AC4" s="1674"/>
    </row>
    <row r="5" spans="1:29" s="1131" customFormat="1" ht="28.5" customHeight="1" thickBot="1">
      <c r="A5" s="399"/>
      <c r="B5" s="400" t="e">
        <f>ROUND(B2/('数据-汇总表'!D3/666.67),0)</f>
        <v>#DIV/0!</v>
      </c>
      <c r="C5" s="401" t="s">
        <v>429</v>
      </c>
      <c r="D5" s="2727"/>
      <c r="E5" s="2727"/>
      <c r="F5" s="2727"/>
      <c r="G5" s="2728"/>
      <c r="H5" s="2728"/>
      <c r="I5" s="2728"/>
      <c r="J5" s="2728"/>
      <c r="K5" s="2730"/>
      <c r="L5" s="1739"/>
      <c r="M5" s="1740"/>
      <c r="N5" s="1740"/>
      <c r="O5" s="1740"/>
      <c r="P5" s="1740"/>
      <c r="Q5" s="1740"/>
      <c r="R5" s="1740"/>
      <c r="S5" s="1740"/>
      <c r="T5" s="1740"/>
      <c r="U5" s="1740"/>
      <c r="V5" s="1740"/>
      <c r="W5" s="1740"/>
      <c r="X5" s="1740"/>
      <c r="Y5" s="1740"/>
      <c r="Z5" s="1740"/>
      <c r="AA5" s="1740"/>
      <c r="AB5" s="1740"/>
      <c r="AC5" s="1674"/>
    </row>
    <row r="6" spans="1:29" ht="20.25">
      <c r="A6" s="463" t="s">
        <v>470</v>
      </c>
      <c r="B6" s="464"/>
      <c r="C6" s="3631" t="s">
        <v>471</v>
      </c>
      <c r="D6" s="3632"/>
      <c r="E6" s="3631" t="s">
        <v>472</v>
      </c>
      <c r="F6" s="3632"/>
      <c r="G6" s="3631" t="s">
        <v>473</v>
      </c>
      <c r="H6" s="3632"/>
      <c r="I6" s="3631" t="s">
        <v>474</v>
      </c>
      <c r="J6" s="3632"/>
      <c r="K6" s="465" t="s">
        <v>475</v>
      </c>
      <c r="L6" s="1741"/>
      <c r="M6" s="1740"/>
      <c r="N6" s="1740"/>
      <c r="O6" s="1742"/>
      <c r="P6" s="3633" t="s">
        <v>476</v>
      </c>
      <c r="Q6" s="3634"/>
      <c r="R6" s="3617" t="s">
        <v>472</v>
      </c>
      <c r="S6" s="3618"/>
      <c r="T6" s="3617" t="s">
        <v>473</v>
      </c>
      <c r="U6" s="3618"/>
      <c r="V6" s="3639" t="s">
        <v>474</v>
      </c>
      <c r="W6" s="3639"/>
      <c r="X6" s="1302"/>
      <c r="Y6" s="3617" t="s">
        <v>476</v>
      </c>
      <c r="Z6" s="3618"/>
      <c r="AA6" s="3612" t="s">
        <v>472</v>
      </c>
      <c r="AB6" s="3613" t="s">
        <v>473</v>
      </c>
      <c r="AC6" s="3612" t="s">
        <v>474</v>
      </c>
    </row>
    <row r="7" spans="1:29" ht="20.25">
      <c r="A7" s="466"/>
      <c r="B7" s="467"/>
      <c r="C7" s="3642" t="s">
        <v>2192</v>
      </c>
      <c r="D7" s="3643"/>
      <c r="E7" s="3642" t="s">
        <v>2193</v>
      </c>
      <c r="F7" s="3643"/>
      <c r="G7" s="3642" t="s">
        <v>2194</v>
      </c>
      <c r="H7" s="3643"/>
      <c r="I7" s="3642" t="s">
        <v>2195</v>
      </c>
      <c r="J7" s="3643"/>
      <c r="K7" s="465"/>
      <c r="L7" s="1741"/>
      <c r="M7" s="1740"/>
      <c r="N7" s="1740"/>
      <c r="O7" s="1742"/>
      <c r="P7" s="3635"/>
      <c r="Q7" s="3636"/>
      <c r="R7" s="3619"/>
      <c r="S7" s="3620"/>
      <c r="T7" s="3619"/>
      <c r="U7" s="3620"/>
      <c r="V7" s="3639"/>
      <c r="W7" s="3639"/>
      <c r="X7" s="1302"/>
      <c r="Y7" s="3619"/>
      <c r="Z7" s="3620"/>
      <c r="AA7" s="3613"/>
      <c r="AB7" s="3613"/>
      <c r="AC7" s="3613"/>
    </row>
    <row r="8" spans="1:29" ht="21" thickBot="1">
      <c r="A8" s="466"/>
      <c r="B8" s="467"/>
      <c r="C8" s="3644" t="s">
        <v>2196</v>
      </c>
      <c r="D8" s="3645"/>
      <c r="E8" s="3644" t="s">
        <v>2196</v>
      </c>
      <c r="F8" s="3645"/>
      <c r="G8" s="3640" t="s">
        <v>2196</v>
      </c>
      <c r="H8" s="3641"/>
      <c r="I8" s="3640" t="s">
        <v>2196</v>
      </c>
      <c r="J8" s="3641"/>
      <c r="K8" s="465" t="s">
        <v>477</v>
      </c>
      <c r="L8" s="1741"/>
      <c r="M8" s="1740"/>
      <c r="N8" s="1740"/>
      <c r="O8" s="1742"/>
      <c r="P8" s="3637"/>
      <c r="Q8" s="3638"/>
      <c r="R8" s="3619"/>
      <c r="S8" s="3620"/>
      <c r="T8" s="3621"/>
      <c r="U8" s="3622"/>
      <c r="V8" s="3639"/>
      <c r="W8" s="3639"/>
      <c r="X8" s="1302"/>
      <c r="Y8" s="3621"/>
      <c r="Z8" s="3622"/>
      <c r="AA8" s="3614"/>
      <c r="AB8" s="3614"/>
      <c r="AC8" s="3614"/>
    </row>
    <row r="9" spans="1:29" s="1060" customFormat="1" ht="21" thickBot="1">
      <c r="A9" s="2209"/>
      <c r="B9" s="2216" t="s">
        <v>478</v>
      </c>
      <c r="C9" s="2208">
        <f>'数据-取费表'!B2</f>
        <v>45483</v>
      </c>
      <c r="D9" s="471">
        <v>100</v>
      </c>
      <c r="E9" s="472"/>
      <c r="F9" s="473">
        <f>SUMIF(71:71,YEAR(E9)&amp;"-"&amp;INT((MONTH(E9)+2)/3),72:72)</f>
        <v>0</v>
      </c>
      <c r="G9" s="474"/>
      <c r="H9" s="471">
        <f>SUMIF(71:71,YEAR(G9)&amp;"-"&amp;INT((MONTH(G9)+2)/3),72:72)</f>
        <v>0</v>
      </c>
      <c r="I9" s="474"/>
      <c r="J9" s="471">
        <f>SUMIF(71:71,YEAR(I9)&amp;"-"&amp;INT((MONTH(I9)+2)/3),72:72)</f>
        <v>0</v>
      </c>
      <c r="K9" s="88"/>
      <c r="L9" s="1743"/>
      <c r="M9" s="1740"/>
      <c r="N9" s="1740"/>
      <c r="O9" s="1640"/>
      <c r="P9" s="3615" t="s">
        <v>479</v>
      </c>
      <c r="Q9" s="3624"/>
      <c r="R9" s="1303" t="s">
        <v>5</v>
      </c>
      <c r="S9" s="1304">
        <f t="shared" ref="S9:S17" si="0">F9</f>
        <v>0</v>
      </c>
      <c r="T9" s="1303" t="s">
        <v>5</v>
      </c>
      <c r="U9" s="1304">
        <f t="shared" ref="U9:U17" si="1">H9</f>
        <v>0</v>
      </c>
      <c r="V9" s="1303" t="s">
        <v>5</v>
      </c>
      <c r="W9" s="1304">
        <f t="shared" ref="W9:W17" si="2">J9</f>
        <v>0</v>
      </c>
      <c r="X9" s="1305"/>
      <c r="Y9" s="3615" t="s">
        <v>479</v>
      </c>
      <c r="Z9" s="3616"/>
      <c r="AA9" s="997" t="e">
        <f>D9/F9</f>
        <v>#DIV/0!</v>
      </c>
      <c r="AB9" s="997" t="e">
        <f>D9/H9</f>
        <v>#DIV/0!</v>
      </c>
      <c r="AC9" s="997" t="e">
        <f>D9/J9</f>
        <v>#DIV/0!</v>
      </c>
    </row>
    <row r="10" spans="1:29" s="1060" customFormat="1" ht="21" thickBot="1">
      <c r="A10" s="2210"/>
      <c r="B10" s="2217" t="s">
        <v>480</v>
      </c>
      <c r="C10" s="790" t="s">
        <v>481</v>
      </c>
      <c r="D10" s="471">
        <v>100</v>
      </c>
      <c r="E10" s="475"/>
      <c r="F10" s="473">
        <f>SUMIF(74:74,E10,75:75)-SUMIF(74:74,C10,75:75)+100</f>
        <v>0</v>
      </c>
      <c r="G10" s="475"/>
      <c r="H10" s="471">
        <f>SUMIF(74:74,G10,75:75)-SUMIF(74:74,C10,75:75)+100</f>
        <v>0</v>
      </c>
      <c r="I10" s="475"/>
      <c r="J10" s="471">
        <f>SUMIF(74:74,I10,75:75)-SUMIF(74:74,C10,75:75)+100</f>
        <v>0</v>
      </c>
      <c r="K10" s="88"/>
      <c r="L10" s="1743"/>
      <c r="M10" s="1740"/>
      <c r="N10" s="1740"/>
      <c r="O10" s="1640"/>
      <c r="P10" s="3615" t="s">
        <v>482</v>
      </c>
      <c r="Q10" s="3616"/>
      <c r="R10" s="1303" t="s">
        <v>5</v>
      </c>
      <c r="S10" s="1304">
        <f t="shared" si="0"/>
        <v>0</v>
      </c>
      <c r="T10" s="1303" t="s">
        <v>5</v>
      </c>
      <c r="U10" s="1304">
        <f t="shared" si="1"/>
        <v>0</v>
      </c>
      <c r="V10" s="1303" t="s">
        <v>5</v>
      </c>
      <c r="W10" s="1304">
        <f t="shared" si="2"/>
        <v>0</v>
      </c>
      <c r="X10" s="1305"/>
      <c r="Y10" s="3615" t="s">
        <v>482</v>
      </c>
      <c r="Z10" s="3616"/>
      <c r="AA10" s="997" t="e">
        <f t="shared" ref="AA10:AA47" si="3">D10/F10</f>
        <v>#DIV/0!</v>
      </c>
      <c r="AB10" s="997" t="e">
        <f t="shared" ref="AB10:AB47" si="4">D10/H10</f>
        <v>#DIV/0!</v>
      </c>
      <c r="AC10" s="997" t="e">
        <f t="shared" ref="AC10:AC47" si="5">D10/J10</f>
        <v>#DIV/0!</v>
      </c>
    </row>
    <row r="11" spans="1:29" s="1060" customFormat="1" ht="20.25">
      <c r="A11" s="2211"/>
      <c r="B11" s="2218" t="s">
        <v>2038</v>
      </c>
      <c r="C11" s="2205"/>
      <c r="D11" s="154">
        <v>100</v>
      </c>
      <c r="E11" s="476"/>
      <c r="F11" s="154">
        <f>SUMIF(76:76,E11,77:77)-SUMIF(76:76,C11,77:77)+100</f>
        <v>100</v>
      </c>
      <c r="G11" s="476"/>
      <c r="H11" s="154">
        <f>SUMIF(76:76,G11,77:77)-SUMIF(76:76,C11,77:77)+100</f>
        <v>100</v>
      </c>
      <c r="I11" s="476"/>
      <c r="J11" s="154">
        <f>SUMIF(76:76,I11,77:77)-SUMIF(76:76,C11,77:77)+100</f>
        <v>100</v>
      </c>
      <c r="K11" s="88"/>
      <c r="L11" s="1743"/>
      <c r="M11" s="1740"/>
      <c r="N11" s="1740"/>
      <c r="O11" s="1744"/>
      <c r="P11" s="3623" t="s">
        <v>484</v>
      </c>
      <c r="Q11" s="818" t="str">
        <f t="shared" ref="Q11:Q17" si="6">B11</f>
        <v>用途</v>
      </c>
      <c r="R11" s="1303" t="s">
        <v>5</v>
      </c>
      <c r="S11" s="1304">
        <f t="shared" si="0"/>
        <v>100</v>
      </c>
      <c r="T11" s="1303" t="s">
        <v>5</v>
      </c>
      <c r="U11" s="1304">
        <f t="shared" si="1"/>
        <v>100</v>
      </c>
      <c r="V11" s="1303" t="s">
        <v>5</v>
      </c>
      <c r="W11" s="1304">
        <f t="shared" si="2"/>
        <v>100</v>
      </c>
      <c r="X11" s="1305"/>
      <c r="Y11" s="3575" t="s">
        <v>485</v>
      </c>
      <c r="Z11" s="997" t="str">
        <f t="shared" ref="Z11:Z17" si="7">Q11</f>
        <v>用途</v>
      </c>
      <c r="AA11" s="997">
        <f t="shared" si="3"/>
        <v>1</v>
      </c>
      <c r="AB11" s="997">
        <f t="shared" si="4"/>
        <v>1</v>
      </c>
      <c r="AC11" s="997">
        <f t="shared" si="5"/>
        <v>1</v>
      </c>
    </row>
    <row r="12" spans="1:29" s="1133" customFormat="1" ht="27">
      <c r="A12" s="2212"/>
      <c r="B12" s="2217" t="s">
        <v>2039</v>
      </c>
      <c r="C12" s="833"/>
      <c r="D12" s="235">
        <v>100</v>
      </c>
      <c r="E12" s="479"/>
      <c r="F12" s="235">
        <f>ROUND(100/'数据-取费表'!G16,0)</f>
        <v>116</v>
      </c>
      <c r="G12" s="480"/>
      <c r="H12" s="235">
        <f>ROUND(100/'数据-取费表'!G16,0)</f>
        <v>116</v>
      </c>
      <c r="I12" s="480"/>
      <c r="J12" s="235">
        <f>ROUND(100/'数据-取费表'!G16,0)</f>
        <v>116</v>
      </c>
      <c r="K12" s="481"/>
      <c r="L12" s="1745"/>
      <c r="M12" s="1740"/>
      <c r="N12" s="1740"/>
      <c r="O12" s="1746"/>
      <c r="P12" s="3623"/>
      <c r="Q12" s="818" t="str">
        <f t="shared" si="6"/>
        <v>土地使用年限（年）</v>
      </c>
      <c r="R12" s="1303" t="s">
        <v>5</v>
      </c>
      <c r="S12" s="1304">
        <f t="shared" si="0"/>
        <v>116</v>
      </c>
      <c r="T12" s="1303" t="s">
        <v>5</v>
      </c>
      <c r="U12" s="1304">
        <f t="shared" si="1"/>
        <v>116</v>
      </c>
      <c r="V12" s="1303" t="s">
        <v>5</v>
      </c>
      <c r="W12" s="1304">
        <f t="shared" si="2"/>
        <v>116</v>
      </c>
      <c r="X12" s="1305"/>
      <c r="Y12" s="3575"/>
      <c r="Z12" s="997" t="str">
        <f t="shared" si="7"/>
        <v>土地使用年限（年）</v>
      </c>
      <c r="AA12" s="997">
        <f t="shared" si="3"/>
        <v>0.86206896551724133</v>
      </c>
      <c r="AB12" s="997">
        <f t="shared" si="4"/>
        <v>0.86206896551724133</v>
      </c>
      <c r="AC12" s="997">
        <f t="shared" si="5"/>
        <v>0.86206896551724133</v>
      </c>
    </row>
    <row r="13" spans="1:29" ht="20.25">
      <c r="A13" s="2213"/>
      <c r="B13" s="2217" t="s">
        <v>2040</v>
      </c>
      <c r="C13" s="484"/>
      <c r="D13" s="235">
        <v>100</v>
      </c>
      <c r="E13" s="483"/>
      <c r="F13" s="235" t="e">
        <f>LOOKUP(E13,81:81,82:82)-LOOKUP(C13,81:81,82:82)+100</f>
        <v>#N/A</v>
      </c>
      <c r="G13" s="484"/>
      <c r="H13" s="235" t="e">
        <f>LOOKUP(G13,81:81,82:82)-LOOKUP(C13,81:81,82:82)+100</f>
        <v>#N/A</v>
      </c>
      <c r="I13" s="483"/>
      <c r="J13" s="235" t="e">
        <f>LOOKUP(I13,81:81,82:82)-LOOKUP(C13,81:81,82:82)+100</f>
        <v>#N/A</v>
      </c>
      <c r="K13" s="485"/>
      <c r="L13" s="1747"/>
      <c r="M13" s="1740"/>
      <c r="N13" s="1740"/>
      <c r="O13" s="1748"/>
      <c r="P13" s="3623"/>
      <c r="Q13" s="818" t="str">
        <f t="shared" si="6"/>
        <v>容积率</v>
      </c>
      <c r="R13" s="1303" t="s">
        <v>5</v>
      </c>
      <c r="S13" s="1304" t="e">
        <f t="shared" si="0"/>
        <v>#N/A</v>
      </c>
      <c r="T13" s="1303" t="s">
        <v>5</v>
      </c>
      <c r="U13" s="1304" t="e">
        <f t="shared" si="1"/>
        <v>#N/A</v>
      </c>
      <c r="V13" s="1303" t="s">
        <v>5</v>
      </c>
      <c r="W13" s="1304" t="e">
        <f t="shared" si="2"/>
        <v>#N/A</v>
      </c>
      <c r="X13" s="1305"/>
      <c r="Y13" s="3575"/>
      <c r="Z13" s="997" t="str">
        <f t="shared" si="7"/>
        <v>容积率</v>
      </c>
      <c r="AA13" s="997" t="e">
        <f t="shared" si="3"/>
        <v>#N/A</v>
      </c>
      <c r="AB13" s="997" t="e">
        <f t="shared" si="4"/>
        <v>#N/A</v>
      </c>
      <c r="AC13" s="997" t="e">
        <f t="shared" si="5"/>
        <v>#N/A</v>
      </c>
    </row>
    <row r="14" spans="1:29" s="1060" customFormat="1" ht="20.25">
      <c r="A14" s="2210"/>
      <c r="B14" s="2219" t="s">
        <v>2041</v>
      </c>
      <c r="C14" s="2206"/>
      <c r="D14" s="488">
        <v>100</v>
      </c>
      <c r="E14" s="1166"/>
      <c r="F14" s="235">
        <f>SUMIF(83:83,E14,84:84)-SUMIF(83:83,C14,84:84)+100</f>
        <v>100</v>
      </c>
      <c r="G14" s="480"/>
      <c r="H14" s="235">
        <f>SUMIF(83:83,G14,84:84)-SUMIF(83:83,C14,84:84)+100</f>
        <v>100</v>
      </c>
      <c r="I14" s="479"/>
      <c r="J14" s="235">
        <f>SUMIF(83:83,I14,84:84)-SUMIF(83:83,C14,84:84)+100</f>
        <v>100</v>
      </c>
      <c r="K14" s="481"/>
      <c r="L14" s="1743"/>
      <c r="M14" s="1740"/>
      <c r="N14" s="1740"/>
      <c r="O14" s="1744"/>
      <c r="P14" s="3623"/>
      <c r="Q14" s="818" t="str">
        <f t="shared" si="6"/>
        <v>配建</v>
      </c>
      <c r="R14" s="1303" t="s">
        <v>5</v>
      </c>
      <c r="S14" s="1304">
        <f t="shared" si="0"/>
        <v>100</v>
      </c>
      <c r="T14" s="1303" t="s">
        <v>5</v>
      </c>
      <c r="U14" s="1304">
        <f t="shared" si="1"/>
        <v>100</v>
      </c>
      <c r="V14" s="1303" t="s">
        <v>5</v>
      </c>
      <c r="W14" s="1304">
        <f t="shared" si="2"/>
        <v>100</v>
      </c>
      <c r="X14" s="1305"/>
      <c r="Y14" s="3575"/>
      <c r="Z14" s="997" t="str">
        <f t="shared" si="7"/>
        <v>配建</v>
      </c>
      <c r="AA14" s="997">
        <f>D14/F14</f>
        <v>1</v>
      </c>
      <c r="AB14" s="997">
        <f>D14/H14</f>
        <v>1</v>
      </c>
      <c r="AC14" s="997">
        <f>D14/J14</f>
        <v>1</v>
      </c>
    </row>
    <row r="15" spans="1:29" ht="20.25">
      <c r="A15" s="2214"/>
      <c r="B15" s="2220">
        <v>111</v>
      </c>
      <c r="C15" s="835"/>
      <c r="D15" s="490">
        <v>100</v>
      </c>
      <c r="E15" s="491"/>
      <c r="F15" s="235">
        <f>SUMIF(85:85,E15,86:86)-SUMIF(85:85,C15,86:86)+100</f>
        <v>100</v>
      </c>
      <c r="G15" s="492"/>
      <c r="H15" s="490">
        <f>SUMIF(85:85,G15,86:86)-SUMIF(85:85,C15,86:86)+100</f>
        <v>100</v>
      </c>
      <c r="I15" s="492"/>
      <c r="J15" s="490">
        <f>SUMIF(85:85,I15,86:86)-SUMIF(85:85,C15,86:86)+100</f>
        <v>100</v>
      </c>
      <c r="K15" s="481"/>
      <c r="L15" s="1749"/>
      <c r="M15" s="1740"/>
      <c r="N15" s="1740"/>
      <c r="O15" s="1748"/>
      <c r="P15" s="3623"/>
      <c r="Q15" s="818">
        <f t="shared" si="6"/>
        <v>111</v>
      </c>
      <c r="R15" s="1303" t="s">
        <v>5</v>
      </c>
      <c r="S15" s="1304">
        <f t="shared" si="0"/>
        <v>100</v>
      </c>
      <c r="T15" s="1303" t="s">
        <v>5</v>
      </c>
      <c r="U15" s="1304">
        <f t="shared" si="1"/>
        <v>100</v>
      </c>
      <c r="V15" s="1303" t="s">
        <v>5</v>
      </c>
      <c r="W15" s="1304">
        <f t="shared" si="2"/>
        <v>100</v>
      </c>
      <c r="X15" s="1305"/>
      <c r="Y15" s="3575"/>
      <c r="Z15" s="997">
        <f t="shared" si="7"/>
        <v>111</v>
      </c>
      <c r="AA15" s="997">
        <f>D15/F15</f>
        <v>1</v>
      </c>
      <c r="AB15" s="997">
        <f>D15/H15</f>
        <v>1</v>
      </c>
      <c r="AC15" s="997">
        <f>D15/J15</f>
        <v>1</v>
      </c>
    </row>
    <row r="16" spans="1:29" ht="21" thickBot="1">
      <c r="A16" s="2215"/>
      <c r="B16" s="2221">
        <v>111</v>
      </c>
      <c r="C16" s="838"/>
      <c r="D16" s="496">
        <v>100</v>
      </c>
      <c r="E16" s="491"/>
      <c r="F16" s="496">
        <f>SUMIF(87:87,E16,88:88)-SUMIF(87:87,C16,88:88)+100</f>
        <v>100</v>
      </c>
      <c r="G16" s="492"/>
      <c r="H16" s="496">
        <f>SUMIF(87:87,G16,88:88)-SUMIF(87:87,C16,88:88)+100</f>
        <v>100</v>
      </c>
      <c r="I16" s="492"/>
      <c r="J16" s="496">
        <f>SUMIF(87:87,I16,88:88)-SUMIF(87:87,C16,88:88)+100</f>
        <v>100</v>
      </c>
      <c r="K16" s="481"/>
      <c r="L16" s="1749"/>
      <c r="M16" s="1740"/>
      <c r="N16" s="1740"/>
      <c r="O16" s="1748"/>
      <c r="P16" s="3623"/>
      <c r="Q16" s="818">
        <f t="shared" si="6"/>
        <v>111</v>
      </c>
      <c r="R16" s="1303" t="s">
        <v>5</v>
      </c>
      <c r="S16" s="1304">
        <f t="shared" si="0"/>
        <v>100</v>
      </c>
      <c r="T16" s="1303" t="s">
        <v>5</v>
      </c>
      <c r="U16" s="1304">
        <f t="shared" si="1"/>
        <v>100</v>
      </c>
      <c r="V16" s="1303" t="s">
        <v>5</v>
      </c>
      <c r="W16" s="1304">
        <f t="shared" si="2"/>
        <v>100</v>
      </c>
      <c r="X16" s="1305"/>
      <c r="Y16" s="3575"/>
      <c r="Z16" s="997">
        <f t="shared" si="7"/>
        <v>111</v>
      </c>
      <c r="AA16" s="997">
        <f>D16/F16</f>
        <v>1</v>
      </c>
      <c r="AB16" s="997">
        <f>D16/H16</f>
        <v>1</v>
      </c>
      <c r="AC16" s="997">
        <f>D16/J16</f>
        <v>1</v>
      </c>
    </row>
    <row r="17" spans="1:29" ht="99.75">
      <c r="A17" s="2207" t="s">
        <v>2036</v>
      </c>
      <c r="B17" s="528" t="s">
        <v>261</v>
      </c>
      <c r="C17" s="498" t="str">
        <f>估价对象房地状况!C15</f>
        <v>估价对象周边居住用地比例、居住小区规模和社区发展完善程度，综合评价居住社区成熟度一般</v>
      </c>
      <c r="D17" s="501">
        <v>100</v>
      </c>
      <c r="E17" s="502"/>
      <c r="F17" s="499">
        <f>SUMIF(89:89,E18,90:90)-SUMIF(89:89,C18,90:90)+100</f>
        <v>100</v>
      </c>
      <c r="G17" s="500"/>
      <c r="H17" s="499">
        <f>SUMIF(89:89,G18,90:90)-SUMIF(89:89,C18,90:90)+100</f>
        <v>100</v>
      </c>
      <c r="I17" s="502"/>
      <c r="J17" s="499">
        <f>SUMIF(89:89,I18,90:90)-SUMIF(89:89,C18,90:90)+100</f>
        <v>100</v>
      </c>
      <c r="K17" s="485"/>
      <c r="L17" s="1749"/>
      <c r="M17" s="1740"/>
      <c r="N17" s="1740"/>
      <c r="O17" s="1748"/>
      <c r="P17" s="3625" t="s">
        <v>489</v>
      </c>
      <c r="Q17" s="1306" t="str">
        <f t="shared" si="6"/>
        <v>居住社区成熟度</v>
      </c>
      <c r="R17" s="1307" t="s">
        <v>5</v>
      </c>
      <c r="S17" s="1308">
        <f t="shared" si="0"/>
        <v>100</v>
      </c>
      <c r="T17" s="1307" t="s">
        <v>5</v>
      </c>
      <c r="U17" s="1308">
        <f t="shared" si="1"/>
        <v>100</v>
      </c>
      <c r="V17" s="1307" t="s">
        <v>5</v>
      </c>
      <c r="W17" s="1308">
        <f t="shared" si="2"/>
        <v>100</v>
      </c>
      <c r="X17" s="1302"/>
      <c r="Y17" s="3625" t="s">
        <v>489</v>
      </c>
      <c r="Z17" s="1309" t="str">
        <f t="shared" si="7"/>
        <v>居住社区成熟度</v>
      </c>
      <c r="AA17" s="1309">
        <f t="shared" si="3"/>
        <v>1</v>
      </c>
      <c r="AB17" s="1309">
        <f t="shared" si="4"/>
        <v>1</v>
      </c>
      <c r="AC17" s="1309">
        <f t="shared" si="5"/>
        <v>1</v>
      </c>
    </row>
    <row r="18" spans="1:29" ht="20.25">
      <c r="A18" s="482"/>
      <c r="B18" s="503"/>
      <c r="C18" s="504"/>
      <c r="D18" s="507"/>
      <c r="E18" s="508"/>
      <c r="F18" s="505"/>
      <c r="G18" s="506"/>
      <c r="H18" s="509"/>
      <c r="I18" s="508"/>
      <c r="J18" s="505"/>
      <c r="K18" s="481"/>
      <c r="L18" s="1749"/>
      <c r="M18" s="1740"/>
      <c r="N18" s="1740"/>
      <c r="O18" s="1748"/>
      <c r="P18" s="3626"/>
      <c r="Q18" s="1306"/>
      <c r="R18" s="1307"/>
      <c r="S18" s="1308"/>
      <c r="T18" s="1307"/>
      <c r="U18" s="1308"/>
      <c r="V18" s="1307"/>
      <c r="W18" s="1308"/>
      <c r="X18" s="1302"/>
      <c r="Y18" s="3626"/>
      <c r="Z18" s="1309"/>
      <c r="AA18" s="1309">
        <v>1</v>
      </c>
      <c r="AB18" s="1309">
        <v>1</v>
      </c>
      <c r="AC18" s="1309">
        <v>1</v>
      </c>
    </row>
    <row r="19" spans="1:29" ht="71.25">
      <c r="A19" s="482"/>
      <c r="B19" s="510" t="s">
        <v>490</v>
      </c>
      <c r="C19" s="511" t="str">
        <f>估价对象房地状况!C16</f>
        <v>估价对象位于XX商圈，周边商业氛围成熟，人流量大，商业繁华度好</v>
      </c>
      <c r="D19" s="513">
        <v>100</v>
      </c>
      <c r="E19" s="514"/>
      <c r="F19" s="509">
        <f>SUMIF(91:91,E20,92:92)-SUMIF(91:91,C20,92:92)+100</f>
        <v>100</v>
      </c>
      <c r="G19" s="512"/>
      <c r="H19" s="515">
        <f>SUMIF(91:91,G20,92:92)-SUMIF(91:91,C20,92:92)+100</f>
        <v>100</v>
      </c>
      <c r="I19" s="514"/>
      <c r="J19" s="515">
        <f>SUMIF(91:91,I20,92:92)-SUMIF(91:91,C20,92:92)+100</f>
        <v>100</v>
      </c>
      <c r="K19" s="485"/>
      <c r="L19" s="1749"/>
      <c r="M19" s="1740"/>
      <c r="N19" s="1740"/>
      <c r="O19" s="1748"/>
      <c r="P19" s="3626"/>
      <c r="Q19" s="1306" t="str">
        <f>B19</f>
        <v>商业繁华度</v>
      </c>
      <c r="R19" s="1307" t="s">
        <v>5</v>
      </c>
      <c r="S19" s="1308">
        <f>F19</f>
        <v>100</v>
      </c>
      <c r="T19" s="1307" t="s">
        <v>5</v>
      </c>
      <c r="U19" s="1308">
        <f>H19</f>
        <v>100</v>
      </c>
      <c r="V19" s="1307" t="s">
        <v>5</v>
      </c>
      <c r="W19" s="1308">
        <f>J19</f>
        <v>100</v>
      </c>
      <c r="X19" s="1302"/>
      <c r="Y19" s="3626"/>
      <c r="Z19" s="1309" t="str">
        <f>Q19</f>
        <v>商业繁华度</v>
      </c>
      <c r="AA19" s="1309">
        <f t="shared" si="3"/>
        <v>1</v>
      </c>
      <c r="AB19" s="1309">
        <f t="shared" si="4"/>
        <v>1</v>
      </c>
      <c r="AC19" s="1309">
        <f t="shared" si="5"/>
        <v>1</v>
      </c>
    </row>
    <row r="20" spans="1:29" ht="20.25">
      <c r="A20" s="482"/>
      <c r="B20" s="516"/>
      <c r="C20" s="517"/>
      <c r="D20" s="513"/>
      <c r="E20" s="519"/>
      <c r="F20" s="509"/>
      <c r="G20" s="518"/>
      <c r="H20" s="505"/>
      <c r="I20" s="519"/>
      <c r="J20" s="505"/>
      <c r="K20" s="481"/>
      <c r="L20" s="1749"/>
      <c r="M20" s="1740"/>
      <c r="N20" s="1740"/>
      <c r="O20" s="1748"/>
      <c r="P20" s="3626"/>
      <c r="Q20" s="1306"/>
      <c r="R20" s="1307"/>
      <c r="S20" s="1308"/>
      <c r="T20" s="1307"/>
      <c r="U20" s="1308"/>
      <c r="V20" s="1307"/>
      <c r="W20" s="1308"/>
      <c r="X20" s="1302"/>
      <c r="Y20" s="3626"/>
      <c r="Z20" s="1309"/>
      <c r="AA20" s="1309">
        <v>1</v>
      </c>
      <c r="AB20" s="1309">
        <v>1</v>
      </c>
      <c r="AC20" s="1309">
        <v>1</v>
      </c>
    </row>
    <row r="21" spans="1:29" ht="71.25">
      <c r="A21" s="482"/>
      <c r="B21" s="510" t="s">
        <v>491</v>
      </c>
      <c r="C21" s="511" t="str">
        <f>估价对象房地状况!C17</f>
        <v>估价对象位于XX商圈，周边办公楼项目较多，入驻率高，办公集聚程度较好</v>
      </c>
      <c r="D21" s="521">
        <v>100</v>
      </c>
      <c r="E21" s="522"/>
      <c r="F21" s="515">
        <f>SUMIF(93:93,E22,94:94)-SUMIF(93:93,C22,94:94)+100</f>
        <v>100</v>
      </c>
      <c r="G21" s="520"/>
      <c r="H21" s="509">
        <f>SUMIF(93:93,G22,94:94)-SUMIF(93:93,C22,94:94)+100</f>
        <v>100</v>
      </c>
      <c r="I21" s="522"/>
      <c r="J21" s="509">
        <f>SUMIF(93:93,I22,94:94)-SUMIF(93:93,C22,94:94)+100</f>
        <v>100</v>
      </c>
      <c r="K21" s="485"/>
      <c r="L21" s="1749"/>
      <c r="M21" s="1740"/>
      <c r="N21" s="1740"/>
      <c r="O21" s="1748"/>
      <c r="P21" s="3626"/>
      <c r="Q21" s="1306" t="str">
        <f>B21</f>
        <v>办公集聚程度</v>
      </c>
      <c r="R21" s="1307" t="s">
        <v>5</v>
      </c>
      <c r="S21" s="1308">
        <f>F21</f>
        <v>100</v>
      </c>
      <c r="T21" s="1307" t="s">
        <v>5</v>
      </c>
      <c r="U21" s="1308">
        <f>H21</f>
        <v>100</v>
      </c>
      <c r="V21" s="1307" t="s">
        <v>5</v>
      </c>
      <c r="W21" s="1308">
        <f>J21</f>
        <v>100</v>
      </c>
      <c r="X21" s="1302"/>
      <c r="Y21" s="3626"/>
      <c r="Z21" s="1309" t="str">
        <f>Q21</f>
        <v>办公集聚程度</v>
      </c>
      <c r="AA21" s="1309">
        <f t="shared" si="3"/>
        <v>1</v>
      </c>
      <c r="AB21" s="1309">
        <f t="shared" si="4"/>
        <v>1</v>
      </c>
      <c r="AC21" s="1309">
        <f t="shared" si="5"/>
        <v>1</v>
      </c>
    </row>
    <row r="22" spans="1:29" ht="20.25">
      <c r="A22" s="482"/>
      <c r="B22" s="516"/>
      <c r="C22" s="504"/>
      <c r="D22" s="507"/>
      <c r="E22" s="508"/>
      <c r="F22" s="505"/>
      <c r="G22" s="506"/>
      <c r="H22" s="505"/>
      <c r="I22" s="508"/>
      <c r="J22" s="505"/>
      <c r="K22" s="481"/>
      <c r="L22" s="1749"/>
      <c r="M22" s="1740"/>
      <c r="N22" s="1740"/>
      <c r="O22" s="1748"/>
      <c r="P22" s="3626"/>
      <c r="Q22" s="1306"/>
      <c r="R22" s="1307"/>
      <c r="S22" s="1308"/>
      <c r="T22" s="1307"/>
      <c r="U22" s="1308"/>
      <c r="V22" s="1307"/>
      <c r="W22" s="1308"/>
      <c r="X22" s="1302"/>
      <c r="Y22" s="3626"/>
      <c r="Z22" s="1309"/>
      <c r="AA22" s="1309">
        <v>1</v>
      </c>
      <c r="AB22" s="1309">
        <v>1</v>
      </c>
      <c r="AC22" s="1309">
        <v>1</v>
      </c>
    </row>
    <row r="23" spans="1:29" ht="85.5">
      <c r="A23" s="482"/>
      <c r="B23" s="510" t="s">
        <v>492</v>
      </c>
      <c r="C23" s="523" t="str">
        <f>估价对象房地状况!C18</f>
        <v>估价对象周边道路状况、公共交通通达情况、停车便捷程度，综合评价交通便捷度较好</v>
      </c>
      <c r="D23" s="513">
        <v>100</v>
      </c>
      <c r="E23" s="514"/>
      <c r="F23" s="515">
        <f>SUMIF(95:95,E24,96:96)-SUMIF(95:95,C24,96:96)+100</f>
        <v>100</v>
      </c>
      <c r="G23" s="512"/>
      <c r="H23" s="509">
        <f>SUMIF(95:95,G24,96:96)-SUMIF(95:95,C24,96:96)+100</f>
        <v>100</v>
      </c>
      <c r="I23" s="514"/>
      <c r="J23" s="509">
        <f>SUMIF(95:95,I24,96:96)-SUMIF(95:95,C24,96:96)+100</f>
        <v>100</v>
      </c>
      <c r="K23" s="485"/>
      <c r="L23" s="1749"/>
      <c r="M23" s="1740"/>
      <c r="N23" s="1740"/>
      <c r="O23" s="1748"/>
      <c r="P23" s="3626"/>
      <c r="Q23" s="1306" t="str">
        <f>B23</f>
        <v>交通便捷度</v>
      </c>
      <c r="R23" s="1307" t="s">
        <v>5</v>
      </c>
      <c r="S23" s="1308">
        <f>F23</f>
        <v>100</v>
      </c>
      <c r="T23" s="1307" t="s">
        <v>5</v>
      </c>
      <c r="U23" s="1308">
        <f>H23</f>
        <v>100</v>
      </c>
      <c r="V23" s="1307" t="s">
        <v>5</v>
      </c>
      <c r="W23" s="1308">
        <f>J23</f>
        <v>100</v>
      </c>
      <c r="X23" s="1302"/>
      <c r="Y23" s="3626"/>
      <c r="Z23" s="1309" t="str">
        <f>Q23</f>
        <v>交通便捷度</v>
      </c>
      <c r="AA23" s="1309">
        <f t="shared" si="3"/>
        <v>1</v>
      </c>
      <c r="AB23" s="1309">
        <f t="shared" si="4"/>
        <v>1</v>
      </c>
      <c r="AC23" s="1309">
        <f t="shared" si="5"/>
        <v>1</v>
      </c>
    </row>
    <row r="24" spans="1:29" ht="20.25">
      <c r="A24" s="482"/>
      <c r="B24" s="528"/>
      <c r="C24" s="504"/>
      <c r="D24" s="507"/>
      <c r="E24" s="508"/>
      <c r="F24" s="505"/>
      <c r="G24" s="506"/>
      <c r="H24" s="505"/>
      <c r="I24" s="508"/>
      <c r="J24" s="505"/>
      <c r="K24" s="481"/>
      <c r="L24" s="1749"/>
      <c r="M24" s="1740"/>
      <c r="N24" s="1740"/>
      <c r="O24" s="1748"/>
      <c r="P24" s="3626"/>
      <c r="Q24" s="1306"/>
      <c r="R24" s="1307"/>
      <c r="S24" s="1308"/>
      <c r="T24" s="1307"/>
      <c r="U24" s="1308"/>
      <c r="V24" s="1307"/>
      <c r="W24" s="1308"/>
      <c r="X24" s="1302"/>
      <c r="Y24" s="3626"/>
      <c r="Z24" s="1309"/>
      <c r="AA24" s="1309">
        <v>1</v>
      </c>
      <c r="AB24" s="1309">
        <v>1</v>
      </c>
      <c r="AC24" s="1309">
        <v>1</v>
      </c>
    </row>
    <row r="25" spans="1:29" ht="27">
      <c r="A25" s="466"/>
      <c r="B25" s="239" t="s">
        <v>493</v>
      </c>
      <c r="C25" s="523">
        <f>估价对象房地状况!C19</f>
        <v>0</v>
      </c>
      <c r="D25" s="513">
        <v>100</v>
      </c>
      <c r="E25" s="514"/>
      <c r="F25" s="515">
        <f>SUMIF(97:97,E26,98:98)-SUMIF(97:97,C26,98:98)+100</f>
        <v>100</v>
      </c>
      <c r="G25" s="512"/>
      <c r="H25" s="509">
        <f>SUMIF(97:97,G26,98:98)-SUMIF(97:97,C26,98:98)+100</f>
        <v>100</v>
      </c>
      <c r="I25" s="514"/>
      <c r="J25" s="509">
        <f>SUMIF(97:97,I26,98:98)-SUMIF(97:97,C26,98:98)+100</f>
        <v>100</v>
      </c>
      <c r="K25" s="485"/>
      <c r="L25" s="1749"/>
      <c r="M25" s="1740"/>
      <c r="N25" s="1740"/>
      <c r="O25" s="1748"/>
      <c r="P25" s="3626"/>
      <c r="Q25" s="1306" t="str">
        <f t="shared" ref="Q25:Q39" si="8">B25</f>
        <v>区域土地利用方向</v>
      </c>
      <c r="R25" s="1307" t="s">
        <v>5</v>
      </c>
      <c r="S25" s="1308">
        <f>F25</f>
        <v>100</v>
      </c>
      <c r="T25" s="1307" t="s">
        <v>5</v>
      </c>
      <c r="U25" s="1308">
        <f>H25</f>
        <v>100</v>
      </c>
      <c r="V25" s="1307" t="s">
        <v>5</v>
      </c>
      <c r="W25" s="1308">
        <f>J25</f>
        <v>100</v>
      </c>
      <c r="X25" s="1302"/>
      <c r="Y25" s="3626"/>
      <c r="Z25" s="1309" t="str">
        <f>Q25</f>
        <v>区域土地利用方向</v>
      </c>
      <c r="AA25" s="1309">
        <f t="shared" si="3"/>
        <v>1</v>
      </c>
      <c r="AB25" s="1309">
        <f t="shared" si="4"/>
        <v>1</v>
      </c>
      <c r="AC25" s="1309">
        <f t="shared" si="5"/>
        <v>1</v>
      </c>
    </row>
    <row r="26" spans="1:29" ht="20.25">
      <c r="A26" s="466"/>
      <c r="B26" s="919"/>
      <c r="C26" s="504"/>
      <c r="D26" s="507"/>
      <c r="E26" s="508"/>
      <c r="F26" s="505"/>
      <c r="G26" s="506"/>
      <c r="H26" s="505"/>
      <c r="I26" s="508"/>
      <c r="J26" s="505"/>
      <c r="K26" s="481"/>
      <c r="L26" s="1749"/>
      <c r="M26" s="1740"/>
      <c r="N26" s="1740"/>
      <c r="O26" s="1748"/>
      <c r="P26" s="3626"/>
      <c r="Q26" s="1306"/>
      <c r="R26" s="1307"/>
      <c r="S26" s="1308"/>
      <c r="T26" s="1307"/>
      <c r="U26" s="1308"/>
      <c r="V26" s="1307"/>
      <c r="W26" s="1308"/>
      <c r="X26" s="1302"/>
      <c r="Y26" s="3626"/>
      <c r="Z26" s="1309"/>
      <c r="AA26" s="1309"/>
      <c r="AB26" s="1309"/>
      <c r="AC26" s="1309"/>
    </row>
    <row r="27" spans="1:29" ht="57">
      <c r="A27" s="466"/>
      <c r="B27" s="528" t="s">
        <v>494</v>
      </c>
      <c r="C27" s="511" t="str">
        <f>估价对象房地状况!C20</f>
        <v>区域自然环境：；人文环境；综合评价环境状况一般</v>
      </c>
      <c r="D27" s="513">
        <v>100</v>
      </c>
      <c r="E27" s="514"/>
      <c r="F27" s="509">
        <f>SUMIF(99:99,E28,100:100)-SUMIF(99:99,C28,100:100)+100</f>
        <v>100</v>
      </c>
      <c r="G27" s="512"/>
      <c r="H27" s="509">
        <f>SUMIF(99:99,G28,100:100)-SUMIF(99:99,C28,100:100)+100</f>
        <v>100</v>
      </c>
      <c r="I27" s="514"/>
      <c r="J27" s="509">
        <f>SUMIF(99:99,I28,100:100)-SUMIF(99:99,C28,100:100)+100</f>
        <v>100</v>
      </c>
      <c r="K27" s="485"/>
      <c r="L27" s="1749"/>
      <c r="M27" s="1740"/>
      <c r="N27" s="1740"/>
      <c r="O27" s="1748"/>
      <c r="P27" s="3626"/>
      <c r="Q27" s="1306" t="str">
        <f t="shared" si="8"/>
        <v>自然及人文环境状况</v>
      </c>
      <c r="R27" s="1307" t="s">
        <v>5</v>
      </c>
      <c r="S27" s="1308">
        <f>F27</f>
        <v>100</v>
      </c>
      <c r="T27" s="1307" t="s">
        <v>5</v>
      </c>
      <c r="U27" s="1308">
        <f>H27</f>
        <v>100</v>
      </c>
      <c r="V27" s="1307" t="s">
        <v>5</v>
      </c>
      <c r="W27" s="1308">
        <f>J27</f>
        <v>100</v>
      </c>
      <c r="X27" s="1302"/>
      <c r="Y27" s="3626"/>
      <c r="Z27" s="1309" t="str">
        <f>Q27</f>
        <v>自然及人文环境状况</v>
      </c>
      <c r="AA27" s="1309">
        <f t="shared" si="3"/>
        <v>1</v>
      </c>
      <c r="AB27" s="1309">
        <f t="shared" si="4"/>
        <v>1</v>
      </c>
      <c r="AC27" s="1309">
        <f t="shared" si="5"/>
        <v>1</v>
      </c>
    </row>
    <row r="28" spans="1:29" ht="20.25">
      <c r="A28" s="466"/>
      <c r="B28" s="516"/>
      <c r="C28" s="504"/>
      <c r="D28" s="507"/>
      <c r="E28" s="526"/>
      <c r="F28" s="505"/>
      <c r="G28" s="504"/>
      <c r="H28" s="505"/>
      <c r="I28" s="526"/>
      <c r="J28" s="505"/>
      <c r="K28" s="481"/>
      <c r="L28" s="1749"/>
      <c r="M28" s="1740"/>
      <c r="N28" s="1740"/>
      <c r="O28" s="1748"/>
      <c r="P28" s="3626"/>
      <c r="Q28" s="1306"/>
      <c r="R28" s="1307"/>
      <c r="S28" s="1308"/>
      <c r="T28" s="1307"/>
      <c r="U28" s="1308"/>
      <c r="V28" s="1307"/>
      <c r="W28" s="1308"/>
      <c r="X28" s="1302"/>
      <c r="Y28" s="3626"/>
      <c r="Z28" s="1309"/>
      <c r="AA28" s="1309">
        <v>1</v>
      </c>
      <c r="AB28" s="1309">
        <v>1</v>
      </c>
      <c r="AC28" s="1309">
        <v>1</v>
      </c>
    </row>
    <row r="29" spans="1:29" s="1060" customFormat="1" ht="42.75">
      <c r="A29" s="527"/>
      <c r="B29" s="2050" t="s">
        <v>1831</v>
      </c>
      <c r="C29" s="523" t="str">
        <f>估价对象房地状况!C21</f>
        <v>估价对象所在区域公共配套设施齐备情况</v>
      </c>
      <c r="D29" s="513">
        <v>100</v>
      </c>
      <c r="E29" s="514"/>
      <c r="F29" s="509">
        <f>SUMIF(101:101,E30,102:102)-SUMIF(101:101,C30,102:102)+100</f>
        <v>100</v>
      </c>
      <c r="G29" s="512"/>
      <c r="H29" s="509">
        <f>SUMIF(101:101,G30,102:102)-SUMIF(101:101,C30,102:102)+100</f>
        <v>100</v>
      </c>
      <c r="I29" s="514"/>
      <c r="J29" s="509">
        <f>SUMIF(101:101,I30,102:102)-SUMIF(101:101,C30,102:102)+100</f>
        <v>100</v>
      </c>
      <c r="K29" s="485"/>
      <c r="L29" s="1743"/>
      <c r="M29" s="1740"/>
      <c r="N29" s="1740"/>
      <c r="O29" s="1744"/>
      <c r="P29" s="3626"/>
      <c r="Q29" s="818" t="str">
        <f t="shared" si="8"/>
        <v>公共配套设施</v>
      </c>
      <c r="R29" s="1303" t="s">
        <v>5</v>
      </c>
      <c r="S29" s="1304">
        <f>F29</f>
        <v>100</v>
      </c>
      <c r="T29" s="1303" t="s">
        <v>5</v>
      </c>
      <c r="U29" s="1304">
        <f>H29</f>
        <v>100</v>
      </c>
      <c r="V29" s="1303" t="s">
        <v>5</v>
      </c>
      <c r="W29" s="1304">
        <f>J29</f>
        <v>100</v>
      </c>
      <c r="X29" s="1305"/>
      <c r="Y29" s="3626"/>
      <c r="Z29" s="997" t="str">
        <f>Q29</f>
        <v>公共配套设施</v>
      </c>
      <c r="AA29" s="1309">
        <f>D29/F29</f>
        <v>1</v>
      </c>
      <c r="AB29" s="1309">
        <f>D29/H29</f>
        <v>1</v>
      </c>
      <c r="AC29" s="1309">
        <f>D29/J29</f>
        <v>1</v>
      </c>
    </row>
    <row r="30" spans="1:29" s="1060" customFormat="1" ht="20.25">
      <c r="A30" s="527"/>
      <c r="B30" s="516"/>
      <c r="C30" s="529"/>
      <c r="D30" s="507"/>
      <c r="E30" s="526"/>
      <c r="F30" s="505"/>
      <c r="G30" s="504"/>
      <c r="H30" s="505"/>
      <c r="I30" s="526"/>
      <c r="J30" s="505"/>
      <c r="K30" s="481"/>
      <c r="L30" s="1743"/>
      <c r="M30" s="1740"/>
      <c r="N30" s="1740"/>
      <c r="O30" s="1744"/>
      <c r="P30" s="3626"/>
      <c r="Q30" s="818"/>
      <c r="R30" s="1303"/>
      <c r="S30" s="1304"/>
      <c r="T30" s="1303"/>
      <c r="U30" s="1304"/>
      <c r="V30" s="1303"/>
      <c r="W30" s="1304"/>
      <c r="X30" s="1305"/>
      <c r="Y30" s="3626"/>
      <c r="Z30" s="997"/>
      <c r="AA30" s="1309">
        <v>1</v>
      </c>
      <c r="AB30" s="1309">
        <v>1</v>
      </c>
      <c r="AC30" s="1309">
        <v>1</v>
      </c>
    </row>
    <row r="31" spans="1:29" s="1060" customFormat="1" ht="28.5">
      <c r="A31" s="527"/>
      <c r="B31" s="2050" t="s">
        <v>1832</v>
      </c>
      <c r="C31" s="523" t="str">
        <f>估价对象房地状况!C22</f>
        <v>估价对象所在区域基础设施水平</v>
      </c>
      <c r="D31" s="513">
        <v>100</v>
      </c>
      <c r="E31" s="514"/>
      <c r="F31" s="509">
        <f>SUMIF(103:103,E32,104:104)-SUMIF(103:103,C32,104:104)+100</f>
        <v>100</v>
      </c>
      <c r="G31" s="512"/>
      <c r="H31" s="509">
        <f>SUMIF(103:103,G32,104:104)-SUMIF(103:103,C32,104:104)+100</f>
        <v>100</v>
      </c>
      <c r="I31" s="514"/>
      <c r="J31" s="509">
        <f>SUMIF(103:103,I32,104:104)-SUMIF(103:103,C32,104:104)+100</f>
        <v>100</v>
      </c>
      <c r="K31" s="485"/>
      <c r="L31" s="1743"/>
      <c r="M31" s="1740"/>
      <c r="N31" s="1740"/>
      <c r="O31" s="1744"/>
      <c r="P31" s="3626"/>
      <c r="Q31" s="818" t="str">
        <f>B31</f>
        <v>基础设施水平</v>
      </c>
      <c r="R31" s="1303" t="s">
        <v>5</v>
      </c>
      <c r="S31" s="1304">
        <f>F31</f>
        <v>100</v>
      </c>
      <c r="T31" s="1303" t="s">
        <v>5</v>
      </c>
      <c r="U31" s="1304">
        <f>H31</f>
        <v>100</v>
      </c>
      <c r="V31" s="1303" t="s">
        <v>5</v>
      </c>
      <c r="W31" s="1304">
        <f>J31</f>
        <v>100</v>
      </c>
      <c r="X31" s="1305"/>
      <c r="Y31" s="3626"/>
      <c r="Z31" s="997" t="str">
        <f>Q31</f>
        <v>基础设施水平</v>
      </c>
      <c r="AA31" s="1309">
        <f>D31/F31</f>
        <v>1</v>
      </c>
      <c r="AB31" s="1309">
        <f>D31/H31</f>
        <v>1</v>
      </c>
      <c r="AC31" s="1309">
        <f>D31/J31</f>
        <v>1</v>
      </c>
    </row>
    <row r="32" spans="1:29" s="1060" customFormat="1" ht="20.25">
      <c r="A32" s="527"/>
      <c r="B32" s="516"/>
      <c r="C32" s="529"/>
      <c r="D32" s="507"/>
      <c r="E32" s="2051"/>
      <c r="F32" s="505"/>
      <c r="G32" s="529"/>
      <c r="H32" s="505"/>
      <c r="I32" s="529"/>
      <c r="J32" s="505"/>
      <c r="K32" s="481"/>
      <c r="L32" s="1743"/>
      <c r="M32" s="1740"/>
      <c r="N32" s="1740"/>
      <c r="O32" s="1744"/>
      <c r="P32" s="3626"/>
      <c r="Q32" s="818"/>
      <c r="R32" s="1303"/>
      <c r="S32" s="1304"/>
      <c r="T32" s="1303"/>
      <c r="U32" s="1304"/>
      <c r="V32" s="1303"/>
      <c r="W32" s="1304"/>
      <c r="X32" s="1305"/>
      <c r="Y32" s="3626"/>
      <c r="Z32" s="997"/>
      <c r="AA32" s="1309">
        <v>1</v>
      </c>
      <c r="AB32" s="1309">
        <v>1</v>
      </c>
      <c r="AC32" s="1309">
        <v>1</v>
      </c>
    </row>
    <row r="33" spans="1:29" ht="20.25">
      <c r="A33" s="482"/>
      <c r="B33" s="516" t="s">
        <v>496</v>
      </c>
      <c r="C33" s="530"/>
      <c r="D33" s="525">
        <v>100</v>
      </c>
      <c r="E33" s="532"/>
      <c r="F33" s="490">
        <f>SUMIF(105:105,E33,106:106)-SUMIF(105:105,C33,106:106)+100</f>
        <v>100</v>
      </c>
      <c r="G33" s="530"/>
      <c r="H33" s="490">
        <f>SUMIF(105:105,G33,106:106)-SUMIF(105:105,C33,106:106)+100</f>
        <v>100</v>
      </c>
      <c r="I33" s="530"/>
      <c r="J33" s="490">
        <f>SUMIF(105:105,I33,106:106)-SUMIF(105:105,C33,106:106)+100</f>
        <v>100</v>
      </c>
      <c r="K33" s="485"/>
      <c r="L33" s="1749"/>
      <c r="M33" s="1740"/>
      <c r="N33" s="1740"/>
      <c r="O33" s="1748"/>
      <c r="P33" s="3626"/>
      <c r="Q33" s="1306" t="str">
        <f t="shared" si="8"/>
        <v>临街状况</v>
      </c>
      <c r="R33" s="1307" t="s">
        <v>5</v>
      </c>
      <c r="S33" s="1308">
        <f t="shared" ref="S33:S47" si="9">F33</f>
        <v>100</v>
      </c>
      <c r="T33" s="1307" t="s">
        <v>5</v>
      </c>
      <c r="U33" s="1308">
        <f t="shared" ref="U33:U47" si="10">H33</f>
        <v>100</v>
      </c>
      <c r="V33" s="1307" t="s">
        <v>5</v>
      </c>
      <c r="W33" s="1308">
        <f t="shared" ref="W33:W47" si="11">J33</f>
        <v>100</v>
      </c>
      <c r="X33" s="1302"/>
      <c r="Y33" s="3626"/>
      <c r="Z33" s="1309" t="str">
        <f t="shared" ref="Z33:Z47" si="12">Q33</f>
        <v>临街状况</v>
      </c>
      <c r="AA33" s="1309">
        <f t="shared" si="3"/>
        <v>1</v>
      </c>
      <c r="AB33" s="1309">
        <f t="shared" si="4"/>
        <v>1</v>
      </c>
      <c r="AC33" s="1309">
        <f t="shared" si="5"/>
        <v>1</v>
      </c>
    </row>
    <row r="34" spans="1:29" ht="27">
      <c r="A34" s="482"/>
      <c r="B34" s="528" t="s">
        <v>497</v>
      </c>
      <c r="C34" s="512"/>
      <c r="D34" s="513">
        <v>100</v>
      </c>
      <c r="E34" s="514"/>
      <c r="F34" s="509">
        <f>SUMIF(107:107,E35,108:108)-SUMIF(107:107,C35,108:108)+100</f>
        <v>100</v>
      </c>
      <c r="G34" s="512"/>
      <c r="H34" s="509">
        <f>SUMIF(107:107,G35,108:108)-SUMIF(107:107,C35,108:108)+100</f>
        <v>100</v>
      </c>
      <c r="I34" s="514"/>
      <c r="J34" s="509">
        <f>SUMIF(107:107,I35,108:108)-SUMIF(107:107,C35,108:108)+100</f>
        <v>100</v>
      </c>
      <c r="K34" s="485"/>
      <c r="L34" s="1749"/>
      <c r="M34" s="1740"/>
      <c r="N34" s="1740"/>
      <c r="O34" s="1748"/>
      <c r="P34" s="3626"/>
      <c r="Q34" s="1306" t="str">
        <f t="shared" si="8"/>
        <v>毗邻道路的类型与等级</v>
      </c>
      <c r="R34" s="1307" t="s">
        <v>5</v>
      </c>
      <c r="S34" s="1308">
        <f t="shared" si="9"/>
        <v>100</v>
      </c>
      <c r="T34" s="1307" t="s">
        <v>5</v>
      </c>
      <c r="U34" s="1308">
        <f t="shared" si="10"/>
        <v>100</v>
      </c>
      <c r="V34" s="1307" t="s">
        <v>5</v>
      </c>
      <c r="W34" s="1308">
        <f t="shared" si="11"/>
        <v>100</v>
      </c>
      <c r="X34" s="1302"/>
      <c r="Y34" s="3626"/>
      <c r="Z34" s="1309" t="str">
        <f t="shared" si="12"/>
        <v>毗邻道路的类型与等级</v>
      </c>
      <c r="AA34" s="1309">
        <f t="shared" si="3"/>
        <v>1</v>
      </c>
      <c r="AB34" s="1309">
        <f t="shared" si="4"/>
        <v>1</v>
      </c>
      <c r="AC34" s="1309">
        <f t="shared" si="5"/>
        <v>1</v>
      </c>
    </row>
    <row r="35" spans="1:29" ht="20.25">
      <c r="A35" s="482"/>
      <c r="B35" s="516"/>
      <c r="C35" s="504"/>
      <c r="D35" s="507"/>
      <c r="E35" s="526"/>
      <c r="F35" s="505"/>
      <c r="G35" s="504"/>
      <c r="H35" s="505"/>
      <c r="I35" s="526"/>
      <c r="J35" s="505"/>
      <c r="K35" s="531"/>
      <c r="L35" s="1749"/>
      <c r="M35" s="1740"/>
      <c r="N35" s="1740"/>
      <c r="O35" s="1748"/>
      <c r="P35" s="3626"/>
      <c r="Q35" s="1306"/>
      <c r="R35" s="1307"/>
      <c r="S35" s="1308"/>
      <c r="T35" s="1307"/>
      <c r="U35" s="1308"/>
      <c r="V35" s="1307"/>
      <c r="W35" s="1308"/>
      <c r="X35" s="1302"/>
      <c r="Y35" s="3626"/>
      <c r="Z35" s="1309"/>
      <c r="AA35" s="1309">
        <v>1</v>
      </c>
      <c r="AB35" s="1309">
        <v>1</v>
      </c>
      <c r="AC35" s="1309">
        <v>1</v>
      </c>
    </row>
    <row r="36" spans="1:29" ht="20.25">
      <c r="A36" s="482"/>
      <c r="B36" s="235" t="s">
        <v>498</v>
      </c>
      <c r="C36" s="530"/>
      <c r="D36" s="525">
        <v>100</v>
      </c>
      <c r="E36" s="532"/>
      <c r="F36" s="490">
        <f>SUMIF(109:109,E36,110:110)-SUMIF(109:109,C36,110:110)+100</f>
        <v>100</v>
      </c>
      <c r="G36" s="530"/>
      <c r="H36" s="490">
        <f>SUMIF(109:109,G36,110:110)-SUMIF(109:109,C36,110:110)+100</f>
        <v>100</v>
      </c>
      <c r="I36" s="532"/>
      <c r="J36" s="490">
        <f>SUMIF(109:109,I36,110:110)-SUMIF(109:109,C36,110:110)+100</f>
        <v>100</v>
      </c>
      <c r="K36" s="533"/>
      <c r="L36" s="1749"/>
      <c r="M36" s="1740"/>
      <c r="N36" s="1740"/>
      <c r="O36" s="1748"/>
      <c r="P36" s="3626"/>
      <c r="Q36" s="1306" t="str">
        <f t="shared" si="8"/>
        <v>土地级别</v>
      </c>
      <c r="R36" s="1307" t="s">
        <v>5</v>
      </c>
      <c r="S36" s="1308">
        <f t="shared" si="9"/>
        <v>100</v>
      </c>
      <c r="T36" s="1307" t="s">
        <v>5</v>
      </c>
      <c r="U36" s="1308">
        <f t="shared" si="10"/>
        <v>100</v>
      </c>
      <c r="V36" s="1307" t="s">
        <v>5</v>
      </c>
      <c r="W36" s="1308">
        <f t="shared" si="11"/>
        <v>100</v>
      </c>
      <c r="X36" s="1302"/>
      <c r="Y36" s="3626"/>
      <c r="Z36" s="1309" t="str">
        <f t="shared" si="12"/>
        <v>土地级别</v>
      </c>
      <c r="AA36" s="1309">
        <f t="shared" si="3"/>
        <v>1</v>
      </c>
      <c r="AB36" s="1309">
        <f t="shared" si="4"/>
        <v>1</v>
      </c>
      <c r="AC36" s="1309">
        <f t="shared" si="5"/>
        <v>1</v>
      </c>
    </row>
    <row r="37" spans="1:29" ht="20.25">
      <c r="A37" s="466"/>
      <c r="B37" s="534">
        <v>111</v>
      </c>
      <c r="C37" s="535"/>
      <c r="D37" s="525">
        <v>100</v>
      </c>
      <c r="E37" s="492"/>
      <c r="F37" s="490">
        <f>SUMIF(111:111,E37,112:112)-SUMIF(111:111,C37,112:112)+100</f>
        <v>100</v>
      </c>
      <c r="G37" s="535"/>
      <c r="H37" s="490">
        <f>SUMIF(111:111,G37,112:112)-SUMIF(111:111,C37,112:112)+100</f>
        <v>100</v>
      </c>
      <c r="I37" s="492"/>
      <c r="J37" s="490">
        <f>SUMIF(111:111,I37,112:112)-SUMIF(111:111,C37,112:112)+100</f>
        <v>100</v>
      </c>
      <c r="K37" s="531"/>
      <c r="L37" s="1749"/>
      <c r="M37" s="1740"/>
      <c r="N37" s="1740"/>
      <c r="O37" s="1748"/>
      <c r="P37" s="3626"/>
      <c r="Q37" s="1306">
        <f t="shared" si="8"/>
        <v>111</v>
      </c>
      <c r="R37" s="1307" t="s">
        <v>5</v>
      </c>
      <c r="S37" s="1308">
        <f t="shared" si="9"/>
        <v>100</v>
      </c>
      <c r="T37" s="1307" t="s">
        <v>5</v>
      </c>
      <c r="U37" s="1308">
        <f t="shared" si="10"/>
        <v>100</v>
      </c>
      <c r="V37" s="1307" t="s">
        <v>5</v>
      </c>
      <c r="W37" s="1308">
        <f t="shared" si="11"/>
        <v>100</v>
      </c>
      <c r="X37" s="1302"/>
      <c r="Y37" s="3626"/>
      <c r="Z37" s="1309">
        <f t="shared" si="12"/>
        <v>111</v>
      </c>
      <c r="AA37" s="1309">
        <f t="shared" si="3"/>
        <v>1</v>
      </c>
      <c r="AB37" s="1309">
        <f t="shared" si="4"/>
        <v>1</v>
      </c>
      <c r="AC37" s="1309">
        <f t="shared" si="5"/>
        <v>1</v>
      </c>
    </row>
    <row r="38" spans="1:29" ht="20.25">
      <c r="A38" s="536"/>
      <c r="B38" s="537">
        <v>111</v>
      </c>
      <c r="C38" s="535"/>
      <c r="D38" s="525">
        <v>100</v>
      </c>
      <c r="E38" s="492"/>
      <c r="F38" s="490">
        <f>SUMIF(113:113,E39,114:114)-SUMIF(113:113,C39,114:114)+100</f>
        <v>100</v>
      </c>
      <c r="G38" s="535"/>
      <c r="H38" s="490">
        <f>SUMIF(113:113,G38,114:114)-SUMIF(113:113,C38,114:114)+100</f>
        <v>100</v>
      </c>
      <c r="I38" s="492"/>
      <c r="J38" s="490">
        <f>SUMIF(113:113,I38,114:114)-SUMIF(113:113,C38,114:114)+100</f>
        <v>100</v>
      </c>
      <c r="K38" s="531"/>
      <c r="L38" s="1749"/>
      <c r="M38" s="1740"/>
      <c r="N38" s="1740"/>
      <c r="O38" s="1748"/>
      <c r="P38" s="3627" t="s">
        <v>499</v>
      </c>
      <c r="Q38" s="1306">
        <f t="shared" si="8"/>
        <v>111</v>
      </c>
      <c r="R38" s="1307" t="s">
        <v>5</v>
      </c>
      <c r="S38" s="1308">
        <f t="shared" si="9"/>
        <v>100</v>
      </c>
      <c r="T38" s="1307" t="s">
        <v>5</v>
      </c>
      <c r="U38" s="1308">
        <f t="shared" si="10"/>
        <v>100</v>
      </c>
      <c r="V38" s="1307" t="s">
        <v>5</v>
      </c>
      <c r="W38" s="1308">
        <f t="shared" si="11"/>
        <v>100</v>
      </c>
      <c r="X38" s="1302"/>
      <c r="Y38" s="3628" t="s">
        <v>499</v>
      </c>
      <c r="Z38" s="1309">
        <f t="shared" si="12"/>
        <v>111</v>
      </c>
      <c r="AA38" s="1309">
        <f t="shared" si="3"/>
        <v>1</v>
      </c>
      <c r="AB38" s="1309">
        <f t="shared" si="4"/>
        <v>1</v>
      </c>
      <c r="AC38" s="1309">
        <f t="shared" si="5"/>
        <v>1</v>
      </c>
    </row>
    <row r="39" spans="1:29" s="1134" customFormat="1" ht="21" thickBot="1">
      <c r="A39" s="538"/>
      <c r="B39" s="539">
        <v>111</v>
      </c>
      <c r="C39" s="540"/>
      <c r="D39" s="677">
        <v>100</v>
      </c>
      <c r="E39" s="542"/>
      <c r="F39" s="496">
        <f>SUMIF(115:115,E39,116:116)-SUMIF(115:115,C39,116:116)+100</f>
        <v>100</v>
      </c>
      <c r="G39" s="678"/>
      <c r="H39" s="496">
        <f>SUMIF(115:115,G39,116:116)-SUMIF(115:115,C39,116:116)+100</f>
        <v>100</v>
      </c>
      <c r="I39" s="542"/>
      <c r="J39" s="496">
        <f>SUMIF(115:115,I39,116:116)-SUMIF(115:115,C39,116:116)+100</f>
        <v>100</v>
      </c>
      <c r="K39" s="531"/>
      <c r="L39" s="1747"/>
      <c r="M39" s="1740"/>
      <c r="N39" s="1740"/>
      <c r="O39" s="1750"/>
      <c r="P39" s="3628"/>
      <c r="Q39" s="1306">
        <f t="shared" si="8"/>
        <v>111</v>
      </c>
      <c r="R39" s="1310" t="s">
        <v>5</v>
      </c>
      <c r="S39" s="1311">
        <f t="shared" si="9"/>
        <v>100</v>
      </c>
      <c r="T39" s="1310" t="s">
        <v>5</v>
      </c>
      <c r="U39" s="1311">
        <f t="shared" si="10"/>
        <v>100</v>
      </c>
      <c r="V39" s="1310" t="s">
        <v>5</v>
      </c>
      <c r="W39" s="1311">
        <f t="shared" si="11"/>
        <v>100</v>
      </c>
      <c r="X39" s="1312"/>
      <c r="Y39" s="3628"/>
      <c r="Z39" s="1313">
        <f t="shared" si="12"/>
        <v>111</v>
      </c>
      <c r="AA39" s="1309">
        <f t="shared" si="3"/>
        <v>1</v>
      </c>
      <c r="AB39" s="1309">
        <f t="shared" si="4"/>
        <v>1</v>
      </c>
      <c r="AC39" s="1309">
        <f t="shared" si="5"/>
        <v>1</v>
      </c>
    </row>
    <row r="40" spans="1:29" ht="20.25">
      <c r="A40" s="2204" t="s">
        <v>2037</v>
      </c>
      <c r="B40" s="544" t="s">
        <v>501</v>
      </c>
      <c r="C40" s="545"/>
      <c r="D40" s="546">
        <v>100</v>
      </c>
      <c r="E40" s="545"/>
      <c r="F40" s="546" t="e">
        <f>LOOKUP(E40,118:118,119:119)-LOOKUP(C40,118:118,119:119)+100</f>
        <v>#N/A</v>
      </c>
      <c r="G40" s="545"/>
      <c r="H40" s="546" t="e">
        <f>LOOKUP(G40,118:118,119:119)-LOOKUP(C40,118:118,119:119)+100</f>
        <v>#N/A</v>
      </c>
      <c r="I40" s="547"/>
      <c r="J40" s="546" t="e">
        <f>LOOKUP(I40,118:118,119:119)-LOOKUP(C40,118:118,119:119)+100</f>
        <v>#N/A</v>
      </c>
      <c r="K40" s="531"/>
      <c r="L40" s="1749"/>
      <c r="M40" s="1740"/>
      <c r="N40" s="1740"/>
      <c r="O40" s="1748"/>
      <c r="P40" s="3628"/>
      <c r="Q40" s="1306" t="str">
        <f>B40</f>
        <v>宗地面积</v>
      </c>
      <c r="R40" s="1307" t="s">
        <v>5</v>
      </c>
      <c r="S40" s="1308" t="e">
        <f t="shared" si="9"/>
        <v>#N/A</v>
      </c>
      <c r="T40" s="1307" t="s">
        <v>5</v>
      </c>
      <c r="U40" s="1308" t="e">
        <f t="shared" si="10"/>
        <v>#N/A</v>
      </c>
      <c r="V40" s="1307" t="s">
        <v>5</v>
      </c>
      <c r="W40" s="1308" t="e">
        <f t="shared" si="11"/>
        <v>#N/A</v>
      </c>
      <c r="X40" s="1302"/>
      <c r="Y40" s="3628"/>
      <c r="Z40" s="1309" t="str">
        <f t="shared" si="12"/>
        <v>宗地面积</v>
      </c>
      <c r="AA40" s="1309" t="e">
        <f t="shared" si="3"/>
        <v>#N/A</v>
      </c>
      <c r="AB40" s="1309" t="e">
        <f t="shared" si="4"/>
        <v>#N/A</v>
      </c>
      <c r="AC40" s="1309" t="e">
        <f t="shared" si="5"/>
        <v>#N/A</v>
      </c>
    </row>
    <row r="41" spans="1:29" ht="20.25">
      <c r="A41" s="543"/>
      <c r="B41" s="477" t="s">
        <v>502</v>
      </c>
      <c r="C41" s="548"/>
      <c r="D41" s="490">
        <v>100</v>
      </c>
      <c r="E41" s="548"/>
      <c r="F41" s="490">
        <f>SUMIF(120:120,E41,121:121)-SUMIF(120:120,C41,121:121)+100</f>
        <v>100</v>
      </c>
      <c r="G41" s="548"/>
      <c r="H41" s="490">
        <f>SUMIF(120:120,G41,121:121)-SUMIF(120:120,C41,121:121)+100</f>
        <v>100</v>
      </c>
      <c r="I41" s="548"/>
      <c r="J41" s="490">
        <f>SUMIF(120:120,I41,121:121)-SUMIF(120:120,C41,121:121)+100</f>
        <v>100</v>
      </c>
      <c r="K41" s="533"/>
      <c r="L41" s="1749"/>
      <c r="M41" s="1740"/>
      <c r="N41" s="1740"/>
      <c r="O41" s="1748"/>
      <c r="P41" s="3628"/>
      <c r="Q41" s="1306" t="str">
        <f t="shared" ref="Q41:Q47" si="13">B41</f>
        <v>宗地形状</v>
      </c>
      <c r="R41" s="1307" t="s">
        <v>5</v>
      </c>
      <c r="S41" s="1308">
        <f t="shared" si="9"/>
        <v>100</v>
      </c>
      <c r="T41" s="1307" t="s">
        <v>5</v>
      </c>
      <c r="U41" s="1308">
        <f t="shared" si="10"/>
        <v>100</v>
      </c>
      <c r="V41" s="1307" t="s">
        <v>5</v>
      </c>
      <c r="W41" s="1308">
        <f t="shared" si="11"/>
        <v>100</v>
      </c>
      <c r="X41" s="1302"/>
      <c r="Y41" s="3628"/>
      <c r="Z41" s="1309" t="str">
        <f t="shared" si="12"/>
        <v>宗地形状</v>
      </c>
      <c r="AA41" s="1309">
        <f t="shared" si="3"/>
        <v>1</v>
      </c>
      <c r="AB41" s="1309">
        <f t="shared" si="4"/>
        <v>1</v>
      </c>
      <c r="AC41" s="1309">
        <f t="shared" si="5"/>
        <v>1</v>
      </c>
    </row>
    <row r="42" spans="1:29" ht="20.25">
      <c r="A42" s="543"/>
      <c r="B42" s="477" t="s">
        <v>503</v>
      </c>
      <c r="C42" s="548"/>
      <c r="D42" s="490">
        <v>100</v>
      </c>
      <c r="E42" s="548"/>
      <c r="F42" s="490">
        <f>SUMIF(122:122,E42,123:123)-SUMIF(122:122,C42,123:123)+100</f>
        <v>100</v>
      </c>
      <c r="G42" s="548"/>
      <c r="H42" s="490">
        <f>SUMIF(122:122,G42,123:123)-SUMIF(122:122,C42,123:123)+100</f>
        <v>100</v>
      </c>
      <c r="I42" s="548"/>
      <c r="J42" s="490">
        <f>SUMIF(122:122,I42,123:123)-SUMIF(122:122,C42,123:123)+100</f>
        <v>100</v>
      </c>
      <c r="K42" s="533"/>
      <c r="L42" s="1749"/>
      <c r="M42" s="1740"/>
      <c r="N42" s="1740"/>
      <c r="O42" s="1748"/>
      <c r="P42" s="3628"/>
      <c r="Q42" s="1306" t="str">
        <f t="shared" si="13"/>
        <v>临街宽度及深度</v>
      </c>
      <c r="R42" s="1307" t="s">
        <v>5</v>
      </c>
      <c r="S42" s="1308">
        <f t="shared" si="9"/>
        <v>100</v>
      </c>
      <c r="T42" s="1307" t="s">
        <v>5</v>
      </c>
      <c r="U42" s="1308">
        <f t="shared" si="10"/>
        <v>100</v>
      </c>
      <c r="V42" s="1307" t="s">
        <v>5</v>
      </c>
      <c r="W42" s="1308">
        <f t="shared" si="11"/>
        <v>100</v>
      </c>
      <c r="X42" s="1302"/>
      <c r="Y42" s="3628"/>
      <c r="Z42" s="1309" t="str">
        <f t="shared" si="12"/>
        <v>临街宽度及深度</v>
      </c>
      <c r="AA42" s="1309">
        <f t="shared" si="3"/>
        <v>1</v>
      </c>
      <c r="AB42" s="1309">
        <f t="shared" si="4"/>
        <v>1</v>
      </c>
      <c r="AC42" s="1309">
        <f t="shared" si="5"/>
        <v>1</v>
      </c>
    </row>
    <row r="43" spans="1:29" s="1060" customFormat="1" ht="20.25">
      <c r="A43" s="549"/>
      <c r="B43" s="1554" t="s">
        <v>1776</v>
      </c>
      <c r="C43" s="550"/>
      <c r="D43" s="235">
        <v>100</v>
      </c>
      <c r="E43" s="550"/>
      <c r="F43" s="490">
        <f>SUMIF(124:124,E43,125:125)-SUMIF(124:124,C43,125:125)+100</f>
        <v>100</v>
      </c>
      <c r="G43" s="550"/>
      <c r="H43" s="490">
        <f>SUMIF(124:124,G43,125:125)-SUMIF(124:124,C43,125:125)+100</f>
        <v>100</v>
      </c>
      <c r="I43" s="550"/>
      <c r="J43" s="490">
        <f>SUMIF(124:124,I43,125:125)-SUMIF(124:124,C43,125:125)+100</f>
        <v>100</v>
      </c>
      <c r="K43" s="533"/>
      <c r="L43" s="1743"/>
      <c r="M43" s="1740"/>
      <c r="N43" s="1740"/>
      <c r="O43" s="1744"/>
      <c r="P43" s="3628"/>
      <c r="Q43" s="1306" t="str">
        <f t="shared" si="13"/>
        <v>宗地开发程度</v>
      </c>
      <c r="R43" s="1303" t="s">
        <v>5</v>
      </c>
      <c r="S43" s="1304">
        <f t="shared" si="9"/>
        <v>100</v>
      </c>
      <c r="T43" s="1303" t="s">
        <v>5</v>
      </c>
      <c r="U43" s="1304">
        <f t="shared" si="10"/>
        <v>100</v>
      </c>
      <c r="V43" s="1303" t="s">
        <v>5</v>
      </c>
      <c r="W43" s="1304">
        <f t="shared" si="11"/>
        <v>100</v>
      </c>
      <c r="X43" s="1305"/>
      <c r="Y43" s="3628"/>
      <c r="Z43" s="997" t="str">
        <f t="shared" si="12"/>
        <v>宗地开发程度</v>
      </c>
      <c r="AA43" s="997">
        <f t="shared" si="3"/>
        <v>1</v>
      </c>
      <c r="AB43" s="997">
        <f t="shared" si="4"/>
        <v>1</v>
      </c>
      <c r="AC43" s="997">
        <f t="shared" si="5"/>
        <v>1</v>
      </c>
    </row>
    <row r="44" spans="1:29" ht="20.25">
      <c r="A44" s="543"/>
      <c r="B44" s="477" t="s">
        <v>504</v>
      </c>
      <c r="C44" s="548"/>
      <c r="D44" s="490">
        <v>100</v>
      </c>
      <c r="E44" s="548"/>
      <c r="F44" s="490">
        <f>SUMIF(126:126,E44,127:127)-SUMIF(126:126,C44,127:127)+100</f>
        <v>100</v>
      </c>
      <c r="G44" s="548"/>
      <c r="H44" s="490">
        <f>SUMIF(126:126,G44,127:127)-SUMIF(126:126,C44,127:127)+100</f>
        <v>100</v>
      </c>
      <c r="I44" s="548"/>
      <c r="J44" s="490">
        <f>SUMIF(126:126,I44,127:127)-SUMIF(126:126,C44,127:127)+100</f>
        <v>100</v>
      </c>
      <c r="K44" s="533"/>
      <c r="L44" s="1749"/>
      <c r="M44" s="1740"/>
      <c r="N44" s="1740"/>
      <c r="O44" s="1748"/>
      <c r="P44" s="3628" t="s">
        <v>499</v>
      </c>
      <c r="Q44" s="1306" t="str">
        <f t="shared" si="13"/>
        <v>工程地质条件</v>
      </c>
      <c r="R44" s="1307" t="s">
        <v>5</v>
      </c>
      <c r="S44" s="1308">
        <f t="shared" si="9"/>
        <v>100</v>
      </c>
      <c r="T44" s="1307" t="s">
        <v>5</v>
      </c>
      <c r="U44" s="1308">
        <f t="shared" si="10"/>
        <v>100</v>
      </c>
      <c r="V44" s="1307" t="s">
        <v>5</v>
      </c>
      <c r="W44" s="1308">
        <f t="shared" si="11"/>
        <v>100</v>
      </c>
      <c r="X44" s="1302"/>
      <c r="Y44" s="3628" t="s">
        <v>499</v>
      </c>
      <c r="Z44" s="1309" t="str">
        <f t="shared" si="12"/>
        <v>工程地质条件</v>
      </c>
      <c r="AA44" s="1309">
        <f t="shared" si="3"/>
        <v>1</v>
      </c>
      <c r="AB44" s="1309">
        <f t="shared" si="4"/>
        <v>1</v>
      </c>
      <c r="AC44" s="1309">
        <f t="shared" si="5"/>
        <v>1</v>
      </c>
    </row>
    <row r="45" spans="1:29" ht="20.25">
      <c r="A45" s="543"/>
      <c r="B45" s="551">
        <v>111</v>
      </c>
      <c r="C45" s="492"/>
      <c r="D45" s="490">
        <v>100</v>
      </c>
      <c r="E45" s="492"/>
      <c r="F45" s="490">
        <f>SUMIF(128:128,E45,129:129)-SUMIF(128:128,C45,129:129)+100</f>
        <v>100</v>
      </c>
      <c r="G45" s="492"/>
      <c r="H45" s="490">
        <f>SUMIF(128:128,G45,129:129)-SUMIF(128:128,C45,129:129)+100</f>
        <v>100</v>
      </c>
      <c r="I45" s="491"/>
      <c r="J45" s="490">
        <f>SUMIF(128:128,I45,129:129)-SUMIF(128:128,C45,129:129)+100</f>
        <v>100</v>
      </c>
      <c r="K45" s="531"/>
      <c r="L45" s="1749"/>
      <c r="M45" s="1740"/>
      <c r="N45" s="1740"/>
      <c r="O45" s="1748"/>
      <c r="P45" s="3628"/>
      <c r="Q45" s="1306">
        <f t="shared" si="13"/>
        <v>111</v>
      </c>
      <c r="R45" s="1307" t="s">
        <v>5</v>
      </c>
      <c r="S45" s="1308">
        <f t="shared" si="9"/>
        <v>100</v>
      </c>
      <c r="T45" s="1307" t="s">
        <v>5</v>
      </c>
      <c r="U45" s="1308">
        <f t="shared" si="10"/>
        <v>100</v>
      </c>
      <c r="V45" s="1307" t="s">
        <v>5</v>
      </c>
      <c r="W45" s="1308">
        <f t="shared" si="11"/>
        <v>100</v>
      </c>
      <c r="X45" s="1302"/>
      <c r="Y45" s="3628"/>
      <c r="Z45" s="1309">
        <f t="shared" si="12"/>
        <v>111</v>
      </c>
      <c r="AA45" s="1309">
        <f t="shared" si="3"/>
        <v>1</v>
      </c>
      <c r="AB45" s="1309">
        <f t="shared" si="4"/>
        <v>1</v>
      </c>
      <c r="AC45" s="1309">
        <f t="shared" si="5"/>
        <v>1</v>
      </c>
    </row>
    <row r="46" spans="1:29" ht="20.25">
      <c r="A46" s="543"/>
      <c r="B46" s="551">
        <v>111</v>
      </c>
      <c r="C46" s="492"/>
      <c r="D46" s="490">
        <v>100</v>
      </c>
      <c r="E46" s="492"/>
      <c r="F46" s="490">
        <f>SUMIF(130:130,E46,131:131)-SUMIF(130:130,C46,131:131)+100</f>
        <v>100</v>
      </c>
      <c r="G46" s="492"/>
      <c r="H46" s="490">
        <f>SUMIF(130:130,G46,131:131)-SUMIF(130:130,C46,131:131)+100</f>
        <v>100</v>
      </c>
      <c r="I46" s="491"/>
      <c r="J46" s="490">
        <f>SUMIF(130:130,I46,131:131)-SUMIF(130:130,C46,131:131)+100</f>
        <v>100</v>
      </c>
      <c r="K46" s="531"/>
      <c r="L46" s="1749"/>
      <c r="M46" s="1740"/>
      <c r="N46" s="1740"/>
      <c r="O46" s="1748"/>
      <c r="P46" s="3628"/>
      <c r="Q46" s="1306">
        <f t="shared" si="13"/>
        <v>111</v>
      </c>
      <c r="R46" s="1307" t="s">
        <v>5</v>
      </c>
      <c r="S46" s="1308">
        <f t="shared" si="9"/>
        <v>100</v>
      </c>
      <c r="T46" s="1307" t="s">
        <v>5</v>
      </c>
      <c r="U46" s="1308">
        <f t="shared" si="10"/>
        <v>100</v>
      </c>
      <c r="V46" s="1307" t="s">
        <v>5</v>
      </c>
      <c r="W46" s="1308">
        <f t="shared" si="11"/>
        <v>100</v>
      </c>
      <c r="X46" s="1302"/>
      <c r="Y46" s="3628"/>
      <c r="Z46" s="1309">
        <f t="shared" si="12"/>
        <v>111</v>
      </c>
      <c r="AA46" s="1309">
        <f t="shared" si="3"/>
        <v>1</v>
      </c>
      <c r="AB46" s="1309">
        <f t="shared" si="4"/>
        <v>1</v>
      </c>
      <c r="AC46" s="1309">
        <f t="shared" si="5"/>
        <v>1</v>
      </c>
    </row>
    <row r="47" spans="1:29" s="1134" customFormat="1" ht="21" thickBot="1">
      <c r="A47" s="552"/>
      <c r="B47" s="551">
        <v>111</v>
      </c>
      <c r="C47" s="553"/>
      <c r="D47" s="554">
        <v>100</v>
      </c>
      <c r="E47" s="492"/>
      <c r="F47" s="496">
        <f>SUMIF(132:132,E47,133:133)-SUMIF(132:132,C47,133:133)+100</f>
        <v>100</v>
      </c>
      <c r="G47" s="492"/>
      <c r="H47" s="496">
        <f>SUMIF(132:132,G47,133:133)-SUMIF(132:132,C47,133:133)+100</f>
        <v>100</v>
      </c>
      <c r="I47" s="492"/>
      <c r="J47" s="496">
        <f>SUMIF(132:132,I47,133:133)-SUMIF(132:132,C47,133:133)+100</f>
        <v>100</v>
      </c>
      <c r="K47" s="555"/>
      <c r="L47" s="1747"/>
      <c r="M47" s="1740"/>
      <c r="N47" s="1740"/>
      <c r="O47" s="1750"/>
      <c r="P47" s="3628"/>
      <c r="Q47" s="1306">
        <f t="shared" si="13"/>
        <v>111</v>
      </c>
      <c r="R47" s="1310" t="s">
        <v>5</v>
      </c>
      <c r="S47" s="1311">
        <f t="shared" si="9"/>
        <v>100</v>
      </c>
      <c r="T47" s="1310" t="s">
        <v>5</v>
      </c>
      <c r="U47" s="1311">
        <f t="shared" si="10"/>
        <v>100</v>
      </c>
      <c r="V47" s="1310" t="s">
        <v>5</v>
      </c>
      <c r="W47" s="1311">
        <f t="shared" si="11"/>
        <v>100</v>
      </c>
      <c r="X47" s="1312"/>
      <c r="Y47" s="3628"/>
      <c r="Z47" s="1313">
        <f t="shared" si="12"/>
        <v>111</v>
      </c>
      <c r="AA47" s="1309">
        <f t="shared" si="3"/>
        <v>1</v>
      </c>
      <c r="AB47" s="1309">
        <f t="shared" si="4"/>
        <v>1</v>
      </c>
      <c r="AC47" s="1309">
        <f t="shared" si="5"/>
        <v>1</v>
      </c>
    </row>
    <row r="48" spans="1:29" ht="20.25">
      <c r="A48" s="556" t="s">
        <v>505</v>
      </c>
      <c r="B48" s="557" t="s">
        <v>2197</v>
      </c>
      <c r="C48" s="558" t="s">
        <v>0</v>
      </c>
      <c r="D48" s="559"/>
      <c r="E48" s="560"/>
      <c r="F48" s="561"/>
      <c r="G48" s="562"/>
      <c r="H48" s="563"/>
      <c r="I48" s="560"/>
      <c r="J48" s="563"/>
      <c r="K48" s="1135"/>
      <c r="L48" s="1751"/>
      <c r="M48" s="1740"/>
      <c r="N48" s="1740"/>
      <c r="O48" s="1742"/>
      <c r="P48" s="3623" t="str">
        <f>A48</f>
        <v>成交单价</v>
      </c>
      <c r="Q48" s="3623"/>
      <c r="R48" s="3639">
        <f>E48</f>
        <v>0</v>
      </c>
      <c r="S48" s="3639"/>
      <c r="T48" s="3639">
        <f>G48</f>
        <v>0</v>
      </c>
      <c r="U48" s="3639"/>
      <c r="V48" s="3639">
        <f>I48</f>
        <v>0</v>
      </c>
      <c r="W48" s="3639"/>
      <c r="X48" s="799"/>
      <c r="Y48" s="1314"/>
      <c r="Z48" s="799"/>
      <c r="AA48" s="799"/>
      <c r="AB48" s="799"/>
      <c r="AC48" s="799"/>
    </row>
    <row r="49" spans="1:29" ht="21" thickBot="1">
      <c r="A49" s="564" t="s">
        <v>1975</v>
      </c>
      <c r="B49" s="565"/>
      <c r="C49" s="566" t="e">
        <f>R50</f>
        <v>#DIV/0!</v>
      </c>
      <c r="D49" s="2550" t="s">
        <v>2261</v>
      </c>
      <c r="E49" s="566" t="e">
        <f>R49</f>
        <v>#DIV/0!</v>
      </c>
      <c r="F49" s="2551"/>
      <c r="G49" s="567" t="e">
        <f>T49</f>
        <v>#DIV/0!</v>
      </c>
      <c r="H49" s="2551"/>
      <c r="I49" s="566" t="e">
        <f>V49</f>
        <v>#DIV/0!</v>
      </c>
      <c r="J49" s="2551"/>
      <c r="K49" s="2552">
        <f>F49+H49+J49</f>
        <v>0</v>
      </c>
      <c r="L49" s="1751"/>
      <c r="M49" s="1740"/>
      <c r="N49" s="1740"/>
      <c r="O49" s="1742"/>
      <c r="P49" s="3623" t="str">
        <f>A49</f>
        <v>比较价格（元/平方米）</v>
      </c>
      <c r="Q49" s="3623"/>
      <c r="R49" s="3647" t="e">
        <f>ROUND(PRODUCT(R48,AA9:AA47),0)</f>
        <v>#DIV/0!</v>
      </c>
      <c r="S49" s="3647"/>
      <c r="T49" s="3647" t="e">
        <f>ROUND(PRODUCT(T48,AB9:AB47),0)</f>
        <v>#DIV/0!</v>
      </c>
      <c r="U49" s="3647"/>
      <c r="V49" s="3647" t="e">
        <f>ROUND(PRODUCT(V48,AC9:AC47),0)</f>
        <v>#DIV/0!</v>
      </c>
      <c r="W49" s="3647"/>
      <c r="X49" s="799"/>
      <c r="Y49" s="799"/>
      <c r="Z49" s="799"/>
      <c r="AA49" s="799"/>
      <c r="AB49" s="799"/>
      <c r="AC49" s="799"/>
    </row>
    <row r="50" spans="1:29" ht="21" thickBot="1">
      <c r="A50" s="568" t="s">
        <v>2198</v>
      </c>
      <c r="B50" s="569"/>
      <c r="C50" s="570" t="e">
        <f>R50</f>
        <v>#DIV/0!</v>
      </c>
      <c r="D50" s="570"/>
      <c r="E50" s="570"/>
      <c r="F50" s="570"/>
      <c r="G50" s="570"/>
      <c r="H50" s="570"/>
      <c r="I50" s="570"/>
      <c r="J50" s="570"/>
      <c r="K50" s="1136"/>
      <c r="L50" s="1751"/>
      <c r="M50" s="1740"/>
      <c r="N50" s="1740"/>
      <c r="O50" s="1742"/>
      <c r="P50" s="3629" t="str">
        <f>A50</f>
        <v>估价对象XX用房的比较价格（楼面单价，元/平方米）</v>
      </c>
      <c r="Q50" s="3630"/>
      <c r="R50" s="3646" t="e">
        <f>ROUND(IF(D49="简单平均",AVERAGE(R49:W49),R49*F49+T49*H49+V49*J49),0)</f>
        <v>#DIV/0!</v>
      </c>
      <c r="S50" s="3646"/>
      <c r="T50" s="3646"/>
      <c r="U50" s="3646"/>
      <c r="V50" s="3646"/>
      <c r="W50" s="3646"/>
      <c r="X50" s="799"/>
      <c r="Y50" s="799"/>
      <c r="Z50" s="799"/>
      <c r="AA50" s="799"/>
      <c r="AB50" s="799"/>
      <c r="AC50" s="799"/>
    </row>
    <row r="51" spans="1:29" ht="20.25">
      <c r="A51" s="2720"/>
      <c r="B51" s="2720"/>
      <c r="C51" s="2720"/>
      <c r="D51" s="2720"/>
      <c r="E51" s="2720"/>
      <c r="F51" s="2720"/>
      <c r="G51" s="2722"/>
      <c r="H51" s="2720"/>
      <c r="I51" s="2720"/>
      <c r="J51" s="2720"/>
      <c r="K51" s="2723"/>
      <c r="L51" s="1755"/>
      <c r="M51" s="1740"/>
      <c r="N51" s="1740"/>
      <c r="O51" s="1742"/>
      <c r="P51" s="1742"/>
      <c r="Q51" s="1742"/>
      <c r="R51" s="1742"/>
      <c r="S51" s="1742"/>
      <c r="T51" s="1742"/>
      <c r="U51" s="1742"/>
      <c r="V51" s="1742"/>
      <c r="W51" s="1742"/>
      <c r="X51" s="1742"/>
      <c r="Y51" s="1742"/>
      <c r="Z51" s="1742"/>
      <c r="AA51" s="1742"/>
      <c r="AB51" s="1742"/>
      <c r="AC51" s="1742"/>
    </row>
    <row r="52" spans="1:29" ht="20.25">
      <c r="A52" s="2720"/>
      <c r="B52" s="2720"/>
      <c r="C52" s="2720"/>
      <c r="D52" s="2720"/>
      <c r="E52" s="2720"/>
      <c r="F52" s="2720"/>
      <c r="G52" s="2720"/>
      <c r="H52" s="2720"/>
      <c r="I52" s="2720"/>
      <c r="J52" s="2720"/>
      <c r="K52" s="2723"/>
      <c r="L52" s="1755"/>
      <c r="M52" s="1740"/>
      <c r="N52" s="1740"/>
      <c r="O52" s="1742"/>
      <c r="P52" s="1742"/>
      <c r="Q52" s="1742"/>
      <c r="R52" s="1742"/>
      <c r="S52" s="1742"/>
      <c r="T52" s="1742"/>
      <c r="U52" s="1742"/>
      <c r="V52" s="1742"/>
      <c r="W52" s="1742"/>
      <c r="X52" s="1742"/>
      <c r="Y52" s="1742"/>
      <c r="Z52" s="1742"/>
      <c r="AA52" s="1742"/>
      <c r="AB52" s="1742"/>
      <c r="AC52" s="1742"/>
    </row>
    <row r="53" spans="1:29" ht="13.5" customHeight="1">
      <c r="A53" s="2720"/>
      <c r="B53" s="2720"/>
      <c r="C53" s="571" t="s">
        <v>506</v>
      </c>
      <c r="D53" s="572"/>
      <c r="E53" s="573" t="e">
        <f>IF(E48&lt;E49,E49/E48-1,E48/E49-1)</f>
        <v>#DIV/0!</v>
      </c>
      <c r="F53" s="574" t="e">
        <f>IF(OR(E53&gt;=0.3,E53&lt;=-0.3),"超过30%","")</f>
        <v>#DIV/0!</v>
      </c>
      <c r="G53" s="573" t="e">
        <f>IF(G48&lt;G49,G49/G48-1,G48/G49-1)</f>
        <v>#DIV/0!</v>
      </c>
      <c r="H53" s="574" t="e">
        <f>IF(OR(G53&gt;=0.3,G53&lt;=-0.3),"超过30%","")</f>
        <v>#DIV/0!</v>
      </c>
      <c r="I53" s="573" t="e">
        <f>IF(I48&lt;I49,I49/I48-1,I48/I49-1)</f>
        <v>#DIV/0!</v>
      </c>
      <c r="J53" s="574" t="e">
        <f>IF(OR(I53&gt;=0.3,I53&lt;=-0.3),"超过30%","")</f>
        <v>#DIV/0!</v>
      </c>
      <c r="K53" s="2723"/>
      <c r="L53" s="1755"/>
      <c r="M53" s="1740"/>
      <c r="N53" s="1740"/>
      <c r="O53" s="1742"/>
      <c r="P53" s="1742"/>
      <c r="Q53" s="1742"/>
      <c r="R53" s="1742"/>
      <c r="S53" s="1742"/>
      <c r="T53" s="1742"/>
      <c r="U53" s="1742"/>
      <c r="V53" s="1742"/>
      <c r="W53" s="1742"/>
      <c r="X53" s="1742"/>
      <c r="Y53" s="1742"/>
      <c r="Z53" s="1742"/>
      <c r="AA53" s="1742"/>
      <c r="AB53" s="1742"/>
      <c r="AC53" s="1742"/>
    </row>
    <row r="54" spans="1:29" ht="13.5" customHeight="1">
      <c r="A54" s="2720"/>
      <c r="B54" s="2720"/>
      <c r="C54" s="571" t="s">
        <v>507</v>
      </c>
      <c r="D54" s="575"/>
      <c r="E54" s="573" t="e">
        <f>IF(E49&lt;G49,G49/E49-1,E49/G49-1)</f>
        <v>#DIV/0!</v>
      </c>
      <c r="F54" s="574" t="e">
        <f>IF(OR(E54&gt;=0.2,E54&lt;=-0.2),"超过20%","")</f>
        <v>#DIV/0!</v>
      </c>
      <c r="G54" s="573" t="e">
        <f>IF(G49&lt;I49,I49/G49-1,G49/I49-1)</f>
        <v>#DIV/0!</v>
      </c>
      <c r="H54" s="574" t="e">
        <f>IF(OR(G54&gt;=0.2,G54&lt;=-0.2),"超过20%","")</f>
        <v>#DIV/0!</v>
      </c>
      <c r="I54" s="573" t="e">
        <f>IF(I49&lt;E49,E49/I49-1,I49/E49-1)</f>
        <v>#DIV/0!</v>
      </c>
      <c r="J54" s="574" t="e">
        <f>IF(OR(I54&gt;=0.2,I54&lt;=-0.2),"超过20%","")</f>
        <v>#DIV/0!</v>
      </c>
      <c r="K54" s="2723"/>
      <c r="L54" s="1755"/>
      <c r="M54" s="1740"/>
      <c r="N54" s="1740"/>
      <c r="O54" s="1742"/>
      <c r="P54" s="1742"/>
      <c r="Q54" s="1742"/>
      <c r="R54" s="1742"/>
      <c r="S54" s="1742"/>
      <c r="T54" s="1742"/>
      <c r="U54" s="1742"/>
      <c r="V54" s="1742"/>
      <c r="W54" s="1742"/>
      <c r="X54" s="1742"/>
      <c r="Y54" s="1742"/>
      <c r="Z54" s="1742"/>
      <c r="AA54" s="1742"/>
      <c r="AB54" s="1742"/>
      <c r="AC54" s="1742"/>
    </row>
    <row r="55" spans="1:29" s="1139" customFormat="1" ht="13.5" customHeight="1">
      <c r="A55" s="2721"/>
      <c r="B55" s="2721"/>
      <c r="C55" s="571" t="s">
        <v>508</v>
      </c>
      <c r="D55" s="575"/>
      <c r="E55" s="573" t="e">
        <f>IF(E48&lt;G48,G48/E48-1,E48/G48-1)</f>
        <v>#DIV/0!</v>
      </c>
      <c r="F55" s="574" t="e">
        <f>IF(OR(E55&gt;=0.3,E55&lt;=-0.3),"超过30%","")</f>
        <v>#DIV/0!</v>
      </c>
      <c r="G55" s="573" t="e">
        <f>IF(G48&lt;I48,I48/G48-1,G48/I48-1)</f>
        <v>#DIV/0!</v>
      </c>
      <c r="H55" s="574" t="e">
        <f>IF(OR(G55&gt;=0.3,G55&lt;=-0.3),"超过30%","")</f>
        <v>#DIV/0!</v>
      </c>
      <c r="I55" s="573" t="e">
        <f>IF(I48&lt;E48,E48/I48-1,I48/E48-1)</f>
        <v>#DIV/0!</v>
      </c>
      <c r="J55" s="574" t="e">
        <f>IF(OR(I55&gt;=0.3,I55&lt;=-0.3),"超过30%","")</f>
        <v>#DIV/0!</v>
      </c>
      <c r="K55" s="2724"/>
      <c r="L55" s="1758"/>
      <c r="M55" s="1740"/>
      <c r="N55" s="1740"/>
      <c r="O55" s="1752"/>
      <c r="P55" s="1752"/>
      <c r="Q55" s="1752"/>
      <c r="R55" s="1752"/>
      <c r="S55" s="1752"/>
      <c r="T55" s="1752"/>
      <c r="U55" s="1752"/>
      <c r="V55" s="1752"/>
      <c r="W55" s="1752"/>
      <c r="X55" s="1752"/>
      <c r="Y55" s="1752"/>
      <c r="Z55" s="1752"/>
      <c r="AA55" s="1752"/>
      <c r="AB55" s="1752"/>
      <c r="AC55" s="1752"/>
    </row>
    <row r="56" spans="1:29" s="1139" customFormat="1" ht="21" thickBot="1">
      <c r="A56" s="1752"/>
      <c r="B56" s="1753"/>
      <c r="C56" s="1756"/>
      <c r="D56" s="1752"/>
      <c r="E56" s="1752"/>
      <c r="F56" s="1752"/>
      <c r="G56" s="1752"/>
      <c r="H56" s="1752"/>
      <c r="I56" s="1752"/>
      <c r="J56" s="1752"/>
      <c r="K56" s="2724"/>
      <c r="L56" s="1758"/>
      <c r="M56" s="1740"/>
      <c r="N56" s="1740"/>
      <c r="O56" s="1752"/>
      <c r="P56" s="1752"/>
      <c r="Q56" s="1752"/>
      <c r="R56" s="1752"/>
      <c r="S56" s="1752"/>
      <c r="T56" s="1752"/>
      <c r="U56" s="1752"/>
      <c r="V56" s="1752"/>
      <c r="W56" s="1752"/>
      <c r="X56" s="1752"/>
      <c r="Y56" s="1752"/>
      <c r="Z56" s="1752"/>
      <c r="AA56" s="1752"/>
      <c r="AB56" s="1752"/>
      <c r="AC56" s="1752"/>
    </row>
    <row r="57" spans="1:29" ht="26.25" customHeight="1">
      <c r="A57" s="576" t="s">
        <v>509</v>
      </c>
      <c r="B57" s="577" t="s">
        <v>510</v>
      </c>
      <c r="C57" s="1300" t="s">
        <v>1253</v>
      </c>
      <c r="D57" s="1821" t="s">
        <v>1650</v>
      </c>
      <c r="E57" s="578" t="s">
        <v>511</v>
      </c>
      <c r="F57" s="579" t="s">
        <v>512</v>
      </c>
      <c r="G57" s="3608" t="s">
        <v>1639</v>
      </c>
      <c r="H57" s="3609"/>
      <c r="I57" s="1297" t="s">
        <v>1251</v>
      </c>
      <c r="J57" s="1297">
        <f>项目基本情况!F41</f>
        <v>0</v>
      </c>
      <c r="K57" s="1759" t="s">
        <v>1252</v>
      </c>
      <c r="L57" s="1755"/>
      <c r="M57" s="1742"/>
      <c r="N57" s="1742"/>
      <c r="O57" s="1742"/>
      <c r="P57" s="1742"/>
      <c r="Q57" s="1742"/>
      <c r="R57" s="1742"/>
      <c r="S57" s="1742"/>
      <c r="T57" s="1742"/>
      <c r="U57" s="1742"/>
      <c r="V57" s="1742"/>
      <c r="W57" s="1742"/>
      <c r="X57" s="1742"/>
      <c r="Y57" s="1742"/>
      <c r="Z57" s="1742"/>
      <c r="AA57" s="1742"/>
      <c r="AB57" s="1742"/>
      <c r="AC57" s="1742"/>
    </row>
    <row r="58" spans="1:29" s="1140" customFormat="1" ht="12.75">
      <c r="A58" s="580" t="s">
        <v>513</v>
      </c>
      <c r="B58" s="581" t="e">
        <f>C50</f>
        <v>#DIV/0!</v>
      </c>
      <c r="C58" s="582">
        <v>1</v>
      </c>
      <c r="D58" s="1822">
        <v>1</v>
      </c>
      <c r="E58" s="582">
        <f>'数据-汇总表'!E8+'数据-汇总表'!E9</f>
        <v>82949.97</v>
      </c>
      <c r="F58" s="583" t="e">
        <f t="shared" ref="F58:F66" si="14">ROUND(B58*E58/10000,0)</f>
        <v>#DIV/0!</v>
      </c>
      <c r="G58" s="3610"/>
      <c r="H58" s="3611"/>
      <c r="I58" s="1298">
        <v>1</v>
      </c>
      <c r="J58" s="1298">
        <v>1</v>
      </c>
      <c r="K58" s="2725"/>
      <c r="L58" s="1760"/>
      <c r="M58" s="1760"/>
      <c r="N58" s="1760"/>
      <c r="O58" s="1760"/>
      <c r="P58" s="1760"/>
      <c r="Q58" s="1760"/>
      <c r="R58" s="1760"/>
      <c r="S58" s="1760"/>
      <c r="T58" s="1760"/>
      <c r="U58" s="1760"/>
      <c r="V58" s="1760"/>
      <c r="W58" s="1760"/>
      <c r="X58" s="1760"/>
      <c r="Y58" s="1760"/>
      <c r="Z58" s="1760"/>
      <c r="AA58" s="1760"/>
      <c r="AB58" s="1760"/>
      <c r="AC58" s="1760"/>
    </row>
    <row r="59" spans="1:29" s="1140" customFormat="1" ht="12.75">
      <c r="A59" s="584" t="s">
        <v>514</v>
      </c>
      <c r="B59" s="585" t="e">
        <f>ROUND($C$50*C59*D59,0)</f>
        <v>#DIV/0!</v>
      </c>
      <c r="C59" s="348">
        <f t="shared" ref="C59:C66" si="15">IF($C$57="北京市系数",I59,J59)</f>
        <v>0</v>
      </c>
      <c r="D59" s="1823">
        <v>0.25</v>
      </c>
      <c r="E59" s="586">
        <v>0</v>
      </c>
      <c r="F59" s="583" t="e">
        <f t="shared" si="14"/>
        <v>#DIV/0!</v>
      </c>
      <c r="G59" s="3027" t="s">
        <v>1640</v>
      </c>
      <c r="H59" s="1607">
        <f>项目基本情况!B43</f>
        <v>0</v>
      </c>
      <c r="I59" s="1298">
        <f>SUMIF(修正!$A$57:$A$68,H59,修正!B57:B68)</f>
        <v>0</v>
      </c>
      <c r="J59" s="1299"/>
      <c r="K59" s="2725"/>
      <c r="L59" s="1760"/>
      <c r="M59" s="1760"/>
      <c r="N59" s="1760"/>
      <c r="O59" s="1760"/>
      <c r="P59" s="1760"/>
      <c r="Q59" s="1760"/>
      <c r="R59" s="1760"/>
      <c r="S59" s="1760"/>
      <c r="T59" s="1760"/>
      <c r="U59" s="1760"/>
      <c r="V59" s="1760"/>
      <c r="W59" s="1760"/>
      <c r="X59" s="1760"/>
      <c r="Y59" s="1760"/>
      <c r="Z59" s="1760"/>
      <c r="AA59" s="1760"/>
      <c r="AB59" s="1760"/>
      <c r="AC59" s="1760"/>
    </row>
    <row r="60" spans="1:29" s="1140" customFormat="1" ht="12.75">
      <c r="A60" s="584" t="s">
        <v>515</v>
      </c>
      <c r="B60" s="585" t="e">
        <f t="shared" ref="B60:B66" si="16">ROUND($C$50*C60*D60,0)</f>
        <v>#DIV/0!</v>
      </c>
      <c r="C60" s="348">
        <f t="shared" si="15"/>
        <v>0</v>
      </c>
      <c r="D60" s="1823">
        <v>0.25</v>
      </c>
      <c r="E60" s="586">
        <v>0</v>
      </c>
      <c r="F60" s="583" t="e">
        <f t="shared" si="14"/>
        <v>#DIV/0!</v>
      </c>
      <c r="G60" s="3028"/>
      <c r="H60" s="1607">
        <f>项目基本情况!B43</f>
        <v>0</v>
      </c>
      <c r="I60" s="1298">
        <f>SUMIF(修正!$A$57:$A$68,H60,修正!C57:C68)</f>
        <v>0</v>
      </c>
      <c r="J60" s="1299"/>
      <c r="K60" s="2725"/>
      <c r="L60" s="1760"/>
      <c r="M60" s="1760"/>
      <c r="N60" s="1760"/>
      <c r="O60" s="1760"/>
      <c r="P60" s="1760"/>
      <c r="Q60" s="1760"/>
      <c r="R60" s="1760"/>
      <c r="S60" s="1760"/>
      <c r="T60" s="1760"/>
      <c r="U60" s="1760"/>
      <c r="V60" s="1760"/>
      <c r="W60" s="1760"/>
      <c r="X60" s="1760"/>
      <c r="Y60" s="1760"/>
      <c r="Z60" s="1760"/>
      <c r="AA60" s="1760"/>
      <c r="AB60" s="1760"/>
      <c r="AC60" s="1760"/>
    </row>
    <row r="61" spans="1:29" s="1140" customFormat="1" ht="12.75">
      <c r="A61" s="584" t="s">
        <v>516</v>
      </c>
      <c r="B61" s="585" t="e">
        <f t="shared" si="16"/>
        <v>#DIV/0!</v>
      </c>
      <c r="C61" s="348">
        <f t="shared" si="15"/>
        <v>0</v>
      </c>
      <c r="D61" s="1823">
        <v>0.25</v>
      </c>
      <c r="E61" s="586">
        <v>0</v>
      </c>
      <c r="F61" s="583" t="e">
        <f t="shared" si="14"/>
        <v>#DIV/0!</v>
      </c>
      <c r="G61" s="3028"/>
      <c r="H61" s="1607">
        <f>项目基本情况!B43</f>
        <v>0</v>
      </c>
      <c r="I61" s="1298">
        <f>SUMIF(修正!$A$57:$A$68,H61,修正!D57:D68)</f>
        <v>0</v>
      </c>
      <c r="J61" s="1299"/>
      <c r="K61" s="2725"/>
      <c r="L61" s="1760"/>
      <c r="M61" s="1760"/>
      <c r="N61" s="1760"/>
      <c r="O61" s="1760"/>
      <c r="P61" s="1760"/>
      <c r="Q61" s="1760"/>
      <c r="R61" s="1760"/>
      <c r="S61" s="1760"/>
      <c r="T61" s="1760"/>
      <c r="U61" s="1760"/>
      <c r="V61" s="1760"/>
      <c r="W61" s="1760"/>
      <c r="X61" s="1760"/>
      <c r="Y61" s="1760"/>
      <c r="Z61" s="1760"/>
      <c r="AA61" s="1760"/>
      <c r="AB61" s="1760"/>
      <c r="AC61" s="1760"/>
    </row>
    <row r="62" spans="1:29" s="1140" customFormat="1" ht="12.75">
      <c r="A62" s="1919" t="s">
        <v>1685</v>
      </c>
      <c r="B62" s="585" t="e">
        <f t="shared" si="16"/>
        <v>#DIV/0!</v>
      </c>
      <c r="C62" s="348">
        <f t="shared" si="15"/>
        <v>0</v>
      </c>
      <c r="D62" s="1823">
        <v>0.25</v>
      </c>
      <c r="E62" s="588">
        <f>'数据-汇总表'!E11</f>
        <v>0</v>
      </c>
      <c r="F62" s="583" t="e">
        <f t="shared" si="14"/>
        <v>#DIV/0!</v>
      </c>
      <c r="G62" s="1604" t="s">
        <v>1641</v>
      </c>
      <c r="H62" s="1607">
        <f>项目基本情况!C43</f>
        <v>0</v>
      </c>
      <c r="I62" s="1298">
        <f>SUMIF(修正!$A$57:$A$68,H62,修正!E57:E68)</f>
        <v>0</v>
      </c>
      <c r="J62" s="1299"/>
      <c r="K62" s="2725"/>
      <c r="L62" s="1760"/>
      <c r="M62" s="1760"/>
      <c r="N62" s="1760"/>
      <c r="O62" s="1760"/>
      <c r="P62" s="1760"/>
      <c r="Q62" s="1760"/>
      <c r="R62" s="1760"/>
      <c r="S62" s="1760"/>
      <c r="T62" s="1760"/>
      <c r="U62" s="1760"/>
      <c r="V62" s="1760"/>
      <c r="W62" s="1760"/>
      <c r="X62" s="1760"/>
      <c r="Y62" s="1760"/>
      <c r="Z62" s="1760"/>
      <c r="AA62" s="1760"/>
      <c r="AB62" s="1760"/>
      <c r="AC62" s="1760"/>
    </row>
    <row r="63" spans="1:29" s="1140" customFormat="1" ht="12.75">
      <c r="A63" s="584" t="s">
        <v>517</v>
      </c>
      <c r="B63" s="585" t="e">
        <f t="shared" si="16"/>
        <v>#DIV/0!</v>
      </c>
      <c r="C63" s="348">
        <f t="shared" si="15"/>
        <v>0</v>
      </c>
      <c r="D63" s="1823">
        <v>0.25</v>
      </c>
      <c r="E63" s="588">
        <f>'数据-汇总表'!E12</f>
        <v>0</v>
      </c>
      <c r="F63" s="583" t="e">
        <f t="shared" si="14"/>
        <v>#DIV/0!</v>
      </c>
      <c r="G63" s="1605" t="s">
        <v>1212</v>
      </c>
      <c r="H63" s="1603">
        <f>IF(G63="商业",项目基本情况!B43,IF(G63="办公",项目基本情况!C43,IF(G63="住宅",项目基本情况!D43,项目基本情况!E43)))</f>
        <v>0</v>
      </c>
      <c r="I63" s="1298">
        <f>SUMIF(修正!$A$57:$A$68,H63,修正!F57:F68)</f>
        <v>0</v>
      </c>
      <c r="J63" s="1299"/>
      <c r="K63" s="2725"/>
      <c r="L63" s="1760"/>
      <c r="M63" s="1760"/>
      <c r="N63" s="1760"/>
      <c r="O63" s="1760"/>
      <c r="P63" s="1760"/>
      <c r="Q63" s="1760"/>
      <c r="R63" s="1760"/>
      <c r="S63" s="1760"/>
      <c r="T63" s="1760"/>
      <c r="U63" s="1760"/>
      <c r="V63" s="1760"/>
      <c r="W63" s="1760"/>
      <c r="X63" s="1760"/>
      <c r="Y63" s="1760"/>
      <c r="Z63" s="1760"/>
      <c r="AA63" s="1760"/>
      <c r="AB63" s="1760"/>
      <c r="AC63" s="1760"/>
    </row>
    <row r="64" spans="1:29" s="1140" customFormat="1" ht="12.75">
      <c r="A64" s="584" t="s">
        <v>518</v>
      </c>
      <c r="B64" s="585" t="e">
        <f t="shared" si="16"/>
        <v>#DIV/0!</v>
      </c>
      <c r="C64" s="348">
        <f t="shared" si="15"/>
        <v>0</v>
      </c>
      <c r="D64" s="1823">
        <v>0.25</v>
      </c>
      <c r="E64" s="588">
        <f>'数据-汇总表'!E13</f>
        <v>0</v>
      </c>
      <c r="F64" s="583" t="e">
        <f t="shared" si="14"/>
        <v>#DIV/0!</v>
      </c>
      <c r="G64" s="1605" t="s">
        <v>851</v>
      </c>
      <c r="H64" s="1603">
        <f>IF(G64="商业",项目基本情况!B43,IF(G64="办公",项目基本情况!C43,IF(G64="住宅",项目基本情况!D43,项目基本情况!E43)))</f>
        <v>0</v>
      </c>
      <c r="I64" s="1298">
        <f>SUMIF(修正!$A$57:$A$68,H64,修正!G57:G68)</f>
        <v>0</v>
      </c>
      <c r="J64" s="1299"/>
      <c r="K64" s="2725"/>
      <c r="L64" s="1760"/>
      <c r="M64" s="1760"/>
      <c r="N64" s="1760"/>
      <c r="O64" s="1760"/>
      <c r="P64" s="1760"/>
      <c r="Q64" s="1760"/>
      <c r="R64" s="1760"/>
      <c r="S64" s="1760"/>
      <c r="T64" s="1760"/>
      <c r="U64" s="1760"/>
      <c r="V64" s="1760"/>
      <c r="W64" s="1760"/>
      <c r="X64" s="1760"/>
      <c r="Y64" s="1760"/>
      <c r="Z64" s="1760"/>
      <c r="AA64" s="1760"/>
      <c r="AB64" s="1760"/>
      <c r="AC64" s="1760"/>
    </row>
    <row r="65" spans="1:29" s="1140" customFormat="1" ht="12.75">
      <c r="A65" s="584" t="s">
        <v>519</v>
      </c>
      <c r="B65" s="585" t="e">
        <f t="shared" si="16"/>
        <v>#DIV/0!</v>
      </c>
      <c r="C65" s="348">
        <f t="shared" si="15"/>
        <v>0</v>
      </c>
      <c r="D65" s="1823">
        <v>0.25</v>
      </c>
      <c r="E65" s="588">
        <f>'数据-汇总表'!E14</f>
        <v>0</v>
      </c>
      <c r="F65" s="583" t="e">
        <f t="shared" si="14"/>
        <v>#DIV/0!</v>
      </c>
      <c r="G65" s="1604" t="s">
        <v>1640</v>
      </c>
      <c r="H65" s="1607">
        <f>项目基本情况!B43</f>
        <v>0</v>
      </c>
      <c r="I65" s="1298">
        <f>SUMIF(修正!$A$57:$A$68,H65,修正!G57:G68)</f>
        <v>0</v>
      </c>
      <c r="J65" s="1299"/>
      <c r="K65" s="2725"/>
      <c r="L65" s="1760"/>
      <c r="M65" s="1760"/>
      <c r="N65" s="1760"/>
      <c r="O65" s="1760"/>
      <c r="P65" s="1760"/>
      <c r="Q65" s="1760"/>
      <c r="R65" s="1760"/>
      <c r="S65" s="1760"/>
      <c r="T65" s="1760"/>
      <c r="U65" s="1760"/>
      <c r="V65" s="1760"/>
      <c r="W65" s="1760"/>
      <c r="X65" s="1760"/>
      <c r="Y65" s="1760"/>
      <c r="Z65" s="1760"/>
      <c r="AA65" s="1760"/>
      <c r="AB65" s="1760"/>
      <c r="AC65" s="1760"/>
    </row>
    <row r="66" spans="1:29" s="1140" customFormat="1" ht="13.5" thickBot="1">
      <c r="A66" s="584" t="s">
        <v>520</v>
      </c>
      <c r="B66" s="585" t="e">
        <f t="shared" si="16"/>
        <v>#DIV/0!</v>
      </c>
      <c r="C66" s="348">
        <f t="shared" si="15"/>
        <v>0</v>
      </c>
      <c r="D66" s="1823">
        <v>0.25</v>
      </c>
      <c r="E66" s="588">
        <f>'数据-汇总表'!E15</f>
        <v>0</v>
      </c>
      <c r="F66" s="583" t="e">
        <f t="shared" si="14"/>
        <v>#DIV/0!</v>
      </c>
      <c r="G66" s="1606" t="s">
        <v>1641</v>
      </c>
      <c r="H66" s="1608">
        <f>项目基本情况!C43</f>
        <v>0</v>
      </c>
      <c r="I66" s="1298">
        <f>SUMIF(修正!$A$57:$A$68,H66,修正!G57:G68)</f>
        <v>0</v>
      </c>
      <c r="J66" s="1299"/>
      <c r="K66" s="2725"/>
      <c r="L66" s="1760"/>
      <c r="M66" s="1760"/>
      <c r="N66" s="1760"/>
      <c r="O66" s="1760"/>
      <c r="P66" s="1760"/>
      <c r="Q66" s="1760"/>
      <c r="R66" s="1760"/>
      <c r="S66" s="1760"/>
      <c r="T66" s="1760"/>
      <c r="U66" s="1760"/>
      <c r="V66" s="1760"/>
      <c r="W66" s="1760"/>
      <c r="X66" s="1760"/>
      <c r="Y66" s="1760"/>
      <c r="Z66" s="1760"/>
      <c r="AA66" s="1760"/>
      <c r="AB66" s="1760"/>
      <c r="AC66" s="1760"/>
    </row>
    <row r="67" spans="1:29" s="1140" customFormat="1" ht="13.5" thickBot="1">
      <c r="A67" s="589" t="s">
        <v>521</v>
      </c>
      <c r="B67" s="590" t="s">
        <v>11</v>
      </c>
      <c r="C67" s="590" t="s">
        <v>12</v>
      </c>
      <c r="D67" s="590" t="s">
        <v>1651</v>
      </c>
      <c r="E67" s="590">
        <f>IF(B48="楼面地价",SUM(E58:E66),'数据-汇总表'!D3)</f>
        <v>82949.97</v>
      </c>
      <c r="F67" s="591" t="e">
        <f>IF(B48="楼面地价",SUM(F58:F66),ROUND(C50*E67/10000,0))</f>
        <v>#DIV/0!</v>
      </c>
      <c r="G67" s="1761"/>
      <c r="H67" s="1761"/>
      <c r="I67" s="1761"/>
      <c r="J67" s="1761"/>
      <c r="K67" s="1761"/>
      <c r="L67" s="1760"/>
      <c r="M67" s="1760"/>
      <c r="N67" s="1760"/>
      <c r="O67" s="1760"/>
      <c r="P67" s="1760"/>
      <c r="Q67" s="1760"/>
      <c r="R67" s="1760"/>
      <c r="S67" s="1760"/>
      <c r="T67" s="1760"/>
      <c r="U67" s="1760"/>
      <c r="V67" s="1760"/>
      <c r="W67" s="1760"/>
      <c r="X67" s="1760"/>
      <c r="Y67" s="1760"/>
      <c r="Z67" s="1760"/>
      <c r="AA67" s="1760"/>
      <c r="AB67" s="1760"/>
      <c r="AC67" s="1760"/>
    </row>
    <row r="68" spans="1:29">
      <c r="A68" s="1742"/>
      <c r="B68" s="1753"/>
      <c r="C68" s="1756"/>
      <c r="D68" s="1742"/>
      <c r="E68" s="1742"/>
      <c r="F68" s="1742"/>
      <c r="G68" s="1742"/>
      <c r="H68" s="1742"/>
      <c r="I68" s="1742"/>
      <c r="J68" s="1742"/>
      <c r="K68" s="1754"/>
      <c r="L68" s="1755"/>
      <c r="M68" s="1742"/>
      <c r="N68" s="1742"/>
      <c r="O68" s="1742"/>
      <c r="P68" s="1742"/>
      <c r="Q68" s="1742"/>
      <c r="R68" s="1742"/>
      <c r="S68" s="1742"/>
      <c r="T68" s="1742"/>
      <c r="U68" s="1742"/>
      <c r="V68" s="1742"/>
      <c r="W68" s="1742"/>
      <c r="X68" s="1742"/>
      <c r="Y68" s="1742"/>
      <c r="Z68" s="1742"/>
      <c r="AA68" s="1742"/>
      <c r="AB68" s="1742"/>
      <c r="AC68" s="1742"/>
    </row>
    <row r="69" spans="1:29">
      <c r="A69" s="1742"/>
      <c r="B69" s="1753"/>
      <c r="C69" s="2111" t="str">
        <f>YEAR(C9)&amp;"-"&amp;MONTH(C9)&amp;"-1"</f>
        <v>2024-7-1</v>
      </c>
      <c r="D69" s="2111">
        <f>EDATE(C69,-3)</f>
        <v>45383</v>
      </c>
      <c r="E69" s="2111">
        <f t="shared" ref="E69:N69" si="17">EDATE(D69,-3)</f>
        <v>45292</v>
      </c>
      <c r="F69" s="2111">
        <f t="shared" si="17"/>
        <v>45200</v>
      </c>
      <c r="G69" s="2111">
        <f t="shared" si="17"/>
        <v>45108</v>
      </c>
      <c r="H69" s="2111">
        <f t="shared" si="17"/>
        <v>45017</v>
      </c>
      <c r="I69" s="2111">
        <f t="shared" si="17"/>
        <v>44927</v>
      </c>
      <c r="J69" s="2111">
        <f t="shared" si="17"/>
        <v>44835</v>
      </c>
      <c r="K69" s="2111">
        <f t="shared" si="17"/>
        <v>44743</v>
      </c>
      <c r="L69" s="2111">
        <f t="shared" si="17"/>
        <v>44652</v>
      </c>
      <c r="M69" s="2111">
        <f t="shared" si="17"/>
        <v>44562</v>
      </c>
      <c r="N69" s="2111">
        <f t="shared" si="17"/>
        <v>44470</v>
      </c>
      <c r="O69" s="1742"/>
      <c r="P69" s="1742"/>
      <c r="Q69" s="1742"/>
      <c r="R69" s="1742"/>
      <c r="S69" s="1742"/>
      <c r="T69" s="1742"/>
      <c r="U69" s="1742"/>
      <c r="V69" s="1742"/>
      <c r="W69" s="1742"/>
      <c r="X69" s="1742"/>
      <c r="Y69" s="1742"/>
      <c r="Z69" s="1742"/>
      <c r="AA69" s="1742"/>
      <c r="AB69" s="1742"/>
      <c r="AC69" s="1742"/>
    </row>
    <row r="70" spans="1:29" ht="21.75" thickBot="1">
      <c r="A70" s="1317" t="s">
        <v>522</v>
      </c>
      <c r="B70" s="799"/>
      <c r="C70" s="1316"/>
      <c r="D70" s="1316"/>
      <c r="E70" s="1316"/>
      <c r="F70" s="1318"/>
      <c r="G70" s="1318"/>
      <c r="H70" s="1316"/>
      <c r="I70" s="1316"/>
      <c r="J70" s="1316"/>
      <c r="K70" s="1319"/>
      <c r="L70" s="1315"/>
      <c r="M70" s="1316"/>
      <c r="N70" s="1316"/>
      <c r="O70" s="1762"/>
      <c r="P70" s="1762"/>
      <c r="Q70" s="1763"/>
      <c r="R70" s="1742"/>
      <c r="S70" s="1742"/>
      <c r="T70" s="1742"/>
      <c r="U70" s="1742"/>
      <c r="V70" s="1742"/>
      <c r="W70" s="1742"/>
      <c r="X70" s="1742"/>
      <c r="Y70" s="1742"/>
      <c r="Z70" s="1742"/>
      <c r="AA70" s="1742"/>
      <c r="AB70" s="1742"/>
      <c r="AC70" s="1742"/>
    </row>
    <row r="71" spans="1:29" s="1141" customFormat="1" ht="15">
      <c r="A71" s="2042" t="s">
        <v>1815</v>
      </c>
      <c r="B71" s="2043"/>
      <c r="C71" s="155" t="str">
        <f>YEAR(C69)&amp;"-"&amp;ROUNDUP(MONTH(C69)/3,0)</f>
        <v>2024-3</v>
      </c>
      <c r="D71" s="155" t="str">
        <f>YEAR(D69)&amp;"-"&amp;ROUNDUP(MONTH(D69)/3,0)</f>
        <v>2024-2</v>
      </c>
      <c r="E71" s="155" t="str">
        <f t="shared" ref="E71:N71" si="18">YEAR(E69)&amp;"-"&amp;ROUNDUP(MONTH(E69)/3,0)</f>
        <v>2024-1</v>
      </c>
      <c r="F71" s="155" t="str">
        <f t="shared" si="18"/>
        <v>2023-4</v>
      </c>
      <c r="G71" s="155" t="str">
        <f t="shared" si="18"/>
        <v>2023-3</v>
      </c>
      <c r="H71" s="155" t="str">
        <f t="shared" si="18"/>
        <v>2023-2</v>
      </c>
      <c r="I71" s="155" t="str">
        <f t="shared" si="18"/>
        <v>2023-1</v>
      </c>
      <c r="J71" s="155" t="str">
        <f t="shared" si="18"/>
        <v>2022-4</v>
      </c>
      <c r="K71" s="155" t="str">
        <f t="shared" si="18"/>
        <v>2022-3</v>
      </c>
      <c r="L71" s="155" t="str">
        <f t="shared" si="18"/>
        <v>2022-2</v>
      </c>
      <c r="M71" s="155" t="str">
        <f t="shared" si="18"/>
        <v>2022-1</v>
      </c>
      <c r="N71" s="155" t="str">
        <f t="shared" si="18"/>
        <v>2021-4</v>
      </c>
      <c r="O71" s="1764"/>
      <c r="P71" s="1765"/>
      <c r="Q71" s="1765"/>
      <c r="R71" s="1765"/>
      <c r="S71" s="1765"/>
      <c r="T71" s="1765"/>
      <c r="U71" s="1765"/>
      <c r="V71" s="1765"/>
      <c r="W71" s="1765"/>
      <c r="X71" s="1765"/>
      <c r="Y71" s="1765"/>
      <c r="Z71" s="1765"/>
      <c r="AA71" s="1765"/>
      <c r="AB71" s="1765"/>
      <c r="AC71" s="1765"/>
    </row>
    <row r="72" spans="1:29" s="1060" customFormat="1" ht="27" customHeight="1">
      <c r="A72" s="2117" t="s">
        <v>1929</v>
      </c>
      <c r="B72" s="448" t="str">
        <f>"北京市平均增长率"&amp;TEXT(SUMIF(基准地价!N25:N29,A72,基准地价!P25:P29),"0.00%")</f>
        <v>北京市平均增长率0.00%</v>
      </c>
      <c r="C72" s="818">
        <v>100</v>
      </c>
      <c r="D72" s="79"/>
      <c r="E72" s="79"/>
      <c r="F72" s="79"/>
      <c r="G72" s="79"/>
      <c r="H72" s="79"/>
      <c r="I72" s="79"/>
      <c r="J72" s="79"/>
      <c r="K72" s="79"/>
      <c r="L72" s="79"/>
      <c r="M72" s="91"/>
      <c r="N72" s="534"/>
      <c r="O72" s="1766"/>
      <c r="P72" s="1763"/>
      <c r="Q72" s="1640"/>
      <c r="R72" s="1640"/>
      <c r="S72" s="1640"/>
      <c r="T72" s="1640"/>
      <c r="U72" s="1640"/>
      <c r="V72" s="1640"/>
      <c r="W72" s="1640"/>
      <c r="X72" s="1640"/>
      <c r="Y72" s="1640"/>
      <c r="Z72" s="1640"/>
      <c r="AA72" s="1640"/>
      <c r="AB72" s="1640"/>
      <c r="AC72" s="1640"/>
    </row>
    <row r="73" spans="1:29" s="1060" customFormat="1" ht="15" customHeight="1" thickBot="1">
      <c r="A73" s="2109" t="s">
        <v>1928</v>
      </c>
      <c r="B73" s="2116"/>
      <c r="C73" s="2107"/>
      <c r="D73" s="2108"/>
      <c r="E73" s="2108"/>
      <c r="F73" s="2108"/>
      <c r="G73" s="2108"/>
      <c r="H73" s="2108"/>
      <c r="I73" s="2108"/>
      <c r="J73" s="2108"/>
      <c r="K73" s="2108"/>
      <c r="L73" s="2108"/>
      <c r="M73" s="2108"/>
      <c r="N73" s="2108"/>
      <c r="O73" s="1766"/>
      <c r="P73" s="1763"/>
      <c r="Q73" s="1763"/>
      <c r="R73" s="1640"/>
      <c r="S73" s="1640"/>
      <c r="T73" s="1640"/>
      <c r="U73" s="1640"/>
      <c r="V73" s="1640"/>
      <c r="W73" s="1640"/>
      <c r="X73" s="1640"/>
      <c r="Y73" s="1640"/>
      <c r="Z73" s="1640"/>
      <c r="AA73" s="1640"/>
      <c r="AB73" s="1640"/>
      <c r="AC73" s="1640"/>
    </row>
    <row r="74" spans="1:29" s="1060" customFormat="1" ht="15">
      <c r="A74" s="603" t="s">
        <v>480</v>
      </c>
      <c r="B74" s="594"/>
      <c r="C74" s="604" t="s">
        <v>524</v>
      </c>
      <c r="D74" s="80"/>
      <c r="E74" s="80"/>
      <c r="F74" s="80"/>
      <c r="G74" s="80"/>
      <c r="H74" s="80"/>
      <c r="I74" s="80"/>
      <c r="J74" s="80"/>
      <c r="K74" s="80"/>
      <c r="L74" s="605"/>
      <c r="M74" s="606"/>
      <c r="N74" s="1766"/>
      <c r="O74" s="1766"/>
      <c r="P74" s="1647"/>
      <c r="Q74" s="1763"/>
      <c r="R74" s="1640"/>
      <c r="S74" s="1640"/>
      <c r="T74" s="1640"/>
      <c r="U74" s="1640"/>
      <c r="V74" s="1640"/>
      <c r="W74" s="1640"/>
      <c r="X74" s="1640"/>
      <c r="Y74" s="1640"/>
      <c r="Z74" s="1640"/>
      <c r="AA74" s="1640"/>
      <c r="AB74" s="1640"/>
      <c r="AC74" s="1640"/>
    </row>
    <row r="75" spans="1:29" s="1060" customFormat="1" ht="15.75" thickBot="1">
      <c r="A75" s="603"/>
      <c r="B75" s="594"/>
      <c r="C75" s="595">
        <v>100</v>
      </c>
      <c r="D75" s="596"/>
      <c r="E75" s="596"/>
      <c r="F75" s="596"/>
      <c r="G75" s="596"/>
      <c r="H75" s="596"/>
      <c r="I75" s="596"/>
      <c r="J75" s="596"/>
      <c r="K75" s="596"/>
      <c r="L75" s="596"/>
      <c r="M75" s="597"/>
      <c r="N75" s="1766"/>
      <c r="O75" s="1766"/>
      <c r="P75" s="1763"/>
      <c r="Q75" s="1763"/>
      <c r="R75" s="1640"/>
      <c r="S75" s="1640"/>
      <c r="T75" s="1640"/>
      <c r="U75" s="1640"/>
      <c r="V75" s="1640"/>
      <c r="W75" s="1640"/>
      <c r="X75" s="1640"/>
      <c r="Y75" s="1640"/>
      <c r="Z75" s="1640"/>
      <c r="AA75" s="1640"/>
      <c r="AB75" s="1640"/>
      <c r="AC75" s="1640"/>
    </row>
    <row r="76" spans="1:29">
      <c r="A76" s="607" t="s">
        <v>525</v>
      </c>
      <c r="B76" s="608" t="s">
        <v>483</v>
      </c>
      <c r="C76" s="547"/>
      <c r="D76" s="547"/>
      <c r="E76" s="547"/>
      <c r="F76" s="547"/>
      <c r="G76" s="547"/>
      <c r="H76" s="547"/>
      <c r="I76" s="547"/>
      <c r="J76" s="547"/>
      <c r="K76" s="609"/>
      <c r="L76" s="610"/>
      <c r="M76" s="611"/>
      <c r="N76" s="1767"/>
      <c r="O76" s="1767"/>
      <c r="P76" s="1766"/>
      <c r="Q76" s="1763"/>
      <c r="R76" s="1742"/>
      <c r="S76" s="1742"/>
      <c r="T76" s="1742"/>
      <c r="U76" s="1742"/>
      <c r="V76" s="1742"/>
      <c r="W76" s="1742"/>
      <c r="X76" s="1742"/>
      <c r="Y76" s="1742"/>
      <c r="Z76" s="1742"/>
      <c r="AA76" s="1742"/>
      <c r="AB76" s="1742"/>
      <c r="AC76" s="1742"/>
    </row>
    <row r="77" spans="1:29" ht="15.75" thickBot="1">
      <c r="A77" s="482"/>
      <c r="B77" s="612"/>
      <c r="C77" s="613"/>
      <c r="D77" s="613"/>
      <c r="E77" s="613"/>
      <c r="F77" s="613"/>
      <c r="G77" s="613"/>
      <c r="H77" s="613"/>
      <c r="I77" s="613"/>
      <c r="J77" s="613"/>
      <c r="K77" s="613"/>
      <c r="L77" s="613"/>
      <c r="M77" s="614"/>
      <c r="N77" s="1768"/>
      <c r="O77" s="1768"/>
      <c r="P77" s="1766"/>
      <c r="Q77" s="1763"/>
      <c r="R77" s="1742"/>
      <c r="S77" s="1742"/>
      <c r="T77" s="1742"/>
      <c r="U77" s="1742"/>
      <c r="V77" s="1742"/>
      <c r="W77" s="1742"/>
      <c r="X77" s="1742"/>
      <c r="Y77" s="1742"/>
      <c r="Z77" s="1742"/>
      <c r="AA77" s="1742"/>
      <c r="AB77" s="1742"/>
      <c r="AC77" s="1742"/>
    </row>
    <row r="78" spans="1:29" ht="27.75" thickTop="1">
      <c r="A78" s="482"/>
      <c r="B78" s="615" t="s">
        <v>486</v>
      </c>
      <c r="C78" s="616"/>
      <c r="D78" s="616"/>
      <c r="E78" s="616"/>
      <c r="F78" s="616"/>
      <c r="G78" s="616"/>
      <c r="H78" s="616"/>
      <c r="I78" s="616"/>
      <c r="J78" s="616"/>
      <c r="K78" s="617"/>
      <c r="L78" s="618"/>
      <c r="M78" s="619"/>
      <c r="N78" s="1767"/>
      <c r="O78" s="1767"/>
      <c r="P78" s="1766"/>
      <c r="Q78" s="1763"/>
      <c r="R78" s="1742"/>
      <c r="S78" s="1742"/>
      <c r="T78" s="1742"/>
      <c r="U78" s="1742"/>
      <c r="V78" s="1742"/>
      <c r="W78" s="1742"/>
      <c r="X78" s="1742"/>
      <c r="Y78" s="1742"/>
      <c r="Z78" s="1742"/>
      <c r="AA78" s="1742"/>
      <c r="AB78" s="1742"/>
      <c r="AC78" s="1742"/>
    </row>
    <row r="79" spans="1:29" ht="15.75" thickBot="1">
      <c r="A79" s="482"/>
      <c r="B79" s="620"/>
      <c r="C79" s="621"/>
      <c r="D79" s="621"/>
      <c r="E79" s="621"/>
      <c r="F79" s="621"/>
      <c r="G79" s="621"/>
      <c r="H79" s="621"/>
      <c r="I79" s="621"/>
      <c r="J79" s="621"/>
      <c r="K79" s="621"/>
      <c r="L79" s="621"/>
      <c r="M79" s="622"/>
      <c r="N79" s="1768"/>
      <c r="O79" s="1768"/>
      <c r="P79" s="1766"/>
      <c r="Q79" s="1763"/>
      <c r="R79" s="1742"/>
      <c r="S79" s="1742"/>
      <c r="T79" s="1742"/>
      <c r="U79" s="1742"/>
      <c r="V79" s="1742"/>
      <c r="W79" s="1742"/>
      <c r="X79" s="1742"/>
      <c r="Y79" s="1742"/>
      <c r="Z79" s="1742"/>
      <c r="AA79" s="1742"/>
      <c r="AB79" s="1742"/>
      <c r="AC79" s="1742"/>
    </row>
    <row r="80" spans="1:29" ht="15.75" thickTop="1">
      <c r="A80" s="482"/>
      <c r="B80" s="623" t="s">
        <v>487</v>
      </c>
      <c r="C80" s="624" t="str">
        <f>C81&amp;"（含）"&amp;"-"&amp;D81</f>
        <v>（含）-</v>
      </c>
      <c r="D80" s="624" t="str">
        <f t="shared" ref="D80:L80" si="19">D81&amp;"（含）"&amp;"-"&amp;E81</f>
        <v>（含）-</v>
      </c>
      <c r="E80" s="624" t="str">
        <f t="shared" si="19"/>
        <v>（含）-</v>
      </c>
      <c r="F80" s="624" t="str">
        <f t="shared" si="19"/>
        <v>（含）-</v>
      </c>
      <c r="G80" s="624" t="str">
        <f t="shared" si="19"/>
        <v>（含）-</v>
      </c>
      <c r="H80" s="624" t="str">
        <f t="shared" si="19"/>
        <v>（含）-</v>
      </c>
      <c r="I80" s="624" t="str">
        <f t="shared" si="19"/>
        <v>（含）-</v>
      </c>
      <c r="J80" s="624" t="str">
        <f t="shared" si="19"/>
        <v>（含）-</v>
      </c>
      <c r="K80" s="624" t="str">
        <f t="shared" si="19"/>
        <v>（含）-</v>
      </c>
      <c r="L80" s="624" t="str">
        <f t="shared" si="19"/>
        <v>（含）-</v>
      </c>
      <c r="M80" s="505" t="str">
        <f>M81&amp;"（含）"&amp;"-"&amp;P81</f>
        <v>（含）-</v>
      </c>
      <c r="N80" s="1768"/>
      <c r="O80" s="1768"/>
      <c r="P80" s="1766"/>
      <c r="Q80" s="1763"/>
      <c r="R80" s="1742"/>
      <c r="S80" s="1742"/>
      <c r="T80" s="1742"/>
      <c r="U80" s="1742"/>
      <c r="V80" s="1742"/>
      <c r="W80" s="1742"/>
      <c r="X80" s="1742"/>
      <c r="Y80" s="1742"/>
      <c r="Z80" s="1742"/>
      <c r="AA80" s="1742"/>
      <c r="AB80" s="1742"/>
      <c r="AC80" s="1742"/>
    </row>
    <row r="81" spans="1:29" ht="15">
      <c r="A81" s="482"/>
      <c r="B81" s="625"/>
      <c r="C81" s="491"/>
      <c r="D81" s="491"/>
      <c r="E81" s="491"/>
      <c r="F81" s="491"/>
      <c r="G81" s="491"/>
      <c r="H81" s="491"/>
      <c r="I81" s="491"/>
      <c r="J81" s="491"/>
      <c r="K81" s="626"/>
      <c r="L81" s="627"/>
      <c r="M81" s="628"/>
      <c r="N81" s="1767"/>
      <c r="O81" s="1767"/>
      <c r="P81" s="1766"/>
      <c r="Q81" s="1763"/>
      <c r="R81" s="1742"/>
      <c r="S81" s="1742"/>
      <c r="T81" s="1742"/>
      <c r="U81" s="1742"/>
      <c r="V81" s="1742"/>
      <c r="W81" s="1742"/>
      <c r="X81" s="1742"/>
      <c r="Y81" s="1742"/>
      <c r="Z81" s="1742"/>
      <c r="AA81" s="1742"/>
      <c r="AB81" s="1742"/>
      <c r="AC81" s="1742"/>
    </row>
    <row r="82" spans="1:29" ht="15.75" thickBot="1">
      <c r="A82" s="482"/>
      <c r="B82" s="612"/>
      <c r="C82" s="621">
        <v>100</v>
      </c>
      <c r="D82" s="621">
        <f t="shared" ref="D82:M82" si="20">IF($B$48="单位面积地价",C82+$K13,C82-$K13)</f>
        <v>100</v>
      </c>
      <c r="E82" s="621">
        <f t="shared" si="20"/>
        <v>100</v>
      </c>
      <c r="F82" s="621">
        <f t="shared" si="20"/>
        <v>100</v>
      </c>
      <c r="G82" s="621">
        <f t="shared" si="20"/>
        <v>100</v>
      </c>
      <c r="H82" s="621">
        <f t="shared" si="20"/>
        <v>100</v>
      </c>
      <c r="I82" s="621">
        <f t="shared" si="20"/>
        <v>100</v>
      </c>
      <c r="J82" s="621">
        <f t="shared" si="20"/>
        <v>100</v>
      </c>
      <c r="K82" s="621">
        <f t="shared" si="20"/>
        <v>100</v>
      </c>
      <c r="L82" s="621">
        <f t="shared" si="20"/>
        <v>100</v>
      </c>
      <c r="M82" s="621">
        <f t="shared" si="20"/>
        <v>100</v>
      </c>
      <c r="N82" s="1768"/>
      <c r="O82" s="1768"/>
      <c r="P82" s="1766"/>
      <c r="Q82" s="1763"/>
      <c r="R82" s="1742"/>
      <c r="S82" s="1742"/>
      <c r="T82" s="1742"/>
      <c r="U82" s="1742"/>
      <c r="V82" s="1742"/>
      <c r="W82" s="1742"/>
      <c r="X82" s="1742"/>
      <c r="Y82" s="1742"/>
      <c r="Z82" s="1742"/>
      <c r="AA82" s="1742"/>
      <c r="AB82" s="1742"/>
      <c r="AC82" s="1742"/>
    </row>
    <row r="83" spans="1:29" s="1134" customFormat="1" ht="15.75" thickTop="1">
      <c r="A83" s="629"/>
      <c r="B83" s="615" t="str">
        <f>B14</f>
        <v>配建</v>
      </c>
      <c r="C83" s="630"/>
      <c r="D83" s="1167"/>
      <c r="E83" s="1168"/>
      <c r="F83" s="630"/>
      <c r="G83" s="630"/>
      <c r="H83" s="631"/>
      <c r="I83" s="631"/>
      <c r="J83" s="631"/>
      <c r="K83" s="631"/>
      <c r="L83" s="632"/>
      <c r="M83" s="633"/>
      <c r="N83" s="1769"/>
      <c r="O83" s="1769"/>
      <c r="P83" s="1769"/>
      <c r="Q83" s="1770"/>
      <c r="R83" s="1771"/>
      <c r="S83" s="1771"/>
      <c r="T83" s="1771"/>
      <c r="U83" s="1771"/>
      <c r="V83" s="1771"/>
      <c r="W83" s="1771"/>
      <c r="X83" s="1771"/>
      <c r="Y83" s="1771"/>
      <c r="Z83" s="1771"/>
      <c r="AA83" s="1771"/>
      <c r="AB83" s="1771"/>
      <c r="AC83" s="1771"/>
    </row>
    <row r="84" spans="1:29" s="1134" customFormat="1" ht="15.75" thickBot="1">
      <c r="A84" s="629"/>
      <c r="B84" s="620"/>
      <c r="C84" s="634"/>
      <c r="D84" s="613"/>
      <c r="E84" s="613"/>
      <c r="F84" s="613"/>
      <c r="G84" s="613"/>
      <c r="H84" s="613"/>
      <c r="I84" s="613"/>
      <c r="J84" s="613"/>
      <c r="K84" s="613"/>
      <c r="L84" s="613"/>
      <c r="M84" s="614"/>
      <c r="N84" s="1768"/>
      <c r="O84" s="1768"/>
      <c r="P84" s="1769"/>
      <c r="Q84" s="1770"/>
      <c r="R84" s="1771"/>
      <c r="S84" s="1771"/>
      <c r="T84" s="1771"/>
      <c r="U84" s="1771"/>
      <c r="V84" s="1771"/>
      <c r="W84" s="1771"/>
      <c r="X84" s="1771"/>
      <c r="Y84" s="1771"/>
      <c r="Z84" s="1771"/>
      <c r="AA84" s="1771"/>
      <c r="AB84" s="1771"/>
      <c r="AC84" s="1771"/>
    </row>
    <row r="85" spans="1:29" s="1134" customFormat="1" ht="15.75" thickTop="1">
      <c r="A85" s="629"/>
      <c r="B85" s="615">
        <f>B15</f>
        <v>111</v>
      </c>
      <c r="C85" s="630"/>
      <c r="D85" s="630"/>
      <c r="E85" s="630"/>
      <c r="F85" s="630"/>
      <c r="G85" s="630"/>
      <c r="H85" s="631"/>
      <c r="I85" s="631"/>
      <c r="J85" s="631"/>
      <c r="K85" s="631"/>
      <c r="L85" s="632"/>
      <c r="M85" s="633"/>
      <c r="N85" s="1769"/>
      <c r="O85" s="1769"/>
      <c r="P85" s="1771"/>
      <c r="Q85" s="1772"/>
      <c r="R85" s="1771"/>
      <c r="S85" s="1771"/>
      <c r="T85" s="1771"/>
      <c r="U85" s="1771"/>
      <c r="V85" s="1771"/>
      <c r="W85" s="1771"/>
      <c r="X85" s="1771"/>
      <c r="Y85" s="1771"/>
      <c r="Z85" s="1771"/>
      <c r="AA85" s="1771"/>
      <c r="AB85" s="1771"/>
      <c r="AC85" s="1771"/>
    </row>
    <row r="86" spans="1:29" s="1134" customFormat="1" ht="15.75" thickBot="1">
      <c r="A86" s="629"/>
      <c r="B86" s="620"/>
      <c r="C86" s="634"/>
      <c r="D86" s="634"/>
      <c r="E86" s="634"/>
      <c r="F86" s="634"/>
      <c r="G86" s="634"/>
      <c r="H86" s="635"/>
      <c r="I86" s="635"/>
      <c r="J86" s="635"/>
      <c r="K86" s="635"/>
      <c r="L86" s="635"/>
      <c r="M86" s="636"/>
      <c r="N86" s="1769"/>
      <c r="O86" s="1769"/>
      <c r="P86" s="1769"/>
      <c r="Q86" s="1770"/>
      <c r="R86" s="1771"/>
      <c r="S86" s="1771"/>
      <c r="T86" s="1771"/>
      <c r="U86" s="1771"/>
      <c r="V86" s="1771"/>
      <c r="W86" s="1771"/>
      <c r="X86" s="1771"/>
      <c r="Y86" s="1771"/>
      <c r="Z86" s="1771"/>
      <c r="AA86" s="1771"/>
      <c r="AB86" s="1771"/>
      <c r="AC86" s="1771"/>
    </row>
    <row r="87" spans="1:29" s="1134" customFormat="1" ht="15.75" thickTop="1">
      <c r="A87" s="629"/>
      <c r="B87" s="623">
        <f>B16</f>
        <v>111</v>
      </c>
      <c r="C87" s="80"/>
      <c r="D87" s="80"/>
      <c r="E87" s="80"/>
      <c r="F87" s="80"/>
      <c r="G87" s="80"/>
      <c r="H87" s="637"/>
      <c r="I87" s="637"/>
      <c r="J87" s="637"/>
      <c r="K87" s="637"/>
      <c r="L87" s="638"/>
      <c r="M87" s="639"/>
      <c r="N87" s="1769"/>
      <c r="O87" s="1769"/>
      <c r="P87" s="1773"/>
      <c r="Q87" s="1770"/>
      <c r="R87" s="1771"/>
      <c r="S87" s="1771"/>
      <c r="T87" s="1771"/>
      <c r="U87" s="1771"/>
      <c r="V87" s="1771"/>
      <c r="W87" s="1771"/>
      <c r="X87" s="1771"/>
      <c r="Y87" s="1771"/>
      <c r="Z87" s="1771"/>
      <c r="AA87" s="1771"/>
      <c r="AB87" s="1771"/>
      <c r="AC87" s="1771"/>
    </row>
    <row r="88" spans="1:29" s="1134" customFormat="1" ht="15.75" thickBot="1">
      <c r="A88" s="640"/>
      <c r="B88" s="641"/>
      <c r="C88" s="642"/>
      <c r="D88" s="642"/>
      <c r="E88" s="642"/>
      <c r="F88" s="642"/>
      <c r="G88" s="642"/>
      <c r="H88" s="643"/>
      <c r="I88" s="643"/>
      <c r="J88" s="643"/>
      <c r="K88" s="643"/>
      <c r="L88" s="643"/>
      <c r="M88" s="644"/>
      <c r="N88" s="1769"/>
      <c r="O88" s="1769"/>
      <c r="P88" s="1769"/>
      <c r="Q88" s="1770"/>
      <c r="R88" s="1771"/>
      <c r="S88" s="1771"/>
      <c r="T88" s="1771"/>
      <c r="U88" s="1771"/>
      <c r="V88" s="1771"/>
      <c r="W88" s="1771"/>
      <c r="X88" s="1771"/>
      <c r="Y88" s="1771"/>
      <c r="Z88" s="1771"/>
      <c r="AA88" s="1771"/>
      <c r="AB88" s="1771"/>
      <c r="AC88" s="1771"/>
    </row>
    <row r="89" spans="1:29">
      <c r="A89" s="607" t="s">
        <v>488</v>
      </c>
      <c r="B89" s="608" t="s">
        <v>526</v>
      </c>
      <c r="C89" s="143" t="s">
        <v>527</v>
      </c>
      <c r="D89" s="143" t="s">
        <v>528</v>
      </c>
      <c r="E89" s="143" t="s">
        <v>529</v>
      </c>
      <c r="F89" s="143" t="s">
        <v>530</v>
      </c>
      <c r="G89" s="143" t="s">
        <v>531</v>
      </c>
      <c r="H89" s="645"/>
      <c r="I89" s="645"/>
      <c r="J89" s="645"/>
      <c r="K89" s="646"/>
      <c r="L89" s="647"/>
      <c r="M89" s="648"/>
      <c r="N89" s="1767"/>
      <c r="O89" s="1767"/>
      <c r="P89" s="1774"/>
      <c r="Q89" s="1763"/>
      <c r="R89" s="1742"/>
      <c r="S89" s="1742"/>
      <c r="T89" s="1742"/>
      <c r="U89" s="1742"/>
      <c r="V89" s="1742"/>
      <c r="W89" s="1742"/>
      <c r="X89" s="1742"/>
      <c r="Y89" s="1742"/>
      <c r="Z89" s="1742"/>
      <c r="AA89" s="1742"/>
      <c r="AB89" s="1742"/>
      <c r="AC89" s="1742"/>
    </row>
    <row r="90" spans="1:29" ht="15.75" thickBot="1">
      <c r="A90" s="482"/>
      <c r="B90" s="620"/>
      <c r="C90" s="621">
        <v>100</v>
      </c>
      <c r="D90" s="621">
        <f>C90-$K17</f>
        <v>100</v>
      </c>
      <c r="E90" s="621">
        <f>D90-$K17</f>
        <v>100</v>
      </c>
      <c r="F90" s="621">
        <f>E90-$K17</f>
        <v>100</v>
      </c>
      <c r="G90" s="621">
        <f>F90-$K17</f>
        <v>100</v>
      </c>
      <c r="H90" s="621"/>
      <c r="I90" s="621"/>
      <c r="J90" s="621"/>
      <c r="K90" s="621"/>
      <c r="L90" s="621"/>
      <c r="M90" s="622"/>
      <c r="N90" s="1768"/>
      <c r="O90" s="1768"/>
      <c r="P90" s="1766"/>
      <c r="Q90" s="1763"/>
      <c r="R90" s="1742"/>
      <c r="S90" s="1742"/>
      <c r="T90" s="1742"/>
      <c r="U90" s="1742"/>
      <c r="V90" s="1742"/>
      <c r="W90" s="1742"/>
      <c r="X90" s="1742"/>
      <c r="Y90" s="1742"/>
      <c r="Z90" s="1742"/>
      <c r="AA90" s="1742"/>
      <c r="AB90" s="1742"/>
      <c r="AC90" s="1742"/>
    </row>
    <row r="91" spans="1:29" ht="15.75" thickTop="1">
      <c r="A91" s="482"/>
      <c r="B91" s="615" t="s">
        <v>532</v>
      </c>
      <c r="C91" s="649" t="s">
        <v>527</v>
      </c>
      <c r="D91" s="649" t="s">
        <v>528</v>
      </c>
      <c r="E91" s="649" t="s">
        <v>529</v>
      </c>
      <c r="F91" s="649" t="s">
        <v>530</v>
      </c>
      <c r="G91" s="649" t="s">
        <v>531</v>
      </c>
      <c r="H91" s="616"/>
      <c r="I91" s="616"/>
      <c r="J91" s="616"/>
      <c r="K91" s="617"/>
      <c r="L91" s="618"/>
      <c r="M91" s="619"/>
      <c r="N91" s="1767"/>
      <c r="O91" s="1767"/>
      <c r="P91" s="1766"/>
      <c r="Q91" s="1763"/>
      <c r="R91" s="1742"/>
      <c r="S91" s="1742"/>
      <c r="T91" s="1742"/>
      <c r="U91" s="1742"/>
      <c r="V91" s="1742"/>
      <c r="W91" s="1742"/>
      <c r="X91" s="1742"/>
      <c r="Y91" s="1742"/>
      <c r="Z91" s="1742"/>
      <c r="AA91" s="1742"/>
      <c r="AB91" s="1742"/>
      <c r="AC91" s="1742"/>
    </row>
    <row r="92" spans="1:29" ht="15.75" thickBot="1">
      <c r="A92" s="482"/>
      <c r="B92" s="620"/>
      <c r="C92" s="621">
        <v>100</v>
      </c>
      <c r="D92" s="621">
        <f>C92-$K19</f>
        <v>100</v>
      </c>
      <c r="E92" s="621">
        <f>D92-$K19</f>
        <v>100</v>
      </c>
      <c r="F92" s="621">
        <f>E92-$K19</f>
        <v>100</v>
      </c>
      <c r="G92" s="621">
        <f>F92-$K19</f>
        <v>100</v>
      </c>
      <c r="H92" s="621"/>
      <c r="I92" s="621"/>
      <c r="J92" s="621"/>
      <c r="K92" s="621"/>
      <c r="L92" s="621"/>
      <c r="M92" s="622"/>
      <c r="N92" s="1768"/>
      <c r="O92" s="1768"/>
      <c r="P92" s="1766"/>
      <c r="Q92" s="1763"/>
      <c r="R92" s="1742"/>
      <c r="S92" s="1742"/>
      <c r="T92" s="1742"/>
      <c r="U92" s="1742"/>
      <c r="V92" s="1742"/>
      <c r="W92" s="1742"/>
      <c r="X92" s="1742"/>
      <c r="Y92" s="1742"/>
      <c r="Z92" s="1742"/>
      <c r="AA92" s="1742"/>
      <c r="AB92" s="1742"/>
      <c r="AC92" s="1742"/>
    </row>
    <row r="93" spans="1:29" ht="15.75" thickTop="1">
      <c r="A93" s="482"/>
      <c r="B93" s="615" t="s">
        <v>533</v>
      </c>
      <c r="C93" s="649" t="s">
        <v>527</v>
      </c>
      <c r="D93" s="649" t="s">
        <v>528</v>
      </c>
      <c r="E93" s="649" t="s">
        <v>529</v>
      </c>
      <c r="F93" s="649" t="s">
        <v>530</v>
      </c>
      <c r="G93" s="649" t="s">
        <v>531</v>
      </c>
      <c r="H93" s="616"/>
      <c r="I93" s="616"/>
      <c r="J93" s="616"/>
      <c r="K93" s="617"/>
      <c r="L93" s="618"/>
      <c r="M93" s="619"/>
      <c r="N93" s="1767"/>
      <c r="O93" s="1767"/>
      <c r="P93" s="1766"/>
      <c r="Q93" s="1763"/>
      <c r="R93" s="1742"/>
      <c r="S93" s="1742"/>
      <c r="T93" s="1742"/>
      <c r="U93" s="1742"/>
      <c r="V93" s="1742"/>
      <c r="W93" s="1742"/>
      <c r="X93" s="1742"/>
      <c r="Y93" s="1742"/>
      <c r="Z93" s="1742"/>
      <c r="AA93" s="1742"/>
      <c r="AB93" s="1742"/>
      <c r="AC93" s="1742"/>
    </row>
    <row r="94" spans="1:29" ht="15.75" thickBot="1">
      <c r="A94" s="482"/>
      <c r="B94" s="620"/>
      <c r="C94" s="621">
        <v>100</v>
      </c>
      <c r="D94" s="621">
        <f>C94-$K21</f>
        <v>100</v>
      </c>
      <c r="E94" s="621">
        <f>D94-$K21</f>
        <v>100</v>
      </c>
      <c r="F94" s="621">
        <f>E94-$K21</f>
        <v>100</v>
      </c>
      <c r="G94" s="621">
        <f>F94-$K21</f>
        <v>100</v>
      </c>
      <c r="H94" s="621"/>
      <c r="I94" s="621"/>
      <c r="J94" s="621"/>
      <c r="K94" s="621"/>
      <c r="L94" s="621"/>
      <c r="M94" s="622"/>
      <c r="N94" s="1768"/>
      <c r="O94" s="1768"/>
      <c r="P94" s="1766"/>
      <c r="Q94" s="1763"/>
      <c r="R94" s="1742"/>
      <c r="S94" s="1742"/>
      <c r="T94" s="1742"/>
      <c r="U94" s="1742"/>
      <c r="V94" s="1742"/>
      <c r="W94" s="1742"/>
      <c r="X94" s="1742"/>
      <c r="Y94" s="1742"/>
      <c r="Z94" s="1742"/>
      <c r="AA94" s="1742"/>
      <c r="AB94" s="1742"/>
      <c r="AC94" s="1742"/>
    </row>
    <row r="95" spans="1:29" ht="15.75" thickTop="1">
      <c r="A95" s="482"/>
      <c r="B95" s="615" t="s">
        <v>534</v>
      </c>
      <c r="C95" s="649" t="s">
        <v>527</v>
      </c>
      <c r="D95" s="649" t="s">
        <v>528</v>
      </c>
      <c r="E95" s="649" t="s">
        <v>529</v>
      </c>
      <c r="F95" s="649" t="s">
        <v>530</v>
      </c>
      <c r="G95" s="649" t="s">
        <v>531</v>
      </c>
      <c r="H95" s="616"/>
      <c r="I95" s="616"/>
      <c r="J95" s="616"/>
      <c r="K95" s="617"/>
      <c r="L95" s="618"/>
      <c r="M95" s="619"/>
      <c r="N95" s="1767"/>
      <c r="O95" s="1767"/>
      <c r="P95" s="1766"/>
      <c r="Q95" s="1763"/>
      <c r="R95" s="1742"/>
      <c r="S95" s="1742"/>
      <c r="T95" s="1742"/>
      <c r="U95" s="1742"/>
      <c r="V95" s="1742"/>
      <c r="W95" s="1742"/>
      <c r="X95" s="1742"/>
      <c r="Y95" s="1742"/>
      <c r="Z95" s="1742"/>
      <c r="AA95" s="1742"/>
      <c r="AB95" s="1742"/>
      <c r="AC95" s="1742"/>
    </row>
    <row r="96" spans="1:29" ht="15.75" thickBot="1">
      <c r="A96" s="482"/>
      <c r="B96" s="620"/>
      <c r="C96" s="621">
        <v>100</v>
      </c>
      <c r="D96" s="621">
        <f>C96-$K23</f>
        <v>100</v>
      </c>
      <c r="E96" s="621">
        <f>D96-$K23</f>
        <v>100</v>
      </c>
      <c r="F96" s="621">
        <f>E96-$K23</f>
        <v>100</v>
      </c>
      <c r="G96" s="621">
        <f>F96-$K23</f>
        <v>100</v>
      </c>
      <c r="H96" s="621"/>
      <c r="I96" s="621"/>
      <c r="J96" s="621"/>
      <c r="K96" s="621"/>
      <c r="L96" s="621"/>
      <c r="M96" s="622"/>
      <c r="N96" s="1768"/>
      <c r="O96" s="1768"/>
      <c r="P96" s="1766"/>
      <c r="Q96" s="1763"/>
      <c r="R96" s="1742"/>
      <c r="S96" s="1742"/>
      <c r="T96" s="1742"/>
      <c r="U96" s="1742"/>
      <c r="V96" s="1742"/>
      <c r="W96" s="1742"/>
      <c r="X96" s="1742"/>
      <c r="Y96" s="1742"/>
      <c r="Z96" s="1742"/>
      <c r="AA96" s="1742"/>
      <c r="AB96" s="1742"/>
      <c r="AC96" s="1742"/>
    </row>
    <row r="97" spans="1:29" s="1060" customFormat="1" ht="27.75" thickTop="1">
      <c r="A97" s="486"/>
      <c r="B97" s="615" t="s">
        <v>535</v>
      </c>
      <c r="C97" s="649" t="s">
        <v>527</v>
      </c>
      <c r="D97" s="649" t="s">
        <v>528</v>
      </c>
      <c r="E97" s="649" t="s">
        <v>529</v>
      </c>
      <c r="F97" s="649" t="s">
        <v>530</v>
      </c>
      <c r="G97" s="649" t="s">
        <v>531</v>
      </c>
      <c r="H97" s="649"/>
      <c r="I97" s="649"/>
      <c r="J97" s="649"/>
      <c r="K97" s="649"/>
      <c r="L97" s="650"/>
      <c r="M97" s="651"/>
      <c r="N97" s="1766"/>
      <c r="O97" s="1766"/>
      <c r="P97" s="1766"/>
      <c r="Q97" s="1763"/>
      <c r="R97" s="1640"/>
      <c r="S97" s="1640"/>
      <c r="T97" s="1640"/>
      <c r="U97" s="1640"/>
      <c r="V97" s="1640"/>
      <c r="W97" s="1640"/>
      <c r="X97" s="1640"/>
      <c r="Y97" s="1640"/>
      <c r="Z97" s="1640"/>
      <c r="AA97" s="1640"/>
      <c r="AB97" s="1640"/>
      <c r="AC97" s="1640"/>
    </row>
    <row r="98" spans="1:29" s="1060" customFormat="1" ht="15.75" thickBot="1">
      <c r="A98" s="486"/>
      <c r="B98" s="620"/>
      <c r="C98" s="652">
        <v>100</v>
      </c>
      <c r="D98" s="621">
        <f>C98-$K25</f>
        <v>100</v>
      </c>
      <c r="E98" s="621">
        <f>D98-$K25</f>
        <v>100</v>
      </c>
      <c r="F98" s="621">
        <f>E98-$K25</f>
        <v>100</v>
      </c>
      <c r="G98" s="621">
        <f>F98-$K25</f>
        <v>100</v>
      </c>
      <c r="H98" s="621"/>
      <c r="I98" s="621"/>
      <c r="J98" s="621"/>
      <c r="K98" s="621"/>
      <c r="L98" s="621"/>
      <c r="M98" s="622"/>
      <c r="N98" s="1768"/>
      <c r="O98" s="1768"/>
      <c r="P98" s="1766"/>
      <c r="Q98" s="1763"/>
      <c r="R98" s="1640"/>
      <c r="S98" s="1640"/>
      <c r="T98" s="1640"/>
      <c r="U98" s="1640"/>
      <c r="V98" s="1640"/>
      <c r="W98" s="1640"/>
      <c r="X98" s="1640"/>
      <c r="Y98" s="1640"/>
      <c r="Z98" s="1640"/>
      <c r="AA98" s="1640"/>
      <c r="AB98" s="1640"/>
      <c r="AC98" s="1640"/>
    </row>
    <row r="99" spans="1:29" s="1060" customFormat="1" ht="27.75" thickTop="1">
      <c r="A99" s="486"/>
      <c r="B99" s="615" t="s">
        <v>536</v>
      </c>
      <c r="C99" s="143" t="s">
        <v>527</v>
      </c>
      <c r="D99" s="143" t="s">
        <v>528</v>
      </c>
      <c r="E99" s="143" t="s">
        <v>529</v>
      </c>
      <c r="F99" s="143" t="s">
        <v>530</v>
      </c>
      <c r="G99" s="143" t="s">
        <v>531</v>
      </c>
      <c r="H99" s="649"/>
      <c r="I99" s="649"/>
      <c r="J99" s="649"/>
      <c r="K99" s="649"/>
      <c r="L99" s="649"/>
      <c r="M99" s="651"/>
      <c r="N99" s="1766"/>
      <c r="O99" s="1766"/>
      <c r="P99" s="1766"/>
      <c r="Q99" s="1763"/>
      <c r="R99" s="1640"/>
      <c r="S99" s="1640"/>
      <c r="T99" s="1640"/>
      <c r="U99" s="1640"/>
      <c r="V99" s="1640"/>
      <c r="W99" s="1640"/>
      <c r="X99" s="1640"/>
      <c r="Y99" s="1640"/>
      <c r="Z99" s="1640"/>
      <c r="AA99" s="1640"/>
      <c r="AB99" s="1640"/>
      <c r="AC99" s="1640"/>
    </row>
    <row r="100" spans="1:29" s="1060" customFormat="1" ht="15.75" thickBot="1">
      <c r="A100" s="486"/>
      <c r="B100" s="620"/>
      <c r="C100" s="621">
        <v>100</v>
      </c>
      <c r="D100" s="621">
        <f>C100-$K27</f>
        <v>100</v>
      </c>
      <c r="E100" s="621">
        <f>D100-$K27</f>
        <v>100</v>
      </c>
      <c r="F100" s="621">
        <f>E100-$K27</f>
        <v>100</v>
      </c>
      <c r="G100" s="621">
        <f>F100-$K27</f>
        <v>100</v>
      </c>
      <c r="H100" s="621"/>
      <c r="I100" s="621"/>
      <c r="J100" s="621"/>
      <c r="K100" s="621"/>
      <c r="L100" s="621"/>
      <c r="M100" s="622"/>
      <c r="N100" s="1768"/>
      <c r="O100" s="1768"/>
      <c r="P100" s="1766"/>
      <c r="Q100" s="1763"/>
      <c r="R100" s="1640"/>
      <c r="S100" s="1640"/>
      <c r="T100" s="1640"/>
      <c r="U100" s="1640"/>
      <c r="V100" s="1640"/>
      <c r="W100" s="1640"/>
      <c r="X100" s="1640"/>
      <c r="Y100" s="1640"/>
      <c r="Z100" s="1640"/>
      <c r="AA100" s="1640"/>
      <c r="AB100" s="1640"/>
      <c r="AC100" s="1640"/>
    </row>
    <row r="101" spans="1:29" s="1134" customFormat="1" ht="15.75" thickTop="1">
      <c r="A101" s="629"/>
      <c r="B101" s="1555" t="s">
        <v>1831</v>
      </c>
      <c r="C101" s="143" t="s">
        <v>527</v>
      </c>
      <c r="D101" s="143" t="s">
        <v>528</v>
      </c>
      <c r="E101" s="143" t="s">
        <v>529</v>
      </c>
      <c r="F101" s="143" t="s">
        <v>530</v>
      </c>
      <c r="G101" s="143" t="s">
        <v>531</v>
      </c>
      <c r="H101" s="653"/>
      <c r="I101" s="653"/>
      <c r="J101" s="653"/>
      <c r="K101" s="653"/>
      <c r="L101" s="654"/>
      <c r="M101" s="655"/>
      <c r="N101" s="1769"/>
      <c r="O101" s="1769"/>
      <c r="P101" s="1769"/>
      <c r="Q101" s="1770"/>
      <c r="R101" s="1771"/>
      <c r="S101" s="1771"/>
      <c r="T101" s="1771"/>
      <c r="U101" s="1771"/>
      <c r="V101" s="1771"/>
      <c r="W101" s="1771"/>
      <c r="X101" s="1771"/>
      <c r="Y101" s="1771"/>
      <c r="Z101" s="1771"/>
      <c r="AA101" s="1771"/>
      <c r="AB101" s="1771"/>
      <c r="AC101" s="1771"/>
    </row>
    <row r="102" spans="1:29" s="1134" customFormat="1" ht="15.75" thickBot="1">
      <c r="A102" s="629"/>
      <c r="B102" s="620"/>
      <c r="C102" s="621">
        <v>100</v>
      </c>
      <c r="D102" s="621">
        <f>C102-$K29</f>
        <v>100</v>
      </c>
      <c r="E102" s="621">
        <f>D102-$K29</f>
        <v>100</v>
      </c>
      <c r="F102" s="621">
        <f>E102-$K29</f>
        <v>100</v>
      </c>
      <c r="G102" s="621">
        <f>F102-$K29</f>
        <v>100</v>
      </c>
      <c r="H102" s="656"/>
      <c r="I102" s="656"/>
      <c r="J102" s="656"/>
      <c r="K102" s="656"/>
      <c r="L102" s="656"/>
      <c r="M102" s="657"/>
      <c r="N102" s="1769"/>
      <c r="O102" s="1769"/>
      <c r="P102" s="1769"/>
      <c r="Q102" s="1770"/>
      <c r="R102" s="1771"/>
      <c r="S102" s="1771"/>
      <c r="T102" s="1771"/>
      <c r="U102" s="1771"/>
      <c r="V102" s="1771"/>
      <c r="W102" s="1771"/>
      <c r="X102" s="1771"/>
      <c r="Y102" s="1771"/>
      <c r="Z102" s="1771"/>
      <c r="AA102" s="1771"/>
      <c r="AB102" s="1771"/>
      <c r="AC102" s="1771"/>
    </row>
    <row r="103" spans="1:29" s="1134" customFormat="1" ht="15.75" thickTop="1">
      <c r="A103" s="629"/>
      <c r="B103" s="2056" t="s">
        <v>1833</v>
      </c>
      <c r="C103" s="2057" t="s">
        <v>1834</v>
      </c>
      <c r="D103" s="2057" t="s">
        <v>1835</v>
      </c>
      <c r="E103" s="2057" t="s">
        <v>1836</v>
      </c>
      <c r="F103" s="2057" t="s">
        <v>1837</v>
      </c>
      <c r="G103" s="2057" t="s">
        <v>1838</v>
      </c>
      <c r="H103" s="653"/>
      <c r="I103" s="653"/>
      <c r="J103" s="653"/>
      <c r="K103" s="653"/>
      <c r="L103" s="653"/>
      <c r="M103" s="655"/>
      <c r="N103" s="1769"/>
      <c r="O103" s="1769"/>
      <c r="P103" s="1769"/>
      <c r="Q103" s="1770"/>
      <c r="R103" s="1771"/>
      <c r="S103" s="1771"/>
      <c r="T103" s="1771"/>
      <c r="U103" s="1771"/>
      <c r="V103" s="1771"/>
      <c r="W103" s="1771"/>
      <c r="X103" s="1771"/>
      <c r="Y103" s="1771"/>
      <c r="Z103" s="1771"/>
      <c r="AA103" s="1771"/>
      <c r="AB103" s="1771"/>
      <c r="AC103" s="1771"/>
    </row>
    <row r="104" spans="1:29" s="1134" customFormat="1" ht="15.75" thickBot="1">
      <c r="A104" s="629"/>
      <c r="B104" s="623"/>
      <c r="C104" s="621">
        <v>100</v>
      </c>
      <c r="D104" s="621">
        <f>C104-$K31</f>
        <v>100</v>
      </c>
      <c r="E104" s="621">
        <f>D104-$K31</f>
        <v>100</v>
      </c>
      <c r="F104" s="621">
        <f>E104-$K31</f>
        <v>100</v>
      </c>
      <c r="G104" s="621">
        <f>F104-$K31</f>
        <v>100</v>
      </c>
      <c r="H104" s="625"/>
      <c r="I104" s="625"/>
      <c r="J104" s="625"/>
      <c r="K104" s="625"/>
      <c r="L104" s="625"/>
      <c r="M104" s="2049"/>
      <c r="N104" s="1769"/>
      <c r="O104" s="1769"/>
      <c r="P104" s="1769"/>
      <c r="Q104" s="1770"/>
      <c r="R104" s="1771"/>
      <c r="S104" s="1771"/>
      <c r="T104" s="1771"/>
      <c r="U104" s="1771"/>
      <c r="V104" s="1771"/>
      <c r="W104" s="1771"/>
      <c r="X104" s="1771"/>
      <c r="Y104" s="1771"/>
      <c r="Z104" s="1771"/>
      <c r="AA104" s="1771"/>
      <c r="AB104" s="1771"/>
      <c r="AC104" s="1771"/>
    </row>
    <row r="105" spans="1:29" ht="15.75" thickTop="1">
      <c r="A105" s="482"/>
      <c r="B105" s="615" t="str">
        <f>B33</f>
        <v>临街状况</v>
      </c>
      <c r="C105" s="616" t="s">
        <v>537</v>
      </c>
      <c r="D105" s="616" t="s">
        <v>538</v>
      </c>
      <c r="E105" s="616" t="s">
        <v>539</v>
      </c>
      <c r="F105" s="616" t="s">
        <v>540</v>
      </c>
      <c r="G105" s="616"/>
      <c r="H105" s="616"/>
      <c r="I105" s="616"/>
      <c r="J105" s="616"/>
      <c r="K105" s="617"/>
      <c r="L105" s="618"/>
      <c r="M105" s="619"/>
      <c r="N105" s="1767"/>
      <c r="O105" s="1767"/>
      <c r="P105" s="1766"/>
      <c r="Q105" s="1763"/>
      <c r="R105" s="1742"/>
      <c r="S105" s="1742"/>
      <c r="T105" s="1742"/>
      <c r="U105" s="1742"/>
      <c r="V105" s="1742"/>
      <c r="W105" s="1742"/>
      <c r="X105" s="1742"/>
      <c r="Y105" s="1742"/>
      <c r="Z105" s="1742"/>
      <c r="AA105" s="1742"/>
      <c r="AB105" s="1742"/>
      <c r="AC105" s="1742"/>
    </row>
    <row r="106" spans="1:29" ht="15.75" thickBot="1">
      <c r="A106" s="482"/>
      <c r="B106" s="620"/>
      <c r="C106" s="621">
        <v>100</v>
      </c>
      <c r="D106" s="621">
        <f t="shared" ref="D106:M106" si="21">C106-$K33</f>
        <v>100</v>
      </c>
      <c r="E106" s="621">
        <f t="shared" si="21"/>
        <v>100</v>
      </c>
      <c r="F106" s="621">
        <f t="shared" si="21"/>
        <v>100</v>
      </c>
      <c r="G106" s="621">
        <f t="shared" si="21"/>
        <v>100</v>
      </c>
      <c r="H106" s="621">
        <f t="shared" si="21"/>
        <v>100</v>
      </c>
      <c r="I106" s="621">
        <f t="shared" si="21"/>
        <v>100</v>
      </c>
      <c r="J106" s="621">
        <f t="shared" si="21"/>
        <v>100</v>
      </c>
      <c r="K106" s="621">
        <f t="shared" si="21"/>
        <v>100</v>
      </c>
      <c r="L106" s="621">
        <f t="shared" si="21"/>
        <v>100</v>
      </c>
      <c r="M106" s="621">
        <f t="shared" si="21"/>
        <v>100</v>
      </c>
      <c r="N106" s="1768"/>
      <c r="O106" s="1768"/>
      <c r="P106" s="1766"/>
      <c r="Q106" s="1763"/>
      <c r="R106" s="1742"/>
      <c r="S106" s="1742"/>
      <c r="T106" s="1742"/>
      <c r="U106" s="1742"/>
      <c r="V106" s="1742"/>
      <c r="W106" s="1742"/>
      <c r="X106" s="1742"/>
      <c r="Y106" s="1742"/>
      <c r="Z106" s="1742"/>
      <c r="AA106" s="1742"/>
      <c r="AB106" s="1742"/>
      <c r="AC106" s="1742"/>
    </row>
    <row r="107" spans="1:29" ht="27.75" thickTop="1">
      <c r="A107" s="482"/>
      <c r="B107" s="615" t="s">
        <v>497</v>
      </c>
      <c r="C107" s="630"/>
      <c r="D107" s="630"/>
      <c r="E107" s="630"/>
      <c r="F107" s="630"/>
      <c r="G107" s="630"/>
      <c r="H107" s="658"/>
      <c r="I107" s="658"/>
      <c r="J107" s="658"/>
      <c r="K107" s="659"/>
      <c r="L107" s="660"/>
      <c r="M107" s="661"/>
      <c r="N107" s="1767"/>
      <c r="O107" s="1767"/>
      <c r="P107" s="1766"/>
      <c r="Q107" s="1763"/>
      <c r="R107" s="1742"/>
      <c r="S107" s="1742"/>
      <c r="T107" s="1742"/>
      <c r="U107" s="1742"/>
      <c r="V107" s="1742"/>
      <c r="W107" s="1742"/>
      <c r="X107" s="1742"/>
      <c r="Y107" s="1742"/>
      <c r="Z107" s="1742"/>
      <c r="AA107" s="1742"/>
      <c r="AB107" s="1742"/>
      <c r="AC107" s="1742"/>
    </row>
    <row r="108" spans="1:29" ht="15.75" thickBot="1">
      <c r="A108" s="482"/>
      <c r="B108" s="620"/>
      <c r="C108" s="621">
        <v>100</v>
      </c>
      <c r="D108" s="621">
        <f t="shared" ref="D108:M108" si="22">C108-$K34</f>
        <v>100</v>
      </c>
      <c r="E108" s="621">
        <f t="shared" si="22"/>
        <v>100</v>
      </c>
      <c r="F108" s="621">
        <f t="shared" si="22"/>
        <v>100</v>
      </c>
      <c r="G108" s="621">
        <f t="shared" si="22"/>
        <v>100</v>
      </c>
      <c r="H108" s="621">
        <f t="shared" si="22"/>
        <v>100</v>
      </c>
      <c r="I108" s="621">
        <f t="shared" si="22"/>
        <v>100</v>
      </c>
      <c r="J108" s="621">
        <f t="shared" si="22"/>
        <v>100</v>
      </c>
      <c r="K108" s="621">
        <f t="shared" si="22"/>
        <v>100</v>
      </c>
      <c r="L108" s="621">
        <f t="shared" si="22"/>
        <v>100</v>
      </c>
      <c r="M108" s="621">
        <f t="shared" si="22"/>
        <v>100</v>
      </c>
      <c r="N108" s="1768"/>
      <c r="O108" s="1768"/>
      <c r="P108" s="1766"/>
      <c r="Q108" s="1763"/>
      <c r="R108" s="1742"/>
      <c r="S108" s="1742"/>
      <c r="T108" s="1742"/>
      <c r="U108" s="1742"/>
      <c r="V108" s="1742"/>
      <c r="W108" s="1742"/>
      <c r="X108" s="1742"/>
      <c r="Y108" s="1742"/>
      <c r="Z108" s="1742"/>
      <c r="AA108" s="1742"/>
      <c r="AB108" s="1742"/>
      <c r="AC108" s="1742"/>
    </row>
    <row r="109" spans="1:29" ht="15.75" thickTop="1">
      <c r="A109" s="482"/>
      <c r="B109" s="615" t="s">
        <v>498</v>
      </c>
      <c r="C109" s="658"/>
      <c r="D109" s="658"/>
      <c r="E109" s="658"/>
      <c r="F109" s="658"/>
      <c r="G109" s="658"/>
      <c r="H109" s="658"/>
      <c r="I109" s="658"/>
      <c r="J109" s="658"/>
      <c r="K109" s="659"/>
      <c r="L109" s="660"/>
      <c r="M109" s="661"/>
      <c r="N109" s="1767"/>
      <c r="O109" s="1767"/>
      <c r="P109" s="1766"/>
      <c r="Q109" s="1763"/>
      <c r="R109" s="1742"/>
      <c r="S109" s="1742"/>
      <c r="T109" s="1742"/>
      <c r="U109" s="1742"/>
      <c r="V109" s="1742"/>
      <c r="W109" s="1742"/>
      <c r="X109" s="1742"/>
      <c r="Y109" s="1742"/>
      <c r="Z109" s="1742"/>
      <c r="AA109" s="1742"/>
      <c r="AB109" s="1742"/>
      <c r="AC109" s="1742"/>
    </row>
    <row r="110" spans="1:29" ht="15.75" thickBot="1">
      <c r="A110" s="482"/>
      <c r="B110" s="620"/>
      <c r="C110" s="621">
        <v>100</v>
      </c>
      <c r="D110" s="621">
        <f t="shared" ref="D110:M110" si="23">C110-$K36</f>
        <v>100</v>
      </c>
      <c r="E110" s="621">
        <f t="shared" si="23"/>
        <v>100</v>
      </c>
      <c r="F110" s="621">
        <f t="shared" si="23"/>
        <v>100</v>
      </c>
      <c r="G110" s="621">
        <f t="shared" si="23"/>
        <v>100</v>
      </c>
      <c r="H110" s="621">
        <f t="shared" si="23"/>
        <v>100</v>
      </c>
      <c r="I110" s="621">
        <f t="shared" si="23"/>
        <v>100</v>
      </c>
      <c r="J110" s="621">
        <f t="shared" si="23"/>
        <v>100</v>
      </c>
      <c r="K110" s="621">
        <f t="shared" si="23"/>
        <v>100</v>
      </c>
      <c r="L110" s="621">
        <f t="shared" si="23"/>
        <v>100</v>
      </c>
      <c r="M110" s="621">
        <f t="shared" si="23"/>
        <v>100</v>
      </c>
      <c r="N110" s="1768"/>
      <c r="O110" s="1768"/>
      <c r="P110" s="1766"/>
      <c r="Q110" s="1763"/>
      <c r="R110" s="1742"/>
      <c r="S110" s="1742"/>
      <c r="T110" s="1742"/>
      <c r="U110" s="1742"/>
      <c r="V110" s="1742"/>
      <c r="W110" s="1742"/>
      <c r="X110" s="1742"/>
      <c r="Y110" s="1742"/>
      <c r="Z110" s="1742"/>
      <c r="AA110" s="1742"/>
      <c r="AB110" s="1742"/>
      <c r="AC110" s="1742"/>
    </row>
    <row r="111" spans="1:29" ht="15.75" thickTop="1">
      <c r="A111" s="482"/>
      <c r="B111" s="623">
        <f>B37</f>
        <v>111</v>
      </c>
      <c r="C111" s="630"/>
      <c r="D111" s="630"/>
      <c r="E111" s="630"/>
      <c r="F111" s="630"/>
      <c r="G111" s="662"/>
      <c r="H111" s="662"/>
      <c r="I111" s="662"/>
      <c r="J111" s="662"/>
      <c r="K111" s="663"/>
      <c r="L111" s="664"/>
      <c r="M111" s="665"/>
      <c r="N111" s="1767"/>
      <c r="O111" s="1767"/>
      <c r="P111" s="1766"/>
      <c r="Q111" s="1763"/>
      <c r="R111" s="1742"/>
      <c r="S111" s="1742"/>
      <c r="T111" s="1742"/>
      <c r="U111" s="1742"/>
      <c r="V111" s="1742"/>
      <c r="W111" s="1742"/>
      <c r="X111" s="1742"/>
      <c r="Y111" s="1742"/>
      <c r="Z111" s="1742"/>
      <c r="AA111" s="1742"/>
      <c r="AB111" s="1742"/>
      <c r="AC111" s="1742"/>
    </row>
    <row r="112" spans="1:29" ht="15.75" thickBot="1">
      <c r="A112" s="482"/>
      <c r="B112" s="641"/>
      <c r="C112" s="634"/>
      <c r="D112" s="634"/>
      <c r="E112" s="634"/>
      <c r="F112" s="634"/>
      <c r="G112" s="666"/>
      <c r="H112" s="666"/>
      <c r="I112" s="666"/>
      <c r="J112" s="666"/>
      <c r="K112" s="666"/>
      <c r="L112" s="666"/>
      <c r="M112" s="667"/>
      <c r="N112" s="1768"/>
      <c r="O112" s="1768"/>
      <c r="P112" s="1766"/>
      <c r="Q112" s="1763"/>
      <c r="R112" s="1742"/>
      <c r="S112" s="1742"/>
      <c r="T112" s="1742"/>
      <c r="U112" s="1742"/>
      <c r="V112" s="1742"/>
      <c r="W112" s="1742"/>
      <c r="X112" s="1742"/>
      <c r="Y112" s="1742"/>
      <c r="Z112" s="1742"/>
      <c r="AA112" s="1742"/>
      <c r="AB112" s="1742"/>
      <c r="AC112" s="1742"/>
    </row>
    <row r="113" spans="1:29" ht="15" thickTop="1">
      <c r="A113" s="536"/>
      <c r="B113" s="615">
        <f>B38</f>
        <v>111</v>
      </c>
      <c r="C113" s="80"/>
      <c r="D113" s="80"/>
      <c r="E113" s="80"/>
      <c r="F113" s="80"/>
      <c r="G113" s="658"/>
      <c r="H113" s="658"/>
      <c r="I113" s="658"/>
      <c r="J113" s="658"/>
      <c r="K113" s="659"/>
      <c r="L113" s="660"/>
      <c r="M113" s="661"/>
      <c r="N113" s="1767"/>
      <c r="O113" s="1767"/>
      <c r="P113" s="1766"/>
      <c r="Q113" s="1763"/>
      <c r="R113" s="1742"/>
      <c r="S113" s="1742"/>
      <c r="T113" s="1742"/>
      <c r="U113" s="1742"/>
      <c r="V113" s="1742"/>
      <c r="W113" s="1742"/>
      <c r="X113" s="1742"/>
      <c r="Y113" s="1742"/>
      <c r="Z113" s="1742"/>
      <c r="AA113" s="1742"/>
      <c r="AB113" s="1742"/>
      <c r="AC113" s="1742"/>
    </row>
    <row r="114" spans="1:29" ht="15.75" thickBot="1">
      <c r="A114" s="482"/>
      <c r="B114" s="620"/>
      <c r="C114" s="642"/>
      <c r="D114" s="642"/>
      <c r="E114" s="642"/>
      <c r="F114" s="642"/>
      <c r="G114" s="613"/>
      <c r="H114" s="613"/>
      <c r="I114" s="613"/>
      <c r="J114" s="613"/>
      <c r="K114" s="613"/>
      <c r="L114" s="613"/>
      <c r="M114" s="614"/>
      <c r="N114" s="1768"/>
      <c r="O114" s="1768"/>
      <c r="P114" s="1766"/>
      <c r="Q114" s="1763"/>
      <c r="R114" s="1742"/>
      <c r="S114" s="1742"/>
      <c r="T114" s="1742"/>
      <c r="U114" s="1742"/>
      <c r="V114" s="1742"/>
      <c r="W114" s="1742"/>
      <c r="X114" s="1742"/>
      <c r="Y114" s="1742"/>
      <c r="Z114" s="1742"/>
      <c r="AA114" s="1742"/>
      <c r="AB114" s="1742"/>
      <c r="AC114" s="1742"/>
    </row>
    <row r="115" spans="1:29" s="1134" customFormat="1" ht="15" thickTop="1">
      <c r="A115" s="552"/>
      <c r="B115" s="668">
        <f>B39</f>
        <v>111</v>
      </c>
      <c r="C115" s="79"/>
      <c r="D115" s="79"/>
      <c r="E115" s="79"/>
      <c r="F115" s="79"/>
      <c r="G115" s="79"/>
      <c r="H115" s="79"/>
      <c r="I115" s="79"/>
      <c r="J115" s="669"/>
      <c r="K115" s="669"/>
      <c r="L115" s="670"/>
      <c r="M115" s="671"/>
      <c r="N115" s="1769"/>
      <c r="O115" s="1769"/>
      <c r="P115" s="1769"/>
      <c r="Q115" s="1770"/>
      <c r="R115" s="1771"/>
      <c r="S115" s="1771"/>
      <c r="T115" s="1771"/>
      <c r="U115" s="1771"/>
      <c r="V115" s="1771"/>
      <c r="W115" s="1771"/>
      <c r="X115" s="1771"/>
      <c r="Y115" s="1771"/>
      <c r="Z115" s="1771"/>
      <c r="AA115" s="1771"/>
      <c r="AB115" s="1771"/>
      <c r="AC115" s="1771"/>
    </row>
    <row r="116" spans="1:29" s="1134" customFormat="1" ht="15.75" thickBot="1">
      <c r="A116" s="629"/>
      <c r="B116" s="623"/>
      <c r="C116" s="596"/>
      <c r="D116" s="541"/>
      <c r="E116" s="541"/>
      <c r="F116" s="541"/>
      <c r="G116" s="541"/>
      <c r="H116" s="541"/>
      <c r="I116" s="541"/>
      <c r="J116" s="541"/>
      <c r="K116" s="541"/>
      <c r="L116" s="541"/>
      <c r="M116" s="672"/>
      <c r="N116" s="1768"/>
      <c r="O116" s="1768"/>
      <c r="P116" s="1769"/>
      <c r="Q116" s="1770"/>
      <c r="R116" s="1771"/>
      <c r="S116" s="1771"/>
      <c r="T116" s="1771"/>
      <c r="U116" s="1771"/>
      <c r="V116" s="1771"/>
      <c r="W116" s="1771"/>
      <c r="X116" s="1771"/>
      <c r="Y116" s="1771"/>
      <c r="Z116" s="1771"/>
      <c r="AA116" s="1771"/>
      <c r="AB116" s="1771"/>
      <c r="AC116" s="1771"/>
    </row>
    <row r="117" spans="1:29">
      <c r="A117" s="607" t="s">
        <v>500</v>
      </c>
      <c r="B117" s="608" t="s">
        <v>541</v>
      </c>
      <c r="C117" s="645" t="str">
        <f t="shared" ref="C117:L117" si="24">C118&amp;"(含)"&amp;"-"&amp;D118</f>
        <v>(含)-</v>
      </c>
      <c r="D117" s="645" t="str">
        <f t="shared" si="24"/>
        <v>(含)-</v>
      </c>
      <c r="E117" s="645" t="str">
        <f t="shared" si="24"/>
        <v>(含)-</v>
      </c>
      <c r="F117" s="645" t="str">
        <f t="shared" si="24"/>
        <v>(含)-</v>
      </c>
      <c r="G117" s="645" t="str">
        <f t="shared" si="24"/>
        <v>(含)-</v>
      </c>
      <c r="H117" s="645" t="str">
        <f t="shared" si="24"/>
        <v>(含)-</v>
      </c>
      <c r="I117" s="645" t="str">
        <f t="shared" si="24"/>
        <v>(含)-</v>
      </c>
      <c r="J117" s="2348" t="str">
        <f t="shared" si="24"/>
        <v>(含)-</v>
      </c>
      <c r="K117" s="2348" t="str">
        <f t="shared" si="24"/>
        <v>(含)-</v>
      </c>
      <c r="L117" s="2349" t="str">
        <f t="shared" si="24"/>
        <v>(含)-</v>
      </c>
      <c r="M117" s="145" t="str">
        <f>M118&amp;"(含)"&amp;"-"&amp;P118</f>
        <v>(含)-</v>
      </c>
      <c r="N117" s="1767"/>
      <c r="O117" s="1767"/>
      <c r="P117" s="1766"/>
      <c r="Q117" s="1763"/>
      <c r="R117" s="1742"/>
      <c r="S117" s="1742"/>
      <c r="T117" s="1742"/>
      <c r="U117" s="1742"/>
      <c r="V117" s="1742"/>
      <c r="W117" s="1742"/>
      <c r="X117" s="1742"/>
      <c r="Y117" s="1742"/>
      <c r="Z117" s="1742"/>
      <c r="AA117" s="1742"/>
      <c r="AB117" s="1742"/>
      <c r="AC117" s="1742"/>
    </row>
    <row r="118" spans="1:29" ht="15">
      <c r="A118" s="482"/>
      <c r="B118" s="623"/>
      <c r="C118" s="79"/>
      <c r="D118" s="79"/>
      <c r="E118" s="79"/>
      <c r="F118" s="79"/>
      <c r="G118" s="79"/>
      <c r="H118" s="79"/>
      <c r="I118" s="79"/>
      <c r="J118" s="1930"/>
      <c r="K118" s="1930"/>
      <c r="L118" s="1931"/>
      <c r="M118" s="1932"/>
      <c r="N118" s="1767"/>
      <c r="O118" s="1767"/>
      <c r="P118" s="1766"/>
      <c r="Q118" s="1763"/>
      <c r="R118" s="1742"/>
      <c r="S118" s="1742"/>
      <c r="T118" s="1742"/>
      <c r="U118" s="1742"/>
      <c r="V118" s="1742"/>
      <c r="W118" s="1742"/>
      <c r="X118" s="1742"/>
      <c r="Y118" s="1742"/>
      <c r="Z118" s="1742"/>
      <c r="AA118" s="1742"/>
      <c r="AB118" s="1742"/>
      <c r="AC118" s="1742"/>
    </row>
    <row r="119" spans="1:29" ht="15.75" thickBot="1">
      <c r="A119" s="482"/>
      <c r="B119" s="620"/>
      <c r="C119" s="642"/>
      <c r="D119" s="666"/>
      <c r="E119" s="666"/>
      <c r="F119" s="666"/>
      <c r="G119" s="666"/>
      <c r="H119" s="666"/>
      <c r="I119" s="666"/>
      <c r="J119" s="666"/>
      <c r="K119" s="666"/>
      <c r="L119" s="666"/>
      <c r="M119" s="667"/>
      <c r="N119" s="1768"/>
      <c r="O119" s="1768"/>
      <c r="P119" s="1766"/>
      <c r="Q119" s="1763"/>
      <c r="R119" s="1742"/>
      <c r="S119" s="1742"/>
      <c r="T119" s="1742"/>
      <c r="U119" s="1742"/>
      <c r="V119" s="1742"/>
      <c r="W119" s="1742"/>
      <c r="X119" s="1742"/>
      <c r="Y119" s="1742"/>
      <c r="Z119" s="1742"/>
      <c r="AA119" s="1742"/>
      <c r="AB119" s="1742"/>
      <c r="AC119" s="1742"/>
    </row>
    <row r="120" spans="1:29" ht="15" thickTop="1">
      <c r="A120" s="543"/>
      <c r="B120" s="615" t="s">
        <v>542</v>
      </c>
      <c r="C120" s="658"/>
      <c r="D120" s="658"/>
      <c r="E120" s="658"/>
      <c r="F120" s="658"/>
      <c r="G120" s="658"/>
      <c r="H120" s="658"/>
      <c r="I120" s="658"/>
      <c r="J120" s="658"/>
      <c r="K120" s="659"/>
      <c r="L120" s="660"/>
      <c r="M120" s="661"/>
      <c r="N120" s="1767"/>
      <c r="O120" s="1767"/>
      <c r="P120" s="1766"/>
      <c r="Q120" s="1763"/>
      <c r="R120" s="1742"/>
      <c r="S120" s="1742"/>
      <c r="T120" s="1742"/>
      <c r="U120" s="1742"/>
      <c r="V120" s="1742"/>
      <c r="W120" s="1742"/>
      <c r="X120" s="1742"/>
      <c r="Y120" s="1742"/>
      <c r="Z120" s="1742"/>
      <c r="AA120" s="1742"/>
      <c r="AB120" s="1742"/>
      <c r="AC120" s="1742"/>
    </row>
    <row r="121" spans="1:29" ht="15.75" thickBot="1">
      <c r="A121" s="482"/>
      <c r="B121" s="620"/>
      <c r="C121" s="621">
        <v>100</v>
      </c>
      <c r="D121" s="621">
        <f t="shared" ref="D121:M121" si="25">C121-$K41</f>
        <v>100</v>
      </c>
      <c r="E121" s="621">
        <f t="shared" si="25"/>
        <v>100</v>
      </c>
      <c r="F121" s="621">
        <f t="shared" si="25"/>
        <v>100</v>
      </c>
      <c r="G121" s="621">
        <f t="shared" si="25"/>
        <v>100</v>
      </c>
      <c r="H121" s="621">
        <f t="shared" si="25"/>
        <v>100</v>
      </c>
      <c r="I121" s="621">
        <f t="shared" si="25"/>
        <v>100</v>
      </c>
      <c r="J121" s="621">
        <f t="shared" si="25"/>
        <v>100</v>
      </c>
      <c r="K121" s="621">
        <f t="shared" si="25"/>
        <v>100</v>
      </c>
      <c r="L121" s="621">
        <f t="shared" si="25"/>
        <v>100</v>
      </c>
      <c r="M121" s="622">
        <f t="shared" si="25"/>
        <v>100</v>
      </c>
      <c r="N121" s="1768"/>
      <c r="O121" s="1768"/>
      <c r="P121" s="1766"/>
      <c r="Q121" s="1763"/>
      <c r="R121" s="1742"/>
      <c r="S121" s="1742"/>
      <c r="T121" s="1742"/>
      <c r="U121" s="1742"/>
      <c r="V121" s="1742"/>
      <c r="W121" s="1742"/>
      <c r="X121" s="1742"/>
      <c r="Y121" s="1742"/>
      <c r="Z121" s="1742"/>
      <c r="AA121" s="1742"/>
      <c r="AB121" s="1742"/>
      <c r="AC121" s="1742"/>
    </row>
    <row r="122" spans="1:29" ht="15" thickTop="1">
      <c r="A122" s="543"/>
      <c r="B122" s="615" t="s">
        <v>543</v>
      </c>
      <c r="C122" s="630"/>
      <c r="D122" s="630"/>
      <c r="E122" s="630"/>
      <c r="F122" s="658"/>
      <c r="G122" s="658"/>
      <c r="H122" s="658"/>
      <c r="I122" s="658"/>
      <c r="J122" s="658"/>
      <c r="K122" s="659"/>
      <c r="L122" s="660"/>
      <c r="M122" s="661"/>
      <c r="N122" s="1767"/>
      <c r="O122" s="1767"/>
      <c r="P122" s="1766"/>
      <c r="Q122" s="1763"/>
      <c r="R122" s="1742"/>
      <c r="S122" s="1742"/>
      <c r="T122" s="1742"/>
      <c r="U122" s="1742"/>
      <c r="V122" s="1742"/>
      <c r="W122" s="1742"/>
      <c r="X122" s="1742"/>
      <c r="Y122" s="1742"/>
      <c r="Z122" s="1742"/>
      <c r="AA122" s="1742"/>
      <c r="AB122" s="1742"/>
      <c r="AC122" s="1742"/>
    </row>
    <row r="123" spans="1:29" ht="15.75" thickBot="1">
      <c r="A123" s="482"/>
      <c r="B123" s="620"/>
      <c r="C123" s="621">
        <v>100</v>
      </c>
      <c r="D123" s="621">
        <f t="shared" ref="D123:M123" si="26">C123-$K42</f>
        <v>100</v>
      </c>
      <c r="E123" s="621">
        <f t="shared" si="26"/>
        <v>100</v>
      </c>
      <c r="F123" s="621">
        <f t="shared" si="26"/>
        <v>100</v>
      </c>
      <c r="G123" s="621">
        <f t="shared" si="26"/>
        <v>100</v>
      </c>
      <c r="H123" s="621">
        <f t="shared" si="26"/>
        <v>100</v>
      </c>
      <c r="I123" s="621">
        <f t="shared" si="26"/>
        <v>100</v>
      </c>
      <c r="J123" s="621">
        <f t="shared" si="26"/>
        <v>100</v>
      </c>
      <c r="K123" s="621">
        <f t="shared" si="26"/>
        <v>100</v>
      </c>
      <c r="L123" s="621">
        <f t="shared" si="26"/>
        <v>100</v>
      </c>
      <c r="M123" s="622">
        <f t="shared" si="26"/>
        <v>100</v>
      </c>
      <c r="N123" s="1768"/>
      <c r="O123" s="1768"/>
      <c r="P123" s="1766"/>
      <c r="Q123" s="1763"/>
      <c r="R123" s="1742"/>
      <c r="S123" s="1742"/>
      <c r="T123" s="1742"/>
      <c r="U123" s="1742"/>
      <c r="V123" s="1742"/>
      <c r="W123" s="1742"/>
      <c r="X123" s="1742"/>
      <c r="Y123" s="1742"/>
      <c r="Z123" s="1742"/>
      <c r="AA123" s="1742"/>
      <c r="AB123" s="1742"/>
      <c r="AC123" s="1742"/>
    </row>
    <row r="124" spans="1:29" s="1134" customFormat="1" ht="15" thickTop="1">
      <c r="A124" s="552"/>
      <c r="B124" s="1555" t="s">
        <v>1777</v>
      </c>
      <c r="C124" s="1167"/>
      <c r="D124" s="1167"/>
      <c r="E124" s="1167"/>
      <c r="F124" s="1167"/>
      <c r="G124" s="1167"/>
      <c r="H124" s="658"/>
      <c r="I124" s="658"/>
      <c r="J124" s="658"/>
      <c r="K124" s="659"/>
      <c r="L124" s="660"/>
      <c r="M124" s="661"/>
      <c r="N124" s="1769"/>
      <c r="O124" s="1769"/>
      <c r="P124" s="1769"/>
      <c r="Q124" s="1770"/>
      <c r="R124" s="1771"/>
      <c r="S124" s="1771"/>
      <c r="T124" s="1771"/>
      <c r="U124" s="1771"/>
      <c r="V124" s="1771"/>
      <c r="W124" s="1771"/>
      <c r="X124" s="1771"/>
      <c r="Y124" s="1771"/>
      <c r="Z124" s="1771"/>
      <c r="AA124" s="1771"/>
      <c r="AB124" s="1771"/>
      <c r="AC124" s="1771"/>
    </row>
    <row r="125" spans="1:29" s="1134" customFormat="1" ht="15.75" thickBot="1">
      <c r="A125" s="629"/>
      <c r="B125" s="620"/>
      <c r="C125" s="621">
        <v>100</v>
      </c>
      <c r="D125" s="621">
        <f t="shared" ref="D125:M125" si="27">C125-$K43</f>
        <v>100</v>
      </c>
      <c r="E125" s="621">
        <f t="shared" si="27"/>
        <v>100</v>
      </c>
      <c r="F125" s="621">
        <f t="shared" si="27"/>
        <v>100</v>
      </c>
      <c r="G125" s="621">
        <f t="shared" si="27"/>
        <v>100</v>
      </c>
      <c r="H125" s="621">
        <f t="shared" si="27"/>
        <v>100</v>
      </c>
      <c r="I125" s="621">
        <f t="shared" si="27"/>
        <v>100</v>
      </c>
      <c r="J125" s="621">
        <f t="shared" si="27"/>
        <v>100</v>
      </c>
      <c r="K125" s="621">
        <f t="shared" si="27"/>
        <v>100</v>
      </c>
      <c r="L125" s="621">
        <f t="shared" si="27"/>
        <v>100</v>
      </c>
      <c r="M125" s="622">
        <f t="shared" si="27"/>
        <v>100</v>
      </c>
      <c r="N125" s="1769"/>
      <c r="O125" s="1769"/>
      <c r="P125" s="1769"/>
      <c r="Q125" s="1770"/>
      <c r="R125" s="1771"/>
      <c r="S125" s="1771"/>
      <c r="T125" s="1771"/>
      <c r="U125" s="1771"/>
      <c r="V125" s="1771"/>
      <c r="W125" s="1771"/>
      <c r="X125" s="1771"/>
      <c r="Y125" s="1771"/>
      <c r="Z125" s="1771"/>
      <c r="AA125" s="1771"/>
      <c r="AB125" s="1771"/>
      <c r="AC125" s="1771"/>
    </row>
    <row r="126" spans="1:29" ht="15" thickTop="1">
      <c r="A126" s="543"/>
      <c r="B126" s="615" t="s">
        <v>544</v>
      </c>
      <c r="C126" s="630"/>
      <c r="D126" s="630"/>
      <c r="E126" s="658"/>
      <c r="F126" s="658"/>
      <c r="G126" s="658"/>
      <c r="H126" s="658"/>
      <c r="I126" s="658"/>
      <c r="J126" s="658"/>
      <c r="K126" s="659"/>
      <c r="L126" s="660"/>
      <c r="M126" s="661"/>
      <c r="N126" s="1767"/>
      <c r="O126" s="1767"/>
      <c r="P126" s="1766"/>
      <c r="Q126" s="1763"/>
      <c r="R126" s="1742"/>
      <c r="S126" s="1742"/>
      <c r="T126" s="1742"/>
      <c r="U126" s="1742"/>
      <c r="V126" s="1742"/>
      <c r="W126" s="1742"/>
      <c r="X126" s="1742"/>
      <c r="Y126" s="1742"/>
      <c r="Z126" s="1742"/>
      <c r="AA126" s="1742"/>
      <c r="AB126" s="1742"/>
      <c r="AC126" s="1742"/>
    </row>
    <row r="127" spans="1:29" ht="15.75" thickBot="1">
      <c r="A127" s="482"/>
      <c r="B127" s="620"/>
      <c r="C127" s="621">
        <v>100</v>
      </c>
      <c r="D127" s="621">
        <f t="shared" ref="D127:M127" si="28">C127-$K44</f>
        <v>100</v>
      </c>
      <c r="E127" s="621">
        <f t="shared" si="28"/>
        <v>100</v>
      </c>
      <c r="F127" s="621">
        <f t="shared" si="28"/>
        <v>100</v>
      </c>
      <c r="G127" s="621">
        <f t="shared" si="28"/>
        <v>100</v>
      </c>
      <c r="H127" s="621">
        <f t="shared" si="28"/>
        <v>100</v>
      </c>
      <c r="I127" s="621">
        <f t="shared" si="28"/>
        <v>100</v>
      </c>
      <c r="J127" s="621">
        <f t="shared" si="28"/>
        <v>100</v>
      </c>
      <c r="K127" s="621">
        <f t="shared" si="28"/>
        <v>100</v>
      </c>
      <c r="L127" s="621">
        <f t="shared" si="28"/>
        <v>100</v>
      </c>
      <c r="M127" s="622">
        <f t="shared" si="28"/>
        <v>100</v>
      </c>
      <c r="N127" s="1768"/>
      <c r="O127" s="1768"/>
      <c r="P127" s="1766"/>
      <c r="Q127" s="1763"/>
      <c r="R127" s="1742"/>
      <c r="S127" s="1742"/>
      <c r="T127" s="1742"/>
      <c r="U127" s="1742"/>
      <c r="V127" s="1742"/>
      <c r="W127" s="1742"/>
      <c r="X127" s="1742"/>
      <c r="Y127" s="1742"/>
      <c r="Z127" s="1742"/>
      <c r="AA127" s="1742"/>
      <c r="AB127" s="1742"/>
      <c r="AC127" s="1742"/>
    </row>
    <row r="128" spans="1:29" ht="15" thickTop="1">
      <c r="A128" s="543"/>
      <c r="B128" s="615">
        <f>B45</f>
        <v>111</v>
      </c>
      <c r="C128" s="630"/>
      <c r="D128" s="630"/>
      <c r="E128" s="630"/>
      <c r="F128" s="630"/>
      <c r="G128" s="630"/>
      <c r="H128" s="658"/>
      <c r="I128" s="658"/>
      <c r="J128" s="658"/>
      <c r="K128" s="659"/>
      <c r="L128" s="660"/>
      <c r="M128" s="661"/>
      <c r="N128" s="1767"/>
      <c r="O128" s="1767"/>
      <c r="P128" s="1766"/>
      <c r="Q128" s="1763"/>
      <c r="R128" s="1742"/>
      <c r="S128" s="1742"/>
      <c r="T128" s="1742"/>
      <c r="U128" s="1742"/>
      <c r="V128" s="1742"/>
      <c r="W128" s="1742"/>
      <c r="X128" s="1742"/>
      <c r="Y128" s="1742"/>
      <c r="Z128" s="1742"/>
      <c r="AA128" s="1742"/>
      <c r="AB128" s="1742"/>
      <c r="AC128" s="1742"/>
    </row>
    <row r="129" spans="1:29" ht="15.75" thickBot="1">
      <c r="A129" s="482"/>
      <c r="B129" s="620"/>
      <c r="C129" s="634"/>
      <c r="D129" s="634"/>
      <c r="E129" s="634"/>
      <c r="F129" s="634"/>
      <c r="G129" s="613"/>
      <c r="H129" s="613"/>
      <c r="I129" s="613"/>
      <c r="J129" s="613"/>
      <c r="K129" s="613"/>
      <c r="L129" s="613"/>
      <c r="M129" s="614"/>
      <c r="N129" s="1768"/>
      <c r="O129" s="1768"/>
      <c r="P129" s="1766"/>
      <c r="Q129" s="1763"/>
      <c r="R129" s="1742"/>
      <c r="S129" s="1742"/>
      <c r="T129" s="1742"/>
      <c r="U129" s="1742"/>
      <c r="V129" s="1742"/>
      <c r="W129" s="1742"/>
      <c r="X129" s="1742"/>
      <c r="Y129" s="1742"/>
      <c r="Z129" s="1742"/>
      <c r="AA129" s="1742"/>
      <c r="AB129" s="1742"/>
      <c r="AC129" s="1742"/>
    </row>
    <row r="130" spans="1:29" ht="15" thickTop="1">
      <c r="A130" s="543"/>
      <c r="B130" s="615">
        <f>B46</f>
        <v>111</v>
      </c>
      <c r="C130" s="80"/>
      <c r="D130" s="80"/>
      <c r="E130" s="80"/>
      <c r="F130" s="80"/>
      <c r="G130" s="658"/>
      <c r="H130" s="658"/>
      <c r="I130" s="658"/>
      <c r="J130" s="658"/>
      <c r="K130" s="659"/>
      <c r="L130" s="660"/>
      <c r="M130" s="661"/>
      <c r="N130" s="1767"/>
      <c r="O130" s="1767"/>
      <c r="P130" s="1766"/>
      <c r="Q130" s="1763"/>
      <c r="R130" s="1742"/>
      <c r="S130" s="1742"/>
      <c r="T130" s="1742"/>
      <c r="U130" s="1742"/>
      <c r="V130" s="1742"/>
      <c r="W130" s="1742"/>
      <c r="X130" s="1742"/>
      <c r="Y130" s="1742"/>
      <c r="Z130" s="1742"/>
      <c r="AA130" s="1742"/>
      <c r="AB130" s="1742"/>
      <c r="AC130" s="1742"/>
    </row>
    <row r="131" spans="1:29" ht="15.75" thickBot="1">
      <c r="A131" s="482"/>
      <c r="B131" s="620"/>
      <c r="C131" s="642"/>
      <c r="D131" s="642"/>
      <c r="E131" s="642"/>
      <c r="F131" s="642"/>
      <c r="G131" s="613"/>
      <c r="H131" s="613"/>
      <c r="I131" s="613"/>
      <c r="J131" s="613"/>
      <c r="K131" s="613"/>
      <c r="L131" s="613"/>
      <c r="M131" s="614"/>
      <c r="N131" s="1768"/>
      <c r="O131" s="1768"/>
      <c r="P131" s="1766"/>
      <c r="Q131" s="1763"/>
      <c r="R131" s="1742"/>
      <c r="S131" s="1742"/>
      <c r="T131" s="1742"/>
      <c r="U131" s="1742"/>
      <c r="V131" s="1742"/>
      <c r="W131" s="1742"/>
      <c r="X131" s="1742"/>
      <c r="Y131" s="1742"/>
      <c r="Z131" s="1742"/>
      <c r="AA131" s="1742"/>
      <c r="AB131" s="1742"/>
      <c r="AC131" s="1742"/>
    </row>
    <row r="132" spans="1:29" s="1134" customFormat="1" ht="15" thickTop="1">
      <c r="A132" s="552"/>
      <c r="B132" s="615">
        <f>B47</f>
        <v>111</v>
      </c>
      <c r="C132" s="80"/>
      <c r="D132" s="80"/>
      <c r="E132" s="80"/>
      <c r="F132" s="80"/>
      <c r="G132" s="631"/>
      <c r="H132" s="631"/>
      <c r="I132" s="631"/>
      <c r="J132" s="631"/>
      <c r="K132" s="631"/>
      <c r="L132" s="632"/>
      <c r="M132" s="633"/>
      <c r="N132" s="1769"/>
      <c r="O132" s="1769"/>
      <c r="P132" s="1769"/>
      <c r="Q132" s="1770"/>
      <c r="R132" s="1771"/>
      <c r="S132" s="1771"/>
      <c r="T132" s="1771"/>
      <c r="U132" s="1771"/>
      <c r="V132" s="1771"/>
      <c r="W132" s="1771"/>
      <c r="X132" s="1771"/>
      <c r="Y132" s="1771"/>
      <c r="Z132" s="1771"/>
      <c r="AA132" s="1771"/>
      <c r="AB132" s="1771"/>
      <c r="AC132" s="1771"/>
    </row>
    <row r="133" spans="1:29" s="1134" customFormat="1" ht="15.75" thickBot="1">
      <c r="A133" s="640"/>
      <c r="B133" s="673"/>
      <c r="C133" s="642"/>
      <c r="D133" s="642"/>
      <c r="E133" s="642"/>
      <c r="F133" s="642"/>
      <c r="G133" s="666"/>
      <c r="H133" s="666"/>
      <c r="I133" s="666"/>
      <c r="J133" s="666"/>
      <c r="K133" s="666"/>
      <c r="L133" s="666"/>
      <c r="M133" s="667"/>
      <c r="N133" s="1769"/>
      <c r="O133" s="1769"/>
      <c r="P133" s="1769"/>
      <c r="Q133" s="1770"/>
      <c r="R133" s="1771"/>
      <c r="S133" s="1771"/>
      <c r="T133" s="1771"/>
      <c r="U133" s="1771"/>
      <c r="V133" s="1771"/>
      <c r="W133" s="1771"/>
      <c r="X133" s="1771"/>
      <c r="Y133" s="1771"/>
      <c r="Z133" s="1771"/>
      <c r="AA133" s="1771"/>
      <c r="AB133" s="1771"/>
      <c r="AC133" s="1771"/>
    </row>
    <row r="134" spans="1:29" s="1320" customFormat="1">
      <c r="A134" s="1775"/>
      <c r="B134" s="1775"/>
      <c r="C134" s="1775"/>
      <c r="D134" s="1775"/>
      <c r="E134" s="1775"/>
      <c r="F134" s="1775"/>
      <c r="G134" s="1775"/>
      <c r="H134" s="1775"/>
      <c r="I134" s="1775"/>
      <c r="J134" s="1775"/>
      <c r="K134" s="1776"/>
      <c r="L134" s="1777"/>
      <c r="M134" s="1775"/>
      <c r="N134" s="1775"/>
      <c r="O134" s="1775"/>
      <c r="P134" s="1775"/>
      <c r="Q134" s="1775"/>
      <c r="R134" s="1775"/>
      <c r="S134" s="1775"/>
      <c r="T134" s="1775"/>
      <c r="U134" s="1775"/>
      <c r="V134" s="1775"/>
      <c r="W134" s="1775"/>
      <c r="X134" s="1775"/>
      <c r="Y134" s="1775"/>
      <c r="Z134" s="1775"/>
      <c r="AA134" s="1775"/>
      <c r="AB134" s="1775"/>
      <c r="AC134" s="1775"/>
    </row>
    <row r="135" spans="1:29" s="1320" customFormat="1">
      <c r="A135" s="1775"/>
      <c r="B135" s="1775"/>
      <c r="C135" s="1775"/>
      <c r="D135" s="1775"/>
      <c r="E135" s="1775"/>
      <c r="F135" s="1775"/>
      <c r="G135" s="1775"/>
      <c r="H135" s="1775"/>
      <c r="I135" s="1775"/>
      <c r="J135" s="1775"/>
      <c r="K135" s="1776"/>
      <c r="L135" s="1777"/>
      <c r="M135" s="1775"/>
      <c r="N135" s="1775"/>
      <c r="O135" s="1775"/>
      <c r="P135" s="1775"/>
      <c r="Q135" s="1775"/>
      <c r="R135" s="1775"/>
      <c r="S135" s="1775"/>
      <c r="T135" s="1775"/>
      <c r="U135" s="1775"/>
      <c r="V135" s="1775"/>
      <c r="W135" s="1775"/>
      <c r="X135" s="1775"/>
      <c r="Y135" s="1775"/>
      <c r="Z135" s="1775"/>
      <c r="AA135" s="1775"/>
      <c r="AB135" s="1775"/>
      <c r="AC135" s="1775"/>
    </row>
    <row r="136" spans="1:29" s="1320" customFormat="1">
      <c r="A136" s="1775"/>
      <c r="B136" s="1775"/>
      <c r="C136" s="1775"/>
      <c r="D136" s="1775"/>
      <c r="E136" s="1775"/>
      <c r="F136" s="1775"/>
      <c r="G136" s="1775"/>
      <c r="H136" s="1775"/>
      <c r="I136" s="1775"/>
      <c r="J136" s="1775"/>
      <c r="K136" s="1776"/>
      <c r="L136" s="1777"/>
      <c r="M136" s="1775"/>
      <c r="N136" s="1775"/>
      <c r="O136" s="1775"/>
      <c r="P136" s="1775"/>
      <c r="Q136" s="1775"/>
      <c r="R136" s="1775"/>
      <c r="S136" s="1775"/>
      <c r="T136" s="1775"/>
      <c r="U136" s="1775"/>
      <c r="V136" s="1775"/>
      <c r="W136" s="1775"/>
      <c r="X136" s="1775"/>
      <c r="Y136" s="1775"/>
      <c r="Z136" s="1775"/>
      <c r="AA136" s="1775"/>
      <c r="AB136" s="1775"/>
      <c r="AC136" s="1775"/>
    </row>
    <row r="137" spans="1:29" s="1320" customFormat="1">
      <c r="A137" s="1775"/>
      <c r="B137" s="1775"/>
      <c r="C137" s="1775"/>
      <c r="D137" s="1775"/>
      <c r="E137" s="1775"/>
      <c r="F137" s="1775"/>
      <c r="G137" s="1775"/>
      <c r="H137" s="1775"/>
      <c r="I137" s="1775"/>
      <c r="J137" s="1775"/>
      <c r="K137" s="1776"/>
      <c r="L137" s="1777"/>
      <c r="M137" s="1775"/>
      <c r="N137" s="1775"/>
      <c r="O137" s="1775"/>
      <c r="P137" s="1775"/>
      <c r="Q137" s="1775"/>
      <c r="R137" s="1775"/>
      <c r="S137" s="1775"/>
      <c r="T137" s="1775"/>
      <c r="U137" s="1775"/>
      <c r="V137" s="1775"/>
      <c r="W137" s="1775"/>
      <c r="X137" s="1775"/>
      <c r="Y137" s="1775"/>
      <c r="Z137" s="1775"/>
      <c r="AA137" s="1775"/>
      <c r="AB137" s="1775"/>
      <c r="AC137" s="1775"/>
    </row>
    <row r="138" spans="1:29" s="1320" customFormat="1">
      <c r="A138" s="1775"/>
      <c r="B138" s="1775"/>
      <c r="C138" s="1775"/>
      <c r="D138" s="1775"/>
      <c r="E138" s="1775"/>
      <c r="F138" s="1775"/>
      <c r="G138" s="1775"/>
      <c r="H138" s="1775"/>
      <c r="I138" s="1775"/>
      <c r="J138" s="1775"/>
      <c r="K138" s="1776"/>
      <c r="L138" s="1777"/>
      <c r="M138" s="1775"/>
      <c r="N138" s="1775"/>
      <c r="O138" s="1775"/>
      <c r="P138" s="1775"/>
      <c r="Q138" s="1775"/>
      <c r="R138" s="1775"/>
      <c r="S138" s="1775"/>
      <c r="T138" s="1775"/>
      <c r="U138" s="1775"/>
      <c r="V138" s="1775"/>
      <c r="W138" s="1775"/>
      <c r="X138" s="1775"/>
      <c r="Y138" s="1775"/>
      <c r="Z138" s="1775"/>
      <c r="AA138" s="1775"/>
      <c r="AB138" s="1775"/>
      <c r="AC138" s="1775"/>
    </row>
    <row r="139" spans="1:29" s="1320" customFormat="1">
      <c r="A139" s="1775"/>
      <c r="B139" s="1775"/>
      <c r="C139" s="1775"/>
      <c r="D139" s="1775"/>
      <c r="E139" s="1775"/>
      <c r="F139" s="1775"/>
      <c r="G139" s="1775"/>
      <c r="H139" s="1775"/>
      <c r="I139" s="1775"/>
      <c r="J139" s="1775"/>
      <c r="K139" s="1776"/>
      <c r="L139" s="1777"/>
      <c r="M139" s="1775"/>
      <c r="N139" s="1775"/>
      <c r="O139" s="1775"/>
      <c r="P139" s="1775"/>
      <c r="Q139" s="1775"/>
      <c r="R139" s="1775"/>
      <c r="S139" s="1775"/>
      <c r="T139" s="1775"/>
      <c r="U139" s="1775"/>
      <c r="V139" s="1775"/>
      <c r="W139" s="1775"/>
      <c r="X139" s="1775"/>
      <c r="Y139" s="1775"/>
      <c r="Z139" s="1775"/>
      <c r="AA139" s="1775"/>
      <c r="AB139" s="1775"/>
      <c r="AC139" s="1775"/>
    </row>
    <row r="140" spans="1:29" s="1320" customFormat="1">
      <c r="A140" s="1775"/>
      <c r="B140" s="1775"/>
      <c r="C140" s="1775"/>
      <c r="D140" s="1775"/>
      <c r="E140" s="1775"/>
      <c r="F140" s="1775"/>
      <c r="G140" s="1775"/>
      <c r="H140" s="1775"/>
      <c r="I140" s="1775"/>
      <c r="J140" s="1775"/>
      <c r="K140" s="1776"/>
      <c r="L140" s="1777"/>
      <c r="M140" s="1775"/>
      <c r="N140" s="1775"/>
      <c r="O140" s="1775"/>
      <c r="P140" s="1775"/>
      <c r="Q140" s="1775"/>
      <c r="R140" s="1775"/>
      <c r="S140" s="1775"/>
      <c r="T140" s="1775"/>
      <c r="U140" s="1775"/>
      <c r="V140" s="1775"/>
      <c r="W140" s="1775"/>
      <c r="X140" s="1775"/>
      <c r="Y140" s="1775"/>
      <c r="Z140" s="1775"/>
      <c r="AA140" s="1775"/>
      <c r="AB140" s="1775"/>
      <c r="AC140" s="1775"/>
    </row>
    <row r="141" spans="1:29" s="1320" customFormat="1">
      <c r="A141" s="1775"/>
      <c r="B141" s="1775"/>
      <c r="C141" s="1775"/>
      <c r="D141" s="1775"/>
      <c r="E141" s="1775"/>
      <c r="F141" s="1775"/>
      <c r="G141" s="1775"/>
      <c r="H141" s="1775"/>
      <c r="I141" s="1775"/>
      <c r="J141" s="1775"/>
      <c r="K141" s="1776"/>
      <c r="L141" s="1777"/>
      <c r="M141" s="1775"/>
      <c r="N141" s="1775"/>
      <c r="O141" s="1775"/>
      <c r="P141" s="1775"/>
      <c r="Q141" s="1775"/>
      <c r="R141" s="1775"/>
      <c r="S141" s="1775"/>
      <c r="T141" s="1775"/>
      <c r="U141" s="1775"/>
      <c r="V141" s="1775"/>
      <c r="W141" s="1775"/>
      <c r="X141" s="1775"/>
      <c r="Y141" s="1775"/>
      <c r="Z141" s="1775"/>
      <c r="AA141" s="1775"/>
      <c r="AB141" s="1775"/>
      <c r="AC141" s="1775"/>
    </row>
    <row r="142" spans="1:29" s="1320" customFormat="1">
      <c r="A142" s="1775"/>
      <c r="B142" s="1775"/>
      <c r="C142" s="1775"/>
      <c r="D142" s="1775"/>
      <c r="E142" s="1775"/>
      <c r="F142" s="1775"/>
      <c r="G142" s="1775"/>
      <c r="H142" s="1775"/>
      <c r="I142" s="1775"/>
      <c r="J142" s="1775"/>
      <c r="K142" s="1776"/>
      <c r="L142" s="1777"/>
      <c r="M142" s="1775"/>
      <c r="N142" s="1775"/>
      <c r="O142" s="1775"/>
      <c r="P142" s="1775"/>
      <c r="Q142" s="1775"/>
      <c r="R142" s="1775"/>
      <c r="S142" s="1775"/>
      <c r="T142" s="1775"/>
      <c r="U142" s="1775"/>
      <c r="V142" s="1775"/>
      <c r="W142" s="1775"/>
      <c r="X142" s="1775"/>
      <c r="Y142" s="1775"/>
      <c r="Z142" s="1775"/>
      <c r="AA142" s="1775"/>
      <c r="AB142" s="1775"/>
      <c r="AC142" s="1775"/>
    </row>
    <row r="143" spans="1:29" s="1320" customFormat="1">
      <c r="A143" s="1775"/>
      <c r="B143" s="1775"/>
      <c r="C143" s="1775"/>
      <c r="D143" s="1775"/>
      <c r="E143" s="1775"/>
      <c r="F143" s="1775"/>
      <c r="G143" s="1775"/>
      <c r="H143" s="1775"/>
      <c r="I143" s="1775"/>
      <c r="J143" s="1775"/>
      <c r="K143" s="1776"/>
      <c r="L143" s="1777"/>
      <c r="M143" s="1775"/>
      <c r="N143" s="1775"/>
      <c r="O143" s="1775"/>
      <c r="P143" s="1775"/>
      <c r="Q143" s="1775"/>
      <c r="R143" s="1775"/>
      <c r="S143" s="1775"/>
      <c r="T143" s="1775"/>
      <c r="U143" s="1775"/>
      <c r="V143" s="1775"/>
      <c r="W143" s="1775"/>
      <c r="X143" s="1775"/>
      <c r="Y143" s="1775"/>
      <c r="Z143" s="1775"/>
      <c r="AA143" s="1775"/>
      <c r="AB143" s="1775"/>
      <c r="AC143" s="1775"/>
    </row>
    <row r="144" spans="1:29" s="1320" customFormat="1">
      <c r="A144" s="1775"/>
      <c r="B144" s="1775"/>
      <c r="C144" s="1775"/>
      <c r="D144" s="1775"/>
      <c r="E144" s="1775"/>
      <c r="F144" s="1775"/>
      <c r="G144" s="1775"/>
      <c r="H144" s="1775"/>
      <c r="I144" s="1775"/>
      <c r="J144" s="1775"/>
      <c r="K144" s="1776"/>
      <c r="L144" s="1777"/>
      <c r="M144" s="1775"/>
      <c r="N144" s="1775"/>
      <c r="O144" s="1775"/>
      <c r="P144" s="1775"/>
      <c r="Q144" s="1775"/>
      <c r="R144" s="1775"/>
      <c r="S144" s="1775"/>
      <c r="T144" s="1775"/>
      <c r="U144" s="1775"/>
      <c r="V144" s="1775"/>
      <c r="W144" s="1775"/>
      <c r="X144" s="1775"/>
      <c r="Y144" s="1775"/>
      <c r="Z144" s="1775"/>
      <c r="AA144" s="1775"/>
      <c r="AB144" s="1775"/>
      <c r="AC144" s="1775"/>
    </row>
    <row r="145" spans="1:29" s="1320" customFormat="1">
      <c r="A145" s="1775"/>
      <c r="B145" s="1775"/>
      <c r="C145" s="1775"/>
      <c r="D145" s="1775"/>
      <c r="E145" s="1775"/>
      <c r="F145" s="1775"/>
      <c r="G145" s="1775"/>
      <c r="H145" s="1775"/>
      <c r="I145" s="1775"/>
      <c r="J145" s="1775"/>
      <c r="K145" s="1776"/>
      <c r="L145" s="1777"/>
      <c r="M145" s="1775"/>
      <c r="N145" s="1775"/>
      <c r="O145" s="1775"/>
      <c r="P145" s="1775"/>
      <c r="Q145" s="1775"/>
      <c r="R145" s="1775"/>
      <c r="S145" s="1775"/>
      <c r="T145" s="1775"/>
      <c r="U145" s="1775"/>
      <c r="V145" s="1775"/>
      <c r="W145" s="1775"/>
      <c r="X145" s="1775"/>
      <c r="Y145" s="1775"/>
      <c r="Z145" s="1775"/>
      <c r="AA145" s="1775"/>
      <c r="AB145" s="1775"/>
      <c r="AC145" s="1775"/>
    </row>
    <row r="146" spans="1:29" s="1320" customFormat="1">
      <c r="A146" s="1775"/>
      <c r="B146" s="1775"/>
      <c r="C146" s="1775"/>
      <c r="D146" s="1775"/>
      <c r="E146" s="1775"/>
      <c r="F146" s="1775"/>
      <c r="G146" s="1775"/>
      <c r="H146" s="1775"/>
      <c r="I146" s="1775"/>
      <c r="J146" s="1775"/>
      <c r="K146" s="1776"/>
      <c r="L146" s="1777"/>
      <c r="M146" s="1775"/>
      <c r="N146" s="1775"/>
      <c r="O146" s="1775"/>
      <c r="P146" s="1775"/>
      <c r="Q146" s="1775"/>
      <c r="R146" s="1775"/>
      <c r="S146" s="1775"/>
      <c r="T146" s="1775"/>
      <c r="U146" s="1775"/>
      <c r="V146" s="1775"/>
      <c r="W146" s="1775"/>
      <c r="X146" s="1775"/>
      <c r="Y146" s="1775"/>
      <c r="Z146" s="1775"/>
      <c r="AA146" s="1775"/>
      <c r="AB146" s="1775"/>
      <c r="AC146" s="1775"/>
    </row>
    <row r="147" spans="1:29" s="1320" customFormat="1">
      <c r="A147" s="1775"/>
      <c r="B147" s="1775"/>
      <c r="C147" s="1775"/>
      <c r="D147" s="1775"/>
      <c r="E147" s="1775"/>
      <c r="F147" s="1775"/>
      <c r="G147" s="1775"/>
      <c r="H147" s="1775"/>
      <c r="I147" s="1775"/>
      <c r="J147" s="1775"/>
      <c r="K147" s="1776"/>
      <c r="L147" s="1777"/>
      <c r="M147" s="1775"/>
      <c r="N147" s="1775"/>
      <c r="O147" s="1775"/>
      <c r="P147" s="1775"/>
      <c r="Q147" s="1775"/>
      <c r="R147" s="1775"/>
      <c r="S147" s="1775"/>
      <c r="T147" s="1775"/>
      <c r="U147" s="1775"/>
      <c r="V147" s="1775"/>
      <c r="W147" s="1775"/>
      <c r="X147" s="1775"/>
      <c r="Y147" s="1775"/>
      <c r="Z147" s="1775"/>
      <c r="AA147" s="1775"/>
      <c r="AB147" s="1775"/>
      <c r="AC147" s="1775"/>
    </row>
    <row r="148" spans="1:29" s="1320" customFormat="1">
      <c r="A148" s="1775"/>
      <c r="B148" s="1775"/>
      <c r="C148" s="1775"/>
      <c r="D148" s="1775"/>
      <c r="E148" s="1775"/>
      <c r="F148" s="1775"/>
      <c r="G148" s="1775"/>
      <c r="H148" s="1775"/>
      <c r="I148" s="1775"/>
      <c r="J148" s="1775"/>
      <c r="K148" s="1776"/>
      <c r="L148" s="1777"/>
      <c r="M148" s="1775"/>
      <c r="N148" s="1775"/>
      <c r="O148" s="1775"/>
      <c r="P148" s="1775"/>
      <c r="Q148" s="1775"/>
      <c r="R148" s="1775"/>
      <c r="S148" s="1775"/>
      <c r="T148" s="1775"/>
      <c r="U148" s="1775"/>
      <c r="V148" s="1775"/>
      <c r="W148" s="1775"/>
      <c r="X148" s="1775"/>
      <c r="Y148" s="1775"/>
      <c r="Z148" s="1775"/>
      <c r="AA148" s="1775"/>
      <c r="AB148" s="1775"/>
      <c r="AC148" s="1775"/>
    </row>
    <row r="149" spans="1:29" s="1320" customFormat="1">
      <c r="A149" s="1775"/>
      <c r="B149" s="1775"/>
      <c r="C149" s="1775"/>
      <c r="D149" s="1775"/>
      <c r="E149" s="1775"/>
      <c r="F149" s="1775"/>
      <c r="G149" s="1775"/>
      <c r="H149" s="1775"/>
      <c r="I149" s="1775"/>
      <c r="J149" s="1775"/>
      <c r="K149" s="1776"/>
      <c r="L149" s="1777"/>
      <c r="M149" s="1775"/>
      <c r="N149" s="1775"/>
      <c r="O149" s="1775"/>
      <c r="P149" s="1775"/>
      <c r="Q149" s="1775"/>
      <c r="R149" s="1775"/>
      <c r="S149" s="1775"/>
      <c r="T149" s="1775"/>
      <c r="U149" s="1775"/>
      <c r="V149" s="1775"/>
      <c r="W149" s="1775"/>
      <c r="X149" s="1775"/>
      <c r="Y149" s="1775"/>
      <c r="Z149" s="1775"/>
      <c r="AA149" s="1775"/>
      <c r="AB149" s="1775"/>
      <c r="AC149" s="1775"/>
    </row>
    <row r="150" spans="1:29" s="1320" customFormat="1">
      <c r="A150" s="1775"/>
      <c r="B150" s="1775"/>
      <c r="C150" s="1775"/>
      <c r="D150" s="1775"/>
      <c r="E150" s="1775"/>
      <c r="F150" s="1775"/>
      <c r="G150" s="1775"/>
      <c r="H150" s="1775"/>
      <c r="I150" s="1775"/>
      <c r="J150" s="1775"/>
      <c r="K150" s="1776"/>
      <c r="L150" s="1777"/>
      <c r="M150" s="1775"/>
      <c r="N150" s="1775"/>
      <c r="O150" s="1775"/>
      <c r="P150" s="1775"/>
      <c r="Q150" s="1775"/>
      <c r="R150" s="1775"/>
      <c r="S150" s="1775"/>
      <c r="T150" s="1775"/>
      <c r="U150" s="1775"/>
      <c r="V150" s="1775"/>
      <c r="W150" s="1775"/>
      <c r="X150" s="1775"/>
      <c r="Y150" s="1775"/>
      <c r="Z150" s="1775"/>
      <c r="AA150" s="1775"/>
      <c r="AB150" s="1775"/>
      <c r="AC150" s="1775"/>
    </row>
    <row r="151" spans="1:29" s="1320" customFormat="1">
      <c r="A151" s="1775"/>
      <c r="B151" s="1775"/>
      <c r="C151" s="1775"/>
      <c r="D151" s="1775"/>
      <c r="E151" s="1775"/>
      <c r="F151" s="1775"/>
      <c r="G151" s="1775"/>
      <c r="H151" s="1775"/>
      <c r="I151" s="1775"/>
      <c r="J151" s="1775"/>
      <c r="K151" s="1776"/>
      <c r="L151" s="1777"/>
      <c r="M151" s="1775"/>
      <c r="N151" s="1775"/>
      <c r="O151" s="1775"/>
      <c r="P151" s="1775"/>
      <c r="Q151" s="1775"/>
      <c r="R151" s="1775"/>
      <c r="S151" s="1775"/>
      <c r="T151" s="1775"/>
      <c r="U151" s="1775"/>
      <c r="V151" s="1775"/>
      <c r="W151" s="1775"/>
      <c r="X151" s="1775"/>
      <c r="Y151" s="1775"/>
      <c r="Z151" s="1775"/>
      <c r="AA151" s="1775"/>
      <c r="AB151" s="1775"/>
      <c r="AC151" s="1775"/>
    </row>
    <row r="152" spans="1:29" s="1320" customFormat="1">
      <c r="A152" s="1775"/>
      <c r="B152" s="1775"/>
      <c r="C152" s="1775"/>
      <c r="D152" s="1775"/>
      <c r="E152" s="1775"/>
      <c r="F152" s="1775"/>
      <c r="G152" s="1775"/>
      <c r="H152" s="1775"/>
      <c r="I152" s="1775"/>
      <c r="J152" s="1775"/>
      <c r="K152" s="1776"/>
      <c r="L152" s="1777"/>
      <c r="M152" s="1775"/>
      <c r="N152" s="1775"/>
      <c r="O152" s="1775"/>
      <c r="P152" s="1775"/>
      <c r="Q152" s="1775"/>
      <c r="R152" s="1775"/>
      <c r="S152" s="1775"/>
      <c r="T152" s="1775"/>
      <c r="U152" s="1775"/>
      <c r="V152" s="1775"/>
      <c r="W152" s="1775"/>
      <c r="X152" s="1775"/>
      <c r="Y152" s="1775"/>
      <c r="Z152" s="1775"/>
      <c r="AA152" s="1775"/>
      <c r="AB152" s="1775"/>
      <c r="AC152" s="1775"/>
    </row>
    <row r="153" spans="1:29" s="1320" customFormat="1">
      <c r="A153" s="1775"/>
      <c r="B153" s="1775"/>
      <c r="C153" s="1775"/>
      <c r="D153" s="1775"/>
      <c r="E153" s="1775"/>
      <c r="F153" s="1775"/>
      <c r="G153" s="1775"/>
      <c r="H153" s="1775"/>
      <c r="I153" s="1775"/>
      <c r="J153" s="1775"/>
      <c r="K153" s="1776"/>
      <c r="L153" s="1777"/>
      <c r="M153" s="1775"/>
      <c r="N153" s="1775"/>
      <c r="O153" s="1775"/>
      <c r="P153" s="1775"/>
      <c r="Q153" s="1775"/>
      <c r="R153" s="1775"/>
      <c r="S153" s="1775"/>
      <c r="T153" s="1775"/>
      <c r="U153" s="1775"/>
      <c r="V153" s="1775"/>
      <c r="W153" s="1775"/>
      <c r="X153" s="1775"/>
      <c r="Y153" s="1775"/>
      <c r="Z153" s="1775"/>
      <c r="AA153" s="1775"/>
      <c r="AB153" s="1775"/>
      <c r="AC153" s="1775"/>
    </row>
    <row r="154" spans="1:29" s="1320" customFormat="1">
      <c r="A154" s="1775"/>
      <c r="B154" s="1775"/>
      <c r="C154" s="1775"/>
      <c r="D154" s="1775"/>
      <c r="E154" s="1775"/>
      <c r="F154" s="1775"/>
      <c r="G154" s="1775"/>
      <c r="H154" s="1775"/>
      <c r="I154" s="1775"/>
      <c r="J154" s="1775"/>
      <c r="K154" s="1776"/>
      <c r="L154" s="1777"/>
      <c r="M154" s="1775"/>
      <c r="N154" s="1775"/>
      <c r="O154" s="1775"/>
      <c r="P154" s="1775"/>
      <c r="Q154" s="1775"/>
      <c r="R154" s="1775"/>
      <c r="S154" s="1775"/>
      <c r="T154" s="1775"/>
      <c r="U154" s="1775"/>
      <c r="V154" s="1775"/>
      <c r="W154" s="1775"/>
      <c r="X154" s="1775"/>
      <c r="Y154" s="1775"/>
      <c r="Z154" s="1775"/>
      <c r="AA154" s="1775"/>
      <c r="AB154" s="1775"/>
      <c r="AC154" s="1775"/>
    </row>
    <row r="155" spans="1:29" s="1320" customFormat="1">
      <c r="A155" s="1775"/>
      <c r="B155" s="1775"/>
      <c r="C155" s="1775"/>
      <c r="D155" s="1775"/>
      <c r="E155" s="1775"/>
      <c r="F155" s="1775"/>
      <c r="G155" s="1775"/>
      <c r="H155" s="1775"/>
      <c r="I155" s="1775"/>
      <c r="J155" s="1775"/>
      <c r="K155" s="1776"/>
      <c r="L155" s="1777"/>
      <c r="M155" s="1775"/>
      <c r="N155" s="1775"/>
      <c r="O155" s="1775"/>
      <c r="P155" s="1775"/>
      <c r="Q155" s="1775"/>
      <c r="R155" s="1775"/>
      <c r="S155" s="1775"/>
      <c r="T155" s="1775"/>
      <c r="U155" s="1775"/>
      <c r="V155" s="1775"/>
      <c r="W155" s="1775"/>
      <c r="X155" s="1775"/>
      <c r="Y155" s="1775"/>
      <c r="Z155" s="1775"/>
      <c r="AA155" s="1775"/>
      <c r="AB155" s="1775"/>
      <c r="AC155" s="1775"/>
    </row>
    <row r="156" spans="1:29" s="1320" customFormat="1">
      <c r="A156" s="1775"/>
      <c r="B156" s="1775"/>
      <c r="C156" s="1775"/>
      <c r="D156" s="1775"/>
      <c r="E156" s="1775"/>
      <c r="F156" s="1775"/>
      <c r="G156" s="1775"/>
      <c r="H156" s="1775"/>
      <c r="I156" s="1775"/>
      <c r="J156" s="1775"/>
      <c r="K156" s="1776"/>
      <c r="L156" s="1777"/>
      <c r="M156" s="1775"/>
      <c r="N156" s="1775"/>
      <c r="O156" s="1775"/>
      <c r="P156" s="1775"/>
      <c r="Q156" s="1775"/>
      <c r="R156" s="1775"/>
      <c r="S156" s="1775"/>
      <c r="T156" s="1775"/>
      <c r="U156" s="1775"/>
      <c r="V156" s="1775"/>
      <c r="W156" s="1775"/>
      <c r="X156" s="1775"/>
      <c r="Y156" s="1775"/>
      <c r="Z156" s="1775"/>
      <c r="AA156" s="1775"/>
      <c r="AB156" s="1775"/>
      <c r="AC156" s="1775"/>
    </row>
    <row r="157" spans="1:29" s="1320" customFormat="1">
      <c r="A157" s="1775"/>
      <c r="B157" s="1775"/>
      <c r="C157" s="1775"/>
      <c r="D157" s="1775"/>
      <c r="E157" s="1775"/>
      <c r="F157" s="1775"/>
      <c r="G157" s="1775"/>
      <c r="H157" s="1775"/>
      <c r="I157" s="1775"/>
      <c r="J157" s="1775"/>
      <c r="K157" s="1776"/>
      <c r="L157" s="1777"/>
      <c r="M157" s="1775"/>
      <c r="N157" s="1775"/>
      <c r="O157" s="1775"/>
      <c r="P157" s="1775"/>
      <c r="Q157" s="1775"/>
      <c r="R157" s="1775"/>
      <c r="S157" s="1775"/>
      <c r="T157" s="1775"/>
      <c r="U157" s="1775"/>
      <c r="V157" s="1775"/>
      <c r="W157" s="1775"/>
      <c r="X157" s="1775"/>
      <c r="Y157" s="1775"/>
      <c r="Z157" s="1775"/>
      <c r="AA157" s="1775"/>
      <c r="AB157" s="1775"/>
      <c r="AC157" s="1775"/>
    </row>
    <row r="158" spans="1:29" s="1320" customFormat="1">
      <c r="A158" s="1775"/>
      <c r="B158" s="1775"/>
      <c r="C158" s="1775"/>
      <c r="D158" s="1775"/>
      <c r="E158" s="1775"/>
      <c r="F158" s="1775"/>
      <c r="G158" s="1775"/>
      <c r="H158" s="1775"/>
      <c r="I158" s="1775"/>
      <c r="J158" s="1775"/>
      <c r="K158" s="1776"/>
      <c r="L158" s="1777"/>
      <c r="M158" s="1775"/>
      <c r="N158" s="1775"/>
      <c r="O158" s="1775"/>
      <c r="P158" s="1775"/>
      <c r="Q158" s="1775"/>
      <c r="R158" s="1775"/>
      <c r="S158" s="1775"/>
      <c r="T158" s="1775"/>
      <c r="U158" s="1775"/>
      <c r="V158" s="1775"/>
      <c r="W158" s="1775"/>
      <c r="X158" s="1775"/>
      <c r="Y158" s="1775"/>
      <c r="Z158" s="1775"/>
      <c r="AA158" s="1775"/>
      <c r="AB158" s="1775"/>
      <c r="AC158" s="1775"/>
    </row>
    <row r="159" spans="1:29" s="1320" customFormat="1">
      <c r="A159" s="1775"/>
      <c r="B159" s="1775"/>
      <c r="C159" s="1775"/>
      <c r="D159" s="1775"/>
      <c r="E159" s="1775"/>
      <c r="F159" s="1775"/>
      <c r="G159" s="1775"/>
      <c r="H159" s="1775"/>
      <c r="I159" s="1775"/>
      <c r="J159" s="1775"/>
      <c r="K159" s="1776"/>
      <c r="L159" s="1777"/>
      <c r="M159" s="1775"/>
      <c r="N159" s="1775"/>
      <c r="O159" s="1775"/>
      <c r="P159" s="1775"/>
      <c r="Q159" s="1775"/>
      <c r="R159" s="1775"/>
      <c r="S159" s="1775"/>
      <c r="T159" s="1775"/>
      <c r="U159" s="1775"/>
      <c r="V159" s="1775"/>
      <c r="W159" s="1775"/>
      <c r="X159" s="1775"/>
      <c r="Y159" s="1775"/>
      <c r="Z159" s="1775"/>
      <c r="AA159" s="1775"/>
      <c r="AB159" s="1775"/>
      <c r="AC159" s="1775"/>
    </row>
    <row r="160" spans="1:29" s="1320" customFormat="1">
      <c r="A160" s="1775"/>
      <c r="B160" s="1775"/>
      <c r="C160" s="1775"/>
      <c r="D160" s="1775"/>
      <c r="E160" s="1775"/>
      <c r="F160" s="1775"/>
      <c r="G160" s="1775"/>
      <c r="H160" s="1775"/>
      <c r="I160" s="1775"/>
      <c r="J160" s="1775"/>
      <c r="K160" s="1776"/>
      <c r="L160" s="1777"/>
      <c r="M160" s="1775"/>
      <c r="N160" s="1775"/>
      <c r="O160" s="1775"/>
      <c r="P160" s="1775"/>
      <c r="Q160" s="1775"/>
      <c r="R160" s="1775"/>
      <c r="S160" s="1775"/>
      <c r="T160" s="1775"/>
      <c r="U160" s="1775"/>
      <c r="V160" s="1775"/>
      <c r="W160" s="1775"/>
      <c r="X160" s="1775"/>
      <c r="Y160" s="1775"/>
      <c r="Z160" s="1775"/>
      <c r="AA160" s="1775"/>
      <c r="AB160" s="1775"/>
      <c r="AC160" s="1775"/>
    </row>
    <row r="161" spans="1:29" s="1320" customFormat="1">
      <c r="A161" s="1775"/>
      <c r="B161" s="1775"/>
      <c r="C161" s="1775"/>
      <c r="D161" s="1775"/>
      <c r="E161" s="1775"/>
      <c r="F161" s="1775"/>
      <c r="G161" s="1775"/>
      <c r="H161" s="1775"/>
      <c r="I161" s="1775"/>
      <c r="J161" s="1775"/>
      <c r="K161" s="1776"/>
      <c r="L161" s="1777"/>
      <c r="M161" s="1775"/>
      <c r="N161" s="1775"/>
      <c r="O161" s="1775"/>
      <c r="P161" s="1775"/>
      <c r="Q161" s="1775"/>
      <c r="R161" s="1775"/>
      <c r="S161" s="1775"/>
      <c r="T161" s="1775"/>
      <c r="U161" s="1775"/>
      <c r="V161" s="1775"/>
      <c r="W161" s="1775"/>
      <c r="X161" s="1775"/>
      <c r="Y161" s="1775"/>
      <c r="Z161" s="1775"/>
      <c r="AA161" s="1775"/>
      <c r="AB161" s="1775"/>
      <c r="AC161" s="1775"/>
    </row>
    <row r="162" spans="1:29" s="1320" customFormat="1">
      <c r="A162" s="1775"/>
      <c r="B162" s="1775"/>
      <c r="C162" s="1775"/>
      <c r="D162" s="1775"/>
      <c r="E162" s="1775"/>
      <c r="F162" s="1775"/>
      <c r="G162" s="1775"/>
      <c r="H162" s="1775"/>
      <c r="I162" s="1775"/>
      <c r="J162" s="1775"/>
      <c r="K162" s="1776"/>
      <c r="L162" s="1777"/>
      <c r="M162" s="1775"/>
      <c r="N162" s="1775"/>
      <c r="O162" s="1775"/>
      <c r="P162" s="1775"/>
      <c r="Q162" s="1775"/>
      <c r="R162" s="1775"/>
      <c r="S162" s="1775"/>
      <c r="T162" s="1775"/>
      <c r="U162" s="1775"/>
      <c r="V162" s="1775"/>
      <c r="W162" s="1775"/>
      <c r="X162" s="1775"/>
      <c r="Y162" s="1775"/>
      <c r="Z162" s="1775"/>
      <c r="AA162" s="1775"/>
      <c r="AB162" s="1775"/>
      <c r="AC162" s="1775"/>
    </row>
    <row r="163" spans="1:29" s="1320" customFormat="1">
      <c r="A163" s="1775"/>
      <c r="B163" s="1775"/>
      <c r="C163" s="1775"/>
      <c r="D163" s="1775"/>
      <c r="E163" s="1775"/>
      <c r="F163" s="1775"/>
      <c r="G163" s="1775"/>
      <c r="H163" s="1775"/>
      <c r="I163" s="1775"/>
      <c r="J163" s="1775"/>
      <c r="K163" s="1776"/>
      <c r="L163" s="1777"/>
      <c r="M163" s="1775"/>
      <c r="N163" s="1775"/>
      <c r="O163" s="1775"/>
      <c r="P163" s="1775"/>
      <c r="Q163" s="1775"/>
      <c r="R163" s="1775"/>
      <c r="S163" s="1775"/>
      <c r="T163" s="1775"/>
      <c r="U163" s="1775"/>
      <c r="V163" s="1775"/>
      <c r="W163" s="1775"/>
      <c r="X163" s="1775"/>
      <c r="Y163" s="1775"/>
      <c r="Z163" s="1775"/>
      <c r="AA163" s="1775"/>
      <c r="AB163" s="1775"/>
      <c r="AC163" s="1775"/>
    </row>
    <row r="164" spans="1:29" s="1320" customFormat="1">
      <c r="A164" s="1775"/>
      <c r="B164" s="1775"/>
      <c r="C164" s="1775"/>
      <c r="D164" s="1775"/>
      <c r="E164" s="1775"/>
      <c r="F164" s="1775"/>
      <c r="G164" s="1775"/>
      <c r="H164" s="1775"/>
      <c r="I164" s="1775"/>
      <c r="J164" s="1775"/>
      <c r="K164" s="1776"/>
      <c r="L164" s="1777"/>
      <c r="M164" s="1775"/>
      <c r="N164" s="1775"/>
      <c r="O164" s="1775"/>
      <c r="P164" s="1775"/>
      <c r="Q164" s="1775"/>
      <c r="R164" s="1775"/>
      <c r="S164" s="1775"/>
      <c r="T164" s="1775"/>
      <c r="U164" s="1775"/>
      <c r="V164" s="1775"/>
      <c r="W164" s="1775"/>
      <c r="X164" s="1775"/>
      <c r="Y164" s="1775"/>
      <c r="Z164" s="1775"/>
      <c r="AA164" s="1775"/>
      <c r="AB164" s="1775"/>
      <c r="AC164" s="1775"/>
    </row>
    <row r="165" spans="1:29" s="1320" customFormat="1">
      <c r="A165" s="1775"/>
      <c r="B165" s="1775"/>
      <c r="C165" s="1775"/>
      <c r="D165" s="1775"/>
      <c r="E165" s="1775"/>
      <c r="F165" s="1775"/>
      <c r="G165" s="1775"/>
      <c r="H165" s="1775"/>
      <c r="I165" s="1775"/>
      <c r="J165" s="1775"/>
      <c r="K165" s="1776"/>
      <c r="L165" s="1777"/>
      <c r="M165" s="1775"/>
      <c r="N165" s="1775"/>
      <c r="O165" s="1775"/>
      <c r="P165" s="1775"/>
      <c r="Q165" s="1775"/>
      <c r="R165" s="1775"/>
      <c r="S165" s="1775"/>
      <c r="T165" s="1775"/>
      <c r="U165" s="1775"/>
      <c r="V165" s="1775"/>
      <c r="W165" s="1775"/>
      <c r="X165" s="1775"/>
      <c r="Y165" s="1775"/>
      <c r="Z165" s="1775"/>
      <c r="AA165" s="1775"/>
      <c r="AB165" s="1775"/>
      <c r="AC165" s="1775"/>
    </row>
    <row r="166" spans="1:29" s="1320" customFormat="1">
      <c r="A166" s="1775"/>
      <c r="B166" s="1775"/>
      <c r="C166" s="1775"/>
      <c r="D166" s="1775"/>
      <c r="E166" s="1775"/>
      <c r="F166" s="1775"/>
      <c r="G166" s="1775"/>
      <c r="H166" s="1775"/>
      <c r="I166" s="1775"/>
      <c r="J166" s="1775"/>
      <c r="K166" s="1776"/>
      <c r="L166" s="1777"/>
      <c r="M166" s="1775"/>
      <c r="N166" s="1775"/>
      <c r="O166" s="1775"/>
      <c r="P166" s="1775"/>
      <c r="Q166" s="1775"/>
      <c r="R166" s="1775"/>
      <c r="S166" s="1775"/>
      <c r="T166" s="1775"/>
      <c r="U166" s="1775"/>
      <c r="V166" s="1775"/>
      <c r="W166" s="1775"/>
      <c r="X166" s="1775"/>
      <c r="Y166" s="1775"/>
      <c r="Z166" s="1775"/>
      <c r="AA166" s="1775"/>
      <c r="AB166" s="1775"/>
      <c r="AC166" s="1775"/>
    </row>
    <row r="167" spans="1:29" s="1320" customFormat="1">
      <c r="A167" s="1775"/>
      <c r="B167" s="1775"/>
      <c r="C167" s="1775"/>
      <c r="D167" s="1775"/>
      <c r="E167" s="1775"/>
      <c r="F167" s="1775"/>
      <c r="G167" s="1775"/>
      <c r="H167" s="1775"/>
      <c r="I167" s="1775"/>
      <c r="J167" s="1775"/>
      <c r="K167" s="1776"/>
      <c r="L167" s="1777"/>
      <c r="M167" s="1775"/>
      <c r="N167" s="1775"/>
      <c r="O167" s="1775"/>
      <c r="P167" s="1775"/>
      <c r="Q167" s="1775"/>
      <c r="R167" s="1775"/>
      <c r="S167" s="1775"/>
      <c r="T167" s="1775"/>
      <c r="U167" s="1775"/>
      <c r="V167" s="1775"/>
      <c r="W167" s="1775"/>
      <c r="X167" s="1775"/>
      <c r="Y167" s="1775"/>
      <c r="Z167" s="1775"/>
      <c r="AA167" s="1775"/>
      <c r="AB167" s="1775"/>
      <c r="AC167" s="1775"/>
    </row>
    <row r="168" spans="1:29" s="1320" customFormat="1">
      <c r="A168" s="1775"/>
      <c r="B168" s="1775"/>
      <c r="C168" s="1775"/>
      <c r="D168" s="1775"/>
      <c r="E168" s="1775"/>
      <c r="F168" s="1775"/>
      <c r="G168" s="1775"/>
      <c r="H168" s="1775"/>
      <c r="I168" s="1775"/>
      <c r="J168" s="1775"/>
      <c r="K168" s="1776"/>
      <c r="L168" s="1777"/>
      <c r="M168" s="1775"/>
      <c r="N168" s="1775"/>
      <c r="O168" s="1775"/>
      <c r="P168" s="1775"/>
      <c r="Q168" s="1775"/>
      <c r="R168" s="1775"/>
      <c r="S168" s="1775"/>
      <c r="T168" s="1775"/>
      <c r="U168" s="1775"/>
      <c r="V168" s="1775"/>
      <c r="W168" s="1775"/>
      <c r="X168" s="1775"/>
      <c r="Y168" s="1775"/>
      <c r="Z168" s="1775"/>
      <c r="AA168" s="1775"/>
      <c r="AB168" s="1775"/>
      <c r="AC168" s="1775"/>
    </row>
    <row r="169" spans="1:29" s="1320" customFormat="1">
      <c r="A169" s="1775"/>
      <c r="B169" s="1775"/>
      <c r="C169" s="1775"/>
      <c r="D169" s="1775"/>
      <c r="E169" s="1775"/>
      <c r="F169" s="1775"/>
      <c r="G169" s="1775"/>
      <c r="H169" s="1775"/>
      <c r="I169" s="1775"/>
      <c r="J169" s="1775"/>
      <c r="K169" s="1776"/>
      <c r="L169" s="1777"/>
      <c r="M169" s="1775"/>
      <c r="N169" s="1775"/>
      <c r="O169" s="1775"/>
      <c r="P169" s="1775"/>
      <c r="Q169" s="1775"/>
      <c r="R169" s="1775"/>
      <c r="S169" s="1775"/>
      <c r="T169" s="1775"/>
      <c r="U169" s="1775"/>
      <c r="V169" s="1775"/>
      <c r="W169" s="1775"/>
      <c r="X169" s="1775"/>
      <c r="Y169" s="1775"/>
      <c r="Z169" s="1775"/>
      <c r="AA169" s="1775"/>
      <c r="AB169" s="1775"/>
      <c r="AC169" s="1775"/>
    </row>
    <row r="170" spans="1:29" s="1320" customFormat="1">
      <c r="A170" s="1775"/>
      <c r="B170" s="1775"/>
      <c r="C170" s="1775"/>
      <c r="D170" s="1775"/>
      <c r="E170" s="1775"/>
      <c r="F170" s="1775"/>
      <c r="G170" s="1775"/>
      <c r="H170" s="1775"/>
      <c r="I170" s="1775"/>
      <c r="J170" s="1775"/>
      <c r="K170" s="1776"/>
      <c r="L170" s="1777"/>
      <c r="M170" s="1775"/>
      <c r="N170" s="1775"/>
      <c r="O170" s="1775"/>
      <c r="P170" s="1775"/>
      <c r="Q170" s="1775"/>
      <c r="R170" s="1775"/>
      <c r="S170" s="1775"/>
      <c r="T170" s="1775"/>
      <c r="U170" s="1775"/>
      <c r="V170" s="1775"/>
      <c r="W170" s="1775"/>
      <c r="X170" s="1775"/>
      <c r="Y170" s="1775"/>
      <c r="Z170" s="1775"/>
      <c r="AA170" s="1775"/>
      <c r="AB170" s="1775"/>
      <c r="AC170" s="1775"/>
    </row>
    <row r="171" spans="1:29" s="1320" customFormat="1">
      <c r="A171" s="1775"/>
      <c r="B171" s="1775"/>
      <c r="C171" s="1775"/>
      <c r="D171" s="1775"/>
      <c r="E171" s="1775"/>
      <c r="F171" s="1775"/>
      <c r="G171" s="1775"/>
      <c r="H171" s="1775"/>
      <c r="I171" s="1775"/>
      <c r="J171" s="1775"/>
      <c r="K171" s="1776"/>
      <c r="L171" s="1777"/>
      <c r="M171" s="1775"/>
      <c r="N171" s="1775"/>
      <c r="O171" s="1775"/>
      <c r="P171" s="1775"/>
      <c r="Q171" s="1775"/>
      <c r="R171" s="1775"/>
      <c r="S171" s="1775"/>
      <c r="T171" s="1775"/>
      <c r="U171" s="1775"/>
      <c r="V171" s="1775"/>
      <c r="W171" s="1775"/>
      <c r="X171" s="1775"/>
      <c r="Y171" s="1775"/>
      <c r="Z171" s="1775"/>
      <c r="AA171" s="1775"/>
      <c r="AB171" s="1775"/>
      <c r="AC171" s="1775"/>
    </row>
    <row r="172" spans="1:29" s="1320" customFormat="1">
      <c r="A172" s="1775"/>
      <c r="B172" s="1775"/>
      <c r="C172" s="1775"/>
      <c r="D172" s="1775"/>
      <c r="E172" s="1775"/>
      <c r="F172" s="1775"/>
      <c r="G172" s="1775"/>
      <c r="H172" s="1775"/>
      <c r="I172" s="1775"/>
      <c r="J172" s="1775"/>
      <c r="K172" s="1776"/>
      <c r="L172" s="1777"/>
      <c r="M172" s="1775"/>
      <c r="N172" s="1775"/>
      <c r="O172" s="1775"/>
      <c r="P172" s="1775"/>
      <c r="Q172" s="1775"/>
      <c r="R172" s="1775"/>
      <c r="S172" s="1775"/>
      <c r="T172" s="1775"/>
      <c r="U172" s="1775"/>
      <c r="V172" s="1775"/>
      <c r="W172" s="1775"/>
      <c r="X172" s="1775"/>
      <c r="Y172" s="1775"/>
      <c r="Z172" s="1775"/>
      <c r="AA172" s="1775"/>
      <c r="AB172" s="1775"/>
      <c r="AC172" s="1775"/>
    </row>
    <row r="173" spans="1:29" s="1320" customFormat="1">
      <c r="A173" s="1775"/>
      <c r="B173" s="1775"/>
      <c r="C173" s="1775"/>
      <c r="D173" s="1775"/>
      <c r="E173" s="1775"/>
      <c r="F173" s="1775"/>
      <c r="G173" s="1775"/>
      <c r="H173" s="1775"/>
      <c r="I173" s="1775"/>
      <c r="J173" s="1775"/>
      <c r="K173" s="1776"/>
      <c r="L173" s="1777"/>
      <c r="M173" s="1775"/>
      <c r="N173" s="1775"/>
      <c r="O173" s="1775"/>
      <c r="P173" s="1775"/>
      <c r="Q173" s="1775"/>
      <c r="R173" s="1775"/>
      <c r="S173" s="1775"/>
      <c r="T173" s="1775"/>
      <c r="U173" s="1775"/>
      <c r="V173" s="1775"/>
      <c r="W173" s="1775"/>
      <c r="X173" s="1775"/>
      <c r="Y173" s="1775"/>
      <c r="Z173" s="1775"/>
      <c r="AA173" s="1775"/>
      <c r="AB173" s="1775"/>
      <c r="AC173" s="1775"/>
    </row>
    <row r="174" spans="1:29" s="1320" customFormat="1">
      <c r="A174" s="1775"/>
      <c r="B174" s="1775"/>
      <c r="C174" s="1775"/>
      <c r="D174" s="1775"/>
      <c r="E174" s="1775"/>
      <c r="F174" s="1775"/>
      <c r="G174" s="1775"/>
      <c r="H174" s="1775"/>
      <c r="I174" s="1775"/>
      <c r="J174" s="1775"/>
      <c r="K174" s="1776"/>
      <c r="L174" s="1777"/>
      <c r="M174" s="1775"/>
      <c r="N174" s="1775"/>
      <c r="O174" s="1775"/>
      <c r="P174" s="1775"/>
      <c r="Q174" s="1775"/>
      <c r="R174" s="1775"/>
      <c r="S174" s="1775"/>
      <c r="T174" s="1775"/>
      <c r="U174" s="1775"/>
      <c r="V174" s="1775"/>
      <c r="W174" s="1775"/>
      <c r="X174" s="1775"/>
      <c r="Y174" s="1775"/>
      <c r="Z174" s="1775"/>
      <c r="AA174" s="1775"/>
      <c r="AB174" s="1775"/>
      <c r="AC174" s="1775"/>
    </row>
    <row r="175" spans="1:29" s="1320" customFormat="1">
      <c r="A175" s="1775"/>
      <c r="B175" s="1775"/>
      <c r="C175" s="1775"/>
      <c r="D175" s="1775"/>
      <c r="E175" s="1775"/>
      <c r="F175" s="1775"/>
      <c r="G175" s="1775"/>
      <c r="H175" s="1775"/>
      <c r="I175" s="1775"/>
      <c r="J175" s="1775"/>
      <c r="K175" s="1776"/>
      <c r="L175" s="1777"/>
      <c r="M175" s="1775"/>
      <c r="N175" s="1775"/>
      <c r="O175" s="1775"/>
      <c r="P175" s="1775"/>
      <c r="Q175" s="1775"/>
      <c r="R175" s="1775"/>
      <c r="S175" s="1775"/>
      <c r="T175" s="1775"/>
      <c r="U175" s="1775"/>
      <c r="V175" s="1775"/>
      <c r="W175" s="1775"/>
      <c r="X175" s="1775"/>
      <c r="Y175" s="1775"/>
      <c r="Z175" s="1775"/>
      <c r="AA175" s="1775"/>
      <c r="AB175" s="1775"/>
      <c r="AC175" s="1775"/>
    </row>
    <row r="176" spans="1:29" s="1320" customFormat="1">
      <c r="A176" s="1775"/>
      <c r="B176" s="1775"/>
      <c r="C176" s="1775"/>
      <c r="D176" s="1775"/>
      <c r="E176" s="1775"/>
      <c r="F176" s="1775"/>
      <c r="G176" s="1775"/>
      <c r="H176" s="1775"/>
      <c r="I176" s="1775"/>
      <c r="J176" s="1775"/>
      <c r="K176" s="1776"/>
      <c r="L176" s="1777"/>
      <c r="M176" s="1775"/>
      <c r="N176" s="1775"/>
      <c r="O176" s="1775"/>
      <c r="P176" s="1775"/>
      <c r="Q176" s="1775"/>
      <c r="R176" s="1775"/>
      <c r="S176" s="1775"/>
      <c r="T176" s="1775"/>
      <c r="U176" s="1775"/>
      <c r="V176" s="1775"/>
      <c r="W176" s="1775"/>
      <c r="X176" s="1775"/>
      <c r="Y176" s="1775"/>
      <c r="Z176" s="1775"/>
      <c r="AA176" s="1775"/>
      <c r="AB176" s="1775"/>
      <c r="AC176" s="1775"/>
    </row>
    <row r="177" spans="1:29" s="1320" customFormat="1">
      <c r="A177" s="1775"/>
      <c r="B177" s="1775"/>
      <c r="C177" s="1775"/>
      <c r="D177" s="1775"/>
      <c r="E177" s="1775"/>
      <c r="F177" s="1775"/>
      <c r="G177" s="1775"/>
      <c r="H177" s="1775"/>
      <c r="I177" s="1775"/>
      <c r="J177" s="1775"/>
      <c r="K177" s="1776"/>
      <c r="L177" s="1777"/>
      <c r="M177" s="1775"/>
      <c r="N177" s="1775"/>
      <c r="O177" s="1775"/>
      <c r="P177" s="1775"/>
      <c r="Q177" s="1775"/>
      <c r="R177" s="1775"/>
      <c r="S177" s="1775"/>
      <c r="T177" s="1775"/>
      <c r="U177" s="1775"/>
      <c r="V177" s="1775"/>
      <c r="W177" s="1775"/>
      <c r="X177" s="1775"/>
      <c r="Y177" s="1775"/>
      <c r="Z177" s="1775"/>
      <c r="AA177" s="1775"/>
      <c r="AB177" s="1775"/>
      <c r="AC177" s="1775"/>
    </row>
    <row r="178" spans="1:29" s="1320" customFormat="1">
      <c r="A178" s="1775"/>
      <c r="B178" s="1775"/>
      <c r="C178" s="1775"/>
      <c r="D178" s="1775"/>
      <c r="E178" s="1775"/>
      <c r="F178" s="1775"/>
      <c r="G178" s="1775"/>
      <c r="H178" s="1775"/>
      <c r="I178" s="1775"/>
      <c r="J178" s="1775"/>
      <c r="K178" s="1776"/>
      <c r="L178" s="1777"/>
      <c r="M178" s="1775"/>
      <c r="N178" s="1775"/>
      <c r="O178" s="1775"/>
      <c r="P178" s="1775"/>
      <c r="Q178" s="1775"/>
      <c r="R178" s="1775"/>
      <c r="S178" s="1775"/>
      <c r="T178" s="1775"/>
      <c r="U178" s="1775"/>
      <c r="V178" s="1775"/>
      <c r="W178" s="1775"/>
      <c r="X178" s="1775"/>
      <c r="Y178" s="1775"/>
      <c r="Z178" s="1775"/>
      <c r="AA178" s="1775"/>
      <c r="AB178" s="1775"/>
      <c r="AC178" s="1775"/>
    </row>
    <row r="179" spans="1:29" s="1320" customFormat="1">
      <c r="A179" s="1775"/>
      <c r="B179" s="1775"/>
      <c r="C179" s="1775"/>
      <c r="D179" s="1775"/>
      <c r="E179" s="1775"/>
      <c r="F179" s="1775"/>
      <c r="G179" s="1775"/>
      <c r="H179" s="1775"/>
      <c r="I179" s="1775"/>
      <c r="J179" s="1775"/>
      <c r="K179" s="1776"/>
      <c r="L179" s="1777"/>
      <c r="M179" s="1775"/>
      <c r="N179" s="1775"/>
      <c r="O179" s="1775"/>
      <c r="P179" s="1775"/>
      <c r="Q179" s="1775"/>
      <c r="R179" s="1775"/>
      <c r="S179" s="1775"/>
      <c r="T179" s="1775"/>
      <c r="U179" s="1775"/>
      <c r="V179" s="1775"/>
      <c r="W179" s="1775"/>
      <c r="X179" s="1775"/>
      <c r="Y179" s="1775"/>
      <c r="Z179" s="1775"/>
      <c r="AA179" s="1775"/>
      <c r="AB179" s="1775"/>
      <c r="AC179" s="1775"/>
    </row>
    <row r="180" spans="1:29" s="1320" customFormat="1">
      <c r="A180" s="1775"/>
      <c r="B180" s="1775"/>
      <c r="C180" s="1775"/>
      <c r="D180" s="1775"/>
      <c r="E180" s="1775"/>
      <c r="F180" s="1775"/>
      <c r="G180" s="1775"/>
      <c r="H180" s="1775"/>
      <c r="I180" s="1775"/>
      <c r="J180" s="1775"/>
      <c r="K180" s="1776"/>
      <c r="L180" s="1777"/>
      <c r="M180" s="1775"/>
      <c r="N180" s="1775"/>
      <c r="O180" s="1775"/>
      <c r="P180" s="1775"/>
      <c r="Q180" s="1775"/>
      <c r="R180" s="1775"/>
      <c r="S180" s="1775"/>
      <c r="T180" s="1775"/>
      <c r="U180" s="1775"/>
      <c r="V180" s="1775"/>
      <c r="W180" s="1775"/>
      <c r="X180" s="1775"/>
      <c r="Y180" s="1775"/>
      <c r="Z180" s="1775"/>
      <c r="AA180" s="1775"/>
      <c r="AB180" s="1775"/>
      <c r="AC180" s="1775"/>
    </row>
    <row r="181" spans="1:29" s="1320" customFormat="1">
      <c r="A181" s="1775"/>
      <c r="B181" s="1775"/>
      <c r="C181" s="1775"/>
      <c r="D181" s="1775"/>
      <c r="E181" s="1775"/>
      <c r="F181" s="1775"/>
      <c r="G181" s="1775"/>
      <c r="H181" s="1775"/>
      <c r="I181" s="1775"/>
      <c r="J181" s="1775"/>
      <c r="K181" s="1776"/>
      <c r="L181" s="1777"/>
      <c r="M181" s="1775"/>
      <c r="N181" s="1775"/>
      <c r="O181" s="1775"/>
      <c r="P181" s="1775"/>
      <c r="Q181" s="1775"/>
      <c r="R181" s="1775"/>
      <c r="S181" s="1775"/>
      <c r="T181" s="1775"/>
      <c r="U181" s="1775"/>
      <c r="V181" s="1775"/>
      <c r="W181" s="1775"/>
      <c r="X181" s="1775"/>
      <c r="Y181" s="1775"/>
      <c r="Z181" s="1775"/>
      <c r="AA181" s="1775"/>
      <c r="AB181" s="1775"/>
      <c r="AC181" s="1775"/>
    </row>
    <row r="182" spans="1:29" s="1320" customFormat="1">
      <c r="A182" s="1775"/>
      <c r="B182" s="1775"/>
      <c r="C182" s="1775"/>
      <c r="D182" s="1775"/>
      <c r="E182" s="1775"/>
      <c r="F182" s="1775"/>
      <c r="G182" s="1775"/>
      <c r="H182" s="1775"/>
      <c r="I182" s="1775"/>
      <c r="J182" s="1775"/>
      <c r="K182" s="1776"/>
      <c r="L182" s="1777"/>
      <c r="M182" s="1775"/>
      <c r="N182" s="1775"/>
      <c r="O182" s="1775"/>
      <c r="P182" s="1775"/>
      <c r="Q182" s="1775"/>
      <c r="R182" s="1775"/>
      <c r="S182" s="1775"/>
      <c r="T182" s="1775"/>
      <c r="U182" s="1775"/>
      <c r="V182" s="1775"/>
      <c r="W182" s="1775"/>
      <c r="X182" s="1775"/>
      <c r="Y182" s="1775"/>
      <c r="Z182" s="1775"/>
      <c r="AA182" s="1775"/>
      <c r="AB182" s="1775"/>
      <c r="AC182" s="1775"/>
    </row>
    <row r="183" spans="1:29" s="1320" customFormat="1">
      <c r="A183" s="1775"/>
      <c r="B183" s="1775"/>
      <c r="C183" s="1775"/>
      <c r="D183" s="1775"/>
      <c r="E183" s="1775"/>
      <c r="F183" s="1775"/>
      <c r="G183" s="1775"/>
      <c r="H183" s="1775"/>
      <c r="I183" s="1775"/>
      <c r="J183" s="1775"/>
      <c r="K183" s="1776"/>
      <c r="L183" s="1777"/>
      <c r="M183" s="1775"/>
      <c r="N183" s="1775"/>
      <c r="O183" s="1775"/>
      <c r="P183" s="1775"/>
      <c r="Q183" s="1775"/>
      <c r="R183" s="1775"/>
      <c r="S183" s="1775"/>
      <c r="T183" s="1775"/>
      <c r="U183" s="1775"/>
      <c r="V183" s="1775"/>
      <c r="W183" s="1775"/>
      <c r="X183" s="1775"/>
      <c r="Y183" s="1775"/>
      <c r="Z183" s="1775"/>
      <c r="AA183" s="1775"/>
      <c r="AB183" s="1775"/>
      <c r="AC183" s="1775"/>
    </row>
    <row r="184" spans="1:29" s="1320" customFormat="1">
      <c r="A184" s="1775"/>
      <c r="B184" s="1775"/>
      <c r="C184" s="1775"/>
      <c r="D184" s="1775"/>
      <c r="E184" s="1775"/>
      <c r="F184" s="1775"/>
      <c r="G184" s="1775"/>
      <c r="H184" s="1775"/>
      <c r="I184" s="1775"/>
      <c r="J184" s="1775"/>
      <c r="K184" s="1776"/>
      <c r="L184" s="1777"/>
      <c r="M184" s="1775"/>
      <c r="N184" s="1775"/>
      <c r="O184" s="1775"/>
      <c r="P184" s="1775"/>
      <c r="Q184" s="1775"/>
      <c r="R184" s="1775"/>
      <c r="S184" s="1775"/>
      <c r="T184" s="1775"/>
      <c r="U184" s="1775"/>
      <c r="V184" s="1775"/>
      <c r="W184" s="1775"/>
      <c r="X184" s="1775"/>
      <c r="Y184" s="1775"/>
      <c r="Z184" s="1775"/>
      <c r="AA184" s="1775"/>
      <c r="AB184" s="1775"/>
      <c r="AC184" s="1775"/>
    </row>
    <row r="185" spans="1:29" s="1320" customFormat="1">
      <c r="A185" s="1775"/>
      <c r="B185" s="1775"/>
      <c r="C185" s="1775"/>
      <c r="D185" s="1775"/>
      <c r="E185" s="1775"/>
      <c r="F185" s="1775"/>
      <c r="G185" s="1775"/>
      <c r="H185" s="1775"/>
      <c r="I185" s="1775"/>
      <c r="J185" s="1775"/>
      <c r="K185" s="1776"/>
      <c r="L185" s="1777"/>
      <c r="M185" s="1775"/>
      <c r="N185" s="1775"/>
      <c r="O185" s="1775"/>
      <c r="P185" s="1775"/>
      <c r="Q185" s="1775"/>
      <c r="R185" s="1775"/>
      <c r="S185" s="1775"/>
      <c r="T185" s="1775"/>
      <c r="U185" s="1775"/>
      <c r="V185" s="1775"/>
      <c r="W185" s="1775"/>
      <c r="X185" s="1775"/>
      <c r="Y185" s="1775"/>
      <c r="Z185" s="1775"/>
      <c r="AA185" s="1775"/>
      <c r="AB185" s="1775"/>
      <c r="AC185" s="1775"/>
    </row>
    <row r="186" spans="1:29" s="1320" customFormat="1">
      <c r="A186" s="1775"/>
      <c r="B186" s="1775"/>
      <c r="C186" s="1775"/>
      <c r="D186" s="1775"/>
      <c r="E186" s="1775"/>
      <c r="F186" s="1775"/>
      <c r="G186" s="1775"/>
      <c r="H186" s="1775"/>
      <c r="I186" s="1775"/>
      <c r="J186" s="1775"/>
      <c r="K186" s="1776"/>
      <c r="L186" s="1777"/>
      <c r="M186" s="1775"/>
      <c r="N186" s="1775"/>
      <c r="O186" s="1775"/>
      <c r="P186" s="1775"/>
      <c r="Q186" s="1775"/>
      <c r="R186" s="1775"/>
      <c r="S186" s="1775"/>
      <c r="T186" s="1775"/>
      <c r="U186" s="1775"/>
      <c r="V186" s="1775"/>
      <c r="W186" s="1775"/>
      <c r="X186" s="1775"/>
      <c r="Y186" s="1775"/>
      <c r="Z186" s="1775"/>
      <c r="AA186" s="1775"/>
      <c r="AB186" s="1775"/>
      <c r="AC186" s="1775"/>
    </row>
    <row r="187" spans="1:29" s="1320" customFormat="1">
      <c r="A187" s="1775"/>
      <c r="B187" s="1775"/>
      <c r="C187" s="1775"/>
      <c r="D187" s="1775"/>
      <c r="E187" s="1775"/>
      <c r="F187" s="1775"/>
      <c r="G187" s="1775"/>
      <c r="H187" s="1775"/>
      <c r="I187" s="1775"/>
      <c r="J187" s="1775"/>
      <c r="K187" s="1776"/>
      <c r="L187" s="1777"/>
      <c r="M187" s="1775"/>
      <c r="N187" s="1775"/>
      <c r="O187" s="1775"/>
      <c r="P187" s="1775"/>
      <c r="Q187" s="1775"/>
      <c r="R187" s="1775"/>
      <c r="S187" s="1775"/>
      <c r="T187" s="1775"/>
      <c r="U187" s="1775"/>
      <c r="V187" s="1775"/>
      <c r="W187" s="1775"/>
      <c r="X187" s="1775"/>
      <c r="Y187" s="1775"/>
      <c r="Z187" s="1775"/>
      <c r="AA187" s="1775"/>
      <c r="AB187" s="1775"/>
      <c r="AC187" s="1775"/>
    </row>
    <row r="188" spans="1:29" s="1320" customFormat="1">
      <c r="A188" s="1775"/>
      <c r="B188" s="1775"/>
      <c r="C188" s="1775"/>
      <c r="D188" s="1775"/>
      <c r="E188" s="1775"/>
      <c r="F188" s="1775"/>
      <c r="G188" s="1775"/>
      <c r="H188" s="1775"/>
      <c r="I188" s="1775"/>
      <c r="J188" s="1775"/>
      <c r="K188" s="1776"/>
      <c r="L188" s="1777"/>
      <c r="M188" s="1775"/>
      <c r="N188" s="1775"/>
      <c r="O188" s="1775"/>
      <c r="P188" s="1775"/>
      <c r="Q188" s="1775"/>
      <c r="R188" s="1775"/>
      <c r="S188" s="1775"/>
      <c r="T188" s="1775"/>
      <c r="U188" s="1775"/>
      <c r="V188" s="1775"/>
      <c r="W188" s="1775"/>
      <c r="X188" s="1775"/>
      <c r="Y188" s="1775"/>
      <c r="Z188" s="1775"/>
      <c r="AA188" s="1775"/>
      <c r="AB188" s="1775"/>
      <c r="AC188" s="1775"/>
    </row>
    <row r="189" spans="1:29" s="1320" customFormat="1">
      <c r="A189" s="1775"/>
      <c r="B189" s="1775"/>
      <c r="C189" s="1775"/>
      <c r="D189" s="1775"/>
      <c r="E189" s="1775"/>
      <c r="F189" s="1775"/>
      <c r="G189" s="1775"/>
      <c r="H189" s="1775"/>
      <c r="I189" s="1775"/>
      <c r="J189" s="1775"/>
      <c r="K189" s="1776"/>
      <c r="L189" s="1777"/>
      <c r="M189" s="1775"/>
      <c r="N189" s="1775"/>
      <c r="O189" s="1775"/>
      <c r="P189" s="1775"/>
      <c r="Q189" s="1775"/>
      <c r="R189" s="1775"/>
      <c r="S189" s="1775"/>
      <c r="T189" s="1775"/>
      <c r="U189" s="1775"/>
      <c r="V189" s="1775"/>
      <c r="W189" s="1775"/>
      <c r="X189" s="1775"/>
      <c r="Y189" s="1775"/>
      <c r="Z189" s="1775"/>
      <c r="AA189" s="1775"/>
      <c r="AB189" s="1775"/>
      <c r="AC189" s="1775"/>
    </row>
    <row r="190" spans="1:29" s="1320" customFormat="1">
      <c r="A190" s="1775"/>
      <c r="B190" s="1775"/>
      <c r="C190" s="1775"/>
      <c r="D190" s="1775"/>
      <c r="E190" s="1775"/>
      <c r="F190" s="1775"/>
      <c r="G190" s="1775"/>
      <c r="H190" s="1775"/>
      <c r="I190" s="1775"/>
      <c r="J190" s="1775"/>
      <c r="K190" s="1776"/>
      <c r="L190" s="1777"/>
      <c r="M190" s="1775"/>
      <c r="N190" s="1775"/>
      <c r="O190" s="1775"/>
      <c r="P190" s="1775"/>
      <c r="Q190" s="1775"/>
      <c r="R190" s="1775"/>
      <c r="S190" s="1775"/>
      <c r="T190" s="1775"/>
      <c r="U190" s="1775"/>
      <c r="V190" s="1775"/>
      <c r="W190" s="1775"/>
      <c r="X190" s="1775"/>
      <c r="Y190" s="1775"/>
      <c r="Z190" s="1775"/>
      <c r="AA190" s="1775"/>
      <c r="AB190" s="1775"/>
      <c r="AC190" s="1775"/>
    </row>
    <row r="191" spans="1:29" s="1320" customFormat="1">
      <c r="A191" s="1775"/>
      <c r="B191" s="1775"/>
      <c r="C191" s="1775"/>
      <c r="D191" s="1775"/>
      <c r="E191" s="1775"/>
      <c r="F191" s="1775"/>
      <c r="G191" s="1775"/>
      <c r="H191" s="1775"/>
      <c r="I191" s="1775"/>
      <c r="J191" s="1775"/>
      <c r="K191" s="1776"/>
      <c r="L191" s="1777"/>
      <c r="M191" s="1775"/>
      <c r="N191" s="1775"/>
      <c r="O191" s="1775"/>
      <c r="P191" s="1775"/>
      <c r="Q191" s="1775"/>
      <c r="R191" s="1775"/>
      <c r="S191" s="1775"/>
      <c r="T191" s="1775"/>
      <c r="U191" s="1775"/>
      <c r="V191" s="1775"/>
      <c r="W191" s="1775"/>
      <c r="X191" s="1775"/>
      <c r="Y191" s="1775"/>
      <c r="Z191" s="1775"/>
      <c r="AA191" s="1775"/>
      <c r="AB191" s="1775"/>
      <c r="AC191" s="1775"/>
    </row>
    <row r="192" spans="1:29" s="1320" customFormat="1">
      <c r="A192" s="1775"/>
      <c r="B192" s="1775"/>
      <c r="C192" s="1775"/>
      <c r="D192" s="1775"/>
      <c r="E192" s="1775"/>
      <c r="F192" s="1775"/>
      <c r="G192" s="1775"/>
      <c r="H192" s="1775"/>
      <c r="I192" s="1775"/>
      <c r="J192" s="1775"/>
      <c r="K192" s="1776"/>
      <c r="L192" s="1777"/>
      <c r="M192" s="1775"/>
      <c r="N192" s="1775"/>
      <c r="O192" s="1775"/>
      <c r="P192" s="1775"/>
      <c r="Q192" s="1775"/>
      <c r="R192" s="1775"/>
      <c r="S192" s="1775"/>
      <c r="T192" s="1775"/>
      <c r="U192" s="1775"/>
      <c r="V192" s="1775"/>
      <c r="W192" s="1775"/>
      <c r="X192" s="1775"/>
      <c r="Y192" s="1775"/>
      <c r="Z192" s="1775"/>
      <c r="AA192" s="1775"/>
      <c r="AB192" s="1775"/>
      <c r="AC192" s="1775"/>
    </row>
    <row r="193" spans="1:29" s="1320" customFormat="1">
      <c r="A193" s="1775"/>
      <c r="B193" s="1775"/>
      <c r="C193" s="1775"/>
      <c r="D193" s="1775"/>
      <c r="E193" s="1775"/>
      <c r="F193" s="1775"/>
      <c r="G193" s="1775"/>
      <c r="H193" s="1775"/>
      <c r="I193" s="1775"/>
      <c r="J193" s="1775"/>
      <c r="K193" s="1776"/>
      <c r="L193" s="1777"/>
      <c r="M193" s="1775"/>
      <c r="N193" s="1775"/>
      <c r="O193" s="1775"/>
      <c r="P193" s="1775"/>
      <c r="Q193" s="1775"/>
      <c r="R193" s="1775"/>
      <c r="S193" s="1775"/>
      <c r="T193" s="1775"/>
      <c r="U193" s="1775"/>
      <c r="V193" s="1775"/>
      <c r="W193" s="1775"/>
      <c r="X193" s="1775"/>
      <c r="Y193" s="1775"/>
      <c r="Z193" s="1775"/>
      <c r="AA193" s="1775"/>
      <c r="AB193" s="1775"/>
      <c r="AC193" s="1775"/>
    </row>
    <row r="194" spans="1:29" s="1320" customFormat="1">
      <c r="A194" s="1775"/>
      <c r="B194" s="1775"/>
      <c r="C194" s="1775"/>
      <c r="D194" s="1775"/>
      <c r="E194" s="1775"/>
      <c r="F194" s="1775"/>
      <c r="G194" s="1775"/>
      <c r="H194" s="1775"/>
      <c r="I194" s="1775"/>
      <c r="J194" s="1775"/>
      <c r="K194" s="1776"/>
      <c r="L194" s="1777"/>
      <c r="M194" s="1775"/>
      <c r="N194" s="1775"/>
      <c r="O194" s="1775"/>
      <c r="P194" s="1775"/>
      <c r="Q194" s="1775"/>
      <c r="R194" s="1775"/>
      <c r="S194" s="1775"/>
      <c r="T194" s="1775"/>
      <c r="U194" s="1775"/>
      <c r="V194" s="1775"/>
      <c r="W194" s="1775"/>
      <c r="X194" s="1775"/>
      <c r="Y194" s="1775"/>
      <c r="Z194" s="1775"/>
      <c r="AA194" s="1775"/>
      <c r="AB194" s="1775"/>
      <c r="AC194" s="1775"/>
    </row>
    <row r="195" spans="1:29" s="1320" customFormat="1">
      <c r="A195" s="1775"/>
      <c r="B195" s="1775"/>
      <c r="C195" s="1775"/>
      <c r="D195" s="1775"/>
      <c r="E195" s="1775"/>
      <c r="F195" s="1775"/>
      <c r="G195" s="1775"/>
      <c r="H195" s="1775"/>
      <c r="I195" s="1775"/>
      <c r="J195" s="1775"/>
      <c r="K195" s="1776"/>
      <c r="L195" s="1777"/>
      <c r="M195" s="1775"/>
      <c r="N195" s="1775"/>
      <c r="O195" s="1775"/>
      <c r="P195" s="1775"/>
      <c r="Q195" s="1775"/>
      <c r="R195" s="1775"/>
      <c r="S195" s="1775"/>
      <c r="T195" s="1775"/>
      <c r="U195" s="1775"/>
      <c r="V195" s="1775"/>
      <c r="W195" s="1775"/>
      <c r="X195" s="1775"/>
      <c r="Y195" s="1775"/>
      <c r="Z195" s="1775"/>
      <c r="AA195" s="1775"/>
      <c r="AB195" s="1775"/>
      <c r="AC195" s="1775"/>
    </row>
    <row r="196" spans="1:29" s="1320" customFormat="1">
      <c r="A196" s="1775"/>
      <c r="B196" s="1775"/>
      <c r="C196" s="1775"/>
      <c r="D196" s="1775"/>
      <c r="E196" s="1775"/>
      <c r="F196" s="1775"/>
      <c r="G196" s="1775"/>
      <c r="H196" s="1775"/>
      <c r="I196" s="1775"/>
      <c r="J196" s="1775"/>
      <c r="K196" s="1776"/>
      <c r="L196" s="1777"/>
      <c r="M196" s="1775"/>
      <c r="N196" s="1775"/>
      <c r="O196" s="1775"/>
      <c r="P196" s="1775"/>
      <c r="Q196" s="1775"/>
      <c r="R196" s="1775"/>
      <c r="S196" s="1775"/>
      <c r="T196" s="1775"/>
      <c r="U196" s="1775"/>
      <c r="V196" s="1775"/>
      <c r="W196" s="1775"/>
      <c r="X196" s="1775"/>
      <c r="Y196" s="1775"/>
      <c r="Z196" s="1775"/>
      <c r="AA196" s="1775"/>
      <c r="AB196" s="1775"/>
      <c r="AC196" s="1775"/>
    </row>
    <row r="197" spans="1:29" s="1320" customFormat="1">
      <c r="A197" s="1775"/>
      <c r="B197" s="1775"/>
      <c r="C197" s="1775"/>
      <c r="D197" s="1775"/>
      <c r="E197" s="1775"/>
      <c r="F197" s="1775"/>
      <c r="G197" s="1775"/>
      <c r="H197" s="1775"/>
      <c r="I197" s="1775"/>
      <c r="J197" s="1775"/>
      <c r="K197" s="1776"/>
      <c r="L197" s="1777"/>
      <c r="M197" s="1775"/>
      <c r="N197" s="1775"/>
      <c r="O197" s="1775"/>
      <c r="P197" s="1775"/>
      <c r="Q197" s="1775"/>
      <c r="R197" s="1775"/>
      <c r="S197" s="1775"/>
      <c r="T197" s="1775"/>
      <c r="U197" s="1775"/>
      <c r="V197" s="1775"/>
      <c r="W197" s="1775"/>
      <c r="X197" s="1775"/>
      <c r="Y197" s="1775"/>
      <c r="Z197" s="1775"/>
      <c r="AA197" s="1775"/>
      <c r="AB197" s="1775"/>
      <c r="AC197" s="1775"/>
    </row>
    <row r="198" spans="1:29" s="1320" customFormat="1">
      <c r="A198" s="1775"/>
      <c r="B198" s="1775"/>
      <c r="C198" s="1775"/>
      <c r="D198" s="1775"/>
      <c r="E198" s="1775"/>
      <c r="F198" s="1775"/>
      <c r="G198" s="1775"/>
      <c r="H198" s="1775"/>
      <c r="I198" s="1775"/>
      <c r="J198" s="1775"/>
      <c r="K198" s="1776"/>
      <c r="L198" s="1777"/>
      <c r="M198" s="1775"/>
      <c r="N198" s="1775"/>
      <c r="O198" s="1775"/>
      <c r="P198" s="1775"/>
      <c r="Q198" s="1775"/>
      <c r="R198" s="1775"/>
      <c r="S198" s="1775"/>
      <c r="T198" s="1775"/>
      <c r="U198" s="1775"/>
      <c r="V198" s="1775"/>
      <c r="W198" s="1775"/>
      <c r="X198" s="1775"/>
      <c r="Y198" s="1775"/>
      <c r="Z198" s="1775"/>
      <c r="AA198" s="1775"/>
      <c r="AB198" s="1775"/>
      <c r="AC198" s="1775"/>
    </row>
    <row r="199" spans="1:29" s="1320" customFormat="1">
      <c r="A199" s="1775"/>
      <c r="B199" s="1775"/>
      <c r="C199" s="1775"/>
      <c r="D199" s="1775"/>
      <c r="E199" s="1775"/>
      <c r="F199" s="1775"/>
      <c r="G199" s="1775"/>
      <c r="H199" s="1775"/>
      <c r="I199" s="1775"/>
      <c r="J199" s="1775"/>
      <c r="K199" s="1776"/>
      <c r="L199" s="1777"/>
      <c r="M199" s="1775"/>
      <c r="N199" s="1775"/>
      <c r="O199" s="1775"/>
      <c r="P199" s="1775"/>
      <c r="Q199" s="1775"/>
      <c r="R199" s="1775"/>
      <c r="S199" s="1775"/>
      <c r="T199" s="1775"/>
      <c r="U199" s="1775"/>
      <c r="V199" s="1775"/>
      <c r="W199" s="1775"/>
      <c r="X199" s="1775"/>
      <c r="Y199" s="1775"/>
      <c r="Z199" s="1775"/>
      <c r="AA199" s="1775"/>
      <c r="AB199" s="1775"/>
      <c r="AC199" s="1775"/>
    </row>
    <row r="200" spans="1:29" s="1320" customFormat="1">
      <c r="A200" s="1775"/>
      <c r="B200" s="1775"/>
      <c r="C200" s="1775"/>
      <c r="D200" s="1775"/>
      <c r="E200" s="1775"/>
      <c r="F200" s="1775"/>
      <c r="G200" s="1775"/>
      <c r="H200" s="1775"/>
      <c r="I200" s="1775"/>
      <c r="J200" s="1775"/>
      <c r="K200" s="1776"/>
      <c r="L200" s="1777"/>
      <c r="M200" s="1775"/>
      <c r="N200" s="1775"/>
      <c r="O200" s="1775"/>
      <c r="P200" s="1775"/>
      <c r="Q200" s="1775"/>
      <c r="R200" s="1775"/>
      <c r="S200" s="1775"/>
      <c r="T200" s="1775"/>
      <c r="U200" s="1775"/>
      <c r="V200" s="1775"/>
      <c r="W200" s="1775"/>
      <c r="X200" s="1775"/>
      <c r="Y200" s="1775"/>
      <c r="Z200" s="1775"/>
      <c r="AA200" s="1775"/>
      <c r="AB200" s="1775"/>
      <c r="AC200" s="1775"/>
    </row>
    <row r="201" spans="1:29" s="1320" customFormat="1">
      <c r="A201" s="1775"/>
      <c r="B201" s="1775"/>
      <c r="C201" s="1775"/>
      <c r="D201" s="1775"/>
      <c r="E201" s="1775"/>
      <c r="F201" s="1775"/>
      <c r="G201" s="1775"/>
      <c r="H201" s="1775"/>
      <c r="I201" s="1775"/>
      <c r="J201" s="1775"/>
      <c r="K201" s="1776"/>
      <c r="L201" s="1777"/>
      <c r="M201" s="1775"/>
      <c r="N201" s="1775"/>
      <c r="O201" s="1775"/>
      <c r="P201" s="1775"/>
      <c r="Q201" s="1775"/>
      <c r="R201" s="1775"/>
      <c r="S201" s="1775"/>
      <c r="T201" s="1775"/>
      <c r="U201" s="1775"/>
      <c r="V201" s="1775"/>
      <c r="W201" s="1775"/>
      <c r="X201" s="1775"/>
      <c r="Y201" s="1775"/>
      <c r="Z201" s="1775"/>
      <c r="AA201" s="1775"/>
      <c r="AB201" s="1775"/>
      <c r="AC201" s="1775"/>
    </row>
    <row r="202" spans="1:29" s="1320" customFormat="1">
      <c r="A202" s="1775"/>
      <c r="B202" s="1775"/>
      <c r="C202" s="1775"/>
      <c r="D202" s="1775"/>
      <c r="E202" s="1775"/>
      <c r="F202" s="1775"/>
      <c r="G202" s="1775"/>
      <c r="H202" s="1775"/>
      <c r="I202" s="1775"/>
      <c r="J202" s="1775"/>
      <c r="K202" s="1776"/>
      <c r="L202" s="1777"/>
      <c r="M202" s="1775"/>
      <c r="N202" s="1775"/>
      <c r="O202" s="1775"/>
      <c r="P202" s="1775"/>
      <c r="Q202" s="1775"/>
      <c r="R202" s="1775"/>
      <c r="S202" s="1775"/>
      <c r="T202" s="1775"/>
      <c r="U202" s="1775"/>
      <c r="V202" s="1775"/>
      <c r="W202" s="1775"/>
      <c r="X202" s="1775"/>
      <c r="Y202" s="1775"/>
      <c r="Z202" s="1775"/>
      <c r="AA202" s="1775"/>
      <c r="AB202" s="1775"/>
      <c r="AC202" s="1775"/>
    </row>
    <row r="203" spans="1:29" s="1320" customFormat="1">
      <c r="A203" s="1775"/>
      <c r="B203" s="1775"/>
      <c r="C203" s="1775"/>
      <c r="D203" s="1775"/>
      <c r="E203" s="1775"/>
      <c r="F203" s="1775"/>
      <c r="G203" s="1775"/>
      <c r="H203" s="1775"/>
      <c r="I203" s="1775"/>
      <c r="J203" s="1775"/>
      <c r="K203" s="1776"/>
      <c r="L203" s="1777"/>
      <c r="M203" s="1775"/>
      <c r="N203" s="1775"/>
      <c r="O203" s="1775"/>
      <c r="P203" s="1775"/>
      <c r="Q203" s="1775"/>
      <c r="R203" s="1775"/>
      <c r="S203" s="1775"/>
      <c r="T203" s="1775"/>
      <c r="U203" s="1775"/>
      <c r="V203" s="1775"/>
      <c r="W203" s="1775"/>
      <c r="X203" s="1775"/>
      <c r="Y203" s="1775"/>
      <c r="Z203" s="1775"/>
      <c r="AA203" s="1775"/>
      <c r="AB203" s="1775"/>
      <c r="AC203" s="1775"/>
    </row>
    <row r="204" spans="1:29" s="1320" customFormat="1">
      <c r="A204" s="1775"/>
      <c r="B204" s="1775"/>
      <c r="C204" s="1775"/>
      <c r="D204" s="1775"/>
      <c r="E204" s="1775"/>
      <c r="F204" s="1775"/>
      <c r="G204" s="1775"/>
      <c r="H204" s="1775"/>
      <c r="I204" s="1775"/>
      <c r="J204" s="1775"/>
      <c r="K204" s="1776"/>
      <c r="L204" s="1777"/>
      <c r="M204" s="1775"/>
      <c r="N204" s="1775"/>
      <c r="O204" s="1775"/>
      <c r="P204" s="1775"/>
      <c r="Q204" s="1775"/>
      <c r="R204" s="1775"/>
      <c r="S204" s="1775"/>
      <c r="T204" s="1775"/>
      <c r="U204" s="1775"/>
      <c r="V204" s="1775"/>
      <c r="W204" s="1775"/>
      <c r="X204" s="1775"/>
      <c r="Y204" s="1775"/>
      <c r="Z204" s="1775"/>
      <c r="AA204" s="1775"/>
      <c r="AB204" s="1775"/>
      <c r="AC204" s="1775"/>
    </row>
    <row r="205" spans="1:29" s="1320" customFormat="1">
      <c r="A205" s="1775"/>
      <c r="B205" s="1775"/>
      <c r="C205" s="1775"/>
      <c r="D205" s="1775"/>
      <c r="E205" s="1775"/>
      <c r="F205" s="1775"/>
      <c r="G205" s="1775"/>
      <c r="H205" s="1775"/>
      <c r="I205" s="1775"/>
      <c r="J205" s="1775"/>
      <c r="K205" s="1776"/>
      <c r="L205" s="1777"/>
      <c r="M205" s="1775"/>
      <c r="N205" s="1775"/>
      <c r="O205" s="1775"/>
      <c r="P205" s="1775"/>
      <c r="Q205" s="1775"/>
      <c r="R205" s="1775"/>
      <c r="S205" s="1775"/>
      <c r="T205" s="1775"/>
      <c r="U205" s="1775"/>
      <c r="V205" s="1775"/>
      <c r="W205" s="1775"/>
      <c r="X205" s="1775"/>
      <c r="Y205" s="1775"/>
      <c r="Z205" s="1775"/>
      <c r="AA205" s="1775"/>
      <c r="AB205" s="1775"/>
      <c r="AC205" s="1775"/>
    </row>
    <row r="206" spans="1:29" s="1320" customFormat="1">
      <c r="A206" s="1775"/>
      <c r="B206" s="1775"/>
      <c r="C206" s="1775"/>
      <c r="D206" s="1775"/>
      <c r="E206" s="1775"/>
      <c r="F206" s="1775"/>
      <c r="G206" s="1775"/>
      <c r="H206" s="1775"/>
      <c r="I206" s="1775"/>
      <c r="J206" s="1775"/>
      <c r="K206" s="1776"/>
      <c r="L206" s="1777"/>
      <c r="M206" s="1775"/>
      <c r="N206" s="1775"/>
      <c r="O206" s="1775"/>
      <c r="P206" s="1775"/>
      <c r="Q206" s="1775"/>
      <c r="R206" s="1775"/>
      <c r="S206" s="1775"/>
      <c r="T206" s="1775"/>
      <c r="U206" s="1775"/>
      <c r="V206" s="1775"/>
      <c r="W206" s="1775"/>
      <c r="X206" s="1775"/>
      <c r="Y206" s="1775"/>
      <c r="Z206" s="1775"/>
      <c r="AA206" s="1775"/>
      <c r="AB206" s="1775"/>
      <c r="AC206" s="1775"/>
    </row>
    <row r="207" spans="1:29" s="1320" customFormat="1">
      <c r="A207" s="1775"/>
      <c r="B207" s="1775"/>
      <c r="C207" s="1775"/>
      <c r="D207" s="1775"/>
      <c r="E207" s="1775"/>
      <c r="F207" s="1775"/>
      <c r="G207" s="1775"/>
      <c r="H207" s="1775"/>
      <c r="I207" s="1775"/>
      <c r="J207" s="1775"/>
      <c r="K207" s="1776"/>
      <c r="L207" s="1777"/>
      <c r="M207" s="1775"/>
      <c r="N207" s="1775"/>
      <c r="O207" s="1775"/>
      <c r="P207" s="1775"/>
      <c r="Q207" s="1775"/>
      <c r="R207" s="1775"/>
      <c r="S207" s="1775"/>
      <c r="T207" s="1775"/>
      <c r="U207" s="1775"/>
      <c r="V207" s="1775"/>
      <c r="W207" s="1775"/>
      <c r="X207" s="1775"/>
      <c r="Y207" s="1775"/>
      <c r="Z207" s="1775"/>
      <c r="AA207" s="1775"/>
      <c r="AB207" s="1775"/>
      <c r="AC207" s="1775"/>
    </row>
    <row r="208" spans="1:29" s="1320" customFormat="1">
      <c r="A208" s="1775"/>
      <c r="B208" s="1775"/>
      <c r="C208" s="1775"/>
      <c r="D208" s="1775"/>
      <c r="E208" s="1775"/>
      <c r="F208" s="1775"/>
      <c r="G208" s="1775"/>
      <c r="H208" s="1775"/>
      <c r="I208" s="1775"/>
      <c r="J208" s="1775"/>
      <c r="K208" s="1776"/>
      <c r="L208" s="1777"/>
      <c r="M208" s="1775"/>
      <c r="N208" s="1775"/>
      <c r="O208" s="1775"/>
      <c r="P208" s="1775"/>
      <c r="Q208" s="1775"/>
      <c r="R208" s="1775"/>
      <c r="S208" s="1775"/>
      <c r="T208" s="1775"/>
      <c r="U208" s="1775"/>
      <c r="V208" s="1775"/>
      <c r="W208" s="1775"/>
      <c r="X208" s="1775"/>
      <c r="Y208" s="1775"/>
      <c r="Z208" s="1775"/>
      <c r="AA208" s="1775"/>
      <c r="AB208" s="1775"/>
      <c r="AC208" s="1775"/>
    </row>
    <row r="209" spans="1:29" s="1320" customFormat="1">
      <c r="A209" s="1775"/>
      <c r="B209" s="1775"/>
      <c r="C209" s="1775"/>
      <c r="D209" s="1775"/>
      <c r="E209" s="1775"/>
      <c r="F209" s="1775"/>
      <c r="G209" s="1775"/>
      <c r="H209" s="1775"/>
      <c r="I209" s="1775"/>
      <c r="J209" s="1775"/>
      <c r="K209" s="1776"/>
      <c r="L209" s="1777"/>
      <c r="M209" s="1775"/>
      <c r="N209" s="1775"/>
      <c r="O209" s="1775"/>
      <c r="P209" s="1775"/>
      <c r="Q209" s="1775"/>
      <c r="R209" s="1775"/>
      <c r="S209" s="1775"/>
      <c r="T209" s="1775"/>
      <c r="U209" s="1775"/>
      <c r="V209" s="1775"/>
      <c r="W209" s="1775"/>
      <c r="X209" s="1775"/>
      <c r="Y209" s="1775"/>
      <c r="Z209" s="1775"/>
      <c r="AA209" s="1775"/>
      <c r="AB209" s="1775"/>
      <c r="AC209" s="1775"/>
    </row>
    <row r="210" spans="1:29" s="1320" customFormat="1">
      <c r="A210" s="1775"/>
      <c r="B210" s="1775"/>
      <c r="C210" s="1775"/>
      <c r="D210" s="1775"/>
      <c r="E210" s="1775"/>
      <c r="F210" s="1775"/>
      <c r="G210" s="1775"/>
      <c r="H210" s="1775"/>
      <c r="I210" s="1775"/>
      <c r="J210" s="1775"/>
      <c r="K210" s="1776"/>
      <c r="L210" s="1777"/>
      <c r="M210" s="1775"/>
      <c r="N210" s="1775"/>
      <c r="O210" s="1775"/>
      <c r="P210" s="1775"/>
      <c r="Q210" s="1775"/>
      <c r="R210" s="1775"/>
      <c r="S210" s="1775"/>
      <c r="T210" s="1775"/>
      <c r="U210" s="1775"/>
      <c r="V210" s="1775"/>
      <c r="W210" s="1775"/>
      <c r="X210" s="1775"/>
      <c r="Y210" s="1775"/>
      <c r="Z210" s="1775"/>
      <c r="AA210" s="1775"/>
      <c r="AB210" s="1775"/>
      <c r="AC210" s="1775"/>
    </row>
    <row r="211" spans="1:29" s="1320" customFormat="1">
      <c r="A211" s="1775"/>
      <c r="B211" s="1775"/>
      <c r="C211" s="1775"/>
      <c r="D211" s="1775"/>
      <c r="E211" s="1775"/>
      <c r="F211" s="1775"/>
      <c r="G211" s="1775"/>
      <c r="H211" s="1775"/>
      <c r="I211" s="1775"/>
      <c r="J211" s="1775"/>
      <c r="K211" s="1776"/>
      <c r="L211" s="1777"/>
      <c r="M211" s="1775"/>
      <c r="N211" s="1775"/>
      <c r="O211" s="1775"/>
      <c r="P211" s="1775"/>
      <c r="Q211" s="1775"/>
      <c r="R211" s="1775"/>
      <c r="S211" s="1775"/>
      <c r="T211" s="1775"/>
      <c r="U211" s="1775"/>
      <c r="V211" s="1775"/>
      <c r="W211" s="1775"/>
      <c r="X211" s="1775"/>
      <c r="Y211" s="1775"/>
      <c r="Z211" s="1775"/>
      <c r="AA211" s="1775"/>
      <c r="AB211" s="1775"/>
      <c r="AC211" s="1775"/>
    </row>
    <row r="212" spans="1:29" s="1320" customFormat="1">
      <c r="A212" s="1775"/>
      <c r="B212" s="1775"/>
      <c r="C212" s="1775"/>
      <c r="D212" s="1775"/>
      <c r="E212" s="1775"/>
      <c r="F212" s="1775"/>
      <c r="G212" s="1775"/>
      <c r="H212" s="1775"/>
      <c r="I212" s="1775"/>
      <c r="J212" s="1775"/>
      <c r="K212" s="1776"/>
      <c r="L212" s="1777"/>
      <c r="M212" s="1775"/>
      <c r="N212" s="1775"/>
      <c r="O212" s="1775"/>
      <c r="P212" s="1775"/>
      <c r="Q212" s="1775"/>
      <c r="R212" s="1775"/>
      <c r="S212" s="1775"/>
      <c r="T212" s="1775"/>
      <c r="U212" s="1775"/>
      <c r="V212" s="1775"/>
      <c r="W212" s="1775"/>
      <c r="X212" s="1775"/>
      <c r="Y212" s="1775"/>
      <c r="Z212" s="1775"/>
      <c r="AA212" s="1775"/>
      <c r="AB212" s="1775"/>
      <c r="AC212" s="1775"/>
    </row>
    <row r="213" spans="1:29" s="1320" customFormat="1">
      <c r="A213" s="1775"/>
      <c r="B213" s="1775"/>
      <c r="C213" s="1775"/>
      <c r="D213" s="1775"/>
      <c r="E213" s="1775"/>
      <c r="F213" s="1775"/>
      <c r="G213" s="1775"/>
      <c r="H213" s="1775"/>
      <c r="I213" s="1775"/>
      <c r="J213" s="1775"/>
      <c r="K213" s="1776"/>
      <c r="L213" s="1777"/>
      <c r="M213" s="1775"/>
      <c r="N213" s="1775"/>
      <c r="O213" s="1775"/>
      <c r="P213" s="1775"/>
      <c r="Q213" s="1775"/>
      <c r="R213" s="1775"/>
      <c r="S213" s="1775"/>
      <c r="T213" s="1775"/>
      <c r="U213" s="1775"/>
      <c r="V213" s="1775"/>
      <c r="W213" s="1775"/>
      <c r="X213" s="1775"/>
      <c r="Y213" s="1775"/>
      <c r="Z213" s="1775"/>
      <c r="AA213" s="1775"/>
      <c r="AB213" s="1775"/>
      <c r="AC213" s="1775"/>
    </row>
    <row r="214" spans="1:29" s="1320" customFormat="1">
      <c r="A214" s="1775"/>
      <c r="B214" s="1775"/>
      <c r="C214" s="1775"/>
      <c r="D214" s="1775"/>
      <c r="E214" s="1775"/>
      <c r="F214" s="1775"/>
      <c r="G214" s="1775"/>
      <c r="H214" s="1775"/>
      <c r="I214" s="1775"/>
      <c r="J214" s="1775"/>
      <c r="K214" s="1776"/>
      <c r="L214" s="1777"/>
      <c r="M214" s="1775"/>
      <c r="N214" s="1775"/>
      <c r="O214" s="1775"/>
      <c r="P214" s="1775"/>
      <c r="Q214" s="1775"/>
      <c r="R214" s="1775"/>
      <c r="S214" s="1775"/>
      <c r="T214" s="1775"/>
      <c r="U214" s="1775"/>
      <c r="V214" s="1775"/>
      <c r="W214" s="1775"/>
      <c r="X214" s="1775"/>
      <c r="Y214" s="1775"/>
      <c r="Z214" s="1775"/>
      <c r="AA214" s="1775"/>
      <c r="AB214" s="1775"/>
      <c r="AC214" s="1775"/>
    </row>
    <row r="215" spans="1:29" s="1320" customFormat="1">
      <c r="A215" s="1775"/>
      <c r="B215" s="1775"/>
      <c r="C215" s="1775"/>
      <c r="D215" s="1775"/>
      <c r="E215" s="1775"/>
      <c r="F215" s="1775"/>
      <c r="G215" s="1775"/>
      <c r="H215" s="1775"/>
      <c r="I215" s="1775"/>
      <c r="J215" s="1775"/>
      <c r="K215" s="1776"/>
      <c r="L215" s="1777"/>
      <c r="M215" s="1775"/>
      <c r="N215" s="1775"/>
      <c r="O215" s="1775"/>
      <c r="P215" s="1775"/>
      <c r="Q215" s="1775"/>
      <c r="R215" s="1775"/>
      <c r="S215" s="1775"/>
      <c r="T215" s="1775"/>
      <c r="U215" s="1775"/>
      <c r="V215" s="1775"/>
      <c r="W215" s="1775"/>
      <c r="X215" s="1775"/>
      <c r="Y215" s="1775"/>
      <c r="Z215" s="1775"/>
      <c r="AA215" s="1775"/>
      <c r="AB215" s="1775"/>
      <c r="AC215" s="1775"/>
    </row>
    <row r="216" spans="1:29" s="1320" customFormat="1">
      <c r="A216" s="1775"/>
      <c r="B216" s="1775"/>
      <c r="C216" s="1775"/>
      <c r="D216" s="1775"/>
      <c r="E216" s="1775"/>
      <c r="F216" s="1775"/>
      <c r="G216" s="1775"/>
      <c r="H216" s="1775"/>
      <c r="I216" s="1775"/>
      <c r="J216" s="1775"/>
      <c r="K216" s="1776"/>
      <c r="L216" s="1777"/>
      <c r="M216" s="1775"/>
      <c r="N216" s="1775"/>
      <c r="O216" s="1775"/>
      <c r="P216" s="1775"/>
      <c r="Q216" s="1775"/>
      <c r="R216" s="1775"/>
      <c r="S216" s="1775"/>
      <c r="T216" s="1775"/>
      <c r="U216" s="1775"/>
      <c r="V216" s="1775"/>
      <c r="W216" s="1775"/>
      <c r="X216" s="1775"/>
      <c r="Y216" s="1775"/>
      <c r="Z216" s="1775"/>
      <c r="AA216" s="1775"/>
      <c r="AB216" s="1775"/>
      <c r="AC216" s="1775"/>
    </row>
    <row r="217" spans="1:29" s="1320" customFormat="1">
      <c r="A217" s="1775"/>
      <c r="B217" s="1775"/>
      <c r="C217" s="1775"/>
      <c r="D217" s="1775"/>
      <c r="E217" s="1775"/>
      <c r="F217" s="1775"/>
      <c r="G217" s="1775"/>
      <c r="H217" s="1775"/>
      <c r="I217" s="1775"/>
      <c r="J217" s="1775"/>
      <c r="K217" s="1776"/>
      <c r="L217" s="1777"/>
      <c r="M217" s="1775"/>
      <c r="N217" s="1775"/>
      <c r="O217" s="1775"/>
      <c r="P217" s="1775"/>
      <c r="Q217" s="1775"/>
      <c r="R217" s="1775"/>
      <c r="S217" s="1775"/>
      <c r="T217" s="1775"/>
      <c r="U217" s="1775"/>
      <c r="V217" s="1775"/>
      <c r="W217" s="1775"/>
      <c r="X217" s="1775"/>
      <c r="Y217" s="1775"/>
      <c r="Z217" s="1775"/>
      <c r="AA217" s="1775"/>
      <c r="AB217" s="1775"/>
      <c r="AC217" s="1775"/>
    </row>
    <row r="218" spans="1:29" s="1320" customFormat="1">
      <c r="A218" s="1775"/>
      <c r="B218" s="1775"/>
      <c r="C218" s="1775"/>
      <c r="D218" s="1775"/>
      <c r="E218" s="1775"/>
      <c r="F218" s="1775"/>
      <c r="G218" s="1775"/>
      <c r="H218" s="1775"/>
      <c r="I218" s="1775"/>
      <c r="J218" s="1775"/>
      <c r="K218" s="1776"/>
      <c r="L218" s="1777"/>
      <c r="M218" s="1775"/>
      <c r="N218" s="1775"/>
      <c r="O218" s="1775"/>
      <c r="P218" s="1775"/>
      <c r="Q218" s="1775"/>
      <c r="R218" s="1775"/>
      <c r="S218" s="1775"/>
      <c r="T218" s="1775"/>
      <c r="U218" s="1775"/>
      <c r="V218" s="1775"/>
      <c r="W218" s="1775"/>
      <c r="X218" s="1775"/>
      <c r="Y218" s="1775"/>
      <c r="Z218" s="1775"/>
      <c r="AA218" s="1775"/>
      <c r="AB218" s="1775"/>
      <c r="AC218" s="1775"/>
    </row>
    <row r="219" spans="1:29" s="1320" customFormat="1">
      <c r="A219" s="1775"/>
      <c r="B219" s="1775"/>
      <c r="C219" s="1775"/>
      <c r="D219" s="1775"/>
      <c r="E219" s="1775"/>
      <c r="F219" s="1775"/>
      <c r="G219" s="1775"/>
      <c r="H219" s="1775"/>
      <c r="I219" s="1775"/>
      <c r="J219" s="1775"/>
      <c r="K219" s="1776"/>
      <c r="L219" s="1777"/>
      <c r="M219" s="1775"/>
      <c r="N219" s="1775"/>
      <c r="O219" s="1775"/>
      <c r="P219" s="1775"/>
      <c r="Q219" s="1775"/>
      <c r="R219" s="1775"/>
      <c r="S219" s="1775"/>
      <c r="T219" s="1775"/>
      <c r="U219" s="1775"/>
      <c r="V219" s="1775"/>
      <c r="W219" s="1775"/>
      <c r="X219" s="1775"/>
      <c r="Y219" s="1775"/>
      <c r="Z219" s="1775"/>
      <c r="AA219" s="1775"/>
      <c r="AB219" s="1775"/>
      <c r="AC219" s="1775"/>
    </row>
    <row r="220" spans="1:29" s="1320" customFormat="1">
      <c r="A220" s="1775"/>
      <c r="B220" s="1775"/>
      <c r="C220" s="1775"/>
      <c r="D220" s="1775"/>
      <c r="E220" s="1775"/>
      <c r="F220" s="1775"/>
      <c r="G220" s="1775"/>
      <c r="H220" s="1775"/>
      <c r="I220" s="1775"/>
      <c r="J220" s="1775"/>
      <c r="K220" s="1776"/>
      <c r="L220" s="1777"/>
      <c r="M220" s="1775"/>
      <c r="N220" s="1775"/>
      <c r="O220" s="1775"/>
      <c r="P220" s="1775"/>
      <c r="Q220" s="1775"/>
      <c r="R220" s="1775"/>
      <c r="S220" s="1775"/>
      <c r="T220" s="1775"/>
      <c r="U220" s="1775"/>
      <c r="V220" s="1775"/>
      <c r="W220" s="1775"/>
      <c r="X220" s="1775"/>
      <c r="Y220" s="1775"/>
      <c r="Z220" s="1775"/>
      <c r="AA220" s="1775"/>
      <c r="AB220" s="1775"/>
      <c r="AC220" s="1775"/>
    </row>
    <row r="221" spans="1:29" s="1320" customFormat="1">
      <c r="A221" s="1775"/>
      <c r="B221" s="1775"/>
      <c r="C221" s="1775"/>
      <c r="D221" s="1775"/>
      <c r="E221" s="1775"/>
      <c r="F221" s="1775"/>
      <c r="G221" s="1775"/>
      <c r="H221" s="1775"/>
      <c r="I221" s="1775"/>
      <c r="J221" s="1775"/>
      <c r="K221" s="1776"/>
      <c r="L221" s="1777"/>
      <c r="M221" s="1775"/>
      <c r="N221" s="1775"/>
      <c r="O221" s="1775"/>
      <c r="P221" s="1775"/>
      <c r="Q221" s="1775"/>
      <c r="R221" s="1775"/>
      <c r="S221" s="1775"/>
      <c r="T221" s="1775"/>
      <c r="U221" s="1775"/>
      <c r="V221" s="1775"/>
      <c r="W221" s="1775"/>
      <c r="X221" s="1775"/>
      <c r="Y221" s="1775"/>
      <c r="Z221" s="1775"/>
      <c r="AA221" s="1775"/>
      <c r="AB221" s="1775"/>
      <c r="AC221" s="1775"/>
    </row>
    <row r="222" spans="1:29" s="1320" customFormat="1">
      <c r="A222" s="1775"/>
      <c r="B222" s="1775"/>
      <c r="C222" s="1775"/>
      <c r="D222" s="1775"/>
      <c r="E222" s="1775"/>
      <c r="F222" s="1775"/>
      <c r="G222" s="1775"/>
      <c r="H222" s="1775"/>
      <c r="I222" s="1775"/>
      <c r="J222" s="1775"/>
      <c r="K222" s="1776"/>
      <c r="L222" s="1777"/>
      <c r="M222" s="1775"/>
      <c r="N222" s="1775"/>
      <c r="O222" s="1775"/>
      <c r="P222" s="1775"/>
      <c r="Q222" s="1775"/>
      <c r="R222" s="1775"/>
      <c r="S222" s="1775"/>
      <c r="T222" s="1775"/>
      <c r="U222" s="1775"/>
      <c r="V222" s="1775"/>
      <c r="W222" s="1775"/>
      <c r="X222" s="1775"/>
      <c r="Y222" s="1775"/>
      <c r="Z222" s="1775"/>
      <c r="AA222" s="1775"/>
      <c r="AB222" s="1775"/>
      <c r="AC222" s="1775"/>
    </row>
    <row r="223" spans="1:29" s="1320" customFormat="1">
      <c r="A223" s="1775"/>
      <c r="B223" s="1775"/>
      <c r="C223" s="1775"/>
      <c r="D223" s="1775"/>
      <c r="E223" s="1775"/>
      <c r="F223" s="1775"/>
      <c r="G223" s="1775"/>
      <c r="H223" s="1775"/>
      <c r="I223" s="1775"/>
      <c r="J223" s="1775"/>
      <c r="K223" s="1776"/>
      <c r="L223" s="1777"/>
      <c r="M223" s="1775"/>
      <c r="N223" s="1775"/>
      <c r="O223" s="1775"/>
      <c r="P223" s="1775"/>
      <c r="Q223" s="1775"/>
      <c r="R223" s="1775"/>
      <c r="S223" s="1775"/>
      <c r="T223" s="1775"/>
      <c r="U223" s="1775"/>
      <c r="V223" s="1775"/>
      <c r="W223" s="1775"/>
      <c r="X223" s="1775"/>
      <c r="Y223" s="1775"/>
      <c r="Z223" s="1775"/>
      <c r="AA223" s="1775"/>
      <c r="AB223" s="1775"/>
      <c r="AC223" s="1775"/>
    </row>
    <row r="224" spans="1:29" s="1320" customFormat="1">
      <c r="A224" s="1775"/>
      <c r="B224" s="1775"/>
      <c r="C224" s="1775"/>
      <c r="D224" s="1775"/>
      <c r="E224" s="1775"/>
      <c r="F224" s="1775"/>
      <c r="G224" s="1775"/>
      <c r="H224" s="1775"/>
      <c r="I224" s="1775"/>
      <c r="J224" s="1775"/>
      <c r="K224" s="1776"/>
      <c r="L224" s="1777"/>
      <c r="M224" s="1775"/>
      <c r="N224" s="1775"/>
      <c r="O224" s="1775"/>
      <c r="P224" s="1775"/>
      <c r="Q224" s="1775"/>
      <c r="R224" s="1775"/>
      <c r="S224" s="1775"/>
      <c r="T224" s="1775"/>
      <c r="U224" s="1775"/>
      <c r="V224" s="1775"/>
      <c r="W224" s="1775"/>
      <c r="X224" s="1775"/>
      <c r="Y224" s="1775"/>
      <c r="Z224" s="1775"/>
      <c r="AA224" s="1775"/>
      <c r="AB224" s="1775"/>
      <c r="AC224" s="1775"/>
    </row>
    <row r="225" spans="1:29" s="1320" customFormat="1">
      <c r="A225" s="1775"/>
      <c r="B225" s="1775"/>
      <c r="C225" s="1775"/>
      <c r="D225" s="1775"/>
      <c r="E225" s="1775"/>
      <c r="F225" s="1775"/>
      <c r="G225" s="1775"/>
      <c r="H225" s="1775"/>
      <c r="I225" s="1775"/>
      <c r="J225" s="1775"/>
      <c r="K225" s="1776"/>
      <c r="L225" s="1777"/>
      <c r="M225" s="1775"/>
      <c r="N225" s="1775"/>
      <c r="O225" s="1775"/>
      <c r="P225" s="1775"/>
      <c r="Q225" s="1775"/>
      <c r="R225" s="1775"/>
      <c r="S225" s="1775"/>
      <c r="T225" s="1775"/>
      <c r="U225" s="1775"/>
      <c r="V225" s="1775"/>
      <c r="W225" s="1775"/>
      <c r="X225" s="1775"/>
      <c r="Y225" s="1775"/>
      <c r="Z225" s="1775"/>
      <c r="AA225" s="1775"/>
      <c r="AB225" s="1775"/>
      <c r="AC225" s="1775"/>
    </row>
    <row r="226" spans="1:29" s="1320" customFormat="1">
      <c r="A226" s="1775"/>
      <c r="B226" s="1775"/>
      <c r="C226" s="1775"/>
      <c r="D226" s="1775"/>
      <c r="E226" s="1775"/>
      <c r="F226" s="1775"/>
      <c r="G226" s="1775"/>
      <c r="H226" s="1775"/>
      <c r="I226" s="1775"/>
      <c r="J226" s="1775"/>
      <c r="K226" s="1776"/>
      <c r="L226" s="1777"/>
      <c r="M226" s="1775"/>
      <c r="N226" s="1775"/>
      <c r="O226" s="1775"/>
      <c r="P226" s="1775"/>
      <c r="Q226" s="1775"/>
      <c r="R226" s="1775"/>
      <c r="S226" s="1775"/>
      <c r="T226" s="1775"/>
      <c r="U226" s="1775"/>
      <c r="V226" s="1775"/>
      <c r="W226" s="1775"/>
      <c r="X226" s="1775"/>
      <c r="Y226" s="1775"/>
      <c r="Z226" s="1775"/>
      <c r="AA226" s="1775"/>
      <c r="AB226" s="1775"/>
      <c r="AC226" s="1775"/>
    </row>
    <row r="227" spans="1:29" s="1320" customFormat="1">
      <c r="A227" s="1775"/>
      <c r="B227" s="1775"/>
      <c r="C227" s="1775"/>
      <c r="D227" s="1775"/>
      <c r="E227" s="1775"/>
      <c r="F227" s="1775"/>
      <c r="G227" s="1775"/>
      <c r="H227" s="1775"/>
      <c r="I227" s="1775"/>
      <c r="J227" s="1775"/>
      <c r="K227" s="1776"/>
      <c r="L227" s="1777"/>
      <c r="M227" s="1775"/>
      <c r="N227" s="1775"/>
      <c r="O227" s="1775"/>
      <c r="P227" s="1775"/>
      <c r="Q227" s="1775"/>
      <c r="R227" s="1775"/>
      <c r="S227" s="1775"/>
      <c r="T227" s="1775"/>
      <c r="U227" s="1775"/>
      <c r="V227" s="1775"/>
      <c r="W227" s="1775"/>
      <c r="X227" s="1775"/>
      <c r="Y227" s="1775"/>
      <c r="Z227" s="1775"/>
      <c r="AA227" s="1775"/>
      <c r="AB227" s="1775"/>
      <c r="AC227" s="1775"/>
    </row>
    <row r="228" spans="1:29" s="1320" customFormat="1">
      <c r="A228" s="1775"/>
      <c r="B228" s="1775"/>
      <c r="C228" s="1775"/>
      <c r="D228" s="1775"/>
      <c r="E228" s="1775"/>
      <c r="F228" s="1775"/>
      <c r="G228" s="1775"/>
      <c r="H228" s="1775"/>
      <c r="I228" s="1775"/>
      <c r="J228" s="1775"/>
      <c r="K228" s="1776"/>
      <c r="L228" s="1777"/>
      <c r="M228" s="1775"/>
      <c r="N228" s="1775"/>
      <c r="O228" s="1775"/>
      <c r="P228" s="1775"/>
      <c r="Q228" s="1775"/>
      <c r="R228" s="1775"/>
      <c r="S228" s="1775"/>
      <c r="T228" s="1775"/>
      <c r="U228" s="1775"/>
      <c r="V228" s="1775"/>
      <c r="W228" s="1775"/>
      <c r="X228" s="1775"/>
      <c r="Y228" s="1775"/>
      <c r="Z228" s="1775"/>
      <c r="AA228" s="1775"/>
      <c r="AB228" s="1775"/>
      <c r="AC228" s="1775"/>
    </row>
    <row r="229" spans="1:29" s="1320" customFormat="1">
      <c r="A229" s="1775"/>
      <c r="B229" s="1775"/>
      <c r="C229" s="1775"/>
      <c r="D229" s="1775"/>
      <c r="E229" s="1775"/>
      <c r="F229" s="1775"/>
      <c r="G229" s="1775"/>
      <c r="H229" s="1775"/>
      <c r="I229" s="1775"/>
      <c r="J229" s="1775"/>
      <c r="K229" s="1776"/>
      <c r="L229" s="1777"/>
      <c r="M229" s="1775"/>
      <c r="N229" s="1775"/>
      <c r="O229" s="1775"/>
      <c r="P229" s="1775"/>
      <c r="Q229" s="1775"/>
      <c r="R229" s="1775"/>
      <c r="S229" s="1775"/>
      <c r="T229" s="1775"/>
      <c r="U229" s="1775"/>
      <c r="V229" s="1775"/>
      <c r="W229" s="1775"/>
      <c r="X229" s="1775"/>
      <c r="Y229" s="1775"/>
      <c r="Z229" s="1775"/>
      <c r="AA229" s="1775"/>
      <c r="AB229" s="1775"/>
      <c r="AC229" s="1775"/>
    </row>
    <row r="230" spans="1:29" s="1320" customFormat="1">
      <c r="A230" s="1775"/>
      <c r="B230" s="1775"/>
      <c r="C230" s="1775"/>
      <c r="D230" s="1775"/>
      <c r="E230" s="1775"/>
      <c r="F230" s="1775"/>
      <c r="G230" s="1775"/>
      <c r="H230" s="1775"/>
      <c r="I230" s="1775"/>
      <c r="J230" s="1775"/>
      <c r="K230" s="1776"/>
      <c r="L230" s="1777"/>
      <c r="M230" s="1775"/>
      <c r="N230" s="1775"/>
      <c r="O230" s="1775"/>
      <c r="P230" s="1775"/>
      <c r="Q230" s="1775"/>
      <c r="R230" s="1775"/>
      <c r="S230" s="1775"/>
      <c r="T230" s="1775"/>
      <c r="U230" s="1775"/>
      <c r="V230" s="1775"/>
      <c r="W230" s="1775"/>
      <c r="X230" s="1775"/>
      <c r="Y230" s="1775"/>
      <c r="Z230" s="1775"/>
      <c r="AA230" s="1775"/>
      <c r="AB230" s="1775"/>
      <c r="AC230" s="1775"/>
    </row>
    <row r="231" spans="1:29" s="1320" customFormat="1">
      <c r="A231" s="1775"/>
      <c r="B231" s="1775"/>
      <c r="C231" s="1775"/>
      <c r="D231" s="1775"/>
      <c r="E231" s="1775"/>
      <c r="F231" s="1775"/>
      <c r="G231" s="1775"/>
      <c r="H231" s="1775"/>
      <c r="I231" s="1775"/>
      <c r="J231" s="1775"/>
      <c r="K231" s="1776"/>
      <c r="L231" s="1777"/>
      <c r="M231" s="1775"/>
      <c r="N231" s="1775"/>
      <c r="O231" s="1775"/>
      <c r="P231" s="1775"/>
      <c r="Q231" s="1775"/>
      <c r="R231" s="1775"/>
      <c r="S231" s="1775"/>
      <c r="T231" s="1775"/>
      <c r="U231" s="1775"/>
      <c r="V231" s="1775"/>
      <c r="W231" s="1775"/>
      <c r="X231" s="1775"/>
      <c r="Y231" s="1775"/>
      <c r="Z231" s="1775"/>
      <c r="AA231" s="1775"/>
      <c r="AB231" s="1775"/>
      <c r="AC231" s="1775"/>
    </row>
    <row r="232" spans="1:29" s="1320" customFormat="1">
      <c r="A232" s="1775"/>
      <c r="B232" s="1775"/>
      <c r="C232" s="1775"/>
      <c r="D232" s="1775"/>
      <c r="E232" s="1775"/>
      <c r="F232" s="1775"/>
      <c r="G232" s="1775"/>
      <c r="H232" s="1775"/>
      <c r="I232" s="1775"/>
      <c r="J232" s="1775"/>
      <c r="K232" s="1776"/>
      <c r="L232" s="1777"/>
      <c r="M232" s="1775"/>
      <c r="N232" s="1775"/>
      <c r="O232" s="1775"/>
      <c r="P232" s="1775"/>
      <c r="Q232" s="1775"/>
      <c r="R232" s="1775"/>
      <c r="S232" s="1775"/>
      <c r="T232" s="1775"/>
      <c r="U232" s="1775"/>
      <c r="V232" s="1775"/>
      <c r="W232" s="1775"/>
      <c r="X232" s="1775"/>
      <c r="Y232" s="1775"/>
      <c r="Z232" s="1775"/>
      <c r="AA232" s="1775"/>
      <c r="AB232" s="1775"/>
      <c r="AC232" s="1775"/>
    </row>
    <row r="233" spans="1:29" s="1320" customFormat="1">
      <c r="A233" s="1775"/>
      <c r="B233" s="1775"/>
      <c r="C233" s="1775"/>
      <c r="D233" s="1775"/>
      <c r="E233" s="1775"/>
      <c r="F233" s="1775"/>
      <c r="G233" s="1775"/>
      <c r="H233" s="1775"/>
      <c r="I233" s="1775"/>
      <c r="J233" s="1775"/>
      <c r="K233" s="1776"/>
      <c r="L233" s="1777"/>
      <c r="M233" s="1775"/>
      <c r="N233" s="1775"/>
      <c r="O233" s="1775"/>
      <c r="P233" s="1775"/>
      <c r="Q233" s="1775"/>
      <c r="R233" s="1775"/>
      <c r="S233" s="1775"/>
      <c r="T233" s="1775"/>
      <c r="U233" s="1775"/>
      <c r="V233" s="1775"/>
      <c r="W233" s="1775"/>
      <c r="X233" s="1775"/>
      <c r="Y233" s="1775"/>
      <c r="Z233" s="1775"/>
      <c r="AA233" s="1775"/>
      <c r="AB233" s="1775"/>
      <c r="AC233" s="1775"/>
    </row>
    <row r="234" spans="1:29" s="1320" customFormat="1">
      <c r="A234" s="1775"/>
      <c r="B234" s="1775"/>
      <c r="C234" s="1775"/>
      <c r="D234" s="1775"/>
      <c r="E234" s="1775"/>
      <c r="F234" s="1775"/>
      <c r="G234" s="1775"/>
      <c r="H234" s="1775"/>
      <c r="I234" s="1775"/>
      <c r="J234" s="1775"/>
      <c r="K234" s="1776"/>
      <c r="L234" s="1777"/>
      <c r="M234" s="1775"/>
      <c r="N234" s="1775"/>
      <c r="O234" s="1775"/>
      <c r="P234" s="1775"/>
      <c r="Q234" s="1775"/>
      <c r="R234" s="1775"/>
      <c r="S234" s="1775"/>
      <c r="T234" s="1775"/>
      <c r="U234" s="1775"/>
      <c r="V234" s="1775"/>
      <c r="W234" s="1775"/>
      <c r="X234" s="1775"/>
      <c r="Y234" s="1775"/>
      <c r="Z234" s="1775"/>
      <c r="AA234" s="1775"/>
      <c r="AB234" s="1775"/>
      <c r="AC234" s="1775"/>
    </row>
    <row r="235" spans="1:29" s="1320" customFormat="1">
      <c r="A235" s="1775"/>
      <c r="B235" s="1775"/>
      <c r="C235" s="1775"/>
      <c r="D235" s="1775"/>
      <c r="E235" s="1775"/>
      <c r="F235" s="1775"/>
      <c r="G235" s="1775"/>
      <c r="H235" s="1775"/>
      <c r="I235" s="1775"/>
      <c r="J235" s="1775"/>
      <c r="K235" s="1776"/>
      <c r="L235" s="1777"/>
      <c r="M235" s="1775"/>
      <c r="N235" s="1775"/>
      <c r="O235" s="1775"/>
      <c r="P235" s="1775"/>
      <c r="Q235" s="1775"/>
      <c r="R235" s="1775"/>
      <c r="S235" s="1775"/>
      <c r="T235" s="1775"/>
      <c r="U235" s="1775"/>
      <c r="V235" s="1775"/>
      <c r="W235" s="1775"/>
      <c r="X235" s="1775"/>
      <c r="Y235" s="1775"/>
      <c r="Z235" s="1775"/>
      <c r="AA235" s="1775"/>
      <c r="AB235" s="1775"/>
      <c r="AC235" s="1775"/>
    </row>
    <row r="236" spans="1:29" s="1320" customFormat="1">
      <c r="A236" s="1775"/>
      <c r="B236" s="1775"/>
      <c r="C236" s="1775"/>
      <c r="D236" s="1775"/>
      <c r="E236" s="1775"/>
      <c r="F236" s="1775"/>
      <c r="G236" s="1775"/>
      <c r="H236" s="1775"/>
      <c r="I236" s="1775"/>
      <c r="J236" s="1775"/>
      <c r="K236" s="1776"/>
      <c r="L236" s="1777"/>
      <c r="M236" s="1775"/>
      <c r="N236" s="1775"/>
      <c r="O236" s="1775"/>
      <c r="P236" s="1775"/>
      <c r="Q236" s="1775"/>
      <c r="R236" s="1775"/>
      <c r="S236" s="1775"/>
      <c r="T236" s="1775"/>
      <c r="U236" s="1775"/>
      <c r="V236" s="1775"/>
      <c r="W236" s="1775"/>
      <c r="X236" s="1775"/>
      <c r="Y236" s="1775"/>
      <c r="Z236" s="1775"/>
      <c r="AA236" s="1775"/>
      <c r="AB236" s="1775"/>
      <c r="AC236" s="1775"/>
    </row>
    <row r="237" spans="1:29" s="1320" customFormat="1">
      <c r="A237" s="1775"/>
      <c r="B237" s="1775"/>
      <c r="C237" s="1775"/>
      <c r="D237" s="1775"/>
      <c r="E237" s="1775"/>
      <c r="F237" s="1775"/>
      <c r="G237" s="1775"/>
      <c r="H237" s="1775"/>
      <c r="I237" s="1775"/>
      <c r="J237" s="1775"/>
      <c r="K237" s="1776"/>
      <c r="L237" s="1777"/>
      <c r="M237" s="1775"/>
      <c r="N237" s="1775"/>
      <c r="O237" s="1775"/>
      <c r="P237" s="1775"/>
      <c r="Q237" s="1775"/>
      <c r="R237" s="1775"/>
      <c r="S237" s="1775"/>
      <c r="T237" s="1775"/>
      <c r="U237" s="1775"/>
      <c r="V237" s="1775"/>
      <c r="W237" s="1775"/>
      <c r="X237" s="1775"/>
      <c r="Y237" s="1775"/>
      <c r="Z237" s="1775"/>
      <c r="AA237" s="1775"/>
      <c r="AB237" s="1775"/>
      <c r="AC237" s="1775"/>
    </row>
    <row r="238" spans="1:29" s="1320" customFormat="1">
      <c r="A238" s="1775"/>
      <c r="B238" s="1775"/>
      <c r="C238" s="1775"/>
      <c r="D238" s="1775"/>
      <c r="E238" s="1775"/>
      <c r="F238" s="1775"/>
      <c r="G238" s="1775"/>
      <c r="H238" s="1775"/>
      <c r="I238" s="1775"/>
      <c r="J238" s="1775"/>
      <c r="K238" s="1776"/>
      <c r="L238" s="1777"/>
      <c r="M238" s="1775"/>
      <c r="N238" s="1775"/>
      <c r="O238" s="1775"/>
      <c r="P238" s="1775"/>
      <c r="Q238" s="1775"/>
      <c r="R238" s="1775"/>
      <c r="S238" s="1775"/>
      <c r="T238" s="1775"/>
      <c r="U238" s="1775"/>
      <c r="V238" s="1775"/>
      <c r="W238" s="1775"/>
      <c r="X238" s="1775"/>
      <c r="Y238" s="1775"/>
      <c r="Z238" s="1775"/>
      <c r="AA238" s="1775"/>
      <c r="AB238" s="1775"/>
      <c r="AC238" s="1775"/>
    </row>
    <row r="239" spans="1:29" s="1320" customFormat="1">
      <c r="A239" s="1775"/>
      <c r="B239" s="1775"/>
      <c r="C239" s="1775"/>
      <c r="D239" s="1775"/>
      <c r="E239" s="1775"/>
      <c r="F239" s="1775"/>
      <c r="G239" s="1775"/>
      <c r="H239" s="1775"/>
      <c r="I239" s="1775"/>
      <c r="J239" s="1775"/>
      <c r="K239" s="1776"/>
      <c r="L239" s="1777"/>
      <c r="M239" s="1775"/>
      <c r="N239" s="1775"/>
      <c r="O239" s="1775"/>
      <c r="P239" s="1775"/>
      <c r="Q239" s="1775"/>
      <c r="R239" s="1775"/>
      <c r="S239" s="1775"/>
      <c r="T239" s="1775"/>
      <c r="U239" s="1775"/>
      <c r="V239" s="1775"/>
      <c r="W239" s="1775"/>
      <c r="X239" s="1775"/>
      <c r="Y239" s="1775"/>
      <c r="Z239" s="1775"/>
      <c r="AA239" s="1775"/>
      <c r="AB239" s="1775"/>
      <c r="AC239" s="1775"/>
    </row>
    <row r="240" spans="1:29" s="1320" customFormat="1">
      <c r="A240" s="1775"/>
      <c r="B240" s="1775"/>
      <c r="C240" s="1775"/>
      <c r="D240" s="1775"/>
      <c r="E240" s="1775"/>
      <c r="F240" s="1775"/>
      <c r="G240" s="1775"/>
      <c r="H240" s="1775"/>
      <c r="I240" s="1775"/>
      <c r="J240" s="1775"/>
      <c r="K240" s="1776"/>
      <c r="L240" s="1777"/>
      <c r="M240" s="1775"/>
      <c r="N240" s="1775"/>
      <c r="O240" s="1775"/>
      <c r="P240" s="1775"/>
      <c r="Q240" s="1775"/>
      <c r="R240" s="1775"/>
      <c r="S240" s="1775"/>
      <c r="T240" s="1775"/>
      <c r="U240" s="1775"/>
      <c r="V240" s="1775"/>
      <c r="W240" s="1775"/>
      <c r="X240" s="1775"/>
      <c r="Y240" s="1775"/>
      <c r="Z240" s="1775"/>
      <c r="AA240" s="1775"/>
      <c r="AB240" s="1775"/>
      <c r="AC240" s="1775"/>
    </row>
    <row r="241" spans="1:29" s="1320" customFormat="1">
      <c r="A241" s="1775"/>
      <c r="B241" s="1775"/>
      <c r="C241" s="1775"/>
      <c r="D241" s="1775"/>
      <c r="E241" s="1775"/>
      <c r="F241" s="1775"/>
      <c r="G241" s="1775"/>
      <c r="H241" s="1775"/>
      <c r="I241" s="1775"/>
      <c r="J241" s="1775"/>
      <c r="K241" s="1776"/>
      <c r="L241" s="1777"/>
      <c r="M241" s="1775"/>
      <c r="N241" s="1775"/>
      <c r="O241" s="1775"/>
      <c r="P241" s="1775"/>
      <c r="Q241" s="1775"/>
      <c r="R241" s="1775"/>
      <c r="S241" s="1775"/>
      <c r="T241" s="1775"/>
      <c r="U241" s="1775"/>
      <c r="V241" s="1775"/>
      <c r="W241" s="1775"/>
      <c r="X241" s="1775"/>
      <c r="Y241" s="1775"/>
      <c r="Z241" s="1775"/>
      <c r="AA241" s="1775"/>
      <c r="AB241" s="1775"/>
      <c r="AC241" s="1775"/>
    </row>
    <row r="242" spans="1:29" s="1320" customFormat="1">
      <c r="A242" s="1775"/>
      <c r="B242" s="1775"/>
      <c r="C242" s="1775"/>
      <c r="D242" s="1775"/>
      <c r="E242" s="1775"/>
      <c r="F242" s="1775"/>
      <c r="G242" s="1775"/>
      <c r="H242" s="1775"/>
      <c r="I242" s="1775"/>
      <c r="J242" s="1775"/>
      <c r="K242" s="1776"/>
      <c r="L242" s="1777"/>
      <c r="M242" s="1775"/>
      <c r="N242" s="1775"/>
      <c r="O242" s="1775"/>
      <c r="P242" s="1775"/>
      <c r="Q242" s="1775"/>
      <c r="R242" s="1775"/>
      <c r="S242" s="1775"/>
      <c r="T242" s="1775"/>
      <c r="U242" s="1775"/>
      <c r="V242" s="1775"/>
      <c r="W242" s="1775"/>
      <c r="X242" s="1775"/>
      <c r="Y242" s="1775"/>
      <c r="Z242" s="1775"/>
      <c r="AA242" s="1775"/>
      <c r="AB242" s="1775"/>
      <c r="AC242" s="1775"/>
    </row>
    <row r="243" spans="1:29" s="1320" customFormat="1">
      <c r="A243" s="1775"/>
      <c r="B243" s="1775"/>
      <c r="C243" s="1775"/>
      <c r="D243" s="1775"/>
      <c r="E243" s="1775"/>
      <c r="F243" s="1775"/>
      <c r="G243" s="1775"/>
      <c r="H243" s="1775"/>
      <c r="I243" s="1775"/>
      <c r="J243" s="1775"/>
      <c r="K243" s="1776"/>
      <c r="L243" s="1777"/>
      <c r="M243" s="1775"/>
      <c r="N243" s="1775"/>
      <c r="O243" s="1775"/>
      <c r="P243" s="1775"/>
      <c r="Q243" s="1775"/>
      <c r="R243" s="1775"/>
      <c r="S243" s="1775"/>
      <c r="T243" s="1775"/>
      <c r="U243" s="1775"/>
      <c r="V243" s="1775"/>
      <c r="W243" s="1775"/>
      <c r="X243" s="1775"/>
      <c r="Y243" s="1775"/>
      <c r="Z243" s="1775"/>
      <c r="AA243" s="1775"/>
      <c r="AB243" s="1775"/>
      <c r="AC243" s="1775"/>
    </row>
    <row r="244" spans="1:29" s="1320" customFormat="1">
      <c r="A244" s="1775"/>
      <c r="B244" s="1775"/>
      <c r="C244" s="1775"/>
      <c r="D244" s="1775"/>
      <c r="E244" s="1775"/>
      <c r="F244" s="1775"/>
      <c r="G244" s="1775"/>
      <c r="H244" s="1775"/>
      <c r="I244" s="1775"/>
      <c r="J244" s="1775"/>
      <c r="K244" s="1776"/>
      <c r="L244" s="1777"/>
      <c r="M244" s="1775"/>
      <c r="N244" s="1775"/>
      <c r="O244" s="1775"/>
      <c r="P244" s="1775"/>
      <c r="Q244" s="1775"/>
      <c r="R244" s="1775"/>
      <c r="S244" s="1775"/>
      <c r="T244" s="1775"/>
      <c r="U244" s="1775"/>
      <c r="V244" s="1775"/>
      <c r="W244" s="1775"/>
      <c r="X244" s="1775"/>
      <c r="Y244" s="1775"/>
      <c r="Z244" s="1775"/>
      <c r="AA244" s="1775"/>
      <c r="AB244" s="1775"/>
      <c r="AC244" s="1775"/>
    </row>
    <row r="245" spans="1:29" s="1320" customFormat="1">
      <c r="A245" s="1775"/>
      <c r="B245" s="1775"/>
      <c r="C245" s="1775"/>
      <c r="D245" s="1775"/>
      <c r="E245" s="1775"/>
      <c r="F245" s="1775"/>
      <c r="G245" s="1775"/>
      <c r="H245" s="1775"/>
      <c r="I245" s="1775"/>
      <c r="J245" s="1775"/>
      <c r="K245" s="1776"/>
      <c r="L245" s="1777"/>
      <c r="M245" s="1775"/>
      <c r="N245" s="1775"/>
      <c r="O245" s="1775"/>
      <c r="P245" s="1775"/>
      <c r="Q245" s="1775"/>
      <c r="R245" s="1775"/>
      <c r="S245" s="1775"/>
      <c r="T245" s="1775"/>
      <c r="U245" s="1775"/>
      <c r="V245" s="1775"/>
      <c r="W245" s="1775"/>
      <c r="X245" s="1775"/>
      <c r="Y245" s="1775"/>
      <c r="Z245" s="1775"/>
      <c r="AA245" s="1775"/>
      <c r="AB245" s="1775"/>
      <c r="AC245" s="1775"/>
    </row>
    <row r="246" spans="1:29" s="1320" customFormat="1">
      <c r="A246" s="1775"/>
      <c r="B246" s="1775"/>
      <c r="C246" s="1775"/>
      <c r="D246" s="1775"/>
      <c r="E246" s="1775"/>
      <c r="F246" s="1775"/>
      <c r="G246" s="1775"/>
      <c r="H246" s="1775"/>
      <c r="I246" s="1775"/>
      <c r="J246" s="1775"/>
      <c r="K246" s="1776"/>
      <c r="L246" s="1777"/>
      <c r="M246" s="1775"/>
      <c r="N246" s="1775"/>
      <c r="O246" s="1775"/>
      <c r="P246" s="1775"/>
      <c r="Q246" s="1775"/>
      <c r="R246" s="1775"/>
      <c r="S246" s="1775"/>
      <c r="T246" s="1775"/>
      <c r="U246" s="1775"/>
      <c r="V246" s="1775"/>
      <c r="W246" s="1775"/>
      <c r="X246" s="1775"/>
      <c r="Y246" s="1775"/>
      <c r="Z246" s="1775"/>
      <c r="AA246" s="1775"/>
      <c r="AB246" s="1775"/>
      <c r="AC246" s="1775"/>
    </row>
    <row r="247" spans="1:29" s="1320" customFormat="1">
      <c r="A247" s="1775"/>
      <c r="B247" s="1775"/>
      <c r="C247" s="1775"/>
      <c r="D247" s="1775"/>
      <c r="E247" s="1775"/>
      <c r="F247" s="1775"/>
      <c r="G247" s="1775"/>
      <c r="H247" s="1775"/>
      <c r="I247" s="1775"/>
      <c r="J247" s="1775"/>
      <c r="K247" s="1776"/>
      <c r="L247" s="1777"/>
      <c r="M247" s="1775"/>
      <c r="N247" s="1775"/>
      <c r="O247" s="1775"/>
      <c r="P247" s="1775"/>
      <c r="Q247" s="1775"/>
      <c r="R247" s="1775"/>
      <c r="S247" s="1775"/>
      <c r="T247" s="1775"/>
      <c r="U247" s="1775"/>
      <c r="V247" s="1775"/>
      <c r="W247" s="1775"/>
      <c r="X247" s="1775"/>
      <c r="Y247" s="1775"/>
      <c r="Z247" s="1775"/>
      <c r="AA247" s="1775"/>
      <c r="AB247" s="1775"/>
      <c r="AC247" s="1775"/>
    </row>
    <row r="248" spans="1:29" s="1320" customFormat="1">
      <c r="A248" s="1775"/>
      <c r="B248" s="1775"/>
      <c r="C248" s="1775"/>
      <c r="D248" s="1775"/>
      <c r="E248" s="1775"/>
      <c r="F248" s="1775"/>
      <c r="G248" s="1775"/>
      <c r="H248" s="1775"/>
      <c r="I248" s="1775"/>
      <c r="J248" s="1775"/>
      <c r="K248" s="1776"/>
      <c r="L248" s="1777"/>
      <c r="M248" s="1775"/>
      <c r="N248" s="1775"/>
      <c r="O248" s="1775"/>
      <c r="P248" s="1775"/>
      <c r="Q248" s="1775"/>
      <c r="R248" s="1775"/>
      <c r="S248" s="1775"/>
      <c r="T248" s="1775"/>
      <c r="U248" s="1775"/>
      <c r="V248" s="1775"/>
      <c r="W248" s="1775"/>
      <c r="X248" s="1775"/>
      <c r="Y248" s="1775"/>
      <c r="Z248" s="1775"/>
      <c r="AA248" s="1775"/>
      <c r="AB248" s="1775"/>
      <c r="AC248" s="1775"/>
    </row>
    <row r="249" spans="1:29" s="1320" customFormat="1">
      <c r="A249" s="1775"/>
      <c r="B249" s="1775"/>
      <c r="C249" s="1775"/>
      <c r="D249" s="1775"/>
      <c r="E249" s="1775"/>
      <c r="F249" s="1775"/>
      <c r="G249" s="1775"/>
      <c r="H249" s="1775"/>
      <c r="I249" s="1775"/>
      <c r="J249" s="1775"/>
      <c r="K249" s="1776"/>
      <c r="L249" s="1777"/>
      <c r="M249" s="1775"/>
      <c r="N249" s="1775"/>
      <c r="O249" s="1775"/>
      <c r="P249" s="1775"/>
      <c r="Q249" s="1775"/>
      <c r="R249" s="1775"/>
      <c r="S249" s="1775"/>
      <c r="T249" s="1775"/>
      <c r="U249" s="1775"/>
      <c r="V249" s="1775"/>
      <c r="W249" s="1775"/>
      <c r="X249" s="1775"/>
      <c r="Y249" s="1775"/>
      <c r="Z249" s="1775"/>
      <c r="AA249" s="1775"/>
      <c r="AB249" s="1775"/>
      <c r="AC249" s="1775"/>
    </row>
    <row r="250" spans="1:29" s="1320" customFormat="1">
      <c r="A250" s="1775"/>
      <c r="B250" s="1775"/>
      <c r="C250" s="1775"/>
      <c r="D250" s="1775"/>
      <c r="E250" s="1775"/>
      <c r="F250" s="1775"/>
      <c r="G250" s="1775"/>
      <c r="H250" s="1775"/>
      <c r="I250" s="1775"/>
      <c r="J250" s="1775"/>
      <c r="K250" s="1776"/>
      <c r="L250" s="1777"/>
      <c r="M250" s="1775"/>
      <c r="N250" s="1775"/>
      <c r="O250" s="1775"/>
      <c r="P250" s="1775"/>
      <c r="Q250" s="1775"/>
      <c r="R250" s="1775"/>
      <c r="S250" s="1775"/>
      <c r="T250" s="1775"/>
      <c r="U250" s="1775"/>
      <c r="V250" s="1775"/>
      <c r="W250" s="1775"/>
      <c r="X250" s="1775"/>
      <c r="Y250" s="1775"/>
      <c r="Z250" s="1775"/>
      <c r="AA250" s="1775"/>
      <c r="AB250" s="1775"/>
      <c r="AC250" s="1775"/>
    </row>
    <row r="251" spans="1:29" s="1320" customFormat="1">
      <c r="A251" s="1775"/>
      <c r="B251" s="1775"/>
      <c r="C251" s="1775"/>
      <c r="D251" s="1775"/>
      <c r="E251" s="1775"/>
      <c r="F251" s="1775"/>
      <c r="G251" s="1775"/>
      <c r="H251" s="1775"/>
      <c r="I251" s="1775"/>
      <c r="J251" s="1775"/>
      <c r="K251" s="1776"/>
      <c r="L251" s="1777"/>
      <c r="M251" s="1775"/>
      <c r="N251" s="1775"/>
      <c r="O251" s="1775"/>
      <c r="P251" s="1775"/>
      <c r="Q251" s="1775"/>
      <c r="R251" s="1775"/>
      <c r="S251" s="1775"/>
      <c r="T251" s="1775"/>
      <c r="U251" s="1775"/>
      <c r="V251" s="1775"/>
      <c r="W251" s="1775"/>
      <c r="X251" s="1775"/>
      <c r="Y251" s="1775"/>
      <c r="Z251" s="1775"/>
      <c r="AA251" s="1775"/>
      <c r="AB251" s="1775"/>
      <c r="AC251" s="1775"/>
    </row>
    <row r="252" spans="1:29" s="1320" customFormat="1">
      <c r="A252" s="1775"/>
      <c r="B252" s="1775"/>
      <c r="C252" s="1775"/>
      <c r="D252" s="1775"/>
      <c r="E252" s="1775"/>
      <c r="F252" s="1775"/>
      <c r="G252" s="1775"/>
      <c r="H252" s="1775"/>
      <c r="I252" s="1775"/>
      <c r="J252" s="1775"/>
      <c r="K252" s="1776"/>
      <c r="L252" s="1777"/>
      <c r="M252" s="1775"/>
      <c r="N252" s="1775"/>
      <c r="O252" s="1775"/>
      <c r="P252" s="1775"/>
      <c r="Q252" s="1775"/>
      <c r="R252" s="1775"/>
      <c r="S252" s="1775"/>
      <c r="T252" s="1775"/>
      <c r="U252" s="1775"/>
      <c r="V252" s="1775"/>
      <c r="W252" s="1775"/>
      <c r="X252" s="1775"/>
      <c r="Y252" s="1775"/>
      <c r="Z252" s="1775"/>
      <c r="AA252" s="1775"/>
      <c r="AB252" s="1775"/>
      <c r="AC252" s="1775"/>
    </row>
    <row r="253" spans="1:29" s="1320" customFormat="1">
      <c r="A253" s="1775"/>
      <c r="B253" s="1775"/>
      <c r="C253" s="1775"/>
      <c r="D253" s="1775"/>
      <c r="E253" s="1775"/>
      <c r="F253" s="1775"/>
      <c r="G253" s="1775"/>
      <c r="H253" s="1775"/>
      <c r="I253" s="1775"/>
      <c r="J253" s="1775"/>
      <c r="K253" s="1776"/>
      <c r="L253" s="1777"/>
      <c r="M253" s="1775"/>
      <c r="N253" s="1775"/>
      <c r="O253" s="1775"/>
      <c r="P253" s="1775"/>
      <c r="Q253" s="1775"/>
      <c r="R253" s="1775"/>
      <c r="S253" s="1775"/>
      <c r="T253" s="1775"/>
      <c r="U253" s="1775"/>
      <c r="V253" s="1775"/>
      <c r="W253" s="1775"/>
      <c r="X253" s="1775"/>
      <c r="Y253" s="1775"/>
      <c r="Z253" s="1775"/>
      <c r="AA253" s="1775"/>
      <c r="AB253" s="1775"/>
      <c r="AC253" s="1775"/>
    </row>
    <row r="254" spans="1:29" s="1320" customFormat="1">
      <c r="A254" s="1775"/>
      <c r="B254" s="1775"/>
      <c r="C254" s="1775"/>
      <c r="D254" s="1775"/>
      <c r="E254" s="1775"/>
      <c r="F254" s="1775"/>
      <c r="G254" s="1775"/>
      <c r="H254" s="1775"/>
      <c r="I254" s="1775"/>
      <c r="J254" s="1775"/>
      <c r="K254" s="1776"/>
      <c r="L254" s="1777"/>
      <c r="M254" s="1775"/>
      <c r="N254" s="1775"/>
      <c r="O254" s="1775"/>
      <c r="P254" s="1775"/>
      <c r="Q254" s="1775"/>
      <c r="R254" s="1775"/>
      <c r="S254" s="1775"/>
      <c r="T254" s="1775"/>
      <c r="U254" s="1775"/>
      <c r="V254" s="1775"/>
      <c r="W254" s="1775"/>
      <c r="X254" s="1775"/>
      <c r="Y254" s="1775"/>
      <c r="Z254" s="1775"/>
      <c r="AA254" s="1775"/>
      <c r="AB254" s="1775"/>
      <c r="AC254" s="1775"/>
    </row>
    <row r="255" spans="1:29" s="1320" customFormat="1">
      <c r="K255" s="1321"/>
      <c r="L255" s="1322"/>
    </row>
    <row r="256" spans="1:29" s="1320" customFormat="1">
      <c r="K256" s="1321"/>
      <c r="L256" s="1322"/>
    </row>
    <row r="257" spans="11:12" s="1320" customFormat="1">
      <c r="K257" s="1321"/>
      <c r="L257" s="1322"/>
    </row>
    <row r="258" spans="11:12" s="1320" customFormat="1">
      <c r="K258" s="1321"/>
      <c r="L258" s="1322"/>
    </row>
  </sheetData>
  <sheetProtection password="CEE9" sheet="1" objects="1" scenarios="1" formatCells="0" formatColumns="0" formatRows="0"/>
  <mergeCells count="41">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s>
  <phoneticPr fontId="26" type="noConversion"/>
  <conditionalFormatting sqref="E53">
    <cfRule type="expression" dxfId="133" priority="13" stopIfTrue="1">
      <formula>$F$53="超过30%"</formula>
    </cfRule>
  </conditionalFormatting>
  <conditionalFormatting sqref="E54">
    <cfRule type="expression" dxfId="132" priority="11" stopIfTrue="1">
      <formula>$F$54="超过20%"</formula>
    </cfRule>
  </conditionalFormatting>
  <conditionalFormatting sqref="E55">
    <cfRule type="expression" dxfId="131" priority="10" stopIfTrue="1">
      <formula>$F$55="超过30%"</formula>
    </cfRule>
  </conditionalFormatting>
  <conditionalFormatting sqref="F9:F47 H9:H47 J9:J47">
    <cfRule type="cellIs" dxfId="130" priority="1" operator="notEqual">
      <formula>100</formula>
    </cfRule>
  </conditionalFormatting>
  <conditionalFormatting sqref="F49">
    <cfRule type="expression" dxfId="129" priority="4">
      <formula>$D$49="简单平均"</formula>
    </cfRule>
  </conditionalFormatting>
  <conditionalFormatting sqref="F53:F55 H53:H55 J53:J55">
    <cfRule type="containsText" dxfId="128" priority="14" stopIfTrue="1" operator="containsText" text="超过">
      <formula>NOT(ISERROR(SEARCH("超过",F53)))</formula>
    </cfRule>
  </conditionalFormatting>
  <conditionalFormatting sqref="G53">
    <cfRule type="expression" dxfId="127" priority="9" stopIfTrue="1">
      <formula>$H$55+$H$53="超过30%"</formula>
    </cfRule>
  </conditionalFormatting>
  <conditionalFormatting sqref="G54">
    <cfRule type="expression" dxfId="126" priority="8" stopIfTrue="1">
      <formula>$H$54="超过20%"</formula>
    </cfRule>
  </conditionalFormatting>
  <conditionalFormatting sqref="G55">
    <cfRule type="expression" dxfId="125" priority="12" stopIfTrue="1">
      <formula>$H$55="超过30%"</formula>
    </cfRule>
  </conditionalFormatting>
  <conditionalFormatting sqref="H49">
    <cfRule type="expression" dxfId="124" priority="3">
      <formula>$D$49="简单平均"</formula>
    </cfRule>
  </conditionalFormatting>
  <conditionalFormatting sqref="I53">
    <cfRule type="expression" dxfId="123" priority="7" stopIfTrue="1">
      <formula>$J$53="超过30%"</formula>
    </cfRule>
  </conditionalFormatting>
  <conditionalFormatting sqref="I54">
    <cfRule type="expression" dxfId="122" priority="6" stopIfTrue="1">
      <formula>$J$54="超过20%"</formula>
    </cfRule>
  </conditionalFormatting>
  <conditionalFormatting sqref="I55">
    <cfRule type="expression" dxfId="121" priority="5" stopIfTrue="1">
      <formula>$J$55="超过30%"</formula>
    </cfRule>
  </conditionalFormatting>
  <conditionalFormatting sqref="J49">
    <cfRule type="expression" dxfId="120" priority="2">
      <formula>$D$49="简单平均"</formula>
    </cfRule>
  </conditionalFormatting>
  <dataValidations count="25">
    <dataValidation type="list" allowBlank="1" showInputMessage="1" showErrorMessage="1" sqref="C27" xr:uid="{00000000-0002-0000-1300-000000000000}">
      <formula1>住宅朝向</formula1>
    </dataValidation>
    <dataValidation type="list" allowBlank="1" showInputMessage="1" showErrorMessage="1" sqref="E30 C30 I30 G30" xr:uid="{00000000-0002-0000-1300-000001000000}">
      <formula1>公共配套设施</formula1>
    </dataValidation>
    <dataValidation type="list" allowBlank="1" showInputMessage="1" showErrorMessage="1" sqref="E24 C24 G24 I24" xr:uid="{00000000-0002-0000-1300-000002000000}">
      <formula1>交通便捷度</formula1>
    </dataValidation>
    <dataValidation type="list" allowBlank="1" showInputMessage="1" showErrorMessage="1" sqref="E18 G18 I18 C18" xr:uid="{00000000-0002-0000-1300-000003000000}">
      <formula1>居住社区成熟度</formula1>
    </dataValidation>
    <dataValidation type="list" allowBlank="1" showInputMessage="1" showErrorMessage="1" sqref="C28 E28 G28 I28" xr:uid="{00000000-0002-0000-1300-000004000000}">
      <formula1>环境</formula1>
    </dataValidation>
    <dataValidation type="list" allowBlank="1" showInputMessage="1" showErrorMessage="1" sqref="B48" xr:uid="{00000000-0002-0000-1300-000005000000}">
      <formula1>单价内涵</formula1>
    </dataValidation>
    <dataValidation type="list" allowBlank="1" showInputMessage="1" showErrorMessage="1" sqref="C10 E10 G10 I10" xr:uid="{00000000-0002-0000-1300-000006000000}">
      <formula1>套综交易情况</formula1>
    </dataValidation>
    <dataValidation type="list" allowBlank="1" showInputMessage="1" showErrorMessage="1" sqref="C11 E11 G11 I11" xr:uid="{00000000-0002-0000-1300-000007000000}">
      <formula1>套综用途</formula1>
    </dataValidation>
    <dataValidation type="list" allowBlank="1" showInputMessage="1" showErrorMessage="1" sqref="E20 C20 G20 I20" xr:uid="{00000000-0002-0000-1300-000008000000}">
      <formula1>商业繁华度</formula1>
    </dataValidation>
    <dataValidation type="list" allowBlank="1" showInputMessage="1" showErrorMessage="1" sqref="E22 C22 G22 I22" xr:uid="{00000000-0002-0000-1300-000009000000}">
      <formula1>办公集聚程度</formula1>
    </dataValidation>
    <dataValidation type="list" allowBlank="1" showInputMessage="1" showErrorMessage="1" sqref="C35 E35 G35 I35" xr:uid="{00000000-0002-0000-1300-00000A000000}">
      <formula1>套综道路等级</formula1>
    </dataValidation>
    <dataValidation type="list" allowBlank="1" showInputMessage="1" showErrorMessage="1" sqref="C36 E36 G36 I36" xr:uid="{00000000-0002-0000-1300-00000B000000}">
      <formula1>套综土地级别</formula1>
    </dataValidation>
    <dataValidation type="list" allowBlank="1" showInputMessage="1" showErrorMessage="1" sqref="C41 E41 G41 I41" xr:uid="{00000000-0002-0000-1300-00000C000000}">
      <formula1>套综宗地形状</formula1>
    </dataValidation>
    <dataValidation type="list" allowBlank="1" showInputMessage="1" showErrorMessage="1" sqref="C42 E42 G42 I42" xr:uid="{00000000-0002-0000-1300-00000D000000}">
      <formula1>套综临街宽度及深度</formula1>
    </dataValidation>
    <dataValidation type="list" allowBlank="1" showInputMessage="1" showErrorMessage="1" sqref="C43 E43 G43 I43" xr:uid="{00000000-0002-0000-1300-00000E000000}">
      <formula1>套综宗地内开发程度</formula1>
    </dataValidation>
    <dataValidation type="list" allowBlank="1" showInputMessage="1" showErrorMessage="1" sqref="C44 E44 G44 I44" xr:uid="{00000000-0002-0000-1300-00000F000000}">
      <formula1>套综工程地质条件</formula1>
    </dataValidation>
    <dataValidation type="list" allowBlank="1" showInputMessage="1" showErrorMessage="1" sqref="C33 E33 G33 I33" xr:uid="{00000000-0002-0000-1300-000010000000}">
      <formula1>临街状况</formula1>
    </dataValidation>
    <dataValidation type="list" allowBlank="1" showInputMessage="1" showErrorMessage="1" sqref="E26 G26 I26 C26" xr:uid="{00000000-0002-0000-1300-000011000000}">
      <formula1>区域土地利用方向</formula1>
    </dataValidation>
    <dataValidation type="list" allowBlank="1" showInputMessage="1" showErrorMessage="1" sqref="C57" xr:uid="{00000000-0002-0000-1300-000012000000}">
      <formula1>"北京市系数,其他省市系数"</formula1>
    </dataValidation>
    <dataValidation type="list" allowBlank="1" showInputMessage="1" showErrorMessage="1" sqref="G64" xr:uid="{00000000-0002-0000-1300-000013000000}">
      <formula1>"住宅,工业"</formula1>
    </dataValidation>
    <dataValidation type="list" allowBlank="1" showInputMessage="1" showErrorMessage="1" sqref="G63" xr:uid="{00000000-0002-0000-1300-000014000000}">
      <formula1>"商业,办公,住宅,工业"</formula1>
    </dataValidation>
    <dataValidation type="list" allowBlank="1" showInputMessage="1" showErrorMessage="1" sqref="C32 E32 G32 I32" xr:uid="{00000000-0002-0000-1300-000015000000}">
      <formula1>基础设施水平</formula1>
    </dataValidation>
    <dataValidation type="list" allowBlank="1" showInputMessage="1" showErrorMessage="1" sqref="A72" xr:uid="{00000000-0002-0000-1300-000016000000}">
      <formula1>"综合,商业,办公,住宅"</formula1>
    </dataValidation>
    <dataValidation type="list" allowBlank="1" showInputMessage="1" showErrorMessage="1" sqref="D49" xr:uid="{00000000-0002-0000-1300-000017000000}">
      <formula1>"简单平均,加权平均"</formula1>
    </dataValidation>
    <dataValidation type="list" allowBlank="1" showInputMessage="1" showErrorMessage="1" sqref="D59:D66" xr:uid="{00000000-0002-0000-1300-000018000000}">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AR123"/>
  <sheetViews>
    <sheetView view="pageBreakPreview" topLeftCell="A13" zoomScaleNormal="60" zoomScaleSheetLayoutView="100" workbookViewId="0">
      <selection activeCell="F31" sqref="F31"/>
    </sheetView>
  </sheetViews>
  <sheetFormatPr defaultColWidth="12" defaultRowHeight="12"/>
  <cols>
    <col min="1" max="1" width="9.75" style="1188" customWidth="1"/>
    <col min="2" max="2" width="24.625" style="1274" customWidth="1"/>
    <col min="3" max="4" width="12" style="1189"/>
    <col min="5" max="5" width="14.625" style="1189" customWidth="1"/>
    <col min="6" max="8" width="12" style="1189"/>
    <col min="9" max="9" width="12.25" style="1189" bestFit="1" customWidth="1"/>
    <col min="10" max="10" width="12" style="1189"/>
    <col min="11" max="11" width="9.625" style="1186" customWidth="1"/>
    <col min="12" max="12" width="15.75" style="1189" customWidth="1"/>
    <col min="13" max="14" width="10.625" style="1189" customWidth="1"/>
    <col min="15" max="17" width="12" style="1189"/>
    <col min="18" max="18" width="12" style="1188"/>
    <col min="19" max="22" width="15.5" style="1188" customWidth="1"/>
    <col min="23" max="28" width="12" style="1189"/>
    <col min="29" max="29" width="9.375" style="1188" customWidth="1"/>
    <col min="30" max="35" width="9.375" style="1187" customWidth="1"/>
    <col min="36" max="39" width="9.375" style="1188" customWidth="1"/>
    <col min="40" max="41" width="9.375" style="1189" customWidth="1"/>
    <col min="42" max="16384" width="12" style="1189"/>
  </cols>
  <sheetData>
    <row r="1" spans="1:39" ht="20.25">
      <c r="A1" s="1183" t="s">
        <v>1227</v>
      </c>
      <c r="B1" s="1184"/>
      <c r="C1" s="1190" t="s">
        <v>1778</v>
      </c>
      <c r="D1" s="1267">
        <f>SUM(D33:D34,D37:D42)</f>
        <v>82949.97</v>
      </c>
      <c r="E1" s="1190" t="s">
        <v>1779</v>
      </c>
      <c r="F1" s="1252">
        <f>'数据-基础表'!A3</f>
        <v>82949.97</v>
      </c>
      <c r="G1" s="1185"/>
      <c r="H1" s="1185"/>
      <c r="I1" s="1185"/>
      <c r="J1" s="1185"/>
      <c r="K1" s="1789"/>
      <c r="L1" s="1541" t="s">
        <v>1597</v>
      </c>
      <c r="M1" s="1542">
        <f>SUMPRODUCT((区片价!B5:B9=I2)*(区片价!C3:G3=E2)*(区片价!C5:G9))</f>
        <v>0</v>
      </c>
      <c r="N1" s="1543">
        <f>SUMPRODUCT((因素修正幅度!B5:B9=I2)*(因素修正幅度!C3:G3=E2)*(因素修正幅度!C5:G9))</f>
        <v>0</v>
      </c>
      <c r="O1" s="1789"/>
      <c r="P1" s="1789"/>
      <c r="Q1" s="1789"/>
      <c r="R1" s="2232" t="s">
        <v>2043</v>
      </c>
      <c r="S1" s="2232" t="s">
        <v>2044</v>
      </c>
      <c r="T1" s="2232" t="s">
        <v>2061</v>
      </c>
      <c r="U1" s="2232" t="s">
        <v>2062</v>
      </c>
      <c r="V1" s="2232" t="s">
        <v>2063</v>
      </c>
      <c r="W1" s="1789"/>
      <c r="X1" s="1789"/>
      <c r="Y1" s="1789"/>
      <c r="Z1" s="1789"/>
      <c r="AA1" s="1789"/>
      <c r="AB1" s="1789"/>
      <c r="AC1" s="1790"/>
    </row>
    <row r="2" spans="1:39" ht="15.75">
      <c r="A2" s="1190" t="s">
        <v>848</v>
      </c>
      <c r="B2" s="941">
        <f>C30</f>
        <v>17702</v>
      </c>
      <c r="C2" s="1191" t="s">
        <v>849</v>
      </c>
      <c r="D2" s="1192" t="s">
        <v>850</v>
      </c>
      <c r="E2" s="1193" t="s">
        <v>905</v>
      </c>
      <c r="F2" s="1192" t="s">
        <v>852</v>
      </c>
      <c r="G2" s="1372" t="str">
        <f>IF(E2="商业",项目基本情况!B43,IF(E2="办公",项目基本情况!C43,IF(E2="住宅",项目基本情况!D43,IF(E2="工业",项目基本情况!E43,项目基本情况!F43))))</f>
        <v>六级</v>
      </c>
      <c r="H2" s="1192" t="s">
        <v>854</v>
      </c>
      <c r="I2" s="946" t="str">
        <f>IF(E2="商业",项目基本情况!B44,IF(E2="办公",项目基本情况!C44,IF(E2="住宅",项目基本情况!D44,IF(E2="工业",项目基本情况!E44,项目基本情况!F44))))</f>
        <v>Ⅵ-光机电</v>
      </c>
      <c r="J2" s="1185"/>
      <c r="K2" s="1789"/>
      <c r="L2" s="1544" t="s">
        <v>1598</v>
      </c>
      <c r="M2" s="1545">
        <f>SUMPRODUCT((区片价!B10:B29=I2)*(区片价!C3:G3=E2)*(区片价!C10:G29))</f>
        <v>0</v>
      </c>
      <c r="N2" s="1546">
        <f>SUMPRODUCT((因素修正幅度!B10:B29=I2)*(因素修正幅度!C3:G3=E2)*(因素修正幅度!C10:G29))</f>
        <v>0</v>
      </c>
      <c r="O2" s="1789"/>
      <c r="P2" s="1789"/>
      <c r="Q2" s="1789"/>
      <c r="R2" s="2233">
        <v>1</v>
      </c>
      <c r="S2" s="2233">
        <f>ROUND(SUMPRODUCT((B107:B111=R2)*(C106:N106=G2)*(C107:N111)),4)</f>
        <v>1.5019</v>
      </c>
      <c r="T2" s="2233">
        <f>ROUND($C$5*$C$22*$C$23*$C$24*S2*$C$28,0)</f>
        <v>3028</v>
      </c>
      <c r="U2" s="2223"/>
      <c r="V2" s="2233">
        <f>ROUND(T2*U2/10000,0)</f>
        <v>0</v>
      </c>
      <c r="W2" s="1789"/>
      <c r="X2" s="1789"/>
      <c r="Y2" s="1789"/>
      <c r="Z2" s="1789"/>
      <c r="AA2" s="1789"/>
      <c r="AB2" s="1789"/>
      <c r="AC2" s="1790"/>
    </row>
    <row r="3" spans="1:39" ht="15.75">
      <c r="A3" s="1194" t="s">
        <v>1220</v>
      </c>
      <c r="B3" s="941">
        <f>ROUND(B2*10000/D1,0)</f>
        <v>2134</v>
      </c>
      <c r="C3" s="1191" t="s">
        <v>855</v>
      </c>
      <c r="D3" s="1192" t="s">
        <v>856</v>
      </c>
      <c r="E3" s="1195" t="s">
        <v>2508</v>
      </c>
      <c r="F3" s="1196" t="s">
        <v>3272</v>
      </c>
      <c r="G3" s="942">
        <f>IF(F3="宗地容积率",'数据-汇总表'!I4,IF(F3="估价对象容积率",'数据-汇总表'!I6,'数据-汇总表'!I7))</f>
        <v>1</v>
      </c>
      <c r="H3" s="1192" t="s">
        <v>857</v>
      </c>
      <c r="I3" s="943"/>
      <c r="J3" s="1185" t="s">
        <v>858</v>
      </c>
      <c r="K3" s="1789"/>
      <c r="L3" s="1544" t="s">
        <v>1599</v>
      </c>
      <c r="M3" s="1545">
        <f>SUMPRODUCT((区片价!B30:B54=I2)*(区片价!C3:G3=E2)*(区片价!C30:G54))</f>
        <v>0</v>
      </c>
      <c r="N3" s="1546">
        <f>SUMPRODUCT((因素修正幅度!B30:B54=I2)*(因素修正幅度!C3:G3=E2)*(因素修正幅度!C30:G54))</f>
        <v>0</v>
      </c>
      <c r="O3" s="1789"/>
      <c r="P3" s="1789"/>
      <c r="Q3" s="1789"/>
      <c r="R3" s="2233">
        <v>2</v>
      </c>
      <c r="S3" s="2233">
        <f>ROUND(SUMPRODUCT((B107:B111=R3)*(C106:N106=G2)*(C107:N111)),4)</f>
        <v>1.1838</v>
      </c>
      <c r="T3" s="2233">
        <f t="shared" ref="T3:T16" si="0">ROUND($C$5*$C$22*$C$23*$C$24*S3*$C$28,0)</f>
        <v>2387</v>
      </c>
      <c r="U3" s="2223"/>
      <c r="V3" s="2233">
        <f t="shared" ref="V3:V16" si="1">ROUND(T3*U3/10000,0)</f>
        <v>0</v>
      </c>
      <c r="W3" s="1789"/>
      <c r="X3" s="1789"/>
      <c r="Y3" s="1789"/>
      <c r="Z3" s="1789"/>
      <c r="AA3" s="1789"/>
      <c r="AB3" s="1789"/>
      <c r="AC3" s="1790"/>
    </row>
    <row r="4" spans="1:39" ht="28.5">
      <c r="A4" s="1550" t="s">
        <v>1638</v>
      </c>
      <c r="B4" s="1970">
        <f>ROUND(B2*10000/F1,0)</f>
        <v>2134</v>
      </c>
      <c r="C4" s="1553" t="s">
        <v>1613</v>
      </c>
      <c r="D4" s="1553">
        <f>ROUND(B2/(F1/666.67),0)</f>
        <v>142</v>
      </c>
      <c r="E4" s="1553" t="s">
        <v>1614</v>
      </c>
      <c r="F4" s="1551"/>
      <c r="G4" s="1551"/>
      <c r="H4" s="1551"/>
      <c r="I4" s="1551"/>
      <c r="J4" s="1552"/>
      <c r="K4" s="2738"/>
      <c r="L4" s="1544" t="s">
        <v>1600</v>
      </c>
      <c r="M4" s="1545">
        <f>SUMPRODUCT((区片价!B55:B86=I2)*(区片价!C3:G3=E2)*(区片价!C55:G86))</f>
        <v>0</v>
      </c>
      <c r="N4" s="1546">
        <f>SUMPRODUCT((因素修正幅度!B55:B86=I2)*(因素修正幅度!C3:G3=E2)*(因素修正幅度!C55:G86))</f>
        <v>0</v>
      </c>
      <c r="O4" s="2738"/>
      <c r="P4" s="1789"/>
      <c r="Q4" s="1789"/>
      <c r="R4" s="2233">
        <v>3</v>
      </c>
      <c r="S4" s="2233">
        <f>ROUND(SUMPRODUCT((B107:B111=R4)*(C106:N106=G2)*(C107:N111)),4)</f>
        <v>1.0004999999999999</v>
      </c>
      <c r="T4" s="2233">
        <f t="shared" si="0"/>
        <v>2017</v>
      </c>
      <c r="U4" s="2223"/>
      <c r="V4" s="2233">
        <f t="shared" si="1"/>
        <v>0</v>
      </c>
      <c r="W4" s="1789"/>
      <c r="X4" s="1789"/>
      <c r="Y4" s="1789"/>
      <c r="Z4" s="1789"/>
      <c r="AA4" s="1789"/>
      <c r="AB4" s="1789"/>
      <c r="AC4" s="1790"/>
    </row>
    <row r="5" spans="1:39" s="1203" customFormat="1" ht="15.75" thickBot="1">
      <c r="A5" s="1359" t="s">
        <v>1352</v>
      </c>
      <c r="B5" s="1197" t="s">
        <v>859</v>
      </c>
      <c r="C5" s="944">
        <f>ROUND(IF(E2="商业",C6*C7*C17+C20,(IF(E2="住宅",C6*C13*C17+C20,IF(E2="办公",C6*C12*C17+C20,C6+C20)))),0)</f>
        <v>2120</v>
      </c>
      <c r="D5" s="2358">
        <f>ROUND(C6*C17+C20,0)</f>
        <v>2120</v>
      </c>
      <c r="E5" s="2358"/>
      <c r="F5" s="1198"/>
      <c r="G5" s="1199"/>
      <c r="H5" s="1199"/>
      <c r="I5" s="1199"/>
      <c r="J5" s="1200"/>
      <c r="K5" s="2739"/>
      <c r="L5" s="1544" t="s">
        <v>1601</v>
      </c>
      <c r="M5" s="1545">
        <f>SUMPRODUCT((区片价!B87:B126=I2)*(区片价!C3:G3=E2)*(区片价!C87:G126))</f>
        <v>0</v>
      </c>
      <c r="N5" s="1546">
        <f>SUMPRODUCT((因素修正幅度!B87:B126=I2)*(因素修正幅度!C3:G3=E2)*(因素修正幅度!C87:G126))</f>
        <v>0</v>
      </c>
      <c r="O5" s="2739"/>
      <c r="P5" s="2741"/>
      <c r="Q5" s="1789"/>
      <c r="R5" s="2233">
        <v>4</v>
      </c>
      <c r="S5" s="2233">
        <f>ROUND(SUMPRODUCT((B107:B111=R5)*(C106:N106=G2)*(C107:N111)),4)</f>
        <v>0.88239999999999996</v>
      </c>
      <c r="T5" s="2233">
        <f t="shared" si="0"/>
        <v>1779</v>
      </c>
      <c r="U5" s="2223"/>
      <c r="V5" s="2233">
        <f t="shared" si="1"/>
        <v>0</v>
      </c>
      <c r="W5" s="1789"/>
      <c r="X5" s="1789"/>
      <c r="Y5" s="1789"/>
      <c r="Z5" s="1789"/>
      <c r="AA5" s="1789"/>
      <c r="AB5" s="1789"/>
      <c r="AC5" s="1791"/>
      <c r="AD5" s="1201"/>
      <c r="AE5" s="1201"/>
      <c r="AF5" s="1201"/>
      <c r="AG5" s="1201"/>
      <c r="AH5" s="1201"/>
      <c r="AI5" s="1201"/>
      <c r="AJ5" s="1202"/>
      <c r="AK5" s="1202"/>
      <c r="AL5" s="1202"/>
      <c r="AM5" s="1202"/>
    </row>
    <row r="6" spans="1:39" ht="15.75" thickBot="1">
      <c r="A6" s="3250" t="s">
        <v>1395</v>
      </c>
      <c r="B6" s="1204" t="s">
        <v>859</v>
      </c>
      <c r="C6" s="3251">
        <f>SUMIF(L1:L12,G2,M1:M12)</f>
        <v>2120</v>
      </c>
      <c r="D6" s="3252" t="s">
        <v>1228</v>
      </c>
      <c r="E6" s="1204"/>
      <c r="F6" s="1204"/>
      <c r="G6" s="3253"/>
      <c r="H6" s="3253"/>
      <c r="I6" s="3253"/>
      <c r="J6" s="3254"/>
      <c r="K6" s="1789"/>
      <c r="L6" s="1544" t="s">
        <v>1602</v>
      </c>
      <c r="M6" s="1545">
        <f>SUMPRODUCT((区片价!B127:B189=I2)*(区片价!C3:G3=E2)*(区片价!C127:G189))</f>
        <v>2120</v>
      </c>
      <c r="N6" s="1546">
        <f>SUMPRODUCT((因素修正幅度!B127:B189=I2)*(因素修正幅度!C3:G3=E2)*(因素修正幅度!C127:G189))</f>
        <v>0.05</v>
      </c>
      <c r="O6" s="1789"/>
      <c r="P6" s="2742"/>
      <c r="Q6" s="1789"/>
      <c r="R6" s="2233">
        <v>5</v>
      </c>
      <c r="S6" s="2233">
        <f>ROUND(SUMPRODUCT((B107:B111=R6)*(C106:N106=G2)*(C107:N111)),4)</f>
        <v>0.84799999999999998</v>
      </c>
      <c r="T6" s="2233">
        <f t="shared" si="0"/>
        <v>1710</v>
      </c>
      <c r="U6" s="2223"/>
      <c r="V6" s="2233">
        <f t="shared" si="1"/>
        <v>0</v>
      </c>
      <c r="W6" s="1789"/>
      <c r="X6" s="1789"/>
      <c r="Y6" s="1789"/>
      <c r="Z6" s="1789"/>
      <c r="AA6" s="1789"/>
      <c r="AB6" s="1789"/>
      <c r="AC6" s="1791"/>
      <c r="AD6" s="1201"/>
      <c r="AE6" s="1201"/>
      <c r="AF6" s="1201"/>
      <c r="AG6" s="1201"/>
      <c r="AH6" s="1201"/>
      <c r="AI6" s="1201"/>
      <c r="AJ6" s="1202"/>
    </row>
    <row r="7" spans="1:39" ht="24.75" thickBot="1">
      <c r="A7" s="3255" t="s">
        <v>3197</v>
      </c>
      <c r="B7" s="1205" t="s">
        <v>860</v>
      </c>
      <c r="C7" s="3256">
        <f>IF(C8="不临65条商业街",1,ROUND(1+(1.6*E8+1.2*E9+0.8*E10+0.4*E11)*C9,4))</f>
        <v>1</v>
      </c>
      <c r="D7" s="3257" t="s">
        <v>861</v>
      </c>
      <c r="E7" s="3258"/>
      <c r="F7" s="3259"/>
      <c r="G7" s="3259"/>
      <c r="H7" s="3259"/>
      <c r="I7" s="3259"/>
      <c r="J7" s="3260"/>
      <c r="K7" s="1789"/>
      <c r="L7" s="1544" t="s">
        <v>1603</v>
      </c>
      <c r="M7" s="1545">
        <f>SUMPRODUCT((区片价!B190:B233=I2)*(区片价!C3:G3=E2)*(区片价!C190:G233))</f>
        <v>0</v>
      </c>
      <c r="N7" s="1546">
        <f>SUMPRODUCT((因素修正幅度!B190:B233=I2)*(因素修正幅度!C3:G3=E2)*(因素修正幅度!C190:G233))</f>
        <v>0</v>
      </c>
      <c r="O7" s="1789"/>
      <c r="P7" s="2742"/>
      <c r="Q7" s="1789"/>
      <c r="R7" s="2233">
        <v>6</v>
      </c>
      <c r="S7" s="2223"/>
      <c r="T7" s="2233">
        <f t="shared" si="0"/>
        <v>0</v>
      </c>
      <c r="U7" s="2223"/>
      <c r="V7" s="2233">
        <f t="shared" si="1"/>
        <v>0</v>
      </c>
      <c r="W7" s="2231" t="s">
        <v>2046</v>
      </c>
      <c r="X7" s="2224" t="str">
        <f>G2</f>
        <v>六级</v>
      </c>
      <c r="Y7" s="2224" t="s">
        <v>2047</v>
      </c>
      <c r="Z7" s="2225">
        <f>G3</f>
        <v>1</v>
      </c>
      <c r="AA7" s="1792"/>
      <c r="AB7" s="1792"/>
      <c r="AC7" s="1793"/>
      <c r="AD7" s="2226"/>
      <c r="AE7" s="2226"/>
      <c r="AF7" s="2226"/>
      <c r="AG7" s="2226"/>
      <c r="AH7" s="2226"/>
      <c r="AI7" s="2226"/>
      <c r="AJ7" s="2227"/>
    </row>
    <row r="8" spans="1:39" ht="25.5">
      <c r="A8" s="3261"/>
      <c r="B8" s="1192" t="s">
        <v>862</v>
      </c>
      <c r="C8" s="3262" t="s">
        <v>3274</v>
      </c>
      <c r="D8" s="3263" t="s">
        <v>863</v>
      </c>
      <c r="E8" s="3264" t="e">
        <f>ROUND(C11/E7,4)</f>
        <v>#DIV/0!</v>
      </c>
      <c r="F8" s="3265" t="s">
        <v>864</v>
      </c>
      <c r="G8" s="3266"/>
      <c r="H8" s="3266"/>
      <c r="I8" s="3266"/>
      <c r="J8" s="3267"/>
      <c r="K8" s="1789"/>
      <c r="L8" s="1544" t="s">
        <v>1604</v>
      </c>
      <c r="M8" s="1545">
        <f>SUMPRODUCT((区片价!B234:B276=I2)*(区片价!C3:G3=E2)*(区片价!C234:G276))</f>
        <v>0</v>
      </c>
      <c r="N8" s="1546">
        <f>SUMPRODUCT((因素修正幅度!B234:B276=I2)*(因素修正幅度!C3:G3=E2)*(因素修正幅度!C234:G276))</f>
        <v>0</v>
      </c>
      <c r="O8" s="1789"/>
      <c r="P8" s="1789"/>
      <c r="Q8" s="1789"/>
      <c r="R8" s="2233">
        <v>7</v>
      </c>
      <c r="S8" s="2223"/>
      <c r="T8" s="2233">
        <f t="shared" si="0"/>
        <v>0</v>
      </c>
      <c r="U8" s="2223"/>
      <c r="V8" s="2233">
        <f t="shared" si="1"/>
        <v>0</v>
      </c>
      <c r="W8" s="3656" t="s">
        <v>2060</v>
      </c>
      <c r="X8" s="3657"/>
      <c r="Y8" s="1538" t="s">
        <v>2048</v>
      </c>
      <c r="Z8" s="1538" t="s">
        <v>2049</v>
      </c>
      <c r="AA8" s="1538" t="s">
        <v>2050</v>
      </c>
      <c r="AB8" s="1538" t="s">
        <v>2051</v>
      </c>
      <c r="AC8" s="1538" t="s">
        <v>2052</v>
      </c>
      <c r="AD8" s="1538" t="s">
        <v>2053</v>
      </c>
      <c r="AE8" s="1538" t="s">
        <v>2054</v>
      </c>
      <c r="AF8" s="1538" t="s">
        <v>2055</v>
      </c>
      <c r="AG8" s="1538" t="s">
        <v>2056</v>
      </c>
      <c r="AH8" s="1538" t="s">
        <v>2057</v>
      </c>
      <c r="AI8" s="1538" t="s">
        <v>2058</v>
      </c>
      <c r="AJ8" s="1538" t="s">
        <v>2059</v>
      </c>
    </row>
    <row r="9" spans="1:39" ht="15">
      <c r="A9" s="3261"/>
      <c r="B9" s="1192" t="s">
        <v>865</v>
      </c>
      <c r="C9" s="3268">
        <f>SUMIF(修正!C71:C139,C8,修正!E71:E139)</f>
        <v>0</v>
      </c>
      <c r="D9" s="3269" t="s">
        <v>866</v>
      </c>
      <c r="E9" s="3269" t="e">
        <f>ROUND(C11/E7,4)</f>
        <v>#DIV/0!</v>
      </c>
      <c r="F9" s="3265" t="s">
        <v>867</v>
      </c>
      <c r="G9" s="3266"/>
      <c r="H9" s="3266"/>
      <c r="I9" s="3266"/>
      <c r="J9" s="3267"/>
      <c r="K9" s="1789"/>
      <c r="L9" s="1544" t="s">
        <v>1605</v>
      </c>
      <c r="M9" s="1545">
        <f>SUMPRODUCT((区片价!B277:B326=I2)*(区片价!C3:G3=E2)*(区片价!C277:G326))</f>
        <v>0</v>
      </c>
      <c r="N9" s="1546">
        <f>SUMPRODUCT((因素修正幅度!B277:B326=I2)*(因素修正幅度!C3:G3=E2)*(因素修正幅度!C277:G326))</f>
        <v>0</v>
      </c>
      <c r="O9" s="1789"/>
      <c r="P9" s="1789"/>
      <c r="Q9" s="1789"/>
      <c r="R9" s="2233">
        <v>8</v>
      </c>
      <c r="S9" s="2223"/>
      <c r="T9" s="2233">
        <f t="shared" si="0"/>
        <v>0</v>
      </c>
      <c r="U9" s="2223"/>
      <c r="V9" s="2233">
        <f t="shared" si="1"/>
        <v>0</v>
      </c>
      <c r="W9" s="3655"/>
      <c r="X9" s="2228" t="s">
        <v>3220</v>
      </c>
      <c r="Y9" s="2351">
        <v>6</v>
      </c>
      <c r="Z9" s="2229">
        <f t="shared" ref="Z9:AJ9" si="2">$Y$9</f>
        <v>6</v>
      </c>
      <c r="AA9" s="2229">
        <f t="shared" si="2"/>
        <v>6</v>
      </c>
      <c r="AB9" s="2229">
        <f t="shared" si="2"/>
        <v>6</v>
      </c>
      <c r="AC9" s="2229">
        <f t="shared" si="2"/>
        <v>6</v>
      </c>
      <c r="AD9" s="2229">
        <f t="shared" si="2"/>
        <v>6</v>
      </c>
      <c r="AE9" s="2229">
        <f t="shared" si="2"/>
        <v>6</v>
      </c>
      <c r="AF9" s="2229">
        <f t="shared" si="2"/>
        <v>6</v>
      </c>
      <c r="AG9" s="2229">
        <f t="shared" si="2"/>
        <v>6</v>
      </c>
      <c r="AH9" s="2229">
        <f t="shared" si="2"/>
        <v>6</v>
      </c>
      <c r="AI9" s="2229">
        <f t="shared" si="2"/>
        <v>6</v>
      </c>
      <c r="AJ9" s="2229">
        <f t="shared" si="2"/>
        <v>6</v>
      </c>
    </row>
    <row r="10" spans="1:39" ht="15">
      <c r="A10" s="3261"/>
      <c r="B10" s="1192" t="s">
        <v>868</v>
      </c>
      <c r="C10" s="3269">
        <f>SUMIF(修正!C71:C139,C8,修正!F71:F139)</f>
        <v>0</v>
      </c>
      <c r="D10" s="3269" t="s">
        <v>869</v>
      </c>
      <c r="E10" s="3269" t="e">
        <f>ROUND(C11/E7,4)</f>
        <v>#DIV/0!</v>
      </c>
      <c r="F10" s="3265" t="s">
        <v>870</v>
      </c>
      <c r="G10" s="3266"/>
      <c r="H10" s="3266"/>
      <c r="I10" s="3266"/>
      <c r="J10" s="3267"/>
      <c r="K10" s="1789"/>
      <c r="L10" s="1544" t="s">
        <v>1606</v>
      </c>
      <c r="M10" s="1545">
        <f>SUMPRODUCT((区片价!B327:B357=I2)*(区片价!C3:G3=E2)*(区片价!C327:G357))</f>
        <v>0</v>
      </c>
      <c r="N10" s="1546">
        <f>SUMPRODUCT((因素修正幅度!B327:B357=I2)*(因素修正幅度!C3:G3=E2)*(因素修正幅度!C327:G357))</f>
        <v>0</v>
      </c>
      <c r="O10" s="1789"/>
      <c r="P10" s="1789"/>
      <c r="Q10" s="1789"/>
      <c r="R10" s="2233">
        <v>9</v>
      </c>
      <c r="S10" s="2223"/>
      <c r="T10" s="2233">
        <f t="shared" si="0"/>
        <v>0</v>
      </c>
      <c r="U10" s="2223"/>
      <c r="V10" s="2233">
        <f t="shared" si="1"/>
        <v>0</v>
      </c>
      <c r="W10" s="3655"/>
      <c r="X10" s="2228">
        <v>6</v>
      </c>
      <c r="Y10" s="2230">
        <f>ROUND((-0.5556*(Y9^2)-0.2719*Y9+8944)*(10^(-4)),4)</f>
        <v>0.89219999999999999</v>
      </c>
      <c r="Z10" s="2230">
        <f>ROUND((-0.5556*(Z9^2)-0.2719*Z9+8944)*(10^(-4)),4)</f>
        <v>0.89219999999999999</v>
      </c>
      <c r="AA10" s="2230">
        <f>ROUND((-0.7912*(AA9^2)-11.3794*AA9+8482)*(10^(-4)),4)</f>
        <v>0.83850000000000002</v>
      </c>
      <c r="AB10" s="2230">
        <f>ROUND((-0.7912*(AB9^2)-11.3794*AB9+8482)*(10^(-4)),4)</f>
        <v>0.83850000000000002</v>
      </c>
      <c r="AC10" s="2230">
        <f>ROUND((-0.7912*(AC9^2)-11.3794*AC9+8482)*(10^(-4)),4)</f>
        <v>0.83850000000000002</v>
      </c>
      <c r="AD10" s="2230">
        <f>ROUND((-0.7912*(AD9^2)-11.3794*AD9+8482)*(10^(-4)),4)</f>
        <v>0.83850000000000002</v>
      </c>
      <c r="AE10" s="2230">
        <f>ROUND((-0.7912*(AE9^2)-11.3794*AE9+8482)*(10^(-4)),4)</f>
        <v>0.83850000000000002</v>
      </c>
      <c r="AF10" s="2230">
        <f>ROUND((-0.989*(AF9^2)-63.78*AF9+7771)*(10^(-4)),4)</f>
        <v>0.73529999999999995</v>
      </c>
      <c r="AG10" s="2230">
        <f>ROUND((-0.989*(AG9^2)-63.78*AG9+7771)*(10^(-4)),4)</f>
        <v>0.73529999999999995</v>
      </c>
      <c r="AH10" s="2230">
        <f>ROUND((-0.989*(AH9^2)-63.78*AH9+7771)*(10^(-4)),4)</f>
        <v>0.73529999999999995</v>
      </c>
      <c r="AI10" s="2230">
        <f>ROUND((-0.989*(AI9^2)-63.78*AI9+7771)*(10^(-4)),4)</f>
        <v>0.73529999999999995</v>
      </c>
      <c r="AJ10" s="2230">
        <f>ROUND((-0.989*(AJ9^2)-63.78*AJ9+7771)*(10^(-4)),4)</f>
        <v>0.73529999999999995</v>
      </c>
    </row>
    <row r="11" spans="1:39" ht="15.75" customHeight="1" thickBot="1">
      <c r="A11" s="3261"/>
      <c r="B11" s="1209" t="s">
        <v>871</v>
      </c>
      <c r="C11" s="3270">
        <f>C10/4</f>
        <v>0</v>
      </c>
      <c r="D11" s="3270" t="s">
        <v>872</v>
      </c>
      <c r="E11" s="3270" t="e">
        <f>ROUND(C11/E7,4)</f>
        <v>#DIV/0!</v>
      </c>
      <c r="F11" s="3271" t="s">
        <v>873</v>
      </c>
      <c r="G11" s="3272"/>
      <c r="H11" s="3272"/>
      <c r="I11" s="3272"/>
      <c r="J11" s="3273"/>
      <c r="K11" s="1789"/>
      <c r="L11" s="1544" t="s">
        <v>1607</v>
      </c>
      <c r="M11" s="1545">
        <f>SUMPRODUCT((区片价!B358:B377=I2)*(区片价!C3:G3=E2)*(区片价!C358:G377))</f>
        <v>0</v>
      </c>
      <c r="N11" s="1546">
        <f>SUMPRODUCT((因素修正幅度!B358:B377=I2)*(因素修正幅度!C3:G3=E2)*(因素修正幅度!C358:G377))</f>
        <v>0</v>
      </c>
      <c r="O11" s="1789"/>
      <c r="P11" s="1789"/>
      <c r="Q11" s="1789"/>
      <c r="R11" s="2233">
        <v>10</v>
      </c>
      <c r="S11" s="2223"/>
      <c r="T11" s="2233">
        <f t="shared" si="0"/>
        <v>0</v>
      </c>
      <c r="U11" s="2223"/>
      <c r="V11" s="2233">
        <f t="shared" si="1"/>
        <v>0</v>
      </c>
      <c r="W11" s="1789"/>
      <c r="X11" s="1789"/>
      <c r="Y11" s="1789"/>
      <c r="Z11" s="1789"/>
      <c r="AA11" s="1789"/>
      <c r="AB11" s="1789"/>
      <c r="AC11" s="1790"/>
    </row>
    <row r="12" spans="1:39" ht="25.5" thickBot="1">
      <c r="A12" s="3255" t="s">
        <v>3198</v>
      </c>
      <c r="B12" s="3237" t="s">
        <v>3199</v>
      </c>
      <c r="C12" s="3243">
        <v>1</v>
      </c>
      <c r="D12" s="3238" t="s">
        <v>3200</v>
      </c>
      <c r="E12" s="3239" t="s">
        <v>3201</v>
      </c>
      <c r="F12" s="3240"/>
      <c r="G12" s="3241"/>
      <c r="H12" s="3241"/>
      <c r="I12" s="3241"/>
      <c r="J12" s="3242"/>
      <c r="K12" s="1789"/>
      <c r="L12" s="1547" t="s">
        <v>1608</v>
      </c>
      <c r="M12" s="1548">
        <f>SUMPRODUCT((区片价!B378:B384=I2)*(区片价!C3:G3=E2)*(区片价!C378:G384))</f>
        <v>0</v>
      </c>
      <c r="N12" s="1549">
        <f>SUMPRODUCT((因素修正幅度!B378:B384=I2)*(因素修正幅度!C3:G3=E2)*(因素修正幅度!C378:G384))</f>
        <v>0</v>
      </c>
      <c r="O12" s="1789"/>
      <c r="P12" s="1789"/>
      <c r="Q12" s="1789"/>
      <c r="R12" s="2233">
        <v>11</v>
      </c>
      <c r="S12" s="2223"/>
      <c r="T12" s="2233">
        <f t="shared" si="0"/>
        <v>0</v>
      </c>
      <c r="U12" s="2223"/>
      <c r="V12" s="2233">
        <f t="shared" si="1"/>
        <v>0</v>
      </c>
      <c r="W12" s="1789"/>
      <c r="X12" s="1789"/>
      <c r="Y12" s="1789"/>
      <c r="Z12" s="1789"/>
      <c r="AA12" s="1789"/>
      <c r="AB12" s="1789"/>
      <c r="AC12" s="1790"/>
    </row>
    <row r="13" spans="1:39" ht="15.75" thickBot="1">
      <c r="A13" s="3255" t="s">
        <v>3202</v>
      </c>
      <c r="B13" s="1210" t="s">
        <v>874</v>
      </c>
      <c r="C13" s="3256">
        <f>ROUND(C16*D16*E16*F16*G16*H16*I16*J16,4)</f>
        <v>0</v>
      </c>
      <c r="D13" s="3274" t="s">
        <v>3203</v>
      </c>
      <c r="E13" s="3275"/>
      <c r="F13" s="3275"/>
      <c r="G13" s="3275"/>
      <c r="H13" s="3275"/>
      <c r="I13" s="3275"/>
      <c r="J13" s="3276"/>
      <c r="K13" s="1790"/>
      <c r="L13" s="1790"/>
      <c r="M13" s="1790"/>
      <c r="N13" s="1790"/>
      <c r="O13" s="1790"/>
      <c r="P13" s="1789"/>
      <c r="Q13" s="1789"/>
      <c r="R13" s="2233">
        <v>12</v>
      </c>
      <c r="S13" s="2223"/>
      <c r="T13" s="2233">
        <f t="shared" si="0"/>
        <v>0</v>
      </c>
      <c r="U13" s="2223"/>
      <c r="V13" s="2233">
        <f t="shared" si="1"/>
        <v>0</v>
      </c>
      <c r="W13" s="1789"/>
      <c r="X13" s="1789"/>
      <c r="Y13" s="1789"/>
      <c r="Z13" s="1789"/>
      <c r="AA13" s="1789"/>
      <c r="AB13" s="1789"/>
      <c r="AC13" s="1790"/>
    </row>
    <row r="14" spans="1:39" ht="12.75" customHeight="1">
      <c r="A14" s="3277"/>
      <c r="B14" s="1214" t="s">
        <v>1229</v>
      </c>
      <c r="C14" s="3193" t="s">
        <v>1230</v>
      </c>
      <c r="D14" s="1216" t="s">
        <v>1231</v>
      </c>
      <c r="E14" s="750" t="s">
        <v>3204</v>
      </c>
      <c r="F14" s="3278" t="s">
        <v>1178</v>
      </c>
      <c r="G14" s="3278" t="s">
        <v>1178</v>
      </c>
      <c r="H14" s="3279" t="s">
        <v>1178</v>
      </c>
      <c r="I14" s="3279" t="s">
        <v>1178</v>
      </c>
      <c r="J14" s="3279" t="s">
        <v>1178</v>
      </c>
      <c r="K14" s="2740"/>
      <c r="L14" s="2740"/>
      <c r="M14" s="2740"/>
      <c r="N14" s="2740"/>
      <c r="O14" s="2740"/>
      <c r="P14" s="1789"/>
      <c r="Q14" s="1789"/>
      <c r="R14" s="2233">
        <v>13</v>
      </c>
      <c r="S14" s="2223"/>
      <c r="T14" s="2233">
        <f t="shared" si="0"/>
        <v>0</v>
      </c>
      <c r="U14" s="2223"/>
      <c r="V14" s="2233">
        <f t="shared" si="1"/>
        <v>0</v>
      </c>
      <c r="W14" s="1789"/>
      <c r="X14" s="1789"/>
      <c r="Y14" s="1789"/>
      <c r="Z14" s="1789"/>
      <c r="AA14" s="1789"/>
      <c r="AB14" s="1789"/>
      <c r="AC14" s="1790"/>
    </row>
    <row r="15" spans="1:39" ht="13.5" customHeight="1">
      <c r="A15" s="3277"/>
      <c r="B15" s="1216"/>
      <c r="C15" s="3280"/>
      <c r="D15" s="3281"/>
      <c r="E15" s="3282"/>
      <c r="F15" s="3282"/>
      <c r="G15" s="1038" t="s">
        <v>3205</v>
      </c>
      <c r="H15" s="3246"/>
      <c r="I15" s="3247"/>
      <c r="J15" s="3248"/>
      <c r="K15" s="3249"/>
      <c r="L15" s="1793"/>
      <c r="M15" s="1793"/>
      <c r="N15" s="1793"/>
      <c r="O15" s="1793"/>
      <c r="P15" s="1789"/>
      <c r="Q15" s="1789"/>
      <c r="R15" s="2233">
        <v>14</v>
      </c>
      <c r="S15" s="2223"/>
      <c r="T15" s="2233">
        <f t="shared" si="0"/>
        <v>0</v>
      </c>
      <c r="U15" s="2223"/>
      <c r="V15" s="2233">
        <f t="shared" si="1"/>
        <v>0</v>
      </c>
      <c r="W15" s="1789"/>
      <c r="X15" s="1789"/>
      <c r="Y15" s="1789"/>
      <c r="Z15" s="1789"/>
      <c r="AA15" s="1789"/>
      <c r="AB15" s="1789"/>
      <c r="AC15" s="1790"/>
    </row>
    <row r="16" spans="1:39" ht="24.6" customHeight="1" thickBot="1">
      <c r="A16" s="3277"/>
      <c r="B16" s="2406" t="s">
        <v>1232</v>
      </c>
      <c r="C16" s="3244"/>
      <c r="D16" s="3244"/>
      <c r="E16" s="3244"/>
      <c r="F16" s="3244"/>
      <c r="G16" s="3244">
        <v>1</v>
      </c>
      <c r="H16" s="3244">
        <v>1</v>
      </c>
      <c r="I16" s="3244">
        <v>1</v>
      </c>
      <c r="J16" s="3245">
        <v>1</v>
      </c>
      <c r="K16" s="1793"/>
      <c r="L16" s="1793"/>
      <c r="M16" s="1793"/>
      <c r="N16" s="1793"/>
      <c r="O16" s="1793"/>
      <c r="P16" s="1789"/>
      <c r="Q16" s="1789"/>
      <c r="R16" s="2233">
        <v>15</v>
      </c>
      <c r="S16" s="2223"/>
      <c r="T16" s="2233">
        <f t="shared" si="0"/>
        <v>0</v>
      </c>
      <c r="U16" s="2223"/>
      <c r="V16" s="2233">
        <f t="shared" si="1"/>
        <v>0</v>
      </c>
      <c r="W16" s="1792"/>
      <c r="X16" s="1792"/>
      <c r="Y16" s="1792"/>
      <c r="Z16" s="1792"/>
      <c r="AA16" s="1792"/>
      <c r="AB16" s="1792"/>
      <c r="AC16" s="1793"/>
    </row>
    <row r="17" spans="1:40" ht="24">
      <c r="A17" s="3284" t="s">
        <v>3206</v>
      </c>
      <c r="B17" s="3285" t="s">
        <v>3207</v>
      </c>
      <c r="C17" s="3293">
        <f>ROUND(IF(OR(E2="工业",E2="公共服务"),1,IF(AND(E18=0,E19=0),1,IF(AND(E18=J24,E19=G19),0.8,IF(E19=0,1+E17*(-0.2),1+E17*G17*(-0.2))))),4)</f>
        <v>1</v>
      </c>
      <c r="D17" s="3286" t="s">
        <v>3208</v>
      </c>
      <c r="E17" s="3293">
        <f>ROUND(G18/I18,2)</f>
        <v>0</v>
      </c>
      <c r="F17" s="3286" t="s">
        <v>3211</v>
      </c>
      <c r="G17" s="3293" t="e">
        <f>ROUND(E19/G19,2)</f>
        <v>#DIV/0!</v>
      </c>
      <c r="H17" s="3293"/>
      <c r="I17" s="3293"/>
      <c r="J17" s="3372"/>
      <c r="K17" s="1793"/>
      <c r="L17" s="1793"/>
      <c r="M17" s="1793"/>
      <c r="N17" s="1793"/>
      <c r="O17" s="1793"/>
      <c r="P17" s="1789"/>
      <c r="Q17" s="1789"/>
      <c r="R17" s="1793"/>
      <c r="S17" s="1793"/>
      <c r="T17" s="1793"/>
      <c r="U17" s="1793"/>
      <c r="V17" s="1793"/>
      <c r="W17" s="1792"/>
      <c r="X17" s="1792"/>
      <c r="Y17" s="1792"/>
      <c r="Z17" s="1792"/>
      <c r="AA17" s="1792"/>
      <c r="AB17" s="1792"/>
      <c r="AC17" s="1793"/>
      <c r="AH17" s="1186"/>
      <c r="AI17" s="1186"/>
      <c r="AJ17" s="1189"/>
      <c r="AK17" s="1189"/>
      <c r="AL17" s="1189"/>
      <c r="AM17" s="1189"/>
    </row>
    <row r="18" spans="1:40" s="1203" customFormat="1" ht="14.25">
      <c r="A18" s="3277"/>
      <c r="B18" s="3157"/>
      <c r="C18" s="3291"/>
      <c r="D18" s="3287" t="s">
        <v>3209</v>
      </c>
      <c r="E18" s="3292"/>
      <c r="F18" s="3289" t="s">
        <v>3212</v>
      </c>
      <c r="G18" s="3291">
        <f>ROUND(1-(1/(POWER(1+G24,E18))),4)</f>
        <v>0</v>
      </c>
      <c r="H18" s="3289" t="s">
        <v>3214</v>
      </c>
      <c r="I18" s="3291">
        <f>ROUND(1-(1/(POWER(1+G24,J24))),4)</f>
        <v>0.91279999999999994</v>
      </c>
      <c r="J18" s="3373"/>
      <c r="K18" s="1793"/>
      <c r="L18" s="1793"/>
      <c r="M18" s="1793"/>
      <c r="N18" s="1793"/>
      <c r="O18" s="1793"/>
      <c r="P18" s="1789"/>
      <c r="Q18" s="1789"/>
      <c r="R18" s="1794"/>
      <c r="S18" s="1794"/>
      <c r="T18" s="1794"/>
      <c r="U18" s="1794"/>
      <c r="V18" s="1794"/>
      <c r="W18" s="1793"/>
      <c r="X18" s="1793"/>
      <c r="Y18" s="1793"/>
      <c r="Z18" s="1793"/>
      <c r="AA18" s="1792"/>
      <c r="AB18" s="1792"/>
      <c r="AC18" s="1795"/>
      <c r="AD18" s="1221"/>
      <c r="AE18" s="1221"/>
      <c r="AF18" s="1221"/>
      <c r="AG18" s="1221"/>
      <c r="AH18" s="1187"/>
      <c r="AI18" s="1187"/>
      <c r="AJ18" s="1188"/>
      <c r="AK18" s="1188"/>
      <c r="AL18" s="1188"/>
    </row>
    <row r="19" spans="1:40" s="1203" customFormat="1" ht="15" thickBot="1">
      <c r="A19" s="3283"/>
      <c r="B19" s="3160"/>
      <c r="C19" s="3288"/>
      <c r="D19" s="3288" t="s">
        <v>3210</v>
      </c>
      <c r="E19" s="3294"/>
      <c r="F19" s="3290" t="s">
        <v>3213</v>
      </c>
      <c r="G19" s="3294"/>
      <c r="H19" s="3288"/>
      <c r="I19" s="3288"/>
      <c r="J19" s="3374"/>
      <c r="K19" s="1793"/>
      <c r="L19" s="1793"/>
      <c r="M19" s="1793"/>
      <c r="N19" s="1793"/>
      <c r="O19" s="1793"/>
      <c r="P19" s="1789"/>
      <c r="Q19" s="1789"/>
      <c r="R19" s="1795"/>
      <c r="S19" s="1795"/>
      <c r="T19" s="1795"/>
      <c r="U19" s="1795"/>
      <c r="V19" s="1795"/>
      <c r="W19" s="1795"/>
      <c r="X19" s="1795"/>
      <c r="Y19" s="1187"/>
      <c r="Z19" s="1187"/>
      <c r="AA19" s="1187"/>
      <c r="AB19" s="1187"/>
      <c r="AC19" s="1221"/>
      <c r="AD19" s="1222"/>
      <c r="AE19" s="1226"/>
      <c r="AF19" s="1188"/>
      <c r="AG19" s="1202"/>
      <c r="AH19" s="1202"/>
      <c r="AI19" s="1202"/>
    </row>
    <row r="20" spans="1:40" s="1203" customFormat="1" ht="14.25">
      <c r="A20" s="3649" t="s">
        <v>1370</v>
      </c>
      <c r="B20" s="1205" t="s">
        <v>875</v>
      </c>
      <c r="C20" s="948">
        <f>ROUND(IF(F21="与级别开发程度一致",0,(G21-E21)/C21),0)</f>
        <v>0</v>
      </c>
      <c r="D20" s="3661" t="s">
        <v>879</v>
      </c>
      <c r="E20" s="3662"/>
      <c r="F20" s="3661" t="s">
        <v>876</v>
      </c>
      <c r="G20" s="3662"/>
      <c r="H20" s="1217"/>
      <c r="I20" s="1217"/>
      <c r="J20" s="1217"/>
      <c r="K20" s="1217"/>
      <c r="L20" s="1217"/>
      <c r="M20" s="1217"/>
      <c r="N20" s="1217"/>
      <c r="O20" s="2411"/>
      <c r="P20" s="1789"/>
      <c r="Q20" s="1792"/>
      <c r="R20" s="1795"/>
      <c r="S20" s="1795"/>
      <c r="T20" s="1795"/>
      <c r="U20" s="1795"/>
      <c r="V20" s="1795"/>
      <c r="W20" s="1795"/>
      <c r="X20" s="1795"/>
      <c r="Y20" s="1221"/>
      <c r="Z20" s="1221"/>
      <c r="AA20" s="1221"/>
      <c r="AB20" s="1221"/>
      <c r="AC20" s="1221"/>
      <c r="AD20" s="1221"/>
    </row>
    <row r="21" spans="1:40" s="1203" customFormat="1" ht="24.75" thickBot="1">
      <c r="A21" s="3650"/>
      <c r="B21" s="2412" t="s">
        <v>878</v>
      </c>
      <c r="C21" s="2413">
        <f>IF(E3="M4科研用地",SUMPRODUCT((修正!A2:A7=E3)*(修正!B1:M1=G2)*(修正!B2:M7)),SUMPRODUCT((修正!A2:A7=E2)*(修正!B1:M1=G2)*(修正!B2:M7)))</f>
        <v>1.2</v>
      </c>
      <c r="D21" s="2414" t="str">
        <f>IF(OR(G2="八级",G2="九级",G2="十级",G2="十一级",G2="十二级"),"五通一平","七通一平")</f>
        <v>七通一平</v>
      </c>
      <c r="E21" s="2404">
        <f>SUMPRODUCT((修正!B1:M1=G2)*(修正!B17:M17))</f>
        <v>315</v>
      </c>
      <c r="F21" s="2405" t="s">
        <v>3275</v>
      </c>
      <c r="G21" s="2404">
        <f>SUM(H21:O21)</f>
        <v>0</v>
      </c>
      <c r="H21" s="947">
        <f>SUMPRODUCT((七通一平=H20)*(修正!B1:M1=G2)*(修正!B8:M16))</f>
        <v>0</v>
      </c>
      <c r="I21" s="947">
        <f>SUMPRODUCT((七通一平=I20)*(修正!B1:M1=G2)*(修正!B8:M16))</f>
        <v>0</v>
      </c>
      <c r="J21" s="947">
        <f>SUMPRODUCT((七通一平=J20)*(修正!B1:M1=G2)*(修正!B8:M16))</f>
        <v>0</v>
      </c>
      <c r="K21" s="947">
        <f>SUMPRODUCT((七通一平=K20)*(修正!B1:M1=G2)*(修正!B8:M16))</f>
        <v>0</v>
      </c>
      <c r="L21" s="947">
        <f>SUMPRODUCT((七通一平=L20)*(修正!B1:M1=G2)*(修正!B8:M16))</f>
        <v>0</v>
      </c>
      <c r="M21" s="947">
        <f>SUMPRODUCT((七通一平=M20)*(修正!B1:M1=G2)*(修正!B8:M16))</f>
        <v>0</v>
      </c>
      <c r="N21" s="947">
        <f>SUMPRODUCT((七通一平=N20)*(修正!B1:M1=G2)*(修正!B8:M16))</f>
        <v>0</v>
      </c>
      <c r="O21" s="2415">
        <f>SUMPRODUCT((七通一平=O20)*(修正!B1:M1=G2)*(修正!B8:M16))</f>
        <v>0</v>
      </c>
      <c r="P21" s="1789"/>
      <c r="Q21" s="1792"/>
      <c r="R21" s="1795"/>
      <c r="S21" s="1795"/>
      <c r="T21" s="1795"/>
      <c r="U21" s="1795"/>
      <c r="V21" s="1795"/>
      <c r="W21" s="1795"/>
      <c r="X21" s="1795"/>
      <c r="Y21" s="1187"/>
      <c r="Z21" s="1187"/>
      <c r="AA21" s="1187"/>
      <c r="AB21" s="1187"/>
      <c r="AC21" s="1221"/>
      <c r="AD21" s="1221"/>
    </row>
    <row r="22" spans="1:40" s="1203" customFormat="1" ht="15.75" thickBot="1">
      <c r="A22" s="2095" t="s">
        <v>1358</v>
      </c>
      <c r="B22" s="2407" t="s">
        <v>880</v>
      </c>
      <c r="C22" s="2408">
        <f>SUMIF(修正!C20:C51,E3,修正!E20:E51)</f>
        <v>1</v>
      </c>
      <c r="D22" s="2409"/>
      <c r="E22" s="2410"/>
      <c r="F22" s="2397"/>
      <c r="G22" s="1230"/>
      <c r="H22" s="1230"/>
      <c r="I22" s="1230"/>
      <c r="J22" s="2402"/>
      <c r="K22" s="2739"/>
      <c r="L22" s="1230"/>
      <c r="M22" s="1230"/>
      <c r="N22" s="1230"/>
      <c r="O22" s="1230"/>
      <c r="P22" s="2739"/>
      <c r="Q22" s="1794"/>
      <c r="R22" s="1795"/>
      <c r="S22" s="1795"/>
      <c r="T22" s="1795"/>
      <c r="U22" s="1795"/>
      <c r="V22" s="1795"/>
      <c r="W22" s="1795"/>
      <c r="X22" s="1795"/>
      <c r="Y22" s="1221"/>
      <c r="Z22" s="1221"/>
      <c r="AA22" s="1221"/>
      <c r="AB22" s="1221"/>
      <c r="AC22" s="1221"/>
      <c r="AD22" s="1221"/>
    </row>
    <row r="23" spans="1:40" ht="27.75" thickBot="1">
      <c r="A23" s="1360" t="s">
        <v>1364</v>
      </c>
      <c r="B23" s="1220" t="s">
        <v>881</v>
      </c>
      <c r="C23" s="949">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13=YEAR(G23)&amp;"-"&amp;ROUNDUP(MONTH(G23)/3,0))*(地价!Y2:AD2=E2)*(地价!Y3:AD13)),IF(H23="地价指数",M24/M23,(1+I23)^O23))))),4)</f>
        <v>1.0804</v>
      </c>
      <c r="D23" s="1223" t="s">
        <v>882</v>
      </c>
      <c r="E23" s="950">
        <v>44197</v>
      </c>
      <c r="F23" s="1223" t="s">
        <v>883</v>
      </c>
      <c r="G23" s="951">
        <f>'数据-取费表'!B2</f>
        <v>45483</v>
      </c>
      <c r="H23" s="1224" t="s">
        <v>2247</v>
      </c>
      <c r="I23" s="2101" t="str">
        <f>IF(H23="季度增幅（自定义）",SUMIF(N25:N28,E2,O25:O28),"")</f>
        <v/>
      </c>
      <c r="J23" s="3295" t="s">
        <v>3268</v>
      </c>
      <c r="K23" s="2739"/>
      <c r="L23" s="2323" t="s">
        <v>2116</v>
      </c>
      <c r="M23" s="2324">
        <f>ROUND(SUMIF(地价!B2:F2,E2,地价!B41:F41),0)</f>
        <v>230</v>
      </c>
      <c r="N23" s="2103" t="s">
        <v>1211</v>
      </c>
      <c r="O23" s="2102">
        <f>ROUNDDOWN(DATEDIF(E23,G23,"M")/3,0)</f>
        <v>14</v>
      </c>
      <c r="P23" s="1793"/>
      <c r="Q23" s="2222"/>
      <c r="R23" s="1795"/>
      <c r="S23" s="1795"/>
      <c r="T23" s="1795"/>
      <c r="U23" s="1795"/>
      <c r="V23" s="1795"/>
      <c r="W23" s="1795"/>
      <c r="X23" s="1795"/>
      <c r="Y23" s="1187"/>
      <c r="Z23" s="1187"/>
      <c r="AA23" s="1187"/>
      <c r="AB23" s="1187"/>
      <c r="AC23" s="1187"/>
      <c r="AE23" s="1188"/>
      <c r="AF23" s="1188"/>
      <c r="AG23" s="1188"/>
      <c r="AH23" s="1188"/>
      <c r="AI23" s="1188"/>
      <c r="AJ23" s="1189"/>
      <c r="AK23" s="1189"/>
      <c r="AL23" s="1189"/>
      <c r="AM23" s="1189"/>
    </row>
    <row r="24" spans="1:40" s="1203" customFormat="1" ht="27.75" thickBot="1">
      <c r="A24" s="2095" t="s">
        <v>1365</v>
      </c>
      <c r="B24" s="2096" t="s">
        <v>896</v>
      </c>
      <c r="C24" s="2097">
        <f>ROUND(POWER(1+G24,J24-I24)*(POWER(1+G24,I24)-1)/(POWER(1+G24,J24)-1),4)</f>
        <v>0.8639</v>
      </c>
      <c r="D24" s="2098" t="s">
        <v>897</v>
      </c>
      <c r="E24" s="2350">
        <f>存贷款利率!E24/100</f>
        <v>4.3499999999999997E-2</v>
      </c>
      <c r="F24" s="2098" t="s">
        <v>898</v>
      </c>
      <c r="G24" s="2099">
        <f>SUMIF(M30:Q30,E2,M33:Q33)</f>
        <v>0.05</v>
      </c>
      <c r="H24" s="2098" t="s">
        <v>899</v>
      </c>
      <c r="I24" s="2094">
        <f>SUMIF('数据-取费表'!C6:C15,E2,'数据-取费表'!F6:F15)/COUNTIF('数据-取费表'!C6:C15,E2)</f>
        <v>31.85</v>
      </c>
      <c r="J24" s="2100">
        <f>IF(E2="住宅",70,IF(E2="商业",40,50))</f>
        <v>50</v>
      </c>
      <c r="K24" s="1793"/>
      <c r="L24" s="2325" t="s">
        <v>2117</v>
      </c>
      <c r="M24" s="2399">
        <f>ROUND(SUMPRODUCT((地价!A4:A41=YEAR(G23)&amp;"-"&amp;ROUNDUP(MONTH(G23)/3,0))*(地价!B2:F2=E2)*(地价!B4:F41)),0)</f>
        <v>0</v>
      </c>
      <c r="N24" s="2106" t="s">
        <v>1927</v>
      </c>
      <c r="O24" s="2104" t="s">
        <v>1926</v>
      </c>
      <c r="P24" s="2105" t="s">
        <v>1932</v>
      </c>
      <c r="Q24" s="2222"/>
      <c r="R24" s="1795"/>
      <c r="S24" s="1795"/>
      <c r="T24" s="1795"/>
      <c r="U24" s="1795"/>
      <c r="V24" s="1795"/>
      <c r="W24" s="1795"/>
      <c r="X24" s="1795"/>
      <c r="Y24" s="1221"/>
      <c r="Z24" s="1221"/>
      <c r="AA24" s="1221"/>
      <c r="AB24" s="1221"/>
      <c r="AC24" s="1221"/>
      <c r="AD24" s="1221"/>
    </row>
    <row r="25" spans="1:40" ht="14.25">
      <c r="A25" s="1362" t="s">
        <v>1366</v>
      </c>
      <c r="B25" s="1229" t="s">
        <v>2279</v>
      </c>
      <c r="C25" s="1004">
        <f>IF(B25="容积率修正",IF(G3&lt;10,D26,J26),C27)</f>
        <v>1.0583</v>
      </c>
      <c r="D25" s="1230"/>
      <c r="E25" s="1230"/>
      <c r="F25" s="1230"/>
      <c r="G25" s="1230"/>
      <c r="H25" s="1230"/>
      <c r="I25" s="1230"/>
      <c r="J25" s="1231"/>
      <c r="K25" s="2739"/>
      <c r="L25" s="1230"/>
      <c r="M25" s="1230"/>
      <c r="N25" s="1227" t="s">
        <v>900</v>
      </c>
      <c r="O25" s="1287"/>
      <c r="P25" s="2093">
        <f>SUMPRODUCT((地价!A3:A41=YEAR(G23)&amp;"-"&amp;ROUNDUP(MONTH(G23)/3,0))*(地价!AD2:AH2=N25)*(地价!AD3:AH41))</f>
        <v>0</v>
      </c>
      <c r="Q25" s="2222"/>
      <c r="R25" s="1795"/>
      <c r="S25" s="1795"/>
      <c r="T25" s="1795"/>
      <c r="U25" s="1795"/>
      <c r="V25" s="1795"/>
      <c r="W25" s="1795"/>
      <c r="X25" s="1795"/>
      <c r="Y25" s="1187"/>
      <c r="Z25" s="1187"/>
      <c r="AA25" s="1187"/>
      <c r="AB25" s="1187"/>
      <c r="AC25" s="1187"/>
      <c r="AE25" s="1188"/>
      <c r="AF25" s="1188"/>
      <c r="AG25" s="1188"/>
      <c r="AH25" s="1188"/>
      <c r="AI25" s="1189"/>
      <c r="AJ25" s="1189"/>
      <c r="AK25" s="1189"/>
      <c r="AL25" s="1189"/>
      <c r="AM25" s="1189"/>
    </row>
    <row r="26" spans="1:40" ht="14.25">
      <c r="A26" s="1363" t="s">
        <v>1395</v>
      </c>
      <c r="B26" s="1232" t="s">
        <v>901</v>
      </c>
      <c r="C26" s="3296" t="s">
        <v>3215</v>
      </c>
      <c r="D26" s="952">
        <f>IF(E26=G26,F26,IF(G3&lt;10,ROUND(F26+(H26-F26)*(G3-E26)/(G26-E26),4),"——"))</f>
        <v>1.0583</v>
      </c>
      <c r="E26" s="942">
        <f>ROUNDDOWN(G3,1)</f>
        <v>1</v>
      </c>
      <c r="F26" s="9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1.0583</v>
      </c>
      <c r="G26" s="942">
        <f>ROUNDUP(G3,1)</f>
        <v>1</v>
      </c>
      <c r="H26" s="9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1.0583</v>
      </c>
      <c r="I26" s="3296" t="s">
        <v>3216</v>
      </c>
      <c r="J26" s="952" t="str">
        <f>IF(G3&gt;=10,D116,"——")</f>
        <v>——</v>
      </c>
      <c r="K26" s="2222"/>
      <c r="L26" s="1230"/>
      <c r="M26" s="1230"/>
      <c r="N26" s="1227" t="s">
        <v>902</v>
      </c>
      <c r="O26" s="1287"/>
      <c r="P26" s="2093">
        <f>SUMPRODUCT((地价!A3:A41=YEAR(G23)&amp;"-"&amp;ROUNDUP(MONTH(G23)/3,0))*(地价!AD2:AH2=N26)*(地价!AD3:AH41))</f>
        <v>0</v>
      </c>
      <c r="Q26" s="2222"/>
      <c r="R26" s="1795"/>
      <c r="S26" s="1795"/>
      <c r="T26" s="1795"/>
      <c r="U26" s="1795"/>
      <c r="V26" s="1795"/>
      <c r="W26" s="1795"/>
      <c r="X26" s="1795"/>
      <c r="Y26" s="1221"/>
      <c r="Z26" s="1221"/>
      <c r="AA26" s="1221"/>
      <c r="AB26" s="1221"/>
      <c r="AC26" s="1187"/>
      <c r="AE26" s="1188"/>
      <c r="AF26" s="1188"/>
      <c r="AG26" s="1188"/>
      <c r="AH26" s="1188"/>
      <c r="AI26" s="1189"/>
      <c r="AJ26" s="1189"/>
      <c r="AK26" s="1189"/>
      <c r="AL26" s="1189"/>
      <c r="AM26" s="1189"/>
    </row>
    <row r="27" spans="1:40" ht="15.75" thickBot="1">
      <c r="A27" s="1363" t="s">
        <v>1396</v>
      </c>
      <c r="B27" s="1232" t="s">
        <v>903</v>
      </c>
      <c r="C27" s="953">
        <f>ROUND(IF(I3&lt;6,SUMPRODUCT((B107:B111=I3)*(C106:N106=G2)*(C107:N111)),SUMIF(C106:N106,G2,C113:N113)),4)</f>
        <v>0</v>
      </c>
      <c r="D27" s="1275"/>
      <c r="E27" s="1275"/>
      <c r="F27" s="1276"/>
      <c r="G27" s="1277"/>
      <c r="H27" s="1278"/>
      <c r="I27" s="1279"/>
      <c r="J27" s="1279"/>
      <c r="K27" s="1795"/>
      <c r="L27" s="1185"/>
      <c r="M27" s="1185"/>
      <c r="N27" s="1227" t="s">
        <v>851</v>
      </c>
      <c r="O27" s="1287"/>
      <c r="P27" s="2093">
        <f>SUMPRODUCT((地价!A3:A41=YEAR(G23)&amp;"-"&amp;ROUNDUP(MONTH(G23)/3,0))*(地价!AD2:AH2=N27)*(地价!AD3:AH41))</f>
        <v>0</v>
      </c>
      <c r="Q27" s="2222"/>
      <c r="R27" s="2222"/>
      <c r="S27" s="2222"/>
      <c r="T27" s="2222"/>
      <c r="U27" s="2222"/>
      <c r="V27" s="2222"/>
      <c r="W27" s="1795"/>
      <c r="X27" s="1795"/>
      <c r="Y27" s="1795"/>
      <c r="Z27" s="1795"/>
      <c r="AA27" s="1795"/>
      <c r="AB27" s="1795"/>
      <c r="AC27" s="1795"/>
    </row>
    <row r="28" spans="1:40" ht="15.75" thickBot="1">
      <c r="A28" s="1361" t="s">
        <v>1397</v>
      </c>
      <c r="B28" s="1197" t="s">
        <v>904</v>
      </c>
      <c r="C28" s="954">
        <f>SUMIF(A47:A101,E2,B47:B101)</f>
        <v>1.0189999999999999</v>
      </c>
      <c r="D28" s="1280"/>
      <c r="E28" s="1281"/>
      <c r="F28" s="1281"/>
      <c r="G28" s="1281"/>
      <c r="H28" s="1281"/>
      <c r="I28" s="1281"/>
      <c r="J28" s="1281"/>
      <c r="K28" s="1795"/>
      <c r="L28" s="1230"/>
      <c r="M28" s="1230"/>
      <c r="N28" s="1227" t="s">
        <v>905</v>
      </c>
      <c r="O28" s="2398"/>
      <c r="P28" s="2093">
        <f>SUMPRODUCT((地价!A3:A41=YEAR(G23)&amp;"-"&amp;ROUNDUP(MONTH(G23)/3,0))*(地价!AD2:AH2=N28)*(地价!AD3:AH41))</f>
        <v>0</v>
      </c>
      <c r="Q28" s="2222"/>
      <c r="R28" s="2222"/>
      <c r="S28" s="2222"/>
      <c r="T28" s="2222"/>
      <c r="U28" s="2222"/>
      <c r="V28" s="2222"/>
      <c r="W28" s="1795"/>
      <c r="X28" s="1795"/>
      <c r="Y28" s="1795"/>
      <c r="Z28" s="1795"/>
      <c r="AA28" s="1795"/>
      <c r="AB28" s="1795"/>
      <c r="AC28" s="1795"/>
      <c r="AD28" s="1221"/>
      <c r="AE28" s="1221"/>
      <c r="AF28" s="1221"/>
      <c r="AG28" s="1221"/>
    </row>
    <row r="29" spans="1:40" ht="15" thickBot="1">
      <c r="A29" s="1361" t="s">
        <v>1398</v>
      </c>
      <c r="B29" s="1234" t="s">
        <v>906</v>
      </c>
      <c r="C29" s="1235"/>
      <c r="D29" s="1207"/>
      <c r="E29" s="1207"/>
      <c r="F29" s="1236"/>
      <c r="G29" s="1207"/>
      <c r="H29" s="1207"/>
      <c r="I29" s="1207"/>
      <c r="J29" s="1208"/>
      <c r="K29" s="1789"/>
      <c r="L29" s="1795"/>
      <c r="M29" s="1795"/>
      <c r="N29" s="2400" t="s">
        <v>1930</v>
      </c>
      <c r="O29" s="2401"/>
      <c r="P29" s="1967">
        <f>SUMPRODUCT((地价!A3:A41=YEAR(G23)&amp;"-"&amp;ROUNDUP(MONTH(G23)/3,0))*(地价!AD2:AH2=N29)*(地价!AD3:AH41))</f>
        <v>0</v>
      </c>
      <c r="Q29" s="2222"/>
      <c r="R29" s="1795"/>
      <c r="S29" s="1795"/>
      <c r="T29" s="1795"/>
      <c r="U29" s="1795"/>
      <c r="V29" s="1795"/>
      <c r="W29" s="2222"/>
      <c r="X29" s="2222"/>
      <c r="Y29" s="2222"/>
      <c r="Z29" s="2222"/>
      <c r="AA29" s="2222"/>
      <c r="AB29" s="1795"/>
      <c r="AC29" s="1795"/>
      <c r="AD29" s="1795"/>
      <c r="AE29" s="1795"/>
      <c r="AF29" s="1795"/>
      <c r="AG29" s="1795"/>
      <c r="AH29" s="1795"/>
      <c r="AJ29" s="1187"/>
      <c r="AK29" s="1187"/>
      <c r="AL29" s="1187"/>
      <c r="AM29" s="1186"/>
      <c r="AN29" s="1186"/>
    </row>
    <row r="30" spans="1:40" ht="13.5">
      <c r="A30" s="1237"/>
      <c r="B30" s="1232" t="s">
        <v>910</v>
      </c>
      <c r="C30" s="2553">
        <f>IF(B25="容积率修正",E33+SUM(E37:E42),SUM(V2:V16)+SUM(E37:E42))</f>
        <v>17702</v>
      </c>
      <c r="D30" s="1238"/>
      <c r="E30" s="1185"/>
      <c r="F30" s="1239"/>
      <c r="G30" s="1185"/>
      <c r="H30" s="1185"/>
      <c r="I30" s="1185"/>
      <c r="J30" s="1240"/>
      <c r="K30" s="1789"/>
      <c r="L30" s="1326" t="s">
        <v>833</v>
      </c>
      <c r="M30" s="1206" t="s">
        <v>907</v>
      </c>
      <c r="N30" s="1206" t="s">
        <v>908</v>
      </c>
      <c r="O30" s="1206" t="s">
        <v>835</v>
      </c>
      <c r="P30" s="1225" t="s">
        <v>909</v>
      </c>
      <c r="Q30" s="1225" t="s">
        <v>3242</v>
      </c>
      <c r="R30" s="1789"/>
      <c r="S30" s="1789"/>
      <c r="T30" s="1789"/>
      <c r="U30" s="1789"/>
      <c r="V30" s="1789"/>
      <c r="W30" s="1790"/>
      <c r="X30" s="1790"/>
      <c r="Y30" s="1790"/>
      <c r="Z30" s="1790"/>
      <c r="AA30" s="1790"/>
      <c r="AB30" s="1789"/>
      <c r="AC30" s="1789"/>
      <c r="AD30" s="1789"/>
      <c r="AE30" s="1789"/>
      <c r="AF30" s="1789"/>
      <c r="AG30" s="1789"/>
      <c r="AH30" s="1789"/>
      <c r="AI30" s="1221"/>
      <c r="AJ30" s="1221"/>
      <c r="AK30" s="1221"/>
      <c r="AL30" s="1221"/>
      <c r="AM30" s="1186"/>
      <c r="AN30" s="1186"/>
    </row>
    <row r="31" spans="1:40" ht="14.25" thickBot="1">
      <c r="A31" s="1237"/>
      <c r="B31" s="1241" t="s">
        <v>912</v>
      </c>
      <c r="C31" s="956">
        <f>E34+SUM(I37:I42)</f>
        <v>0</v>
      </c>
      <c r="D31" s="1242"/>
      <c r="E31" s="1243"/>
      <c r="F31" s="1244"/>
      <c r="G31" s="1243"/>
      <c r="H31" s="1243"/>
      <c r="I31" s="1243"/>
      <c r="J31" s="1245"/>
      <c r="K31" s="1789"/>
      <c r="L31" s="1218" t="s">
        <v>911</v>
      </c>
      <c r="M31" s="945">
        <v>0.25</v>
      </c>
      <c r="N31" s="945">
        <v>0.2</v>
      </c>
      <c r="O31" s="945">
        <v>0.15</v>
      </c>
      <c r="P31" s="1284">
        <v>0.1</v>
      </c>
      <c r="Q31" s="1284">
        <v>0.15</v>
      </c>
      <c r="R31" s="1789"/>
      <c r="S31" s="1789"/>
      <c r="T31" s="1789"/>
      <c r="U31" s="1789"/>
      <c r="V31" s="1789"/>
      <c r="W31" s="1790"/>
      <c r="X31" s="1790"/>
      <c r="Y31" s="1790"/>
      <c r="Z31" s="1790"/>
      <c r="AA31" s="1790"/>
      <c r="AB31" s="1789"/>
      <c r="AC31" s="1789"/>
      <c r="AD31" s="1789"/>
      <c r="AE31" s="1789"/>
      <c r="AF31" s="1789"/>
      <c r="AG31" s="1789"/>
      <c r="AH31" s="1789"/>
      <c r="AJ31" s="1187"/>
      <c r="AK31" s="1187"/>
      <c r="AL31" s="1187"/>
      <c r="AM31" s="1186"/>
      <c r="AN31" s="1186"/>
    </row>
    <row r="32" spans="1:40" ht="14.25" thickBot="1">
      <c r="A32" s="1233"/>
      <c r="B32" s="1246" t="s">
        <v>913</v>
      </c>
      <c r="C32" s="1247" t="s">
        <v>914</v>
      </c>
      <c r="D32" s="1247" t="s">
        <v>915</v>
      </c>
      <c r="E32" s="1248" t="s">
        <v>916</v>
      </c>
      <c r="F32" s="1249"/>
      <c r="G32" s="1212"/>
      <c r="H32" s="1212"/>
      <c r="I32" s="1212"/>
      <c r="J32" s="1213"/>
      <c r="K32" s="1789"/>
      <c r="L32" s="1219" t="s">
        <v>898</v>
      </c>
      <c r="M32" s="1285">
        <f>ROUND($E$24*(1+M31),3)</f>
        <v>5.3999999999999999E-2</v>
      </c>
      <c r="N32" s="1285">
        <f>ROUND($E$24*(1+N31),3)</f>
        <v>5.1999999999999998E-2</v>
      </c>
      <c r="O32" s="1285">
        <f>ROUND($E$24*(1+O31),3)</f>
        <v>0.05</v>
      </c>
      <c r="P32" s="1286">
        <f>ROUND($E$24*(1+P31),3)</f>
        <v>4.8000000000000001E-2</v>
      </c>
      <c r="Q32" s="1286">
        <f>ROUND($E$24*(1+Q31),3)</f>
        <v>0.05</v>
      </c>
      <c r="R32" s="1789"/>
      <c r="S32" s="1789"/>
      <c r="T32" s="1789"/>
      <c r="U32" s="1789"/>
      <c r="V32" s="1789"/>
      <c r="W32" s="1790"/>
      <c r="X32" s="1790"/>
      <c r="Y32" s="1790"/>
      <c r="Z32" s="1790"/>
      <c r="AA32" s="1790"/>
      <c r="AB32" s="1789"/>
      <c r="AC32" s="1789"/>
      <c r="AD32" s="1789"/>
      <c r="AE32" s="1789"/>
      <c r="AF32" s="1789"/>
      <c r="AG32" s="1789"/>
      <c r="AH32" s="1789"/>
      <c r="AI32" s="1186"/>
      <c r="AJ32" s="1186"/>
      <c r="AK32" s="1186"/>
      <c r="AL32" s="1186"/>
      <c r="AM32" s="1186"/>
      <c r="AN32" s="1186"/>
    </row>
    <row r="33" spans="1:44" ht="12.75">
      <c r="A33" s="1250"/>
      <c r="B33" s="1251" t="s">
        <v>917</v>
      </c>
      <c r="C33" s="955">
        <f>ROUND(C5*C22*C23*C24*C25*C28,0)</f>
        <v>2134</v>
      </c>
      <c r="D33" s="1252">
        <f>'数据-汇总表'!E3</f>
        <v>82949.97</v>
      </c>
      <c r="E33" s="1538">
        <f>ROUND(C33*D33/10000,0)</f>
        <v>17702</v>
      </c>
      <c r="F33" s="3297" t="s">
        <v>3217</v>
      </c>
      <c r="G33" s="1253"/>
      <c r="H33" s="1253"/>
      <c r="I33" s="1253"/>
      <c r="J33" s="1254"/>
      <c r="K33" s="2743"/>
      <c r="L33" s="3365" t="s">
        <v>3243</v>
      </c>
      <c r="M33" s="3366">
        <v>5.5E-2</v>
      </c>
      <c r="N33" s="3366">
        <v>5.5E-2</v>
      </c>
      <c r="O33" s="3366">
        <v>0.05</v>
      </c>
      <c r="P33" s="3366">
        <v>0.05</v>
      </c>
      <c r="Q33" s="3366">
        <v>0.05</v>
      </c>
      <c r="R33" s="1789"/>
      <c r="S33" s="1789"/>
      <c r="T33" s="1789"/>
      <c r="U33" s="1789"/>
      <c r="V33" s="1789"/>
      <c r="W33" s="1790"/>
      <c r="X33" s="1790"/>
      <c r="Y33" s="1790"/>
      <c r="Z33" s="1790"/>
      <c r="AA33" s="1790"/>
      <c r="AB33" s="1789"/>
      <c r="AC33" s="1789"/>
      <c r="AD33" s="1789"/>
      <c r="AE33" s="1789"/>
      <c r="AF33" s="1789"/>
      <c r="AG33" s="1789"/>
      <c r="AH33" s="1790"/>
      <c r="AJ33" s="1187"/>
      <c r="AK33" s="1187"/>
      <c r="AL33" s="1187"/>
      <c r="AM33" s="1187"/>
      <c r="AN33" s="1187"/>
      <c r="AO33" s="1188"/>
      <c r="AP33" s="1188"/>
      <c r="AQ33" s="1188"/>
      <c r="AR33" s="1188"/>
    </row>
    <row r="34" spans="1:44" ht="24.75" thickBot="1">
      <c r="A34" s="1255"/>
      <c r="B34" s="1256" t="s">
        <v>918</v>
      </c>
      <c r="C34" s="947">
        <f>ROUND(IF(E2="工业",C33*M42,IF(B25="楼层修正",SUM(V2:V16)*M41*10000/D34,C33*M41)),0)</f>
        <v>320</v>
      </c>
      <c r="D34" s="1257"/>
      <c r="E34" s="1538">
        <f>ROUND(IF(B25="楼层修正",SUM(V2:V16)*#REF!,C34*D34/10000),0)</f>
        <v>0</v>
      </c>
      <c r="F34" s="3298" t="s">
        <v>3218</v>
      </c>
      <c r="G34" s="1258"/>
      <c r="H34" s="1258"/>
      <c r="I34" s="1258"/>
      <c r="J34" s="1259"/>
      <c r="K34" s="1789"/>
      <c r="L34" s="3365" t="s">
        <v>3244</v>
      </c>
      <c r="M34" s="3366">
        <v>6.5000000000000002E-2</v>
      </c>
      <c r="N34" s="3366">
        <v>6.5000000000000002E-2</v>
      </c>
      <c r="O34" s="3366">
        <v>0.06</v>
      </c>
      <c r="P34" s="3366">
        <v>0.06</v>
      </c>
      <c r="Q34" s="3366">
        <v>0.06</v>
      </c>
      <c r="R34" s="1789"/>
      <c r="S34" s="1789"/>
      <c r="T34" s="1789"/>
      <c r="U34" s="1789"/>
      <c r="V34" s="1789"/>
      <c r="W34" s="1790"/>
      <c r="X34" s="1790"/>
      <c r="Y34" s="1790"/>
      <c r="Z34" s="1790"/>
      <c r="AA34" s="1790"/>
      <c r="AB34" s="1789"/>
      <c r="AC34" s="1789"/>
      <c r="AD34" s="1789"/>
      <c r="AE34" s="1789"/>
      <c r="AF34" s="1789"/>
      <c r="AG34" s="1789"/>
      <c r="AH34" s="1790"/>
      <c r="AJ34" s="1187"/>
      <c r="AK34" s="1187"/>
      <c r="AL34" s="1187"/>
      <c r="AM34" s="1187"/>
      <c r="AN34" s="1187"/>
      <c r="AO34" s="1188"/>
      <c r="AP34" s="1188"/>
      <c r="AQ34" s="1188"/>
      <c r="AR34" s="1188"/>
    </row>
    <row r="35" spans="1:44">
      <c r="A35" s="1260"/>
      <c r="B35" s="1261" t="s">
        <v>920</v>
      </c>
      <c r="C35" s="1262" t="s">
        <v>921</v>
      </c>
      <c r="D35" s="1212"/>
      <c r="E35" s="1262"/>
      <c r="F35" s="1262"/>
      <c r="G35" s="1211" t="s">
        <v>919</v>
      </c>
      <c r="H35" s="1212"/>
      <c r="I35" s="1263"/>
      <c r="J35" s="1213"/>
      <c r="K35" s="1789"/>
      <c r="L35" s="1789"/>
      <c r="M35" s="1789"/>
      <c r="N35" s="1789"/>
      <c r="O35" s="1789"/>
      <c r="P35" s="1789"/>
      <c r="Q35" s="1789"/>
      <c r="R35" s="1789"/>
      <c r="S35" s="1789"/>
      <c r="T35" s="1789"/>
      <c r="U35" s="1789"/>
      <c r="V35" s="1789"/>
      <c r="W35" s="1790"/>
      <c r="X35" s="1790"/>
      <c r="Y35" s="1790"/>
      <c r="Z35" s="1790"/>
      <c r="AA35" s="1790"/>
      <c r="AB35" s="1789"/>
      <c r="AC35" s="1789"/>
      <c r="AD35" s="1789"/>
      <c r="AE35" s="1789"/>
      <c r="AF35" s="1789"/>
      <c r="AG35" s="1789"/>
      <c r="AH35" s="1790"/>
      <c r="AJ35" s="1187"/>
      <c r="AK35" s="1187"/>
      <c r="AL35" s="1187"/>
      <c r="AM35" s="1187"/>
      <c r="AN35" s="1187"/>
      <c r="AO35" s="1188"/>
      <c r="AP35" s="1188"/>
      <c r="AQ35" s="1188"/>
      <c r="AR35" s="1188"/>
    </row>
    <row r="36" spans="1:44" ht="24.75" thickBot="1">
      <c r="A36" s="1250"/>
      <c r="B36" s="1264"/>
      <c r="C36" s="1265" t="s">
        <v>914</v>
      </c>
      <c r="D36" s="1266" t="s">
        <v>915</v>
      </c>
      <c r="E36" s="1266" t="s">
        <v>916</v>
      </c>
      <c r="F36" s="1267" t="s">
        <v>922</v>
      </c>
      <c r="G36" s="1228" t="s">
        <v>914</v>
      </c>
      <c r="H36" s="1228" t="s">
        <v>915</v>
      </c>
      <c r="I36" s="1228" t="s">
        <v>916</v>
      </c>
      <c r="J36" s="1268"/>
      <c r="K36" s="3367" t="s">
        <v>3245</v>
      </c>
      <c r="L36" s="3369">
        <f ca="1">'数据-取费表'!B40</f>
        <v>3.4500000000000003E-2</v>
      </c>
      <c r="M36" s="3370">
        <f ca="1">ROUND($L$36*(1+M31),3)</f>
        <v>4.2999999999999997E-2</v>
      </c>
      <c r="N36" s="3370">
        <f ca="1">ROUND($L$36*(1+N31),3)</f>
        <v>4.1000000000000002E-2</v>
      </c>
      <c r="O36" s="3370">
        <f ca="1">ROUND($L$36*(1+O31),3)</f>
        <v>0.04</v>
      </c>
      <c r="P36" s="3370">
        <f ca="1">ROUND($L$36*(1+P31),3)</f>
        <v>3.7999999999999999E-2</v>
      </c>
      <c r="Q36" s="3370">
        <f ca="1">ROUND($L$36*(1+Q31),3)</f>
        <v>0.04</v>
      </c>
      <c r="R36" s="1789"/>
      <c r="S36" s="1789"/>
      <c r="T36" s="1789"/>
      <c r="U36" s="1789"/>
      <c r="V36" s="1789"/>
      <c r="W36" s="1790"/>
      <c r="X36" s="1790"/>
      <c r="Y36" s="1790"/>
      <c r="Z36" s="1790"/>
      <c r="AA36" s="1790"/>
      <c r="AB36" s="1789"/>
      <c r="AC36" s="1789"/>
      <c r="AD36" s="1789"/>
      <c r="AE36" s="1789"/>
      <c r="AF36" s="1789"/>
      <c r="AG36" s="1789"/>
      <c r="AH36" s="1790"/>
      <c r="AJ36" s="1187"/>
      <c r="AK36" s="1187"/>
      <c r="AL36" s="1187"/>
      <c r="AM36" s="1187"/>
      <c r="AN36" s="1187"/>
      <c r="AO36" s="1188"/>
      <c r="AP36" s="1188"/>
      <c r="AQ36" s="1188"/>
      <c r="AR36" s="1188"/>
    </row>
    <row r="37" spans="1:44" ht="13.5" thickBot="1">
      <c r="A37" s="3653"/>
      <c r="B37" s="1270" t="s">
        <v>923</v>
      </c>
      <c r="C37" s="955">
        <f>ROUND(D5*C22*C23*C24*C28*F37,0)</f>
        <v>1210</v>
      </c>
      <c r="D37" s="1282"/>
      <c r="E37" s="946">
        <f>ROUND(C37*D37/10000,0)</f>
        <v>0</v>
      </c>
      <c r="F37" s="946">
        <f>SUMIF(修正!A57:A68,G2,修正!B57:B68)</f>
        <v>0.6</v>
      </c>
      <c r="G37" s="946">
        <f>ROUND(IF(E2="工业",C37*$M$42,C37*$M$41),0)</f>
        <v>182</v>
      </c>
      <c r="H37" s="946">
        <f>D37</f>
        <v>0</v>
      </c>
      <c r="I37" s="946">
        <f>ROUND(G37*H37/10000,0)</f>
        <v>0</v>
      </c>
      <c r="J37" s="3653"/>
      <c r="K37" s="3368" t="s">
        <v>3246</v>
      </c>
      <c r="L37" s="3369">
        <f ca="1">L36+K38</f>
        <v>3.95E-2</v>
      </c>
      <c r="M37" s="3370">
        <f ca="1">ROUND($L$37*(1+M31),3)</f>
        <v>4.9000000000000002E-2</v>
      </c>
      <c r="N37" s="3370">
        <f t="shared" ref="N37:Q37" ca="1" si="3">ROUND($L$37*(1+N31),3)</f>
        <v>4.7E-2</v>
      </c>
      <c r="O37" s="3370">
        <f t="shared" ca="1" si="3"/>
        <v>4.4999999999999998E-2</v>
      </c>
      <c r="P37" s="3370">
        <f t="shared" ca="1" si="3"/>
        <v>4.2999999999999997E-2</v>
      </c>
      <c r="Q37" s="3370">
        <f t="shared" ca="1" si="3"/>
        <v>4.4999999999999998E-2</v>
      </c>
      <c r="R37" s="1790"/>
      <c r="S37" s="1790"/>
      <c r="T37" s="1790"/>
      <c r="U37" s="1790"/>
      <c r="V37" s="1790"/>
      <c r="W37" s="1789"/>
      <c r="X37" s="1789"/>
      <c r="Y37" s="1789"/>
      <c r="Z37" s="1789"/>
      <c r="AA37" s="1789"/>
      <c r="AB37" s="1789"/>
      <c r="AC37" s="1790"/>
    </row>
    <row r="38" spans="1:44" ht="12.75">
      <c r="A38" s="3654"/>
      <c r="B38" s="1215" t="s">
        <v>924</v>
      </c>
      <c r="C38" s="955">
        <f>ROUND(D5*C22*C23*C24*C28*F38,0)</f>
        <v>605</v>
      </c>
      <c r="D38" s="1282"/>
      <c r="E38" s="946">
        <f t="shared" ref="E38:E42" si="4">ROUND(C38*D38/10000,0)</f>
        <v>0</v>
      </c>
      <c r="F38" s="946">
        <f>SUMIF(修正!A57:A68,G2,修正!C57:C68)</f>
        <v>0.3</v>
      </c>
      <c r="G38" s="946">
        <f>ROUND(IF(E2="工业",C38*$M$42,C38*$M$41),0)</f>
        <v>91</v>
      </c>
      <c r="H38" s="946">
        <f t="shared" ref="H38:H42" si="5">D38</f>
        <v>0</v>
      </c>
      <c r="I38" s="946">
        <f t="shared" ref="I38:I42" si="6">ROUND(G38*H38/10000,0)</f>
        <v>0</v>
      </c>
      <c r="J38" s="3654"/>
      <c r="K38" s="3367">
        <v>5.0000000000000001E-3</v>
      </c>
      <c r="L38" s="3367"/>
      <c r="M38" s="3367"/>
      <c r="N38" s="3367"/>
      <c r="O38" s="3367"/>
      <c r="P38" s="3367"/>
      <c r="Q38" s="3367"/>
      <c r="R38" s="1790"/>
      <c r="S38" s="1790"/>
      <c r="T38" s="1790"/>
      <c r="U38" s="1790"/>
      <c r="V38" s="1790"/>
      <c r="W38" s="1789"/>
      <c r="X38" s="1789"/>
      <c r="Y38" s="1789"/>
      <c r="Z38" s="1789"/>
      <c r="AA38" s="1789"/>
      <c r="AB38" s="1789"/>
      <c r="AC38" s="1790"/>
    </row>
    <row r="39" spans="1:44" ht="13.5" thickBot="1">
      <c r="A39" s="3654"/>
      <c r="B39" s="3299" t="s">
        <v>3219</v>
      </c>
      <c r="C39" s="955">
        <f>ROUND(D5*C22*C23*C24*C28*F39,0)</f>
        <v>504</v>
      </c>
      <c r="D39" s="1282"/>
      <c r="E39" s="946">
        <f t="shared" si="4"/>
        <v>0</v>
      </c>
      <c r="F39" s="946">
        <f>SUMIF(修正!A57:A68,G2,修正!D57:D68)</f>
        <v>0.25</v>
      </c>
      <c r="G39" s="946">
        <f>ROUND(IF(E2="工业",C39*$M$42,C39*$M$41),0)</f>
        <v>76</v>
      </c>
      <c r="H39" s="946">
        <f t="shared" si="5"/>
        <v>0</v>
      </c>
      <c r="I39" s="946">
        <f t="shared" si="6"/>
        <v>0</v>
      </c>
      <c r="J39" s="3654"/>
      <c r="K39" s="1790"/>
      <c r="L39" s="1790"/>
      <c r="M39" s="1790"/>
      <c r="N39" s="1790"/>
      <c r="O39" s="1790"/>
      <c r="P39" s="1789"/>
      <c r="Q39" s="1789"/>
      <c r="R39" s="1790"/>
      <c r="S39" s="1790"/>
      <c r="T39" s="1790"/>
      <c r="U39" s="1790"/>
      <c r="V39" s="1790"/>
      <c r="W39" s="1789"/>
      <c r="X39" s="1789"/>
      <c r="Y39" s="1789"/>
      <c r="Z39" s="1789"/>
      <c r="AA39" s="1789"/>
      <c r="AB39" s="1789"/>
      <c r="AC39" s="1790"/>
    </row>
    <row r="40" spans="1:44" s="1186" customFormat="1" ht="12.75">
      <c r="A40" s="1269"/>
      <c r="B40" s="1215" t="s">
        <v>925</v>
      </c>
      <c r="C40" s="946">
        <f>ROUND(D5*C22*C23*C24*C28*F40,0)</f>
        <v>504</v>
      </c>
      <c r="D40" s="1282"/>
      <c r="E40" s="946">
        <f t="shared" si="4"/>
        <v>0</v>
      </c>
      <c r="F40" s="955">
        <f>SUMIF(修正!A57:A68,G2,修正!E57:E68)</f>
        <v>0.25</v>
      </c>
      <c r="G40" s="946">
        <f>ROUND(IF(E2="工业",C40*$M$42,C40*$M$41),0)</f>
        <v>76</v>
      </c>
      <c r="H40" s="946">
        <f t="shared" si="5"/>
        <v>0</v>
      </c>
      <c r="I40" s="946">
        <f t="shared" si="6"/>
        <v>0</v>
      </c>
      <c r="J40" s="1271"/>
      <c r="K40" s="1789"/>
      <c r="L40" s="1288" t="s">
        <v>1233</v>
      </c>
      <c r="M40" s="1289"/>
      <c r="N40" s="1789"/>
      <c r="O40" s="1789"/>
      <c r="P40" s="1789"/>
      <c r="Q40" s="1789"/>
      <c r="R40" s="1797"/>
      <c r="S40" s="1797"/>
      <c r="T40" s="1797"/>
      <c r="U40" s="1797"/>
      <c r="V40" s="1797"/>
      <c r="W40" s="1796"/>
      <c r="X40" s="1796"/>
      <c r="Y40" s="1796"/>
      <c r="Z40" s="1796"/>
      <c r="AA40" s="1796"/>
      <c r="AB40" s="1796"/>
      <c r="AC40" s="1797"/>
      <c r="AD40" s="1187"/>
      <c r="AE40" s="1187"/>
      <c r="AF40" s="1187"/>
      <c r="AG40" s="1187"/>
      <c r="AH40" s="1187"/>
      <c r="AI40" s="1187"/>
      <c r="AJ40" s="1187"/>
      <c r="AK40" s="1187"/>
      <c r="AL40" s="1187"/>
      <c r="AM40" s="1187"/>
    </row>
    <row r="41" spans="1:44" s="1186" customFormat="1" ht="12.75">
      <c r="A41" s="1269"/>
      <c r="B41" s="1215" t="s">
        <v>926</v>
      </c>
      <c r="C41" s="946">
        <f>ROUND(D5*C22*C23*C44*C28*F41,0)</f>
        <v>0</v>
      </c>
      <c r="D41" s="1282"/>
      <c r="E41" s="946">
        <f t="shared" si="4"/>
        <v>0</v>
      </c>
      <c r="F41" s="955">
        <f>SUMIF(修正!A57:A68,G2,修正!F57:F68)</f>
        <v>0.25</v>
      </c>
      <c r="G41" s="946">
        <f>ROUND(IF(E2="工业",C41*$M$42,C41*$M$41),0)</f>
        <v>0</v>
      </c>
      <c r="H41" s="946">
        <f t="shared" si="5"/>
        <v>0</v>
      </c>
      <c r="I41" s="946">
        <f t="shared" si="6"/>
        <v>0</v>
      </c>
      <c r="J41" s="1271"/>
      <c r="K41" s="1789"/>
      <c r="L41" s="3371" t="s">
        <v>3247</v>
      </c>
      <c r="M41" s="1290">
        <v>0.25</v>
      </c>
      <c r="N41" s="1789"/>
      <c r="O41" s="1789"/>
      <c r="P41" s="1789"/>
      <c r="Q41" s="1789"/>
      <c r="R41" s="1797"/>
      <c r="S41" s="1797"/>
      <c r="T41" s="1797"/>
      <c r="U41" s="1797"/>
      <c r="V41" s="1797"/>
      <c r="W41" s="1796"/>
      <c r="X41" s="1796"/>
      <c r="Y41" s="1796"/>
      <c r="Z41" s="1796"/>
      <c r="AA41" s="1796"/>
      <c r="AB41" s="1796"/>
      <c r="AC41" s="1797"/>
      <c r="AD41" s="1187"/>
      <c r="AE41" s="1187"/>
      <c r="AF41" s="1187"/>
      <c r="AG41" s="1187"/>
      <c r="AH41" s="1187"/>
      <c r="AI41" s="1187"/>
      <c r="AJ41" s="1187"/>
      <c r="AK41" s="1187"/>
      <c r="AL41" s="1187"/>
      <c r="AM41" s="1187"/>
    </row>
    <row r="42" spans="1:44" s="1186" customFormat="1" ht="13.5" thickBot="1">
      <c r="A42" s="1255"/>
      <c r="B42" s="1272" t="s">
        <v>927</v>
      </c>
      <c r="C42" s="947">
        <f>ROUND(D5*C22*C23*C44*C28*F42,0)</f>
        <v>0</v>
      </c>
      <c r="D42" s="1283"/>
      <c r="E42" s="947">
        <f t="shared" si="4"/>
        <v>0</v>
      </c>
      <c r="F42" s="957">
        <f>SUMIF(修正!A57:A68,G2,修正!G57:G68)</f>
        <v>0.15</v>
      </c>
      <c r="G42" s="947">
        <f>ROUND(IF(E2="工业",C42*$M$42,C42*$M$41),0)</f>
        <v>0</v>
      </c>
      <c r="H42" s="947">
        <f t="shared" si="5"/>
        <v>0</v>
      </c>
      <c r="I42" s="947">
        <f t="shared" si="6"/>
        <v>0</v>
      </c>
      <c r="J42" s="1273"/>
      <c r="K42" s="1789"/>
      <c r="L42" s="1291" t="s">
        <v>1234</v>
      </c>
      <c r="M42" s="1292">
        <v>0.15</v>
      </c>
      <c r="N42" s="1789"/>
      <c r="O42" s="1789"/>
      <c r="P42" s="1789"/>
      <c r="Q42" s="1789"/>
      <c r="R42" s="1797"/>
      <c r="S42" s="1797"/>
      <c r="T42" s="1797"/>
      <c r="U42" s="1797"/>
      <c r="V42" s="1797"/>
      <c r="W42" s="1796"/>
      <c r="X42" s="1796"/>
      <c r="Y42" s="1796"/>
      <c r="Z42" s="1796"/>
      <c r="AA42" s="1796"/>
      <c r="AB42" s="1796"/>
      <c r="AC42" s="1797"/>
      <c r="AD42" s="1187"/>
      <c r="AE42" s="1187"/>
      <c r="AF42" s="1187"/>
      <c r="AG42" s="1187"/>
      <c r="AH42" s="1187"/>
      <c r="AI42" s="1187"/>
      <c r="AJ42" s="1187"/>
      <c r="AK42" s="1187"/>
      <c r="AL42" s="1187"/>
      <c r="AM42" s="1187"/>
    </row>
    <row r="43" spans="1:44" s="1186" customFormat="1">
      <c r="B43" s="1796"/>
      <c r="C43" s="1796"/>
      <c r="D43" s="1796"/>
      <c r="E43" s="1796"/>
      <c r="F43" s="1796"/>
      <c r="G43" s="1796"/>
      <c r="H43" s="1796"/>
      <c r="I43" s="1796"/>
      <c r="J43" s="1796"/>
      <c r="K43" s="1796"/>
      <c r="L43" s="1796"/>
      <c r="M43" s="1796"/>
      <c r="N43" s="1796"/>
      <c r="O43" s="1796"/>
      <c r="P43" s="1796"/>
      <c r="Q43" s="1796"/>
      <c r="R43" s="1797"/>
      <c r="S43" s="1797"/>
      <c r="T43" s="1797"/>
      <c r="U43" s="1797"/>
      <c r="V43" s="1797"/>
      <c r="W43" s="1796"/>
      <c r="X43" s="1796"/>
      <c r="Y43" s="1796"/>
      <c r="Z43" s="1796"/>
      <c r="AA43" s="1796"/>
      <c r="AB43" s="1796"/>
      <c r="AC43" s="1797"/>
      <c r="AD43" s="1187"/>
      <c r="AE43" s="1187"/>
      <c r="AF43" s="1187"/>
      <c r="AG43" s="1187"/>
      <c r="AH43" s="1187"/>
      <c r="AI43" s="1187"/>
      <c r="AJ43" s="1187"/>
      <c r="AK43" s="1187"/>
      <c r="AL43" s="1187"/>
      <c r="AM43" s="1187"/>
    </row>
    <row r="44" spans="1:44" s="1186" customFormat="1" ht="12.75">
      <c r="A44" s="1187"/>
      <c r="B44" s="2396" t="s">
        <v>2243</v>
      </c>
      <c r="C44" s="773">
        <f>ROUND(POWER(1+E44,H44-G44)*(POWER(1+E44,G44)-1)/(POWER(1+E44,H44)-1),4)</f>
        <v>0</v>
      </c>
      <c r="D44" s="348" t="s">
        <v>2241</v>
      </c>
      <c r="E44" s="2395">
        <f>G24</f>
        <v>0.05</v>
      </c>
      <c r="F44" s="348" t="s">
        <v>2242</v>
      </c>
      <c r="G44" s="366"/>
      <c r="H44" s="348">
        <v>50</v>
      </c>
      <c r="I44" s="1796"/>
      <c r="J44" s="1796"/>
      <c r="K44" s="1796"/>
      <c r="L44" s="1796"/>
      <c r="M44" s="1796"/>
      <c r="N44" s="1796"/>
      <c r="O44" s="1796"/>
      <c r="P44" s="1796"/>
      <c r="Q44" s="1796"/>
      <c r="R44" s="1797"/>
      <c r="S44" s="1797"/>
      <c r="T44" s="1797"/>
      <c r="U44" s="1797"/>
      <c r="V44" s="1797"/>
      <c r="W44" s="1796"/>
      <c r="X44" s="1796"/>
      <c r="Y44" s="1796"/>
      <c r="Z44" s="1796"/>
      <c r="AA44" s="1796"/>
      <c r="AB44" s="1796"/>
      <c r="AC44" s="1797"/>
      <c r="AD44" s="1187"/>
      <c r="AE44" s="1187"/>
      <c r="AF44" s="1187"/>
      <c r="AG44" s="1187"/>
      <c r="AH44" s="1187"/>
      <c r="AI44" s="1187"/>
      <c r="AJ44" s="1187"/>
      <c r="AK44" s="1187"/>
      <c r="AL44" s="1187"/>
      <c r="AM44" s="1187"/>
    </row>
    <row r="45" spans="1:44" s="1186" customFormat="1">
      <c r="A45" s="1187"/>
      <c r="B45" s="1798"/>
      <c r="C45" s="1796"/>
      <c r="D45" s="1796"/>
      <c r="E45" s="1796"/>
      <c r="F45" s="1796"/>
      <c r="G45" s="1796"/>
      <c r="H45" s="1796"/>
      <c r="I45" s="1796"/>
      <c r="J45" s="1796"/>
      <c r="K45" s="1796"/>
      <c r="L45" s="1796"/>
      <c r="M45" s="1796"/>
      <c r="N45" s="1796"/>
      <c r="O45" s="1796"/>
      <c r="P45" s="1796"/>
      <c r="Q45" s="1796"/>
      <c r="R45" s="1797"/>
      <c r="S45" s="1797"/>
      <c r="T45" s="1797"/>
      <c r="U45" s="1797"/>
      <c r="V45" s="1797"/>
      <c r="W45" s="1796"/>
      <c r="X45" s="1796"/>
      <c r="Y45" s="1796"/>
      <c r="Z45" s="1796"/>
      <c r="AA45" s="1796"/>
      <c r="AB45" s="1796"/>
      <c r="AC45" s="1796"/>
      <c r="AD45" s="1797"/>
      <c r="AE45" s="1187"/>
      <c r="AF45" s="1187"/>
      <c r="AG45" s="1187"/>
      <c r="AH45" s="1187"/>
      <c r="AI45" s="1187"/>
      <c r="AJ45" s="1187"/>
      <c r="AK45" s="1187"/>
      <c r="AL45" s="1187"/>
      <c r="AM45" s="1187"/>
      <c r="AN45" s="1187"/>
    </row>
    <row r="46" spans="1:44" s="1186" customFormat="1">
      <c r="A46" s="1187"/>
      <c r="B46" s="1798"/>
      <c r="C46" s="1796"/>
      <c r="D46" s="1796"/>
      <c r="E46" s="1796"/>
      <c r="F46" s="1796"/>
      <c r="G46" s="1796"/>
      <c r="H46" s="1796"/>
      <c r="I46" s="1796"/>
      <c r="J46" s="1796"/>
      <c r="K46" s="1796"/>
      <c r="L46" s="1796"/>
      <c r="M46" s="1796"/>
      <c r="N46" s="1796"/>
      <c r="O46" s="1796"/>
      <c r="P46" s="1796"/>
      <c r="Q46" s="1796"/>
      <c r="R46" s="1797"/>
      <c r="S46" s="1797"/>
      <c r="T46" s="1797"/>
      <c r="U46" s="1797"/>
      <c r="V46" s="1797"/>
      <c r="W46" s="1796"/>
      <c r="X46" s="1796"/>
      <c r="Y46" s="1796"/>
      <c r="Z46" s="1796"/>
      <c r="AA46" s="1796"/>
      <c r="AB46" s="1796"/>
      <c r="AC46" s="1796"/>
      <c r="AD46" s="1797"/>
      <c r="AE46" s="1187"/>
      <c r="AF46" s="1187"/>
      <c r="AG46" s="1187"/>
      <c r="AH46" s="1187"/>
      <c r="AI46" s="1187"/>
      <c r="AJ46" s="1187"/>
      <c r="AK46" s="1187"/>
      <c r="AL46" s="1187"/>
      <c r="AM46" s="1187"/>
      <c r="AN46" s="1187"/>
    </row>
    <row r="47" spans="1:44" s="3312" customFormat="1" ht="15" thickBot="1">
      <c r="A47" s="3308" t="s">
        <v>928</v>
      </c>
      <c r="B47" s="3309"/>
      <c r="C47" s="3310"/>
      <c r="D47" s="3311"/>
      <c r="E47" s="3311"/>
      <c r="F47" s="3311"/>
      <c r="G47" s="3167"/>
      <c r="H47" s="3311"/>
      <c r="I47" s="3167"/>
      <c r="J47" s="3167"/>
      <c r="K47" s="3167"/>
      <c r="L47" s="3167"/>
      <c r="M47" s="3167"/>
      <c r="O47" s="1798"/>
      <c r="P47" s="1798"/>
      <c r="Q47" s="1798"/>
      <c r="R47" s="1798"/>
      <c r="S47" s="1798"/>
      <c r="T47" s="1798"/>
      <c r="U47" s="1798"/>
      <c r="V47" s="1798"/>
      <c r="W47" s="1798"/>
      <c r="X47" s="1798"/>
      <c r="Y47" s="1798"/>
      <c r="Z47" s="1798"/>
      <c r="AA47" s="1798"/>
      <c r="AB47" s="1798"/>
      <c r="AC47" s="1798"/>
      <c r="AD47" s="1798"/>
    </row>
    <row r="48" spans="1:44" s="3312" customFormat="1" ht="15">
      <c r="A48" s="3313" t="s">
        <v>929</v>
      </c>
      <c r="B48" s="3375">
        <f>1+E50</f>
        <v>1</v>
      </c>
      <c r="C48" s="3314"/>
      <c r="D48" s="3315"/>
      <c r="E48" s="3316"/>
      <c r="F48" s="3308"/>
      <c r="G48" s="3311"/>
      <c r="H48" s="3311"/>
      <c r="I48" s="3167"/>
      <c r="J48" s="3167"/>
      <c r="K48" s="3167"/>
      <c r="L48" s="3167"/>
      <c r="M48" s="3167"/>
      <c r="O48" s="1798"/>
      <c r="P48" s="1798"/>
      <c r="Q48" s="1798"/>
      <c r="R48" s="1798"/>
      <c r="S48" s="1798"/>
      <c r="T48" s="1798"/>
      <c r="U48" s="1798"/>
      <c r="V48" s="1798"/>
      <c r="W48" s="1798"/>
      <c r="X48" s="1798"/>
      <c r="Y48" s="1798"/>
      <c r="Z48" s="1798"/>
      <c r="AA48" s="1798"/>
      <c r="AB48" s="1798"/>
      <c r="AC48" s="1798"/>
      <c r="AD48" s="1798"/>
    </row>
    <row r="49" spans="1:30" s="3312" customFormat="1" ht="24">
      <c r="A49" s="3317" t="s">
        <v>930</v>
      </c>
      <c r="B49" s="3318" t="s">
        <v>931</v>
      </c>
      <c r="C49" s="3319" t="s">
        <v>932</v>
      </c>
      <c r="D49" s="3320" t="s">
        <v>933</v>
      </c>
      <c r="E49" s="3321" t="s">
        <v>935</v>
      </c>
      <c r="F49" s="3195" t="s">
        <v>1609</v>
      </c>
      <c r="G49" s="3320" t="s">
        <v>936</v>
      </c>
      <c r="H49" s="3322" t="s">
        <v>1772</v>
      </c>
      <c r="I49" s="3320" t="s">
        <v>934</v>
      </c>
      <c r="J49" s="3323" t="s">
        <v>937</v>
      </c>
      <c r="K49" s="3323" t="s">
        <v>938</v>
      </c>
      <c r="L49" s="3323" t="s">
        <v>939</v>
      </c>
      <c r="M49" s="3323" t="s">
        <v>940</v>
      </c>
      <c r="N49" s="3323" t="s">
        <v>941</v>
      </c>
      <c r="P49" s="1798"/>
      <c r="Q49" s="1798"/>
      <c r="R49" s="1798"/>
      <c r="S49" s="1798"/>
      <c r="T49" s="1798"/>
      <c r="U49" s="1798"/>
      <c r="V49" s="1798"/>
      <c r="W49" s="1798"/>
      <c r="X49" s="1798"/>
      <c r="Y49" s="1798"/>
      <c r="Z49" s="1798"/>
      <c r="AA49" s="1798"/>
      <c r="AB49" s="1798"/>
      <c r="AC49" s="1798"/>
      <c r="AD49" s="1798"/>
    </row>
    <row r="50" spans="1:30" s="3312" customFormat="1" ht="36">
      <c r="A50" s="3317" t="s">
        <v>942</v>
      </c>
      <c r="B50" s="3324" t="str">
        <f>估价对象房地状况!C16</f>
        <v>估价对象位于XX商圈，周边商业氛围成熟，人流量大，商业繁华度好</v>
      </c>
      <c r="C50" s="3325"/>
      <c r="D50" s="3326">
        <f t="shared" ref="D50:D58" si="7">SUMIF($J$49:$N$49,C50,J50:N50)</f>
        <v>0</v>
      </c>
      <c r="E50" s="3327">
        <f>ROUND(SUM(D50:D58),4)</f>
        <v>0</v>
      </c>
      <c r="F50" s="3328" t="str">
        <f>IF(E2="商业",SUMIF(L1:L12,G2,N1:N12),"——")</f>
        <v>——</v>
      </c>
      <c r="G50" s="3329"/>
      <c r="H50" s="3330" t="str">
        <f t="shared" ref="H50:H58" si="8">IFERROR(ROUNDDOWN(($F$50*I50/2),4),"——")</f>
        <v>——</v>
      </c>
      <c r="I50" s="3305">
        <v>0.3</v>
      </c>
      <c r="J50" s="3331">
        <f t="shared" ref="J50:J58" si="9">K50+$G50</f>
        <v>0</v>
      </c>
      <c r="K50" s="3331">
        <f t="shared" ref="K50:K58" si="10">$L50+$G50</f>
        <v>0</v>
      </c>
      <c r="L50" s="3331">
        <v>0</v>
      </c>
      <c r="M50" s="3331">
        <f t="shared" ref="M50:N58" si="11">L50-$G50</f>
        <v>0</v>
      </c>
      <c r="N50" s="3331">
        <f t="shared" si="11"/>
        <v>0</v>
      </c>
      <c r="P50" s="1798"/>
      <c r="Q50" s="1798"/>
      <c r="R50" s="1798"/>
      <c r="S50" s="1798"/>
      <c r="T50" s="1798"/>
      <c r="U50" s="1798"/>
      <c r="V50" s="1798"/>
      <c r="W50" s="1798"/>
      <c r="X50" s="1798"/>
      <c r="Y50" s="1798"/>
      <c r="Z50" s="1798"/>
      <c r="AA50" s="1798"/>
      <c r="AB50" s="1798"/>
      <c r="AC50" s="1798"/>
      <c r="AD50" s="1798"/>
    </row>
    <row r="51" spans="1:30" s="3312" customFormat="1" ht="36">
      <c r="A51" s="3317" t="s">
        <v>943</v>
      </c>
      <c r="B51" s="3318" t="str">
        <f>估价对象房地状况!C18</f>
        <v>估价对象周边道路状况、公共交通通达情况、停车便捷程度，综合评价交通便捷度较好</v>
      </c>
      <c r="C51" s="3325"/>
      <c r="D51" s="3326">
        <f t="shared" si="7"/>
        <v>0</v>
      </c>
      <c r="E51" s="3332"/>
      <c r="F51" s="3328"/>
      <c r="G51" s="3329"/>
      <c r="H51" s="3330" t="str">
        <f t="shared" si="8"/>
        <v>——</v>
      </c>
      <c r="I51" s="3305">
        <v>0.22</v>
      </c>
      <c r="J51" s="3331">
        <f t="shared" si="9"/>
        <v>0</v>
      </c>
      <c r="K51" s="3331">
        <f t="shared" si="10"/>
        <v>0</v>
      </c>
      <c r="L51" s="3331">
        <v>0</v>
      </c>
      <c r="M51" s="3331">
        <f t="shared" si="11"/>
        <v>0</v>
      </c>
      <c r="N51" s="3331">
        <f t="shared" si="11"/>
        <v>0</v>
      </c>
      <c r="P51" s="1798"/>
      <c r="Q51" s="1798"/>
      <c r="R51" s="1798"/>
      <c r="S51" s="1798"/>
      <c r="T51" s="1798"/>
      <c r="U51" s="1798"/>
      <c r="V51" s="1798"/>
      <c r="W51" s="1798"/>
      <c r="X51" s="1798"/>
      <c r="Y51" s="1798"/>
      <c r="Z51" s="1798"/>
      <c r="AA51" s="1798"/>
      <c r="AB51" s="1798"/>
      <c r="AC51" s="1798"/>
      <c r="AD51" s="1798"/>
    </row>
    <row r="52" spans="1:30" s="3312" customFormat="1" ht="36">
      <c r="A52" s="3300" t="s">
        <v>3221</v>
      </c>
      <c r="B52" s="3318">
        <f>估价对象房地状况!C19</f>
        <v>0</v>
      </c>
      <c r="C52" s="3325"/>
      <c r="D52" s="3326">
        <f t="shared" si="7"/>
        <v>0</v>
      </c>
      <c r="E52" s="3332"/>
      <c r="F52" s="3328"/>
      <c r="G52" s="3329"/>
      <c r="H52" s="3330" t="str">
        <f t="shared" si="8"/>
        <v>——</v>
      </c>
      <c r="I52" s="3305">
        <v>0.12</v>
      </c>
      <c r="J52" s="3331">
        <f t="shared" si="9"/>
        <v>0</v>
      </c>
      <c r="K52" s="3331">
        <f t="shared" si="10"/>
        <v>0</v>
      </c>
      <c r="L52" s="3331">
        <v>0</v>
      </c>
      <c r="M52" s="3331">
        <f t="shared" si="11"/>
        <v>0</v>
      </c>
      <c r="N52" s="3331">
        <f t="shared" si="11"/>
        <v>0</v>
      </c>
      <c r="P52" s="1798"/>
      <c r="Q52" s="1798"/>
      <c r="R52" s="1798"/>
      <c r="S52" s="1798"/>
      <c r="T52" s="1798"/>
      <c r="U52" s="1798"/>
      <c r="V52" s="1798"/>
      <c r="W52" s="1798"/>
      <c r="X52" s="1798"/>
      <c r="Y52" s="1798"/>
      <c r="Z52" s="1798"/>
      <c r="AA52" s="1798"/>
      <c r="AB52" s="1798"/>
      <c r="AC52" s="1798"/>
      <c r="AD52" s="1798"/>
    </row>
    <row r="53" spans="1:30" s="3312" customFormat="1" ht="36">
      <c r="A53" s="3317" t="s">
        <v>945</v>
      </c>
      <c r="B53" s="3333" t="s">
        <v>2200</v>
      </c>
      <c r="C53" s="3325"/>
      <c r="D53" s="3326">
        <f t="shared" si="7"/>
        <v>0</v>
      </c>
      <c r="E53" s="3332"/>
      <c r="F53" s="3328"/>
      <c r="G53" s="3329"/>
      <c r="H53" s="3330" t="str">
        <f t="shared" si="8"/>
        <v>——</v>
      </c>
      <c r="I53" s="3305">
        <v>0.05</v>
      </c>
      <c r="J53" s="3331">
        <f t="shared" si="9"/>
        <v>0</v>
      </c>
      <c r="K53" s="3331">
        <f t="shared" si="10"/>
        <v>0</v>
      </c>
      <c r="L53" s="3331">
        <v>0</v>
      </c>
      <c r="M53" s="3331">
        <f t="shared" si="11"/>
        <v>0</v>
      </c>
      <c r="N53" s="3331">
        <f t="shared" si="11"/>
        <v>0</v>
      </c>
      <c r="P53" s="1798"/>
      <c r="Q53" s="1798"/>
      <c r="R53" s="1798"/>
      <c r="S53" s="1798"/>
      <c r="T53" s="1798"/>
      <c r="U53" s="1798"/>
      <c r="V53" s="1798"/>
      <c r="W53" s="1798"/>
      <c r="X53" s="1798"/>
      <c r="Y53" s="1798"/>
      <c r="Z53" s="1798"/>
      <c r="AA53" s="1798"/>
      <c r="AB53" s="1798"/>
      <c r="AC53" s="1798"/>
      <c r="AD53" s="1798"/>
    </row>
    <row r="54" spans="1:30" s="3312" customFormat="1" ht="24">
      <c r="A54" s="3317" t="s">
        <v>946</v>
      </c>
      <c r="B54" s="3318">
        <f>估价对象房地状况!C24</f>
        <v>0</v>
      </c>
      <c r="C54" s="3325"/>
      <c r="D54" s="3326">
        <f t="shared" si="7"/>
        <v>0</v>
      </c>
      <c r="E54" s="3332"/>
      <c r="F54" s="3328"/>
      <c r="G54" s="3329"/>
      <c r="H54" s="3330" t="str">
        <f t="shared" si="8"/>
        <v>——</v>
      </c>
      <c r="I54" s="3305">
        <v>0.08</v>
      </c>
      <c r="J54" s="3331">
        <f t="shared" si="9"/>
        <v>0</v>
      </c>
      <c r="K54" s="3331">
        <f t="shared" si="10"/>
        <v>0</v>
      </c>
      <c r="L54" s="3331">
        <v>0</v>
      </c>
      <c r="M54" s="3331">
        <f t="shared" si="11"/>
        <v>0</v>
      </c>
      <c r="N54" s="3331">
        <f t="shared" si="11"/>
        <v>0</v>
      </c>
      <c r="P54" s="1798"/>
      <c r="Q54" s="1798"/>
      <c r="R54" s="1798"/>
      <c r="S54" s="1798"/>
      <c r="T54" s="1798"/>
      <c r="U54" s="1798"/>
      <c r="V54" s="1798"/>
      <c r="W54" s="1798"/>
      <c r="X54" s="1798"/>
      <c r="Y54" s="1798"/>
      <c r="Z54" s="1798"/>
      <c r="AA54" s="1798"/>
      <c r="AB54" s="1798"/>
      <c r="AC54" s="1798"/>
      <c r="AD54" s="1798"/>
    </row>
    <row r="55" spans="1:30" s="3312" customFormat="1" ht="24">
      <c r="A55" s="3317" t="s">
        <v>947</v>
      </c>
      <c r="B55" s="3334" t="s">
        <v>2199</v>
      </c>
      <c r="C55" s="3325"/>
      <c r="D55" s="3326">
        <f t="shared" si="7"/>
        <v>0</v>
      </c>
      <c r="E55" s="3332"/>
      <c r="F55" s="3328"/>
      <c r="G55" s="3329"/>
      <c r="H55" s="3330" t="str">
        <f t="shared" si="8"/>
        <v>——</v>
      </c>
      <c r="I55" s="3305">
        <v>0.05</v>
      </c>
      <c r="J55" s="3331">
        <f t="shared" si="9"/>
        <v>0</v>
      </c>
      <c r="K55" s="3331">
        <f t="shared" si="10"/>
        <v>0</v>
      </c>
      <c r="L55" s="3331">
        <v>0</v>
      </c>
      <c r="M55" s="3331">
        <f t="shared" si="11"/>
        <v>0</v>
      </c>
      <c r="N55" s="3331">
        <f t="shared" si="11"/>
        <v>0</v>
      </c>
      <c r="P55" s="1798"/>
      <c r="Q55" s="1798"/>
      <c r="R55" s="1798"/>
      <c r="S55" s="1798"/>
      <c r="T55" s="1798"/>
      <c r="U55" s="1798"/>
      <c r="V55" s="1798"/>
      <c r="W55" s="1798"/>
      <c r="X55" s="1798"/>
      <c r="Y55" s="1798"/>
      <c r="Z55" s="1798"/>
      <c r="AA55" s="1798"/>
      <c r="AB55" s="1798"/>
      <c r="AC55" s="1798"/>
      <c r="AD55" s="1798"/>
    </row>
    <row r="56" spans="1:30" s="3312" customFormat="1" ht="24">
      <c r="A56" s="3335" t="s">
        <v>948</v>
      </c>
      <c r="B56" s="3336" t="str">
        <f>估价对象房地状况!C21</f>
        <v>估价对象所在区域公共配套设施齐备情况</v>
      </c>
      <c r="C56" s="3325"/>
      <c r="D56" s="3326">
        <f t="shared" si="7"/>
        <v>0</v>
      </c>
      <c r="E56" s="3332"/>
      <c r="F56" s="3328"/>
      <c r="G56" s="3329"/>
      <c r="H56" s="3330" t="str">
        <f t="shared" si="8"/>
        <v>——</v>
      </c>
      <c r="I56" s="3305">
        <v>0.05</v>
      </c>
      <c r="J56" s="3331">
        <f t="shared" si="9"/>
        <v>0</v>
      </c>
      <c r="K56" s="3331">
        <f t="shared" si="10"/>
        <v>0</v>
      </c>
      <c r="L56" s="3331">
        <v>0</v>
      </c>
      <c r="M56" s="3331">
        <f t="shared" si="11"/>
        <v>0</v>
      </c>
      <c r="N56" s="3331">
        <f t="shared" si="11"/>
        <v>0</v>
      </c>
      <c r="P56" s="1798"/>
      <c r="Q56" s="1798"/>
      <c r="R56" s="1798"/>
      <c r="S56" s="1798"/>
      <c r="T56" s="1798"/>
      <c r="U56" s="1798"/>
      <c r="V56" s="1798"/>
      <c r="W56" s="1798"/>
      <c r="X56" s="1798"/>
      <c r="Y56" s="1798"/>
      <c r="Z56" s="1798"/>
      <c r="AA56" s="1798"/>
      <c r="AB56" s="1798"/>
      <c r="AC56" s="1798"/>
      <c r="AD56" s="1798"/>
    </row>
    <row r="57" spans="1:30" s="3312" customFormat="1" ht="24">
      <c r="A57" s="3335" t="s">
        <v>949</v>
      </c>
      <c r="B57" s="3318" t="str">
        <f>估价对象房地状况!C22</f>
        <v>估价对象所在区域基础设施水平</v>
      </c>
      <c r="C57" s="3325"/>
      <c r="D57" s="3326">
        <f t="shared" si="7"/>
        <v>0</v>
      </c>
      <c r="E57" s="3332"/>
      <c r="F57" s="3328"/>
      <c r="G57" s="3329"/>
      <c r="H57" s="3330" t="str">
        <f t="shared" si="8"/>
        <v>——</v>
      </c>
      <c r="I57" s="3305">
        <v>0.08</v>
      </c>
      <c r="J57" s="3331">
        <f t="shared" si="9"/>
        <v>0</v>
      </c>
      <c r="K57" s="3331">
        <f t="shared" si="10"/>
        <v>0</v>
      </c>
      <c r="L57" s="3331">
        <v>0</v>
      </c>
      <c r="M57" s="3331">
        <f t="shared" si="11"/>
        <v>0</v>
      </c>
      <c r="N57" s="3331">
        <f t="shared" si="11"/>
        <v>0</v>
      </c>
      <c r="P57" s="1798"/>
      <c r="Q57" s="1798"/>
      <c r="R57" s="1798"/>
      <c r="S57" s="1798"/>
      <c r="T57" s="1798"/>
      <c r="U57" s="1798"/>
      <c r="V57" s="1798"/>
      <c r="W57" s="1798"/>
      <c r="X57" s="1798"/>
      <c r="Y57" s="1798"/>
      <c r="Z57" s="1798"/>
      <c r="AA57" s="1798"/>
      <c r="AB57" s="1798"/>
      <c r="AC57" s="1798"/>
      <c r="AD57" s="1798"/>
    </row>
    <row r="58" spans="1:30" s="3312" customFormat="1" ht="24.75" thickBot="1">
      <c r="A58" s="3337" t="s">
        <v>950</v>
      </c>
      <c r="B58" s="3338" t="str">
        <f>估价对象房地状况!C20</f>
        <v>区域自然环境：；人文环境；综合评价环境状况一般</v>
      </c>
      <c r="C58" s="3325"/>
      <c r="D58" s="3326">
        <f t="shared" si="7"/>
        <v>0</v>
      </c>
      <c r="E58" s="3339"/>
      <c r="F58" s="3328"/>
      <c r="G58" s="3329"/>
      <c r="H58" s="3330" t="str">
        <f t="shared" si="8"/>
        <v>——</v>
      </c>
      <c r="I58" s="3307">
        <v>0.05</v>
      </c>
      <c r="J58" s="3331">
        <f t="shared" si="9"/>
        <v>0</v>
      </c>
      <c r="K58" s="3331">
        <f t="shared" si="10"/>
        <v>0</v>
      </c>
      <c r="L58" s="3331">
        <v>0</v>
      </c>
      <c r="M58" s="3331">
        <f t="shared" si="11"/>
        <v>0</v>
      </c>
      <c r="N58" s="3331">
        <f t="shared" si="11"/>
        <v>0</v>
      </c>
      <c r="P58" s="1798"/>
      <c r="Q58" s="1798"/>
      <c r="R58" s="1798"/>
      <c r="S58" s="1798"/>
      <c r="T58" s="1798"/>
      <c r="U58" s="1798"/>
      <c r="V58" s="1798"/>
      <c r="W58" s="1798"/>
      <c r="X58" s="1798"/>
      <c r="Y58" s="1798"/>
      <c r="Z58" s="1798"/>
      <c r="AA58" s="1798"/>
      <c r="AB58" s="1798"/>
      <c r="AC58" s="1798"/>
      <c r="AD58" s="1798"/>
    </row>
    <row r="59" spans="1:30" s="3312" customFormat="1" ht="15">
      <c r="A59" s="3313" t="s">
        <v>951</v>
      </c>
      <c r="B59" s="3375">
        <f>1+E61</f>
        <v>1</v>
      </c>
      <c r="C59" s="3340"/>
      <c r="D59" s="3315"/>
      <c r="E59" s="3316"/>
      <c r="F59" s="3308"/>
      <c r="G59" s="3311"/>
      <c r="H59" s="3311"/>
      <c r="I59" s="3311"/>
      <c r="J59" s="3167"/>
      <c r="K59" s="3167"/>
      <c r="L59" s="3167"/>
      <c r="M59" s="3167"/>
      <c r="N59" s="3167"/>
      <c r="P59" s="1798"/>
      <c r="Q59" s="1798"/>
      <c r="R59" s="1798"/>
      <c r="S59" s="1798"/>
      <c r="T59" s="1798"/>
      <c r="U59" s="1798"/>
      <c r="V59" s="1798"/>
      <c r="W59" s="1798"/>
      <c r="X59" s="1798"/>
      <c r="Y59" s="1798"/>
      <c r="Z59" s="1798"/>
      <c r="AA59" s="1798"/>
      <c r="AB59" s="1798"/>
      <c r="AC59" s="1798"/>
      <c r="AD59" s="1798"/>
    </row>
    <row r="60" spans="1:30" s="3312" customFormat="1" ht="24">
      <c r="A60" s="3317" t="s">
        <v>930</v>
      </c>
      <c r="B60" s="3318"/>
      <c r="C60" s="3319" t="s">
        <v>932</v>
      </c>
      <c r="D60" s="3320" t="s">
        <v>933</v>
      </c>
      <c r="E60" s="3321" t="s">
        <v>935</v>
      </c>
      <c r="F60" s="3195" t="s">
        <v>1610</v>
      </c>
      <c r="G60" s="3320" t="s">
        <v>936</v>
      </c>
      <c r="H60" s="3322" t="s">
        <v>1772</v>
      </c>
      <c r="I60" s="3320" t="s">
        <v>934</v>
      </c>
      <c r="J60" s="3323" t="s">
        <v>937</v>
      </c>
      <c r="K60" s="3323" t="s">
        <v>938</v>
      </c>
      <c r="L60" s="3323" t="s">
        <v>939</v>
      </c>
      <c r="M60" s="3323" t="s">
        <v>940</v>
      </c>
      <c r="N60" s="3323" t="s">
        <v>941</v>
      </c>
      <c r="P60" s="1798"/>
      <c r="Q60" s="1798"/>
      <c r="R60" s="1798"/>
      <c r="S60" s="1798"/>
      <c r="T60" s="1798"/>
      <c r="U60" s="1798"/>
      <c r="V60" s="1798"/>
      <c r="W60" s="1798"/>
      <c r="X60" s="1798"/>
      <c r="Y60" s="1798"/>
      <c r="Z60" s="1798"/>
      <c r="AA60" s="1798"/>
      <c r="AB60" s="1798"/>
      <c r="AC60" s="1798"/>
      <c r="AD60" s="1798"/>
    </row>
    <row r="61" spans="1:30" s="3312" customFormat="1" ht="36">
      <c r="A61" s="3317" t="s">
        <v>952</v>
      </c>
      <c r="B61" s="3324" t="str">
        <f>估价对象房地状况!C17</f>
        <v>估价对象位于XX商圈，周边办公楼项目较多，入驻率高，办公集聚程度较好</v>
      </c>
      <c r="C61" s="3325"/>
      <c r="D61" s="3326">
        <f t="shared" ref="D61:D69" si="12">SUMIF($J$60:$N$60,C61,J61:N61)</f>
        <v>0</v>
      </c>
      <c r="E61" s="3327">
        <f>ROUND(SUM(D61:D69),4)</f>
        <v>0</v>
      </c>
      <c r="F61" s="3328" t="str">
        <f>IF(E2="办公",SUMIF(L1:L12,G2,N1:N12),"——")</f>
        <v>——</v>
      </c>
      <c r="G61" s="3329"/>
      <c r="H61" s="3330" t="str">
        <f>IFERROR(ROUNDDOWN($F$61*I61/2,4),"——")</f>
        <v>——</v>
      </c>
      <c r="I61" s="3305">
        <v>0.25</v>
      </c>
      <c r="J61" s="3331">
        <f t="shared" ref="J61:J69" si="13">K61+$G61</f>
        <v>0</v>
      </c>
      <c r="K61" s="3331">
        <f t="shared" ref="K61:K69" si="14">$L61+$G61</f>
        <v>0</v>
      </c>
      <c r="L61" s="3331">
        <v>0</v>
      </c>
      <c r="M61" s="3331">
        <f t="shared" ref="M61:N69" si="15">L61-$G61</f>
        <v>0</v>
      </c>
      <c r="N61" s="3331">
        <f t="shared" si="15"/>
        <v>0</v>
      </c>
      <c r="P61" s="1798"/>
      <c r="Q61" s="1798"/>
      <c r="R61" s="1798"/>
      <c r="S61" s="1798"/>
      <c r="T61" s="1798"/>
      <c r="U61" s="1798"/>
      <c r="V61" s="1798"/>
      <c r="W61" s="1798"/>
      <c r="X61" s="1798"/>
      <c r="Y61" s="1798"/>
      <c r="Z61" s="1798"/>
      <c r="AA61" s="1798"/>
      <c r="AB61" s="1798"/>
      <c r="AC61" s="1798"/>
      <c r="AD61" s="1798"/>
    </row>
    <row r="62" spans="1:30" s="3312" customFormat="1" ht="36">
      <c r="A62" s="3317" t="s">
        <v>943</v>
      </c>
      <c r="B62" s="3318" t="str">
        <f>估价对象房地状况!C18</f>
        <v>估价对象周边道路状况、公共交通通达情况、停车便捷程度，综合评价交通便捷度较好</v>
      </c>
      <c r="C62" s="3325"/>
      <c r="D62" s="3326">
        <f t="shared" si="12"/>
        <v>0</v>
      </c>
      <c r="E62" s="3332"/>
      <c r="F62" s="3328"/>
      <c r="G62" s="3329"/>
      <c r="H62" s="3330" t="str">
        <f t="shared" ref="H62:H69" si="16">IFERROR(ROUNDDOWN($F$61*I62/2,4),"——")</f>
        <v>——</v>
      </c>
      <c r="I62" s="3305">
        <v>0.26</v>
      </c>
      <c r="J62" s="3331">
        <f t="shared" si="13"/>
        <v>0</v>
      </c>
      <c r="K62" s="3331">
        <f t="shared" si="14"/>
        <v>0</v>
      </c>
      <c r="L62" s="3331">
        <v>0</v>
      </c>
      <c r="M62" s="3331">
        <f t="shared" si="15"/>
        <v>0</v>
      </c>
      <c r="N62" s="3331">
        <f t="shared" si="15"/>
        <v>0</v>
      </c>
      <c r="P62" s="1798"/>
      <c r="Q62" s="1798"/>
      <c r="R62" s="1798"/>
      <c r="S62" s="1798"/>
      <c r="T62" s="1798"/>
      <c r="U62" s="1798"/>
      <c r="V62" s="1798"/>
      <c r="W62" s="1798"/>
      <c r="X62" s="1798"/>
      <c r="Y62" s="1798"/>
      <c r="Z62" s="1798"/>
      <c r="AA62" s="1798"/>
      <c r="AB62" s="1798"/>
      <c r="AC62" s="1798"/>
      <c r="AD62" s="1798"/>
    </row>
    <row r="63" spans="1:30" s="3312" customFormat="1" ht="36">
      <c r="A63" s="3300" t="s">
        <v>3221</v>
      </c>
      <c r="B63" s="3318">
        <f>估价对象房地状况!C19</f>
        <v>0</v>
      </c>
      <c r="C63" s="3325"/>
      <c r="D63" s="3326">
        <f t="shared" si="12"/>
        <v>0</v>
      </c>
      <c r="E63" s="3332"/>
      <c r="F63" s="3328"/>
      <c r="G63" s="3329"/>
      <c r="H63" s="3330" t="str">
        <f t="shared" si="16"/>
        <v>——</v>
      </c>
      <c r="I63" s="3305">
        <v>0.11</v>
      </c>
      <c r="J63" s="3331">
        <f t="shared" si="13"/>
        <v>0</v>
      </c>
      <c r="K63" s="3331">
        <f t="shared" si="14"/>
        <v>0</v>
      </c>
      <c r="L63" s="3331">
        <v>0</v>
      </c>
      <c r="M63" s="3331">
        <f t="shared" si="15"/>
        <v>0</v>
      </c>
      <c r="N63" s="3331">
        <f t="shared" si="15"/>
        <v>0</v>
      </c>
      <c r="P63" s="1798"/>
      <c r="Q63" s="1798"/>
      <c r="R63" s="1798"/>
      <c r="S63" s="1798"/>
      <c r="T63" s="1798"/>
      <c r="U63" s="1798"/>
      <c r="V63" s="1798"/>
      <c r="W63" s="1798"/>
      <c r="X63" s="1798"/>
      <c r="Y63" s="1798"/>
      <c r="Z63" s="1798"/>
      <c r="AA63" s="1798"/>
      <c r="AB63" s="1798"/>
      <c r="AC63" s="1798"/>
      <c r="AD63" s="1798"/>
    </row>
    <row r="64" spans="1:30" s="3312" customFormat="1" ht="36">
      <c r="A64" s="3317" t="s">
        <v>945</v>
      </c>
      <c r="B64" s="3333" t="s">
        <v>2201</v>
      </c>
      <c r="C64" s="3325"/>
      <c r="D64" s="3326">
        <f t="shared" si="12"/>
        <v>0</v>
      </c>
      <c r="E64" s="3332"/>
      <c r="F64" s="3328"/>
      <c r="G64" s="3329"/>
      <c r="H64" s="3330" t="str">
        <f t="shared" si="16"/>
        <v>——</v>
      </c>
      <c r="I64" s="3305">
        <v>0.05</v>
      </c>
      <c r="J64" s="3331">
        <f t="shared" si="13"/>
        <v>0</v>
      </c>
      <c r="K64" s="3331">
        <f t="shared" si="14"/>
        <v>0</v>
      </c>
      <c r="L64" s="3331">
        <v>0</v>
      </c>
      <c r="M64" s="3331">
        <f t="shared" si="15"/>
        <v>0</v>
      </c>
      <c r="N64" s="3331">
        <f t="shared" si="15"/>
        <v>0</v>
      </c>
      <c r="P64" s="1798"/>
      <c r="Q64" s="1798"/>
      <c r="R64" s="1798"/>
      <c r="S64" s="1798"/>
      <c r="T64" s="1798"/>
      <c r="U64" s="1798"/>
      <c r="V64" s="1798"/>
      <c r="W64" s="1798"/>
      <c r="X64" s="1798"/>
      <c r="Y64" s="1798"/>
      <c r="Z64" s="1798"/>
      <c r="AA64" s="1798"/>
      <c r="AB64" s="1798"/>
      <c r="AC64" s="1798"/>
      <c r="AD64" s="1798"/>
    </row>
    <row r="65" spans="1:36" s="3312" customFormat="1" ht="24">
      <c r="A65" s="3317" t="s">
        <v>946</v>
      </c>
      <c r="B65" s="3318">
        <f>估价对象房地状况!C24</f>
        <v>0</v>
      </c>
      <c r="C65" s="3325"/>
      <c r="D65" s="3326">
        <f t="shared" si="12"/>
        <v>0</v>
      </c>
      <c r="E65" s="3332"/>
      <c r="F65" s="3328"/>
      <c r="G65" s="3329"/>
      <c r="H65" s="3330" t="str">
        <f t="shared" si="16"/>
        <v>——</v>
      </c>
      <c r="I65" s="3305">
        <v>0.05</v>
      </c>
      <c r="J65" s="3331">
        <f t="shared" si="13"/>
        <v>0</v>
      </c>
      <c r="K65" s="3331">
        <f t="shared" si="14"/>
        <v>0</v>
      </c>
      <c r="L65" s="3331">
        <v>0</v>
      </c>
      <c r="M65" s="3331">
        <f t="shared" si="15"/>
        <v>0</v>
      </c>
      <c r="N65" s="3331">
        <f t="shared" si="15"/>
        <v>0</v>
      </c>
      <c r="P65" s="1798"/>
      <c r="Q65" s="1798"/>
      <c r="R65" s="1798"/>
      <c r="S65" s="1798"/>
      <c r="T65" s="1798"/>
      <c r="U65" s="1798"/>
      <c r="V65" s="1798"/>
      <c r="W65" s="1798"/>
      <c r="X65" s="1798"/>
      <c r="Y65" s="1798"/>
      <c r="Z65" s="1798"/>
      <c r="AA65" s="1798"/>
      <c r="AB65" s="1798"/>
      <c r="AC65" s="1798"/>
      <c r="AD65" s="1798"/>
    </row>
    <row r="66" spans="1:36" s="3312" customFormat="1" ht="24">
      <c r="A66" s="3317" t="s">
        <v>947</v>
      </c>
      <c r="B66" s="3334" t="s">
        <v>2199</v>
      </c>
      <c r="C66" s="3325"/>
      <c r="D66" s="3326">
        <f t="shared" si="12"/>
        <v>0</v>
      </c>
      <c r="E66" s="3332"/>
      <c r="F66" s="3328"/>
      <c r="G66" s="3329"/>
      <c r="H66" s="3330" t="str">
        <f t="shared" si="16"/>
        <v>——</v>
      </c>
      <c r="I66" s="3305">
        <v>0.06</v>
      </c>
      <c r="J66" s="3331">
        <f t="shared" si="13"/>
        <v>0</v>
      </c>
      <c r="K66" s="3331">
        <f t="shared" si="14"/>
        <v>0</v>
      </c>
      <c r="L66" s="3331">
        <v>0</v>
      </c>
      <c r="M66" s="3331">
        <f t="shared" si="15"/>
        <v>0</v>
      </c>
      <c r="N66" s="3331">
        <f t="shared" si="15"/>
        <v>0</v>
      </c>
      <c r="P66" s="1798"/>
      <c r="Q66" s="1798"/>
      <c r="R66" s="1798"/>
      <c r="S66" s="1798"/>
      <c r="T66" s="1798"/>
      <c r="U66" s="1798"/>
      <c r="V66" s="1798"/>
      <c r="W66" s="1798"/>
      <c r="X66" s="1798"/>
      <c r="Y66" s="1798"/>
      <c r="Z66" s="1798"/>
      <c r="AA66" s="1798"/>
      <c r="AB66" s="1798"/>
      <c r="AC66" s="1798"/>
      <c r="AD66" s="1798"/>
    </row>
    <row r="67" spans="1:36" s="3312" customFormat="1" ht="24">
      <c r="A67" s="3317" t="s">
        <v>948</v>
      </c>
      <c r="B67" s="3336" t="str">
        <f>估价对象房地状况!C21</f>
        <v>估价对象所在区域公共配套设施齐备情况</v>
      </c>
      <c r="C67" s="3325"/>
      <c r="D67" s="3326">
        <f t="shared" si="12"/>
        <v>0</v>
      </c>
      <c r="E67" s="3332"/>
      <c r="F67" s="3328"/>
      <c r="G67" s="3329"/>
      <c r="H67" s="3330" t="str">
        <f t="shared" si="16"/>
        <v>——</v>
      </c>
      <c r="I67" s="3305">
        <v>0.06</v>
      </c>
      <c r="J67" s="3331">
        <f t="shared" si="13"/>
        <v>0</v>
      </c>
      <c r="K67" s="3331">
        <f t="shared" si="14"/>
        <v>0</v>
      </c>
      <c r="L67" s="3331">
        <v>0</v>
      </c>
      <c r="M67" s="3331">
        <f t="shared" si="15"/>
        <v>0</v>
      </c>
      <c r="N67" s="3331">
        <f t="shared" si="15"/>
        <v>0</v>
      </c>
      <c r="P67" s="1798"/>
      <c r="Q67" s="1798"/>
      <c r="R67" s="1798"/>
      <c r="S67" s="1798"/>
      <c r="T67" s="1798"/>
      <c r="U67" s="1798"/>
      <c r="V67" s="1798"/>
      <c r="W67" s="1798"/>
      <c r="X67" s="1798"/>
      <c r="Y67" s="1798"/>
      <c r="Z67" s="1798"/>
      <c r="AA67" s="1798"/>
      <c r="AB67" s="1798"/>
      <c r="AC67" s="1798"/>
      <c r="AD67" s="1798"/>
    </row>
    <row r="68" spans="1:36" s="3312" customFormat="1" ht="24">
      <c r="A68" s="3317" t="s">
        <v>949</v>
      </c>
      <c r="B68" s="3336" t="str">
        <f>估价对象房地状况!C22</f>
        <v>估价对象所在区域基础设施水平</v>
      </c>
      <c r="C68" s="3325"/>
      <c r="D68" s="3326">
        <f t="shared" si="12"/>
        <v>0</v>
      </c>
      <c r="E68" s="3332"/>
      <c r="F68" s="3328"/>
      <c r="G68" s="3329"/>
      <c r="H68" s="3330" t="str">
        <f t="shared" si="16"/>
        <v>——</v>
      </c>
      <c r="I68" s="3305">
        <v>0.09</v>
      </c>
      <c r="J68" s="3331">
        <f t="shared" si="13"/>
        <v>0</v>
      </c>
      <c r="K68" s="3331">
        <f t="shared" si="14"/>
        <v>0</v>
      </c>
      <c r="L68" s="3331">
        <v>0</v>
      </c>
      <c r="M68" s="3331">
        <f t="shared" si="15"/>
        <v>0</v>
      </c>
      <c r="N68" s="3331">
        <f t="shared" si="15"/>
        <v>0</v>
      </c>
      <c r="P68" s="1798"/>
      <c r="Q68" s="1798"/>
      <c r="R68" s="1798"/>
      <c r="S68" s="1798"/>
      <c r="T68" s="1798"/>
      <c r="U68" s="1798"/>
      <c r="V68" s="1798"/>
      <c r="W68" s="1798"/>
      <c r="X68" s="1798"/>
      <c r="Y68" s="1798"/>
      <c r="Z68" s="1798"/>
      <c r="AA68" s="1798"/>
      <c r="AB68" s="1798"/>
      <c r="AC68" s="1798"/>
      <c r="AD68" s="1798"/>
    </row>
    <row r="69" spans="1:36" s="3312" customFormat="1" ht="24.75" thickBot="1">
      <c r="A69" s="3337" t="s">
        <v>950</v>
      </c>
      <c r="B69" s="3341" t="str">
        <f>估价对象房地状况!C20</f>
        <v>区域自然环境：；人文环境；综合评价环境状况一般</v>
      </c>
      <c r="C69" s="3325"/>
      <c r="D69" s="3326">
        <f t="shared" si="12"/>
        <v>0</v>
      </c>
      <c r="E69" s="3339"/>
      <c r="F69" s="3328"/>
      <c r="G69" s="3329"/>
      <c r="H69" s="3330" t="str">
        <f t="shared" si="16"/>
        <v>——</v>
      </c>
      <c r="I69" s="3307">
        <v>7.0000000000000007E-2</v>
      </c>
      <c r="J69" s="3331">
        <f t="shared" si="13"/>
        <v>0</v>
      </c>
      <c r="K69" s="3331">
        <f t="shared" si="14"/>
        <v>0</v>
      </c>
      <c r="L69" s="3331">
        <v>0</v>
      </c>
      <c r="M69" s="3331">
        <f t="shared" si="15"/>
        <v>0</v>
      </c>
      <c r="N69" s="3331">
        <f t="shared" si="15"/>
        <v>0</v>
      </c>
      <c r="P69" s="1798"/>
      <c r="Q69" s="1798"/>
      <c r="R69" s="1798"/>
      <c r="S69" s="1798"/>
      <c r="T69" s="1798"/>
      <c r="U69" s="1798"/>
      <c r="V69" s="1798"/>
      <c r="W69" s="1798"/>
      <c r="X69" s="1798"/>
      <c r="Y69" s="1798"/>
      <c r="Z69" s="1798"/>
      <c r="AA69" s="1798"/>
      <c r="AB69" s="1798"/>
      <c r="AC69" s="1798"/>
      <c r="AD69" s="1798"/>
    </row>
    <row r="70" spans="1:36" s="3312" customFormat="1" ht="15">
      <c r="A70" s="3313" t="s">
        <v>953</v>
      </c>
      <c r="B70" s="3375">
        <f>1+E72</f>
        <v>1</v>
      </c>
      <c r="C70" s="3340"/>
      <c r="D70" s="3315"/>
      <c r="E70" s="3316"/>
      <c r="F70" s="3308"/>
      <c r="G70" s="3311"/>
      <c r="H70" s="3311"/>
      <c r="I70" s="3311"/>
      <c r="J70" s="3167"/>
      <c r="K70" s="3167"/>
      <c r="L70" s="3167"/>
      <c r="M70" s="3167"/>
      <c r="N70" s="3167"/>
      <c r="P70" s="1798"/>
      <c r="Q70" s="1798"/>
      <c r="R70" s="1798"/>
      <c r="S70" s="1798"/>
      <c r="T70" s="1798"/>
      <c r="U70" s="1798"/>
      <c r="V70" s="1798"/>
      <c r="W70" s="1798"/>
      <c r="X70" s="1798"/>
      <c r="Y70" s="1798"/>
      <c r="Z70" s="1798"/>
      <c r="AA70" s="1798"/>
      <c r="AB70" s="1798"/>
      <c r="AC70" s="1798"/>
      <c r="AD70" s="1798"/>
    </row>
    <row r="71" spans="1:36" s="3312" customFormat="1" ht="24">
      <c r="A71" s="3317" t="s">
        <v>930</v>
      </c>
      <c r="B71" s="3318"/>
      <c r="C71" s="3319" t="s">
        <v>932</v>
      </c>
      <c r="D71" s="3320" t="s">
        <v>933</v>
      </c>
      <c r="E71" s="3321" t="s">
        <v>935</v>
      </c>
      <c r="F71" s="3195" t="s">
        <v>1611</v>
      </c>
      <c r="G71" s="3320" t="s">
        <v>936</v>
      </c>
      <c r="H71" s="3322" t="s">
        <v>1772</v>
      </c>
      <c r="I71" s="3320" t="s">
        <v>934</v>
      </c>
      <c r="J71" s="3323" t="s">
        <v>937</v>
      </c>
      <c r="K71" s="3323" t="s">
        <v>938</v>
      </c>
      <c r="L71" s="3323" t="s">
        <v>939</v>
      </c>
      <c r="M71" s="3323" t="s">
        <v>940</v>
      </c>
      <c r="N71" s="3323" t="s">
        <v>941</v>
      </c>
      <c r="P71" s="1798"/>
      <c r="Q71" s="1798"/>
      <c r="R71" s="1798"/>
      <c r="S71" s="1798"/>
      <c r="T71" s="1798"/>
      <c r="U71" s="1798"/>
      <c r="V71" s="1798"/>
      <c r="W71" s="1798"/>
      <c r="X71" s="1798"/>
      <c r="Y71" s="1798"/>
      <c r="Z71" s="1798"/>
      <c r="AA71" s="1798"/>
      <c r="AB71" s="1798"/>
      <c r="AC71" s="1798"/>
      <c r="AD71" s="1798"/>
    </row>
    <row r="72" spans="1:36" s="3312" customFormat="1" ht="48">
      <c r="A72" s="3317" t="s">
        <v>954</v>
      </c>
      <c r="B72" s="3318" t="str">
        <f>估价对象房地状况!C15</f>
        <v>估价对象周边居住用地比例、居住小区规模和社区发展完善程度，综合评价居住社区成熟度一般</v>
      </c>
      <c r="C72" s="3342"/>
      <c r="D72" s="3326">
        <f t="shared" ref="D72:D80" si="17">SUMIF($J$71:$N$71,C72,J72:N72)</f>
        <v>0</v>
      </c>
      <c r="E72" s="3327">
        <f>ROUND(SUM(D72:D80),4)</f>
        <v>0</v>
      </c>
      <c r="F72" s="3328" t="str">
        <f>IF(E2="住宅",SUMIF(L1:L12,G2,N1:N12),"——")</f>
        <v>——</v>
      </c>
      <c r="G72" s="3343"/>
      <c r="H72" s="3344" t="str">
        <f t="shared" ref="H72:H80" si="18">IFERROR(ROUNDDOWN($F$72*I72/2,4),"——")</f>
        <v>——</v>
      </c>
      <c r="I72" s="3305">
        <v>0.2</v>
      </c>
      <c r="J72" s="3331">
        <f t="shared" ref="J72:J80" si="19">K72+$G72</f>
        <v>0</v>
      </c>
      <c r="K72" s="3331">
        <f t="shared" ref="K72:K80" si="20">$L72+$G72</f>
        <v>0</v>
      </c>
      <c r="L72" s="3331">
        <v>0</v>
      </c>
      <c r="M72" s="3331">
        <f t="shared" ref="M72:N80" si="21">L72-$G72</f>
        <v>0</v>
      </c>
      <c r="N72" s="3331">
        <f t="shared" si="21"/>
        <v>0</v>
      </c>
      <c r="P72" s="1798"/>
      <c r="Q72" s="1798"/>
      <c r="R72" s="1798"/>
      <c r="S72" s="1798"/>
      <c r="T72" s="1798"/>
      <c r="U72" s="1798"/>
      <c r="V72" s="1798"/>
      <c r="W72" s="1798"/>
      <c r="X72" s="1798"/>
      <c r="Y72" s="1798"/>
      <c r="Z72" s="1798"/>
      <c r="AA72" s="1798"/>
      <c r="AB72" s="1798"/>
      <c r="AC72" s="1798"/>
      <c r="AD72" s="1798"/>
    </row>
    <row r="73" spans="1:36" s="3312" customFormat="1" ht="36">
      <c r="A73" s="3317" t="s">
        <v>955</v>
      </c>
      <c r="B73" s="3318" t="str">
        <f>估价对象房地状况!C18</f>
        <v>估价对象周边道路状况、公共交通通达情况、停车便捷程度，综合评价交通便捷度较好</v>
      </c>
      <c r="C73" s="3342"/>
      <c r="D73" s="3326">
        <f t="shared" si="17"/>
        <v>0</v>
      </c>
      <c r="E73" s="3332"/>
      <c r="F73" s="3328"/>
      <c r="G73" s="3343"/>
      <c r="H73" s="3344" t="str">
        <f t="shared" si="18"/>
        <v>——</v>
      </c>
      <c r="I73" s="3305">
        <v>0.26</v>
      </c>
      <c r="J73" s="3331">
        <f t="shared" si="19"/>
        <v>0</v>
      </c>
      <c r="K73" s="3331">
        <f t="shared" si="20"/>
        <v>0</v>
      </c>
      <c r="L73" s="3331">
        <v>0</v>
      </c>
      <c r="M73" s="3331">
        <f t="shared" si="21"/>
        <v>0</v>
      </c>
      <c r="N73" s="3331">
        <f t="shared" si="21"/>
        <v>0</v>
      </c>
      <c r="P73" s="1798"/>
      <c r="Q73" s="1798"/>
      <c r="R73" s="1798"/>
      <c r="S73" s="1798"/>
      <c r="T73" s="1798"/>
      <c r="U73" s="1798"/>
      <c r="V73" s="1798"/>
      <c r="W73" s="1798"/>
      <c r="X73" s="1798"/>
      <c r="Y73" s="1798"/>
      <c r="Z73" s="1798"/>
      <c r="AA73" s="1798"/>
      <c r="AB73" s="1798"/>
      <c r="AC73" s="1798"/>
      <c r="AD73" s="1798"/>
    </row>
    <row r="74" spans="1:36" s="3312" customFormat="1" ht="36">
      <c r="A74" s="3300" t="s">
        <v>3221</v>
      </c>
      <c r="B74" s="3318">
        <f>估价对象房地状况!C19</f>
        <v>0</v>
      </c>
      <c r="C74" s="3342"/>
      <c r="D74" s="3326">
        <f t="shared" si="17"/>
        <v>0</v>
      </c>
      <c r="E74" s="3332"/>
      <c r="F74" s="3328"/>
      <c r="G74" s="3343"/>
      <c r="H74" s="3344" t="str">
        <f t="shared" si="18"/>
        <v>——</v>
      </c>
      <c r="I74" s="3305">
        <v>0.1</v>
      </c>
      <c r="J74" s="3331">
        <f t="shared" si="19"/>
        <v>0</v>
      </c>
      <c r="K74" s="3331">
        <f t="shared" si="20"/>
        <v>0</v>
      </c>
      <c r="L74" s="3331">
        <v>0</v>
      </c>
      <c r="M74" s="3331">
        <f t="shared" si="21"/>
        <v>0</v>
      </c>
      <c r="N74" s="3331">
        <f t="shared" si="21"/>
        <v>0</v>
      </c>
      <c r="P74" s="1798"/>
      <c r="Q74" s="1798"/>
      <c r="R74" s="1798"/>
      <c r="S74" s="1798"/>
      <c r="T74" s="1798"/>
      <c r="U74" s="1798"/>
      <c r="V74" s="1798"/>
      <c r="W74" s="1798"/>
      <c r="X74" s="1798"/>
      <c r="Y74" s="1798"/>
      <c r="Z74" s="1798"/>
      <c r="AA74" s="1798"/>
      <c r="AB74" s="1798"/>
      <c r="AC74" s="1798"/>
      <c r="AD74" s="1798"/>
    </row>
    <row r="75" spans="1:36" s="1274" customFormat="1" ht="14.25">
      <c r="A75" s="3317" t="s">
        <v>956</v>
      </c>
      <c r="B75" s="3318">
        <f>估价对象房地状况!C24</f>
        <v>0</v>
      </c>
      <c r="C75" s="3342"/>
      <c r="D75" s="3326">
        <f t="shared" si="17"/>
        <v>0</v>
      </c>
      <c r="E75" s="3332"/>
      <c r="F75" s="3328"/>
      <c r="G75" s="3343"/>
      <c r="H75" s="3344" t="str">
        <f t="shared" si="18"/>
        <v>——</v>
      </c>
      <c r="I75" s="3305">
        <v>0.05</v>
      </c>
      <c r="J75" s="3331">
        <f t="shared" si="19"/>
        <v>0</v>
      </c>
      <c r="K75" s="3331">
        <f t="shared" si="20"/>
        <v>0</v>
      </c>
      <c r="L75" s="3331">
        <v>0</v>
      </c>
      <c r="M75" s="3331">
        <f t="shared" si="21"/>
        <v>0</v>
      </c>
      <c r="N75" s="3331">
        <f t="shared" si="21"/>
        <v>0</v>
      </c>
      <c r="O75" s="3312"/>
      <c r="P75" s="1798"/>
      <c r="Q75" s="1798"/>
      <c r="R75" s="3345"/>
      <c r="S75" s="3345"/>
      <c r="T75" s="3345"/>
      <c r="U75" s="3345"/>
      <c r="V75" s="3345"/>
      <c r="W75" s="3345"/>
      <c r="X75" s="3345"/>
      <c r="Y75" s="3345"/>
      <c r="Z75" s="3345"/>
      <c r="AA75" s="3345"/>
      <c r="AB75" s="3345"/>
      <c r="AC75" s="3345"/>
      <c r="AD75" s="3345"/>
      <c r="AE75" s="3312"/>
      <c r="AF75" s="3312"/>
      <c r="AG75" s="3312"/>
      <c r="AH75" s="3312"/>
      <c r="AI75" s="3312"/>
      <c r="AJ75" s="3312"/>
    </row>
    <row r="76" spans="1:36" s="1274" customFormat="1" ht="24">
      <c r="A76" s="3317" t="s">
        <v>948</v>
      </c>
      <c r="B76" s="3336" t="str">
        <f>估价对象房地状况!C21</f>
        <v>估价对象所在区域公共配套设施齐备情况</v>
      </c>
      <c r="C76" s="3342"/>
      <c r="D76" s="3326">
        <f t="shared" si="17"/>
        <v>0</v>
      </c>
      <c r="E76" s="3332"/>
      <c r="F76" s="3328"/>
      <c r="G76" s="3343"/>
      <c r="H76" s="3344" t="str">
        <f t="shared" si="18"/>
        <v>——</v>
      </c>
      <c r="I76" s="3305">
        <v>0.08</v>
      </c>
      <c r="J76" s="3331">
        <f t="shared" si="19"/>
        <v>0</v>
      </c>
      <c r="K76" s="3331">
        <f t="shared" si="20"/>
        <v>0</v>
      </c>
      <c r="L76" s="3331">
        <v>0</v>
      </c>
      <c r="M76" s="3331">
        <f t="shared" si="21"/>
        <v>0</v>
      </c>
      <c r="N76" s="3331">
        <f t="shared" si="21"/>
        <v>0</v>
      </c>
      <c r="O76" s="3312"/>
      <c r="P76" s="1798"/>
      <c r="Q76" s="1798"/>
      <c r="AE76" s="3312"/>
      <c r="AF76" s="3312"/>
      <c r="AG76" s="3312"/>
      <c r="AH76" s="3312"/>
      <c r="AI76" s="3312"/>
      <c r="AJ76" s="3312"/>
    </row>
    <row r="77" spans="1:36" s="1274" customFormat="1" ht="24">
      <c r="A77" s="3317" t="s">
        <v>949</v>
      </c>
      <c r="B77" s="3336" t="str">
        <f>估价对象房地状况!C22</f>
        <v>估价对象所在区域基础设施水平</v>
      </c>
      <c r="C77" s="3342"/>
      <c r="D77" s="3326">
        <f t="shared" si="17"/>
        <v>0</v>
      </c>
      <c r="E77" s="3332"/>
      <c r="F77" s="3328"/>
      <c r="G77" s="3343"/>
      <c r="H77" s="3344" t="str">
        <f t="shared" si="18"/>
        <v>——</v>
      </c>
      <c r="I77" s="3305">
        <v>0.09</v>
      </c>
      <c r="J77" s="3331">
        <f t="shared" si="19"/>
        <v>0</v>
      </c>
      <c r="K77" s="3331">
        <f t="shared" si="20"/>
        <v>0</v>
      </c>
      <c r="L77" s="3331">
        <v>0</v>
      </c>
      <c r="M77" s="3331">
        <f t="shared" si="21"/>
        <v>0</v>
      </c>
      <c r="N77" s="3331">
        <f t="shared" si="21"/>
        <v>0</v>
      </c>
      <c r="O77" s="3312"/>
      <c r="P77" s="1798"/>
      <c r="Q77" s="1798"/>
      <c r="AE77" s="3312"/>
      <c r="AF77" s="3312"/>
      <c r="AG77" s="3312"/>
      <c r="AH77" s="3312"/>
      <c r="AI77" s="3312"/>
      <c r="AJ77" s="3312"/>
    </row>
    <row r="78" spans="1:36" s="1274" customFormat="1" ht="24">
      <c r="A78" s="3317" t="s">
        <v>947</v>
      </c>
      <c r="B78" s="3334" t="s">
        <v>2199</v>
      </c>
      <c r="C78" s="3342"/>
      <c r="D78" s="3326">
        <f t="shared" si="17"/>
        <v>0</v>
      </c>
      <c r="E78" s="3332"/>
      <c r="F78" s="3328"/>
      <c r="G78" s="3343"/>
      <c r="H78" s="3344" t="str">
        <f t="shared" si="18"/>
        <v>——</v>
      </c>
      <c r="I78" s="3305">
        <v>0.05</v>
      </c>
      <c r="J78" s="3331">
        <f t="shared" si="19"/>
        <v>0</v>
      </c>
      <c r="K78" s="3331">
        <f t="shared" si="20"/>
        <v>0</v>
      </c>
      <c r="L78" s="3331">
        <v>0</v>
      </c>
      <c r="M78" s="3331">
        <f t="shared" si="21"/>
        <v>0</v>
      </c>
      <c r="N78" s="3331">
        <f t="shared" si="21"/>
        <v>0</v>
      </c>
      <c r="O78" s="3312"/>
      <c r="P78" s="1798"/>
      <c r="Q78" s="1798"/>
      <c r="AE78" s="3312"/>
      <c r="AF78" s="3312"/>
      <c r="AG78" s="3312"/>
      <c r="AH78" s="3312"/>
      <c r="AI78" s="3312"/>
      <c r="AJ78" s="3312"/>
    </row>
    <row r="79" spans="1:36" s="1274" customFormat="1" ht="24">
      <c r="A79" s="3317" t="s">
        <v>950</v>
      </c>
      <c r="B79" s="3324" t="str">
        <f>估价对象房地状况!C20</f>
        <v>区域自然环境：；人文环境；综合评价环境状况一般</v>
      </c>
      <c r="C79" s="3342"/>
      <c r="D79" s="3326">
        <f t="shared" si="17"/>
        <v>0</v>
      </c>
      <c r="E79" s="3332"/>
      <c r="F79" s="3328"/>
      <c r="G79" s="3343"/>
      <c r="H79" s="3344" t="str">
        <f t="shared" si="18"/>
        <v>——</v>
      </c>
      <c r="I79" s="3305">
        <v>0.12</v>
      </c>
      <c r="J79" s="3331">
        <f t="shared" si="19"/>
        <v>0</v>
      </c>
      <c r="K79" s="3331">
        <f t="shared" si="20"/>
        <v>0</v>
      </c>
      <c r="L79" s="3331">
        <v>0</v>
      </c>
      <c r="M79" s="3331">
        <f t="shared" si="21"/>
        <v>0</v>
      </c>
      <c r="N79" s="3331">
        <f t="shared" si="21"/>
        <v>0</v>
      </c>
      <c r="P79" s="3345"/>
      <c r="Q79" s="3345"/>
      <c r="AE79" s="3312"/>
      <c r="AF79" s="3312"/>
      <c r="AG79" s="3312"/>
      <c r="AH79" s="3312"/>
      <c r="AI79" s="3312"/>
      <c r="AJ79" s="3312"/>
    </row>
    <row r="80" spans="1:36" s="1274" customFormat="1" ht="24.75" thickBot="1">
      <c r="A80" s="3337" t="s">
        <v>957</v>
      </c>
      <c r="B80" s="3346"/>
      <c r="C80" s="3342"/>
      <c r="D80" s="3326">
        <f t="shared" si="17"/>
        <v>0</v>
      </c>
      <c r="E80" s="3339"/>
      <c r="F80" s="3328"/>
      <c r="G80" s="3343"/>
      <c r="H80" s="3344" t="str">
        <f t="shared" si="18"/>
        <v>——</v>
      </c>
      <c r="I80" s="3307">
        <v>0.05</v>
      </c>
      <c r="J80" s="3331">
        <f t="shared" si="19"/>
        <v>0</v>
      </c>
      <c r="K80" s="3331">
        <f t="shared" si="20"/>
        <v>0</v>
      </c>
      <c r="L80" s="3331">
        <v>0</v>
      </c>
      <c r="M80" s="3331">
        <f t="shared" si="21"/>
        <v>0</v>
      </c>
      <c r="N80" s="3331">
        <f t="shared" si="21"/>
        <v>0</v>
      </c>
      <c r="AE80" s="3312"/>
      <c r="AF80" s="3312"/>
      <c r="AG80" s="3312"/>
      <c r="AH80" s="3312"/>
      <c r="AI80" s="3312"/>
      <c r="AJ80" s="3312"/>
    </row>
    <row r="81" spans="1:36" s="1274" customFormat="1" ht="15">
      <c r="A81" s="3313" t="s">
        <v>958</v>
      </c>
      <c r="B81" s="3375">
        <f>1+E83</f>
        <v>1.0189999999999999</v>
      </c>
      <c r="C81" s="3340"/>
      <c r="D81" s="3315"/>
      <c r="E81" s="3316"/>
      <c r="F81" s="3308"/>
      <c r="G81" s="3311"/>
      <c r="H81" s="3311"/>
      <c r="I81" s="3311"/>
      <c r="J81" s="3167"/>
      <c r="K81" s="3167"/>
      <c r="L81" s="3167"/>
      <c r="M81" s="3167"/>
      <c r="N81" s="3167"/>
      <c r="AE81" s="3312"/>
      <c r="AF81" s="3312"/>
      <c r="AG81" s="3312"/>
      <c r="AH81" s="3312"/>
      <c r="AI81" s="3312"/>
      <c r="AJ81" s="3312"/>
    </row>
    <row r="82" spans="1:36" s="1274" customFormat="1" ht="24">
      <c r="A82" s="3317" t="s">
        <v>930</v>
      </c>
      <c r="B82" s="3318"/>
      <c r="C82" s="3319" t="s">
        <v>932</v>
      </c>
      <c r="D82" s="3320" t="s">
        <v>933</v>
      </c>
      <c r="E82" s="3321" t="s">
        <v>935</v>
      </c>
      <c r="F82" s="3195" t="s">
        <v>1612</v>
      </c>
      <c r="G82" s="3320" t="s">
        <v>936</v>
      </c>
      <c r="H82" s="3322" t="s">
        <v>1772</v>
      </c>
      <c r="I82" s="3320" t="s">
        <v>934</v>
      </c>
      <c r="J82" s="3323" t="s">
        <v>937</v>
      </c>
      <c r="K82" s="3323" t="s">
        <v>938</v>
      </c>
      <c r="L82" s="3323" t="s">
        <v>939</v>
      </c>
      <c r="M82" s="3323" t="s">
        <v>940</v>
      </c>
      <c r="N82" s="3323" t="s">
        <v>941</v>
      </c>
      <c r="AE82" s="3312"/>
      <c r="AF82" s="3312"/>
      <c r="AG82" s="3312"/>
      <c r="AH82" s="3312"/>
      <c r="AI82" s="3312"/>
      <c r="AJ82" s="3312"/>
    </row>
    <row r="83" spans="1:36" s="1274" customFormat="1" ht="24">
      <c r="A83" s="3317" t="s">
        <v>959</v>
      </c>
      <c r="B83" s="3318" t="str">
        <f>估价对象房地状况!G15</f>
        <v>估价对象位于XX开发区，园区建设成熟度XX，产业集聚程度XX</v>
      </c>
      <c r="C83" s="3325" t="s">
        <v>3279</v>
      </c>
      <c r="D83" s="3326">
        <f t="shared" ref="D83:D90" si="22">SUMIF($J$82:$N$82,C83,J83:N83)</f>
        <v>6.4999999999999997E-3</v>
      </c>
      <c r="E83" s="3327">
        <f>ROUND(SUM(D83:D90),4)</f>
        <v>1.9E-2</v>
      </c>
      <c r="F83" s="3328">
        <f>IF(E2="工业",SUMIF(L1:L12,G2,N1:N12),"——")</f>
        <v>0.05</v>
      </c>
      <c r="G83" s="3329">
        <v>6.4999999999999997E-3</v>
      </c>
      <c r="H83" s="3330">
        <f t="shared" ref="H83:H90" si="23">IFERROR(ROUNDDOWN($F$83*I83/2,4),"——")</f>
        <v>6.4999999999999997E-3</v>
      </c>
      <c r="I83" s="3305">
        <v>0.26</v>
      </c>
      <c r="J83" s="3331">
        <f t="shared" ref="J83:J90" si="24">K83+$G83</f>
        <v>1.2999999999999999E-2</v>
      </c>
      <c r="K83" s="3331">
        <f t="shared" ref="K83:K90" si="25">$L83+$G83</f>
        <v>6.4999999999999997E-3</v>
      </c>
      <c r="L83" s="3331">
        <v>0</v>
      </c>
      <c r="M83" s="3331">
        <f t="shared" ref="M83:N90" si="26">L83-$G83</f>
        <v>-6.4999999999999997E-3</v>
      </c>
      <c r="N83" s="3331">
        <f t="shared" si="26"/>
        <v>-1.2999999999999999E-2</v>
      </c>
      <c r="AE83" s="3312"/>
      <c r="AF83" s="3312"/>
      <c r="AG83" s="3312"/>
      <c r="AH83" s="3312"/>
      <c r="AI83" s="3312"/>
      <c r="AJ83" s="3312"/>
    </row>
    <row r="84" spans="1:36" s="1274" customFormat="1" ht="36">
      <c r="A84" s="3317" t="s">
        <v>955</v>
      </c>
      <c r="B84" s="3318" t="str">
        <f>估价对象房地状况!G16</f>
        <v>估价对象周边道路状况、公共交通通达情况、停车便捷程度，综合评价交通便捷度较好</v>
      </c>
      <c r="C84" s="3325" t="s">
        <v>3277</v>
      </c>
      <c r="D84" s="3326">
        <f t="shared" si="22"/>
        <v>0</v>
      </c>
      <c r="E84" s="3332"/>
      <c r="F84" s="3328"/>
      <c r="G84" s="3329">
        <v>7.4999999999999997E-3</v>
      </c>
      <c r="H84" s="3330">
        <f t="shared" si="23"/>
        <v>7.4999999999999997E-3</v>
      </c>
      <c r="I84" s="3305">
        <v>0.3</v>
      </c>
      <c r="J84" s="3331">
        <f t="shared" si="24"/>
        <v>1.4999999999999999E-2</v>
      </c>
      <c r="K84" s="3331">
        <f t="shared" si="25"/>
        <v>7.4999999999999997E-3</v>
      </c>
      <c r="L84" s="3331">
        <v>0</v>
      </c>
      <c r="M84" s="3331">
        <f t="shared" si="26"/>
        <v>-7.4999999999999997E-3</v>
      </c>
      <c r="N84" s="3331">
        <f t="shared" si="26"/>
        <v>-1.4999999999999999E-2</v>
      </c>
      <c r="AE84" s="3312"/>
      <c r="AF84" s="3312"/>
      <c r="AG84" s="3312"/>
      <c r="AH84" s="3312"/>
      <c r="AI84" s="3312"/>
      <c r="AJ84" s="3312"/>
    </row>
    <row r="85" spans="1:36" s="1274" customFormat="1" ht="24">
      <c r="A85" s="3317" t="s">
        <v>944</v>
      </c>
      <c r="B85" s="3318">
        <f>估价对象房地状况!G17</f>
        <v>0</v>
      </c>
      <c r="C85" s="3325" t="s">
        <v>3276</v>
      </c>
      <c r="D85" s="3326">
        <f t="shared" si="22"/>
        <v>5.0000000000000001E-3</v>
      </c>
      <c r="E85" s="3332"/>
      <c r="F85" s="3328"/>
      <c r="G85" s="3329">
        <v>2.5000000000000001E-3</v>
      </c>
      <c r="H85" s="3330">
        <f t="shared" si="23"/>
        <v>2.5000000000000001E-3</v>
      </c>
      <c r="I85" s="3305">
        <v>0.1</v>
      </c>
      <c r="J85" s="3331">
        <f t="shared" si="24"/>
        <v>5.0000000000000001E-3</v>
      </c>
      <c r="K85" s="3331">
        <f t="shared" si="25"/>
        <v>2.5000000000000001E-3</v>
      </c>
      <c r="L85" s="3331">
        <v>0</v>
      </c>
      <c r="M85" s="3331">
        <f t="shared" si="26"/>
        <v>-2.5000000000000001E-3</v>
      </c>
      <c r="N85" s="3331">
        <f t="shared" si="26"/>
        <v>-5.0000000000000001E-3</v>
      </c>
      <c r="AE85" s="3312"/>
      <c r="AF85" s="3312"/>
      <c r="AG85" s="3312"/>
      <c r="AH85" s="3312"/>
      <c r="AI85" s="3312"/>
      <c r="AJ85" s="3312"/>
    </row>
    <row r="86" spans="1:36" s="1274" customFormat="1" ht="14.25">
      <c r="A86" s="3317" t="s">
        <v>956</v>
      </c>
      <c r="B86" s="3318">
        <f>估价对象房地状况!G22</f>
        <v>0</v>
      </c>
      <c r="C86" s="3325" t="s">
        <v>3278</v>
      </c>
      <c r="D86" s="3326">
        <f t="shared" si="22"/>
        <v>-1.1999999999999999E-3</v>
      </c>
      <c r="E86" s="3332"/>
      <c r="F86" s="3328"/>
      <c r="G86" s="3329">
        <v>1.1999999999999999E-3</v>
      </c>
      <c r="H86" s="3330">
        <f t="shared" si="23"/>
        <v>1.1999999999999999E-3</v>
      </c>
      <c r="I86" s="3305">
        <v>0.05</v>
      </c>
      <c r="J86" s="3331">
        <f t="shared" si="24"/>
        <v>2.3999999999999998E-3</v>
      </c>
      <c r="K86" s="3331">
        <f t="shared" si="25"/>
        <v>1.1999999999999999E-3</v>
      </c>
      <c r="L86" s="3331">
        <v>0</v>
      </c>
      <c r="M86" s="3331">
        <f t="shared" si="26"/>
        <v>-1.1999999999999999E-3</v>
      </c>
      <c r="N86" s="3331">
        <f t="shared" si="26"/>
        <v>-2.3999999999999998E-3</v>
      </c>
      <c r="AE86" s="3312"/>
      <c r="AF86" s="3312"/>
      <c r="AG86" s="3312"/>
      <c r="AH86" s="3312"/>
      <c r="AI86" s="3312"/>
      <c r="AJ86" s="3312"/>
    </row>
    <row r="87" spans="1:36" s="1274" customFormat="1" ht="24">
      <c r="A87" s="3317" t="s">
        <v>948</v>
      </c>
      <c r="B87" s="3336" t="str">
        <f>估价对象房地状况!G19</f>
        <v>估价对象所在区域公共配套设施齐备情况</v>
      </c>
      <c r="C87" s="3325" t="s">
        <v>3277</v>
      </c>
      <c r="D87" s="3326">
        <f t="shared" si="22"/>
        <v>0</v>
      </c>
      <c r="E87" s="3332"/>
      <c r="F87" s="3328"/>
      <c r="G87" s="3329">
        <v>1.5E-3</v>
      </c>
      <c r="H87" s="3330">
        <f t="shared" si="23"/>
        <v>1.5E-3</v>
      </c>
      <c r="I87" s="3305">
        <v>0.06</v>
      </c>
      <c r="J87" s="3331">
        <f t="shared" si="24"/>
        <v>3.0000000000000001E-3</v>
      </c>
      <c r="K87" s="3331">
        <f t="shared" si="25"/>
        <v>1.5E-3</v>
      </c>
      <c r="L87" s="3331">
        <v>0</v>
      </c>
      <c r="M87" s="3331">
        <f t="shared" si="26"/>
        <v>-1.5E-3</v>
      </c>
      <c r="N87" s="3331">
        <f t="shared" si="26"/>
        <v>-3.0000000000000001E-3</v>
      </c>
      <c r="AE87" s="3312"/>
      <c r="AF87" s="3312"/>
      <c r="AG87" s="3312"/>
      <c r="AH87" s="3312"/>
      <c r="AI87" s="3312"/>
      <c r="AJ87" s="3312"/>
    </row>
    <row r="88" spans="1:36" s="1274" customFormat="1" ht="24">
      <c r="A88" s="3317" t="s">
        <v>949</v>
      </c>
      <c r="B88" s="3336" t="str">
        <f>估价对象房地状况!G20</f>
        <v>估价对象所在区域基础设施水平</v>
      </c>
      <c r="C88" s="3325" t="s">
        <v>3276</v>
      </c>
      <c r="D88" s="3326">
        <f t="shared" si="22"/>
        <v>6.0000000000000001E-3</v>
      </c>
      <c r="E88" s="3332"/>
      <c r="F88" s="3328"/>
      <c r="G88" s="3329">
        <v>3.0000000000000001E-3</v>
      </c>
      <c r="H88" s="3330">
        <f t="shared" si="23"/>
        <v>3.0000000000000001E-3</v>
      </c>
      <c r="I88" s="3305">
        <v>0.12</v>
      </c>
      <c r="J88" s="3331">
        <f t="shared" si="24"/>
        <v>6.0000000000000001E-3</v>
      </c>
      <c r="K88" s="3331">
        <f t="shared" si="25"/>
        <v>3.0000000000000001E-3</v>
      </c>
      <c r="L88" s="3331">
        <v>0</v>
      </c>
      <c r="M88" s="3331">
        <f t="shared" si="26"/>
        <v>-3.0000000000000001E-3</v>
      </c>
      <c r="N88" s="3331">
        <f t="shared" si="26"/>
        <v>-6.0000000000000001E-3</v>
      </c>
      <c r="AE88" s="3312"/>
      <c r="AF88" s="3312"/>
      <c r="AG88" s="3312"/>
      <c r="AH88" s="3312"/>
      <c r="AI88" s="3312"/>
      <c r="AJ88" s="3312"/>
    </row>
    <row r="89" spans="1:36" s="1274" customFormat="1" ht="24">
      <c r="A89" s="3317" t="s">
        <v>947</v>
      </c>
      <c r="B89" s="3334" t="s">
        <v>2199</v>
      </c>
      <c r="C89" s="3325" t="s">
        <v>3279</v>
      </c>
      <c r="D89" s="3326">
        <f t="shared" si="22"/>
        <v>1.5E-3</v>
      </c>
      <c r="E89" s="3332"/>
      <c r="F89" s="3328"/>
      <c r="G89" s="3329">
        <v>1.5E-3</v>
      </c>
      <c r="H89" s="3330">
        <f t="shared" si="23"/>
        <v>1.5E-3</v>
      </c>
      <c r="I89" s="3305">
        <v>0.06</v>
      </c>
      <c r="J89" s="3331">
        <f t="shared" si="24"/>
        <v>3.0000000000000001E-3</v>
      </c>
      <c r="K89" s="3331">
        <f t="shared" si="25"/>
        <v>1.5E-3</v>
      </c>
      <c r="L89" s="3331">
        <v>0</v>
      </c>
      <c r="M89" s="3331">
        <f t="shared" si="26"/>
        <v>-1.5E-3</v>
      </c>
      <c r="N89" s="3331">
        <f t="shared" si="26"/>
        <v>-3.0000000000000001E-3</v>
      </c>
      <c r="AE89" s="3312"/>
      <c r="AF89" s="3312"/>
      <c r="AG89" s="3312"/>
      <c r="AH89" s="3312"/>
      <c r="AI89" s="3312"/>
      <c r="AJ89" s="3312"/>
    </row>
    <row r="90" spans="1:36" s="1274" customFormat="1" ht="36.75" thickBot="1">
      <c r="A90" s="3337" t="s">
        <v>960</v>
      </c>
      <c r="B90" s="3347" t="str">
        <f>估价对象房地状况!G18</f>
        <v>该园区内是否有污染型企业，绿化情况，卫生条件，整体环境状况判断</v>
      </c>
      <c r="C90" s="3325" t="s">
        <v>3279</v>
      </c>
      <c r="D90" s="3326">
        <f t="shared" si="22"/>
        <v>1.1999999999999999E-3</v>
      </c>
      <c r="E90" s="3339"/>
      <c r="F90" s="3328"/>
      <c r="G90" s="3329">
        <v>1.1999999999999999E-3</v>
      </c>
      <c r="H90" s="3330">
        <f t="shared" si="23"/>
        <v>1.1999999999999999E-3</v>
      </c>
      <c r="I90" s="3307">
        <v>0.05</v>
      </c>
      <c r="J90" s="3331">
        <f t="shared" si="24"/>
        <v>2.3999999999999998E-3</v>
      </c>
      <c r="K90" s="3331">
        <f t="shared" si="25"/>
        <v>1.1999999999999999E-3</v>
      </c>
      <c r="L90" s="3331">
        <v>0</v>
      </c>
      <c r="M90" s="3331">
        <f t="shared" si="26"/>
        <v>-1.1999999999999999E-3</v>
      </c>
      <c r="N90" s="3331">
        <f t="shared" si="26"/>
        <v>-2.3999999999999998E-3</v>
      </c>
      <c r="AE90" s="3312"/>
      <c r="AF90" s="3312"/>
      <c r="AG90" s="3312"/>
      <c r="AH90" s="3312"/>
      <c r="AI90" s="3312"/>
      <c r="AJ90" s="3312"/>
    </row>
    <row r="91" spans="1:36" s="1274" customFormat="1" ht="15">
      <c r="A91" s="3301" t="s">
        <v>3230</v>
      </c>
      <c r="B91" s="3375">
        <f>1+E93</f>
        <v>1</v>
      </c>
      <c r="C91" s="3349"/>
      <c r="D91" s="3349"/>
      <c r="E91" s="3350"/>
      <c r="F91" s="3328"/>
      <c r="G91" s="3351"/>
      <c r="H91" s="3352"/>
      <c r="I91" s="3353"/>
      <c r="J91" s="3354"/>
      <c r="K91" s="3354"/>
      <c r="L91" s="3354"/>
      <c r="M91" s="3354"/>
      <c r="N91" s="3354"/>
      <c r="AE91" s="3312"/>
      <c r="AF91" s="3312"/>
      <c r="AG91" s="3312"/>
      <c r="AH91" s="3312"/>
      <c r="AI91" s="3312"/>
      <c r="AJ91" s="3312"/>
    </row>
    <row r="92" spans="1:36" s="1274" customFormat="1" ht="24">
      <c r="A92" s="3302" t="s">
        <v>3231</v>
      </c>
      <c r="B92" s="3302"/>
      <c r="C92" s="3302" t="s">
        <v>3236</v>
      </c>
      <c r="D92" s="3302" t="s">
        <v>3223</v>
      </c>
      <c r="E92" s="346" t="s">
        <v>3224</v>
      </c>
      <c r="F92" s="3357" t="s">
        <v>1609</v>
      </c>
      <c r="G92" s="3320" t="s">
        <v>936</v>
      </c>
      <c r="H92" s="3322" t="s">
        <v>1772</v>
      </c>
      <c r="I92" s="3320" t="s">
        <v>934</v>
      </c>
      <c r="J92" s="3323" t="s">
        <v>937</v>
      </c>
      <c r="K92" s="3323" t="s">
        <v>938</v>
      </c>
      <c r="L92" s="3323" t="s">
        <v>939</v>
      </c>
      <c r="M92" s="3323" t="s">
        <v>940</v>
      </c>
      <c r="N92" s="3323" t="s">
        <v>941</v>
      </c>
      <c r="AE92" s="3312"/>
      <c r="AF92" s="3312"/>
      <c r="AG92" s="3312"/>
      <c r="AH92" s="3312"/>
      <c r="AI92" s="3312"/>
      <c r="AJ92" s="3312"/>
    </row>
    <row r="93" spans="1:36" s="1274" customFormat="1" ht="24">
      <c r="A93" s="3356" t="s">
        <v>3232</v>
      </c>
      <c r="B93" s="3304"/>
      <c r="C93" s="3325"/>
      <c r="D93" s="3326">
        <f>SUMIF($J$92:$N$92,C93,J93:N93)</f>
        <v>0</v>
      </c>
      <c r="E93" s="3358">
        <f>ROUND(SUM(D93:D101),4)</f>
        <v>0</v>
      </c>
      <c r="F93" s="3328" t="str">
        <f>IF(E2="公共服务",SUMIF(L1:L12,G2,N1:N12),"——")</f>
        <v>——</v>
      </c>
      <c r="G93" s="3343"/>
      <c r="H93" s="3330" t="str">
        <f>IFERROR(ROUNDDOWN($F$93*I93/2,4),"——")</f>
        <v>——</v>
      </c>
      <c r="I93" s="3305">
        <v>0.25</v>
      </c>
      <c r="J93" s="3355">
        <f>K93+$G93</f>
        <v>0</v>
      </c>
      <c r="K93" s="3355">
        <f t="shared" ref="K93:K101" si="27">$L93+$G93</f>
        <v>0</v>
      </c>
      <c r="L93" s="3355">
        <v>0</v>
      </c>
      <c r="M93" s="3355">
        <f t="shared" ref="M93:N93" si="28">L93-$G93</f>
        <v>0</v>
      </c>
      <c r="N93" s="3355">
        <f t="shared" si="28"/>
        <v>0</v>
      </c>
      <c r="AE93" s="3312"/>
      <c r="AF93" s="3312"/>
      <c r="AG93" s="3312"/>
      <c r="AH93" s="3312"/>
      <c r="AI93" s="3312"/>
      <c r="AJ93" s="3312"/>
    </row>
    <row r="94" spans="1:36" s="1274" customFormat="1" ht="36">
      <c r="A94" s="3302" t="s">
        <v>3233</v>
      </c>
      <c r="B94" s="3318" t="str">
        <f>估价对象房地状况!G16</f>
        <v>估价对象周边道路状况、公共交通通达情况、停车便捷程度，综合评价交通便捷度较好</v>
      </c>
      <c r="C94" s="3325"/>
      <c r="D94" s="3326">
        <f t="shared" ref="D94:D101" si="29">SUMIF($J$92:$N$92,C94,J94:N94)</f>
        <v>0</v>
      </c>
      <c r="E94" s="3350"/>
      <c r="F94" s="3328"/>
      <c r="G94" s="3343"/>
      <c r="H94" s="3330" t="str">
        <f t="shared" ref="H94:H101" si="30">IFERROR(ROUNDDOWN($F$93*I94/2,4),"——")</f>
        <v>——</v>
      </c>
      <c r="I94" s="3305">
        <v>0.26</v>
      </c>
      <c r="J94" s="3355">
        <f>K94+$G94</f>
        <v>0</v>
      </c>
      <c r="K94" s="3355">
        <f t="shared" si="27"/>
        <v>0</v>
      </c>
      <c r="L94" s="3355">
        <v>0</v>
      </c>
      <c r="M94" s="3355">
        <f t="shared" ref="M94:M101" si="31">L94-$G94</f>
        <v>0</v>
      </c>
      <c r="N94" s="3355">
        <f t="shared" ref="N94:N101" si="32">M94-$G94</f>
        <v>0</v>
      </c>
      <c r="AE94" s="3312"/>
      <c r="AF94" s="3312"/>
      <c r="AG94" s="3312"/>
      <c r="AH94" s="3312"/>
      <c r="AI94" s="3312"/>
      <c r="AJ94" s="3312"/>
    </row>
    <row r="95" spans="1:36" s="1274" customFormat="1" ht="36">
      <c r="A95" s="3356" t="s">
        <v>3221</v>
      </c>
      <c r="B95" s="3318">
        <f>估价对象房地状况!G17</f>
        <v>0</v>
      </c>
      <c r="C95" s="3325"/>
      <c r="D95" s="3326">
        <f t="shared" si="29"/>
        <v>0</v>
      </c>
      <c r="E95" s="3350"/>
      <c r="F95" s="3328"/>
      <c r="G95" s="3343"/>
      <c r="H95" s="3330" t="str">
        <f t="shared" si="30"/>
        <v>——</v>
      </c>
      <c r="I95" s="3305">
        <v>0.11</v>
      </c>
      <c r="J95" s="3355">
        <f t="shared" ref="J95:J101" si="33">K95+$G95</f>
        <v>0</v>
      </c>
      <c r="K95" s="3355">
        <f t="shared" si="27"/>
        <v>0</v>
      </c>
      <c r="L95" s="3355">
        <v>0</v>
      </c>
      <c r="M95" s="3355">
        <f t="shared" si="31"/>
        <v>0</v>
      </c>
      <c r="N95" s="3355">
        <f t="shared" si="32"/>
        <v>0</v>
      </c>
      <c r="AE95" s="3312"/>
      <c r="AF95" s="3312"/>
      <c r="AG95" s="3312"/>
      <c r="AH95" s="3312"/>
      <c r="AI95" s="3312"/>
      <c r="AJ95" s="3312"/>
    </row>
    <row r="96" spans="1:36" s="1274" customFormat="1" ht="36.75">
      <c r="A96" s="3302" t="s">
        <v>3225</v>
      </c>
      <c r="B96" s="3306" t="s">
        <v>3226</v>
      </c>
      <c r="C96" s="3325"/>
      <c r="D96" s="3326">
        <f t="shared" si="29"/>
        <v>0</v>
      </c>
      <c r="E96" s="3350"/>
      <c r="F96" s="3328"/>
      <c r="G96" s="3343"/>
      <c r="H96" s="3330" t="str">
        <f t="shared" si="30"/>
        <v>——</v>
      </c>
      <c r="I96" s="3305">
        <v>0.05</v>
      </c>
      <c r="J96" s="3355">
        <f t="shared" si="33"/>
        <v>0</v>
      </c>
      <c r="K96" s="3355">
        <f t="shared" si="27"/>
        <v>0</v>
      </c>
      <c r="L96" s="3355">
        <v>0</v>
      </c>
      <c r="M96" s="3355">
        <f>L96-$G96</f>
        <v>0</v>
      </c>
      <c r="N96" s="3355">
        <f t="shared" si="32"/>
        <v>0</v>
      </c>
      <c r="AE96" s="3312"/>
      <c r="AF96" s="3312"/>
      <c r="AG96" s="3312"/>
      <c r="AH96" s="3312"/>
      <c r="AI96" s="3312"/>
      <c r="AJ96" s="3312"/>
    </row>
    <row r="97" spans="1:36" s="1274" customFormat="1" ht="24">
      <c r="A97" s="3302" t="s">
        <v>3227</v>
      </c>
      <c r="B97" s="3318">
        <f>估价对象房地状况!G22</f>
        <v>0</v>
      </c>
      <c r="C97" s="3325"/>
      <c r="D97" s="3326">
        <f t="shared" si="29"/>
        <v>0</v>
      </c>
      <c r="E97" s="3350"/>
      <c r="F97" s="3328"/>
      <c r="G97" s="3343"/>
      <c r="H97" s="3330" t="str">
        <f t="shared" si="30"/>
        <v>——</v>
      </c>
      <c r="I97" s="3305">
        <v>0.05</v>
      </c>
      <c r="J97" s="3355">
        <f t="shared" si="33"/>
        <v>0</v>
      </c>
      <c r="K97" s="3355">
        <f t="shared" si="27"/>
        <v>0</v>
      </c>
      <c r="L97" s="3355">
        <v>0</v>
      </c>
      <c r="M97" s="3355">
        <f t="shared" si="31"/>
        <v>0</v>
      </c>
      <c r="N97" s="3355">
        <f t="shared" si="32"/>
        <v>0</v>
      </c>
      <c r="AE97" s="3312"/>
      <c r="AF97" s="3312"/>
      <c r="AG97" s="3312"/>
      <c r="AH97" s="3312"/>
      <c r="AI97" s="3312"/>
      <c r="AJ97" s="3312"/>
    </row>
    <row r="98" spans="1:36" s="1274" customFormat="1" ht="24">
      <c r="A98" s="3302" t="s">
        <v>3234</v>
      </c>
      <c r="B98" s="3333" t="s">
        <v>2199</v>
      </c>
      <c r="C98" s="3325"/>
      <c r="D98" s="3326">
        <f t="shared" si="29"/>
        <v>0</v>
      </c>
      <c r="E98" s="3350"/>
      <c r="F98" s="3328"/>
      <c r="G98" s="3343"/>
      <c r="H98" s="3330" t="str">
        <f t="shared" si="30"/>
        <v>——</v>
      </c>
      <c r="I98" s="3305">
        <v>0.06</v>
      </c>
      <c r="J98" s="3355">
        <f t="shared" si="33"/>
        <v>0</v>
      </c>
      <c r="K98" s="3355">
        <f t="shared" si="27"/>
        <v>0</v>
      </c>
      <c r="L98" s="3355">
        <v>0</v>
      </c>
      <c r="M98" s="3355">
        <f t="shared" si="31"/>
        <v>0</v>
      </c>
      <c r="N98" s="3355">
        <f t="shared" si="32"/>
        <v>0</v>
      </c>
      <c r="AE98" s="3312"/>
      <c r="AF98" s="3312"/>
      <c r="AG98" s="3312"/>
      <c r="AH98" s="3312"/>
      <c r="AI98" s="3312"/>
      <c r="AJ98" s="3312"/>
    </row>
    <row r="99" spans="1:36" s="1274" customFormat="1" ht="24">
      <c r="A99" s="3302" t="s">
        <v>3235</v>
      </c>
      <c r="B99" s="3318" t="str">
        <f>估价对象房地状况!C21</f>
        <v>估价对象所在区域公共配套设施齐备情况</v>
      </c>
      <c r="C99" s="3325"/>
      <c r="D99" s="3326">
        <f t="shared" si="29"/>
        <v>0</v>
      </c>
      <c r="E99" s="3350"/>
      <c r="F99" s="3328"/>
      <c r="G99" s="3343"/>
      <c r="H99" s="3330" t="str">
        <f t="shared" si="30"/>
        <v>——</v>
      </c>
      <c r="I99" s="3305">
        <v>0.06</v>
      </c>
      <c r="J99" s="3355">
        <f t="shared" si="33"/>
        <v>0</v>
      </c>
      <c r="K99" s="3355">
        <f t="shared" si="27"/>
        <v>0</v>
      </c>
      <c r="L99" s="3355">
        <v>0</v>
      </c>
      <c r="M99" s="3355">
        <f t="shared" si="31"/>
        <v>0</v>
      </c>
      <c r="N99" s="3355">
        <f t="shared" si="32"/>
        <v>0</v>
      </c>
      <c r="AE99" s="3312"/>
      <c r="AF99" s="3312"/>
      <c r="AG99" s="3312"/>
      <c r="AH99" s="3312"/>
      <c r="AI99" s="3312"/>
      <c r="AJ99" s="3312"/>
    </row>
    <row r="100" spans="1:36" s="1274" customFormat="1" ht="24">
      <c r="A100" s="3302" t="s">
        <v>3228</v>
      </c>
      <c r="B100" s="3318" t="str">
        <f>估价对象房地状况!C22</f>
        <v>估价对象所在区域基础设施水平</v>
      </c>
      <c r="C100" s="3325"/>
      <c r="D100" s="3326">
        <f t="shared" si="29"/>
        <v>0</v>
      </c>
      <c r="E100" s="3350"/>
      <c r="F100" s="3328"/>
      <c r="G100" s="3343"/>
      <c r="H100" s="3330" t="str">
        <f t="shared" si="30"/>
        <v>——</v>
      </c>
      <c r="I100" s="3305">
        <v>0.09</v>
      </c>
      <c r="J100" s="3355">
        <f t="shared" si="33"/>
        <v>0</v>
      </c>
      <c r="K100" s="3355">
        <f t="shared" si="27"/>
        <v>0</v>
      </c>
      <c r="L100" s="3355">
        <v>0</v>
      </c>
      <c r="M100" s="3355">
        <f t="shared" si="31"/>
        <v>0</v>
      </c>
      <c r="N100" s="3355">
        <f t="shared" si="32"/>
        <v>0</v>
      </c>
      <c r="AE100" s="3312"/>
      <c r="AF100" s="3312"/>
      <c r="AG100" s="3312"/>
      <c r="AH100" s="3312"/>
      <c r="AI100" s="3312"/>
      <c r="AJ100" s="3312"/>
    </row>
    <row r="101" spans="1:36" s="1274" customFormat="1" ht="24.75" thickBot="1">
      <c r="A101" s="3302" t="s">
        <v>3229</v>
      </c>
      <c r="B101" s="3324" t="str">
        <f>估价对象房地状况!C20</f>
        <v>区域自然环境：；人文环境；综合评价环境状况一般</v>
      </c>
      <c r="C101" s="3325"/>
      <c r="D101" s="3326">
        <f t="shared" si="29"/>
        <v>0</v>
      </c>
      <c r="E101" s="3350"/>
      <c r="F101" s="3328"/>
      <c r="G101" s="3343"/>
      <c r="H101" s="3330" t="str">
        <f t="shared" si="30"/>
        <v>——</v>
      </c>
      <c r="I101" s="3307">
        <v>7.0000000000000007E-2</v>
      </c>
      <c r="J101" s="3355">
        <f t="shared" si="33"/>
        <v>0</v>
      </c>
      <c r="K101" s="3355">
        <f t="shared" si="27"/>
        <v>0</v>
      </c>
      <c r="L101" s="3355">
        <v>0</v>
      </c>
      <c r="M101" s="3355">
        <f t="shared" si="31"/>
        <v>0</v>
      </c>
      <c r="N101" s="3355">
        <f t="shared" si="32"/>
        <v>0</v>
      </c>
      <c r="AE101" s="3312"/>
      <c r="AF101" s="3312"/>
      <c r="AG101" s="3312"/>
      <c r="AH101" s="3312"/>
      <c r="AI101" s="3312"/>
      <c r="AJ101" s="3312"/>
    </row>
    <row r="102" spans="1:36" s="1274" customFormat="1" ht="14.25">
      <c r="A102" s="3376"/>
      <c r="B102" s="3377"/>
      <c r="C102" s="3348"/>
      <c r="D102" s="3349"/>
      <c r="E102" s="3350"/>
      <c r="F102" s="3328"/>
      <c r="G102" s="3378"/>
      <c r="H102" s="3352"/>
      <c r="I102" s="3379"/>
      <c r="J102" s="3380"/>
      <c r="K102" s="3380"/>
      <c r="L102" s="3380"/>
      <c r="M102" s="3380"/>
      <c r="N102" s="3380"/>
      <c r="AE102" s="3312"/>
      <c r="AF102" s="3312"/>
      <c r="AG102" s="3312"/>
      <c r="AH102" s="3312"/>
      <c r="AI102" s="3312"/>
      <c r="AJ102" s="3312"/>
    </row>
    <row r="103" spans="1:36" s="1274" customFormat="1">
      <c r="K103" s="3312"/>
      <c r="AD103" s="3312"/>
      <c r="AE103" s="3312"/>
      <c r="AF103" s="3312"/>
      <c r="AG103" s="3312"/>
      <c r="AH103" s="3312"/>
      <c r="AI103" s="3312"/>
    </row>
    <row r="104" spans="1:36">
      <c r="A104" s="3651" t="s">
        <v>1172</v>
      </c>
      <c r="B104" s="3651"/>
      <c r="C104" s="3651"/>
      <c r="D104" s="3651"/>
      <c r="E104" s="3651"/>
      <c r="F104" s="3651"/>
      <c r="G104" s="3651"/>
      <c r="H104" s="3651"/>
      <c r="I104" s="3651"/>
      <c r="J104" s="3651"/>
      <c r="K104" s="1001"/>
      <c r="L104" s="1001"/>
      <c r="M104" s="1001"/>
      <c r="N104" s="1001"/>
    </row>
    <row r="105" spans="1:36">
      <c r="A105" s="3652" t="s">
        <v>1161</v>
      </c>
      <c r="B105" s="3652" t="s">
        <v>1173</v>
      </c>
      <c r="C105" s="989" t="s">
        <v>1174</v>
      </c>
      <c r="D105" s="990"/>
      <c r="E105" s="990"/>
      <c r="F105" s="990"/>
      <c r="G105" s="990"/>
      <c r="H105" s="990"/>
      <c r="I105" s="990"/>
      <c r="J105" s="991"/>
      <c r="K105" s="984"/>
      <c r="L105" s="984"/>
      <c r="M105" s="984"/>
      <c r="N105" s="984"/>
    </row>
    <row r="106" spans="1:36">
      <c r="A106" s="3652"/>
      <c r="B106" s="3652"/>
      <c r="C106" s="1000" t="s">
        <v>836</v>
      </c>
      <c r="D106" s="1000" t="s">
        <v>820</v>
      </c>
      <c r="E106" s="1000" t="s">
        <v>821</v>
      </c>
      <c r="F106" s="1000" t="s">
        <v>839</v>
      </c>
      <c r="G106" s="1000" t="s">
        <v>823</v>
      </c>
      <c r="H106" s="1000" t="s">
        <v>824</v>
      </c>
      <c r="I106" s="1000" t="s">
        <v>825</v>
      </c>
      <c r="J106" s="1000" t="s">
        <v>826</v>
      </c>
      <c r="K106" s="1000" t="s">
        <v>844</v>
      </c>
      <c r="L106" s="1000" t="s">
        <v>828</v>
      </c>
      <c r="M106" s="1000" t="s">
        <v>829</v>
      </c>
      <c r="N106" s="1000" t="s">
        <v>847</v>
      </c>
    </row>
    <row r="107" spans="1:36">
      <c r="A107" s="3658" t="s">
        <v>2045</v>
      </c>
      <c r="B107" s="992">
        <v>1</v>
      </c>
      <c r="C107" s="993">
        <v>1.5206</v>
      </c>
      <c r="D107" s="993">
        <v>1.5206</v>
      </c>
      <c r="E107" s="993">
        <v>1.5019</v>
      </c>
      <c r="F107" s="993">
        <v>1.5019</v>
      </c>
      <c r="G107" s="993">
        <v>1.5019</v>
      </c>
      <c r="H107" s="993">
        <v>1.5019</v>
      </c>
      <c r="I107" s="993">
        <v>1.5019</v>
      </c>
      <c r="J107" s="993">
        <v>1.5418000000000001</v>
      </c>
      <c r="K107" s="993">
        <v>1.5418000000000001</v>
      </c>
      <c r="L107" s="993">
        <v>1.5418000000000001</v>
      </c>
      <c r="M107" s="993">
        <v>1.5418000000000001</v>
      </c>
      <c r="N107" s="993">
        <v>1.5418000000000001</v>
      </c>
    </row>
    <row r="108" spans="1:36">
      <c r="A108" s="3659"/>
      <c r="B108" s="992">
        <v>2</v>
      </c>
      <c r="C108" s="993">
        <v>1.2072000000000001</v>
      </c>
      <c r="D108" s="993">
        <v>1.2072000000000001</v>
      </c>
      <c r="E108" s="993">
        <v>1.1838</v>
      </c>
      <c r="F108" s="993">
        <v>1.1838</v>
      </c>
      <c r="G108" s="993">
        <v>1.1838</v>
      </c>
      <c r="H108" s="993">
        <v>1.1838</v>
      </c>
      <c r="I108" s="993">
        <v>1.1838</v>
      </c>
      <c r="J108" s="993">
        <v>1.1883999999999999</v>
      </c>
      <c r="K108" s="993">
        <v>1.1883999999999999</v>
      </c>
      <c r="L108" s="993">
        <v>1.1883999999999999</v>
      </c>
      <c r="M108" s="993">
        <v>1.1883999999999999</v>
      </c>
      <c r="N108" s="993">
        <v>1.1883999999999999</v>
      </c>
    </row>
    <row r="109" spans="1:36">
      <c r="A109" s="3659"/>
      <c r="B109" s="992">
        <v>3</v>
      </c>
      <c r="C109" s="993">
        <v>1.0430999999999999</v>
      </c>
      <c r="D109" s="993">
        <v>1.0430999999999999</v>
      </c>
      <c r="E109" s="993">
        <v>1.0004999999999999</v>
      </c>
      <c r="F109" s="993">
        <v>1.0004999999999999</v>
      </c>
      <c r="G109" s="993">
        <v>1.0004999999999999</v>
      </c>
      <c r="H109" s="993">
        <v>1.0004999999999999</v>
      </c>
      <c r="I109" s="993">
        <v>1.0004999999999999</v>
      </c>
      <c r="J109" s="993">
        <v>0.96940000000000004</v>
      </c>
      <c r="K109" s="993">
        <v>0.96940000000000004</v>
      </c>
      <c r="L109" s="993">
        <v>0.96940000000000004</v>
      </c>
      <c r="M109" s="993">
        <v>0.96940000000000004</v>
      </c>
      <c r="N109" s="993">
        <v>0.96940000000000004</v>
      </c>
    </row>
    <row r="110" spans="1:36">
      <c r="A110" s="3659"/>
      <c r="B110" s="992">
        <v>4</v>
      </c>
      <c r="C110" s="993">
        <v>0.94389999999999996</v>
      </c>
      <c r="D110" s="993">
        <v>0.94389999999999996</v>
      </c>
      <c r="E110" s="993">
        <v>0.88239999999999996</v>
      </c>
      <c r="F110" s="993">
        <v>0.88239999999999996</v>
      </c>
      <c r="G110" s="993">
        <v>0.88239999999999996</v>
      </c>
      <c r="H110" s="993">
        <v>0.88239999999999996</v>
      </c>
      <c r="I110" s="993">
        <v>0.88239999999999996</v>
      </c>
      <c r="J110" s="993">
        <v>0.82299999999999995</v>
      </c>
      <c r="K110" s="993">
        <v>0.82299999999999995</v>
      </c>
      <c r="L110" s="993">
        <v>0.82299999999999995</v>
      </c>
      <c r="M110" s="993">
        <v>0.82299999999999995</v>
      </c>
      <c r="N110" s="993">
        <v>0.82299999999999995</v>
      </c>
    </row>
    <row r="111" spans="1:36">
      <c r="A111" s="3659"/>
      <c r="B111" s="992">
        <v>5</v>
      </c>
      <c r="C111" s="993">
        <v>0.89959999999999996</v>
      </c>
      <c r="D111" s="993">
        <v>0.89959999999999996</v>
      </c>
      <c r="E111" s="993">
        <v>0.84799999999999998</v>
      </c>
      <c r="F111" s="993">
        <v>0.84799999999999998</v>
      </c>
      <c r="G111" s="993">
        <v>0.84799999999999998</v>
      </c>
      <c r="H111" s="993">
        <v>0.84799999999999998</v>
      </c>
      <c r="I111" s="993">
        <v>0.84799999999999998</v>
      </c>
      <c r="J111" s="993">
        <v>0.74980000000000002</v>
      </c>
      <c r="K111" s="993">
        <v>0.74980000000000002</v>
      </c>
      <c r="L111" s="993">
        <v>0.74980000000000002</v>
      </c>
      <c r="M111" s="993">
        <v>0.74980000000000002</v>
      </c>
      <c r="N111" s="993">
        <v>0.74980000000000002</v>
      </c>
    </row>
    <row r="112" spans="1:36">
      <c r="A112" s="3659"/>
      <c r="B112" s="992" t="s">
        <v>3237</v>
      </c>
      <c r="C112" s="994">
        <f>$I$3</f>
        <v>0</v>
      </c>
      <c r="D112" s="994">
        <f t="shared" ref="D112:N112" si="34">$I$3</f>
        <v>0</v>
      </c>
      <c r="E112" s="994">
        <f t="shared" si="34"/>
        <v>0</v>
      </c>
      <c r="F112" s="994">
        <f t="shared" si="34"/>
        <v>0</v>
      </c>
      <c r="G112" s="994">
        <f t="shared" si="34"/>
        <v>0</v>
      </c>
      <c r="H112" s="994">
        <f t="shared" si="34"/>
        <v>0</v>
      </c>
      <c r="I112" s="994">
        <f t="shared" si="34"/>
        <v>0</v>
      </c>
      <c r="J112" s="994">
        <f t="shared" si="34"/>
        <v>0</v>
      </c>
      <c r="K112" s="994">
        <f t="shared" si="34"/>
        <v>0</v>
      </c>
      <c r="L112" s="994">
        <f t="shared" si="34"/>
        <v>0</v>
      </c>
      <c r="M112" s="994">
        <f t="shared" si="34"/>
        <v>0</v>
      </c>
      <c r="N112" s="994">
        <f t="shared" si="34"/>
        <v>0</v>
      </c>
    </row>
    <row r="113" spans="1:14">
      <c r="A113" s="3660"/>
      <c r="B113" s="992">
        <v>6</v>
      </c>
      <c r="C113" s="995">
        <f>(-0.5556*(C112^2)-0.2719*C112+8944)*(10^(-4))</f>
        <v>0.89440000000000008</v>
      </c>
      <c r="D113" s="995">
        <f>(-0.5556*(D112^2)-0.2719*D112+8944)*(10^(-4))</f>
        <v>0.89440000000000008</v>
      </c>
      <c r="E113" s="995">
        <f>(-0.7912*(E112^2)-11.3794*E112+8482)*(10^(-4))</f>
        <v>0.84820000000000007</v>
      </c>
      <c r="F113" s="995">
        <f>(-0.7912*(F112^2)-11.3794*F112+8482)*(10^(-4))</f>
        <v>0.84820000000000007</v>
      </c>
      <c r="G113" s="995">
        <f>(-0.7912*(G112^2)-11.3794*G112+8482)*(10^(-4))</f>
        <v>0.84820000000000007</v>
      </c>
      <c r="H113" s="995">
        <f>(-0.7912*(H112^2)-11.3794*H112+8482)*(10^(-4))</f>
        <v>0.84820000000000007</v>
      </c>
      <c r="I113" s="995">
        <f>(-0.7912*(I112^2)-11.3794*I112+8482)*(10^(-4))</f>
        <v>0.84820000000000007</v>
      </c>
      <c r="J113" s="995">
        <f>(-0.989*(J112^2)-63.78*J112+7771)*(10^(-4))</f>
        <v>0.77710000000000001</v>
      </c>
      <c r="K113" s="995">
        <f>(-0.989*(K112^2)-63.78*K112+7771)*(10^(-4))</f>
        <v>0.77710000000000001</v>
      </c>
      <c r="L113" s="995">
        <f>(-0.989*(L112^2)-63.78*L112+7771)*(10^(-4))</f>
        <v>0.77710000000000001</v>
      </c>
      <c r="M113" s="995">
        <f>(-0.989*(M112^2)-63.78*M112+7771)*(10^(-4))</f>
        <v>0.77710000000000001</v>
      </c>
      <c r="N113" s="995">
        <f>(-0.989*(N112^2)-63.78*N112+7771)*(10^(-4))</f>
        <v>0.77710000000000001</v>
      </c>
    </row>
    <row r="114" spans="1:14">
      <c r="A114" s="3648" t="s">
        <v>1175</v>
      </c>
      <c r="B114" s="3648"/>
      <c r="C114" s="3648"/>
      <c r="D114" s="3648"/>
      <c r="E114" s="3648"/>
      <c r="F114" s="3648"/>
      <c r="G114" s="3648"/>
      <c r="H114" s="3648"/>
      <c r="I114" s="3648"/>
      <c r="J114" s="3648"/>
      <c r="K114" s="1968"/>
      <c r="L114" s="1968"/>
      <c r="M114" s="1968"/>
      <c r="N114" s="1968"/>
    </row>
    <row r="116" spans="1:14" ht="12.75" thickBot="1"/>
    <row r="117" spans="1:14" ht="25.5" thickBot="1">
      <c r="A117" s="927" t="s">
        <v>831</v>
      </c>
      <c r="B117" s="1969">
        <f>G3</f>
        <v>1</v>
      </c>
      <c r="C117" s="928" t="s">
        <v>832</v>
      </c>
      <c r="D117" s="929" t="e">
        <f>SUMPRODUCT((A118:A122=F116)*(B117:M117=H116)*B118:M122)</f>
        <v>#VALUE!</v>
      </c>
      <c r="E117" s="930" t="s">
        <v>833</v>
      </c>
      <c r="F117" s="931" t="str">
        <f>E2</f>
        <v>工业</v>
      </c>
      <c r="G117" s="930" t="s">
        <v>834</v>
      </c>
      <c r="H117" s="931" t="str">
        <f>G2</f>
        <v>六级</v>
      </c>
      <c r="I117" s="930"/>
      <c r="J117" s="922"/>
      <c r="K117" s="922"/>
      <c r="L117" s="922"/>
      <c r="M117" s="922"/>
    </row>
    <row r="118" spans="1:14" ht="12.75">
      <c r="A118" s="933"/>
      <c r="B118" s="934" t="s">
        <v>819</v>
      </c>
      <c r="C118" s="934" t="s">
        <v>820</v>
      </c>
      <c r="D118" s="934" t="s">
        <v>821</v>
      </c>
      <c r="E118" s="935" t="s">
        <v>822</v>
      </c>
      <c r="F118" s="935" t="s">
        <v>823</v>
      </c>
      <c r="G118" s="935" t="s">
        <v>824</v>
      </c>
      <c r="H118" s="936" t="s">
        <v>825</v>
      </c>
      <c r="I118" s="936" t="s">
        <v>826</v>
      </c>
      <c r="J118" s="937" t="s">
        <v>827</v>
      </c>
      <c r="K118" s="937" t="s">
        <v>828</v>
      </c>
      <c r="L118" s="937" t="s">
        <v>829</v>
      </c>
      <c r="M118" s="938" t="s">
        <v>830</v>
      </c>
    </row>
    <row r="119" spans="1:14" ht="12.75">
      <c r="A119" s="3359" t="s">
        <v>3238</v>
      </c>
      <c r="B119" s="3303">
        <f>ROUND(0.9968-0.011*B117,4)</f>
        <v>0.98580000000000001</v>
      </c>
      <c r="C119" s="3303">
        <f>B119</f>
        <v>0.98580000000000001</v>
      </c>
      <c r="D119" s="3303">
        <f>ROUND(0.949-0.014*B117,4)</f>
        <v>0.93500000000000005</v>
      </c>
      <c r="E119" s="3303">
        <f>D119</f>
        <v>0.93500000000000005</v>
      </c>
      <c r="F119" s="3303">
        <f>E119</f>
        <v>0.93500000000000005</v>
      </c>
      <c r="G119" s="3303">
        <f>F119</f>
        <v>0.93500000000000005</v>
      </c>
      <c r="H119" s="3303">
        <f>G119</f>
        <v>0.93500000000000005</v>
      </c>
      <c r="I119" s="3303">
        <f>ROUND(0.8486-0.018*B117,4)</f>
        <v>0.8306</v>
      </c>
      <c r="J119" s="3303">
        <f t="shared" ref="J119:M123" si="35">I119</f>
        <v>0.8306</v>
      </c>
      <c r="K119" s="3303">
        <f t="shared" si="35"/>
        <v>0.8306</v>
      </c>
      <c r="L119" s="3303">
        <f t="shared" si="35"/>
        <v>0.8306</v>
      </c>
      <c r="M119" s="3362">
        <f t="shared" si="35"/>
        <v>0.8306</v>
      </c>
    </row>
    <row r="120" spans="1:14" ht="12.75">
      <c r="A120" s="3359" t="s">
        <v>3239</v>
      </c>
      <c r="B120" s="3303">
        <f>ROUND(0.993-0.0112*B117,4)</f>
        <v>0.98180000000000001</v>
      </c>
      <c r="C120" s="3303">
        <f>B120</f>
        <v>0.98180000000000001</v>
      </c>
      <c r="D120" s="3303">
        <f>ROUND(0.9415-0.0142*B117,4)</f>
        <v>0.92730000000000001</v>
      </c>
      <c r="E120" s="3303">
        <f t="shared" ref="E120:H121" si="36">D120</f>
        <v>0.92730000000000001</v>
      </c>
      <c r="F120" s="3303">
        <f t="shared" si="36"/>
        <v>0.92730000000000001</v>
      </c>
      <c r="G120" s="3303">
        <f t="shared" si="36"/>
        <v>0.92730000000000001</v>
      </c>
      <c r="H120" s="3303">
        <f t="shared" si="36"/>
        <v>0.92730000000000001</v>
      </c>
      <c r="I120" s="3303">
        <f>ROUND(0.838-0.0182*B117,4)</f>
        <v>0.81979999999999997</v>
      </c>
      <c r="J120" s="3303">
        <f t="shared" si="35"/>
        <v>0.81979999999999997</v>
      </c>
      <c r="K120" s="3303">
        <f t="shared" si="35"/>
        <v>0.81979999999999997</v>
      </c>
      <c r="L120" s="3303">
        <f t="shared" si="35"/>
        <v>0.81979999999999997</v>
      </c>
      <c r="M120" s="3362">
        <f t="shared" si="35"/>
        <v>0.81979999999999997</v>
      </c>
    </row>
    <row r="121" spans="1:14" ht="12.75">
      <c r="A121" s="3359" t="s">
        <v>3240</v>
      </c>
      <c r="B121" s="3303">
        <f>ROUND(0.9448-0.0115*B117,4)</f>
        <v>0.93330000000000002</v>
      </c>
      <c r="C121" s="3303">
        <f>B121</f>
        <v>0.93330000000000002</v>
      </c>
      <c r="D121" s="3303">
        <f>ROUND(0.937-0.0145*B117,4)</f>
        <v>0.92249999999999999</v>
      </c>
      <c r="E121" s="3303">
        <f t="shared" si="36"/>
        <v>0.92249999999999999</v>
      </c>
      <c r="F121" s="3303">
        <f t="shared" si="36"/>
        <v>0.92249999999999999</v>
      </c>
      <c r="G121" s="3303">
        <f t="shared" si="36"/>
        <v>0.92249999999999999</v>
      </c>
      <c r="H121" s="3303">
        <f t="shared" si="36"/>
        <v>0.92249999999999999</v>
      </c>
      <c r="I121" s="3303">
        <f>ROUND(0.7965-0.0185*B117,4)</f>
        <v>0.77800000000000002</v>
      </c>
      <c r="J121" s="3303">
        <f t="shared" si="35"/>
        <v>0.77800000000000002</v>
      </c>
      <c r="K121" s="3303">
        <f t="shared" si="35"/>
        <v>0.77800000000000002</v>
      </c>
      <c r="L121" s="3303">
        <f t="shared" si="35"/>
        <v>0.77800000000000002</v>
      </c>
      <c r="M121" s="3362">
        <f t="shared" si="35"/>
        <v>0.77800000000000002</v>
      </c>
    </row>
    <row r="122" spans="1:14" ht="13.5" thickBot="1">
      <c r="A122" s="3360" t="s">
        <v>3241</v>
      </c>
      <c r="B122" s="3363">
        <f>ROUND(0.7836-0.012*B117,4)</f>
        <v>0.77159999999999995</v>
      </c>
      <c r="C122" s="3363">
        <f>B122</f>
        <v>0.77159999999999995</v>
      </c>
      <c r="D122" s="3363">
        <f>ROUND(0.753-0.015*B117,4)</f>
        <v>0.73799999999999999</v>
      </c>
      <c r="E122" s="3363">
        <f>D122</f>
        <v>0.73799999999999999</v>
      </c>
      <c r="F122" s="3363">
        <f>E122</f>
        <v>0.73799999999999999</v>
      </c>
      <c r="G122" s="3363">
        <f>ROUND(0.6612-0.018*B117,4)</f>
        <v>0.64319999999999999</v>
      </c>
      <c r="H122" s="3363">
        <f>G122</f>
        <v>0.64319999999999999</v>
      </c>
      <c r="I122" s="3363">
        <f>ROUND(0.5905-0.019*B117,4)</f>
        <v>0.57150000000000001</v>
      </c>
      <c r="J122" s="3363">
        <f t="shared" si="35"/>
        <v>0.57150000000000001</v>
      </c>
      <c r="K122" s="3363">
        <f t="shared" si="35"/>
        <v>0.57150000000000001</v>
      </c>
      <c r="L122" s="3363">
        <f t="shared" si="35"/>
        <v>0.57150000000000001</v>
      </c>
      <c r="M122" s="3364">
        <f t="shared" si="35"/>
        <v>0.57150000000000001</v>
      </c>
    </row>
    <row r="123" spans="1:14" ht="12.75">
      <c r="A123" s="3361" t="s">
        <v>3222</v>
      </c>
      <c r="B123" s="3303">
        <f>ROUND(0.9404-0.0106*B117,4)</f>
        <v>0.92979999999999996</v>
      </c>
      <c r="C123" s="3303">
        <f>B123</f>
        <v>0.92979999999999996</v>
      </c>
      <c r="D123" s="3303">
        <f>ROUND(0.8955-0.0135*B117,4)</f>
        <v>0.88200000000000001</v>
      </c>
      <c r="E123" s="3303">
        <f t="shared" ref="E123:H123" si="37">D123</f>
        <v>0.88200000000000001</v>
      </c>
      <c r="F123" s="3303">
        <f t="shared" si="37"/>
        <v>0.88200000000000001</v>
      </c>
      <c r="G123" s="3303">
        <f t="shared" si="37"/>
        <v>0.88200000000000001</v>
      </c>
      <c r="H123" s="3303">
        <f t="shared" si="37"/>
        <v>0.88200000000000001</v>
      </c>
      <c r="I123" s="3303">
        <f>ROUND(0.7632-0.0166*B117,4)</f>
        <v>0.74660000000000004</v>
      </c>
      <c r="J123" s="3303">
        <f t="shared" si="35"/>
        <v>0.74660000000000004</v>
      </c>
      <c r="K123" s="3303">
        <f t="shared" si="35"/>
        <v>0.74660000000000004</v>
      </c>
      <c r="L123" s="3303">
        <f t="shared" si="35"/>
        <v>0.74660000000000004</v>
      </c>
      <c r="M123" s="3362">
        <f t="shared" si="35"/>
        <v>0.74660000000000004</v>
      </c>
    </row>
  </sheetData>
  <sheetProtection password="CEE9" sheet="1" objects="1" scenarios="1" formatCells="0" formatColumns="0" formatRows="0"/>
  <dataConsolidate/>
  <mergeCells count="12">
    <mergeCell ref="W9:W10"/>
    <mergeCell ref="W8:X8"/>
    <mergeCell ref="A107:A113"/>
    <mergeCell ref="D20:E20"/>
    <mergeCell ref="F20:G20"/>
    <mergeCell ref="J37:J39"/>
    <mergeCell ref="A114:J114"/>
    <mergeCell ref="A20:A21"/>
    <mergeCell ref="A104:J104"/>
    <mergeCell ref="A105:A106"/>
    <mergeCell ref="B105:B106"/>
    <mergeCell ref="A37:A39"/>
  </mergeCells>
  <phoneticPr fontId="3" type="noConversion"/>
  <conditionalFormatting sqref="F50">
    <cfRule type="cellIs" dxfId="119" priority="7" stopIfTrue="1" operator="notEqual">
      <formula>"——"</formula>
    </cfRule>
  </conditionalFormatting>
  <conditionalFormatting sqref="F61">
    <cfRule type="cellIs" dxfId="118" priority="6" stopIfTrue="1" operator="notEqual">
      <formula>"——"</formula>
    </cfRule>
  </conditionalFormatting>
  <conditionalFormatting sqref="F72">
    <cfRule type="cellIs" dxfId="117" priority="5" stopIfTrue="1" operator="notEqual">
      <formula>"——"</formula>
    </cfRule>
  </conditionalFormatting>
  <conditionalFormatting sqref="F83">
    <cfRule type="cellIs" dxfId="116" priority="4" stopIfTrue="1" operator="notEqual">
      <formula>"——"</formula>
    </cfRule>
  </conditionalFormatting>
  <conditionalFormatting sqref="H50:H58 H61:H69 H72:H80 H83:H91 H93:H102">
    <cfRule type="cellIs" dxfId="115" priority="3" operator="notEqual">
      <formula>"——"</formula>
    </cfRule>
  </conditionalFormatting>
  <dataValidations count="12">
    <dataValidation type="list" allowBlank="1" showInputMessage="1" showErrorMessage="1" sqref="E2" xr:uid="{00000000-0002-0000-1500-000000000000}">
      <formula1>"商业,办公,住宅,工业,公共服务"</formula1>
    </dataValidation>
    <dataValidation type="list" allowBlank="1" showInputMessage="1" showErrorMessage="1" sqref="F21" xr:uid="{00000000-0002-0000-1500-000001000000}">
      <formula1>"与级别开发程度一致,与级别开发程度不一致"</formula1>
    </dataValidation>
    <dataValidation type="list" allowBlank="1" showInputMessage="1" showErrorMessage="1" sqref="B25" xr:uid="{00000000-0002-0000-1500-000002000000}">
      <formula1>"容积率修正,楼层修正"</formula1>
    </dataValidation>
    <dataValidation type="list" allowBlank="1" showInputMessage="1" showErrorMessage="1" sqref="C15:D15" xr:uid="{00000000-0002-0000-1500-000003000000}">
      <formula1>"有,无"</formula1>
    </dataValidation>
    <dataValidation type="list" allowBlank="1" showInputMessage="1" showErrorMessage="1" sqref="E15" xr:uid="{00000000-0002-0000-1500-000004000000}">
      <formula1>"500米范围内,500-1000米,1000米以外"</formula1>
    </dataValidation>
    <dataValidation type="list" allowBlank="1" showInputMessage="1" showErrorMessage="1" sqref="H23" xr:uid="{00000000-0002-0000-1500-000005000000}">
      <formula1>"地价指数,季度增幅（自定义）,按公示增长率计算"</formula1>
    </dataValidation>
    <dataValidation type="list" allowBlank="1" showInputMessage="1" showErrorMessage="1" sqref="F3" xr:uid="{00000000-0002-0000-1500-000006000000}">
      <formula1>"宗地容积率,估价对象容积率,自定义容积率"</formula1>
    </dataValidation>
    <dataValidation type="list" allowBlank="1" showInputMessage="1" showErrorMessage="1" sqref="C8" xr:uid="{00000000-0002-0000-1500-000007000000}">
      <formula1>商业街名称</formula1>
    </dataValidation>
    <dataValidation type="list" allowBlank="1" showInputMessage="1" showErrorMessage="1" sqref="E3" xr:uid="{00000000-0002-0000-1500-000008000000}">
      <formula1>二级分类</formula1>
    </dataValidation>
    <dataValidation type="list" allowBlank="1" showInputMessage="1" showErrorMessage="1" sqref="C50:C58 C61:C69 C93:C102 C72:C80 C83:C90" xr:uid="{00000000-0002-0000-1500-000009000000}">
      <formula1>五等判定</formula1>
    </dataValidation>
    <dataValidation type="list" allowBlank="1" showInputMessage="1" showErrorMessage="1" sqref="H20:O20" xr:uid="{00000000-0002-0000-1500-00000A000000}">
      <formula1>七通一平</formula1>
    </dataValidation>
    <dataValidation type="list" allowBlank="1" showInputMessage="1" showErrorMessage="1" sqref="J23" xr:uid="{00000000-0002-0000-1500-00000B000000}">
      <formula1>"不用分区数据,中心城区,中心城区以外"</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374" customWidth="1"/>
    <col min="2" max="2" width="10.75" style="1374" customWidth="1"/>
    <col min="3" max="4" width="11.625" style="1374" customWidth="1"/>
    <col min="5" max="5" width="6.625" style="1374" customWidth="1"/>
    <col min="6" max="16384" width="9" style="1374"/>
  </cols>
  <sheetData>
    <row r="36" spans="1:9">
      <c r="A36" s="1373" t="s">
        <v>1425</v>
      </c>
      <c r="B36" s="1373" t="s">
        <v>1426</v>
      </c>
    </row>
    <row r="37" spans="1:9" ht="28.5" customHeight="1">
      <c r="A37" s="1373"/>
      <c r="B37" s="3439" t="str">
        <f>项目基本情况!B1</f>
        <v>出让国有建设用地使用权预评估</v>
      </c>
      <c r="C37" s="3439"/>
      <c r="D37" s="3439"/>
      <c r="E37" s="3439"/>
      <c r="F37" s="3439"/>
      <c r="G37" s="3439"/>
      <c r="H37" s="3439"/>
      <c r="I37" s="3439"/>
    </row>
    <row r="38" spans="1:9">
      <c r="A38" s="1375"/>
      <c r="B38" s="1375"/>
    </row>
    <row r="39" spans="1:9">
      <c r="A39" s="1373" t="s">
        <v>1425</v>
      </c>
      <c r="B39" s="1373" t="s">
        <v>1564</v>
      </c>
    </row>
    <row r="40" spans="1:9">
      <c r="A40" s="1373"/>
      <c r="B40" s="1373">
        <f>项目基本情况!B5</f>
        <v>0</v>
      </c>
    </row>
    <row r="41" spans="1:9">
      <c r="A41" s="1373"/>
      <c r="B41" s="1373"/>
    </row>
    <row r="42" spans="1:9">
      <c r="A42" s="1373" t="s">
        <v>1425</v>
      </c>
      <c r="B42" s="1373" t="s">
        <v>1565</v>
      </c>
    </row>
    <row r="43" spans="1:9">
      <c r="A43" s="1373"/>
      <c r="B43" s="1373" t="s">
        <v>1427</v>
      </c>
    </row>
    <row r="44" spans="1:9">
      <c r="A44" s="1373"/>
      <c r="B44" s="1373"/>
    </row>
    <row r="45" spans="1:9">
      <c r="A45" s="1373" t="s">
        <v>1425</v>
      </c>
      <c r="B45" s="1373" t="s">
        <v>1563</v>
      </c>
    </row>
    <row r="46" spans="1:9" s="1373" customFormat="1" ht="12.75">
      <c r="B46" s="1373" t="str">
        <f>项目基本情况!K4</f>
        <v>土地估价师、土地估价师</v>
      </c>
    </row>
    <row r="47" spans="1:9">
      <c r="A47" s="1373"/>
      <c r="B47" s="1373"/>
    </row>
    <row r="48" spans="1:9">
      <c r="A48" s="1373" t="s">
        <v>1425</v>
      </c>
      <c r="B48" s="1373" t="s">
        <v>1566</v>
      </c>
    </row>
    <row r="49" spans="2:2">
      <c r="B49" s="1373" t="str">
        <f>"康正预评字"&amp;项目基本情况!B2&amp;"号"</f>
        <v>康正预评字号</v>
      </c>
    </row>
  </sheetData>
  <sheetProtection formatCells="0" formatRows="0"/>
  <mergeCells count="1">
    <mergeCell ref="B37:I37"/>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N141"/>
  <sheetViews>
    <sheetView zoomScale="60" zoomScaleNormal="60" workbookViewId="0">
      <selection sqref="A1:XFD1048576"/>
    </sheetView>
  </sheetViews>
  <sheetFormatPr defaultColWidth="13.875" defaultRowHeight="13.5"/>
  <cols>
    <col min="1" max="1" width="13.875" style="958"/>
    <col min="2" max="9" width="13.875" style="974"/>
    <col min="10" max="16384" width="13.875" style="958"/>
  </cols>
  <sheetData>
    <row r="1" spans="1:13" ht="14.25" thickBot="1">
      <c r="A1" s="975" t="s">
        <v>2765</v>
      </c>
      <c r="B1" s="963" t="s">
        <v>990</v>
      </c>
      <c r="C1" s="963" t="s">
        <v>1031</v>
      </c>
      <c r="D1" s="963" t="s">
        <v>1145</v>
      </c>
      <c r="E1" s="963" t="s">
        <v>853</v>
      </c>
      <c r="F1" s="963" t="s">
        <v>1152</v>
      </c>
      <c r="G1" s="963" t="s">
        <v>1153</v>
      </c>
      <c r="H1" s="963" t="s">
        <v>1154</v>
      </c>
      <c r="I1" s="963" t="s">
        <v>1155</v>
      </c>
      <c r="J1" s="963" t="s">
        <v>1156</v>
      </c>
      <c r="K1" s="963" t="s">
        <v>1157</v>
      </c>
      <c r="L1" s="963" t="s">
        <v>2766</v>
      </c>
      <c r="M1" s="964" t="s">
        <v>2767</v>
      </c>
    </row>
    <row r="2" spans="1:13">
      <c r="A2" s="2984" t="s">
        <v>2742</v>
      </c>
      <c r="B2" s="2985">
        <v>3.5</v>
      </c>
      <c r="C2" s="2985">
        <v>3.5</v>
      </c>
      <c r="D2" s="2986">
        <v>2.5</v>
      </c>
      <c r="E2" s="2986">
        <v>2.5</v>
      </c>
      <c r="F2" s="2986">
        <v>2.5</v>
      </c>
      <c r="G2" s="2986">
        <v>2.5</v>
      </c>
      <c r="H2" s="2986">
        <v>2.5</v>
      </c>
      <c r="I2" s="2985">
        <v>2</v>
      </c>
      <c r="J2" s="2985">
        <v>2</v>
      </c>
      <c r="K2" s="2985">
        <v>2</v>
      </c>
      <c r="L2" s="2985">
        <v>2</v>
      </c>
      <c r="M2" s="2987">
        <v>2</v>
      </c>
    </row>
    <row r="3" spans="1:13">
      <c r="A3" s="2988" t="s">
        <v>1212</v>
      </c>
      <c r="B3" s="2989">
        <v>3.5</v>
      </c>
      <c r="C3" s="2989">
        <v>3.5</v>
      </c>
      <c r="D3" s="2990">
        <v>2.5</v>
      </c>
      <c r="E3" s="2990">
        <v>2.5</v>
      </c>
      <c r="F3" s="2990">
        <v>2.5</v>
      </c>
      <c r="G3" s="2990">
        <v>2.5</v>
      </c>
      <c r="H3" s="2990">
        <v>2.5</v>
      </c>
      <c r="I3" s="2989">
        <v>2</v>
      </c>
      <c r="J3" s="2989">
        <v>2</v>
      </c>
      <c r="K3" s="2989">
        <v>2</v>
      </c>
      <c r="L3" s="2989">
        <v>2</v>
      </c>
      <c r="M3" s="2991">
        <v>2</v>
      </c>
    </row>
    <row r="4" spans="1:13">
      <c r="A4" s="2988" t="s">
        <v>851</v>
      </c>
      <c r="B4" s="2990">
        <v>2.5</v>
      </c>
      <c r="C4" s="2990">
        <v>2.5</v>
      </c>
      <c r="D4" s="2990">
        <v>2.5</v>
      </c>
      <c r="E4" s="2990">
        <v>2.5</v>
      </c>
      <c r="F4" s="2990">
        <v>2.5</v>
      </c>
      <c r="G4" s="2990">
        <v>2.5</v>
      </c>
      <c r="H4" s="2990">
        <v>2.5</v>
      </c>
      <c r="I4" s="2989">
        <v>1.5</v>
      </c>
      <c r="J4" s="2989">
        <v>1.5</v>
      </c>
      <c r="K4" s="2989">
        <v>1.5</v>
      </c>
      <c r="L4" s="2989">
        <v>1.5</v>
      </c>
      <c r="M4" s="2991">
        <v>1.5</v>
      </c>
    </row>
    <row r="5" spans="1:13">
      <c r="A5" s="2992" t="s">
        <v>905</v>
      </c>
      <c r="B5" s="2989">
        <v>1.5</v>
      </c>
      <c r="C5" s="2989">
        <v>1.5</v>
      </c>
      <c r="D5" s="2989">
        <v>1.5</v>
      </c>
      <c r="E5" s="2989">
        <v>1.5</v>
      </c>
      <c r="F5" s="2989">
        <v>1.5</v>
      </c>
      <c r="G5" s="2989">
        <v>1.2</v>
      </c>
      <c r="H5" s="2989">
        <v>1.2</v>
      </c>
      <c r="I5" s="2989">
        <v>1</v>
      </c>
      <c r="J5" s="2989">
        <v>1</v>
      </c>
      <c r="K5" s="2989">
        <v>1</v>
      </c>
      <c r="L5" s="2989">
        <v>1</v>
      </c>
      <c r="M5" s="2991">
        <v>1</v>
      </c>
    </row>
    <row r="6" spans="1:13">
      <c r="A6" s="2993" t="s">
        <v>2768</v>
      </c>
      <c r="B6" s="2994">
        <v>2.5</v>
      </c>
      <c r="C6" s="2994">
        <v>2.5</v>
      </c>
      <c r="D6" s="2994">
        <v>2</v>
      </c>
      <c r="E6" s="2994">
        <v>2</v>
      </c>
      <c r="F6" s="2994">
        <v>2</v>
      </c>
      <c r="G6" s="2994">
        <v>2</v>
      </c>
      <c r="H6" s="2994">
        <v>2</v>
      </c>
      <c r="I6" s="2995">
        <v>1.5</v>
      </c>
      <c r="J6" s="2995">
        <v>1.5</v>
      </c>
      <c r="K6" s="2995">
        <v>1.5</v>
      </c>
      <c r="L6" s="2995">
        <v>1.5</v>
      </c>
      <c r="M6" s="2996">
        <v>1.5</v>
      </c>
    </row>
    <row r="7" spans="1:13" ht="14.25" thickBot="1">
      <c r="A7" s="2997" t="s">
        <v>2740</v>
      </c>
      <c r="B7" s="2998">
        <v>2.5</v>
      </c>
      <c r="C7" s="2998">
        <v>2.5</v>
      </c>
      <c r="D7" s="2998">
        <v>2</v>
      </c>
      <c r="E7" s="2998">
        <v>2</v>
      </c>
      <c r="F7" s="2998">
        <v>2</v>
      </c>
      <c r="G7" s="2998">
        <v>2</v>
      </c>
      <c r="H7" s="2998">
        <v>2</v>
      </c>
      <c r="I7" s="2999">
        <v>1.5</v>
      </c>
      <c r="J7" s="2999">
        <v>1.5</v>
      </c>
      <c r="K7" s="2999">
        <v>1.5</v>
      </c>
      <c r="L7" s="2999">
        <v>1.5</v>
      </c>
      <c r="M7" s="3000">
        <v>1.5</v>
      </c>
    </row>
    <row r="8" spans="1:13">
      <c r="A8" s="976" t="s">
        <v>2769</v>
      </c>
      <c r="B8" s="3001">
        <v>80</v>
      </c>
      <c r="C8" s="3001">
        <v>80</v>
      </c>
      <c r="D8" s="3001">
        <v>70</v>
      </c>
      <c r="E8" s="3001">
        <v>70</v>
      </c>
      <c r="F8" s="3001">
        <v>70</v>
      </c>
      <c r="G8" s="3001">
        <v>70</v>
      </c>
      <c r="H8" s="3001">
        <v>70</v>
      </c>
      <c r="I8" s="3001">
        <v>60</v>
      </c>
      <c r="J8" s="3001">
        <v>60</v>
      </c>
      <c r="K8" s="3001">
        <v>60</v>
      </c>
      <c r="L8" s="3001">
        <v>60</v>
      </c>
      <c r="M8" s="3002">
        <v>60</v>
      </c>
    </row>
    <row r="9" spans="1:13">
      <c r="A9" s="959" t="s">
        <v>2770</v>
      </c>
      <c r="B9" s="3003">
        <v>70</v>
      </c>
      <c r="C9" s="3003">
        <v>70</v>
      </c>
      <c r="D9" s="3003">
        <v>60</v>
      </c>
      <c r="E9" s="3003">
        <v>60</v>
      </c>
      <c r="F9" s="3003">
        <v>60</v>
      </c>
      <c r="G9" s="3003">
        <v>60</v>
      </c>
      <c r="H9" s="3003">
        <v>60</v>
      </c>
      <c r="I9" s="3003">
        <v>50</v>
      </c>
      <c r="J9" s="3003">
        <v>50</v>
      </c>
      <c r="K9" s="3003">
        <v>50</v>
      </c>
      <c r="L9" s="3003">
        <v>50</v>
      </c>
      <c r="M9" s="3004">
        <v>50</v>
      </c>
    </row>
    <row r="10" spans="1:13">
      <c r="A10" s="959" t="s">
        <v>2771</v>
      </c>
      <c r="B10" s="3003">
        <v>20</v>
      </c>
      <c r="C10" s="3003">
        <v>20</v>
      </c>
      <c r="D10" s="3003">
        <v>15</v>
      </c>
      <c r="E10" s="3003">
        <v>15</v>
      </c>
      <c r="F10" s="3003">
        <v>15</v>
      </c>
      <c r="G10" s="3003">
        <v>15</v>
      </c>
      <c r="H10" s="3003">
        <v>15</v>
      </c>
      <c r="I10" s="3003">
        <v>10</v>
      </c>
      <c r="J10" s="3003">
        <v>10</v>
      </c>
      <c r="K10" s="3003">
        <v>10</v>
      </c>
      <c r="L10" s="3003">
        <v>10</v>
      </c>
      <c r="M10" s="3004">
        <v>10</v>
      </c>
    </row>
    <row r="11" spans="1:13">
      <c r="A11" s="959" t="s">
        <v>2772</v>
      </c>
      <c r="B11" s="3003">
        <v>30</v>
      </c>
      <c r="C11" s="3003">
        <v>30</v>
      </c>
      <c r="D11" s="3003">
        <v>25</v>
      </c>
      <c r="E11" s="3003">
        <v>25</v>
      </c>
      <c r="F11" s="3003">
        <v>25</v>
      </c>
      <c r="G11" s="3003">
        <v>25</v>
      </c>
      <c r="H11" s="3003">
        <v>25</v>
      </c>
      <c r="I11" s="3003">
        <v>20</v>
      </c>
      <c r="J11" s="3003">
        <v>20</v>
      </c>
      <c r="K11" s="3003">
        <v>20</v>
      </c>
      <c r="L11" s="3003">
        <v>20</v>
      </c>
      <c r="M11" s="3004">
        <v>20</v>
      </c>
    </row>
    <row r="12" spans="1:13">
      <c r="A12" s="959" t="s">
        <v>2773</v>
      </c>
      <c r="B12" s="3003">
        <v>45</v>
      </c>
      <c r="C12" s="3003">
        <v>45</v>
      </c>
      <c r="D12" s="3003">
        <v>40</v>
      </c>
      <c r="E12" s="3003">
        <v>40</v>
      </c>
      <c r="F12" s="3003">
        <v>40</v>
      </c>
      <c r="G12" s="3003">
        <v>40</v>
      </c>
      <c r="H12" s="3003">
        <v>40</v>
      </c>
      <c r="I12" s="3003">
        <v>35</v>
      </c>
      <c r="J12" s="3003">
        <v>35</v>
      </c>
      <c r="K12" s="3003">
        <v>35</v>
      </c>
      <c r="L12" s="3003">
        <v>35</v>
      </c>
      <c r="M12" s="3004">
        <v>35</v>
      </c>
    </row>
    <row r="13" spans="1:13">
      <c r="A13" s="959" t="s">
        <v>2774</v>
      </c>
      <c r="B13" s="3003">
        <v>60</v>
      </c>
      <c r="C13" s="3003">
        <v>60</v>
      </c>
      <c r="D13" s="3003">
        <v>50</v>
      </c>
      <c r="E13" s="3003">
        <v>50</v>
      </c>
      <c r="F13" s="3003">
        <v>50</v>
      </c>
      <c r="G13" s="3003">
        <v>50</v>
      </c>
      <c r="H13" s="3003">
        <v>50</v>
      </c>
      <c r="I13" s="3003">
        <v>40</v>
      </c>
      <c r="J13" s="3003">
        <v>40</v>
      </c>
      <c r="K13" s="3003">
        <v>40</v>
      </c>
      <c r="L13" s="3003">
        <v>40</v>
      </c>
      <c r="M13" s="3004">
        <v>40</v>
      </c>
    </row>
    <row r="14" spans="1:13">
      <c r="A14" s="959" t="s">
        <v>2775</v>
      </c>
      <c r="B14" s="3003">
        <v>50</v>
      </c>
      <c r="C14" s="3003">
        <v>50</v>
      </c>
      <c r="D14" s="3003">
        <v>40</v>
      </c>
      <c r="E14" s="3003">
        <v>40</v>
      </c>
      <c r="F14" s="3003">
        <v>40</v>
      </c>
      <c r="G14" s="3003">
        <v>40</v>
      </c>
      <c r="H14" s="3003">
        <v>40</v>
      </c>
      <c r="I14" s="3003">
        <v>30</v>
      </c>
      <c r="J14" s="3003">
        <v>30</v>
      </c>
      <c r="K14" s="3003">
        <v>30</v>
      </c>
      <c r="L14" s="3003">
        <v>30</v>
      </c>
      <c r="M14" s="3004">
        <v>30</v>
      </c>
    </row>
    <row r="15" spans="1:13">
      <c r="A15" s="977" t="s">
        <v>2776</v>
      </c>
      <c r="B15" s="3005">
        <v>20</v>
      </c>
      <c r="C15" s="3005">
        <v>20</v>
      </c>
      <c r="D15" s="3005">
        <v>15</v>
      </c>
      <c r="E15" s="3005">
        <v>15</v>
      </c>
      <c r="F15" s="3005">
        <v>15</v>
      </c>
      <c r="G15" s="3005">
        <v>15</v>
      </c>
      <c r="H15" s="3005">
        <v>15</v>
      </c>
      <c r="I15" s="3005">
        <v>10</v>
      </c>
      <c r="J15" s="3005">
        <v>10</v>
      </c>
      <c r="K15" s="3005">
        <v>10</v>
      </c>
      <c r="L15" s="3005">
        <v>10</v>
      </c>
      <c r="M15" s="3006">
        <v>10</v>
      </c>
    </row>
    <row r="16" spans="1:13">
      <c r="A16" s="960" t="s">
        <v>877</v>
      </c>
      <c r="B16" s="978">
        <v>0</v>
      </c>
      <c r="C16" s="978">
        <v>0</v>
      </c>
      <c r="D16" s="978">
        <v>0</v>
      </c>
      <c r="E16" s="978">
        <v>0</v>
      </c>
      <c r="F16" s="978">
        <v>0</v>
      </c>
      <c r="G16" s="978">
        <v>0</v>
      </c>
      <c r="H16" s="978">
        <v>0</v>
      </c>
      <c r="I16" s="978">
        <v>0</v>
      </c>
      <c r="J16" s="978">
        <v>0</v>
      </c>
      <c r="K16" s="978">
        <v>0</v>
      </c>
      <c r="L16" s="978">
        <v>0</v>
      </c>
      <c r="M16" s="978">
        <v>0</v>
      </c>
    </row>
    <row r="17" spans="1:13">
      <c r="A17" s="2403" t="s">
        <v>2777</v>
      </c>
      <c r="B17" s="2356">
        <f>SUM(B8:B15)</f>
        <v>375</v>
      </c>
      <c r="C17" s="2356">
        <f t="shared" ref="C17:H17" si="0">SUM(C8:C15)</f>
        <v>375</v>
      </c>
      <c r="D17" s="2356">
        <f t="shared" si="0"/>
        <v>315</v>
      </c>
      <c r="E17" s="2356">
        <f t="shared" si="0"/>
        <v>315</v>
      </c>
      <c r="F17" s="2356">
        <f t="shared" si="0"/>
        <v>315</v>
      </c>
      <c r="G17" s="2356">
        <f t="shared" si="0"/>
        <v>315</v>
      </c>
      <c r="H17" s="2356">
        <f t="shared" si="0"/>
        <v>315</v>
      </c>
      <c r="I17" s="2356">
        <f>SUM(I8:I15)-I13-I14</f>
        <v>185</v>
      </c>
      <c r="J17" s="2356">
        <f>SUM(J8:J15)-J13-J14</f>
        <v>185</v>
      </c>
      <c r="K17" s="2356">
        <f>SUM(K8:K15)-K13-K14</f>
        <v>185</v>
      </c>
      <c r="L17" s="2356">
        <f>SUM(L8:L15)-L13-L14</f>
        <v>185</v>
      </c>
      <c r="M17" s="2356">
        <f>SUM(M8:M15)-M13-M14</f>
        <v>185</v>
      </c>
    </row>
    <row r="18" spans="1:13">
      <c r="A18" s="979" t="s">
        <v>1160</v>
      </c>
      <c r="B18" s="979"/>
      <c r="C18" s="980"/>
      <c r="D18" s="980"/>
      <c r="E18" s="979"/>
      <c r="F18" s="980"/>
      <c r="G18" s="980"/>
    </row>
    <row r="19" spans="1:13" ht="14.25" thickBot="1">
      <c r="A19" s="3005" t="s">
        <v>2459</v>
      </c>
      <c r="B19" s="3007" t="s">
        <v>2460</v>
      </c>
      <c r="C19" s="3008" t="s">
        <v>2461</v>
      </c>
      <c r="D19" s="3009"/>
      <c r="E19" s="3003" t="s">
        <v>2462</v>
      </c>
      <c r="F19" s="982"/>
      <c r="G19" s="982"/>
    </row>
    <row r="20" spans="1:13">
      <c r="A20" s="3667" t="s">
        <v>2453</v>
      </c>
      <c r="B20" s="3670" t="s">
        <v>2463</v>
      </c>
      <c r="C20" s="3010" t="s">
        <v>2464</v>
      </c>
      <c r="D20" s="3011"/>
      <c r="E20" s="3012">
        <v>1</v>
      </c>
      <c r="F20" s="3013" t="s">
        <v>2465</v>
      </c>
      <c r="G20" s="984"/>
    </row>
    <row r="21" spans="1:13">
      <c r="A21" s="3668"/>
      <c r="B21" s="3666"/>
      <c r="C21" s="3014" t="s">
        <v>2466</v>
      </c>
      <c r="D21" s="3015"/>
      <c r="E21" s="3016">
        <v>1</v>
      </c>
      <c r="F21" s="3013" t="s">
        <v>2467</v>
      </c>
      <c r="G21" s="984"/>
    </row>
    <row r="22" spans="1:13">
      <c r="A22" s="3668"/>
      <c r="B22" s="3666"/>
      <c r="C22" s="3014" t="s">
        <v>2468</v>
      </c>
      <c r="D22" s="3015"/>
      <c r="E22" s="3016">
        <v>0.9</v>
      </c>
      <c r="F22" s="3013" t="s">
        <v>2469</v>
      </c>
      <c r="G22" s="984"/>
    </row>
    <row r="23" spans="1:13">
      <c r="A23" s="3668"/>
      <c r="B23" s="3666"/>
      <c r="C23" s="3014" t="s">
        <v>2470</v>
      </c>
      <c r="D23" s="3015"/>
      <c r="E23" s="3016">
        <v>0.9</v>
      </c>
      <c r="F23" s="3013" t="s">
        <v>2471</v>
      </c>
      <c r="G23" s="984"/>
    </row>
    <row r="24" spans="1:13">
      <c r="A24" s="3668"/>
      <c r="B24" s="3666"/>
      <c r="C24" s="3014" t="s">
        <v>2472</v>
      </c>
      <c r="D24" s="3015"/>
      <c r="E24" s="3016">
        <v>0.8</v>
      </c>
      <c r="F24" s="3013" t="s">
        <v>2473</v>
      </c>
      <c r="G24" s="984"/>
    </row>
    <row r="25" spans="1:13" ht="14.25" thickBot="1">
      <c r="A25" s="3669"/>
      <c r="B25" s="3671"/>
      <c r="C25" s="3017" t="s">
        <v>2474</v>
      </c>
      <c r="D25" s="3018"/>
      <c r="E25" s="3019">
        <v>0.8</v>
      </c>
      <c r="F25" s="3013" t="s">
        <v>2475</v>
      </c>
      <c r="G25" s="984"/>
    </row>
    <row r="26" spans="1:13" ht="14.25" thickBot="1">
      <c r="A26" s="3020" t="s">
        <v>2454</v>
      </c>
      <c r="B26" s="3021" t="s">
        <v>2463</v>
      </c>
      <c r="C26" s="3022" t="s">
        <v>2476</v>
      </c>
      <c r="D26" s="3023"/>
      <c r="E26" s="3024">
        <v>1</v>
      </c>
      <c r="F26" s="3013" t="s">
        <v>2477</v>
      </c>
      <c r="G26" s="984"/>
    </row>
    <row r="27" spans="1:13">
      <c r="A27" s="3672" t="s">
        <v>2458</v>
      </c>
      <c r="B27" s="3670" t="s">
        <v>2458</v>
      </c>
      <c r="C27" s="3010" t="s">
        <v>2478</v>
      </c>
      <c r="D27" s="3011"/>
      <c r="E27" s="3012">
        <v>1</v>
      </c>
      <c r="F27" s="3013" t="s">
        <v>2479</v>
      </c>
      <c r="G27" s="984"/>
    </row>
    <row r="28" spans="1:13">
      <c r="A28" s="3673"/>
      <c r="B28" s="3666"/>
      <c r="C28" s="3014" t="s">
        <v>2480</v>
      </c>
      <c r="D28" s="3015"/>
      <c r="E28" s="3016">
        <v>1</v>
      </c>
      <c r="F28" s="3013" t="s">
        <v>2481</v>
      </c>
      <c r="G28" s="984"/>
    </row>
    <row r="29" spans="1:13">
      <c r="A29" s="3673"/>
      <c r="B29" s="3666"/>
      <c r="C29" s="3014" t="s">
        <v>2482</v>
      </c>
      <c r="D29" s="3015"/>
      <c r="E29" s="3016">
        <v>0.8</v>
      </c>
      <c r="F29" s="3013" t="s">
        <v>2483</v>
      </c>
      <c r="G29" s="984"/>
    </row>
    <row r="30" spans="1:13">
      <c r="A30" s="3673"/>
      <c r="B30" s="3666"/>
      <c r="C30" s="3014" t="s">
        <v>2484</v>
      </c>
      <c r="D30" s="3015"/>
      <c r="E30" s="3016">
        <v>0.8</v>
      </c>
      <c r="F30" s="3013" t="s">
        <v>2485</v>
      </c>
      <c r="G30" s="984"/>
    </row>
    <row r="31" spans="1:13">
      <c r="A31" s="3673"/>
      <c r="B31" s="3666"/>
      <c r="C31" s="3014" t="s">
        <v>2486</v>
      </c>
      <c r="D31" s="3015"/>
      <c r="E31" s="3016">
        <v>0.8</v>
      </c>
      <c r="F31" s="3013" t="s">
        <v>2487</v>
      </c>
      <c r="G31" s="984"/>
    </row>
    <row r="32" spans="1:13">
      <c r="A32" s="3673"/>
      <c r="B32" s="3666"/>
      <c r="C32" s="3014" t="s">
        <v>2488</v>
      </c>
      <c r="D32" s="3015"/>
      <c r="E32" s="3016">
        <v>0.7</v>
      </c>
      <c r="F32" s="3013" t="s">
        <v>2489</v>
      </c>
      <c r="G32" s="984"/>
    </row>
    <row r="33" spans="1:7">
      <c r="A33" s="3673"/>
      <c r="B33" s="3666"/>
      <c r="C33" s="3014" t="s">
        <v>2490</v>
      </c>
      <c r="D33" s="3015"/>
      <c r="E33" s="3016">
        <v>0.8</v>
      </c>
      <c r="F33" s="3013" t="s">
        <v>2491</v>
      </c>
      <c r="G33" s="984"/>
    </row>
    <row r="34" spans="1:7">
      <c r="A34" s="3673"/>
      <c r="B34" s="3666"/>
      <c r="C34" s="3014" t="s">
        <v>2492</v>
      </c>
      <c r="D34" s="3015"/>
      <c r="E34" s="3016">
        <v>0.6</v>
      </c>
      <c r="F34" s="3013" t="s">
        <v>2493</v>
      </c>
      <c r="G34" s="984"/>
    </row>
    <row r="35" spans="1:7">
      <c r="A35" s="3673"/>
      <c r="B35" s="3666"/>
      <c r="C35" s="3014" t="s">
        <v>2494</v>
      </c>
      <c r="D35" s="3015"/>
      <c r="E35" s="3016">
        <v>0.2</v>
      </c>
      <c r="F35" s="3013" t="s">
        <v>2495</v>
      </c>
      <c r="G35" s="984"/>
    </row>
    <row r="36" spans="1:7">
      <c r="A36" s="3673"/>
      <c r="B36" s="3666"/>
      <c r="C36" s="3014" t="s">
        <v>2496</v>
      </c>
      <c r="D36" s="3015"/>
      <c r="E36" s="3016">
        <v>0.2</v>
      </c>
      <c r="F36" s="3013" t="s">
        <v>2497</v>
      </c>
      <c r="G36" s="984"/>
    </row>
    <row r="37" spans="1:7">
      <c r="A37" s="3673"/>
      <c r="B37" s="3664" t="s">
        <v>2498</v>
      </c>
      <c r="C37" s="3014" t="s">
        <v>2499</v>
      </c>
      <c r="D37" s="3015"/>
      <c r="E37" s="3016">
        <v>0.6</v>
      </c>
      <c r="F37" s="3013" t="s">
        <v>2500</v>
      </c>
      <c r="G37" s="984"/>
    </row>
    <row r="38" spans="1:7">
      <c r="A38" s="3673"/>
      <c r="B38" s="3666"/>
      <c r="C38" s="3014" t="s">
        <v>2501</v>
      </c>
      <c r="D38" s="3015"/>
      <c r="E38" s="3016">
        <v>0.6</v>
      </c>
      <c r="F38" s="3013" t="s">
        <v>2502</v>
      </c>
      <c r="G38" s="984"/>
    </row>
    <row r="39" spans="1:7" ht="14.25" thickBot="1">
      <c r="A39" s="3674"/>
      <c r="B39" s="3671"/>
      <c r="C39" s="3017" t="s">
        <v>2503</v>
      </c>
      <c r="D39" s="3018"/>
      <c r="E39" s="3019">
        <v>0.6</v>
      </c>
      <c r="F39" s="3013" t="s">
        <v>2504</v>
      </c>
      <c r="G39" s="984"/>
    </row>
    <row r="40" spans="1:7" ht="14.25" thickBot="1">
      <c r="A40" s="3020" t="s">
        <v>2455</v>
      </c>
      <c r="B40" s="3021" t="s">
        <v>2455</v>
      </c>
      <c r="C40" s="3022" t="s">
        <v>2505</v>
      </c>
      <c r="D40" s="3023"/>
      <c r="E40" s="3024">
        <v>1</v>
      </c>
      <c r="F40" s="3013" t="s">
        <v>2506</v>
      </c>
      <c r="G40" s="984"/>
    </row>
    <row r="41" spans="1:7">
      <c r="A41" s="3667" t="s">
        <v>2456</v>
      </c>
      <c r="B41" s="3670" t="s">
        <v>2507</v>
      </c>
      <c r="C41" s="3010" t="s">
        <v>2508</v>
      </c>
      <c r="D41" s="3011"/>
      <c r="E41" s="3012">
        <v>1</v>
      </c>
      <c r="F41" s="3013" t="s">
        <v>2509</v>
      </c>
      <c r="G41" s="984"/>
    </row>
    <row r="42" spans="1:7">
      <c r="A42" s="3668"/>
      <c r="B42" s="3666"/>
      <c r="C42" s="3014" t="s">
        <v>2510</v>
      </c>
      <c r="D42" s="3015"/>
      <c r="E42" s="3016">
        <v>1</v>
      </c>
      <c r="F42" s="3013" t="s">
        <v>2511</v>
      </c>
      <c r="G42" s="984"/>
    </row>
    <row r="43" spans="1:7">
      <c r="A43" s="3668"/>
      <c r="B43" s="3665"/>
      <c r="C43" s="3014" t="s">
        <v>2512</v>
      </c>
      <c r="D43" s="3015"/>
      <c r="E43" s="3016">
        <v>1.5</v>
      </c>
      <c r="F43" s="3013" t="s">
        <v>2513</v>
      </c>
      <c r="G43" s="984"/>
    </row>
    <row r="44" spans="1:7">
      <c r="A44" s="3668"/>
      <c r="B44" s="3025" t="s">
        <v>2458</v>
      </c>
      <c r="C44" s="3014" t="s">
        <v>2457</v>
      </c>
      <c r="D44" s="3015"/>
      <c r="E44" s="3016">
        <v>2</v>
      </c>
      <c r="F44" s="3013" t="s">
        <v>2514</v>
      </c>
      <c r="G44" s="984"/>
    </row>
    <row r="45" spans="1:7">
      <c r="A45" s="3668"/>
      <c r="B45" s="3664" t="s">
        <v>2515</v>
      </c>
      <c r="C45" s="3014" t="s">
        <v>2516</v>
      </c>
      <c r="D45" s="3015"/>
      <c r="E45" s="3016">
        <v>1</v>
      </c>
      <c r="F45" s="3013" t="s">
        <v>2517</v>
      </c>
      <c r="G45" s="984"/>
    </row>
    <row r="46" spans="1:7">
      <c r="A46" s="3668"/>
      <c r="B46" s="3666"/>
      <c r="C46" s="3014" t="s">
        <v>2518</v>
      </c>
      <c r="D46" s="3015"/>
      <c r="E46" s="3016">
        <v>1</v>
      </c>
      <c r="F46" s="3013" t="s">
        <v>2519</v>
      </c>
      <c r="G46" s="984"/>
    </row>
    <row r="47" spans="1:7">
      <c r="A47" s="3668"/>
      <c r="B47" s="3666"/>
      <c r="C47" s="3014" t="s">
        <v>2520</v>
      </c>
      <c r="D47" s="3015"/>
      <c r="E47" s="3016">
        <v>1</v>
      </c>
      <c r="F47" s="3013" t="s">
        <v>2521</v>
      </c>
      <c r="G47" s="984"/>
    </row>
    <row r="48" spans="1:7">
      <c r="A48" s="3668"/>
      <c r="B48" s="3666"/>
      <c r="C48" s="3014" t="s">
        <v>2522</v>
      </c>
      <c r="D48" s="3015"/>
      <c r="E48" s="3016">
        <v>1</v>
      </c>
      <c r="F48" s="3013" t="s">
        <v>2523</v>
      </c>
      <c r="G48" s="984"/>
    </row>
    <row r="49" spans="1:9">
      <c r="A49" s="3668"/>
      <c r="B49" s="3666"/>
      <c r="C49" s="3014" t="s">
        <v>2524</v>
      </c>
      <c r="D49" s="3015"/>
      <c r="E49" s="3016">
        <v>1</v>
      </c>
      <c r="F49" s="3013" t="s">
        <v>2525</v>
      </c>
      <c r="G49" s="984"/>
    </row>
    <row r="50" spans="1:9">
      <c r="A50" s="3668"/>
      <c r="B50" s="3666"/>
      <c r="C50" s="3014" t="s">
        <v>2526</v>
      </c>
      <c r="D50" s="3015"/>
      <c r="E50" s="3016">
        <v>1</v>
      </c>
      <c r="F50" s="3013" t="s">
        <v>2527</v>
      </c>
      <c r="G50" s="984"/>
    </row>
    <row r="51" spans="1:9" ht="14.25" thickBot="1">
      <c r="A51" s="3669"/>
      <c r="B51" s="3671"/>
      <c r="C51" s="3017" t="s">
        <v>2528</v>
      </c>
      <c r="D51" s="3018"/>
      <c r="E51" s="3019">
        <v>1</v>
      </c>
      <c r="F51" s="3013" t="s">
        <v>2529</v>
      </c>
      <c r="G51" s="984"/>
    </row>
    <row r="52" spans="1:9">
      <c r="A52" s="1327"/>
      <c r="B52" s="1327"/>
      <c r="C52" s="1327"/>
      <c r="D52" s="1327"/>
      <c r="E52" s="1327"/>
      <c r="F52" s="983"/>
      <c r="G52" s="983"/>
    </row>
    <row r="54" spans="1:9">
      <c r="A54" s="985"/>
      <c r="B54" s="960" t="s">
        <v>1162</v>
      </c>
      <c r="C54" s="960" t="s">
        <v>1162</v>
      </c>
      <c r="D54" s="960" t="s">
        <v>1162</v>
      </c>
      <c r="E54" s="999" t="s">
        <v>1162</v>
      </c>
      <c r="F54" s="999" t="s">
        <v>1163</v>
      </c>
      <c r="G54" s="999" t="s">
        <v>1162</v>
      </c>
      <c r="I54" s="958"/>
    </row>
    <row r="55" spans="1:9">
      <c r="A55" s="986"/>
      <c r="B55" s="999" t="s">
        <v>929</v>
      </c>
      <c r="C55" s="999" t="s">
        <v>929</v>
      </c>
      <c r="D55" s="999" t="s">
        <v>929</v>
      </c>
      <c r="E55" s="960" t="s">
        <v>951</v>
      </c>
      <c r="F55" s="960" t="s">
        <v>1158</v>
      </c>
      <c r="G55" s="960" t="s">
        <v>1164</v>
      </c>
      <c r="I55" s="958"/>
    </row>
    <row r="56" spans="1:9">
      <c r="A56" s="987"/>
      <c r="B56" s="960">
        <v>1</v>
      </c>
      <c r="C56" s="960">
        <v>2</v>
      </c>
      <c r="D56" s="960">
        <v>3</v>
      </c>
      <c r="E56" s="981" t="s">
        <v>2778</v>
      </c>
      <c r="F56" s="981" t="s">
        <v>2778</v>
      </c>
      <c r="G56" s="981" t="s">
        <v>2778</v>
      </c>
      <c r="I56" s="958"/>
    </row>
    <row r="57" spans="1:9">
      <c r="A57" s="998" t="s">
        <v>836</v>
      </c>
      <c r="B57" s="3003">
        <v>0.7</v>
      </c>
      <c r="C57" s="3003">
        <v>0.4</v>
      </c>
      <c r="D57" s="3003">
        <v>0.3</v>
      </c>
      <c r="E57" s="3009">
        <v>0.3</v>
      </c>
      <c r="F57" s="3003">
        <v>0.3</v>
      </c>
      <c r="G57" s="3003">
        <v>0.2</v>
      </c>
      <c r="I57" s="958"/>
    </row>
    <row r="58" spans="1:9">
      <c r="A58" s="998" t="s">
        <v>837</v>
      </c>
      <c r="B58" s="3003">
        <v>0.7</v>
      </c>
      <c r="C58" s="3003">
        <v>0.4</v>
      </c>
      <c r="D58" s="3003">
        <v>0.3</v>
      </c>
      <c r="E58" s="3003">
        <v>0.3</v>
      </c>
      <c r="F58" s="3003">
        <v>0.3</v>
      </c>
      <c r="G58" s="3003">
        <v>0.2</v>
      </c>
      <c r="I58" s="958"/>
    </row>
    <row r="59" spans="1:9">
      <c r="A59" s="998" t="s">
        <v>838</v>
      </c>
      <c r="B59" s="3003">
        <v>0.6</v>
      </c>
      <c r="C59" s="3003">
        <v>0.3</v>
      </c>
      <c r="D59" s="3003">
        <v>0.25</v>
      </c>
      <c r="E59" s="3003">
        <v>0.25</v>
      </c>
      <c r="F59" s="3003">
        <v>0.25</v>
      </c>
      <c r="G59" s="3003">
        <v>0.15</v>
      </c>
      <c r="I59" s="958"/>
    </row>
    <row r="60" spans="1:9">
      <c r="A60" s="998" t="s">
        <v>839</v>
      </c>
      <c r="B60" s="3003">
        <v>0.6</v>
      </c>
      <c r="C60" s="3003">
        <v>0.3</v>
      </c>
      <c r="D60" s="3003">
        <v>0.25</v>
      </c>
      <c r="E60" s="3003">
        <v>0.25</v>
      </c>
      <c r="F60" s="3003">
        <v>0.25</v>
      </c>
      <c r="G60" s="3003">
        <v>0.15</v>
      </c>
      <c r="I60" s="958"/>
    </row>
    <row r="61" spans="1:9" s="974" customFormat="1">
      <c r="A61" s="998" t="s">
        <v>840</v>
      </c>
      <c r="B61" s="3003">
        <v>0.6</v>
      </c>
      <c r="C61" s="3003">
        <v>0.3</v>
      </c>
      <c r="D61" s="3003">
        <v>0.25</v>
      </c>
      <c r="E61" s="3003">
        <v>0.25</v>
      </c>
      <c r="F61" s="3003">
        <v>0.25</v>
      </c>
      <c r="G61" s="3003">
        <v>0.15</v>
      </c>
    </row>
    <row r="62" spans="1:9" s="974" customFormat="1">
      <c r="A62" s="998" t="s">
        <v>841</v>
      </c>
      <c r="B62" s="3003">
        <v>0.6</v>
      </c>
      <c r="C62" s="3003">
        <v>0.3</v>
      </c>
      <c r="D62" s="3003">
        <v>0.25</v>
      </c>
      <c r="E62" s="3003">
        <v>0.25</v>
      </c>
      <c r="F62" s="3003">
        <v>0.25</v>
      </c>
      <c r="G62" s="3003">
        <v>0.15</v>
      </c>
    </row>
    <row r="63" spans="1:9" s="974" customFormat="1">
      <c r="A63" s="998" t="s">
        <v>842</v>
      </c>
      <c r="B63" s="3003">
        <v>0.6</v>
      </c>
      <c r="C63" s="3003">
        <v>0.3</v>
      </c>
      <c r="D63" s="3003">
        <v>0.25</v>
      </c>
      <c r="E63" s="3003">
        <v>0.25</v>
      </c>
      <c r="F63" s="3003">
        <v>0.25</v>
      </c>
      <c r="G63" s="3003">
        <v>0.15</v>
      </c>
    </row>
    <row r="64" spans="1:9" s="974" customFormat="1">
      <c r="A64" s="998" t="s">
        <v>843</v>
      </c>
      <c r="B64" s="3003">
        <v>0.5</v>
      </c>
      <c r="C64" s="3003">
        <v>0.2</v>
      </c>
      <c r="D64" s="3003">
        <v>0.2</v>
      </c>
      <c r="E64" s="3003">
        <v>0.2</v>
      </c>
      <c r="F64" s="3003">
        <v>0.2</v>
      </c>
      <c r="G64" s="3003">
        <v>0.1</v>
      </c>
    </row>
    <row r="65" spans="1:8" s="974" customFormat="1">
      <c r="A65" s="998" t="s">
        <v>844</v>
      </c>
      <c r="B65" s="3003">
        <v>0.5</v>
      </c>
      <c r="C65" s="3003">
        <v>0.2</v>
      </c>
      <c r="D65" s="3003">
        <v>0.2</v>
      </c>
      <c r="E65" s="3003">
        <v>0.2</v>
      </c>
      <c r="F65" s="3003">
        <v>0.2</v>
      </c>
      <c r="G65" s="3003">
        <v>0.1</v>
      </c>
    </row>
    <row r="66" spans="1:8" s="974" customFormat="1">
      <c r="A66" s="998" t="s">
        <v>845</v>
      </c>
      <c r="B66" s="3003">
        <v>0.5</v>
      </c>
      <c r="C66" s="3003">
        <v>0.2</v>
      </c>
      <c r="D66" s="3003">
        <v>0.2</v>
      </c>
      <c r="E66" s="3003">
        <v>0.2</v>
      </c>
      <c r="F66" s="3003">
        <v>0.2</v>
      </c>
      <c r="G66" s="3003">
        <v>0.1</v>
      </c>
    </row>
    <row r="67" spans="1:8" s="974" customFormat="1">
      <c r="A67" s="998" t="s">
        <v>846</v>
      </c>
      <c r="B67" s="3003">
        <v>0.5</v>
      </c>
      <c r="C67" s="3003">
        <v>0.2</v>
      </c>
      <c r="D67" s="3003">
        <v>0.2</v>
      </c>
      <c r="E67" s="3003">
        <v>0.2</v>
      </c>
      <c r="F67" s="3003">
        <v>0.2</v>
      </c>
      <c r="G67" s="3003">
        <v>0.1</v>
      </c>
    </row>
    <row r="68" spans="1:8" s="974" customFormat="1">
      <c r="A68" s="998" t="s">
        <v>847</v>
      </c>
      <c r="B68" s="3003">
        <v>0.5</v>
      </c>
      <c r="C68" s="3003">
        <v>0.2</v>
      </c>
      <c r="D68" s="3003">
        <v>0.2</v>
      </c>
      <c r="E68" s="3003">
        <v>0.2</v>
      </c>
      <c r="F68" s="3003">
        <v>0.2</v>
      </c>
      <c r="G68" s="3003">
        <v>0.1</v>
      </c>
    </row>
    <row r="70" spans="1:8" s="974" customFormat="1">
      <c r="A70" s="984"/>
      <c r="B70" s="979"/>
      <c r="C70" s="979"/>
      <c r="D70" s="979" t="s">
        <v>1165</v>
      </c>
      <c r="E70" s="979"/>
      <c r="F70" s="979"/>
    </row>
    <row r="71" spans="1:8" s="974" customFormat="1">
      <c r="A71" s="1000" t="s">
        <v>1166</v>
      </c>
      <c r="B71" s="1000" t="s">
        <v>1167</v>
      </c>
      <c r="C71" s="1000" t="s">
        <v>1168</v>
      </c>
      <c r="D71" s="1000" t="s">
        <v>1169</v>
      </c>
      <c r="E71" s="1000" t="s">
        <v>1170</v>
      </c>
      <c r="F71" s="1000" t="s">
        <v>1171</v>
      </c>
    </row>
    <row r="72" spans="1:8" s="974" customFormat="1">
      <c r="A72" s="1000"/>
      <c r="B72" s="1000"/>
      <c r="C72" s="1000" t="s">
        <v>2530</v>
      </c>
      <c r="D72" s="1000"/>
      <c r="E72" s="988" t="s">
        <v>1159</v>
      </c>
      <c r="F72" s="1000" t="s">
        <v>1159</v>
      </c>
    </row>
    <row r="73" spans="1:8" s="974" customFormat="1">
      <c r="A73" s="3025">
        <v>1</v>
      </c>
      <c r="B73" s="3664" t="s">
        <v>2531</v>
      </c>
      <c r="C73" s="3003" t="s">
        <v>2532</v>
      </c>
      <c r="D73" s="3003" t="s">
        <v>2533</v>
      </c>
      <c r="E73" s="3026">
        <v>0.2</v>
      </c>
      <c r="F73" s="3025">
        <v>25</v>
      </c>
      <c r="H73" s="974">
        <f>SUMIF(C71:C139,基准地价!C8,E71:E139)</f>
        <v>0</v>
      </c>
    </row>
    <row r="74" spans="1:8" s="974" customFormat="1" ht="24">
      <c r="A74" s="3025">
        <v>2</v>
      </c>
      <c r="B74" s="3666"/>
      <c r="C74" s="3003" t="s">
        <v>2534</v>
      </c>
      <c r="D74" s="3003" t="s">
        <v>2535</v>
      </c>
      <c r="E74" s="3026">
        <v>0.2</v>
      </c>
      <c r="F74" s="3025">
        <v>25</v>
      </c>
    </row>
    <row r="75" spans="1:8" s="974" customFormat="1" ht="24">
      <c r="A75" s="3025">
        <v>3</v>
      </c>
      <c r="B75" s="3666"/>
      <c r="C75" s="3003" t="s">
        <v>2536</v>
      </c>
      <c r="D75" s="3003" t="s">
        <v>2537</v>
      </c>
      <c r="E75" s="3026">
        <v>0.2</v>
      </c>
      <c r="F75" s="3025">
        <v>25</v>
      </c>
    </row>
    <row r="76" spans="1:8" s="974" customFormat="1">
      <c r="A76" s="3025">
        <v>4</v>
      </c>
      <c r="B76" s="3666"/>
      <c r="C76" s="3003" t="s">
        <v>2538</v>
      </c>
      <c r="D76" s="3003" t="s">
        <v>2539</v>
      </c>
      <c r="E76" s="3026">
        <v>0.15</v>
      </c>
      <c r="F76" s="3025">
        <v>20</v>
      </c>
    </row>
    <row r="77" spans="1:8" s="974" customFormat="1" ht="24">
      <c r="A77" s="3025">
        <v>5</v>
      </c>
      <c r="B77" s="3666"/>
      <c r="C77" s="3003" t="s">
        <v>2540</v>
      </c>
      <c r="D77" s="3003" t="s">
        <v>2541</v>
      </c>
      <c r="E77" s="3026">
        <v>0.15</v>
      </c>
      <c r="F77" s="3025">
        <v>20</v>
      </c>
    </row>
    <row r="78" spans="1:8" s="974" customFormat="1" ht="24">
      <c r="A78" s="3025">
        <v>6</v>
      </c>
      <c r="B78" s="3666"/>
      <c r="C78" s="3003" t="s">
        <v>2542</v>
      </c>
      <c r="D78" s="3003" t="s">
        <v>2543</v>
      </c>
      <c r="E78" s="3026">
        <v>0.15</v>
      </c>
      <c r="F78" s="3025">
        <v>20</v>
      </c>
    </row>
    <row r="79" spans="1:8" s="974" customFormat="1" ht="24">
      <c r="A79" s="3025">
        <v>7</v>
      </c>
      <c r="B79" s="3666"/>
      <c r="C79" s="3003" t="s">
        <v>2544</v>
      </c>
      <c r="D79" s="3003" t="s">
        <v>2545</v>
      </c>
      <c r="E79" s="3026">
        <v>0.15</v>
      </c>
      <c r="F79" s="3025">
        <v>20</v>
      </c>
    </row>
    <row r="80" spans="1:8" s="974" customFormat="1" ht="24">
      <c r="A80" s="3025">
        <v>8</v>
      </c>
      <c r="B80" s="3666"/>
      <c r="C80" s="3003" t="s">
        <v>2546</v>
      </c>
      <c r="D80" s="3003" t="s">
        <v>2547</v>
      </c>
      <c r="E80" s="3026">
        <v>0.1</v>
      </c>
      <c r="F80" s="3025">
        <v>15</v>
      </c>
    </row>
    <row r="81" spans="1:6" s="974" customFormat="1" ht="24">
      <c r="A81" s="3025">
        <v>9</v>
      </c>
      <c r="B81" s="3666"/>
      <c r="C81" s="3003" t="s">
        <v>2548</v>
      </c>
      <c r="D81" s="3003" t="s">
        <v>2549</v>
      </c>
      <c r="E81" s="3026">
        <v>0.1</v>
      </c>
      <c r="F81" s="3025">
        <v>15</v>
      </c>
    </row>
    <row r="82" spans="1:6" s="974" customFormat="1" ht="24">
      <c r="A82" s="3025">
        <v>10</v>
      </c>
      <c r="B82" s="3666"/>
      <c r="C82" s="3003" t="s">
        <v>2550</v>
      </c>
      <c r="D82" s="3003" t="s">
        <v>2551</v>
      </c>
      <c r="E82" s="3026">
        <v>0.1</v>
      </c>
      <c r="F82" s="3025">
        <v>15</v>
      </c>
    </row>
    <row r="83" spans="1:6" s="974" customFormat="1" ht="24">
      <c r="A83" s="3025">
        <v>11</v>
      </c>
      <c r="B83" s="3666"/>
      <c r="C83" s="3003" t="s">
        <v>2552</v>
      </c>
      <c r="D83" s="3003" t="s">
        <v>2553</v>
      </c>
      <c r="E83" s="3026">
        <v>0.1</v>
      </c>
      <c r="F83" s="3025">
        <v>15</v>
      </c>
    </row>
    <row r="84" spans="1:6" s="974" customFormat="1" ht="24">
      <c r="A84" s="3025">
        <v>12</v>
      </c>
      <c r="B84" s="3666"/>
      <c r="C84" s="3003" t="s">
        <v>2554</v>
      </c>
      <c r="D84" s="3003" t="s">
        <v>2555</v>
      </c>
      <c r="E84" s="3026">
        <v>0.1</v>
      </c>
      <c r="F84" s="3025">
        <v>15</v>
      </c>
    </row>
    <row r="85" spans="1:6" s="974" customFormat="1">
      <c r="A85" s="3025">
        <v>13</v>
      </c>
      <c r="B85" s="3666"/>
      <c r="C85" s="3003" t="s">
        <v>2556</v>
      </c>
      <c r="D85" s="3003" t="s">
        <v>2557</v>
      </c>
      <c r="E85" s="3026">
        <v>0.1</v>
      </c>
      <c r="F85" s="3025">
        <v>15</v>
      </c>
    </row>
    <row r="86" spans="1:6" s="974" customFormat="1">
      <c r="A86" s="3025">
        <v>14</v>
      </c>
      <c r="B86" s="3666"/>
      <c r="C86" s="3003" t="s">
        <v>2558</v>
      </c>
      <c r="D86" s="3003" t="s">
        <v>2559</v>
      </c>
      <c r="E86" s="3026">
        <v>0.1</v>
      </c>
      <c r="F86" s="3025">
        <v>15</v>
      </c>
    </row>
    <row r="87" spans="1:6" s="974" customFormat="1">
      <c r="A87" s="3025">
        <v>15</v>
      </c>
      <c r="B87" s="3666"/>
      <c r="C87" s="3003" t="s">
        <v>2560</v>
      </c>
      <c r="D87" s="3003" t="s">
        <v>2561</v>
      </c>
      <c r="E87" s="3026">
        <v>0.1</v>
      </c>
      <c r="F87" s="3025">
        <v>15</v>
      </c>
    </row>
    <row r="88" spans="1:6" s="974" customFormat="1" ht="24">
      <c r="A88" s="3025">
        <v>16</v>
      </c>
      <c r="B88" s="3666"/>
      <c r="C88" s="3003" t="s">
        <v>2562</v>
      </c>
      <c r="D88" s="3003" t="s">
        <v>2563</v>
      </c>
      <c r="E88" s="3026">
        <v>0.1</v>
      </c>
      <c r="F88" s="3025">
        <v>15</v>
      </c>
    </row>
    <row r="89" spans="1:6" s="974" customFormat="1" ht="24">
      <c r="A89" s="3025">
        <v>17</v>
      </c>
      <c r="B89" s="3665"/>
      <c r="C89" s="3003" t="s">
        <v>2564</v>
      </c>
      <c r="D89" s="3003" t="s">
        <v>2565</v>
      </c>
      <c r="E89" s="3026">
        <v>0.1</v>
      </c>
      <c r="F89" s="3025">
        <v>15</v>
      </c>
    </row>
    <row r="90" spans="1:6" s="974" customFormat="1">
      <c r="A90" s="3025">
        <v>18</v>
      </c>
      <c r="B90" s="3664" t="s">
        <v>2566</v>
      </c>
      <c r="C90" s="3003" t="s">
        <v>2567</v>
      </c>
      <c r="D90" s="3003" t="s">
        <v>2568</v>
      </c>
      <c r="E90" s="3026">
        <v>0.2</v>
      </c>
      <c r="F90" s="3025">
        <v>25</v>
      </c>
    </row>
    <row r="91" spans="1:6" s="974" customFormat="1" ht="24">
      <c r="A91" s="3025">
        <v>19</v>
      </c>
      <c r="B91" s="3666"/>
      <c r="C91" s="3003" t="s">
        <v>2569</v>
      </c>
      <c r="D91" s="3003" t="s">
        <v>2570</v>
      </c>
      <c r="E91" s="3026">
        <v>0.2</v>
      </c>
      <c r="F91" s="3025">
        <v>25</v>
      </c>
    </row>
    <row r="92" spans="1:6" s="974" customFormat="1">
      <c r="A92" s="3025">
        <v>20</v>
      </c>
      <c r="B92" s="3666"/>
      <c r="C92" s="3003" t="s">
        <v>2571</v>
      </c>
      <c r="D92" s="3003" t="s">
        <v>2572</v>
      </c>
      <c r="E92" s="3026">
        <v>0.15</v>
      </c>
      <c r="F92" s="3025">
        <v>20</v>
      </c>
    </row>
    <row r="93" spans="1:6" s="974" customFormat="1" ht="24">
      <c r="A93" s="3025">
        <v>21</v>
      </c>
      <c r="B93" s="3666"/>
      <c r="C93" s="3003" t="s">
        <v>2573</v>
      </c>
      <c r="D93" s="3003" t="s">
        <v>2574</v>
      </c>
      <c r="E93" s="3026">
        <v>0.15</v>
      </c>
      <c r="F93" s="3025">
        <v>20</v>
      </c>
    </row>
    <row r="94" spans="1:6" s="974" customFormat="1" ht="24">
      <c r="A94" s="3025">
        <v>22</v>
      </c>
      <c r="B94" s="3666"/>
      <c r="C94" s="3003" t="s">
        <v>2575</v>
      </c>
      <c r="D94" s="3003" t="s">
        <v>2576</v>
      </c>
      <c r="E94" s="3026">
        <v>0.15</v>
      </c>
      <c r="F94" s="3025">
        <v>20</v>
      </c>
    </row>
    <row r="95" spans="1:6" s="974" customFormat="1" ht="36">
      <c r="A95" s="3025">
        <v>23</v>
      </c>
      <c r="B95" s="3666"/>
      <c r="C95" s="3003" t="s">
        <v>2577</v>
      </c>
      <c r="D95" s="3003" t="s">
        <v>2578</v>
      </c>
      <c r="E95" s="3026">
        <v>0.15</v>
      </c>
      <c r="F95" s="3025">
        <v>20</v>
      </c>
    </row>
    <row r="96" spans="1:6" s="974" customFormat="1">
      <c r="A96" s="3025">
        <v>24</v>
      </c>
      <c r="B96" s="3666"/>
      <c r="C96" s="3003" t="s">
        <v>2579</v>
      </c>
      <c r="D96" s="3003" t="s">
        <v>2580</v>
      </c>
      <c r="E96" s="3026">
        <v>0.1</v>
      </c>
      <c r="F96" s="3025">
        <v>15</v>
      </c>
    </row>
    <row r="97" spans="1:6" s="974" customFormat="1" ht="24">
      <c r="A97" s="3025">
        <v>25</v>
      </c>
      <c r="B97" s="3666"/>
      <c r="C97" s="3003" t="s">
        <v>2581</v>
      </c>
      <c r="D97" s="3003" t="s">
        <v>2582</v>
      </c>
      <c r="E97" s="3026">
        <v>0.1</v>
      </c>
      <c r="F97" s="3025">
        <v>15</v>
      </c>
    </row>
    <row r="98" spans="1:6" s="974" customFormat="1" ht="24">
      <c r="A98" s="3025">
        <v>26</v>
      </c>
      <c r="B98" s="3666"/>
      <c r="C98" s="3003" t="s">
        <v>2583</v>
      </c>
      <c r="D98" s="3003" t="s">
        <v>2584</v>
      </c>
      <c r="E98" s="3026">
        <v>0.1</v>
      </c>
      <c r="F98" s="3025">
        <v>15</v>
      </c>
    </row>
    <row r="99" spans="1:6" s="974" customFormat="1" ht="24">
      <c r="A99" s="3025">
        <v>27</v>
      </c>
      <c r="B99" s="3666"/>
      <c r="C99" s="3003" t="s">
        <v>2585</v>
      </c>
      <c r="D99" s="3003" t="s">
        <v>2586</v>
      </c>
      <c r="E99" s="3026">
        <v>0.1</v>
      </c>
      <c r="F99" s="3025">
        <v>15</v>
      </c>
    </row>
    <row r="100" spans="1:6" s="974" customFormat="1" ht="24">
      <c r="A100" s="3025">
        <v>28</v>
      </c>
      <c r="B100" s="3666"/>
      <c r="C100" s="3003" t="s">
        <v>2587</v>
      </c>
      <c r="D100" s="3003" t="s">
        <v>2588</v>
      </c>
      <c r="E100" s="3026">
        <v>0.1</v>
      </c>
      <c r="F100" s="3025">
        <v>15</v>
      </c>
    </row>
    <row r="101" spans="1:6" s="974" customFormat="1" ht="24">
      <c r="A101" s="3025">
        <v>29</v>
      </c>
      <c r="B101" s="3666"/>
      <c r="C101" s="3003" t="s">
        <v>2589</v>
      </c>
      <c r="D101" s="3003" t="s">
        <v>2590</v>
      </c>
      <c r="E101" s="3026">
        <v>0.1</v>
      </c>
      <c r="F101" s="3025">
        <v>15</v>
      </c>
    </row>
    <row r="102" spans="1:6" s="974" customFormat="1" ht="24">
      <c r="A102" s="3025">
        <v>30</v>
      </c>
      <c r="B102" s="3666"/>
      <c r="C102" s="3003" t="s">
        <v>2591</v>
      </c>
      <c r="D102" s="3003" t="s">
        <v>2592</v>
      </c>
      <c r="E102" s="3026">
        <v>0.1</v>
      </c>
      <c r="F102" s="3025">
        <v>15</v>
      </c>
    </row>
    <row r="103" spans="1:6" s="974" customFormat="1" ht="24">
      <c r="A103" s="3025">
        <v>31</v>
      </c>
      <c r="B103" s="3666"/>
      <c r="C103" s="3003" t="s">
        <v>2593</v>
      </c>
      <c r="D103" s="3003" t="s">
        <v>2594</v>
      </c>
      <c r="E103" s="3026">
        <v>0.1</v>
      </c>
      <c r="F103" s="3025">
        <v>15</v>
      </c>
    </row>
    <row r="104" spans="1:6" s="974" customFormat="1" ht="24">
      <c r="A104" s="3025">
        <v>32</v>
      </c>
      <c r="B104" s="3666"/>
      <c r="C104" s="3003" t="s">
        <v>2595</v>
      </c>
      <c r="D104" s="3003" t="s">
        <v>2596</v>
      </c>
      <c r="E104" s="3026">
        <v>0.1</v>
      </c>
      <c r="F104" s="3025">
        <v>15</v>
      </c>
    </row>
    <row r="105" spans="1:6" s="974" customFormat="1" ht="24">
      <c r="A105" s="3025">
        <v>33</v>
      </c>
      <c r="B105" s="3666"/>
      <c r="C105" s="3003" t="s">
        <v>2597</v>
      </c>
      <c r="D105" s="3003" t="s">
        <v>2598</v>
      </c>
      <c r="E105" s="3026">
        <v>0.1</v>
      </c>
      <c r="F105" s="3025">
        <v>15</v>
      </c>
    </row>
    <row r="106" spans="1:6" s="974" customFormat="1" ht="24">
      <c r="A106" s="3025">
        <v>34</v>
      </c>
      <c r="B106" s="3665"/>
      <c r="C106" s="3003" t="s">
        <v>2599</v>
      </c>
      <c r="D106" s="3003" t="s">
        <v>2600</v>
      </c>
      <c r="E106" s="3026">
        <v>0.1</v>
      </c>
      <c r="F106" s="3025">
        <v>15</v>
      </c>
    </row>
    <row r="107" spans="1:6" s="974" customFormat="1" ht="24">
      <c r="A107" s="3025">
        <v>35</v>
      </c>
      <c r="B107" s="3664" t="s">
        <v>2601</v>
      </c>
      <c r="C107" s="3025" t="s">
        <v>2602</v>
      </c>
      <c r="D107" s="3003" t="s">
        <v>2603</v>
      </c>
      <c r="E107" s="3026">
        <v>0.15</v>
      </c>
      <c r="F107" s="3025">
        <v>20</v>
      </c>
    </row>
    <row r="108" spans="1:6" s="974" customFormat="1" ht="24">
      <c r="A108" s="3025">
        <v>36</v>
      </c>
      <c r="B108" s="3666"/>
      <c r="C108" s="3025" t="s">
        <v>2604</v>
      </c>
      <c r="D108" s="3003" t="s">
        <v>2605</v>
      </c>
      <c r="E108" s="3026">
        <v>0.15</v>
      </c>
      <c r="F108" s="3025">
        <v>20</v>
      </c>
    </row>
    <row r="109" spans="1:6" s="974" customFormat="1" ht="24">
      <c r="A109" s="3025">
        <v>37</v>
      </c>
      <c r="B109" s="3666"/>
      <c r="C109" s="3025" t="s">
        <v>2606</v>
      </c>
      <c r="D109" s="3003" t="s">
        <v>2607</v>
      </c>
      <c r="E109" s="3026">
        <v>0.15</v>
      </c>
      <c r="F109" s="3025">
        <v>20</v>
      </c>
    </row>
    <row r="110" spans="1:6" s="974" customFormat="1">
      <c r="A110" s="3025">
        <v>38</v>
      </c>
      <c r="B110" s="3666"/>
      <c r="C110" s="3025" t="s">
        <v>2608</v>
      </c>
      <c r="D110" s="3003" t="s">
        <v>2609</v>
      </c>
      <c r="E110" s="3026">
        <v>0.1</v>
      </c>
      <c r="F110" s="3025">
        <v>15</v>
      </c>
    </row>
    <row r="111" spans="1:6" s="974" customFormat="1" ht="24">
      <c r="A111" s="3025">
        <v>39</v>
      </c>
      <c r="B111" s="3666"/>
      <c r="C111" s="3025" t="s">
        <v>2610</v>
      </c>
      <c r="D111" s="3003" t="s">
        <v>2611</v>
      </c>
      <c r="E111" s="3026">
        <v>0.1</v>
      </c>
      <c r="F111" s="3025">
        <v>15</v>
      </c>
    </row>
    <row r="112" spans="1:6" s="974" customFormat="1" ht="24">
      <c r="A112" s="3025">
        <v>40</v>
      </c>
      <c r="B112" s="3665"/>
      <c r="C112" s="3025" t="s">
        <v>2612</v>
      </c>
      <c r="D112" s="3003" t="s">
        <v>2613</v>
      </c>
      <c r="E112" s="3026">
        <v>0.1</v>
      </c>
      <c r="F112" s="3025">
        <v>15</v>
      </c>
    </row>
    <row r="113" spans="1:6" s="974" customFormat="1" ht="24">
      <c r="A113" s="3025">
        <v>41</v>
      </c>
      <c r="B113" s="3663" t="s">
        <v>2614</v>
      </c>
      <c r="C113" s="3025" t="s">
        <v>2615</v>
      </c>
      <c r="D113" s="3003" t="s">
        <v>2616</v>
      </c>
      <c r="E113" s="3026">
        <v>0.1</v>
      </c>
      <c r="F113" s="3025">
        <v>15</v>
      </c>
    </row>
    <row r="114" spans="1:6" s="974" customFormat="1">
      <c r="A114" s="3025">
        <v>42</v>
      </c>
      <c r="B114" s="3663"/>
      <c r="C114" s="3025" t="s">
        <v>2617</v>
      </c>
      <c r="D114" s="3003" t="s">
        <v>2618</v>
      </c>
      <c r="E114" s="3026">
        <v>0.1</v>
      </c>
      <c r="F114" s="3025">
        <v>15</v>
      </c>
    </row>
    <row r="115" spans="1:6" s="974" customFormat="1" ht="24">
      <c r="A115" s="3025">
        <v>43</v>
      </c>
      <c r="B115" s="3663"/>
      <c r="C115" s="3025" t="s">
        <v>2619</v>
      </c>
      <c r="D115" s="3003" t="s">
        <v>2620</v>
      </c>
      <c r="E115" s="3026">
        <v>0.1</v>
      </c>
      <c r="F115" s="3025">
        <v>15</v>
      </c>
    </row>
    <row r="116" spans="1:6" s="974" customFormat="1" ht="24">
      <c r="A116" s="3025">
        <v>44</v>
      </c>
      <c r="B116" s="3664" t="s">
        <v>2621</v>
      </c>
      <c r="C116" s="3025" t="s">
        <v>2622</v>
      </c>
      <c r="D116" s="3003" t="s">
        <v>2623</v>
      </c>
      <c r="E116" s="3026">
        <v>0.1</v>
      </c>
      <c r="F116" s="3025">
        <v>15</v>
      </c>
    </row>
    <row r="117" spans="1:6" s="974" customFormat="1" ht="24">
      <c r="A117" s="3025">
        <v>45</v>
      </c>
      <c r="B117" s="3665"/>
      <c r="C117" s="3003" t="s">
        <v>2624</v>
      </c>
      <c r="D117" s="3003" t="s">
        <v>2625</v>
      </c>
      <c r="E117" s="3026">
        <v>0.1</v>
      </c>
      <c r="F117" s="3025">
        <v>15</v>
      </c>
    </row>
    <row r="118" spans="1:6" s="974" customFormat="1" ht="24">
      <c r="A118" s="3025">
        <v>46</v>
      </c>
      <c r="B118" s="3664" t="s">
        <v>2626</v>
      </c>
      <c r="C118" s="3025" t="s">
        <v>2627</v>
      </c>
      <c r="D118" s="3003" t="s">
        <v>2628</v>
      </c>
      <c r="E118" s="3026">
        <v>0.1</v>
      </c>
      <c r="F118" s="3025">
        <v>15</v>
      </c>
    </row>
    <row r="119" spans="1:6" s="974" customFormat="1" ht="24">
      <c r="A119" s="3025">
        <v>47</v>
      </c>
      <c r="B119" s="3665"/>
      <c r="C119" s="3025" t="s">
        <v>2629</v>
      </c>
      <c r="D119" s="3003" t="s">
        <v>2630</v>
      </c>
      <c r="E119" s="3026">
        <v>0.1</v>
      </c>
      <c r="F119" s="3025">
        <v>15</v>
      </c>
    </row>
    <row r="120" spans="1:6" s="974" customFormat="1" ht="24">
      <c r="A120" s="3025">
        <v>48</v>
      </c>
      <c r="B120" s="3664" t="s">
        <v>2631</v>
      </c>
      <c r="C120" s="3025" t="s">
        <v>2632</v>
      </c>
      <c r="D120" s="3003" t="s">
        <v>2633</v>
      </c>
      <c r="E120" s="3026">
        <v>0.1</v>
      </c>
      <c r="F120" s="3025">
        <v>15</v>
      </c>
    </row>
    <row r="121" spans="1:6" s="974" customFormat="1">
      <c r="A121" s="3025">
        <v>49</v>
      </c>
      <c r="B121" s="3665"/>
      <c r="C121" s="3025" t="s">
        <v>2634</v>
      </c>
      <c r="D121" s="3003" t="s">
        <v>2635</v>
      </c>
      <c r="E121" s="3026">
        <v>0.1</v>
      </c>
      <c r="F121" s="3025">
        <v>15</v>
      </c>
    </row>
    <row r="122" spans="1:6" s="974" customFormat="1" ht="24">
      <c r="A122" s="3025">
        <v>50</v>
      </c>
      <c r="B122" s="3663" t="s">
        <v>2636</v>
      </c>
      <c r="C122" s="3025" t="s">
        <v>2637</v>
      </c>
      <c r="D122" s="3003" t="s">
        <v>2638</v>
      </c>
      <c r="E122" s="3026">
        <v>0.1</v>
      </c>
      <c r="F122" s="3025">
        <v>15</v>
      </c>
    </row>
    <row r="123" spans="1:6" s="974" customFormat="1" ht="24">
      <c r="A123" s="3025">
        <v>51</v>
      </c>
      <c r="B123" s="3663"/>
      <c r="C123" s="3025" t="s">
        <v>2639</v>
      </c>
      <c r="D123" s="3003" t="s">
        <v>2640</v>
      </c>
      <c r="E123" s="3026">
        <v>0.1</v>
      </c>
      <c r="F123" s="3025">
        <v>15</v>
      </c>
    </row>
    <row r="124" spans="1:6" s="974" customFormat="1" ht="24">
      <c r="A124" s="3025">
        <v>52</v>
      </c>
      <c r="B124" s="3663" t="s">
        <v>2641</v>
      </c>
      <c r="C124" s="3025" t="s">
        <v>2642</v>
      </c>
      <c r="D124" s="3003" t="s">
        <v>2643</v>
      </c>
      <c r="E124" s="3026">
        <v>0.1</v>
      </c>
      <c r="F124" s="3025">
        <v>15</v>
      </c>
    </row>
    <row r="125" spans="1:6" s="974" customFormat="1" ht="24">
      <c r="A125" s="3025">
        <v>53</v>
      </c>
      <c r="B125" s="3663"/>
      <c r="C125" s="3025" t="s">
        <v>2644</v>
      </c>
      <c r="D125" s="3003" t="s">
        <v>2645</v>
      </c>
      <c r="E125" s="3026">
        <v>0.1</v>
      </c>
      <c r="F125" s="3025">
        <v>15</v>
      </c>
    </row>
    <row r="126" spans="1:6" ht="24">
      <c r="A126" s="3025">
        <v>54</v>
      </c>
      <c r="B126" s="3025" t="s">
        <v>2646</v>
      </c>
      <c r="C126" s="3025" t="s">
        <v>2647</v>
      </c>
      <c r="D126" s="3003" t="s">
        <v>2648</v>
      </c>
      <c r="E126" s="3026">
        <v>0.1</v>
      </c>
      <c r="F126" s="3025">
        <v>15</v>
      </c>
    </row>
    <row r="127" spans="1:6">
      <c r="A127" s="3025">
        <v>55</v>
      </c>
      <c r="B127" s="3663" t="s">
        <v>2649</v>
      </c>
      <c r="C127" s="3025" t="s">
        <v>2650</v>
      </c>
      <c r="D127" s="3003" t="s">
        <v>2651</v>
      </c>
      <c r="E127" s="3026">
        <v>0.1</v>
      </c>
      <c r="F127" s="3025">
        <v>15</v>
      </c>
    </row>
    <row r="128" spans="1:6">
      <c r="A128" s="3025">
        <v>56</v>
      </c>
      <c r="B128" s="3663"/>
      <c r="C128" s="3025" t="s">
        <v>2652</v>
      </c>
      <c r="D128" s="3003" t="s">
        <v>2653</v>
      </c>
      <c r="E128" s="3026">
        <v>0.1</v>
      </c>
      <c r="F128" s="3025">
        <v>15</v>
      </c>
    </row>
    <row r="129" spans="1:14" ht="24">
      <c r="A129" s="3025">
        <v>57</v>
      </c>
      <c r="B129" s="3663"/>
      <c r="C129" s="3025" t="s">
        <v>2654</v>
      </c>
      <c r="D129" s="3003" t="s">
        <v>2655</v>
      </c>
      <c r="E129" s="3026">
        <v>0.1</v>
      </c>
      <c r="F129" s="3025">
        <v>15</v>
      </c>
    </row>
    <row r="130" spans="1:14" ht="24">
      <c r="A130" s="3025">
        <v>58</v>
      </c>
      <c r="B130" s="3663" t="s">
        <v>2656</v>
      </c>
      <c r="C130" s="3025" t="s">
        <v>2657</v>
      </c>
      <c r="D130" s="3003" t="s">
        <v>2658</v>
      </c>
      <c r="E130" s="3026">
        <v>0.1</v>
      </c>
      <c r="F130" s="3025">
        <v>15</v>
      </c>
    </row>
    <row r="131" spans="1:14" ht="24">
      <c r="A131" s="3025">
        <v>59</v>
      </c>
      <c r="B131" s="3663"/>
      <c r="C131" s="3025" t="s">
        <v>2659</v>
      </c>
      <c r="D131" s="3003" t="s">
        <v>2660</v>
      </c>
      <c r="E131" s="3026">
        <v>0.1</v>
      </c>
      <c r="F131" s="3025">
        <v>15</v>
      </c>
    </row>
    <row r="132" spans="1:14" ht="24">
      <c r="A132" s="3025">
        <v>60</v>
      </c>
      <c r="B132" s="3664" t="s">
        <v>2661</v>
      </c>
      <c r="C132" s="3025" t="s">
        <v>2662</v>
      </c>
      <c r="D132" s="3003" t="s">
        <v>2663</v>
      </c>
      <c r="E132" s="3026">
        <v>0.1</v>
      </c>
      <c r="F132" s="3025">
        <v>15</v>
      </c>
    </row>
    <row r="133" spans="1:14" ht="24">
      <c r="A133" s="3025">
        <v>61</v>
      </c>
      <c r="B133" s="3665"/>
      <c r="C133" s="3025" t="s">
        <v>2664</v>
      </c>
      <c r="D133" s="3003" t="s">
        <v>2665</v>
      </c>
      <c r="E133" s="3026">
        <v>0.1</v>
      </c>
      <c r="F133" s="3025">
        <v>15</v>
      </c>
    </row>
    <row r="134" spans="1:14" ht="24">
      <c r="A134" s="3025">
        <v>62</v>
      </c>
      <c r="B134" s="3025" t="s">
        <v>2666</v>
      </c>
      <c r="C134" s="3025" t="s">
        <v>2667</v>
      </c>
      <c r="D134" s="3003" t="s">
        <v>2668</v>
      </c>
      <c r="E134" s="3026">
        <v>0.1</v>
      </c>
      <c r="F134" s="3025">
        <v>15</v>
      </c>
    </row>
    <row r="135" spans="1:14" ht="24">
      <c r="A135" s="3025">
        <v>63</v>
      </c>
      <c r="B135" s="3663" t="s">
        <v>2669</v>
      </c>
      <c r="C135" s="3025" t="s">
        <v>2670</v>
      </c>
      <c r="D135" s="3003" t="s">
        <v>2671</v>
      </c>
      <c r="E135" s="3026">
        <v>0.1</v>
      </c>
      <c r="F135" s="3025">
        <v>15</v>
      </c>
    </row>
    <row r="136" spans="1:14">
      <c r="A136" s="3025">
        <v>64</v>
      </c>
      <c r="B136" s="3663"/>
      <c r="C136" s="3025" t="s">
        <v>2672</v>
      </c>
      <c r="D136" s="3003" t="s">
        <v>2673</v>
      </c>
      <c r="E136" s="3026">
        <v>0.1</v>
      </c>
      <c r="F136" s="3025">
        <v>15</v>
      </c>
    </row>
    <row r="137" spans="1:14" ht="24">
      <c r="A137" s="3025">
        <v>65</v>
      </c>
      <c r="B137" s="3025" t="s">
        <v>2674</v>
      </c>
      <c r="C137" s="3025" t="s">
        <v>2675</v>
      </c>
      <c r="D137" s="3003" t="s">
        <v>2676</v>
      </c>
      <c r="E137" s="3026">
        <v>0.1</v>
      </c>
      <c r="F137" s="3025">
        <v>15</v>
      </c>
    </row>
    <row r="138" spans="1:14">
      <c r="A138" s="1000"/>
      <c r="B138" s="1000"/>
      <c r="C138" s="1000"/>
      <c r="D138" s="960"/>
      <c r="E138" s="988"/>
      <c r="F138" s="1000"/>
    </row>
    <row r="139" spans="1:14">
      <c r="A139" s="1000"/>
      <c r="B139" s="1000"/>
      <c r="C139" s="1000"/>
      <c r="D139" s="1000"/>
      <c r="E139" s="988"/>
      <c r="F139" s="1000"/>
    </row>
    <row r="141" spans="1:14">
      <c r="A141" s="980"/>
      <c r="B141" s="980"/>
      <c r="C141" s="980"/>
      <c r="D141" s="980"/>
      <c r="E141" s="980"/>
      <c r="F141" s="980"/>
      <c r="G141" s="980"/>
      <c r="H141" s="980"/>
      <c r="I141" s="980"/>
      <c r="J141" s="980"/>
      <c r="K141" s="1001"/>
      <c r="L141" s="1001"/>
      <c r="M141" s="1001"/>
      <c r="N141" s="1001"/>
    </row>
  </sheetData>
  <sheetProtection password="CEE9" sheet="1" objects="1" scenarios="1" formatCells="0" formatColumns="0" formatRows="0"/>
  <mergeCells count="21">
    <mergeCell ref="A20:A25"/>
    <mergeCell ref="B20:B25"/>
    <mergeCell ref="A27:A39"/>
    <mergeCell ref="B27:B36"/>
    <mergeCell ref="B37:B39"/>
    <mergeCell ref="A41:A51"/>
    <mergeCell ref="B41:B43"/>
    <mergeCell ref="B45:B51"/>
    <mergeCell ref="B73:B89"/>
    <mergeCell ref="B90:B106"/>
    <mergeCell ref="B107:B112"/>
    <mergeCell ref="B113:B115"/>
    <mergeCell ref="B116:B117"/>
    <mergeCell ref="B118:B119"/>
    <mergeCell ref="B120:B121"/>
    <mergeCell ref="B135:B136"/>
    <mergeCell ref="B122:B123"/>
    <mergeCell ref="B124:B125"/>
    <mergeCell ref="B127:B129"/>
    <mergeCell ref="B130:B131"/>
    <mergeCell ref="B132:B133"/>
  </mergeCells>
  <phoneticPr fontId="120" type="noConversion"/>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U384"/>
  <sheetViews>
    <sheetView zoomScale="70" zoomScaleNormal="70" workbookViewId="0">
      <selection activeCell="I16" sqref="I16"/>
    </sheetView>
  </sheetViews>
  <sheetFormatPr defaultColWidth="9" defaultRowHeight="13.5"/>
  <cols>
    <col min="1" max="1" width="12.625" style="3167" customWidth="1"/>
    <col min="2" max="2" width="15" style="3167" customWidth="1"/>
    <col min="3" max="6" width="10.25" style="3167" customWidth="1"/>
    <col min="7" max="7" width="9" style="3167"/>
    <col min="8" max="8" width="9" style="961"/>
    <col min="9" max="9" width="9" style="958"/>
    <col min="10" max="10" width="17.375" style="3192" customWidth="1"/>
    <col min="11" max="21" width="17.375" style="3167" customWidth="1"/>
    <col min="22" max="16384" width="9" style="958"/>
  </cols>
  <sheetData>
    <row r="1" spans="1:21">
      <c r="A1" s="3675" t="s">
        <v>2817</v>
      </c>
      <c r="B1" s="3675"/>
      <c r="C1" s="3675"/>
      <c r="D1" s="3675"/>
      <c r="E1" s="3675"/>
      <c r="F1" s="3675"/>
      <c r="G1" s="3676"/>
      <c r="I1" s="962"/>
      <c r="J1" s="3189" t="s">
        <v>961</v>
      </c>
      <c r="K1" s="3190" t="s">
        <v>962</v>
      </c>
      <c r="L1" s="3190" t="s">
        <v>963</v>
      </c>
      <c r="M1" s="3190" t="s">
        <v>964</v>
      </c>
      <c r="N1" s="3190" t="s">
        <v>965</v>
      </c>
      <c r="O1" s="3190" t="s">
        <v>966</v>
      </c>
      <c r="P1" s="3190" t="s">
        <v>967</v>
      </c>
      <c r="Q1" s="3190" t="s">
        <v>968</v>
      </c>
      <c r="R1" s="3190" t="s">
        <v>969</v>
      </c>
      <c r="S1" s="3190" t="s">
        <v>970</v>
      </c>
      <c r="T1" s="3190" t="s">
        <v>971</v>
      </c>
      <c r="U1" s="3191" t="s">
        <v>972</v>
      </c>
    </row>
    <row r="2" spans="1:21" ht="14.25" thickBot="1">
      <c r="A2" s="3153" t="s">
        <v>2818</v>
      </c>
      <c r="B2" s="3153"/>
      <c r="C2" s="3153"/>
      <c r="D2" s="3153"/>
      <c r="E2" s="3153"/>
      <c r="F2" s="3153"/>
      <c r="G2" s="3148" t="s">
        <v>2819</v>
      </c>
      <c r="J2" s="3177" t="s">
        <v>2825</v>
      </c>
      <c r="K2" s="3157" t="s">
        <v>2827</v>
      </c>
      <c r="L2" s="3157" t="s">
        <v>2829</v>
      </c>
      <c r="M2" s="3157" t="s">
        <v>2835</v>
      </c>
      <c r="N2" s="3157" t="s">
        <v>2845</v>
      </c>
      <c r="O2" s="3157" t="s">
        <v>2860</v>
      </c>
      <c r="P2" s="3157" t="s">
        <v>2897</v>
      </c>
      <c r="Q2" s="3157" t="s">
        <v>2928</v>
      </c>
      <c r="R2" s="3157" t="s">
        <v>2956</v>
      </c>
      <c r="S2" s="3157" t="s">
        <v>2991</v>
      </c>
      <c r="T2" s="3157" t="s">
        <v>3011</v>
      </c>
      <c r="U2" s="3157" t="s">
        <v>3023</v>
      </c>
    </row>
    <row r="3" spans="1:21" s="962" customFormat="1" ht="19.5" customHeight="1">
      <c r="A3" s="3677" t="s">
        <v>2820</v>
      </c>
      <c r="B3" s="3149"/>
      <c r="C3" s="3150" t="s">
        <v>2797</v>
      </c>
      <c r="D3" s="3150" t="s">
        <v>2821</v>
      </c>
      <c r="E3" s="3150" t="s">
        <v>2799</v>
      </c>
      <c r="F3" s="3150" t="s">
        <v>2822</v>
      </c>
      <c r="G3" s="3150" t="s">
        <v>2741</v>
      </c>
      <c r="H3" s="965"/>
      <c r="J3" s="3177" t="s">
        <v>2826</v>
      </c>
      <c r="K3" s="3157" t="s">
        <v>973</v>
      </c>
      <c r="L3" s="3157" t="s">
        <v>974</v>
      </c>
      <c r="M3" s="3157" t="s">
        <v>975</v>
      </c>
      <c r="N3" s="3157" t="s">
        <v>976</v>
      </c>
      <c r="O3" s="3157" t="s">
        <v>977</v>
      </c>
      <c r="P3" s="3157" t="s">
        <v>978</v>
      </c>
      <c r="Q3" s="3157" t="s">
        <v>979</v>
      </c>
      <c r="R3" s="3157" t="s">
        <v>980</v>
      </c>
      <c r="S3" s="3157" t="s">
        <v>981</v>
      </c>
      <c r="T3" s="3157" t="s">
        <v>3012</v>
      </c>
      <c r="U3" s="3157" t="s">
        <v>3024</v>
      </c>
    </row>
    <row r="4" spans="1:21" s="962" customFormat="1" ht="19.5" customHeight="1" thickBot="1">
      <c r="A4" s="3678"/>
      <c r="B4" s="3151" t="s">
        <v>2823</v>
      </c>
      <c r="C4" s="3151" t="s">
        <v>2824</v>
      </c>
      <c r="D4" s="3151" t="s">
        <v>2824</v>
      </c>
      <c r="E4" s="3151" t="s">
        <v>2824</v>
      </c>
      <c r="F4" s="3152" t="s">
        <v>2824</v>
      </c>
      <c r="G4" s="3152" t="s">
        <v>2824</v>
      </c>
      <c r="H4" s="965"/>
      <c r="J4" s="3177" t="s">
        <v>982</v>
      </c>
      <c r="K4" s="3157" t="s">
        <v>983</v>
      </c>
      <c r="L4" s="3157" t="s">
        <v>984</v>
      </c>
      <c r="M4" s="3157" t="s">
        <v>985</v>
      </c>
      <c r="N4" s="3157" t="s">
        <v>986</v>
      </c>
      <c r="O4" s="3157" t="s">
        <v>987</v>
      </c>
      <c r="P4" s="3157" t="s">
        <v>988</v>
      </c>
      <c r="Q4" s="3157" t="s">
        <v>989</v>
      </c>
      <c r="R4" s="3157" t="s">
        <v>2957</v>
      </c>
      <c r="S4" s="3157" t="s">
        <v>2992</v>
      </c>
      <c r="T4" s="3157" t="s">
        <v>3013</v>
      </c>
      <c r="U4" s="3157" t="s">
        <v>3025</v>
      </c>
    </row>
    <row r="5" spans="1:21" ht="14.25" customHeight="1">
      <c r="A5" s="3154" t="s">
        <v>990</v>
      </c>
      <c r="B5" s="3155" t="s">
        <v>2825</v>
      </c>
      <c r="C5" s="3155">
        <v>34550</v>
      </c>
      <c r="D5" s="3155">
        <v>34470</v>
      </c>
      <c r="E5" s="3155">
        <v>34330</v>
      </c>
      <c r="F5" s="3156">
        <v>13400</v>
      </c>
      <c r="G5" s="3156">
        <v>25450</v>
      </c>
      <c r="H5" s="966" t="s">
        <v>961</v>
      </c>
      <c r="I5" s="967">
        <f>SUMPRODUCT((B5:B9=基准地价!I2)*(C3:G3=基准地价!E2)*(C5:G9))</f>
        <v>0</v>
      </c>
      <c r="J5" s="3177" t="s">
        <v>991</v>
      </c>
      <c r="K5" s="3157" t="s">
        <v>992</v>
      </c>
      <c r="L5" s="3157" t="s">
        <v>993</v>
      </c>
      <c r="M5" s="3157" t="s">
        <v>994</v>
      </c>
      <c r="N5" s="3157" t="s">
        <v>995</v>
      </c>
      <c r="O5" s="3157" t="s">
        <v>996</v>
      </c>
      <c r="P5" s="3157" t="s">
        <v>997</v>
      </c>
      <c r="Q5" s="3157" t="s">
        <v>998</v>
      </c>
      <c r="R5" s="3157" t="s">
        <v>2958</v>
      </c>
      <c r="S5" s="3157" t="s">
        <v>2993</v>
      </c>
      <c r="T5" s="3157" t="s">
        <v>999</v>
      </c>
      <c r="U5" s="3157" t="s">
        <v>3026</v>
      </c>
    </row>
    <row r="6" spans="1:21" ht="14.25" customHeight="1">
      <c r="A6" s="3157" t="s">
        <v>990</v>
      </c>
      <c r="B6" s="3157" t="s">
        <v>2826</v>
      </c>
      <c r="C6" s="3157">
        <v>36990</v>
      </c>
      <c r="D6" s="3157">
        <v>36850</v>
      </c>
      <c r="E6" s="3157">
        <v>36700</v>
      </c>
      <c r="F6" s="3158">
        <v>14590</v>
      </c>
      <c r="G6" s="3158">
        <v>27450</v>
      </c>
      <c r="H6" s="968" t="s">
        <v>1000</v>
      </c>
      <c r="I6" s="969">
        <f>SUMPRODUCT((B10:B29=基准地价!I2)*(C3:G3=基准地价!E2)*(C10:G29))</f>
        <v>0</v>
      </c>
      <c r="J6" s="3177" t="s">
        <v>1001</v>
      </c>
      <c r="K6" s="3157" t="s">
        <v>1002</v>
      </c>
      <c r="L6" s="3157" t="s">
        <v>1003</v>
      </c>
      <c r="M6" s="3157" t="s">
        <v>1004</v>
      </c>
      <c r="N6" s="3157" t="s">
        <v>1005</v>
      </c>
      <c r="O6" s="3157" t="s">
        <v>1006</v>
      </c>
      <c r="P6" s="3157" t="s">
        <v>1007</v>
      </c>
      <c r="Q6" s="3157" t="s">
        <v>2929</v>
      </c>
      <c r="R6" s="3157" t="s">
        <v>2959</v>
      </c>
      <c r="S6" s="3157" t="s">
        <v>1008</v>
      </c>
      <c r="T6" s="3157" t="s">
        <v>3014</v>
      </c>
      <c r="U6" s="3157" t="s">
        <v>3027</v>
      </c>
    </row>
    <row r="7" spans="1:21" ht="14.25" customHeight="1">
      <c r="A7" s="3157" t="s">
        <v>990</v>
      </c>
      <c r="B7" s="1216" t="s">
        <v>982</v>
      </c>
      <c r="C7" s="3157">
        <v>34850</v>
      </c>
      <c r="D7" s="3157">
        <v>34690</v>
      </c>
      <c r="E7" s="3157">
        <v>34550</v>
      </c>
      <c r="F7" s="3158">
        <v>14360</v>
      </c>
      <c r="G7" s="3158">
        <v>25620</v>
      </c>
      <c r="H7" s="968" t="s">
        <v>838</v>
      </c>
      <c r="I7" s="969">
        <f>SUMPRODUCT((B30:B54=基准地价!I2)*(C3:G3=基准地价!E2)*(C30:G54))</f>
        <v>0</v>
      </c>
      <c r="K7" s="3157" t="s">
        <v>1009</v>
      </c>
      <c r="L7" s="3157" t="s">
        <v>1010</v>
      </c>
      <c r="M7" s="3157" t="s">
        <v>1011</v>
      </c>
      <c r="N7" s="3157" t="s">
        <v>1012</v>
      </c>
      <c r="O7" s="3157" t="s">
        <v>1013</v>
      </c>
      <c r="P7" s="3157" t="s">
        <v>1014</v>
      </c>
      <c r="Q7" s="3157" t="s">
        <v>2930</v>
      </c>
      <c r="R7" s="3157" t="s">
        <v>2960</v>
      </c>
      <c r="S7" s="3157" t="s">
        <v>2994</v>
      </c>
      <c r="T7" s="3157" t="s">
        <v>3015</v>
      </c>
      <c r="U7" s="1216" t="s">
        <v>3028</v>
      </c>
    </row>
    <row r="8" spans="1:21" ht="14.25" customHeight="1">
      <c r="A8" s="3157" t="s">
        <v>990</v>
      </c>
      <c r="B8" s="3157" t="s">
        <v>991</v>
      </c>
      <c r="C8" s="3157">
        <v>32630</v>
      </c>
      <c r="D8" s="3157">
        <v>32510</v>
      </c>
      <c r="E8" s="3157">
        <v>32420</v>
      </c>
      <c r="F8" s="3158">
        <v>13300</v>
      </c>
      <c r="G8" s="3158">
        <v>24010</v>
      </c>
      <c r="H8" s="968" t="s">
        <v>839</v>
      </c>
      <c r="I8" s="969">
        <f>SUMPRODUCT((B55:B86=基准地价!I2)*(C3:G3=基准地价!E2)*(C55:G86))</f>
        <v>0</v>
      </c>
      <c r="K8" s="3157" t="s">
        <v>1015</v>
      </c>
      <c r="L8" s="3157" t="s">
        <v>1016</v>
      </c>
      <c r="M8" s="3157" t="s">
        <v>1017</v>
      </c>
      <c r="N8" s="3157" t="s">
        <v>1018</v>
      </c>
      <c r="O8" s="3157" t="s">
        <v>1019</v>
      </c>
      <c r="P8" s="3157" t="s">
        <v>1020</v>
      </c>
      <c r="Q8" s="3157" t="s">
        <v>2931</v>
      </c>
      <c r="R8" s="3157" t="s">
        <v>1021</v>
      </c>
      <c r="S8" s="3157" t="s">
        <v>2995</v>
      </c>
      <c r="T8" s="3157" t="s">
        <v>3016</v>
      </c>
      <c r="U8" s="3157" t="s">
        <v>3029</v>
      </c>
    </row>
    <row r="9" spans="1:21" ht="14.25" customHeight="1" thickBot="1">
      <c r="A9" s="3171" t="s">
        <v>990</v>
      </c>
      <c r="B9" s="3159" t="s">
        <v>1001</v>
      </c>
      <c r="C9" s="3160">
        <v>36370</v>
      </c>
      <c r="D9" s="3160">
        <v>36210</v>
      </c>
      <c r="E9" s="3160">
        <v>36050</v>
      </c>
      <c r="F9" s="3161"/>
      <c r="G9" s="3162">
        <v>26740</v>
      </c>
      <c r="H9" s="968" t="s">
        <v>840</v>
      </c>
      <c r="I9" s="969">
        <f>SUMPRODUCT((B87:B126=基准地价!I2)*(C3:G3=基准地价!E2)*(C87:G126))</f>
        <v>0</v>
      </c>
      <c r="K9" s="3157" t="s">
        <v>1022</v>
      </c>
      <c r="L9" s="3157" t="s">
        <v>1023</v>
      </c>
      <c r="M9" s="3157" t="s">
        <v>1024</v>
      </c>
      <c r="N9" s="3157" t="s">
        <v>1025</v>
      </c>
      <c r="O9" s="3157" t="s">
        <v>1026</v>
      </c>
      <c r="P9" s="3157" t="s">
        <v>1027</v>
      </c>
      <c r="Q9" s="3157" t="s">
        <v>2932</v>
      </c>
      <c r="R9" s="3157" t="s">
        <v>1029</v>
      </c>
      <c r="S9" s="3157" t="s">
        <v>1030</v>
      </c>
      <c r="T9" s="3157" t="s">
        <v>1047</v>
      </c>
    </row>
    <row r="10" spans="1:21" ht="14.25" customHeight="1">
      <c r="A10" s="3154" t="s">
        <v>1031</v>
      </c>
      <c r="B10" s="3155" t="s">
        <v>2827</v>
      </c>
      <c r="C10" s="3155">
        <v>32350</v>
      </c>
      <c r="D10" s="3155">
        <v>31430</v>
      </c>
      <c r="E10" s="3155">
        <v>31320</v>
      </c>
      <c r="F10" s="3156">
        <v>10850</v>
      </c>
      <c r="G10" s="3156">
        <v>22860</v>
      </c>
      <c r="H10" s="968" t="s">
        <v>841</v>
      </c>
      <c r="I10" s="969">
        <f>SUMPRODUCT((B127:B189=基准地价!I2)*(C3:G3=基准地价!E2)*(C127:G189))</f>
        <v>2120</v>
      </c>
      <c r="K10" s="3157" t="s">
        <v>1032</v>
      </c>
      <c r="L10" s="3157" t="s">
        <v>1033</v>
      </c>
      <c r="M10" s="3157" t="s">
        <v>1034</v>
      </c>
      <c r="N10" s="3157" t="s">
        <v>1035</v>
      </c>
      <c r="O10" s="3157" t="s">
        <v>1036</v>
      </c>
      <c r="P10" s="3157" t="s">
        <v>1037</v>
      </c>
      <c r="Q10" s="3157" t="s">
        <v>1028</v>
      </c>
      <c r="R10" s="3157" t="s">
        <v>1039</v>
      </c>
      <c r="S10" s="3157" t="s">
        <v>1040</v>
      </c>
      <c r="T10" s="3157" t="s">
        <v>3017</v>
      </c>
    </row>
    <row r="11" spans="1:21" ht="14.25" customHeight="1">
      <c r="A11" s="3157" t="s">
        <v>1031</v>
      </c>
      <c r="B11" s="1216" t="s">
        <v>973</v>
      </c>
      <c r="C11" s="3157">
        <v>31590</v>
      </c>
      <c r="D11" s="3157">
        <v>29490</v>
      </c>
      <c r="E11" s="3157">
        <v>28700</v>
      </c>
      <c r="F11" s="3163">
        <v>10410</v>
      </c>
      <c r="G11" s="3163">
        <v>21460</v>
      </c>
      <c r="H11" s="968" t="s">
        <v>842</v>
      </c>
      <c r="I11" s="969">
        <f>SUMPRODUCT((B190:B233=基准地价!I2)*(C3:G3=基准地价!E2)*(C190:G233))</f>
        <v>0</v>
      </c>
      <c r="K11" s="3157" t="s">
        <v>1041</v>
      </c>
      <c r="L11" s="3157" t="s">
        <v>1042</v>
      </c>
      <c r="M11" s="3157" t="s">
        <v>1043</v>
      </c>
      <c r="N11" s="3157" t="s">
        <v>1044</v>
      </c>
      <c r="O11" s="3157" t="s">
        <v>1045</v>
      </c>
      <c r="P11" s="3157" t="s">
        <v>2898</v>
      </c>
      <c r="Q11" s="3157" t="s">
        <v>1038</v>
      </c>
      <c r="R11" s="3157" t="s">
        <v>1046</v>
      </c>
      <c r="S11" s="3157" t="s">
        <v>2996</v>
      </c>
      <c r="T11" s="3157" t="s">
        <v>3018</v>
      </c>
    </row>
    <row r="12" spans="1:21" ht="14.25" customHeight="1">
      <c r="A12" s="3157" t="s">
        <v>1031</v>
      </c>
      <c r="B12" s="1216" t="s">
        <v>983</v>
      </c>
      <c r="C12" s="3157">
        <v>29640</v>
      </c>
      <c r="D12" s="3157">
        <v>27550</v>
      </c>
      <c r="E12" s="3157">
        <v>28010</v>
      </c>
      <c r="F12" s="3163">
        <v>8730</v>
      </c>
      <c r="G12" s="3163">
        <v>20050</v>
      </c>
      <c r="H12" s="968" t="s">
        <v>843</v>
      </c>
      <c r="I12" s="969">
        <f>SUMPRODUCT((B234:B276=基准地价!I2)*(C3:G3=基准地价!E2)*(C234:G276))</f>
        <v>0</v>
      </c>
      <c r="K12" s="3157" t="s">
        <v>1048</v>
      </c>
      <c r="L12" s="3157" t="s">
        <v>1049</v>
      </c>
      <c r="M12" s="3157" t="s">
        <v>1050</v>
      </c>
      <c r="N12" s="3157" t="s">
        <v>1051</v>
      </c>
      <c r="O12" s="3157" t="s">
        <v>1052</v>
      </c>
      <c r="P12" s="3157" t="s">
        <v>2899</v>
      </c>
      <c r="Q12" s="3157" t="s">
        <v>2933</v>
      </c>
      <c r="R12" s="3157" t="s">
        <v>2961</v>
      </c>
      <c r="S12" s="3157" t="s">
        <v>2997</v>
      </c>
      <c r="T12" s="3157" t="s">
        <v>3019</v>
      </c>
    </row>
    <row r="13" spans="1:21" ht="14.25" customHeight="1">
      <c r="A13" s="3157" t="s">
        <v>1031</v>
      </c>
      <c r="B13" s="1216" t="s">
        <v>992</v>
      </c>
      <c r="C13" s="3157">
        <v>29680</v>
      </c>
      <c r="D13" s="3157">
        <v>27660</v>
      </c>
      <c r="E13" s="3157">
        <v>28210</v>
      </c>
      <c r="F13" s="3163">
        <v>9590</v>
      </c>
      <c r="G13" s="3163">
        <v>20120</v>
      </c>
      <c r="H13" s="968" t="s">
        <v>844</v>
      </c>
      <c r="I13" s="969">
        <f>SUMPRODUCT((B277:B326=基准地价!I2)*(C3:G3=基准地价!E2)*(C277:G326))</f>
        <v>0</v>
      </c>
      <c r="K13" s="3157" t="s">
        <v>1055</v>
      </c>
      <c r="L13" s="3157" t="s">
        <v>1056</v>
      </c>
      <c r="M13" s="3157" t="s">
        <v>1057</v>
      </c>
      <c r="N13" s="3157" t="s">
        <v>1058</v>
      </c>
      <c r="O13" s="3157" t="s">
        <v>1059</v>
      </c>
      <c r="P13" s="3157" t="s">
        <v>2900</v>
      </c>
      <c r="Q13" s="3157" t="s">
        <v>1053</v>
      </c>
      <c r="R13" s="3157" t="s">
        <v>1067</v>
      </c>
      <c r="S13" s="3157" t="s">
        <v>1068</v>
      </c>
      <c r="T13" s="3157" t="s">
        <v>1061</v>
      </c>
    </row>
    <row r="14" spans="1:21" ht="14.25" customHeight="1">
      <c r="A14" s="3157" t="s">
        <v>1031</v>
      </c>
      <c r="B14" s="1216" t="s">
        <v>1002</v>
      </c>
      <c r="C14" s="3157">
        <v>30520</v>
      </c>
      <c r="D14" s="3157">
        <v>29510</v>
      </c>
      <c r="E14" s="3157">
        <v>29400</v>
      </c>
      <c r="F14" s="3163">
        <v>9630</v>
      </c>
      <c r="G14" s="3163">
        <v>21480</v>
      </c>
      <c r="H14" s="968" t="s">
        <v>845</v>
      </c>
      <c r="I14" s="969">
        <f>SUMPRODUCT((B327:B357=基准地价!I2)*(C3:G3=基准地价!E2)*(C327:G357))</f>
        <v>0</v>
      </c>
      <c r="K14" s="3157" t="s">
        <v>1062</v>
      </c>
      <c r="L14" s="3157" t="s">
        <v>1063</v>
      </c>
      <c r="M14" s="3157" t="s">
        <v>1064</v>
      </c>
      <c r="N14" s="3157" t="s">
        <v>1065</v>
      </c>
      <c r="O14" s="3157" t="s">
        <v>1066</v>
      </c>
      <c r="P14" s="3157" t="s">
        <v>1088</v>
      </c>
      <c r="Q14" s="3157" t="s">
        <v>1060</v>
      </c>
      <c r="R14" s="3157" t="s">
        <v>2962</v>
      </c>
      <c r="S14" s="3157" t="s">
        <v>1076</v>
      </c>
      <c r="T14" s="3157" t="s">
        <v>1069</v>
      </c>
    </row>
    <row r="15" spans="1:21" ht="14.25" customHeight="1">
      <c r="A15" s="3157" t="s">
        <v>1031</v>
      </c>
      <c r="B15" s="1216" t="s">
        <v>1009</v>
      </c>
      <c r="C15" s="3157">
        <v>29090</v>
      </c>
      <c r="D15" s="3157">
        <v>27590</v>
      </c>
      <c r="E15" s="3157">
        <v>28120</v>
      </c>
      <c r="F15" s="3163">
        <v>9110</v>
      </c>
      <c r="G15" s="3163">
        <v>20070</v>
      </c>
      <c r="H15" s="968" t="s">
        <v>846</v>
      </c>
      <c r="I15" s="969">
        <f>SUMPRODUCT((B358:B377=基准地价!I2)*(C3:G3=基准地价!E2)*(C358:G377))</f>
        <v>0</v>
      </c>
      <c r="K15" s="3157" t="s">
        <v>1070</v>
      </c>
      <c r="L15" s="3157" t="s">
        <v>1071</v>
      </c>
      <c r="M15" s="3157" t="s">
        <v>1072</v>
      </c>
      <c r="N15" s="3157" t="s">
        <v>1073</v>
      </c>
      <c r="O15" s="3157" t="s">
        <v>1074</v>
      </c>
      <c r="P15" s="3157" t="s">
        <v>2901</v>
      </c>
      <c r="Q15" s="3157" t="s">
        <v>2934</v>
      </c>
      <c r="R15" s="3157" t="s">
        <v>1090</v>
      </c>
      <c r="S15" s="3157" t="s">
        <v>2998</v>
      </c>
      <c r="T15" s="3157" t="s">
        <v>1077</v>
      </c>
    </row>
    <row r="16" spans="1:21" ht="14.25" customHeight="1" thickBot="1">
      <c r="A16" s="3157" t="s">
        <v>1031</v>
      </c>
      <c r="B16" s="1216" t="s">
        <v>1015</v>
      </c>
      <c r="C16" s="3157">
        <v>26790</v>
      </c>
      <c r="D16" s="3157">
        <v>30370</v>
      </c>
      <c r="E16" s="3157">
        <v>30240</v>
      </c>
      <c r="F16" s="3163">
        <v>11590</v>
      </c>
      <c r="G16" s="3163">
        <v>22090</v>
      </c>
      <c r="H16" s="970" t="s">
        <v>847</v>
      </c>
      <c r="I16" s="971">
        <f>SUMPRODUCT((B378:B384=基准地价!I2)*(C3:G3=基准地价!E2)*(C378:G384))</f>
        <v>0</v>
      </c>
      <c r="K16" s="3157" t="s">
        <v>1078</v>
      </c>
      <c r="L16" s="3157" t="s">
        <v>1079</v>
      </c>
      <c r="M16" s="3157" t="s">
        <v>1080</v>
      </c>
      <c r="N16" s="3157" t="s">
        <v>1081</v>
      </c>
      <c r="O16" s="3157" t="s">
        <v>1082</v>
      </c>
      <c r="P16" s="3157" t="s">
        <v>2902</v>
      </c>
      <c r="Q16" s="3157" t="s">
        <v>1075</v>
      </c>
      <c r="R16" s="3157" t="s">
        <v>1098</v>
      </c>
      <c r="S16" s="3157" t="s">
        <v>1054</v>
      </c>
      <c r="T16" s="3157" t="s">
        <v>3020</v>
      </c>
    </row>
    <row r="17" spans="1:20" ht="14.25" customHeight="1">
      <c r="A17" s="3157" t="s">
        <v>1031</v>
      </c>
      <c r="B17" s="1216" t="s">
        <v>1022</v>
      </c>
      <c r="C17" s="3157">
        <v>29180</v>
      </c>
      <c r="D17" s="3157">
        <v>27620</v>
      </c>
      <c r="E17" s="3157">
        <v>28180</v>
      </c>
      <c r="F17" s="3163">
        <v>10790</v>
      </c>
      <c r="G17" s="3164">
        <v>20090</v>
      </c>
      <c r="I17" s="972"/>
      <c r="K17" s="3157" t="s">
        <v>1083</v>
      </c>
      <c r="L17" s="3157" t="s">
        <v>1084</v>
      </c>
      <c r="M17" s="3157" t="s">
        <v>1085</v>
      </c>
      <c r="N17" s="3157" t="s">
        <v>1086</v>
      </c>
      <c r="O17" s="3157" t="s">
        <v>1087</v>
      </c>
      <c r="P17" s="3157" t="s">
        <v>2903</v>
      </c>
      <c r="Q17" s="3157" t="s">
        <v>2935</v>
      </c>
      <c r="R17" s="3157" t="s">
        <v>1104</v>
      </c>
      <c r="S17" s="3157" t="s">
        <v>2999</v>
      </c>
      <c r="T17" s="3157" t="s">
        <v>1106</v>
      </c>
    </row>
    <row r="18" spans="1:20" ht="14.25" customHeight="1">
      <c r="A18" s="3157" t="s">
        <v>1031</v>
      </c>
      <c r="B18" s="1216" t="s">
        <v>1032</v>
      </c>
      <c r="C18" s="3157">
        <v>26840</v>
      </c>
      <c r="D18" s="3157">
        <v>28930</v>
      </c>
      <c r="E18" s="3157">
        <v>28820</v>
      </c>
      <c r="F18" s="3163"/>
      <c r="G18" s="3164">
        <v>21050</v>
      </c>
      <c r="I18" s="972"/>
      <c r="K18" s="3157" t="s">
        <v>1092</v>
      </c>
      <c r="L18" s="3157" t="s">
        <v>1093</v>
      </c>
      <c r="M18" s="3157" t="s">
        <v>1094</v>
      </c>
      <c r="N18" s="3157" t="s">
        <v>1095</v>
      </c>
      <c r="O18" s="3157" t="s">
        <v>1096</v>
      </c>
      <c r="P18" s="3157" t="s">
        <v>2904</v>
      </c>
      <c r="Q18" s="3157" t="s">
        <v>1089</v>
      </c>
      <c r="R18" s="3157" t="s">
        <v>2963</v>
      </c>
      <c r="S18" s="3157" t="s">
        <v>1105</v>
      </c>
      <c r="T18" s="3157" t="s">
        <v>1114</v>
      </c>
    </row>
    <row r="19" spans="1:20" ht="14.25" customHeight="1">
      <c r="A19" s="3157" t="s">
        <v>1031</v>
      </c>
      <c r="B19" s="1216" t="s">
        <v>1041</v>
      </c>
      <c r="C19" s="3157">
        <v>27750</v>
      </c>
      <c r="D19" s="3157">
        <v>26680</v>
      </c>
      <c r="E19" s="3157">
        <v>26590</v>
      </c>
      <c r="F19" s="3163"/>
      <c r="G19" s="3164">
        <v>19420</v>
      </c>
      <c r="I19" s="972"/>
      <c r="K19" s="3157" t="s">
        <v>1099</v>
      </c>
      <c r="L19" s="3157" t="s">
        <v>1100</v>
      </c>
      <c r="M19" s="3157" t="s">
        <v>1101</v>
      </c>
      <c r="N19" s="3157" t="s">
        <v>1102</v>
      </c>
      <c r="O19" s="3157" t="s">
        <v>1103</v>
      </c>
      <c r="P19" s="3157" t="s">
        <v>2905</v>
      </c>
      <c r="Q19" s="3157" t="s">
        <v>1097</v>
      </c>
      <c r="R19" s="3157" t="s">
        <v>2964</v>
      </c>
      <c r="S19" s="3157" t="s">
        <v>1113</v>
      </c>
      <c r="T19" s="3157" t="s">
        <v>3021</v>
      </c>
    </row>
    <row r="20" spans="1:20" ht="14.25" customHeight="1">
      <c r="A20" s="3157" t="s">
        <v>1031</v>
      </c>
      <c r="B20" s="1216" t="s">
        <v>1048</v>
      </c>
      <c r="C20" s="3157">
        <v>27050</v>
      </c>
      <c r="D20" s="3157">
        <v>29010</v>
      </c>
      <c r="E20" s="3157">
        <v>28910</v>
      </c>
      <c r="F20" s="3163"/>
      <c r="G20" s="3164">
        <v>21110</v>
      </c>
      <c r="K20" s="3157" t="s">
        <v>1107</v>
      </c>
      <c r="L20" s="3157" t="s">
        <v>1108</v>
      </c>
      <c r="M20" s="3157" t="s">
        <v>1109</v>
      </c>
      <c r="N20" s="3157" t="s">
        <v>1110</v>
      </c>
      <c r="O20" s="3157" t="s">
        <v>1111</v>
      </c>
      <c r="P20" s="3157" t="s">
        <v>2906</v>
      </c>
      <c r="Q20" s="3157" t="s">
        <v>2936</v>
      </c>
      <c r="R20" s="3157" t="s">
        <v>1139</v>
      </c>
      <c r="S20" s="3157" t="s">
        <v>3000</v>
      </c>
      <c r="T20" s="3157" t="s">
        <v>1126</v>
      </c>
    </row>
    <row r="21" spans="1:20" ht="14.25" customHeight="1">
      <c r="A21" s="3157" t="s">
        <v>1031</v>
      </c>
      <c r="B21" s="1216" t="s">
        <v>1055</v>
      </c>
      <c r="C21" s="3157">
        <v>32370</v>
      </c>
      <c r="D21" s="3157">
        <v>26730</v>
      </c>
      <c r="E21" s="3157">
        <v>26640</v>
      </c>
      <c r="F21" s="3163"/>
      <c r="G21" s="3164">
        <v>19440</v>
      </c>
      <c r="K21" s="3166" t="s">
        <v>2828</v>
      </c>
      <c r="L21" s="3157" t="s">
        <v>1115</v>
      </c>
      <c r="M21" s="3157" t="s">
        <v>1116</v>
      </c>
      <c r="N21" s="3157" t="s">
        <v>1117</v>
      </c>
      <c r="O21" s="3157" t="s">
        <v>1118</v>
      </c>
      <c r="P21" s="3157" t="s">
        <v>1112</v>
      </c>
      <c r="Q21" s="3157" t="s">
        <v>1132</v>
      </c>
      <c r="R21" s="3157" t="s">
        <v>1142</v>
      </c>
      <c r="S21" s="3157" t="s">
        <v>3001</v>
      </c>
      <c r="T21" s="3157" t="s">
        <v>3022</v>
      </c>
    </row>
    <row r="22" spans="1:20" ht="14.25" customHeight="1">
      <c r="A22" s="3157" t="s">
        <v>1031</v>
      </c>
      <c r="B22" s="1216" t="s">
        <v>1062</v>
      </c>
      <c r="C22" s="3157">
        <v>29830</v>
      </c>
      <c r="D22" s="3157">
        <v>27600</v>
      </c>
      <c r="E22" s="3157">
        <v>28150</v>
      </c>
      <c r="F22" s="3163"/>
      <c r="G22" s="3164">
        <v>20080</v>
      </c>
      <c r="L22" s="3166" t="s">
        <v>2830</v>
      </c>
      <c r="M22" s="3157" t="s">
        <v>1120</v>
      </c>
      <c r="N22" s="3157" t="s">
        <v>1121</v>
      </c>
      <c r="O22" s="3157" t="s">
        <v>1122</v>
      </c>
      <c r="P22" s="3157" t="s">
        <v>2907</v>
      </c>
      <c r="Q22" s="3157" t="s">
        <v>1135</v>
      </c>
      <c r="R22" s="3157" t="s">
        <v>1144</v>
      </c>
      <c r="S22" s="3157" t="s">
        <v>1091</v>
      </c>
      <c r="T22" s="1216"/>
    </row>
    <row r="23" spans="1:20" ht="14.25" customHeight="1">
      <c r="A23" s="3157" t="s">
        <v>1031</v>
      </c>
      <c r="B23" s="1216" t="s">
        <v>1070</v>
      </c>
      <c r="C23" s="3157">
        <v>27800</v>
      </c>
      <c r="D23" s="3157">
        <v>26900</v>
      </c>
      <c r="E23" s="3157">
        <v>27170</v>
      </c>
      <c r="F23" s="3163"/>
      <c r="G23" s="3164">
        <v>19570</v>
      </c>
      <c r="L23" s="3166" t="s">
        <v>2831</v>
      </c>
      <c r="M23" s="3157" t="s">
        <v>1127</v>
      </c>
      <c r="N23" s="3157" t="s">
        <v>1128</v>
      </c>
      <c r="O23" s="3157" t="s">
        <v>2861</v>
      </c>
      <c r="P23" s="3157" t="s">
        <v>2908</v>
      </c>
      <c r="Q23" s="3157" t="s">
        <v>1138</v>
      </c>
      <c r="R23" s="3157" t="s">
        <v>1147</v>
      </c>
      <c r="S23" s="3157" t="s">
        <v>3002</v>
      </c>
    </row>
    <row r="24" spans="1:20" ht="14.25" customHeight="1">
      <c r="A24" s="3157" t="s">
        <v>1031</v>
      </c>
      <c r="B24" s="1216" t="s">
        <v>1078</v>
      </c>
      <c r="C24" s="3157">
        <v>27930</v>
      </c>
      <c r="D24" s="3157">
        <v>32260</v>
      </c>
      <c r="E24" s="3157">
        <v>32120</v>
      </c>
      <c r="F24" s="3163"/>
      <c r="G24" s="3164">
        <v>23470</v>
      </c>
      <c r="L24" s="3166" t="s">
        <v>2832</v>
      </c>
      <c r="M24" s="3157" t="s">
        <v>1130</v>
      </c>
      <c r="N24" s="3157" t="s">
        <v>1131</v>
      </c>
      <c r="O24" s="3157" t="s">
        <v>2862</v>
      </c>
      <c r="P24" s="3157" t="s">
        <v>1134</v>
      </c>
      <c r="Q24" s="3157" t="s">
        <v>2937</v>
      </c>
      <c r="R24" s="3157" t="s">
        <v>2965</v>
      </c>
      <c r="S24" s="3157" t="s">
        <v>3003</v>
      </c>
    </row>
    <row r="25" spans="1:20" ht="14.25" customHeight="1">
      <c r="A25" s="3157" t="s">
        <v>1031</v>
      </c>
      <c r="B25" s="1216" t="s">
        <v>1083</v>
      </c>
      <c r="C25" s="3157">
        <v>32230</v>
      </c>
      <c r="D25" s="3157">
        <v>29640</v>
      </c>
      <c r="E25" s="3157">
        <v>29510</v>
      </c>
      <c r="F25" s="3163"/>
      <c r="G25" s="3164">
        <v>21560</v>
      </c>
      <c r="L25" s="3166" t="s">
        <v>2833</v>
      </c>
      <c r="M25" s="3157" t="s">
        <v>2836</v>
      </c>
      <c r="N25" s="3157" t="s">
        <v>1133</v>
      </c>
      <c r="O25" s="3157" t="s">
        <v>1141</v>
      </c>
      <c r="P25" s="3157" t="s">
        <v>1137</v>
      </c>
      <c r="Q25" s="3157" t="s">
        <v>1124</v>
      </c>
      <c r="R25" s="3157" t="s">
        <v>1119</v>
      </c>
      <c r="S25" s="3157" t="s">
        <v>3004</v>
      </c>
    </row>
    <row r="26" spans="1:20" ht="14.25" customHeight="1">
      <c r="A26" s="3157" t="s">
        <v>1031</v>
      </c>
      <c r="B26" s="1216" t="s">
        <v>1092</v>
      </c>
      <c r="C26" s="3157">
        <v>31690</v>
      </c>
      <c r="D26" s="3157">
        <v>27650</v>
      </c>
      <c r="E26" s="3157">
        <v>28200</v>
      </c>
      <c r="F26" s="3163"/>
      <c r="G26" s="3164">
        <v>20110</v>
      </c>
      <c r="L26" s="3166" t="s">
        <v>2834</v>
      </c>
      <c r="M26" s="3157" t="s">
        <v>2837</v>
      </c>
      <c r="N26" s="3157" t="s">
        <v>1136</v>
      </c>
      <c r="O26" s="3157" t="s">
        <v>1143</v>
      </c>
      <c r="P26" s="3157" t="s">
        <v>2909</v>
      </c>
      <c r="Q26" s="3157" t="s">
        <v>2938</v>
      </c>
      <c r="R26" s="3157" t="s">
        <v>1125</v>
      </c>
      <c r="S26" s="3157" t="s">
        <v>3005</v>
      </c>
    </row>
    <row r="27" spans="1:20" ht="14.25" customHeight="1">
      <c r="A27" s="3157" t="s">
        <v>1031</v>
      </c>
      <c r="B27" s="1216" t="s">
        <v>1099</v>
      </c>
      <c r="C27" s="3157">
        <v>29610</v>
      </c>
      <c r="D27" s="3157">
        <v>27770</v>
      </c>
      <c r="E27" s="3157">
        <v>28300</v>
      </c>
      <c r="F27" s="3163"/>
      <c r="G27" s="3164">
        <v>20210</v>
      </c>
      <c r="M27" s="3157" t="s">
        <v>2838</v>
      </c>
      <c r="N27" s="3157" t="s">
        <v>1140</v>
      </c>
      <c r="O27" s="3157" t="s">
        <v>1146</v>
      </c>
      <c r="P27" s="3157" t="s">
        <v>1123</v>
      </c>
      <c r="Q27" s="3157" t="s">
        <v>2939</v>
      </c>
      <c r="R27" s="3157" t="s">
        <v>2966</v>
      </c>
      <c r="S27" s="3157" t="s">
        <v>3006</v>
      </c>
    </row>
    <row r="28" spans="1:20" ht="14.25" customHeight="1">
      <c r="A28" s="3171" t="s">
        <v>1031</v>
      </c>
      <c r="B28" s="2406" t="s">
        <v>1107</v>
      </c>
      <c r="C28" s="1214"/>
      <c r="D28" s="1214">
        <v>31520</v>
      </c>
      <c r="E28" s="1214">
        <v>31410</v>
      </c>
      <c r="F28" s="3168"/>
      <c r="G28" s="3169">
        <v>22940</v>
      </c>
      <c r="M28" s="3157" t="s">
        <v>2839</v>
      </c>
      <c r="N28" s="3157" t="s">
        <v>2846</v>
      </c>
      <c r="O28" s="3157" t="s">
        <v>2863</v>
      </c>
      <c r="P28" s="3157" t="s">
        <v>2910</v>
      </c>
      <c r="Q28" s="3157" t="s">
        <v>2940</v>
      </c>
      <c r="R28" s="3157" t="s">
        <v>2967</v>
      </c>
      <c r="S28" s="3166" t="s">
        <v>3007</v>
      </c>
    </row>
    <row r="29" spans="1:20" ht="14.25" customHeight="1" thickBot="1">
      <c r="A29" s="3172" t="s">
        <v>1031</v>
      </c>
      <c r="B29" s="3160" t="s">
        <v>2828</v>
      </c>
      <c r="C29" s="3160"/>
      <c r="D29" s="3160">
        <v>29460</v>
      </c>
      <c r="E29" s="3160">
        <v>28640</v>
      </c>
      <c r="F29" s="3161"/>
      <c r="G29" s="3173">
        <v>21430</v>
      </c>
      <c r="M29" s="3166" t="s">
        <v>2840</v>
      </c>
      <c r="N29" s="3157" t="s">
        <v>2847</v>
      </c>
      <c r="O29" s="3157" t="s">
        <v>2864</v>
      </c>
      <c r="P29" s="3157" t="s">
        <v>2911</v>
      </c>
      <c r="Q29" s="3157" t="s">
        <v>2941</v>
      </c>
      <c r="R29" s="3157" t="s">
        <v>2968</v>
      </c>
      <c r="S29" s="3166" t="s">
        <v>1129</v>
      </c>
    </row>
    <row r="30" spans="1:20" ht="14.25" customHeight="1">
      <c r="A30" s="3171" t="s">
        <v>1145</v>
      </c>
      <c r="B30" s="1216" t="s">
        <v>2829</v>
      </c>
      <c r="C30" s="1216">
        <v>26890</v>
      </c>
      <c r="D30" s="1216">
        <v>26770</v>
      </c>
      <c r="E30" s="1216">
        <v>25700</v>
      </c>
      <c r="F30" s="3158">
        <v>8180</v>
      </c>
      <c r="G30" s="3158">
        <v>18740</v>
      </c>
      <c r="I30" s="972"/>
      <c r="M30" s="3166" t="s">
        <v>2841</v>
      </c>
      <c r="N30" s="3157" t="s">
        <v>2848</v>
      </c>
      <c r="O30" s="3157" t="s">
        <v>2865</v>
      </c>
      <c r="P30" s="3157" t="s">
        <v>2912</v>
      </c>
      <c r="Q30" s="3157" t="s">
        <v>2942</v>
      </c>
      <c r="R30" s="3157" t="s">
        <v>2969</v>
      </c>
      <c r="S30" s="3166" t="s">
        <v>3008</v>
      </c>
    </row>
    <row r="31" spans="1:20" ht="14.25" customHeight="1">
      <c r="A31" s="3157" t="s">
        <v>1145</v>
      </c>
      <c r="B31" s="1216" t="s">
        <v>974</v>
      </c>
      <c r="C31" s="3157">
        <v>24550</v>
      </c>
      <c r="D31" s="3157">
        <v>23990</v>
      </c>
      <c r="E31" s="3157">
        <v>22930</v>
      </c>
      <c r="F31" s="3163">
        <v>7470</v>
      </c>
      <c r="G31" s="3163">
        <v>16790</v>
      </c>
      <c r="I31" s="972"/>
      <c r="M31" s="3166" t="s">
        <v>2842</v>
      </c>
      <c r="N31" s="3157" t="s">
        <v>2849</v>
      </c>
      <c r="O31" s="3157" t="s">
        <v>2866</v>
      </c>
      <c r="P31" s="3157" t="s">
        <v>2913</v>
      </c>
      <c r="Q31" s="3157" t="s">
        <v>2943</v>
      </c>
      <c r="R31" s="3157" t="s">
        <v>2970</v>
      </c>
      <c r="S31" s="3166" t="s">
        <v>3009</v>
      </c>
    </row>
    <row r="32" spans="1:20" ht="14.25" customHeight="1">
      <c r="A32" s="3157" t="s">
        <v>1145</v>
      </c>
      <c r="B32" s="1216" t="s">
        <v>984</v>
      </c>
      <c r="C32" s="3157">
        <v>27210</v>
      </c>
      <c r="D32" s="3157">
        <v>23240</v>
      </c>
      <c r="E32" s="3157">
        <v>23260</v>
      </c>
      <c r="F32" s="3163">
        <v>7130</v>
      </c>
      <c r="G32" s="3163">
        <v>16270</v>
      </c>
      <c r="I32" s="972"/>
      <c r="M32" s="3166" t="s">
        <v>2843</v>
      </c>
      <c r="N32" s="3157" t="s">
        <v>2850</v>
      </c>
      <c r="O32" s="3157" t="s">
        <v>1149</v>
      </c>
      <c r="P32" s="3157" t="s">
        <v>2914</v>
      </c>
      <c r="Q32" s="3157" t="s">
        <v>1148</v>
      </c>
      <c r="R32" s="3157" t="s">
        <v>2971</v>
      </c>
      <c r="S32" s="3166" t="s">
        <v>3010</v>
      </c>
    </row>
    <row r="33" spans="1:18" ht="14.25" customHeight="1">
      <c r="A33" s="3157" t="s">
        <v>1145</v>
      </c>
      <c r="B33" s="1216" t="s">
        <v>993</v>
      </c>
      <c r="C33" s="3157">
        <v>27300</v>
      </c>
      <c r="D33" s="3157">
        <v>22980</v>
      </c>
      <c r="E33" s="3157">
        <v>24260</v>
      </c>
      <c r="F33" s="3163">
        <v>5860</v>
      </c>
      <c r="G33" s="3163">
        <v>16090</v>
      </c>
      <c r="I33" s="972"/>
      <c r="M33" s="3166" t="s">
        <v>2844</v>
      </c>
      <c r="N33" s="3157" t="s">
        <v>2851</v>
      </c>
      <c r="O33" s="3157" t="s">
        <v>1150</v>
      </c>
      <c r="P33" s="3157" t="s">
        <v>2915</v>
      </c>
      <c r="Q33" s="3157" t="s">
        <v>2944</v>
      </c>
      <c r="R33" s="3157" t="s">
        <v>2972</v>
      </c>
    </row>
    <row r="34" spans="1:18" ht="14.25" customHeight="1">
      <c r="A34" s="3157" t="s">
        <v>1145</v>
      </c>
      <c r="B34" s="1216" t="s">
        <v>1003</v>
      </c>
      <c r="C34" s="3157">
        <v>23090</v>
      </c>
      <c r="D34" s="3157">
        <v>23390</v>
      </c>
      <c r="E34" s="3157">
        <v>23510</v>
      </c>
      <c r="F34" s="3163">
        <v>6700</v>
      </c>
      <c r="G34" s="3163">
        <v>16370</v>
      </c>
      <c r="I34" s="972"/>
      <c r="N34" s="3157" t="s">
        <v>2852</v>
      </c>
      <c r="O34" s="3157" t="s">
        <v>1151</v>
      </c>
      <c r="P34" s="3157" t="s">
        <v>2916</v>
      </c>
      <c r="Q34" s="3157" t="s">
        <v>2945</v>
      </c>
      <c r="R34" s="3157" t="s">
        <v>2973</v>
      </c>
    </row>
    <row r="35" spans="1:18" ht="14.25" customHeight="1">
      <c r="A35" s="3157" t="s">
        <v>1145</v>
      </c>
      <c r="B35" s="1216" t="s">
        <v>1010</v>
      </c>
      <c r="C35" s="3157">
        <v>27270</v>
      </c>
      <c r="D35" s="3157">
        <v>24270</v>
      </c>
      <c r="E35" s="3157">
        <v>24950</v>
      </c>
      <c r="F35" s="3163">
        <v>6600</v>
      </c>
      <c r="G35" s="3163">
        <v>16990</v>
      </c>
      <c r="I35" s="972"/>
      <c r="N35" s="3157" t="s">
        <v>2853</v>
      </c>
      <c r="O35" s="3157" t="s">
        <v>2867</v>
      </c>
      <c r="P35" s="3157" t="s">
        <v>2917</v>
      </c>
      <c r="Q35" s="3157" t="s">
        <v>2946</v>
      </c>
      <c r="R35" s="3157" t="s">
        <v>2974</v>
      </c>
    </row>
    <row r="36" spans="1:18" ht="14.25" customHeight="1">
      <c r="A36" s="3157" t="s">
        <v>1145</v>
      </c>
      <c r="B36" s="1216" t="s">
        <v>1016</v>
      </c>
      <c r="C36" s="3157">
        <v>23490</v>
      </c>
      <c r="D36" s="3157">
        <v>23020</v>
      </c>
      <c r="E36" s="3157">
        <v>25230</v>
      </c>
      <c r="F36" s="3163">
        <v>6780</v>
      </c>
      <c r="G36" s="3163">
        <v>16120</v>
      </c>
      <c r="I36" s="972"/>
      <c r="N36" s="3166" t="s">
        <v>2854</v>
      </c>
      <c r="O36" s="3193" t="s">
        <v>2868</v>
      </c>
      <c r="P36" s="3157" t="s">
        <v>2918</v>
      </c>
      <c r="Q36" s="3157" t="s">
        <v>2947</v>
      </c>
      <c r="R36" s="3157" t="s">
        <v>2975</v>
      </c>
    </row>
    <row r="37" spans="1:18" ht="14.25" customHeight="1">
      <c r="A37" s="3157" t="s">
        <v>1145</v>
      </c>
      <c r="B37" s="1216" t="s">
        <v>1023</v>
      </c>
      <c r="C37" s="3157">
        <v>24380</v>
      </c>
      <c r="D37" s="3157">
        <v>22240</v>
      </c>
      <c r="E37" s="3157">
        <v>25980</v>
      </c>
      <c r="F37" s="3163">
        <v>8160</v>
      </c>
      <c r="G37" s="3163">
        <v>15570</v>
      </c>
      <c r="I37" s="973"/>
      <c r="N37" s="3166" t="s">
        <v>2855</v>
      </c>
      <c r="O37" s="3193" t="s">
        <v>2869</v>
      </c>
      <c r="P37" s="3157" t="s">
        <v>2919</v>
      </c>
      <c r="Q37" s="3157" t="s">
        <v>2948</v>
      </c>
      <c r="R37" s="3157" t="s">
        <v>2976</v>
      </c>
    </row>
    <row r="38" spans="1:18" ht="14.25" customHeight="1">
      <c r="A38" s="3157" t="s">
        <v>1145</v>
      </c>
      <c r="B38" s="1216" t="s">
        <v>1033</v>
      </c>
      <c r="C38" s="3157">
        <v>23120</v>
      </c>
      <c r="D38" s="3157">
        <v>24630</v>
      </c>
      <c r="E38" s="3157">
        <v>25030</v>
      </c>
      <c r="F38" s="3163">
        <v>7710</v>
      </c>
      <c r="G38" s="3163">
        <v>17240</v>
      </c>
      <c r="I38" s="972"/>
      <c r="N38" s="3166" t="s">
        <v>2856</v>
      </c>
      <c r="O38" s="3193" t="s">
        <v>2870</v>
      </c>
      <c r="P38" s="3157" t="s">
        <v>2920</v>
      </c>
      <c r="Q38" s="3157" t="s">
        <v>2949</v>
      </c>
      <c r="R38" s="3157" t="s">
        <v>2977</v>
      </c>
    </row>
    <row r="39" spans="1:18" ht="14.25" customHeight="1">
      <c r="A39" s="3157" t="s">
        <v>1145</v>
      </c>
      <c r="B39" s="1216" t="s">
        <v>1042</v>
      </c>
      <c r="C39" s="3157">
        <v>22330</v>
      </c>
      <c r="D39" s="3157">
        <v>21140</v>
      </c>
      <c r="E39" s="3157">
        <v>23970</v>
      </c>
      <c r="F39" s="3163">
        <v>7940</v>
      </c>
      <c r="G39" s="3163">
        <v>14790</v>
      </c>
      <c r="I39" s="972"/>
      <c r="N39" s="3166" t="s">
        <v>2857</v>
      </c>
      <c r="O39" s="3193" t="s">
        <v>2871</v>
      </c>
      <c r="P39" s="3157" t="s">
        <v>2921</v>
      </c>
      <c r="Q39" s="3157" t="s">
        <v>2950</v>
      </c>
      <c r="R39" s="3157" t="s">
        <v>2978</v>
      </c>
    </row>
    <row r="40" spans="1:18" ht="14.25" customHeight="1">
      <c r="A40" s="3157" t="s">
        <v>1145</v>
      </c>
      <c r="B40" s="1216" t="s">
        <v>1049</v>
      </c>
      <c r="C40" s="3157">
        <v>24740</v>
      </c>
      <c r="D40" s="3157">
        <v>24690</v>
      </c>
      <c r="E40" s="3157">
        <v>22610</v>
      </c>
      <c r="F40" s="3163"/>
      <c r="G40" s="3163">
        <v>17280</v>
      </c>
      <c r="I40" s="972"/>
      <c r="N40" s="3166" t="s">
        <v>2858</v>
      </c>
      <c r="O40" s="3193" t="s">
        <v>2872</v>
      </c>
      <c r="P40" s="3157" t="s">
        <v>2922</v>
      </c>
      <c r="Q40" s="3157" t="s">
        <v>2951</v>
      </c>
      <c r="R40" s="3157" t="s">
        <v>2979</v>
      </c>
    </row>
    <row r="41" spans="1:18" ht="14.25" customHeight="1">
      <c r="A41" s="3157" t="s">
        <v>1145</v>
      </c>
      <c r="B41" s="1216" t="s">
        <v>1056</v>
      </c>
      <c r="C41" s="3157">
        <v>21220</v>
      </c>
      <c r="D41" s="3157">
        <v>21120</v>
      </c>
      <c r="E41" s="3157">
        <v>22590</v>
      </c>
      <c r="F41" s="3163"/>
      <c r="G41" s="3163">
        <v>14780</v>
      </c>
      <c r="I41" s="972"/>
      <c r="N41" s="3166" t="s">
        <v>2859</v>
      </c>
      <c r="O41" s="3194" t="s">
        <v>2873</v>
      </c>
      <c r="P41" s="1216" t="s">
        <v>2923</v>
      </c>
      <c r="Q41" s="3166" t="s">
        <v>2952</v>
      </c>
      <c r="R41" s="1216" t="s">
        <v>2980</v>
      </c>
    </row>
    <row r="42" spans="1:18" ht="14.25" customHeight="1">
      <c r="A42" s="3157" t="s">
        <v>1145</v>
      </c>
      <c r="B42" s="1216" t="s">
        <v>1063</v>
      </c>
      <c r="C42" s="3157">
        <v>24800</v>
      </c>
      <c r="D42" s="3157">
        <v>22280</v>
      </c>
      <c r="E42" s="3157">
        <v>24350</v>
      </c>
      <c r="F42" s="3163"/>
      <c r="G42" s="3163">
        <v>15590</v>
      </c>
      <c r="I42" s="972"/>
      <c r="O42" s="3157" t="s">
        <v>2874</v>
      </c>
      <c r="P42" s="3157" t="s">
        <v>2924</v>
      </c>
      <c r="Q42" s="3166" t="s">
        <v>2953</v>
      </c>
      <c r="R42" s="3157" t="s">
        <v>2981</v>
      </c>
    </row>
    <row r="43" spans="1:18" ht="14.25" customHeight="1">
      <c r="A43" s="3157" t="s">
        <v>1145</v>
      </c>
      <c r="B43" s="1216" t="s">
        <v>1071</v>
      </c>
      <c r="C43" s="3157">
        <v>21210</v>
      </c>
      <c r="D43" s="3157">
        <v>21160</v>
      </c>
      <c r="E43" s="3157">
        <v>22650</v>
      </c>
      <c r="F43" s="3163"/>
      <c r="G43" s="3163">
        <v>14800</v>
      </c>
      <c r="I43" s="972"/>
      <c r="O43" s="3157" t="s">
        <v>2875</v>
      </c>
      <c r="P43" s="3157" t="s">
        <v>2925</v>
      </c>
      <c r="Q43" s="3166" t="s">
        <v>2954</v>
      </c>
      <c r="R43" s="3157" t="s">
        <v>2982</v>
      </c>
    </row>
    <row r="44" spans="1:18" ht="14.25" customHeight="1">
      <c r="A44" s="3157" t="s">
        <v>1145</v>
      </c>
      <c r="B44" s="1216" t="s">
        <v>1079</v>
      </c>
      <c r="C44" s="3157">
        <v>22370</v>
      </c>
      <c r="D44" s="3157">
        <v>23140</v>
      </c>
      <c r="E44" s="3157">
        <v>25090</v>
      </c>
      <c r="F44" s="3163"/>
      <c r="G44" s="3163">
        <v>16190</v>
      </c>
      <c r="I44" s="972"/>
      <c r="O44" s="3157" t="s">
        <v>2876</v>
      </c>
      <c r="P44" s="3157" t="s">
        <v>2926</v>
      </c>
      <c r="Q44" s="3166" t="s">
        <v>2955</v>
      </c>
      <c r="R44" s="3157" t="s">
        <v>2983</v>
      </c>
    </row>
    <row r="45" spans="1:18" ht="14.25" customHeight="1">
      <c r="A45" s="3157" t="s">
        <v>1145</v>
      </c>
      <c r="B45" s="1216" t="s">
        <v>1084</v>
      </c>
      <c r="C45" s="3157">
        <v>21240</v>
      </c>
      <c r="D45" s="3157">
        <v>27050</v>
      </c>
      <c r="E45" s="3157">
        <v>28000</v>
      </c>
      <c r="F45" s="3163"/>
      <c r="G45" s="3163">
        <v>18940</v>
      </c>
      <c r="I45" s="972"/>
      <c r="O45" s="3157" t="s">
        <v>2877</v>
      </c>
      <c r="P45" s="3157" t="s">
        <v>2927</v>
      </c>
      <c r="R45" s="3157" t="s">
        <v>2984</v>
      </c>
    </row>
    <row r="46" spans="1:18" ht="14.25" customHeight="1">
      <c r="A46" s="3157" t="s">
        <v>1145</v>
      </c>
      <c r="B46" s="1216" t="s">
        <v>1093</v>
      </c>
      <c r="C46" s="3157">
        <v>23240</v>
      </c>
      <c r="D46" s="3157">
        <v>23000</v>
      </c>
      <c r="E46" s="3157">
        <v>24980</v>
      </c>
      <c r="F46" s="3163"/>
      <c r="G46" s="3163">
        <v>16100</v>
      </c>
      <c r="I46" s="972"/>
      <c r="O46" s="3157" t="s">
        <v>2878</v>
      </c>
      <c r="P46" s="3157"/>
      <c r="R46" s="3157" t="s">
        <v>2985</v>
      </c>
    </row>
    <row r="47" spans="1:18" ht="14.25" customHeight="1">
      <c r="A47" s="3157" t="s">
        <v>1145</v>
      </c>
      <c r="B47" s="2406" t="s">
        <v>1100</v>
      </c>
      <c r="C47" s="1214">
        <v>27150</v>
      </c>
      <c r="D47" s="1214">
        <v>23310</v>
      </c>
      <c r="E47" s="1214">
        <v>25150</v>
      </c>
      <c r="F47" s="3168"/>
      <c r="G47" s="3168">
        <v>16310</v>
      </c>
      <c r="I47" s="972"/>
      <c r="O47" s="3157" t="s">
        <v>2879</v>
      </c>
      <c r="P47" s="3157"/>
      <c r="R47" s="3166" t="s">
        <v>2986</v>
      </c>
    </row>
    <row r="48" spans="1:18" ht="14.25" customHeight="1">
      <c r="A48" s="3157" t="s">
        <v>1145</v>
      </c>
      <c r="B48" s="3157" t="s">
        <v>1108</v>
      </c>
      <c r="C48" s="3157">
        <v>23100</v>
      </c>
      <c r="D48" s="3157">
        <v>21110</v>
      </c>
      <c r="E48" s="3157">
        <v>23080</v>
      </c>
      <c r="F48" s="3163"/>
      <c r="G48" s="3170">
        <v>14780</v>
      </c>
      <c r="I48" s="972"/>
      <c r="O48" s="3157" t="s">
        <v>2880</v>
      </c>
      <c r="P48" s="3157"/>
      <c r="R48" s="3166" t="s">
        <v>2987</v>
      </c>
    </row>
    <row r="49" spans="1:18" ht="14.25" customHeight="1">
      <c r="A49" s="3157" t="s">
        <v>1145</v>
      </c>
      <c r="B49" s="1216" t="s">
        <v>1115</v>
      </c>
      <c r="C49" s="1216">
        <v>23400</v>
      </c>
      <c r="D49" s="1216">
        <v>22920</v>
      </c>
      <c r="E49" s="1216">
        <v>24900</v>
      </c>
      <c r="F49" s="3158"/>
      <c r="G49" s="3158">
        <v>16040</v>
      </c>
      <c r="I49" s="972"/>
      <c r="O49" s="3157" t="s">
        <v>2881</v>
      </c>
      <c r="P49" s="3157"/>
      <c r="R49" s="3166" t="s">
        <v>2988</v>
      </c>
    </row>
    <row r="50" spans="1:18" ht="14.25" customHeight="1">
      <c r="A50" s="3157" t="s">
        <v>1145</v>
      </c>
      <c r="B50" s="3157" t="s">
        <v>2830</v>
      </c>
      <c r="C50" s="3157">
        <v>21200</v>
      </c>
      <c r="D50" s="3157">
        <v>26540</v>
      </c>
      <c r="E50" s="3157">
        <v>23200</v>
      </c>
      <c r="F50" s="3163"/>
      <c r="G50" s="3163">
        <v>18580</v>
      </c>
      <c r="I50" s="972"/>
      <c r="O50" s="3166" t="s">
        <v>2882</v>
      </c>
      <c r="R50" s="3166" t="s">
        <v>2989</v>
      </c>
    </row>
    <row r="51" spans="1:18" ht="14.25" customHeight="1">
      <c r="A51" s="3157" t="s">
        <v>1145</v>
      </c>
      <c r="B51" s="3157" t="s">
        <v>2831</v>
      </c>
      <c r="C51" s="3157">
        <v>23000</v>
      </c>
      <c r="D51" s="3157">
        <v>23460</v>
      </c>
      <c r="E51" s="3157">
        <v>25290</v>
      </c>
      <c r="F51" s="3163"/>
      <c r="G51" s="3163">
        <v>16420</v>
      </c>
      <c r="I51" s="972"/>
      <c r="O51" s="3166" t="s">
        <v>2883</v>
      </c>
      <c r="R51" s="3166" t="s">
        <v>2990</v>
      </c>
    </row>
    <row r="52" spans="1:18" ht="14.25" customHeight="1">
      <c r="A52" s="3157" t="s">
        <v>1145</v>
      </c>
      <c r="B52" s="3157" t="s">
        <v>2832</v>
      </c>
      <c r="C52" s="3157">
        <v>26660</v>
      </c>
      <c r="D52" s="3157">
        <v>22350</v>
      </c>
      <c r="E52" s="3157">
        <v>22920</v>
      </c>
      <c r="F52" s="3163"/>
      <c r="G52" s="3163">
        <v>15640</v>
      </c>
      <c r="I52" s="972"/>
      <c r="O52" s="3166" t="s">
        <v>2884</v>
      </c>
    </row>
    <row r="53" spans="1:18" ht="14.25" customHeight="1">
      <c r="A53" s="3157" t="s">
        <v>1145</v>
      </c>
      <c r="B53" s="3157" t="s">
        <v>2833</v>
      </c>
      <c r="C53" s="3157">
        <v>23580</v>
      </c>
      <c r="D53" s="3157"/>
      <c r="E53" s="3157">
        <v>24280</v>
      </c>
      <c r="F53" s="3163"/>
      <c r="G53" s="3163"/>
      <c r="I53" s="972"/>
      <c r="O53" s="3166" t="s">
        <v>2885</v>
      </c>
    </row>
    <row r="54" spans="1:18" ht="14.25" customHeight="1" thickBot="1">
      <c r="A54" s="3172" t="s">
        <v>1145</v>
      </c>
      <c r="B54" s="3160" t="s">
        <v>2834</v>
      </c>
      <c r="C54" s="3160">
        <v>22460</v>
      </c>
      <c r="D54" s="3160"/>
      <c r="E54" s="3160"/>
      <c r="F54" s="3161"/>
      <c r="G54" s="3173"/>
      <c r="I54" s="972"/>
      <c r="O54" s="3166" t="s">
        <v>2886</v>
      </c>
    </row>
    <row r="55" spans="1:18" ht="14.25" customHeight="1">
      <c r="A55" s="3171" t="s">
        <v>853</v>
      </c>
      <c r="B55" s="1216" t="s">
        <v>2835</v>
      </c>
      <c r="C55" s="1216">
        <v>21970</v>
      </c>
      <c r="D55" s="1216">
        <v>20370</v>
      </c>
      <c r="E55" s="1216">
        <v>20180</v>
      </c>
      <c r="F55" s="3158">
        <v>5730</v>
      </c>
      <c r="G55" s="3158">
        <v>13820</v>
      </c>
      <c r="I55" s="972"/>
      <c r="O55" s="3166" t="s">
        <v>2887</v>
      </c>
    </row>
    <row r="56" spans="1:18" ht="14.25" customHeight="1">
      <c r="A56" s="3157" t="s">
        <v>853</v>
      </c>
      <c r="B56" s="3157" t="s">
        <v>975</v>
      </c>
      <c r="C56" s="3157">
        <v>20470</v>
      </c>
      <c r="D56" s="3157">
        <v>20700</v>
      </c>
      <c r="E56" s="3157">
        <v>20380</v>
      </c>
      <c r="F56" s="3163">
        <v>4760</v>
      </c>
      <c r="G56" s="3163">
        <v>14050</v>
      </c>
      <c r="I56" s="972"/>
      <c r="O56" s="3166" t="s">
        <v>2888</v>
      </c>
    </row>
    <row r="57" spans="1:18" ht="14.25" customHeight="1">
      <c r="A57" s="3157" t="s">
        <v>853</v>
      </c>
      <c r="B57" s="3157" t="s">
        <v>985</v>
      </c>
      <c r="C57" s="3157">
        <v>20790</v>
      </c>
      <c r="D57" s="3157">
        <v>21370</v>
      </c>
      <c r="E57" s="3157">
        <v>20890</v>
      </c>
      <c r="F57" s="3163">
        <v>4910</v>
      </c>
      <c r="G57" s="3163">
        <v>14510</v>
      </c>
      <c r="I57" s="972"/>
      <c r="O57" s="3166" t="s">
        <v>2889</v>
      </c>
    </row>
    <row r="58" spans="1:18" ht="14.25" customHeight="1">
      <c r="A58" s="3157" t="s">
        <v>853</v>
      </c>
      <c r="B58" s="3157" t="s">
        <v>994</v>
      </c>
      <c r="C58" s="3157">
        <v>21460</v>
      </c>
      <c r="D58" s="3157">
        <v>20920</v>
      </c>
      <c r="E58" s="3157">
        <v>23410</v>
      </c>
      <c r="F58" s="3163">
        <v>5100</v>
      </c>
      <c r="G58" s="3163">
        <v>14200</v>
      </c>
      <c r="I58" s="972"/>
      <c r="O58" s="3166" t="s">
        <v>2890</v>
      </c>
    </row>
    <row r="59" spans="1:18" ht="14.25" customHeight="1">
      <c r="A59" s="3157" t="s">
        <v>853</v>
      </c>
      <c r="B59" s="3157" t="s">
        <v>1004</v>
      </c>
      <c r="C59" s="3157">
        <v>21000</v>
      </c>
      <c r="D59" s="3157">
        <v>21550</v>
      </c>
      <c r="E59" s="3157">
        <v>21150</v>
      </c>
      <c r="F59" s="3163">
        <v>5250</v>
      </c>
      <c r="G59" s="3163">
        <v>14630</v>
      </c>
      <c r="I59" s="972"/>
      <c r="O59" s="3166" t="s">
        <v>2891</v>
      </c>
    </row>
    <row r="60" spans="1:18" ht="14.25" customHeight="1">
      <c r="A60" s="3157" t="s">
        <v>853</v>
      </c>
      <c r="B60" s="3157" t="s">
        <v>1011</v>
      </c>
      <c r="C60" s="3157">
        <v>21640</v>
      </c>
      <c r="D60" s="3157">
        <v>21260</v>
      </c>
      <c r="E60" s="3157">
        <v>24040</v>
      </c>
      <c r="F60" s="3163">
        <v>4470</v>
      </c>
      <c r="G60" s="3163">
        <v>14430</v>
      </c>
      <c r="I60" s="972"/>
      <c r="O60" s="3166" t="s">
        <v>2892</v>
      </c>
    </row>
    <row r="61" spans="1:18" ht="14.25" customHeight="1">
      <c r="A61" s="3157" t="s">
        <v>853</v>
      </c>
      <c r="B61" s="3157" t="s">
        <v>1017</v>
      </c>
      <c r="C61" s="3157">
        <v>21330</v>
      </c>
      <c r="D61" s="3157">
        <v>18640</v>
      </c>
      <c r="E61" s="3157">
        <v>21190</v>
      </c>
      <c r="F61" s="3163">
        <v>4180</v>
      </c>
      <c r="G61" s="3165">
        <v>12650</v>
      </c>
      <c r="I61" s="972"/>
      <c r="O61" s="3166" t="s">
        <v>2893</v>
      </c>
    </row>
    <row r="62" spans="1:18" ht="14.25" customHeight="1">
      <c r="A62" s="3157" t="s">
        <v>853</v>
      </c>
      <c r="B62" s="3157" t="s">
        <v>1024</v>
      </c>
      <c r="C62" s="3157">
        <v>18710</v>
      </c>
      <c r="D62" s="3157">
        <v>19400</v>
      </c>
      <c r="E62" s="3157">
        <v>23750</v>
      </c>
      <c r="F62" s="3163">
        <v>4860</v>
      </c>
      <c r="G62" s="3165">
        <v>13170</v>
      </c>
      <c r="I62" s="972"/>
      <c r="O62" s="3166" t="s">
        <v>2894</v>
      </c>
    </row>
    <row r="63" spans="1:18" ht="14.25" customHeight="1">
      <c r="A63" s="3157" t="s">
        <v>853</v>
      </c>
      <c r="B63" s="3157" t="s">
        <v>1034</v>
      </c>
      <c r="C63" s="3157">
        <v>19480</v>
      </c>
      <c r="D63" s="3157">
        <v>16830</v>
      </c>
      <c r="E63" s="3157">
        <v>21590</v>
      </c>
      <c r="F63" s="3163">
        <v>4560</v>
      </c>
      <c r="G63" s="3165">
        <v>11420</v>
      </c>
      <c r="I63" s="972"/>
      <c r="O63" s="3166" t="s">
        <v>2895</v>
      </c>
    </row>
    <row r="64" spans="1:18" ht="14.25" customHeight="1">
      <c r="A64" s="3157" t="s">
        <v>853</v>
      </c>
      <c r="B64" s="3157" t="s">
        <v>1043</v>
      </c>
      <c r="C64" s="3157">
        <v>16920</v>
      </c>
      <c r="D64" s="3157">
        <v>19190</v>
      </c>
      <c r="E64" s="3157">
        <v>22200</v>
      </c>
      <c r="F64" s="3163">
        <v>4390</v>
      </c>
      <c r="G64" s="3165">
        <v>13030</v>
      </c>
      <c r="I64" s="972"/>
      <c r="O64" s="3166" t="s">
        <v>2896</v>
      </c>
    </row>
    <row r="65" spans="1:21" s="961" customFormat="1" ht="14.25" customHeight="1">
      <c r="A65" s="3157" t="s">
        <v>853</v>
      </c>
      <c r="B65" s="3157" t="s">
        <v>1050</v>
      </c>
      <c r="C65" s="3157">
        <v>19290</v>
      </c>
      <c r="D65" s="3157">
        <v>17020</v>
      </c>
      <c r="E65" s="3157">
        <v>19880</v>
      </c>
      <c r="F65" s="3163">
        <v>4070</v>
      </c>
      <c r="G65" s="3163">
        <v>11550</v>
      </c>
      <c r="I65" s="972"/>
      <c r="J65" s="3192"/>
      <c r="K65" s="3192"/>
      <c r="L65" s="3192"/>
      <c r="M65" s="3192"/>
      <c r="N65" s="3192"/>
      <c r="O65" s="3192"/>
      <c r="P65" s="3192"/>
      <c r="Q65" s="3192"/>
      <c r="R65" s="3192"/>
      <c r="S65" s="3192"/>
      <c r="T65" s="3192"/>
      <c r="U65" s="3192"/>
    </row>
    <row r="66" spans="1:21" s="961" customFormat="1" ht="14.25" customHeight="1">
      <c r="A66" s="3157" t="s">
        <v>853</v>
      </c>
      <c r="B66" s="3157" t="s">
        <v>1057</v>
      </c>
      <c r="C66" s="3157">
        <v>17090</v>
      </c>
      <c r="D66" s="3157">
        <v>18340</v>
      </c>
      <c r="E66" s="3157">
        <v>21830</v>
      </c>
      <c r="F66" s="3163">
        <v>4690</v>
      </c>
      <c r="G66" s="3163">
        <v>12450</v>
      </c>
      <c r="I66" s="972"/>
      <c r="J66" s="3192"/>
      <c r="K66" s="3192"/>
      <c r="L66" s="3192"/>
      <c r="M66" s="3192"/>
      <c r="N66" s="3192"/>
      <c r="O66" s="3192"/>
      <c r="P66" s="3192"/>
      <c r="Q66" s="3192"/>
      <c r="R66" s="3192"/>
      <c r="S66" s="3192"/>
      <c r="T66" s="3192"/>
      <c r="U66" s="3192"/>
    </row>
    <row r="67" spans="1:21" s="961" customFormat="1" ht="14.25" customHeight="1">
      <c r="A67" s="3157" t="s">
        <v>853</v>
      </c>
      <c r="B67" s="3157" t="s">
        <v>1064</v>
      </c>
      <c r="C67" s="3157">
        <v>18420</v>
      </c>
      <c r="D67" s="3157">
        <v>16360</v>
      </c>
      <c r="E67" s="3157">
        <v>20020</v>
      </c>
      <c r="F67" s="3163">
        <v>5150</v>
      </c>
      <c r="G67" s="3163">
        <v>11110</v>
      </c>
      <c r="I67" s="972"/>
      <c r="J67" s="3192"/>
      <c r="K67" s="3192"/>
      <c r="L67" s="3192"/>
      <c r="M67" s="3192"/>
      <c r="N67" s="3192"/>
      <c r="O67" s="3192"/>
      <c r="P67" s="3192"/>
      <c r="Q67" s="3192"/>
      <c r="R67" s="3192"/>
      <c r="S67" s="3192"/>
      <c r="T67" s="3192"/>
      <c r="U67" s="3192"/>
    </row>
    <row r="68" spans="1:21" s="961" customFormat="1" ht="14.25" customHeight="1">
      <c r="A68" s="3157" t="s">
        <v>853</v>
      </c>
      <c r="B68" s="3157" t="s">
        <v>1072</v>
      </c>
      <c r="C68" s="3157">
        <v>16450</v>
      </c>
      <c r="D68" s="3157">
        <v>18430</v>
      </c>
      <c r="E68" s="3157">
        <v>21010</v>
      </c>
      <c r="F68" s="3163">
        <v>4720</v>
      </c>
      <c r="G68" s="3163">
        <v>12510</v>
      </c>
      <c r="I68" s="972"/>
      <c r="J68" s="3192"/>
      <c r="K68" s="3192"/>
      <c r="L68" s="3192"/>
      <c r="M68" s="3192"/>
      <c r="N68" s="3192"/>
      <c r="O68" s="3192"/>
      <c r="P68" s="3192"/>
      <c r="Q68" s="3192"/>
      <c r="R68" s="3192"/>
      <c r="S68" s="3192"/>
      <c r="T68" s="3192"/>
      <c r="U68" s="3192"/>
    </row>
    <row r="69" spans="1:21" s="961" customFormat="1" ht="14.25" customHeight="1">
      <c r="A69" s="3157" t="s">
        <v>853</v>
      </c>
      <c r="B69" s="3157" t="s">
        <v>1080</v>
      </c>
      <c r="C69" s="3157">
        <v>18510</v>
      </c>
      <c r="D69" s="3157">
        <v>16300</v>
      </c>
      <c r="E69" s="3157">
        <v>18830</v>
      </c>
      <c r="F69" s="3163">
        <v>5400</v>
      </c>
      <c r="G69" s="3163">
        <v>11070</v>
      </c>
      <c r="I69" s="972"/>
      <c r="J69" s="3192"/>
      <c r="K69" s="3192"/>
      <c r="L69" s="3192"/>
      <c r="M69" s="3192"/>
      <c r="N69" s="3192"/>
      <c r="O69" s="3192"/>
      <c r="P69" s="3192"/>
      <c r="Q69" s="3192"/>
      <c r="R69" s="3192"/>
      <c r="S69" s="3192"/>
      <c r="T69" s="3192"/>
      <c r="U69" s="3192"/>
    </row>
    <row r="70" spans="1:21" s="961" customFormat="1" ht="14.25" customHeight="1">
      <c r="A70" s="3157" t="s">
        <v>853</v>
      </c>
      <c r="B70" s="3157" t="s">
        <v>1085</v>
      </c>
      <c r="C70" s="3157">
        <v>16370</v>
      </c>
      <c r="D70" s="3157">
        <v>18620</v>
      </c>
      <c r="E70" s="3157">
        <v>21100</v>
      </c>
      <c r="F70" s="3163">
        <v>5700</v>
      </c>
      <c r="G70" s="3163">
        <v>12640</v>
      </c>
      <c r="I70" s="972"/>
      <c r="J70" s="3192"/>
      <c r="K70" s="3192"/>
      <c r="L70" s="3192"/>
      <c r="M70" s="3192"/>
      <c r="N70" s="3192"/>
      <c r="O70" s="3192"/>
      <c r="P70" s="3192"/>
      <c r="Q70" s="3192"/>
      <c r="R70" s="3192"/>
      <c r="S70" s="3192"/>
      <c r="T70" s="3192"/>
      <c r="U70" s="3192"/>
    </row>
    <row r="71" spans="1:21" s="961" customFormat="1" ht="14.25" customHeight="1">
      <c r="A71" s="3157" t="s">
        <v>853</v>
      </c>
      <c r="B71" s="3157" t="s">
        <v>1094</v>
      </c>
      <c r="C71" s="3157">
        <v>18700</v>
      </c>
      <c r="D71" s="3157">
        <v>16290</v>
      </c>
      <c r="E71" s="3157">
        <v>18760</v>
      </c>
      <c r="F71" s="3163">
        <v>4780</v>
      </c>
      <c r="G71" s="3163">
        <v>11050</v>
      </c>
      <c r="I71" s="972"/>
      <c r="J71" s="3192"/>
      <c r="K71" s="3192"/>
      <c r="L71" s="3192"/>
      <c r="M71" s="3192"/>
      <c r="N71" s="3192"/>
      <c r="O71" s="3192"/>
      <c r="P71" s="3192"/>
      <c r="Q71" s="3192"/>
      <c r="R71" s="3192"/>
      <c r="S71" s="3192"/>
      <c r="T71" s="3192"/>
      <c r="U71" s="3192"/>
    </row>
    <row r="72" spans="1:21" s="961" customFormat="1" ht="14.25" customHeight="1">
      <c r="A72" s="3157" t="s">
        <v>853</v>
      </c>
      <c r="B72" s="3157" t="s">
        <v>1101</v>
      </c>
      <c r="C72" s="3157">
        <v>16340</v>
      </c>
      <c r="D72" s="3157">
        <v>17520</v>
      </c>
      <c r="E72" s="3157">
        <v>21170</v>
      </c>
      <c r="F72" s="3163"/>
      <c r="G72" s="3163">
        <v>11900</v>
      </c>
      <c r="I72" s="972"/>
      <c r="J72" s="3192"/>
      <c r="K72" s="3192"/>
      <c r="L72" s="3192"/>
      <c r="M72" s="3192"/>
      <c r="N72" s="3192"/>
      <c r="O72" s="3192"/>
      <c r="P72" s="3192"/>
      <c r="Q72" s="3192"/>
      <c r="R72" s="3192"/>
      <c r="S72" s="3192"/>
      <c r="T72" s="3192"/>
      <c r="U72" s="3192"/>
    </row>
    <row r="73" spans="1:21" s="961" customFormat="1" ht="14.25" customHeight="1">
      <c r="A73" s="3157" t="s">
        <v>853</v>
      </c>
      <c r="B73" s="3157" t="s">
        <v>1109</v>
      </c>
      <c r="C73" s="3157">
        <v>17610</v>
      </c>
      <c r="D73" s="3157">
        <v>18520</v>
      </c>
      <c r="E73" s="3157">
        <v>18720</v>
      </c>
      <c r="F73" s="3163"/>
      <c r="G73" s="3163">
        <v>12570</v>
      </c>
      <c r="I73" s="972"/>
      <c r="J73" s="3192"/>
      <c r="K73" s="3192"/>
      <c r="L73" s="3192"/>
      <c r="M73" s="3192"/>
      <c r="N73" s="3192"/>
      <c r="O73" s="3192"/>
      <c r="P73" s="3192"/>
      <c r="Q73" s="3192"/>
      <c r="R73" s="3192"/>
      <c r="S73" s="3192"/>
      <c r="T73" s="3192"/>
      <c r="U73" s="3192"/>
    </row>
    <row r="74" spans="1:21" s="961" customFormat="1" ht="14.25" customHeight="1">
      <c r="A74" s="3157" t="s">
        <v>853</v>
      </c>
      <c r="B74" s="3157" t="s">
        <v>1116</v>
      </c>
      <c r="C74" s="3157">
        <v>18600</v>
      </c>
      <c r="D74" s="3157">
        <v>16480</v>
      </c>
      <c r="E74" s="3157">
        <v>20100</v>
      </c>
      <c r="F74" s="3163"/>
      <c r="G74" s="3163">
        <v>11190</v>
      </c>
      <c r="I74" s="972"/>
      <c r="J74" s="3192"/>
      <c r="K74" s="3192"/>
      <c r="L74" s="3192"/>
      <c r="M74" s="3192"/>
      <c r="N74" s="3192"/>
      <c r="O74" s="3192"/>
      <c r="P74" s="3192"/>
      <c r="Q74" s="3192"/>
      <c r="R74" s="3192"/>
      <c r="S74" s="3192"/>
      <c r="T74" s="3192"/>
      <c r="U74" s="3192"/>
    </row>
    <row r="75" spans="1:21" s="961" customFormat="1" ht="14.25" customHeight="1">
      <c r="A75" s="3157" t="s">
        <v>853</v>
      </c>
      <c r="B75" s="3157" t="s">
        <v>1120</v>
      </c>
      <c r="C75" s="3157">
        <v>16570</v>
      </c>
      <c r="D75" s="3157">
        <v>17530</v>
      </c>
      <c r="E75" s="3157">
        <v>21030</v>
      </c>
      <c r="F75" s="3163"/>
      <c r="G75" s="3170">
        <v>11900</v>
      </c>
      <c r="I75" s="972"/>
      <c r="J75" s="3192"/>
      <c r="K75" s="3192"/>
      <c r="L75" s="3192"/>
      <c r="M75" s="3192"/>
      <c r="N75" s="3192"/>
      <c r="O75" s="3192"/>
      <c r="P75" s="3192"/>
      <c r="Q75" s="3192"/>
      <c r="R75" s="3192"/>
      <c r="S75" s="3192"/>
      <c r="T75" s="3192"/>
      <c r="U75" s="3192"/>
    </row>
    <row r="76" spans="1:21" s="961" customFormat="1" ht="14.25" customHeight="1">
      <c r="A76" s="3157" t="s">
        <v>853</v>
      </c>
      <c r="B76" s="1216" t="s">
        <v>1127</v>
      </c>
      <c r="C76" s="1216">
        <v>17610</v>
      </c>
      <c r="D76" s="1216">
        <v>20800</v>
      </c>
      <c r="E76" s="1216">
        <v>18920</v>
      </c>
      <c r="F76" s="3158"/>
      <c r="G76" s="3158">
        <v>14120</v>
      </c>
      <c r="I76" s="972"/>
      <c r="J76" s="3192"/>
      <c r="K76" s="3192"/>
      <c r="L76" s="3192"/>
      <c r="M76" s="3192"/>
      <c r="N76" s="3192"/>
      <c r="O76" s="3192"/>
      <c r="P76" s="3192"/>
      <c r="Q76" s="3192"/>
      <c r="R76" s="3192"/>
      <c r="S76" s="3192"/>
      <c r="T76" s="3192"/>
      <c r="U76" s="3192"/>
    </row>
    <row r="77" spans="1:21" s="961" customFormat="1" ht="14.25" customHeight="1">
      <c r="A77" s="3157" t="s">
        <v>853</v>
      </c>
      <c r="B77" s="3157" t="s">
        <v>1130</v>
      </c>
      <c r="C77" s="3157">
        <v>20890</v>
      </c>
      <c r="D77" s="3157">
        <v>19740</v>
      </c>
      <c r="E77" s="3157">
        <v>20110</v>
      </c>
      <c r="F77" s="3163"/>
      <c r="G77" s="3163">
        <v>13400</v>
      </c>
      <c r="I77" s="972"/>
      <c r="J77" s="3192"/>
      <c r="K77" s="3192"/>
      <c r="L77" s="3192"/>
      <c r="M77" s="3192"/>
      <c r="N77" s="3192"/>
      <c r="O77" s="3192"/>
      <c r="P77" s="3192"/>
      <c r="Q77" s="3192"/>
      <c r="R77" s="3192"/>
      <c r="S77" s="3192"/>
      <c r="T77" s="3192"/>
      <c r="U77" s="3192"/>
    </row>
    <row r="78" spans="1:21" s="961" customFormat="1" ht="14.25" customHeight="1">
      <c r="A78" s="3157" t="s">
        <v>853</v>
      </c>
      <c r="B78" s="3157" t="s">
        <v>2836</v>
      </c>
      <c r="C78" s="3157">
        <v>19820</v>
      </c>
      <c r="D78" s="3157">
        <v>19780</v>
      </c>
      <c r="E78" s="3157">
        <v>18560</v>
      </c>
      <c r="F78" s="3163"/>
      <c r="G78" s="3163">
        <v>13430</v>
      </c>
      <c r="I78" s="972"/>
      <c r="J78" s="3192"/>
      <c r="K78" s="3192"/>
      <c r="L78" s="3192"/>
      <c r="M78" s="3192"/>
      <c r="N78" s="3192"/>
      <c r="O78" s="3192"/>
      <c r="P78" s="3192"/>
      <c r="Q78" s="3192"/>
      <c r="R78" s="3192"/>
      <c r="S78" s="3192"/>
      <c r="T78" s="3192"/>
      <c r="U78" s="3192"/>
    </row>
    <row r="79" spans="1:21" s="961" customFormat="1" ht="14.25" customHeight="1">
      <c r="A79" s="3157" t="s">
        <v>853</v>
      </c>
      <c r="B79" s="3157" t="s">
        <v>2837</v>
      </c>
      <c r="C79" s="3157">
        <v>21660</v>
      </c>
      <c r="D79" s="3157">
        <v>18000</v>
      </c>
      <c r="E79" s="3157">
        <v>22570</v>
      </c>
      <c r="F79" s="3163"/>
      <c r="G79" s="3163">
        <v>12220</v>
      </c>
      <c r="I79" s="972"/>
      <c r="J79" s="3192"/>
      <c r="K79" s="3192"/>
      <c r="L79" s="3192"/>
      <c r="M79" s="3192"/>
      <c r="N79" s="3192"/>
      <c r="O79" s="3192"/>
      <c r="P79" s="3192"/>
      <c r="Q79" s="3192"/>
      <c r="R79" s="3192"/>
      <c r="S79" s="3192"/>
      <c r="T79" s="3192"/>
      <c r="U79" s="3192"/>
    </row>
    <row r="80" spans="1:21" s="961" customFormat="1" ht="14.25" customHeight="1">
      <c r="A80" s="3157" t="s">
        <v>853</v>
      </c>
      <c r="B80" s="3157" t="s">
        <v>2838</v>
      </c>
      <c r="C80" s="3157">
        <v>19850</v>
      </c>
      <c r="D80" s="3157"/>
      <c r="E80" s="3157">
        <v>21700</v>
      </c>
      <c r="F80" s="3163"/>
      <c r="G80" s="3163"/>
      <c r="I80" s="972"/>
      <c r="J80" s="3192"/>
      <c r="K80" s="3192"/>
      <c r="L80" s="3192"/>
      <c r="M80" s="3192"/>
      <c r="N80" s="3192"/>
      <c r="O80" s="3192"/>
      <c r="P80" s="3192"/>
      <c r="Q80" s="3192"/>
      <c r="R80" s="3192"/>
      <c r="S80" s="3192"/>
      <c r="T80" s="3192"/>
      <c r="U80" s="3192"/>
    </row>
    <row r="81" spans="1:21" s="961" customFormat="1" ht="14.25" customHeight="1">
      <c r="A81" s="3157" t="s">
        <v>853</v>
      </c>
      <c r="B81" s="3157" t="s">
        <v>2839</v>
      </c>
      <c r="C81" s="3157">
        <v>18080</v>
      </c>
      <c r="D81" s="3157"/>
      <c r="E81" s="3157">
        <v>20900</v>
      </c>
      <c r="F81" s="3163"/>
      <c r="G81" s="3163"/>
      <c r="I81" s="972"/>
      <c r="J81" s="3192"/>
      <c r="K81" s="3192"/>
      <c r="L81" s="3192"/>
      <c r="M81" s="3192"/>
      <c r="N81" s="3192"/>
      <c r="O81" s="3192"/>
      <c r="P81" s="3192"/>
      <c r="Q81" s="3192"/>
      <c r="R81" s="3192"/>
      <c r="S81" s="3192"/>
      <c r="T81" s="3192"/>
      <c r="U81" s="3192"/>
    </row>
    <row r="82" spans="1:21" s="961" customFormat="1" ht="14.25" customHeight="1">
      <c r="A82" s="3157" t="s">
        <v>853</v>
      </c>
      <c r="B82" s="3157" t="s">
        <v>2840</v>
      </c>
      <c r="C82" s="3157"/>
      <c r="D82" s="3157"/>
      <c r="E82" s="3157">
        <v>20840</v>
      </c>
      <c r="F82" s="3163"/>
      <c r="G82" s="3163"/>
      <c r="I82" s="972"/>
      <c r="J82" s="3192"/>
      <c r="K82" s="3192"/>
      <c r="L82" s="3192"/>
      <c r="M82" s="3192"/>
      <c r="N82" s="3192"/>
      <c r="O82" s="3192"/>
      <c r="P82" s="3192"/>
      <c r="Q82" s="3192"/>
      <c r="R82" s="3192"/>
      <c r="S82" s="3192"/>
      <c r="T82" s="3192"/>
      <c r="U82" s="3192"/>
    </row>
    <row r="83" spans="1:21" s="961" customFormat="1" ht="14.25" customHeight="1">
      <c r="A83" s="3157" t="s">
        <v>853</v>
      </c>
      <c r="B83" s="3157" t="s">
        <v>2841</v>
      </c>
      <c r="C83" s="3157"/>
      <c r="D83" s="3157"/>
      <c r="E83" s="3157"/>
      <c r="F83" s="3163">
        <v>4770</v>
      </c>
      <c r="G83" s="3163"/>
      <c r="I83" s="972"/>
      <c r="J83" s="3192"/>
      <c r="K83" s="3192"/>
      <c r="L83" s="3192"/>
      <c r="M83" s="3192"/>
      <c r="N83" s="3192"/>
      <c r="O83" s="3192"/>
      <c r="P83" s="3192"/>
      <c r="Q83" s="3192"/>
      <c r="R83" s="3192"/>
      <c r="S83" s="3192"/>
      <c r="T83" s="3192"/>
      <c r="U83" s="3192"/>
    </row>
    <row r="84" spans="1:21" s="961" customFormat="1" ht="14.25" customHeight="1">
      <c r="A84" s="3157" t="s">
        <v>853</v>
      </c>
      <c r="B84" s="3157" t="s">
        <v>2842</v>
      </c>
      <c r="C84" s="3157"/>
      <c r="D84" s="3157"/>
      <c r="E84" s="3157"/>
      <c r="F84" s="3163">
        <v>4600</v>
      </c>
      <c r="G84" s="3163"/>
      <c r="I84" s="972"/>
      <c r="J84" s="3192"/>
      <c r="K84" s="3192"/>
      <c r="L84" s="3192"/>
      <c r="M84" s="3192"/>
      <c r="N84" s="3192"/>
      <c r="O84" s="3192"/>
      <c r="P84" s="3192"/>
      <c r="Q84" s="3192"/>
      <c r="R84" s="3192"/>
      <c r="S84" s="3192"/>
      <c r="T84" s="3192"/>
      <c r="U84" s="3192"/>
    </row>
    <row r="85" spans="1:21" s="961" customFormat="1" ht="14.25" customHeight="1">
      <c r="A85" s="3157" t="s">
        <v>853</v>
      </c>
      <c r="B85" s="1214" t="s">
        <v>2843</v>
      </c>
      <c r="C85" s="1214"/>
      <c r="D85" s="1214"/>
      <c r="E85" s="1214"/>
      <c r="F85" s="3168">
        <v>4680</v>
      </c>
      <c r="G85" s="3168"/>
      <c r="I85" s="972"/>
      <c r="J85" s="3192"/>
      <c r="K85" s="3192"/>
      <c r="L85" s="3192"/>
      <c r="M85" s="3192"/>
      <c r="N85" s="3192"/>
      <c r="O85" s="3192"/>
      <c r="P85" s="3192"/>
      <c r="Q85" s="3192"/>
      <c r="R85" s="3192"/>
      <c r="S85" s="3192"/>
      <c r="T85" s="3192"/>
      <c r="U85" s="3192"/>
    </row>
    <row r="86" spans="1:21" s="961" customFormat="1" ht="14.25" customHeight="1" thickBot="1">
      <c r="A86" s="3172" t="s">
        <v>853</v>
      </c>
      <c r="B86" s="3160" t="s">
        <v>2844</v>
      </c>
      <c r="C86" s="3160">
        <v>16610</v>
      </c>
      <c r="D86" s="3160">
        <v>16540</v>
      </c>
      <c r="E86" s="3160">
        <v>18850</v>
      </c>
      <c r="F86" s="3161"/>
      <c r="G86" s="3173">
        <v>11220</v>
      </c>
      <c r="I86" s="972"/>
      <c r="J86" s="3192"/>
      <c r="K86" s="3192"/>
      <c r="L86" s="3192"/>
      <c r="M86" s="3192"/>
      <c r="N86" s="3192"/>
      <c r="O86" s="3192"/>
      <c r="P86" s="3192"/>
      <c r="Q86" s="3192"/>
      <c r="R86" s="3192"/>
      <c r="S86" s="3192"/>
      <c r="T86" s="3192"/>
      <c r="U86" s="3192"/>
    </row>
    <row r="87" spans="1:21" s="961" customFormat="1" ht="14.25" customHeight="1">
      <c r="A87" s="3171" t="s">
        <v>1152</v>
      </c>
      <c r="B87" s="1216" t="s">
        <v>2845</v>
      </c>
      <c r="C87" s="1216">
        <v>15240</v>
      </c>
      <c r="D87" s="1216">
        <v>15170</v>
      </c>
      <c r="E87" s="1216">
        <v>18260</v>
      </c>
      <c r="F87" s="3158">
        <v>3830</v>
      </c>
      <c r="G87" s="3174">
        <v>10020</v>
      </c>
      <c r="I87" s="972"/>
      <c r="J87" s="3192"/>
      <c r="K87" s="3192"/>
      <c r="L87" s="3192"/>
      <c r="M87" s="3192"/>
      <c r="N87" s="3192"/>
      <c r="O87" s="3192"/>
      <c r="P87" s="3192"/>
      <c r="Q87" s="3192"/>
      <c r="R87" s="3192"/>
      <c r="S87" s="3192"/>
      <c r="T87" s="3192"/>
      <c r="U87" s="3192"/>
    </row>
    <row r="88" spans="1:21" s="961" customFormat="1" ht="14.25" customHeight="1">
      <c r="A88" s="3157" t="s">
        <v>1152</v>
      </c>
      <c r="B88" s="3157" t="s">
        <v>976</v>
      </c>
      <c r="C88" s="3157">
        <v>17310</v>
      </c>
      <c r="D88" s="3157">
        <v>17220</v>
      </c>
      <c r="E88" s="3157">
        <v>18610</v>
      </c>
      <c r="F88" s="3163">
        <v>3990</v>
      </c>
      <c r="G88" s="3165">
        <v>11380</v>
      </c>
      <c r="I88" s="972"/>
      <c r="J88" s="3192"/>
      <c r="K88" s="3192"/>
      <c r="L88" s="3192"/>
      <c r="M88" s="3192"/>
      <c r="N88" s="3192"/>
      <c r="O88" s="3192"/>
      <c r="P88" s="3192"/>
      <c r="Q88" s="3192"/>
      <c r="R88" s="3192"/>
      <c r="S88" s="3192"/>
      <c r="T88" s="3192"/>
      <c r="U88" s="3192"/>
    </row>
    <row r="89" spans="1:21" s="961" customFormat="1" ht="14.25" customHeight="1">
      <c r="A89" s="3157" t="s">
        <v>1152</v>
      </c>
      <c r="B89" s="3157" t="s">
        <v>986</v>
      </c>
      <c r="C89" s="3157">
        <v>15600</v>
      </c>
      <c r="D89" s="3157">
        <v>15550</v>
      </c>
      <c r="E89" s="3157">
        <v>19200</v>
      </c>
      <c r="F89" s="3163">
        <v>4110</v>
      </c>
      <c r="G89" s="3165">
        <v>10270</v>
      </c>
      <c r="I89" s="972"/>
      <c r="J89" s="3192"/>
      <c r="K89" s="3192"/>
      <c r="L89" s="3192"/>
      <c r="M89" s="3192"/>
      <c r="N89" s="3192"/>
      <c r="O89" s="3192"/>
      <c r="P89" s="3192"/>
      <c r="Q89" s="3192"/>
      <c r="R89" s="3192"/>
      <c r="S89" s="3192"/>
      <c r="T89" s="3192"/>
      <c r="U89" s="3192"/>
    </row>
    <row r="90" spans="1:21" s="961" customFormat="1" ht="14.25" customHeight="1">
      <c r="A90" s="3157" t="s">
        <v>1152</v>
      </c>
      <c r="B90" s="3157" t="s">
        <v>995</v>
      </c>
      <c r="C90" s="3157">
        <v>17330</v>
      </c>
      <c r="D90" s="3157">
        <v>17240</v>
      </c>
      <c r="E90" s="3157">
        <v>18570</v>
      </c>
      <c r="F90" s="3163">
        <v>4070</v>
      </c>
      <c r="G90" s="3165">
        <v>11390</v>
      </c>
      <c r="I90" s="972"/>
      <c r="J90" s="3192"/>
      <c r="K90" s="3192"/>
      <c r="L90" s="3192"/>
      <c r="M90" s="3192"/>
      <c r="N90" s="3192"/>
      <c r="O90" s="3192"/>
      <c r="P90" s="3192"/>
      <c r="Q90" s="3192"/>
      <c r="R90" s="3192"/>
      <c r="S90" s="3192"/>
      <c r="T90" s="3192"/>
      <c r="U90" s="3192"/>
    </row>
    <row r="91" spans="1:21" s="961" customFormat="1" ht="14.25" customHeight="1">
      <c r="A91" s="3157" t="s">
        <v>1152</v>
      </c>
      <c r="B91" s="3157" t="s">
        <v>1005</v>
      </c>
      <c r="C91" s="3157">
        <v>16330</v>
      </c>
      <c r="D91" s="3157">
        <v>16260</v>
      </c>
      <c r="E91" s="3157">
        <v>16800</v>
      </c>
      <c r="F91" s="3163">
        <v>3410</v>
      </c>
      <c r="G91" s="3165">
        <v>10740</v>
      </c>
      <c r="I91" s="972"/>
      <c r="J91" s="3192"/>
      <c r="K91" s="3192"/>
      <c r="L91" s="3192"/>
      <c r="M91" s="3192"/>
      <c r="N91" s="3192"/>
      <c r="O91" s="3192"/>
      <c r="P91" s="3192"/>
      <c r="Q91" s="3192"/>
      <c r="R91" s="3192"/>
      <c r="S91" s="3192"/>
      <c r="T91" s="3192"/>
      <c r="U91" s="3192"/>
    </row>
    <row r="92" spans="1:21" s="961" customFormat="1" ht="14.25" customHeight="1">
      <c r="A92" s="3157" t="s">
        <v>1152</v>
      </c>
      <c r="B92" s="3157" t="s">
        <v>1012</v>
      </c>
      <c r="C92" s="3157">
        <v>15570</v>
      </c>
      <c r="D92" s="3157">
        <v>15500</v>
      </c>
      <c r="E92" s="3157">
        <v>17360</v>
      </c>
      <c r="F92" s="3163">
        <v>3510</v>
      </c>
      <c r="G92" s="3165">
        <v>10240</v>
      </c>
      <c r="I92" s="972"/>
      <c r="J92" s="3192"/>
      <c r="K92" s="3192"/>
      <c r="L92" s="3192"/>
      <c r="M92" s="3192"/>
      <c r="N92" s="3192"/>
      <c r="O92" s="3192"/>
      <c r="P92" s="3192"/>
      <c r="Q92" s="3192"/>
      <c r="R92" s="3192"/>
      <c r="S92" s="3192"/>
      <c r="T92" s="3192"/>
      <c r="U92" s="3192"/>
    </row>
    <row r="93" spans="1:21" s="961" customFormat="1" ht="14.25" customHeight="1">
      <c r="A93" s="3157" t="s">
        <v>1152</v>
      </c>
      <c r="B93" s="3157" t="s">
        <v>1018</v>
      </c>
      <c r="C93" s="3157">
        <v>14000</v>
      </c>
      <c r="D93" s="3157">
        <v>13930</v>
      </c>
      <c r="E93" s="3157">
        <v>18200</v>
      </c>
      <c r="F93" s="3163">
        <v>3640</v>
      </c>
      <c r="G93" s="3165">
        <v>9210</v>
      </c>
      <c r="I93" s="972"/>
      <c r="J93" s="3192"/>
      <c r="K93" s="3192"/>
      <c r="L93" s="3192"/>
      <c r="M93" s="3192"/>
      <c r="N93" s="3192"/>
      <c r="O93" s="3192"/>
      <c r="P93" s="3192"/>
      <c r="Q93" s="3192"/>
      <c r="R93" s="3192"/>
      <c r="S93" s="3192"/>
      <c r="T93" s="3192"/>
      <c r="U93" s="3192"/>
    </row>
    <row r="94" spans="1:21" s="961" customFormat="1" ht="14.25" customHeight="1">
      <c r="A94" s="3157" t="s">
        <v>1152</v>
      </c>
      <c r="B94" s="3157" t="s">
        <v>1025</v>
      </c>
      <c r="C94" s="3157">
        <v>14530</v>
      </c>
      <c r="D94" s="3157">
        <v>14470</v>
      </c>
      <c r="E94" s="3157">
        <v>18240</v>
      </c>
      <c r="F94" s="3163">
        <v>3180</v>
      </c>
      <c r="G94" s="3165">
        <v>9560</v>
      </c>
      <c r="I94" s="972"/>
      <c r="J94" s="3192"/>
      <c r="K94" s="3192"/>
      <c r="L94" s="3192"/>
      <c r="M94" s="3192"/>
      <c r="N94" s="3192"/>
      <c r="O94" s="3192"/>
      <c r="P94" s="3192"/>
      <c r="Q94" s="3192"/>
      <c r="R94" s="3192"/>
      <c r="S94" s="3192"/>
      <c r="T94" s="3192"/>
      <c r="U94" s="3192"/>
    </row>
    <row r="95" spans="1:21" s="961" customFormat="1" ht="14.25" customHeight="1">
      <c r="A95" s="3157" t="s">
        <v>1152</v>
      </c>
      <c r="B95" s="3157" t="s">
        <v>1035</v>
      </c>
      <c r="C95" s="3157">
        <v>17330</v>
      </c>
      <c r="D95" s="3157">
        <v>17260</v>
      </c>
      <c r="E95" s="3157">
        <v>18420</v>
      </c>
      <c r="F95" s="3163">
        <v>3060</v>
      </c>
      <c r="G95" s="3163">
        <v>11410</v>
      </c>
      <c r="I95" s="972"/>
      <c r="J95" s="3192"/>
      <c r="K95" s="3192"/>
      <c r="L95" s="3192"/>
      <c r="M95" s="3192"/>
      <c r="N95" s="3192"/>
      <c r="O95" s="3192"/>
      <c r="P95" s="3192"/>
      <c r="Q95" s="3192"/>
      <c r="R95" s="3192"/>
      <c r="S95" s="3192"/>
      <c r="T95" s="3192"/>
      <c r="U95" s="3192"/>
    </row>
    <row r="96" spans="1:21" s="961" customFormat="1" ht="14.25" customHeight="1">
      <c r="A96" s="3157" t="s">
        <v>1152</v>
      </c>
      <c r="B96" s="3157" t="s">
        <v>1044</v>
      </c>
      <c r="C96" s="3157">
        <v>15030</v>
      </c>
      <c r="D96" s="3157">
        <v>14970</v>
      </c>
      <c r="E96" s="3157">
        <v>17580</v>
      </c>
      <c r="F96" s="3163">
        <v>2970</v>
      </c>
      <c r="G96" s="3163">
        <v>9890</v>
      </c>
      <c r="I96" s="972"/>
      <c r="J96" s="3192"/>
      <c r="K96" s="3192"/>
      <c r="L96" s="3192"/>
      <c r="M96" s="3192"/>
      <c r="N96" s="3192"/>
      <c r="O96" s="3192"/>
      <c r="P96" s="3192"/>
      <c r="Q96" s="3192"/>
      <c r="R96" s="3192"/>
      <c r="S96" s="3192"/>
      <c r="T96" s="3192"/>
      <c r="U96" s="3192"/>
    </row>
    <row r="97" spans="1:21" s="961" customFormat="1" ht="14.25" customHeight="1">
      <c r="A97" s="3157" t="s">
        <v>1152</v>
      </c>
      <c r="B97" s="3157" t="s">
        <v>1051</v>
      </c>
      <c r="C97" s="3157">
        <v>17400</v>
      </c>
      <c r="D97" s="3157">
        <v>17330</v>
      </c>
      <c r="E97" s="3157">
        <v>16430</v>
      </c>
      <c r="F97" s="3163">
        <v>2950</v>
      </c>
      <c r="G97" s="3163">
        <v>11450</v>
      </c>
      <c r="I97" s="972"/>
      <c r="J97" s="3192"/>
      <c r="K97" s="3192"/>
      <c r="L97" s="3192"/>
      <c r="M97" s="3192"/>
      <c r="N97" s="3192"/>
      <c r="O97" s="3192"/>
      <c r="P97" s="3192"/>
      <c r="Q97" s="3192"/>
      <c r="R97" s="3192"/>
      <c r="S97" s="3192"/>
      <c r="T97" s="3192"/>
      <c r="U97" s="3192"/>
    </row>
    <row r="98" spans="1:21" s="961" customFormat="1" ht="14.25" customHeight="1">
      <c r="A98" s="3157" t="s">
        <v>1152</v>
      </c>
      <c r="B98" s="3157" t="s">
        <v>1058</v>
      </c>
      <c r="C98" s="3157">
        <v>15200</v>
      </c>
      <c r="D98" s="3157">
        <v>15120</v>
      </c>
      <c r="E98" s="3157">
        <v>17550</v>
      </c>
      <c r="F98" s="3163">
        <v>3080</v>
      </c>
      <c r="G98" s="3163">
        <v>9990</v>
      </c>
      <c r="I98" s="972"/>
      <c r="J98" s="3192"/>
      <c r="K98" s="3192"/>
      <c r="L98" s="3192"/>
      <c r="M98" s="3192"/>
      <c r="N98" s="3192"/>
      <c r="O98" s="3192"/>
      <c r="P98" s="3192"/>
      <c r="Q98" s="3192"/>
      <c r="R98" s="3192"/>
      <c r="S98" s="3192"/>
      <c r="T98" s="3192"/>
      <c r="U98" s="3192"/>
    </row>
    <row r="99" spans="1:21" s="961" customFormat="1" ht="14.25" customHeight="1">
      <c r="A99" s="3157" t="s">
        <v>1152</v>
      </c>
      <c r="B99" s="3157" t="s">
        <v>1065</v>
      </c>
      <c r="C99" s="3157">
        <v>17520</v>
      </c>
      <c r="D99" s="3157">
        <v>17430</v>
      </c>
      <c r="E99" s="3157">
        <v>16350</v>
      </c>
      <c r="F99" s="3163">
        <v>3260</v>
      </c>
      <c r="G99" s="3163">
        <v>11510</v>
      </c>
      <c r="I99" s="972"/>
      <c r="J99" s="3192"/>
      <c r="K99" s="3192"/>
      <c r="L99" s="3192"/>
      <c r="M99" s="3192"/>
      <c r="N99" s="3192"/>
      <c r="O99" s="3192"/>
      <c r="P99" s="3192"/>
      <c r="Q99" s="3192"/>
      <c r="R99" s="3192"/>
      <c r="S99" s="3192"/>
      <c r="T99" s="3192"/>
      <c r="U99" s="3192"/>
    </row>
    <row r="100" spans="1:21" s="961" customFormat="1" ht="14.25" customHeight="1">
      <c r="A100" s="3157" t="s">
        <v>1152</v>
      </c>
      <c r="B100" s="3157" t="s">
        <v>1073</v>
      </c>
      <c r="C100" s="3157">
        <v>15340</v>
      </c>
      <c r="D100" s="3157">
        <v>15260</v>
      </c>
      <c r="E100" s="3157">
        <v>15930</v>
      </c>
      <c r="F100" s="3163">
        <v>2740</v>
      </c>
      <c r="G100" s="3163">
        <v>10080</v>
      </c>
      <c r="I100" s="972"/>
      <c r="J100" s="3192"/>
      <c r="K100" s="3192"/>
      <c r="L100" s="3192"/>
      <c r="M100" s="3192"/>
      <c r="N100" s="3192"/>
      <c r="O100" s="3192"/>
      <c r="P100" s="3192"/>
      <c r="Q100" s="3192"/>
      <c r="R100" s="3192"/>
      <c r="S100" s="3192"/>
      <c r="T100" s="3192"/>
      <c r="U100" s="3192"/>
    </row>
    <row r="101" spans="1:21" s="961" customFormat="1" ht="14.25" customHeight="1">
      <c r="A101" s="3157" t="s">
        <v>1152</v>
      </c>
      <c r="B101" s="3157" t="s">
        <v>1081</v>
      </c>
      <c r="C101" s="3157">
        <v>14620</v>
      </c>
      <c r="D101" s="3157">
        <v>14560</v>
      </c>
      <c r="E101" s="3157">
        <v>15570</v>
      </c>
      <c r="F101" s="3163">
        <v>3500</v>
      </c>
      <c r="G101" s="3163">
        <v>9630</v>
      </c>
      <c r="I101" s="972"/>
      <c r="J101" s="3192"/>
      <c r="K101" s="3192"/>
      <c r="L101" s="3192"/>
      <c r="M101" s="3192"/>
      <c r="N101" s="3192"/>
      <c r="O101" s="3192"/>
      <c r="P101" s="3192"/>
      <c r="Q101" s="3192"/>
      <c r="R101" s="3192"/>
      <c r="S101" s="3192"/>
      <c r="T101" s="3192"/>
      <c r="U101" s="3192"/>
    </row>
    <row r="102" spans="1:21" s="961" customFormat="1" ht="14.25" customHeight="1">
      <c r="A102" s="3157" t="s">
        <v>1152</v>
      </c>
      <c r="B102" s="3157" t="s">
        <v>1086</v>
      </c>
      <c r="C102" s="3157">
        <v>13680</v>
      </c>
      <c r="D102" s="3157">
        <v>13610</v>
      </c>
      <c r="E102" s="3157">
        <v>15690</v>
      </c>
      <c r="F102" s="3163">
        <v>2870</v>
      </c>
      <c r="G102" s="3163">
        <v>8990</v>
      </c>
      <c r="I102" s="972"/>
      <c r="J102" s="3192"/>
      <c r="K102" s="3192"/>
      <c r="L102" s="3192"/>
      <c r="M102" s="3192"/>
      <c r="N102" s="3192"/>
      <c r="O102" s="3192"/>
      <c r="P102" s="3192"/>
      <c r="Q102" s="3192"/>
      <c r="R102" s="3192"/>
      <c r="S102" s="3192"/>
      <c r="T102" s="3192"/>
      <c r="U102" s="3192"/>
    </row>
    <row r="103" spans="1:21" s="961" customFormat="1" ht="14.25" customHeight="1">
      <c r="A103" s="3157" t="s">
        <v>1152</v>
      </c>
      <c r="B103" s="3157" t="s">
        <v>1095</v>
      </c>
      <c r="C103" s="3157">
        <v>14620</v>
      </c>
      <c r="D103" s="3157">
        <v>14540</v>
      </c>
      <c r="E103" s="3157">
        <v>15240</v>
      </c>
      <c r="F103" s="3163">
        <v>2840</v>
      </c>
      <c r="G103" s="3163">
        <v>9610</v>
      </c>
      <c r="I103" s="972"/>
      <c r="J103" s="3192"/>
      <c r="K103" s="3192"/>
      <c r="L103" s="3192"/>
      <c r="M103" s="3192"/>
      <c r="N103" s="3192"/>
      <c r="O103" s="3192"/>
      <c r="P103" s="3192"/>
      <c r="Q103" s="3192"/>
      <c r="R103" s="3192"/>
      <c r="S103" s="3192"/>
      <c r="T103" s="3192"/>
      <c r="U103" s="3192"/>
    </row>
    <row r="104" spans="1:21" s="961" customFormat="1" ht="14.25" customHeight="1">
      <c r="A104" s="3157" t="s">
        <v>1152</v>
      </c>
      <c r="B104" s="3157" t="s">
        <v>1102</v>
      </c>
      <c r="C104" s="3157">
        <v>13610</v>
      </c>
      <c r="D104" s="3157">
        <v>13540</v>
      </c>
      <c r="E104" s="3157">
        <v>15750</v>
      </c>
      <c r="F104" s="3163">
        <v>2770</v>
      </c>
      <c r="G104" s="3163">
        <v>8940</v>
      </c>
      <c r="I104" s="972"/>
      <c r="J104" s="3192"/>
      <c r="K104" s="3192"/>
      <c r="L104" s="3192"/>
      <c r="M104" s="3192"/>
      <c r="N104" s="3192"/>
      <c r="O104" s="3192"/>
      <c r="P104" s="3192"/>
      <c r="Q104" s="3192"/>
      <c r="R104" s="3192"/>
      <c r="S104" s="3192"/>
      <c r="T104" s="3192"/>
      <c r="U104" s="3192"/>
    </row>
    <row r="105" spans="1:21" s="961" customFormat="1" ht="14.25" customHeight="1">
      <c r="A105" s="3157" t="s">
        <v>1152</v>
      </c>
      <c r="B105" s="3157" t="s">
        <v>1110</v>
      </c>
      <c r="C105" s="3157">
        <v>13310</v>
      </c>
      <c r="D105" s="3157">
        <v>13240</v>
      </c>
      <c r="E105" s="3157">
        <v>16280</v>
      </c>
      <c r="F105" s="3163">
        <v>3210</v>
      </c>
      <c r="G105" s="3163">
        <v>8750</v>
      </c>
      <c r="I105" s="972"/>
      <c r="J105" s="3192"/>
      <c r="K105" s="3192"/>
      <c r="L105" s="3192"/>
      <c r="M105" s="3192"/>
      <c r="N105" s="3192"/>
      <c r="O105" s="3192"/>
      <c r="P105" s="3192"/>
      <c r="Q105" s="3192"/>
      <c r="R105" s="3192"/>
      <c r="S105" s="3192"/>
      <c r="T105" s="3192"/>
      <c r="U105" s="3192"/>
    </row>
    <row r="106" spans="1:21" s="961" customFormat="1" ht="14.25" customHeight="1">
      <c r="A106" s="3157" t="s">
        <v>1152</v>
      </c>
      <c r="B106" s="3157" t="s">
        <v>1117</v>
      </c>
      <c r="C106" s="3157">
        <v>13010</v>
      </c>
      <c r="D106" s="3157">
        <v>12930</v>
      </c>
      <c r="E106" s="3157">
        <v>14960</v>
      </c>
      <c r="F106" s="3163">
        <v>3530</v>
      </c>
      <c r="G106" s="3163">
        <v>8550</v>
      </c>
      <c r="I106" s="972"/>
      <c r="J106" s="3192"/>
      <c r="K106" s="3192"/>
      <c r="L106" s="3192"/>
      <c r="M106" s="3192"/>
      <c r="N106" s="3192"/>
      <c r="O106" s="3192"/>
      <c r="P106" s="3192"/>
      <c r="Q106" s="3192"/>
      <c r="R106" s="3192"/>
      <c r="S106" s="3192"/>
      <c r="T106" s="3192"/>
      <c r="U106" s="3192"/>
    </row>
    <row r="107" spans="1:21" s="961" customFormat="1" ht="14.25" customHeight="1">
      <c r="A107" s="3157" t="s">
        <v>1152</v>
      </c>
      <c r="B107" s="3157" t="s">
        <v>1121</v>
      </c>
      <c r="C107" s="3157">
        <v>13070</v>
      </c>
      <c r="D107" s="3157">
        <v>13000</v>
      </c>
      <c r="E107" s="3157">
        <v>15910</v>
      </c>
      <c r="F107" s="3163">
        <v>3990</v>
      </c>
      <c r="G107" s="3163">
        <v>8580</v>
      </c>
      <c r="I107" s="972"/>
      <c r="J107" s="3192"/>
      <c r="K107" s="3192"/>
      <c r="L107" s="3192"/>
      <c r="M107" s="3192"/>
      <c r="N107" s="3192"/>
      <c r="O107" s="3192"/>
      <c r="P107" s="3192"/>
      <c r="Q107" s="3192"/>
      <c r="R107" s="3192"/>
      <c r="S107" s="3192"/>
      <c r="T107" s="3192"/>
      <c r="U107" s="3192"/>
    </row>
    <row r="108" spans="1:21" s="961" customFormat="1" ht="14.25" customHeight="1">
      <c r="A108" s="3157" t="s">
        <v>1152</v>
      </c>
      <c r="B108" s="3157" t="s">
        <v>1128</v>
      </c>
      <c r="C108" s="3157">
        <v>12640</v>
      </c>
      <c r="D108" s="3157">
        <v>12580</v>
      </c>
      <c r="E108" s="3157">
        <v>15730</v>
      </c>
      <c r="F108" s="3163"/>
      <c r="G108" s="3163">
        <v>8310</v>
      </c>
      <c r="I108" s="972"/>
      <c r="J108" s="3192"/>
      <c r="K108" s="3192"/>
      <c r="L108" s="3192"/>
      <c r="M108" s="3192"/>
      <c r="N108" s="3192"/>
      <c r="O108" s="3192"/>
      <c r="P108" s="3192"/>
      <c r="Q108" s="3192"/>
      <c r="R108" s="3192"/>
      <c r="S108" s="3192"/>
      <c r="T108" s="3192"/>
      <c r="U108" s="3192"/>
    </row>
    <row r="109" spans="1:21" s="961" customFormat="1" ht="14.25" customHeight="1">
      <c r="A109" s="3157" t="s">
        <v>1152</v>
      </c>
      <c r="B109" s="3157" t="s">
        <v>1131</v>
      </c>
      <c r="C109" s="3157">
        <v>13130</v>
      </c>
      <c r="D109" s="3157">
        <v>13070</v>
      </c>
      <c r="E109" s="3157">
        <v>15000</v>
      </c>
      <c r="F109" s="3163"/>
      <c r="G109" s="3170">
        <v>8630</v>
      </c>
      <c r="I109" s="972"/>
      <c r="J109" s="3192"/>
      <c r="K109" s="3192"/>
      <c r="L109" s="3192"/>
      <c r="M109" s="3192"/>
      <c r="N109" s="3192"/>
      <c r="O109" s="3192"/>
      <c r="P109" s="3192"/>
      <c r="Q109" s="3192"/>
      <c r="R109" s="3192"/>
      <c r="S109" s="3192"/>
      <c r="T109" s="3192"/>
      <c r="U109" s="3192"/>
    </row>
    <row r="110" spans="1:21" s="961" customFormat="1" ht="14.25" customHeight="1">
      <c r="A110" s="3157" t="s">
        <v>1152</v>
      </c>
      <c r="B110" s="1216" t="s">
        <v>1133</v>
      </c>
      <c r="C110" s="1216">
        <v>13560</v>
      </c>
      <c r="D110" s="1216">
        <v>13490</v>
      </c>
      <c r="E110" s="1216">
        <v>16300</v>
      </c>
      <c r="F110" s="3158"/>
      <c r="G110" s="3158">
        <v>8920</v>
      </c>
      <c r="I110" s="972"/>
      <c r="J110" s="3192"/>
      <c r="K110" s="3192"/>
      <c r="L110" s="3192"/>
      <c r="M110" s="3192"/>
      <c r="N110" s="3192"/>
      <c r="O110" s="3192"/>
      <c r="P110" s="3192"/>
      <c r="Q110" s="3192"/>
      <c r="R110" s="3192"/>
      <c r="S110" s="3192"/>
      <c r="T110" s="3192"/>
      <c r="U110" s="3192"/>
    </row>
    <row r="111" spans="1:21" s="961" customFormat="1" ht="14.25" customHeight="1">
      <c r="A111" s="3157" t="s">
        <v>1152</v>
      </c>
      <c r="B111" s="3157" t="s">
        <v>1136</v>
      </c>
      <c r="C111" s="3157">
        <v>12440</v>
      </c>
      <c r="D111" s="3157">
        <v>12380</v>
      </c>
      <c r="E111" s="3157">
        <v>17850</v>
      </c>
      <c r="F111" s="3163"/>
      <c r="G111" s="3163">
        <v>8180</v>
      </c>
      <c r="I111" s="972"/>
      <c r="J111" s="3192"/>
      <c r="K111" s="3192"/>
      <c r="L111" s="3192"/>
      <c r="M111" s="3192"/>
      <c r="N111" s="3192"/>
      <c r="O111" s="3192"/>
      <c r="P111" s="3192"/>
      <c r="Q111" s="3192"/>
      <c r="R111" s="3192"/>
      <c r="S111" s="3192"/>
      <c r="T111" s="3192"/>
      <c r="U111" s="3192"/>
    </row>
    <row r="112" spans="1:21" s="961" customFormat="1" ht="14.25" customHeight="1">
      <c r="A112" s="3157" t="s">
        <v>1152</v>
      </c>
      <c r="B112" s="3157" t="s">
        <v>1140</v>
      </c>
      <c r="C112" s="3157">
        <v>13260</v>
      </c>
      <c r="D112" s="3157">
        <v>13180</v>
      </c>
      <c r="E112" s="3157">
        <v>19740</v>
      </c>
      <c r="F112" s="3163"/>
      <c r="G112" s="3163">
        <v>8710</v>
      </c>
      <c r="I112" s="972"/>
      <c r="J112" s="3192"/>
      <c r="K112" s="3192"/>
      <c r="L112" s="3192"/>
      <c r="M112" s="3192"/>
      <c r="N112" s="3192"/>
      <c r="O112" s="3192"/>
      <c r="P112" s="3192"/>
      <c r="Q112" s="3192"/>
      <c r="R112" s="3192"/>
      <c r="S112" s="3192"/>
      <c r="T112" s="3192"/>
      <c r="U112" s="3192"/>
    </row>
    <row r="113" spans="1:21" s="961" customFormat="1" ht="14.25" customHeight="1">
      <c r="A113" s="3157" t="s">
        <v>1152</v>
      </c>
      <c r="B113" s="3157" t="s">
        <v>2846</v>
      </c>
      <c r="C113" s="3157">
        <v>15520</v>
      </c>
      <c r="D113" s="3157">
        <v>15450</v>
      </c>
      <c r="E113" s="3157"/>
      <c r="F113" s="3163"/>
      <c r="G113" s="3163">
        <v>10210</v>
      </c>
      <c r="I113" s="972"/>
      <c r="J113" s="3192"/>
      <c r="K113" s="3192"/>
      <c r="L113" s="3192"/>
      <c r="M113" s="3192"/>
      <c r="N113" s="3192"/>
      <c r="O113" s="3192"/>
      <c r="P113" s="3192"/>
      <c r="Q113" s="3192"/>
      <c r="R113" s="3192"/>
      <c r="S113" s="3192"/>
      <c r="T113" s="3192"/>
      <c r="U113" s="3192"/>
    </row>
    <row r="114" spans="1:21" s="961" customFormat="1" ht="14.25" customHeight="1">
      <c r="A114" s="3157" t="s">
        <v>1152</v>
      </c>
      <c r="B114" s="3157" t="s">
        <v>2847</v>
      </c>
      <c r="C114" s="3157">
        <v>13110</v>
      </c>
      <c r="D114" s="3157">
        <v>13050</v>
      </c>
      <c r="E114" s="3157"/>
      <c r="F114" s="3163"/>
      <c r="G114" s="3163">
        <v>8620</v>
      </c>
      <c r="I114" s="972"/>
      <c r="J114" s="3192"/>
      <c r="K114" s="3192"/>
      <c r="L114" s="3192"/>
      <c r="M114" s="3192"/>
      <c r="N114" s="3192"/>
      <c r="O114" s="3192"/>
      <c r="P114" s="3192"/>
      <c r="Q114" s="3192"/>
      <c r="R114" s="3192"/>
      <c r="S114" s="3192"/>
      <c r="T114" s="3192"/>
      <c r="U114" s="3192"/>
    </row>
    <row r="115" spans="1:21" s="961" customFormat="1" ht="14.25" customHeight="1">
      <c r="A115" s="3157" t="s">
        <v>1152</v>
      </c>
      <c r="B115" s="3157" t="s">
        <v>2848</v>
      </c>
      <c r="C115" s="3157">
        <v>12460</v>
      </c>
      <c r="D115" s="3157">
        <v>12390</v>
      </c>
      <c r="E115" s="3157"/>
      <c r="F115" s="3163"/>
      <c r="G115" s="3163">
        <v>8190</v>
      </c>
      <c r="I115" s="972"/>
      <c r="J115" s="3192"/>
      <c r="K115" s="3192"/>
      <c r="L115" s="3192"/>
      <c r="M115" s="3192"/>
      <c r="N115" s="3192"/>
      <c r="O115" s="3192"/>
      <c r="P115" s="3192"/>
      <c r="Q115" s="3192"/>
      <c r="R115" s="3192"/>
      <c r="S115" s="3192"/>
      <c r="T115" s="3192"/>
      <c r="U115" s="3192"/>
    </row>
    <row r="116" spans="1:21" s="961" customFormat="1" ht="14.25" customHeight="1">
      <c r="A116" s="3157" t="s">
        <v>1152</v>
      </c>
      <c r="B116" s="3157" t="s">
        <v>2849</v>
      </c>
      <c r="C116" s="3157">
        <v>13580</v>
      </c>
      <c r="D116" s="3157">
        <v>13520</v>
      </c>
      <c r="E116" s="3157"/>
      <c r="F116" s="3163"/>
      <c r="G116" s="3163">
        <v>8930</v>
      </c>
      <c r="I116" s="972"/>
      <c r="J116" s="3192"/>
      <c r="K116" s="3192"/>
      <c r="L116" s="3192"/>
      <c r="M116" s="3192"/>
      <c r="N116" s="3192"/>
      <c r="O116" s="3192"/>
      <c r="P116" s="3192"/>
      <c r="Q116" s="3192"/>
      <c r="R116" s="3192"/>
      <c r="S116" s="3192"/>
      <c r="T116" s="3192"/>
      <c r="U116" s="3192"/>
    </row>
    <row r="117" spans="1:21" s="961" customFormat="1" ht="14.25" customHeight="1">
      <c r="A117" s="3157" t="s">
        <v>1152</v>
      </c>
      <c r="B117" s="3157" t="s">
        <v>2850</v>
      </c>
      <c r="C117" s="3157">
        <v>17120</v>
      </c>
      <c r="D117" s="3157">
        <v>17040</v>
      </c>
      <c r="E117" s="3157"/>
      <c r="F117" s="3163"/>
      <c r="G117" s="3163">
        <v>11260</v>
      </c>
      <c r="I117" s="972"/>
      <c r="J117" s="3192"/>
      <c r="K117" s="3192"/>
      <c r="L117" s="3192"/>
      <c r="M117" s="3192"/>
      <c r="N117" s="3192"/>
      <c r="O117" s="3192"/>
      <c r="P117" s="3192"/>
      <c r="Q117" s="3192"/>
      <c r="R117" s="3192"/>
      <c r="S117" s="3192"/>
      <c r="T117" s="3192"/>
      <c r="U117" s="3192"/>
    </row>
    <row r="118" spans="1:21" s="961" customFormat="1" ht="14.25" customHeight="1">
      <c r="A118" s="3157" t="s">
        <v>1152</v>
      </c>
      <c r="B118" s="3157" t="s">
        <v>2851</v>
      </c>
      <c r="C118" s="3157">
        <v>14860</v>
      </c>
      <c r="D118" s="3157">
        <v>14790</v>
      </c>
      <c r="E118" s="3157"/>
      <c r="F118" s="3163"/>
      <c r="G118" s="3163">
        <v>9780</v>
      </c>
      <c r="I118" s="972"/>
      <c r="J118" s="3192"/>
      <c r="K118" s="3192"/>
      <c r="L118" s="3192"/>
      <c r="M118" s="3192"/>
      <c r="N118" s="3192"/>
      <c r="O118" s="3192"/>
      <c r="P118" s="3192"/>
      <c r="Q118" s="3192"/>
      <c r="R118" s="3192"/>
      <c r="S118" s="3192"/>
      <c r="T118" s="3192"/>
      <c r="U118" s="3192"/>
    </row>
    <row r="119" spans="1:21" s="961" customFormat="1" ht="14.25" customHeight="1">
      <c r="A119" s="3157" t="s">
        <v>1152</v>
      </c>
      <c r="B119" s="3157" t="s">
        <v>2852</v>
      </c>
      <c r="C119" s="3157">
        <v>16470</v>
      </c>
      <c r="D119" s="3157">
        <v>16400</v>
      </c>
      <c r="E119" s="3157"/>
      <c r="F119" s="3163"/>
      <c r="G119" s="3163">
        <v>10840</v>
      </c>
      <c r="I119" s="972"/>
      <c r="J119" s="3192"/>
      <c r="K119" s="3192"/>
      <c r="L119" s="3192"/>
      <c r="M119" s="3192"/>
      <c r="N119" s="3192"/>
      <c r="O119" s="3192"/>
      <c r="P119" s="3192"/>
      <c r="Q119" s="3192"/>
      <c r="R119" s="3192"/>
      <c r="S119" s="3192"/>
      <c r="T119" s="3192"/>
      <c r="U119" s="3192"/>
    </row>
    <row r="120" spans="1:21" s="961" customFormat="1" ht="14.25" customHeight="1">
      <c r="A120" s="3157" t="s">
        <v>1152</v>
      </c>
      <c r="B120" s="3157" t="s">
        <v>2853</v>
      </c>
      <c r="C120" s="3157"/>
      <c r="D120" s="3157"/>
      <c r="E120" s="3157"/>
      <c r="F120" s="3163">
        <v>4160</v>
      </c>
      <c r="G120" s="3163"/>
      <c r="I120" s="972"/>
      <c r="J120" s="3192"/>
      <c r="K120" s="3192"/>
      <c r="L120" s="3192"/>
      <c r="M120" s="3192"/>
      <c r="N120" s="3192"/>
      <c r="O120" s="3192"/>
      <c r="P120" s="3192"/>
      <c r="Q120" s="3192"/>
      <c r="R120" s="3192"/>
      <c r="S120" s="3192"/>
      <c r="T120" s="3192"/>
      <c r="U120" s="3192"/>
    </row>
    <row r="121" spans="1:21" s="961" customFormat="1" ht="14.25" customHeight="1">
      <c r="A121" s="3157" t="s">
        <v>1152</v>
      </c>
      <c r="B121" s="3157" t="s">
        <v>2854</v>
      </c>
      <c r="C121" s="3157"/>
      <c r="D121" s="3157"/>
      <c r="E121" s="3157"/>
      <c r="F121" s="3163">
        <v>3880</v>
      </c>
      <c r="G121" s="3163"/>
      <c r="I121" s="972"/>
      <c r="J121" s="3192"/>
      <c r="K121" s="3192"/>
      <c r="L121" s="3192"/>
      <c r="M121" s="3192"/>
      <c r="N121" s="3192"/>
      <c r="O121" s="3192"/>
      <c r="P121" s="3192"/>
      <c r="Q121" s="3192"/>
      <c r="R121" s="3192"/>
      <c r="S121" s="3192"/>
      <c r="T121" s="3192"/>
      <c r="U121" s="3192"/>
    </row>
    <row r="122" spans="1:21" s="961" customFormat="1" ht="14.25" customHeight="1">
      <c r="A122" s="3157" t="s">
        <v>1152</v>
      </c>
      <c r="B122" s="3157" t="s">
        <v>2855</v>
      </c>
      <c r="C122" s="3157">
        <v>13750</v>
      </c>
      <c r="D122" s="3157">
        <v>13680</v>
      </c>
      <c r="E122" s="3157">
        <v>16460</v>
      </c>
      <c r="F122" s="3163">
        <v>2880</v>
      </c>
      <c r="G122" s="3163">
        <v>9040</v>
      </c>
      <c r="I122" s="972"/>
      <c r="J122" s="3192"/>
      <c r="K122" s="3192"/>
      <c r="L122" s="3192"/>
      <c r="M122" s="3192"/>
      <c r="N122" s="3192"/>
      <c r="O122" s="3192"/>
      <c r="P122" s="3192"/>
      <c r="Q122" s="3192"/>
      <c r="R122" s="3192"/>
      <c r="S122" s="3192"/>
      <c r="T122" s="3192"/>
      <c r="U122" s="3192"/>
    </row>
    <row r="123" spans="1:21" s="961" customFormat="1" ht="14.25" customHeight="1">
      <c r="A123" s="3157" t="s">
        <v>1152</v>
      </c>
      <c r="B123" s="3157" t="s">
        <v>2856</v>
      </c>
      <c r="C123" s="3157">
        <v>13590</v>
      </c>
      <c r="D123" s="3157">
        <v>13520</v>
      </c>
      <c r="E123" s="3157">
        <v>16290</v>
      </c>
      <c r="F123" s="3163">
        <v>2790</v>
      </c>
      <c r="G123" s="3163">
        <v>8930</v>
      </c>
      <c r="I123" s="972"/>
      <c r="J123" s="3192"/>
      <c r="K123" s="3192"/>
      <c r="L123" s="3192"/>
      <c r="M123" s="3192"/>
      <c r="N123" s="3192"/>
      <c r="O123" s="3192"/>
      <c r="P123" s="3192"/>
      <c r="Q123" s="3192"/>
      <c r="R123" s="3192"/>
      <c r="S123" s="3192"/>
      <c r="T123" s="3192"/>
      <c r="U123" s="3192"/>
    </row>
    <row r="124" spans="1:21" s="961" customFormat="1" ht="14.25" customHeight="1">
      <c r="A124" s="3157" t="s">
        <v>1152</v>
      </c>
      <c r="B124" s="3157" t="s">
        <v>2857</v>
      </c>
      <c r="C124" s="3157">
        <v>13400</v>
      </c>
      <c r="D124" s="3157">
        <v>13320</v>
      </c>
      <c r="E124" s="3157">
        <v>16100</v>
      </c>
      <c r="F124" s="3163">
        <v>2320</v>
      </c>
      <c r="G124" s="3165">
        <v>8800</v>
      </c>
      <c r="I124" s="972"/>
      <c r="J124" s="3192"/>
      <c r="K124" s="3192"/>
      <c r="L124" s="3192"/>
      <c r="M124" s="3192"/>
      <c r="N124" s="3192"/>
      <c r="O124" s="3192"/>
      <c r="P124" s="3192"/>
      <c r="Q124" s="3192"/>
      <c r="R124" s="3192"/>
      <c r="S124" s="3192"/>
      <c r="T124" s="3192"/>
      <c r="U124" s="3192"/>
    </row>
    <row r="125" spans="1:21" s="961" customFormat="1" ht="14.25" customHeight="1">
      <c r="A125" s="3157" t="s">
        <v>1152</v>
      </c>
      <c r="B125" s="1214" t="s">
        <v>2858</v>
      </c>
      <c r="C125" s="1214">
        <v>12860</v>
      </c>
      <c r="D125" s="1214">
        <v>12790</v>
      </c>
      <c r="E125" s="1214">
        <v>15370</v>
      </c>
      <c r="F125" s="3168">
        <v>2280</v>
      </c>
      <c r="G125" s="3175">
        <v>8450</v>
      </c>
      <c r="I125" s="972"/>
      <c r="J125" s="3192"/>
      <c r="K125" s="3192"/>
      <c r="L125" s="3192"/>
      <c r="M125" s="3192"/>
      <c r="N125" s="3192"/>
      <c r="O125" s="3192"/>
      <c r="P125" s="3192"/>
      <c r="Q125" s="3192"/>
      <c r="R125" s="3192"/>
      <c r="S125" s="3192"/>
      <c r="T125" s="3192"/>
      <c r="U125" s="3192"/>
    </row>
    <row r="126" spans="1:21" s="961" customFormat="1" ht="14.25" customHeight="1" thickBot="1">
      <c r="A126" s="3172" t="s">
        <v>1152</v>
      </c>
      <c r="B126" s="3160" t="s">
        <v>2859</v>
      </c>
      <c r="C126" s="3160">
        <v>12960</v>
      </c>
      <c r="D126" s="3160">
        <v>12890</v>
      </c>
      <c r="E126" s="3160">
        <v>15530</v>
      </c>
      <c r="F126" s="3161">
        <v>2910</v>
      </c>
      <c r="G126" s="3176">
        <v>8520</v>
      </c>
      <c r="I126" s="972"/>
      <c r="J126" s="3192"/>
      <c r="K126" s="3192"/>
      <c r="L126" s="3192"/>
      <c r="M126" s="3192"/>
      <c r="N126" s="3192"/>
      <c r="O126" s="3192"/>
      <c r="P126" s="3192"/>
      <c r="Q126" s="3192"/>
      <c r="R126" s="3192"/>
      <c r="S126" s="3192"/>
      <c r="T126" s="3192"/>
      <c r="U126" s="3192"/>
    </row>
    <row r="127" spans="1:21" s="961" customFormat="1" ht="14.25" customHeight="1">
      <c r="A127" s="3171" t="s">
        <v>1153</v>
      </c>
      <c r="B127" s="1216" t="s">
        <v>2860</v>
      </c>
      <c r="C127" s="1216">
        <v>12280</v>
      </c>
      <c r="D127" s="1216">
        <v>12250</v>
      </c>
      <c r="E127" s="1216">
        <v>15130</v>
      </c>
      <c r="F127" s="3158">
        <v>2710</v>
      </c>
      <c r="G127" s="3174">
        <v>7870</v>
      </c>
      <c r="I127" s="972"/>
      <c r="J127" s="3192"/>
      <c r="K127" s="3192"/>
      <c r="L127" s="3192"/>
      <c r="M127" s="3192"/>
      <c r="N127" s="3192"/>
      <c r="O127" s="3192"/>
      <c r="P127" s="3192"/>
      <c r="Q127" s="3192"/>
      <c r="R127" s="3192"/>
      <c r="S127" s="3192"/>
      <c r="T127" s="3192"/>
      <c r="U127" s="3192"/>
    </row>
    <row r="128" spans="1:21" s="961" customFormat="1" ht="14.25" customHeight="1">
      <c r="A128" s="3157" t="s">
        <v>1153</v>
      </c>
      <c r="B128" s="3157" t="s">
        <v>977</v>
      </c>
      <c r="C128" s="3157">
        <v>13180</v>
      </c>
      <c r="D128" s="3157">
        <v>13150</v>
      </c>
      <c r="E128" s="3157">
        <v>16190</v>
      </c>
      <c r="F128" s="3163">
        <v>2820</v>
      </c>
      <c r="G128" s="3165">
        <v>8460</v>
      </c>
      <c r="I128" s="972"/>
      <c r="J128" s="3192"/>
      <c r="K128" s="3192"/>
      <c r="L128" s="3192"/>
      <c r="M128" s="3192"/>
      <c r="N128" s="3192"/>
      <c r="O128" s="3192"/>
      <c r="P128" s="3192"/>
      <c r="Q128" s="3192"/>
      <c r="R128" s="3192"/>
      <c r="S128" s="3192"/>
      <c r="T128" s="3192"/>
      <c r="U128" s="3192"/>
    </row>
    <row r="129" spans="1:21" s="961" customFormat="1" ht="14.25" customHeight="1">
      <c r="A129" s="3157" t="s">
        <v>1153</v>
      </c>
      <c r="B129" s="3157" t="s">
        <v>987</v>
      </c>
      <c r="C129" s="3157">
        <v>10950</v>
      </c>
      <c r="D129" s="3157">
        <v>10920</v>
      </c>
      <c r="E129" s="3157">
        <v>13820</v>
      </c>
      <c r="F129" s="3163">
        <v>2500</v>
      </c>
      <c r="G129" s="3165">
        <v>7020</v>
      </c>
      <c r="I129" s="972"/>
      <c r="J129" s="3192"/>
      <c r="K129" s="3192"/>
      <c r="L129" s="3192"/>
      <c r="M129" s="3192"/>
      <c r="N129" s="3192"/>
      <c r="O129" s="3192"/>
      <c r="P129" s="3192"/>
      <c r="Q129" s="3192"/>
      <c r="R129" s="3192"/>
      <c r="S129" s="3192"/>
      <c r="T129" s="3192"/>
      <c r="U129" s="3192"/>
    </row>
    <row r="130" spans="1:21" s="961" customFormat="1" ht="14.25" customHeight="1">
      <c r="A130" s="3157" t="s">
        <v>1153</v>
      </c>
      <c r="B130" s="3157" t="s">
        <v>996</v>
      </c>
      <c r="C130" s="3157">
        <v>10910</v>
      </c>
      <c r="D130" s="3157">
        <v>10860</v>
      </c>
      <c r="E130" s="3157">
        <v>13730</v>
      </c>
      <c r="F130" s="3163">
        <v>2760</v>
      </c>
      <c r="G130" s="3165">
        <v>6990</v>
      </c>
      <c r="I130" s="972"/>
      <c r="J130" s="3192"/>
      <c r="K130" s="3192"/>
      <c r="L130" s="3192"/>
      <c r="M130" s="3192"/>
      <c r="N130" s="3192"/>
      <c r="O130" s="3192"/>
      <c r="P130" s="3192"/>
      <c r="Q130" s="3192"/>
      <c r="R130" s="3192"/>
      <c r="S130" s="3192"/>
      <c r="T130" s="3192"/>
      <c r="U130" s="3192"/>
    </row>
    <row r="131" spans="1:21" s="961" customFormat="1" ht="14.25" customHeight="1">
      <c r="A131" s="3157" t="s">
        <v>1153</v>
      </c>
      <c r="B131" s="3157" t="s">
        <v>1006</v>
      </c>
      <c r="C131" s="3157">
        <v>12910</v>
      </c>
      <c r="D131" s="3157">
        <v>12870</v>
      </c>
      <c r="E131" s="3157">
        <v>15720</v>
      </c>
      <c r="F131" s="3163">
        <v>2750</v>
      </c>
      <c r="G131" s="3165">
        <v>8280</v>
      </c>
      <c r="I131" s="972"/>
      <c r="J131" s="3192"/>
      <c r="K131" s="3192"/>
      <c r="L131" s="3192"/>
      <c r="M131" s="3192"/>
      <c r="N131" s="3192"/>
      <c r="O131" s="3192"/>
      <c r="P131" s="3192"/>
      <c r="Q131" s="3192"/>
      <c r="R131" s="3192"/>
      <c r="S131" s="3192"/>
      <c r="T131" s="3192"/>
      <c r="U131" s="3192"/>
    </row>
    <row r="132" spans="1:21" s="961" customFormat="1" ht="14.25" customHeight="1">
      <c r="A132" s="3157" t="s">
        <v>1153</v>
      </c>
      <c r="B132" s="3157" t="s">
        <v>1013</v>
      </c>
      <c r="C132" s="3157">
        <v>11910</v>
      </c>
      <c r="D132" s="3157">
        <v>11860</v>
      </c>
      <c r="E132" s="3157">
        <v>14730</v>
      </c>
      <c r="F132" s="3163">
        <v>2360</v>
      </c>
      <c r="G132" s="3165">
        <v>7630</v>
      </c>
      <c r="I132" s="972"/>
      <c r="J132" s="3192"/>
      <c r="K132" s="3192"/>
      <c r="L132" s="3192"/>
      <c r="M132" s="3192"/>
      <c r="N132" s="3192"/>
      <c r="O132" s="3192"/>
      <c r="P132" s="3192"/>
      <c r="Q132" s="3192"/>
      <c r="R132" s="3192"/>
      <c r="S132" s="3192"/>
      <c r="T132" s="3192"/>
      <c r="U132" s="3192"/>
    </row>
    <row r="133" spans="1:21" s="961" customFormat="1" ht="14.25" customHeight="1">
      <c r="A133" s="3157" t="s">
        <v>1153</v>
      </c>
      <c r="B133" s="3157" t="s">
        <v>1019</v>
      </c>
      <c r="C133" s="3157">
        <v>12270</v>
      </c>
      <c r="D133" s="3157">
        <v>12210</v>
      </c>
      <c r="E133" s="3157">
        <v>15010</v>
      </c>
      <c r="F133" s="3163">
        <v>2580</v>
      </c>
      <c r="G133" s="3165">
        <v>7860</v>
      </c>
      <c r="I133" s="972"/>
      <c r="J133" s="3192"/>
      <c r="K133" s="3192"/>
      <c r="L133" s="3192"/>
      <c r="M133" s="3192"/>
      <c r="N133" s="3192"/>
      <c r="O133" s="3192"/>
      <c r="P133" s="3192"/>
      <c r="Q133" s="3192"/>
      <c r="R133" s="3192"/>
      <c r="S133" s="3192"/>
      <c r="T133" s="3192"/>
      <c r="U133" s="3192"/>
    </row>
    <row r="134" spans="1:21" s="961" customFormat="1" ht="14.25" customHeight="1">
      <c r="A134" s="3157" t="s">
        <v>1153</v>
      </c>
      <c r="B134" s="3157" t="s">
        <v>1026</v>
      </c>
      <c r="C134" s="3157">
        <v>10800</v>
      </c>
      <c r="D134" s="3157">
        <v>10780</v>
      </c>
      <c r="E134" s="3157">
        <v>13640</v>
      </c>
      <c r="F134" s="3163">
        <v>2110</v>
      </c>
      <c r="G134" s="3163">
        <v>6930</v>
      </c>
      <c r="I134" s="972"/>
      <c r="J134" s="3192"/>
      <c r="K134" s="3192"/>
      <c r="L134" s="3192"/>
      <c r="M134" s="3192"/>
      <c r="N134" s="3192"/>
      <c r="O134" s="3192"/>
      <c r="P134" s="3192"/>
      <c r="Q134" s="3192"/>
      <c r="R134" s="3192"/>
      <c r="S134" s="3192"/>
      <c r="T134" s="3192"/>
      <c r="U134" s="3192"/>
    </row>
    <row r="135" spans="1:21" s="961" customFormat="1" ht="14.25" customHeight="1">
      <c r="A135" s="3157" t="s">
        <v>1153</v>
      </c>
      <c r="B135" s="3157" t="s">
        <v>1036</v>
      </c>
      <c r="C135" s="3157">
        <v>10430</v>
      </c>
      <c r="D135" s="3157">
        <v>10390</v>
      </c>
      <c r="E135" s="3157">
        <v>13140</v>
      </c>
      <c r="F135" s="3163">
        <v>2240</v>
      </c>
      <c r="G135" s="3165">
        <v>6680</v>
      </c>
      <c r="I135" s="972"/>
      <c r="J135" s="3192"/>
      <c r="K135" s="3192"/>
      <c r="L135" s="3192"/>
      <c r="M135" s="3192"/>
      <c r="N135" s="3192"/>
      <c r="O135" s="3192"/>
      <c r="P135" s="3192"/>
      <c r="Q135" s="3192"/>
      <c r="R135" s="3192"/>
      <c r="S135" s="3192"/>
      <c r="T135" s="3192"/>
      <c r="U135" s="3192"/>
    </row>
    <row r="136" spans="1:21" s="961" customFormat="1" ht="14.25" customHeight="1">
      <c r="A136" s="3157" t="s">
        <v>1153</v>
      </c>
      <c r="B136" s="3157" t="s">
        <v>1045</v>
      </c>
      <c r="C136" s="3157">
        <v>11930</v>
      </c>
      <c r="D136" s="3157">
        <v>11880</v>
      </c>
      <c r="E136" s="3157">
        <v>14770</v>
      </c>
      <c r="F136" s="3163">
        <v>1970</v>
      </c>
      <c r="G136" s="3165">
        <v>7640</v>
      </c>
      <c r="I136" s="972"/>
      <c r="J136" s="3192"/>
      <c r="K136" s="3192"/>
      <c r="L136" s="3192"/>
      <c r="M136" s="3192"/>
      <c r="N136" s="3192"/>
      <c r="O136" s="3192"/>
      <c r="P136" s="3192"/>
      <c r="Q136" s="3192"/>
      <c r="R136" s="3192"/>
      <c r="S136" s="3192"/>
      <c r="T136" s="3192"/>
      <c r="U136" s="3192"/>
    </row>
    <row r="137" spans="1:21" s="961" customFormat="1" ht="14.25" customHeight="1">
      <c r="A137" s="3157" t="s">
        <v>1153</v>
      </c>
      <c r="B137" s="3157" t="s">
        <v>1052</v>
      </c>
      <c r="C137" s="3157">
        <v>10470</v>
      </c>
      <c r="D137" s="3157">
        <v>10430</v>
      </c>
      <c r="E137" s="3157">
        <v>13190</v>
      </c>
      <c r="F137" s="3163">
        <v>1990</v>
      </c>
      <c r="G137" s="3165">
        <v>6710</v>
      </c>
      <c r="I137" s="972"/>
      <c r="J137" s="3192"/>
      <c r="K137" s="3192"/>
      <c r="L137" s="3192"/>
      <c r="M137" s="3192"/>
      <c r="N137" s="3192"/>
      <c r="O137" s="3192"/>
      <c r="P137" s="3192"/>
      <c r="Q137" s="3192"/>
      <c r="R137" s="3192"/>
      <c r="S137" s="3192"/>
      <c r="T137" s="3192"/>
      <c r="U137" s="3192"/>
    </row>
    <row r="138" spans="1:21" s="961" customFormat="1" ht="14.25" customHeight="1">
      <c r="A138" s="3157" t="s">
        <v>1153</v>
      </c>
      <c r="B138" s="3157" t="s">
        <v>1059</v>
      </c>
      <c r="C138" s="3157">
        <v>10410</v>
      </c>
      <c r="D138" s="3157">
        <v>10380</v>
      </c>
      <c r="E138" s="3157">
        <v>13130</v>
      </c>
      <c r="F138" s="3163">
        <v>2030</v>
      </c>
      <c r="G138" s="3165">
        <v>6680</v>
      </c>
      <c r="I138" s="972"/>
      <c r="J138" s="3192"/>
      <c r="K138" s="3192"/>
      <c r="L138" s="3192"/>
      <c r="M138" s="3192"/>
      <c r="N138" s="3192"/>
      <c r="O138" s="3192"/>
      <c r="P138" s="3192"/>
      <c r="Q138" s="3192"/>
      <c r="R138" s="3192"/>
      <c r="S138" s="3192"/>
      <c r="T138" s="3192"/>
      <c r="U138" s="3192"/>
    </row>
    <row r="139" spans="1:21" s="961" customFormat="1" ht="14.25" customHeight="1">
      <c r="A139" s="3157" t="s">
        <v>1153</v>
      </c>
      <c r="B139" s="3157" t="s">
        <v>1066</v>
      </c>
      <c r="C139" s="3157">
        <v>9460</v>
      </c>
      <c r="D139" s="3157">
        <v>9410</v>
      </c>
      <c r="E139" s="3157">
        <v>12050</v>
      </c>
      <c r="F139" s="3163">
        <v>2140</v>
      </c>
      <c r="G139" s="3163">
        <v>6050</v>
      </c>
      <c r="I139" s="972"/>
      <c r="J139" s="3192"/>
      <c r="K139" s="3192"/>
      <c r="L139" s="3192"/>
      <c r="M139" s="3192"/>
      <c r="N139" s="3192"/>
      <c r="O139" s="3192"/>
      <c r="P139" s="3192"/>
      <c r="Q139" s="3192"/>
      <c r="R139" s="3192"/>
      <c r="S139" s="3192"/>
      <c r="T139" s="3192"/>
      <c r="U139" s="3192"/>
    </row>
    <row r="140" spans="1:21" s="961" customFormat="1" ht="14.25" customHeight="1">
      <c r="A140" s="3157" t="s">
        <v>1153</v>
      </c>
      <c r="B140" s="3157" t="s">
        <v>1074</v>
      </c>
      <c r="C140" s="3157">
        <v>11030</v>
      </c>
      <c r="D140" s="3157">
        <v>10980</v>
      </c>
      <c r="E140" s="3157">
        <v>13880</v>
      </c>
      <c r="F140" s="3163">
        <v>2210</v>
      </c>
      <c r="G140" s="3163">
        <v>7060</v>
      </c>
      <c r="I140" s="972"/>
      <c r="J140" s="3192"/>
      <c r="K140" s="3192"/>
      <c r="L140" s="3192"/>
      <c r="M140" s="3192"/>
      <c r="N140" s="3192"/>
      <c r="O140" s="3192"/>
      <c r="P140" s="3192"/>
      <c r="Q140" s="3192"/>
      <c r="R140" s="3192"/>
      <c r="S140" s="3192"/>
      <c r="T140" s="3192"/>
      <c r="U140" s="3192"/>
    </row>
    <row r="141" spans="1:21" s="961" customFormat="1" ht="14.25" customHeight="1">
      <c r="A141" s="3157" t="s">
        <v>1153</v>
      </c>
      <c r="B141" s="3157" t="s">
        <v>1082</v>
      </c>
      <c r="C141" s="3157">
        <v>11200</v>
      </c>
      <c r="D141" s="3157">
        <v>11150</v>
      </c>
      <c r="E141" s="3157">
        <v>14100</v>
      </c>
      <c r="F141" s="3163">
        <v>2470</v>
      </c>
      <c r="G141" s="3165">
        <v>7170</v>
      </c>
      <c r="I141" s="972"/>
      <c r="J141" s="3192"/>
      <c r="K141" s="3192"/>
      <c r="L141" s="3192"/>
      <c r="M141" s="3192"/>
      <c r="N141" s="3192"/>
      <c r="O141" s="3192"/>
      <c r="P141" s="3192"/>
      <c r="Q141" s="3192"/>
      <c r="R141" s="3192"/>
      <c r="S141" s="3192"/>
      <c r="T141" s="3192"/>
      <c r="U141" s="3192"/>
    </row>
    <row r="142" spans="1:21" s="961" customFormat="1" ht="14.25" customHeight="1">
      <c r="A142" s="3157" t="s">
        <v>1153</v>
      </c>
      <c r="B142" s="3157" t="s">
        <v>1087</v>
      </c>
      <c r="C142" s="3157">
        <v>10780</v>
      </c>
      <c r="D142" s="3157">
        <v>10730</v>
      </c>
      <c r="E142" s="3157">
        <v>13540</v>
      </c>
      <c r="F142" s="3163">
        <v>2280</v>
      </c>
      <c r="G142" s="3165">
        <v>6900</v>
      </c>
      <c r="I142" s="972"/>
      <c r="J142" s="3192"/>
      <c r="K142" s="3192"/>
      <c r="L142" s="3192"/>
      <c r="M142" s="3192"/>
      <c r="N142" s="3192"/>
      <c r="O142" s="3192"/>
      <c r="P142" s="3192"/>
      <c r="Q142" s="3192"/>
      <c r="R142" s="3192"/>
      <c r="S142" s="3192"/>
      <c r="T142" s="3192"/>
      <c r="U142" s="3192"/>
    </row>
    <row r="143" spans="1:21" s="961" customFormat="1" ht="14.25" customHeight="1">
      <c r="A143" s="3157" t="s">
        <v>1153</v>
      </c>
      <c r="B143" s="3157" t="s">
        <v>1096</v>
      </c>
      <c r="C143" s="3157">
        <v>11550</v>
      </c>
      <c r="D143" s="3157">
        <v>11490</v>
      </c>
      <c r="E143" s="3157">
        <v>14480</v>
      </c>
      <c r="F143" s="3163">
        <v>2070</v>
      </c>
      <c r="G143" s="3165">
        <v>7390</v>
      </c>
      <c r="I143" s="972"/>
      <c r="J143" s="3192"/>
      <c r="K143" s="3192"/>
      <c r="L143" s="3192"/>
      <c r="M143" s="3192"/>
      <c r="N143" s="3192"/>
      <c r="O143" s="3192"/>
      <c r="P143" s="3192"/>
      <c r="Q143" s="3192"/>
      <c r="R143" s="3192"/>
      <c r="S143" s="3192"/>
      <c r="T143" s="3192"/>
      <c r="U143" s="3192"/>
    </row>
    <row r="144" spans="1:21" s="961" customFormat="1" ht="14.25" customHeight="1">
      <c r="A144" s="3157" t="s">
        <v>1153</v>
      </c>
      <c r="B144" s="3157" t="s">
        <v>1103</v>
      </c>
      <c r="C144" s="3157">
        <v>10720</v>
      </c>
      <c r="D144" s="3157">
        <v>10680</v>
      </c>
      <c r="E144" s="3157">
        <v>13480</v>
      </c>
      <c r="F144" s="3163">
        <v>2440</v>
      </c>
      <c r="G144" s="3165">
        <v>6870</v>
      </c>
      <c r="I144" s="972"/>
      <c r="J144" s="3192"/>
      <c r="K144" s="3192"/>
      <c r="L144" s="3192"/>
      <c r="M144" s="3192"/>
      <c r="N144" s="3192"/>
      <c r="O144" s="3192"/>
      <c r="P144" s="3192"/>
      <c r="Q144" s="3192"/>
      <c r="R144" s="3192"/>
      <c r="S144" s="3192"/>
      <c r="T144" s="3192"/>
      <c r="U144" s="3192"/>
    </row>
    <row r="145" spans="1:21" s="961" customFormat="1" ht="14.25" customHeight="1">
      <c r="A145" s="3157" t="s">
        <v>1153</v>
      </c>
      <c r="B145" s="3157" t="s">
        <v>1111</v>
      </c>
      <c r="C145" s="3157">
        <v>10340</v>
      </c>
      <c r="D145" s="3157">
        <v>10290</v>
      </c>
      <c r="E145" s="3157">
        <v>12880</v>
      </c>
      <c r="F145" s="3163">
        <v>2650</v>
      </c>
      <c r="G145" s="3163">
        <v>6620</v>
      </c>
      <c r="I145" s="972"/>
      <c r="J145" s="3192"/>
      <c r="K145" s="3192"/>
      <c r="L145" s="3192"/>
      <c r="M145" s="3192"/>
      <c r="N145" s="3192"/>
      <c r="O145" s="3192"/>
      <c r="P145" s="3192"/>
      <c r="Q145" s="3192"/>
      <c r="R145" s="3192"/>
      <c r="S145" s="3192"/>
      <c r="T145" s="3192"/>
      <c r="U145" s="3192"/>
    </row>
    <row r="146" spans="1:21" s="961" customFormat="1" ht="14.25" customHeight="1">
      <c r="A146" s="3157" t="s">
        <v>1153</v>
      </c>
      <c r="B146" s="3157" t="s">
        <v>1118</v>
      </c>
      <c r="C146" s="3157">
        <v>11890</v>
      </c>
      <c r="D146" s="3157">
        <v>11830</v>
      </c>
      <c r="E146" s="3157">
        <v>14670</v>
      </c>
      <c r="F146" s="3163"/>
      <c r="G146" s="3163">
        <v>7610</v>
      </c>
      <c r="I146" s="972"/>
      <c r="J146" s="3192"/>
      <c r="K146" s="3192"/>
      <c r="L146" s="3192"/>
      <c r="M146" s="3192"/>
      <c r="N146" s="3192"/>
      <c r="O146" s="3192"/>
      <c r="P146" s="3192"/>
      <c r="Q146" s="3192"/>
      <c r="R146" s="3192"/>
      <c r="S146" s="3192"/>
      <c r="T146" s="3192"/>
      <c r="U146" s="3192"/>
    </row>
    <row r="147" spans="1:21" s="961" customFormat="1" ht="14.25" customHeight="1">
      <c r="A147" s="3157" t="s">
        <v>1153</v>
      </c>
      <c r="B147" s="3157" t="s">
        <v>1122</v>
      </c>
      <c r="C147" s="3157">
        <v>12650</v>
      </c>
      <c r="D147" s="3157">
        <v>12600</v>
      </c>
      <c r="E147" s="3157">
        <v>15440</v>
      </c>
      <c r="F147" s="3163"/>
      <c r="G147" s="3163">
        <v>8110</v>
      </c>
      <c r="I147" s="972"/>
      <c r="J147" s="3192"/>
      <c r="K147" s="3192"/>
      <c r="L147" s="3192"/>
      <c r="M147" s="3192"/>
      <c r="N147" s="3192"/>
      <c r="O147" s="3192"/>
      <c r="P147" s="3192"/>
      <c r="Q147" s="3192"/>
      <c r="R147" s="3192"/>
      <c r="S147" s="3192"/>
      <c r="T147" s="3192"/>
      <c r="U147" s="3192"/>
    </row>
    <row r="148" spans="1:21" s="961" customFormat="1" ht="14.25" customHeight="1">
      <c r="A148" s="3157" t="s">
        <v>1153</v>
      </c>
      <c r="B148" s="3157" t="s">
        <v>2861</v>
      </c>
      <c r="C148" s="3157">
        <v>10370</v>
      </c>
      <c r="D148" s="3157">
        <v>10310</v>
      </c>
      <c r="E148" s="3157">
        <v>12970</v>
      </c>
      <c r="F148" s="3163"/>
      <c r="G148" s="3163">
        <v>6630</v>
      </c>
      <c r="I148" s="972"/>
      <c r="J148" s="3192"/>
      <c r="K148" s="3192"/>
      <c r="L148" s="3192"/>
      <c r="M148" s="3192"/>
      <c r="N148" s="3192"/>
      <c r="O148" s="3192"/>
      <c r="P148" s="3192"/>
      <c r="Q148" s="3192"/>
      <c r="R148" s="3192"/>
      <c r="S148" s="3192"/>
      <c r="T148" s="3192"/>
      <c r="U148" s="3192"/>
    </row>
    <row r="149" spans="1:21" s="961" customFormat="1" ht="14.25" customHeight="1">
      <c r="A149" s="3157" t="s">
        <v>1153</v>
      </c>
      <c r="B149" s="3157" t="s">
        <v>2862</v>
      </c>
      <c r="C149" s="3157">
        <v>11600</v>
      </c>
      <c r="D149" s="3157">
        <v>11560</v>
      </c>
      <c r="E149" s="3157">
        <v>14540</v>
      </c>
      <c r="F149" s="3163">
        <v>2390</v>
      </c>
      <c r="G149" s="3163">
        <v>7430</v>
      </c>
      <c r="I149" s="972"/>
      <c r="J149" s="3192"/>
      <c r="K149" s="3192"/>
      <c r="L149" s="3192"/>
      <c r="M149" s="3192"/>
      <c r="N149" s="3192"/>
      <c r="O149" s="3192"/>
      <c r="P149" s="3192"/>
      <c r="Q149" s="3192"/>
      <c r="R149" s="3192"/>
      <c r="S149" s="3192"/>
      <c r="T149" s="3192"/>
      <c r="U149" s="3192"/>
    </row>
    <row r="150" spans="1:21" s="961" customFormat="1" ht="14.25" customHeight="1">
      <c r="A150" s="3157" t="s">
        <v>1153</v>
      </c>
      <c r="B150" s="3157" t="s">
        <v>1141</v>
      </c>
      <c r="C150" s="3157">
        <v>9950</v>
      </c>
      <c r="D150" s="3157">
        <v>9890</v>
      </c>
      <c r="E150" s="3157">
        <v>12590</v>
      </c>
      <c r="F150" s="3163">
        <v>1970</v>
      </c>
      <c r="G150" s="3163">
        <v>6360</v>
      </c>
      <c r="I150" s="972"/>
      <c r="J150" s="3192"/>
      <c r="K150" s="3192"/>
      <c r="L150" s="3192"/>
      <c r="M150" s="3192"/>
      <c r="N150" s="3192"/>
      <c r="O150" s="3192"/>
      <c r="P150" s="3192"/>
      <c r="Q150" s="3192"/>
      <c r="R150" s="3192"/>
      <c r="S150" s="3192"/>
      <c r="T150" s="3192"/>
      <c r="U150" s="3192"/>
    </row>
    <row r="151" spans="1:21" s="961" customFormat="1" ht="14.25" customHeight="1">
      <c r="A151" s="3157" t="s">
        <v>1153</v>
      </c>
      <c r="B151" s="3157" t="s">
        <v>1143</v>
      </c>
      <c r="C151" s="3157">
        <v>10700</v>
      </c>
      <c r="D151" s="3157">
        <v>10650</v>
      </c>
      <c r="E151" s="3157">
        <v>13420</v>
      </c>
      <c r="F151" s="3163">
        <v>2020</v>
      </c>
      <c r="G151" s="3163">
        <v>6850</v>
      </c>
      <c r="I151" s="972"/>
      <c r="J151" s="3192"/>
      <c r="K151" s="3192"/>
      <c r="L151" s="3192"/>
      <c r="M151" s="3192"/>
      <c r="N151" s="3192"/>
      <c r="O151" s="3192"/>
      <c r="P151" s="3192"/>
      <c r="Q151" s="3192"/>
      <c r="R151" s="3192"/>
      <c r="S151" s="3192"/>
      <c r="T151" s="3192"/>
      <c r="U151" s="3192"/>
    </row>
    <row r="152" spans="1:21" s="961" customFormat="1" ht="14.25" customHeight="1">
      <c r="A152" s="3157" t="s">
        <v>1153</v>
      </c>
      <c r="B152" s="3157" t="s">
        <v>1146</v>
      </c>
      <c r="C152" s="3157">
        <v>10310</v>
      </c>
      <c r="D152" s="3157">
        <v>10260</v>
      </c>
      <c r="E152" s="3157">
        <v>12820</v>
      </c>
      <c r="F152" s="3163">
        <v>1980</v>
      </c>
      <c r="G152" s="3163">
        <v>6600</v>
      </c>
      <c r="I152" s="972"/>
      <c r="J152" s="3192"/>
      <c r="K152" s="3192"/>
      <c r="L152" s="3192"/>
      <c r="M152" s="3192"/>
      <c r="N152" s="3192"/>
      <c r="O152" s="3192"/>
      <c r="P152" s="3192"/>
      <c r="Q152" s="3192"/>
      <c r="R152" s="3192"/>
      <c r="S152" s="3192"/>
      <c r="T152" s="3192"/>
      <c r="U152" s="3192"/>
    </row>
    <row r="153" spans="1:21" s="961" customFormat="1" ht="14.25" customHeight="1">
      <c r="A153" s="3157" t="s">
        <v>1153</v>
      </c>
      <c r="B153" s="3157" t="s">
        <v>2863</v>
      </c>
      <c r="C153" s="3157">
        <v>10880</v>
      </c>
      <c r="D153" s="3157">
        <v>10820</v>
      </c>
      <c r="E153" s="3157">
        <v>13660</v>
      </c>
      <c r="F153" s="3163">
        <v>2260</v>
      </c>
      <c r="G153" s="3163">
        <v>6970</v>
      </c>
      <c r="I153" s="972"/>
      <c r="J153" s="3192"/>
      <c r="K153" s="3192"/>
      <c r="L153" s="3192"/>
      <c r="M153" s="3192"/>
      <c r="N153" s="3192"/>
      <c r="O153" s="3192"/>
      <c r="P153" s="3192"/>
      <c r="Q153" s="3192"/>
      <c r="R153" s="3192"/>
      <c r="S153" s="3192"/>
      <c r="T153" s="3192"/>
      <c r="U153" s="3192"/>
    </row>
    <row r="154" spans="1:21" s="961" customFormat="1" ht="14.25" customHeight="1">
      <c r="A154" s="3157" t="s">
        <v>1153</v>
      </c>
      <c r="B154" s="3157" t="s">
        <v>2864</v>
      </c>
      <c r="C154" s="3157">
        <v>11220</v>
      </c>
      <c r="D154" s="3157">
        <v>11160</v>
      </c>
      <c r="E154" s="3157">
        <v>14130</v>
      </c>
      <c r="F154" s="3163">
        <v>2230</v>
      </c>
      <c r="G154" s="3163">
        <v>7180</v>
      </c>
      <c r="I154" s="972"/>
      <c r="J154" s="3192"/>
      <c r="K154" s="3192"/>
      <c r="L154" s="3192"/>
      <c r="M154" s="3192"/>
      <c r="N154" s="3192"/>
      <c r="O154" s="3192"/>
      <c r="P154" s="3192"/>
      <c r="Q154" s="3192"/>
      <c r="R154" s="3192"/>
      <c r="S154" s="3192"/>
      <c r="T154" s="3192"/>
      <c r="U154" s="3192"/>
    </row>
    <row r="155" spans="1:21" s="961" customFormat="1" ht="14.25" customHeight="1">
      <c r="A155" s="3157" t="s">
        <v>1153</v>
      </c>
      <c r="B155" s="3157" t="s">
        <v>2865</v>
      </c>
      <c r="C155" s="3157">
        <v>10430</v>
      </c>
      <c r="D155" s="3157">
        <v>10380</v>
      </c>
      <c r="E155" s="3157">
        <v>13140</v>
      </c>
      <c r="F155" s="3163">
        <v>2080</v>
      </c>
      <c r="G155" s="3163">
        <v>6650</v>
      </c>
      <c r="I155" s="972"/>
      <c r="J155" s="3192"/>
      <c r="K155" s="3192"/>
      <c r="L155" s="3192"/>
      <c r="M155" s="3192"/>
      <c r="N155" s="3192"/>
      <c r="O155" s="3192"/>
      <c r="P155" s="3192"/>
      <c r="Q155" s="3192"/>
      <c r="R155" s="3192"/>
      <c r="S155" s="3192"/>
      <c r="T155" s="3192"/>
      <c r="U155" s="3192"/>
    </row>
    <row r="156" spans="1:21" s="961" customFormat="1" ht="14.25" customHeight="1">
      <c r="A156" s="3157" t="s">
        <v>1153</v>
      </c>
      <c r="B156" s="3157" t="s">
        <v>2866</v>
      </c>
      <c r="C156" s="3157">
        <v>10440</v>
      </c>
      <c r="D156" s="3157">
        <v>10400</v>
      </c>
      <c r="E156" s="3157">
        <v>13150</v>
      </c>
      <c r="F156" s="3163">
        <v>2490</v>
      </c>
      <c r="G156" s="3163">
        <v>6690</v>
      </c>
      <c r="I156" s="972"/>
      <c r="J156" s="3192"/>
      <c r="K156" s="3192"/>
      <c r="L156" s="3192"/>
      <c r="M156" s="3192"/>
      <c r="N156" s="3192"/>
      <c r="O156" s="3192"/>
      <c r="P156" s="3192"/>
      <c r="Q156" s="3192"/>
      <c r="R156" s="3192"/>
      <c r="S156" s="3192"/>
      <c r="T156" s="3192"/>
      <c r="U156" s="3192"/>
    </row>
    <row r="157" spans="1:21" s="961" customFormat="1" ht="14.25" customHeight="1">
      <c r="A157" s="3157" t="s">
        <v>1153</v>
      </c>
      <c r="B157" s="3157" t="s">
        <v>1149</v>
      </c>
      <c r="C157" s="3157">
        <v>10970</v>
      </c>
      <c r="D157" s="3157">
        <v>10920</v>
      </c>
      <c r="E157" s="3157">
        <v>13840</v>
      </c>
      <c r="F157" s="3163">
        <v>2420</v>
      </c>
      <c r="G157" s="3170">
        <v>7020</v>
      </c>
      <c r="I157" s="972"/>
      <c r="J157" s="3192"/>
      <c r="K157" s="3192"/>
      <c r="L157" s="3192"/>
      <c r="M157" s="3192"/>
      <c r="N157" s="3192"/>
      <c r="O157" s="3192"/>
      <c r="P157" s="3192"/>
      <c r="Q157" s="3192"/>
      <c r="R157" s="3192"/>
      <c r="S157" s="3192"/>
      <c r="T157" s="3192"/>
      <c r="U157" s="3192"/>
    </row>
    <row r="158" spans="1:21" s="961" customFormat="1" ht="14.25" customHeight="1">
      <c r="A158" s="1216" t="s">
        <v>1153</v>
      </c>
      <c r="B158" s="1216" t="s">
        <v>1150</v>
      </c>
      <c r="C158" s="1216">
        <v>9590</v>
      </c>
      <c r="D158" s="1216">
        <v>9540</v>
      </c>
      <c r="E158" s="1216">
        <v>12210</v>
      </c>
      <c r="F158" s="3158">
        <v>2100</v>
      </c>
      <c r="G158" s="3158">
        <v>6130</v>
      </c>
      <c r="I158" s="972"/>
      <c r="J158" s="3192"/>
      <c r="K158" s="3192"/>
      <c r="L158" s="3192"/>
      <c r="M158" s="3192"/>
      <c r="N158" s="3192"/>
      <c r="O158" s="3192"/>
      <c r="P158" s="3192"/>
      <c r="Q158" s="3192"/>
      <c r="R158" s="3192"/>
      <c r="S158" s="3192"/>
      <c r="T158" s="3192"/>
      <c r="U158" s="3192"/>
    </row>
    <row r="159" spans="1:21" s="961" customFormat="1" ht="14.25" customHeight="1">
      <c r="A159" s="3157" t="s">
        <v>1153</v>
      </c>
      <c r="B159" s="3157" t="s">
        <v>1151</v>
      </c>
      <c r="C159" s="3157">
        <v>11190</v>
      </c>
      <c r="D159" s="3157">
        <v>11140</v>
      </c>
      <c r="E159" s="3157">
        <v>14090</v>
      </c>
      <c r="F159" s="3163">
        <v>2470</v>
      </c>
      <c r="G159" s="3163">
        <v>7170</v>
      </c>
      <c r="I159" s="972"/>
      <c r="J159" s="3192"/>
      <c r="K159" s="3192"/>
      <c r="L159" s="3192"/>
      <c r="M159" s="3192"/>
      <c r="N159" s="3192"/>
      <c r="O159" s="3192"/>
      <c r="P159" s="3192"/>
      <c r="Q159" s="3192"/>
      <c r="R159" s="3192"/>
      <c r="S159" s="3192"/>
      <c r="T159" s="3192"/>
      <c r="U159" s="3192"/>
    </row>
    <row r="160" spans="1:21" s="961" customFormat="1" ht="14.25" customHeight="1">
      <c r="A160" s="3157" t="s">
        <v>1153</v>
      </c>
      <c r="B160" s="3157" t="s">
        <v>2867</v>
      </c>
      <c r="C160" s="3157">
        <v>11180</v>
      </c>
      <c r="D160" s="3157">
        <v>11140</v>
      </c>
      <c r="E160" s="3157">
        <v>14050</v>
      </c>
      <c r="F160" s="3163">
        <v>2270</v>
      </c>
      <c r="G160" s="3163">
        <v>7170</v>
      </c>
      <c r="I160" s="972"/>
      <c r="J160" s="3192"/>
      <c r="K160" s="3192"/>
      <c r="L160" s="3192"/>
      <c r="M160" s="3192"/>
      <c r="N160" s="3192"/>
      <c r="O160" s="3192"/>
      <c r="P160" s="3192"/>
      <c r="Q160" s="3192"/>
      <c r="R160" s="3192"/>
      <c r="S160" s="3192"/>
      <c r="T160" s="3192"/>
      <c r="U160" s="3192"/>
    </row>
    <row r="161" spans="1:21" s="961" customFormat="1" ht="14.25" customHeight="1">
      <c r="A161" s="3157" t="s">
        <v>1153</v>
      </c>
      <c r="B161" s="3157" t="s">
        <v>2868</v>
      </c>
      <c r="C161" s="3157">
        <v>11160</v>
      </c>
      <c r="D161" s="3157">
        <v>11120</v>
      </c>
      <c r="E161" s="3157">
        <v>14020</v>
      </c>
      <c r="F161" s="3163">
        <v>2150</v>
      </c>
      <c r="G161" s="3163">
        <v>7160</v>
      </c>
      <c r="I161" s="972"/>
      <c r="J161" s="3192"/>
      <c r="K161" s="3192"/>
      <c r="L161" s="3192"/>
      <c r="M161" s="3192"/>
      <c r="N161" s="3192"/>
      <c r="O161" s="3192"/>
      <c r="P161" s="3192"/>
      <c r="Q161" s="3192"/>
      <c r="R161" s="3192"/>
      <c r="S161" s="3192"/>
      <c r="T161" s="3192"/>
      <c r="U161" s="3192"/>
    </row>
    <row r="162" spans="1:21" s="961" customFormat="1" ht="14.25" customHeight="1">
      <c r="A162" s="3157" t="s">
        <v>1153</v>
      </c>
      <c r="B162" s="3157" t="s">
        <v>2869</v>
      </c>
      <c r="C162" s="3157">
        <v>9620</v>
      </c>
      <c r="D162" s="3157">
        <v>9570</v>
      </c>
      <c r="E162" s="3157">
        <v>12320</v>
      </c>
      <c r="F162" s="3163">
        <v>2010</v>
      </c>
      <c r="G162" s="3163">
        <v>6160</v>
      </c>
      <c r="I162" s="972"/>
      <c r="J162" s="3192"/>
      <c r="K162" s="3192"/>
      <c r="L162" s="3192"/>
      <c r="M162" s="3192"/>
      <c r="N162" s="3192"/>
      <c r="O162" s="3192"/>
      <c r="P162" s="3192"/>
      <c r="Q162" s="3192"/>
      <c r="R162" s="3192"/>
      <c r="S162" s="3192"/>
      <c r="T162" s="3192"/>
      <c r="U162" s="3192"/>
    </row>
    <row r="163" spans="1:21" s="961" customFormat="1" ht="14.25" customHeight="1">
      <c r="A163" s="3157" t="s">
        <v>1153</v>
      </c>
      <c r="B163" s="3157" t="s">
        <v>2870</v>
      </c>
      <c r="C163" s="3157">
        <v>9320</v>
      </c>
      <c r="D163" s="3157">
        <v>9270</v>
      </c>
      <c r="E163" s="3157">
        <v>11790</v>
      </c>
      <c r="F163" s="3163">
        <v>1920</v>
      </c>
      <c r="G163" s="3163">
        <v>5960</v>
      </c>
      <c r="I163" s="972"/>
      <c r="J163" s="3192"/>
      <c r="K163" s="3192"/>
      <c r="L163" s="3192"/>
      <c r="M163" s="3192"/>
      <c r="N163" s="3192"/>
      <c r="O163" s="3192"/>
      <c r="P163" s="3192"/>
      <c r="Q163" s="3192"/>
      <c r="R163" s="3192"/>
      <c r="S163" s="3192"/>
      <c r="T163" s="3192"/>
      <c r="U163" s="3192"/>
    </row>
    <row r="164" spans="1:21" s="961" customFormat="1" ht="14.25" customHeight="1">
      <c r="A164" s="3157" t="s">
        <v>1153</v>
      </c>
      <c r="B164" s="3157" t="s">
        <v>2871</v>
      </c>
      <c r="C164" s="3157"/>
      <c r="D164" s="3157"/>
      <c r="E164" s="3157"/>
      <c r="F164" s="3163">
        <v>1980</v>
      </c>
      <c r="G164" s="3163"/>
      <c r="I164" s="972"/>
      <c r="J164" s="3192"/>
      <c r="K164" s="3192"/>
      <c r="L164" s="3192"/>
      <c r="M164" s="3192"/>
      <c r="N164" s="3192"/>
      <c r="O164" s="3192"/>
      <c r="P164" s="3192"/>
      <c r="Q164" s="3192"/>
      <c r="R164" s="3192"/>
      <c r="S164" s="3192"/>
      <c r="T164" s="3192"/>
      <c r="U164" s="3192"/>
    </row>
    <row r="165" spans="1:21" s="961" customFormat="1" ht="14.25" customHeight="1">
      <c r="A165" s="3157" t="s">
        <v>1153</v>
      </c>
      <c r="B165" s="3157" t="s">
        <v>2872</v>
      </c>
      <c r="C165" s="3157">
        <v>11060</v>
      </c>
      <c r="D165" s="3157">
        <v>11030</v>
      </c>
      <c r="E165" s="3157">
        <v>13850</v>
      </c>
      <c r="F165" s="3163">
        <v>2170</v>
      </c>
      <c r="G165" s="3163">
        <v>7090</v>
      </c>
      <c r="I165" s="972"/>
      <c r="J165" s="3192"/>
      <c r="K165" s="3192"/>
      <c r="L165" s="3192"/>
      <c r="M165" s="3192"/>
      <c r="N165" s="3192"/>
      <c r="O165" s="3192"/>
      <c r="P165" s="3192"/>
      <c r="Q165" s="3192"/>
      <c r="R165" s="3192"/>
      <c r="S165" s="3192"/>
      <c r="T165" s="3192"/>
      <c r="U165" s="3192"/>
    </row>
    <row r="166" spans="1:21" s="961" customFormat="1" ht="14.25" customHeight="1">
      <c r="A166" s="3157" t="s">
        <v>1153</v>
      </c>
      <c r="B166" s="3157" t="s">
        <v>2873</v>
      </c>
      <c r="C166" s="3157">
        <v>11050</v>
      </c>
      <c r="D166" s="3157">
        <v>11010</v>
      </c>
      <c r="E166" s="3157">
        <v>13920</v>
      </c>
      <c r="F166" s="3163">
        <v>2140</v>
      </c>
      <c r="G166" s="3163">
        <v>7080</v>
      </c>
      <c r="I166" s="972"/>
      <c r="J166" s="3192"/>
      <c r="K166" s="3192"/>
      <c r="L166" s="3192"/>
      <c r="M166" s="3192"/>
      <c r="N166" s="3192"/>
      <c r="O166" s="3192"/>
      <c r="P166" s="3192"/>
      <c r="Q166" s="3192"/>
      <c r="R166" s="3192"/>
      <c r="S166" s="3192"/>
      <c r="T166" s="3192"/>
      <c r="U166" s="3192"/>
    </row>
    <row r="167" spans="1:21" s="961" customFormat="1" ht="14.25" customHeight="1">
      <c r="A167" s="3157" t="s">
        <v>1153</v>
      </c>
      <c r="B167" s="3157" t="s">
        <v>2874</v>
      </c>
      <c r="C167" s="3157">
        <v>10930</v>
      </c>
      <c r="D167" s="3157">
        <v>10890</v>
      </c>
      <c r="E167" s="3157">
        <v>13790</v>
      </c>
      <c r="F167" s="3163">
        <v>2010</v>
      </c>
      <c r="G167" s="3165">
        <v>7000</v>
      </c>
      <c r="I167" s="972"/>
      <c r="J167" s="3192"/>
      <c r="K167" s="3192"/>
      <c r="L167" s="3192"/>
      <c r="M167" s="3192"/>
      <c r="N167" s="3192"/>
      <c r="O167" s="3192"/>
      <c r="P167" s="3192"/>
      <c r="Q167" s="3192"/>
      <c r="R167" s="3192"/>
      <c r="S167" s="3192"/>
      <c r="T167" s="3192"/>
      <c r="U167" s="3192"/>
    </row>
    <row r="168" spans="1:21" s="961" customFormat="1" ht="14.25" customHeight="1">
      <c r="A168" s="3157" t="s">
        <v>1153</v>
      </c>
      <c r="B168" s="3157" t="s">
        <v>2875</v>
      </c>
      <c r="C168" s="3157">
        <v>9420</v>
      </c>
      <c r="D168" s="3157">
        <v>9380</v>
      </c>
      <c r="E168" s="3157">
        <v>11970</v>
      </c>
      <c r="F168" s="3163"/>
      <c r="G168" s="3165">
        <v>6040</v>
      </c>
      <c r="I168" s="972"/>
      <c r="J168" s="3192"/>
      <c r="K168" s="3192"/>
      <c r="L168" s="3192"/>
      <c r="M168" s="3192"/>
      <c r="N168" s="3192"/>
      <c r="O168" s="3192"/>
      <c r="P168" s="3192"/>
      <c r="Q168" s="3192"/>
      <c r="R168" s="3192"/>
      <c r="S168" s="3192"/>
      <c r="T168" s="3192"/>
      <c r="U168" s="3192"/>
    </row>
    <row r="169" spans="1:21" s="961" customFormat="1" ht="14.25" customHeight="1">
      <c r="A169" s="3157" t="s">
        <v>1153</v>
      </c>
      <c r="B169" s="3157" t="s">
        <v>2876</v>
      </c>
      <c r="C169" s="3157"/>
      <c r="D169" s="3157"/>
      <c r="E169" s="3157"/>
      <c r="F169" s="3163">
        <v>2880</v>
      </c>
      <c r="G169" s="3165"/>
      <c r="I169" s="972"/>
      <c r="J169" s="3192"/>
      <c r="K169" s="3192"/>
      <c r="L169" s="3192"/>
      <c r="M169" s="3192"/>
      <c r="N169" s="3192"/>
      <c r="O169" s="3192"/>
      <c r="P169" s="3192"/>
      <c r="Q169" s="3192"/>
      <c r="R169" s="3192"/>
      <c r="S169" s="3192"/>
      <c r="T169" s="3192"/>
      <c r="U169" s="3192"/>
    </row>
    <row r="170" spans="1:21" s="961" customFormat="1" ht="14.25" customHeight="1">
      <c r="A170" s="3157" t="s">
        <v>1153</v>
      </c>
      <c r="B170" s="3157" t="s">
        <v>2877</v>
      </c>
      <c r="C170" s="3157"/>
      <c r="D170" s="3157"/>
      <c r="E170" s="3157"/>
      <c r="F170" s="3163">
        <v>2880</v>
      </c>
      <c r="G170" s="3165"/>
      <c r="I170" s="972"/>
      <c r="J170" s="3192"/>
      <c r="K170" s="3192"/>
      <c r="L170" s="3192"/>
      <c r="M170" s="3192"/>
      <c r="N170" s="3192"/>
      <c r="O170" s="3192"/>
      <c r="P170" s="3192"/>
      <c r="Q170" s="3192"/>
      <c r="R170" s="3192"/>
      <c r="S170" s="3192"/>
      <c r="T170" s="3192"/>
      <c r="U170" s="3192"/>
    </row>
    <row r="171" spans="1:21" s="961" customFormat="1" ht="14.25" customHeight="1">
      <c r="A171" s="3157" t="s">
        <v>1153</v>
      </c>
      <c r="B171" s="3157" t="s">
        <v>2878</v>
      </c>
      <c r="C171" s="3157"/>
      <c r="D171" s="3157"/>
      <c r="E171" s="3157"/>
      <c r="F171" s="3163">
        <v>2880</v>
      </c>
      <c r="G171" s="3163"/>
      <c r="I171" s="972"/>
      <c r="J171" s="3192"/>
      <c r="K171" s="3192"/>
      <c r="L171" s="3192"/>
      <c r="M171" s="3192"/>
      <c r="N171" s="3192"/>
      <c r="O171" s="3192"/>
      <c r="P171" s="3192"/>
      <c r="Q171" s="3192"/>
      <c r="R171" s="3192"/>
      <c r="S171" s="3192"/>
      <c r="T171" s="3192"/>
      <c r="U171" s="3192"/>
    </row>
    <row r="172" spans="1:21" s="961" customFormat="1" ht="14.25" customHeight="1">
      <c r="A172" s="3157" t="s">
        <v>1153</v>
      </c>
      <c r="B172" s="3157" t="s">
        <v>2879</v>
      </c>
      <c r="C172" s="3157"/>
      <c r="D172" s="3157"/>
      <c r="E172" s="3157"/>
      <c r="F172" s="3163">
        <v>2880</v>
      </c>
      <c r="G172" s="3165"/>
      <c r="I172" s="972"/>
      <c r="J172" s="3192"/>
      <c r="K172" s="3192"/>
      <c r="L172" s="3192"/>
      <c r="M172" s="3192"/>
      <c r="N172" s="3192"/>
      <c r="O172" s="3192"/>
      <c r="P172" s="3192"/>
      <c r="Q172" s="3192"/>
      <c r="R172" s="3192"/>
      <c r="S172" s="3192"/>
      <c r="T172" s="3192"/>
      <c r="U172" s="3192"/>
    </row>
    <row r="173" spans="1:21" s="961" customFormat="1" ht="14.25" customHeight="1">
      <c r="A173" s="3157" t="s">
        <v>1153</v>
      </c>
      <c r="B173" s="3157" t="s">
        <v>2880</v>
      </c>
      <c r="C173" s="3157"/>
      <c r="D173" s="3157"/>
      <c r="E173" s="3157"/>
      <c r="F173" s="3163">
        <v>2150</v>
      </c>
      <c r="G173" s="3165"/>
      <c r="I173" s="972"/>
      <c r="J173" s="3192"/>
      <c r="K173" s="3192"/>
      <c r="L173" s="3192"/>
      <c r="M173" s="3192"/>
      <c r="N173" s="3192"/>
      <c r="O173" s="3192"/>
      <c r="P173" s="3192"/>
      <c r="Q173" s="3192"/>
      <c r="R173" s="3192"/>
      <c r="S173" s="3192"/>
      <c r="T173" s="3192"/>
      <c r="U173" s="3192"/>
    </row>
    <row r="174" spans="1:21" s="961" customFormat="1" ht="14.25" customHeight="1">
      <c r="A174" s="3157" t="s">
        <v>1153</v>
      </c>
      <c r="B174" s="3157" t="s">
        <v>2881</v>
      </c>
      <c r="C174" s="3157"/>
      <c r="D174" s="3157"/>
      <c r="E174" s="3157"/>
      <c r="F174" s="3163">
        <v>2030</v>
      </c>
      <c r="G174" s="3163"/>
      <c r="I174" s="972"/>
      <c r="J174" s="3192"/>
      <c r="K174" s="3192"/>
      <c r="L174" s="3192"/>
      <c r="M174" s="3192"/>
      <c r="N174" s="3192"/>
      <c r="O174" s="3192"/>
      <c r="P174" s="3192"/>
      <c r="Q174" s="3192"/>
      <c r="R174" s="3192"/>
      <c r="S174" s="3192"/>
      <c r="T174" s="3192"/>
      <c r="U174" s="3192"/>
    </row>
    <row r="175" spans="1:21" s="961" customFormat="1" ht="14.25" customHeight="1">
      <c r="A175" s="3157" t="s">
        <v>1153</v>
      </c>
      <c r="B175" s="3157" t="s">
        <v>2882</v>
      </c>
      <c r="C175" s="3157"/>
      <c r="D175" s="3157"/>
      <c r="E175" s="3157"/>
      <c r="F175" s="3163">
        <v>2780</v>
      </c>
      <c r="G175" s="3163"/>
      <c r="I175" s="972"/>
      <c r="J175" s="3192"/>
      <c r="K175" s="3192"/>
      <c r="L175" s="3192"/>
      <c r="M175" s="3192"/>
      <c r="N175" s="3192"/>
      <c r="O175" s="3192"/>
      <c r="P175" s="3192"/>
      <c r="Q175" s="3192"/>
      <c r="R175" s="3192"/>
      <c r="S175" s="3192"/>
      <c r="T175" s="3192"/>
      <c r="U175" s="3192"/>
    </row>
    <row r="176" spans="1:21" s="961" customFormat="1" ht="14.25" customHeight="1">
      <c r="A176" s="3157" t="s">
        <v>1153</v>
      </c>
      <c r="B176" s="3157" t="s">
        <v>2883</v>
      </c>
      <c r="C176" s="3157"/>
      <c r="D176" s="3157"/>
      <c r="E176" s="3157"/>
      <c r="F176" s="3163">
        <v>2780</v>
      </c>
      <c r="G176" s="3163"/>
      <c r="I176" s="972"/>
      <c r="J176" s="3192"/>
      <c r="K176" s="3192"/>
      <c r="L176" s="3192"/>
      <c r="M176" s="3192"/>
      <c r="N176" s="3192"/>
      <c r="O176" s="3192"/>
      <c r="P176" s="3192"/>
      <c r="Q176" s="3192"/>
      <c r="R176" s="3192"/>
      <c r="S176" s="3192"/>
      <c r="T176" s="3192"/>
      <c r="U176" s="3192"/>
    </row>
    <row r="177" spans="1:21" s="961" customFormat="1" ht="14.25" customHeight="1">
      <c r="A177" s="3157" t="s">
        <v>1153</v>
      </c>
      <c r="B177" s="3157" t="s">
        <v>2884</v>
      </c>
      <c r="C177" s="3157"/>
      <c r="D177" s="3157"/>
      <c r="E177" s="3157"/>
      <c r="F177" s="3163">
        <v>2780</v>
      </c>
      <c r="G177" s="3163"/>
      <c r="I177" s="972"/>
      <c r="J177" s="3192"/>
      <c r="K177" s="3192"/>
      <c r="L177" s="3192"/>
      <c r="M177" s="3192"/>
      <c r="N177" s="3192"/>
      <c r="O177" s="3192"/>
      <c r="P177" s="3192"/>
      <c r="Q177" s="3192"/>
      <c r="R177" s="3192"/>
      <c r="S177" s="3192"/>
      <c r="T177" s="3192"/>
      <c r="U177" s="3192"/>
    </row>
    <row r="178" spans="1:21" s="961" customFormat="1" ht="14.25" customHeight="1">
      <c r="A178" s="3157" t="s">
        <v>1153</v>
      </c>
      <c r="B178" s="3157" t="s">
        <v>2885</v>
      </c>
      <c r="C178" s="3157"/>
      <c r="D178" s="3157"/>
      <c r="E178" s="3157"/>
      <c r="F178" s="3163">
        <v>2060</v>
      </c>
      <c r="G178" s="3163"/>
      <c r="I178" s="972"/>
      <c r="J178" s="3192"/>
      <c r="K178" s="3192"/>
      <c r="L178" s="3192"/>
      <c r="M178" s="3192"/>
      <c r="N178" s="3192"/>
      <c r="O178" s="3192"/>
      <c r="P178" s="3192"/>
      <c r="Q178" s="3192"/>
      <c r="R178" s="3192"/>
      <c r="S178" s="3192"/>
      <c r="T178" s="3192"/>
      <c r="U178" s="3192"/>
    </row>
    <row r="179" spans="1:21" s="961" customFormat="1" ht="14.25" customHeight="1">
      <c r="A179" s="3157" t="s">
        <v>1153</v>
      </c>
      <c r="B179" s="3157" t="s">
        <v>2886</v>
      </c>
      <c r="C179" s="3157"/>
      <c r="D179" s="3157"/>
      <c r="E179" s="3157"/>
      <c r="F179" s="3163">
        <v>2120</v>
      </c>
      <c r="G179" s="3165"/>
      <c r="I179" s="972"/>
      <c r="J179" s="3192"/>
      <c r="K179" s="3192"/>
      <c r="L179" s="3192"/>
      <c r="M179" s="3192"/>
      <c r="N179" s="3192"/>
      <c r="O179" s="3192"/>
      <c r="P179" s="3192"/>
      <c r="Q179" s="3192"/>
      <c r="R179" s="3192"/>
      <c r="S179" s="3192"/>
      <c r="T179" s="3192"/>
      <c r="U179" s="3192"/>
    </row>
    <row r="180" spans="1:21" s="961" customFormat="1" ht="14.25" customHeight="1">
      <c r="A180" s="3157" t="s">
        <v>1153</v>
      </c>
      <c r="B180" s="3157" t="s">
        <v>2887</v>
      </c>
      <c r="C180" s="3157"/>
      <c r="D180" s="3157"/>
      <c r="E180" s="3157"/>
      <c r="F180" s="3163">
        <v>2340</v>
      </c>
      <c r="G180" s="3163"/>
      <c r="I180" s="972"/>
      <c r="J180" s="3192"/>
      <c r="K180" s="3192"/>
      <c r="L180" s="3192"/>
      <c r="M180" s="3192"/>
      <c r="N180" s="3192"/>
      <c r="O180" s="3192"/>
      <c r="P180" s="3192"/>
      <c r="Q180" s="3192"/>
      <c r="R180" s="3192"/>
      <c r="S180" s="3192"/>
      <c r="T180" s="3192"/>
      <c r="U180" s="3192"/>
    </row>
    <row r="181" spans="1:21" s="961" customFormat="1" ht="14.25" customHeight="1">
      <c r="A181" s="3157" t="s">
        <v>1153</v>
      </c>
      <c r="B181" s="3157" t="s">
        <v>2888</v>
      </c>
      <c r="C181" s="3157"/>
      <c r="D181" s="3157"/>
      <c r="E181" s="3157"/>
      <c r="F181" s="3163">
        <v>2340</v>
      </c>
      <c r="G181" s="3163"/>
      <c r="I181" s="972"/>
      <c r="J181" s="3192"/>
      <c r="K181" s="3192"/>
      <c r="L181" s="3192"/>
      <c r="M181" s="3192"/>
      <c r="N181" s="3192"/>
      <c r="O181" s="3192"/>
      <c r="P181" s="3192"/>
      <c r="Q181" s="3192"/>
      <c r="R181" s="3192"/>
      <c r="S181" s="3192"/>
      <c r="T181" s="3192"/>
      <c r="U181" s="3192"/>
    </row>
    <row r="182" spans="1:21" s="961" customFormat="1" ht="14.25" customHeight="1">
      <c r="A182" s="3157" t="s">
        <v>1153</v>
      </c>
      <c r="B182" s="3157" t="s">
        <v>2889</v>
      </c>
      <c r="C182" s="3157"/>
      <c r="D182" s="3157"/>
      <c r="E182" s="3157"/>
      <c r="F182" s="3163">
        <v>2340</v>
      </c>
      <c r="G182" s="3163"/>
      <c r="I182" s="972"/>
      <c r="J182" s="3192"/>
      <c r="K182" s="3192"/>
      <c r="L182" s="3192"/>
      <c r="M182" s="3192"/>
      <c r="N182" s="3192"/>
      <c r="O182" s="3192"/>
      <c r="P182" s="3192"/>
      <c r="Q182" s="3192"/>
      <c r="R182" s="3192"/>
      <c r="S182" s="3192"/>
      <c r="T182" s="3192"/>
      <c r="U182" s="3192"/>
    </row>
    <row r="183" spans="1:21" s="961" customFormat="1" ht="14.25" customHeight="1">
      <c r="A183" s="3157" t="s">
        <v>1153</v>
      </c>
      <c r="B183" s="3157" t="s">
        <v>2890</v>
      </c>
      <c r="C183" s="3157"/>
      <c r="D183" s="3157"/>
      <c r="E183" s="3157"/>
      <c r="F183" s="3163">
        <v>2340</v>
      </c>
      <c r="G183" s="3165"/>
      <c r="I183" s="972"/>
      <c r="J183" s="3192"/>
      <c r="K183" s="3192"/>
      <c r="L183" s="3192"/>
      <c r="M183" s="3192"/>
      <c r="N183" s="3192"/>
      <c r="O183" s="3192"/>
      <c r="P183" s="3192"/>
      <c r="Q183" s="3192"/>
      <c r="R183" s="3192"/>
      <c r="S183" s="3192"/>
      <c r="T183" s="3192"/>
      <c r="U183" s="3192"/>
    </row>
    <row r="184" spans="1:21" s="961" customFormat="1" ht="14.25" customHeight="1">
      <c r="A184" s="3157" t="s">
        <v>1153</v>
      </c>
      <c r="B184" s="3157" t="s">
        <v>2891</v>
      </c>
      <c r="C184" s="3157"/>
      <c r="D184" s="3157"/>
      <c r="E184" s="3157"/>
      <c r="F184" s="3163">
        <v>2340</v>
      </c>
      <c r="G184" s="3165"/>
      <c r="I184" s="972"/>
      <c r="J184" s="3192"/>
      <c r="K184" s="3192"/>
      <c r="L184" s="3192"/>
      <c r="M184" s="3192"/>
      <c r="N184" s="3192"/>
      <c r="O184" s="3192"/>
      <c r="P184" s="3192"/>
      <c r="Q184" s="3192"/>
      <c r="R184" s="3192"/>
      <c r="S184" s="3192"/>
      <c r="T184" s="3192"/>
      <c r="U184" s="3192"/>
    </row>
    <row r="185" spans="1:21" s="961" customFormat="1" ht="14.25" customHeight="1">
      <c r="A185" s="3157" t="s">
        <v>1153</v>
      </c>
      <c r="B185" s="3157" t="s">
        <v>2892</v>
      </c>
      <c r="C185" s="3157"/>
      <c r="D185" s="3157"/>
      <c r="E185" s="3157"/>
      <c r="F185" s="3163">
        <v>2530</v>
      </c>
      <c r="G185" s="3163"/>
      <c r="I185" s="972"/>
      <c r="J185" s="3192"/>
      <c r="K185" s="3192"/>
      <c r="L185" s="3192"/>
      <c r="M185" s="3192"/>
      <c r="N185" s="3192"/>
      <c r="O185" s="3192"/>
      <c r="P185" s="3192"/>
      <c r="Q185" s="3192"/>
      <c r="R185" s="3192"/>
      <c r="S185" s="3192"/>
      <c r="T185" s="3192"/>
      <c r="U185" s="3192"/>
    </row>
    <row r="186" spans="1:21" s="961" customFormat="1" ht="14.25" customHeight="1">
      <c r="A186" s="3157" t="s">
        <v>1153</v>
      </c>
      <c r="B186" s="3157" t="s">
        <v>2893</v>
      </c>
      <c r="C186" s="3157"/>
      <c r="D186" s="3157"/>
      <c r="E186" s="3157"/>
      <c r="F186" s="3163">
        <v>2550</v>
      </c>
      <c r="G186" s="3163"/>
      <c r="I186" s="972"/>
      <c r="J186" s="3192"/>
      <c r="K186" s="3192"/>
      <c r="L186" s="3192"/>
      <c r="M186" s="3192"/>
      <c r="N186" s="3192"/>
      <c r="O186" s="3192"/>
      <c r="P186" s="3192"/>
      <c r="Q186" s="3192"/>
      <c r="R186" s="3192"/>
      <c r="S186" s="3192"/>
      <c r="T186" s="3192"/>
      <c r="U186" s="3192"/>
    </row>
    <row r="187" spans="1:21" s="961" customFormat="1" ht="14.25" customHeight="1">
      <c r="A187" s="3157" t="s">
        <v>1153</v>
      </c>
      <c r="B187" s="3157" t="s">
        <v>2894</v>
      </c>
      <c r="C187" s="3157"/>
      <c r="D187" s="3157"/>
      <c r="E187" s="3157"/>
      <c r="F187" s="3163">
        <v>2070</v>
      </c>
      <c r="G187" s="3163"/>
      <c r="I187" s="972"/>
      <c r="J187" s="3192"/>
      <c r="K187" s="3192"/>
      <c r="L187" s="3192"/>
      <c r="M187" s="3192"/>
      <c r="N187" s="3192"/>
      <c r="O187" s="3192"/>
      <c r="P187" s="3192"/>
      <c r="Q187" s="3192"/>
      <c r="R187" s="3192"/>
      <c r="S187" s="3192"/>
      <c r="T187" s="3192"/>
      <c r="U187" s="3192"/>
    </row>
    <row r="188" spans="1:21" s="961" customFormat="1" ht="14.25" customHeight="1">
      <c r="A188" s="3157" t="s">
        <v>1153</v>
      </c>
      <c r="B188" s="3157" t="s">
        <v>2895</v>
      </c>
      <c r="C188" s="3157"/>
      <c r="D188" s="3157"/>
      <c r="E188" s="3157"/>
      <c r="F188" s="3163">
        <v>2340</v>
      </c>
      <c r="G188" s="3163"/>
      <c r="I188" s="972"/>
      <c r="J188" s="3192"/>
      <c r="K188" s="3192"/>
      <c r="L188" s="3192"/>
      <c r="M188" s="3192"/>
      <c r="N188" s="3192"/>
      <c r="O188" s="3192"/>
      <c r="P188" s="3192"/>
      <c r="Q188" s="3192"/>
      <c r="R188" s="3192"/>
      <c r="S188" s="3192"/>
      <c r="T188" s="3192"/>
      <c r="U188" s="3192"/>
    </row>
    <row r="189" spans="1:21" s="961" customFormat="1" ht="14.25" customHeight="1" thickBot="1">
      <c r="A189" s="3172" t="s">
        <v>1153</v>
      </c>
      <c r="B189" s="3160" t="s">
        <v>2896</v>
      </c>
      <c r="C189" s="3160"/>
      <c r="D189" s="3160"/>
      <c r="E189" s="3160"/>
      <c r="F189" s="3161">
        <v>2050</v>
      </c>
      <c r="G189" s="3173"/>
      <c r="I189" s="972"/>
      <c r="J189" s="3192"/>
      <c r="K189" s="3192"/>
      <c r="L189" s="3192"/>
      <c r="M189" s="3192"/>
      <c r="N189" s="3192"/>
      <c r="O189" s="3192"/>
      <c r="P189" s="3192"/>
      <c r="Q189" s="3192"/>
      <c r="R189" s="3192"/>
      <c r="S189" s="3192"/>
      <c r="T189" s="3192"/>
      <c r="U189" s="3192"/>
    </row>
    <row r="190" spans="1:21" s="961" customFormat="1" ht="14.25" customHeight="1">
      <c r="A190" s="3171" t="s">
        <v>1154</v>
      </c>
      <c r="B190" s="1216" t="s">
        <v>2897</v>
      </c>
      <c r="C190" s="1216">
        <v>8830</v>
      </c>
      <c r="D190" s="1216">
        <v>8790</v>
      </c>
      <c r="E190" s="1216">
        <v>11630</v>
      </c>
      <c r="F190" s="3158">
        <v>1790</v>
      </c>
      <c r="G190" s="3158">
        <v>5550</v>
      </c>
      <c r="I190" s="972"/>
      <c r="J190" s="3192"/>
      <c r="K190" s="3192"/>
      <c r="L190" s="3192"/>
      <c r="M190" s="3192"/>
      <c r="N190" s="3192"/>
      <c r="O190" s="3192"/>
      <c r="P190" s="3192"/>
      <c r="Q190" s="3192"/>
      <c r="R190" s="3192"/>
      <c r="S190" s="3192"/>
      <c r="T190" s="3192"/>
      <c r="U190" s="3192"/>
    </row>
    <row r="191" spans="1:21" s="961" customFormat="1" ht="14.25" customHeight="1">
      <c r="A191" s="3157" t="s">
        <v>1154</v>
      </c>
      <c r="B191" s="3157" t="s">
        <v>978</v>
      </c>
      <c r="C191" s="3157">
        <v>9780</v>
      </c>
      <c r="D191" s="3157">
        <v>9710</v>
      </c>
      <c r="E191" s="3157">
        <v>12550</v>
      </c>
      <c r="F191" s="3163">
        <v>1980</v>
      </c>
      <c r="G191" s="3163">
        <v>6130</v>
      </c>
      <c r="I191" s="972"/>
      <c r="J191" s="3192"/>
      <c r="K191" s="3192"/>
      <c r="L191" s="3192"/>
      <c r="M191" s="3192"/>
      <c r="N191" s="3192"/>
      <c r="O191" s="3192"/>
      <c r="P191" s="3192"/>
      <c r="Q191" s="3192"/>
      <c r="R191" s="3192"/>
      <c r="S191" s="3192"/>
      <c r="T191" s="3192"/>
      <c r="U191" s="3192"/>
    </row>
    <row r="192" spans="1:21" s="961" customFormat="1" ht="14.25" customHeight="1">
      <c r="A192" s="3157" t="s">
        <v>1154</v>
      </c>
      <c r="B192" s="3157" t="s">
        <v>988</v>
      </c>
      <c r="C192" s="3157">
        <v>8180</v>
      </c>
      <c r="D192" s="3157">
        <v>8140</v>
      </c>
      <c r="E192" s="3157">
        <v>10870</v>
      </c>
      <c r="F192" s="3163">
        <v>1690</v>
      </c>
      <c r="G192" s="3163">
        <v>5140</v>
      </c>
      <c r="I192" s="972"/>
      <c r="J192" s="3192"/>
      <c r="K192" s="3192"/>
      <c r="L192" s="3192"/>
      <c r="M192" s="3192"/>
      <c r="N192" s="3192"/>
      <c r="O192" s="3192"/>
      <c r="P192" s="3192"/>
      <c r="Q192" s="3192"/>
      <c r="R192" s="3192"/>
      <c r="S192" s="3192"/>
      <c r="T192" s="3192"/>
      <c r="U192" s="3192"/>
    </row>
    <row r="193" spans="1:21" s="961" customFormat="1" ht="14.25" customHeight="1">
      <c r="A193" s="3157" t="s">
        <v>1154</v>
      </c>
      <c r="B193" s="3157" t="s">
        <v>997</v>
      </c>
      <c r="C193" s="3157">
        <v>8440</v>
      </c>
      <c r="D193" s="3157">
        <v>8390</v>
      </c>
      <c r="E193" s="3157">
        <v>11210</v>
      </c>
      <c r="F193" s="3163">
        <v>1600</v>
      </c>
      <c r="G193" s="3163">
        <v>5300</v>
      </c>
      <c r="I193" s="972"/>
      <c r="J193" s="3192"/>
      <c r="K193" s="3192"/>
      <c r="L193" s="3192"/>
      <c r="M193" s="3192"/>
      <c r="N193" s="3192"/>
      <c r="O193" s="3192"/>
      <c r="P193" s="3192"/>
      <c r="Q193" s="3192"/>
      <c r="R193" s="3192"/>
      <c r="S193" s="3192"/>
      <c r="T193" s="3192"/>
      <c r="U193" s="3192"/>
    </row>
    <row r="194" spans="1:21" s="961" customFormat="1" ht="14.25" customHeight="1">
      <c r="A194" s="3157" t="s">
        <v>1154</v>
      </c>
      <c r="B194" s="3157" t="s">
        <v>1007</v>
      </c>
      <c r="C194" s="3157">
        <v>8780</v>
      </c>
      <c r="D194" s="3157">
        <v>8730</v>
      </c>
      <c r="E194" s="3157">
        <v>11550</v>
      </c>
      <c r="F194" s="3163">
        <v>1660</v>
      </c>
      <c r="G194" s="3163">
        <v>5520</v>
      </c>
      <c r="I194" s="972"/>
      <c r="J194" s="3192"/>
      <c r="K194" s="3192"/>
      <c r="L194" s="3192"/>
      <c r="M194" s="3192"/>
      <c r="N194" s="3192"/>
      <c r="O194" s="3192"/>
      <c r="P194" s="3192"/>
      <c r="Q194" s="3192"/>
      <c r="R194" s="3192"/>
      <c r="S194" s="3192"/>
      <c r="T194" s="3192"/>
      <c r="U194" s="3192"/>
    </row>
    <row r="195" spans="1:21" s="961" customFormat="1" ht="14.25" customHeight="1">
      <c r="A195" s="3157" t="s">
        <v>1154</v>
      </c>
      <c r="B195" s="3157" t="s">
        <v>1014</v>
      </c>
      <c r="C195" s="3157">
        <v>8720</v>
      </c>
      <c r="D195" s="3157">
        <v>8670</v>
      </c>
      <c r="E195" s="3157">
        <v>11450</v>
      </c>
      <c r="F195" s="3163">
        <v>1720</v>
      </c>
      <c r="G195" s="3163">
        <v>5480</v>
      </c>
      <c r="I195" s="972"/>
      <c r="J195" s="3192"/>
      <c r="K195" s="3192"/>
      <c r="L195" s="3192"/>
      <c r="M195" s="3192"/>
      <c r="N195" s="3192"/>
      <c r="O195" s="3192"/>
      <c r="P195" s="3192"/>
      <c r="Q195" s="3192"/>
      <c r="R195" s="3192"/>
      <c r="S195" s="3192"/>
      <c r="T195" s="3192"/>
      <c r="U195" s="3192"/>
    </row>
    <row r="196" spans="1:21" s="961" customFormat="1" ht="14.25" customHeight="1">
      <c r="A196" s="3157" t="s">
        <v>1154</v>
      </c>
      <c r="B196" s="3157" t="s">
        <v>1020</v>
      </c>
      <c r="C196" s="3157">
        <v>8460</v>
      </c>
      <c r="D196" s="3157">
        <v>8410</v>
      </c>
      <c r="E196" s="3157">
        <v>11230</v>
      </c>
      <c r="F196" s="3163">
        <v>1730</v>
      </c>
      <c r="G196" s="3163">
        <v>5310</v>
      </c>
      <c r="I196" s="972"/>
      <c r="J196" s="3192"/>
      <c r="K196" s="3192"/>
      <c r="L196" s="3192"/>
      <c r="M196" s="3192"/>
      <c r="N196" s="3192"/>
      <c r="O196" s="3192"/>
      <c r="P196" s="3192"/>
      <c r="Q196" s="3192"/>
      <c r="R196" s="3192"/>
      <c r="S196" s="3192"/>
      <c r="T196" s="3192"/>
      <c r="U196" s="3192"/>
    </row>
    <row r="197" spans="1:21" s="961" customFormat="1" ht="14.25" customHeight="1">
      <c r="A197" s="3157" t="s">
        <v>1154</v>
      </c>
      <c r="B197" s="3157" t="s">
        <v>1027</v>
      </c>
      <c r="C197" s="3157">
        <v>8790</v>
      </c>
      <c r="D197" s="3157">
        <v>8730</v>
      </c>
      <c r="E197" s="3157">
        <v>11560</v>
      </c>
      <c r="F197" s="3163">
        <v>1750</v>
      </c>
      <c r="G197" s="3163">
        <v>5520</v>
      </c>
      <c r="I197" s="972"/>
      <c r="J197" s="3192"/>
      <c r="K197" s="3192"/>
      <c r="L197" s="3192"/>
      <c r="M197" s="3192"/>
      <c r="N197" s="3192"/>
      <c r="O197" s="3192"/>
      <c r="P197" s="3192"/>
      <c r="Q197" s="3192"/>
      <c r="R197" s="3192"/>
      <c r="S197" s="3192"/>
      <c r="T197" s="3192"/>
      <c r="U197" s="3192"/>
    </row>
    <row r="198" spans="1:21" s="961" customFormat="1" ht="14.25" customHeight="1">
      <c r="A198" s="3157" t="s">
        <v>1154</v>
      </c>
      <c r="B198" s="3157" t="s">
        <v>1037</v>
      </c>
      <c r="C198" s="3157">
        <v>8720</v>
      </c>
      <c r="D198" s="3157">
        <v>8680</v>
      </c>
      <c r="E198" s="3157">
        <v>11470</v>
      </c>
      <c r="F198" s="3163"/>
      <c r="G198" s="3163">
        <v>5480</v>
      </c>
      <c r="I198" s="972"/>
      <c r="J198" s="3192"/>
      <c r="K198" s="3192"/>
      <c r="L198" s="3192"/>
      <c r="M198" s="3192"/>
      <c r="N198" s="3192"/>
      <c r="O198" s="3192"/>
      <c r="P198" s="3192"/>
      <c r="Q198" s="3192"/>
      <c r="R198" s="3192"/>
      <c r="S198" s="3192"/>
      <c r="T198" s="3192"/>
      <c r="U198" s="3192"/>
    </row>
    <row r="199" spans="1:21" s="961" customFormat="1" ht="14.25" customHeight="1">
      <c r="A199" s="3157" t="s">
        <v>1154</v>
      </c>
      <c r="B199" s="3157" t="s">
        <v>2898</v>
      </c>
      <c r="C199" s="3157">
        <v>8690</v>
      </c>
      <c r="D199" s="3157">
        <v>8630</v>
      </c>
      <c r="E199" s="3157">
        <v>11350</v>
      </c>
      <c r="F199" s="3163">
        <v>1600</v>
      </c>
      <c r="G199" s="3163">
        <v>5450</v>
      </c>
      <c r="I199" s="972"/>
      <c r="J199" s="3192"/>
      <c r="K199" s="3192"/>
      <c r="L199" s="3192"/>
      <c r="M199" s="3192"/>
      <c r="N199" s="3192"/>
      <c r="O199" s="3192"/>
      <c r="P199" s="3192"/>
      <c r="Q199" s="3192"/>
      <c r="R199" s="3192"/>
      <c r="S199" s="3192"/>
      <c r="T199" s="3192"/>
      <c r="U199" s="3192"/>
    </row>
    <row r="200" spans="1:21" s="961" customFormat="1" ht="14.25" customHeight="1">
      <c r="A200" s="3157" t="s">
        <v>1154</v>
      </c>
      <c r="B200" s="3157" t="s">
        <v>2899</v>
      </c>
      <c r="C200" s="3157"/>
      <c r="D200" s="3157"/>
      <c r="E200" s="3157"/>
      <c r="F200" s="3163">
        <v>1510</v>
      </c>
      <c r="G200" s="3163"/>
      <c r="I200" s="972"/>
      <c r="J200" s="3192"/>
      <c r="K200" s="3192"/>
      <c r="L200" s="3192"/>
      <c r="M200" s="3192"/>
      <c r="N200" s="3192"/>
      <c r="O200" s="3192"/>
      <c r="P200" s="3192"/>
      <c r="Q200" s="3192"/>
      <c r="R200" s="3192"/>
      <c r="S200" s="3192"/>
      <c r="T200" s="3192"/>
      <c r="U200" s="3192"/>
    </row>
    <row r="201" spans="1:21" s="961" customFormat="1" ht="14.25" customHeight="1">
      <c r="A201" s="3157" t="s">
        <v>1154</v>
      </c>
      <c r="B201" s="3157" t="s">
        <v>2900</v>
      </c>
      <c r="C201" s="3157">
        <v>8440</v>
      </c>
      <c r="D201" s="3157">
        <v>8390</v>
      </c>
      <c r="E201" s="3157">
        <v>10930</v>
      </c>
      <c r="F201" s="3163">
        <v>1500</v>
      </c>
      <c r="G201" s="3163">
        <v>5300</v>
      </c>
      <c r="I201" s="972"/>
      <c r="J201" s="3192"/>
      <c r="K201" s="3192"/>
      <c r="L201" s="3192"/>
      <c r="M201" s="3192"/>
      <c r="N201" s="3192"/>
      <c r="O201" s="3192"/>
      <c r="P201" s="3192"/>
      <c r="Q201" s="3192"/>
      <c r="R201" s="3192"/>
      <c r="S201" s="3192"/>
      <c r="T201" s="3192"/>
      <c r="U201" s="3192"/>
    </row>
    <row r="202" spans="1:21" s="961" customFormat="1" ht="14.25" customHeight="1">
      <c r="A202" s="3157" t="s">
        <v>1154</v>
      </c>
      <c r="B202" s="3157" t="s">
        <v>1088</v>
      </c>
      <c r="C202" s="3157">
        <v>8530</v>
      </c>
      <c r="D202" s="3157">
        <v>8490</v>
      </c>
      <c r="E202" s="3157">
        <v>11160</v>
      </c>
      <c r="F202" s="3163">
        <v>1580</v>
      </c>
      <c r="G202" s="3163">
        <v>5360</v>
      </c>
      <c r="I202" s="972"/>
      <c r="J202" s="3192"/>
      <c r="K202" s="3192"/>
      <c r="L202" s="3192"/>
      <c r="M202" s="3192"/>
      <c r="N202" s="3192"/>
      <c r="O202" s="3192"/>
      <c r="P202" s="3192"/>
      <c r="Q202" s="3192"/>
      <c r="R202" s="3192"/>
      <c r="S202" s="3192"/>
      <c r="T202" s="3192"/>
      <c r="U202" s="3192"/>
    </row>
    <row r="203" spans="1:21" s="961" customFormat="1" ht="14.25" customHeight="1">
      <c r="A203" s="3157" t="s">
        <v>1154</v>
      </c>
      <c r="B203" s="3157" t="s">
        <v>2901</v>
      </c>
      <c r="C203" s="3157">
        <v>8130</v>
      </c>
      <c r="D203" s="3157">
        <v>8070</v>
      </c>
      <c r="E203" s="3157">
        <v>10820</v>
      </c>
      <c r="F203" s="3163">
        <v>1690</v>
      </c>
      <c r="G203" s="3163">
        <v>5100</v>
      </c>
      <c r="I203" s="972"/>
      <c r="J203" s="3192"/>
      <c r="K203" s="3192"/>
      <c r="L203" s="3192"/>
      <c r="M203" s="3192"/>
      <c r="N203" s="3192"/>
      <c r="O203" s="3192"/>
      <c r="P203" s="3192"/>
      <c r="Q203" s="3192"/>
      <c r="R203" s="3192"/>
      <c r="S203" s="3192"/>
      <c r="T203" s="3192"/>
      <c r="U203" s="3192"/>
    </row>
    <row r="204" spans="1:21" s="961" customFormat="1" ht="14.25" customHeight="1">
      <c r="A204" s="3157" t="s">
        <v>1154</v>
      </c>
      <c r="B204" s="3157" t="s">
        <v>2902</v>
      </c>
      <c r="C204" s="3157">
        <v>8350</v>
      </c>
      <c r="D204" s="3157">
        <v>8290</v>
      </c>
      <c r="E204" s="3157">
        <v>11080</v>
      </c>
      <c r="F204" s="3163">
        <v>1450</v>
      </c>
      <c r="G204" s="3163">
        <v>5240</v>
      </c>
      <c r="I204" s="972"/>
      <c r="J204" s="3192"/>
      <c r="K204" s="3192"/>
      <c r="L204" s="3192"/>
      <c r="M204" s="3192"/>
      <c r="N204" s="3192"/>
      <c r="O204" s="3192"/>
      <c r="P204" s="3192"/>
      <c r="Q204" s="3192"/>
      <c r="R204" s="3192"/>
      <c r="S204" s="3192"/>
      <c r="T204" s="3192"/>
      <c r="U204" s="3192"/>
    </row>
    <row r="205" spans="1:21" s="961" customFormat="1" ht="14.25" customHeight="1">
      <c r="A205" s="3157" t="s">
        <v>1154</v>
      </c>
      <c r="B205" s="3157" t="s">
        <v>2903</v>
      </c>
      <c r="C205" s="3157">
        <v>7190</v>
      </c>
      <c r="D205" s="3157">
        <v>7130</v>
      </c>
      <c r="E205" s="3157">
        <v>9490</v>
      </c>
      <c r="F205" s="3163">
        <v>1470</v>
      </c>
      <c r="G205" s="3170">
        <v>4510</v>
      </c>
      <c r="I205" s="972"/>
      <c r="J205" s="3192"/>
      <c r="K205" s="3192"/>
      <c r="L205" s="3192"/>
      <c r="M205" s="3192"/>
      <c r="N205" s="3192"/>
      <c r="O205" s="3192"/>
      <c r="P205" s="3192"/>
      <c r="Q205" s="3192"/>
      <c r="R205" s="3192"/>
      <c r="S205" s="3192"/>
      <c r="T205" s="3192"/>
      <c r="U205" s="3192"/>
    </row>
    <row r="206" spans="1:21" s="961" customFormat="1" ht="14.25" customHeight="1">
      <c r="A206" s="1216" t="s">
        <v>1154</v>
      </c>
      <c r="B206" s="1216" t="s">
        <v>2904</v>
      </c>
      <c r="C206" s="1216">
        <v>7000</v>
      </c>
      <c r="D206" s="1216">
        <v>6950</v>
      </c>
      <c r="E206" s="1216">
        <v>9170</v>
      </c>
      <c r="F206" s="3158">
        <v>1400</v>
      </c>
      <c r="G206" s="3158">
        <v>4380</v>
      </c>
      <c r="I206" s="972"/>
      <c r="J206" s="3192"/>
      <c r="K206" s="3192"/>
      <c r="L206" s="3192"/>
      <c r="M206" s="3192"/>
      <c r="N206" s="3192"/>
      <c r="O206" s="3192"/>
      <c r="P206" s="3192"/>
      <c r="Q206" s="3192"/>
      <c r="R206" s="3192"/>
      <c r="S206" s="3192"/>
      <c r="T206" s="3192"/>
      <c r="U206" s="3192"/>
    </row>
    <row r="207" spans="1:21" s="961" customFormat="1" ht="14.25" customHeight="1">
      <c r="A207" s="3157" t="s">
        <v>1154</v>
      </c>
      <c r="B207" s="3157" t="s">
        <v>2905</v>
      </c>
      <c r="C207" s="3157">
        <v>6950</v>
      </c>
      <c r="D207" s="3157">
        <v>6900</v>
      </c>
      <c r="E207" s="3157">
        <v>9110</v>
      </c>
      <c r="F207" s="3163">
        <v>1790</v>
      </c>
      <c r="G207" s="3163">
        <v>4360</v>
      </c>
      <c r="I207" s="972"/>
      <c r="J207" s="3192"/>
      <c r="K207" s="3192"/>
      <c r="L207" s="3192"/>
      <c r="M207" s="3192"/>
      <c r="N207" s="3192"/>
      <c r="O207" s="3192"/>
      <c r="P207" s="3192"/>
      <c r="Q207" s="3192"/>
      <c r="R207" s="3192"/>
      <c r="S207" s="3192"/>
      <c r="T207" s="3192"/>
      <c r="U207" s="3192"/>
    </row>
    <row r="208" spans="1:21" s="961" customFormat="1" ht="14.25" customHeight="1">
      <c r="A208" s="3157" t="s">
        <v>1154</v>
      </c>
      <c r="B208" s="3157" t="s">
        <v>2906</v>
      </c>
      <c r="C208" s="3157">
        <v>9470</v>
      </c>
      <c r="D208" s="3157">
        <v>9410</v>
      </c>
      <c r="E208" s="3157">
        <v>12330</v>
      </c>
      <c r="F208" s="3163">
        <v>1770</v>
      </c>
      <c r="G208" s="3163">
        <v>5940</v>
      </c>
      <c r="I208" s="972"/>
      <c r="J208" s="3192"/>
      <c r="K208" s="3192"/>
      <c r="L208" s="3192"/>
      <c r="M208" s="3192"/>
      <c r="N208" s="3192"/>
      <c r="O208" s="3192"/>
      <c r="P208" s="3192"/>
      <c r="Q208" s="3192"/>
      <c r="R208" s="3192"/>
      <c r="S208" s="3192"/>
      <c r="T208" s="3192"/>
      <c r="U208" s="3192"/>
    </row>
    <row r="209" spans="1:21" s="961" customFormat="1" ht="14.25" customHeight="1">
      <c r="A209" s="3157" t="s">
        <v>1154</v>
      </c>
      <c r="B209" s="3157" t="s">
        <v>1112</v>
      </c>
      <c r="C209" s="3157">
        <v>8740</v>
      </c>
      <c r="D209" s="3157">
        <v>8700</v>
      </c>
      <c r="E209" s="3157">
        <v>11500</v>
      </c>
      <c r="F209" s="3163">
        <v>1730</v>
      </c>
      <c r="G209" s="3163">
        <v>5490</v>
      </c>
      <c r="I209" s="972"/>
      <c r="J209" s="3192"/>
      <c r="K209" s="3192"/>
      <c r="L209" s="3192"/>
      <c r="M209" s="3192"/>
      <c r="N209" s="3192"/>
      <c r="O209" s="3192"/>
      <c r="P209" s="3192"/>
      <c r="Q209" s="3192"/>
      <c r="R209" s="3192"/>
      <c r="S209" s="3192"/>
      <c r="T209" s="3192"/>
      <c r="U209" s="3192"/>
    </row>
    <row r="210" spans="1:21" s="961" customFormat="1" ht="14.25" customHeight="1">
      <c r="A210" s="3157" t="s">
        <v>1154</v>
      </c>
      <c r="B210" s="3157" t="s">
        <v>2907</v>
      </c>
      <c r="C210" s="3157">
        <v>8710</v>
      </c>
      <c r="D210" s="3157">
        <v>8660</v>
      </c>
      <c r="E210" s="3157">
        <v>11440</v>
      </c>
      <c r="F210" s="3163">
        <v>1740</v>
      </c>
      <c r="G210" s="3163">
        <v>5470</v>
      </c>
      <c r="I210" s="972"/>
      <c r="J210" s="3192"/>
      <c r="K210" s="3192"/>
      <c r="L210" s="3192"/>
      <c r="M210" s="3192"/>
      <c r="N210" s="3192"/>
      <c r="O210" s="3192"/>
      <c r="P210" s="3192"/>
      <c r="Q210" s="3192"/>
      <c r="R210" s="3192"/>
      <c r="S210" s="3192"/>
      <c r="T210" s="3192"/>
      <c r="U210" s="3192"/>
    </row>
    <row r="211" spans="1:21" s="961" customFormat="1" ht="14.25" customHeight="1">
      <c r="A211" s="3157" t="s">
        <v>1154</v>
      </c>
      <c r="B211" s="3157" t="s">
        <v>2908</v>
      </c>
      <c r="C211" s="3157">
        <v>9480</v>
      </c>
      <c r="D211" s="3157">
        <v>9430</v>
      </c>
      <c r="E211" s="3157">
        <v>12360</v>
      </c>
      <c r="F211" s="3163">
        <v>1820</v>
      </c>
      <c r="G211" s="3163">
        <v>5950</v>
      </c>
      <c r="I211" s="972"/>
      <c r="J211" s="3192"/>
      <c r="K211" s="3192"/>
      <c r="L211" s="3192"/>
      <c r="M211" s="3192"/>
      <c r="N211" s="3192"/>
      <c r="O211" s="3192"/>
      <c r="P211" s="3192"/>
      <c r="Q211" s="3192"/>
      <c r="R211" s="3192"/>
      <c r="S211" s="3192"/>
      <c r="T211" s="3192"/>
      <c r="U211" s="3192"/>
    </row>
    <row r="212" spans="1:21" s="961" customFormat="1" ht="14.25" customHeight="1">
      <c r="A212" s="3157" t="s">
        <v>1154</v>
      </c>
      <c r="B212" s="3157" t="s">
        <v>1134</v>
      </c>
      <c r="C212" s="3157">
        <v>9070</v>
      </c>
      <c r="D212" s="3157">
        <v>9020</v>
      </c>
      <c r="E212" s="3157">
        <v>11720</v>
      </c>
      <c r="F212" s="3163">
        <v>1850</v>
      </c>
      <c r="G212" s="3163">
        <v>5700</v>
      </c>
      <c r="I212" s="972"/>
      <c r="J212" s="3192"/>
      <c r="K212" s="3192"/>
      <c r="L212" s="3192"/>
      <c r="M212" s="3192"/>
      <c r="N212" s="3192"/>
      <c r="O212" s="3192"/>
      <c r="P212" s="3192"/>
      <c r="Q212" s="3192"/>
      <c r="R212" s="3192"/>
      <c r="S212" s="3192"/>
      <c r="T212" s="3192"/>
      <c r="U212" s="3192"/>
    </row>
    <row r="213" spans="1:21" s="961" customFormat="1" ht="14.25" customHeight="1">
      <c r="A213" s="3157" t="s">
        <v>1154</v>
      </c>
      <c r="B213" s="3157" t="s">
        <v>1137</v>
      </c>
      <c r="C213" s="3157">
        <v>9030</v>
      </c>
      <c r="D213" s="3157">
        <v>8980</v>
      </c>
      <c r="E213" s="3157">
        <v>11670</v>
      </c>
      <c r="F213" s="3163">
        <v>1690</v>
      </c>
      <c r="G213" s="3163">
        <v>5670</v>
      </c>
      <c r="I213" s="972"/>
      <c r="J213" s="3192"/>
      <c r="K213" s="3192"/>
      <c r="L213" s="3192"/>
      <c r="M213" s="3192"/>
      <c r="N213" s="3192"/>
      <c r="O213" s="3192"/>
      <c r="P213" s="3192"/>
      <c r="Q213" s="3192"/>
      <c r="R213" s="3192"/>
      <c r="S213" s="3192"/>
      <c r="T213" s="3192"/>
      <c r="U213" s="3192"/>
    </row>
    <row r="214" spans="1:21" s="961" customFormat="1" ht="14.25" customHeight="1">
      <c r="A214" s="3157" t="s">
        <v>1154</v>
      </c>
      <c r="B214" s="3157" t="s">
        <v>2909</v>
      </c>
      <c r="C214" s="3157">
        <v>8090</v>
      </c>
      <c r="D214" s="3157">
        <v>8030</v>
      </c>
      <c r="E214" s="3157">
        <v>10780</v>
      </c>
      <c r="F214" s="3163">
        <v>1570</v>
      </c>
      <c r="G214" s="3165">
        <v>5070</v>
      </c>
      <c r="I214" s="972"/>
      <c r="J214" s="3192"/>
      <c r="K214" s="3192"/>
      <c r="L214" s="3192"/>
      <c r="M214" s="3192"/>
      <c r="N214" s="3192"/>
      <c r="O214" s="3192"/>
      <c r="P214" s="3192"/>
      <c r="Q214" s="3192"/>
      <c r="R214" s="3192"/>
      <c r="S214" s="3192"/>
      <c r="T214" s="3192"/>
      <c r="U214" s="3192"/>
    </row>
    <row r="215" spans="1:21" s="961" customFormat="1" ht="14.25" customHeight="1">
      <c r="A215" s="3157" t="s">
        <v>1154</v>
      </c>
      <c r="B215" s="3157" t="s">
        <v>1123</v>
      </c>
      <c r="C215" s="3157">
        <v>7950</v>
      </c>
      <c r="D215" s="3157">
        <v>7900</v>
      </c>
      <c r="E215" s="3157">
        <v>10560</v>
      </c>
      <c r="F215" s="3163">
        <v>1630</v>
      </c>
      <c r="G215" s="3163">
        <v>4990</v>
      </c>
      <c r="I215" s="972"/>
      <c r="J215" s="3192"/>
      <c r="K215" s="3192"/>
      <c r="L215" s="3192"/>
      <c r="M215" s="3192"/>
      <c r="N215" s="3192"/>
      <c r="O215" s="3192"/>
      <c r="P215" s="3192"/>
      <c r="Q215" s="3192"/>
      <c r="R215" s="3192"/>
      <c r="S215" s="3192"/>
      <c r="T215" s="3192"/>
      <c r="U215" s="3192"/>
    </row>
    <row r="216" spans="1:21" s="961" customFormat="1" ht="14.25" customHeight="1">
      <c r="A216" s="3157" t="s">
        <v>1154</v>
      </c>
      <c r="B216" s="3157" t="s">
        <v>2910</v>
      </c>
      <c r="C216" s="3157">
        <v>8490</v>
      </c>
      <c r="D216" s="3157">
        <v>8440</v>
      </c>
      <c r="E216" s="3157">
        <v>11260</v>
      </c>
      <c r="F216" s="3163">
        <v>1690</v>
      </c>
      <c r="G216" s="3163">
        <v>5330</v>
      </c>
      <c r="I216" s="972"/>
      <c r="J216" s="3192"/>
      <c r="K216" s="3192"/>
      <c r="L216" s="3192"/>
      <c r="M216" s="3192"/>
      <c r="N216" s="3192"/>
      <c r="O216" s="3192"/>
      <c r="P216" s="3192"/>
      <c r="Q216" s="3192"/>
      <c r="R216" s="3192"/>
      <c r="S216" s="3192"/>
      <c r="T216" s="3192"/>
      <c r="U216" s="3192"/>
    </row>
    <row r="217" spans="1:21" s="961" customFormat="1" ht="14.25" customHeight="1">
      <c r="A217" s="3157" t="s">
        <v>1154</v>
      </c>
      <c r="B217" s="3157" t="s">
        <v>2911</v>
      </c>
      <c r="C217" s="3157">
        <v>8200</v>
      </c>
      <c r="D217" s="3157">
        <v>8150</v>
      </c>
      <c r="E217" s="3157">
        <v>10910</v>
      </c>
      <c r="F217" s="3163">
        <v>1670</v>
      </c>
      <c r="G217" s="3163">
        <v>5150</v>
      </c>
      <c r="I217" s="972"/>
      <c r="J217" s="3192"/>
      <c r="K217" s="3192"/>
      <c r="L217" s="3192"/>
      <c r="M217" s="3192"/>
      <c r="N217" s="3192"/>
      <c r="O217" s="3192"/>
      <c r="P217" s="3192"/>
      <c r="Q217" s="3192"/>
      <c r="R217" s="3192"/>
      <c r="S217" s="3192"/>
      <c r="T217" s="3192"/>
      <c r="U217" s="3192"/>
    </row>
    <row r="218" spans="1:21" s="961" customFormat="1" ht="14.25" customHeight="1">
      <c r="A218" s="3157" t="s">
        <v>1154</v>
      </c>
      <c r="B218" s="3157" t="s">
        <v>2912</v>
      </c>
      <c r="C218" s="3157"/>
      <c r="D218" s="3157"/>
      <c r="E218" s="3157"/>
      <c r="F218" s="3163">
        <v>2040</v>
      </c>
      <c r="G218" s="3163"/>
      <c r="I218" s="972"/>
      <c r="J218" s="3192"/>
      <c r="K218" s="3192"/>
      <c r="L218" s="3192"/>
      <c r="M218" s="3192"/>
      <c r="N218" s="3192"/>
      <c r="O218" s="3192"/>
      <c r="P218" s="3192"/>
      <c r="Q218" s="3192"/>
      <c r="R218" s="3192"/>
      <c r="S218" s="3192"/>
      <c r="T218" s="3192"/>
      <c r="U218" s="3192"/>
    </row>
    <row r="219" spans="1:21" s="961" customFormat="1" ht="14.25" customHeight="1">
      <c r="A219" s="3157" t="s">
        <v>1154</v>
      </c>
      <c r="B219" s="3157" t="s">
        <v>2913</v>
      </c>
      <c r="C219" s="3157"/>
      <c r="D219" s="3157"/>
      <c r="E219" s="3157"/>
      <c r="F219" s="3163">
        <v>2040</v>
      </c>
      <c r="G219" s="3163"/>
      <c r="I219" s="972"/>
      <c r="J219" s="3192"/>
      <c r="K219" s="3192"/>
      <c r="L219" s="3192"/>
      <c r="M219" s="3192"/>
      <c r="N219" s="3192"/>
      <c r="O219" s="3192"/>
      <c r="P219" s="3192"/>
      <c r="Q219" s="3192"/>
      <c r="R219" s="3192"/>
      <c r="S219" s="3192"/>
      <c r="T219" s="3192"/>
      <c r="U219" s="3192"/>
    </row>
    <row r="220" spans="1:21" s="961" customFormat="1" ht="14.25" customHeight="1">
      <c r="A220" s="3157" t="s">
        <v>1154</v>
      </c>
      <c r="B220" s="3157" t="s">
        <v>2914</v>
      </c>
      <c r="C220" s="3157"/>
      <c r="D220" s="3157"/>
      <c r="E220" s="3157"/>
      <c r="F220" s="3163">
        <v>2040</v>
      </c>
      <c r="G220" s="3163"/>
      <c r="I220" s="972"/>
      <c r="J220" s="3192"/>
      <c r="K220" s="3192"/>
      <c r="L220" s="3192"/>
      <c r="M220" s="3192"/>
      <c r="N220" s="3192"/>
      <c r="O220" s="3192"/>
      <c r="P220" s="3192"/>
      <c r="Q220" s="3192"/>
      <c r="R220" s="3192"/>
      <c r="S220" s="3192"/>
      <c r="T220" s="3192"/>
      <c r="U220" s="3192"/>
    </row>
    <row r="221" spans="1:21" s="961" customFormat="1" ht="14.25" customHeight="1">
      <c r="A221" s="3157" t="s">
        <v>1154</v>
      </c>
      <c r="B221" s="3157" t="s">
        <v>2915</v>
      </c>
      <c r="C221" s="3166"/>
      <c r="D221" s="3166"/>
      <c r="E221" s="3166"/>
      <c r="F221" s="3165">
        <v>2040</v>
      </c>
      <c r="G221" s="3163"/>
      <c r="I221" s="972"/>
      <c r="J221" s="3192"/>
      <c r="K221" s="3192"/>
      <c r="L221" s="3192"/>
      <c r="M221" s="3192"/>
      <c r="N221" s="3192"/>
      <c r="O221" s="3192"/>
      <c r="P221" s="3192"/>
      <c r="Q221" s="3192"/>
      <c r="R221" s="3192"/>
      <c r="S221" s="3192"/>
      <c r="T221" s="3192"/>
      <c r="U221" s="3192"/>
    </row>
    <row r="222" spans="1:21" s="961" customFormat="1" ht="14.25" customHeight="1">
      <c r="A222" s="3157" t="s">
        <v>1154</v>
      </c>
      <c r="B222" s="3157" t="s">
        <v>2916</v>
      </c>
      <c r="C222" s="3166"/>
      <c r="D222" s="3166"/>
      <c r="E222" s="3166"/>
      <c r="F222" s="3165">
        <v>2040</v>
      </c>
      <c r="G222" s="3163"/>
      <c r="I222" s="972"/>
      <c r="J222" s="3192"/>
      <c r="K222" s="3192"/>
      <c r="L222" s="3192"/>
      <c r="M222" s="3192"/>
      <c r="N222" s="3192"/>
      <c r="O222" s="3192"/>
      <c r="P222" s="3192"/>
      <c r="Q222" s="3192"/>
      <c r="R222" s="3192"/>
      <c r="S222" s="3192"/>
      <c r="T222" s="3192"/>
      <c r="U222" s="3192"/>
    </row>
    <row r="223" spans="1:21" s="961" customFormat="1" ht="14.25" customHeight="1">
      <c r="A223" s="3157" t="s">
        <v>1154</v>
      </c>
      <c r="B223" s="3157" t="s">
        <v>2917</v>
      </c>
      <c r="C223" s="3166"/>
      <c r="D223" s="3166"/>
      <c r="E223" s="3166"/>
      <c r="F223" s="3165">
        <v>1930</v>
      </c>
      <c r="G223" s="3163"/>
      <c r="I223" s="972"/>
      <c r="J223" s="3192"/>
      <c r="K223" s="3192"/>
      <c r="L223" s="3192"/>
      <c r="M223" s="3192"/>
      <c r="N223" s="3192"/>
      <c r="O223" s="3192"/>
      <c r="P223" s="3192"/>
      <c r="Q223" s="3192"/>
      <c r="R223" s="3192"/>
      <c r="S223" s="3192"/>
      <c r="T223" s="3192"/>
      <c r="U223" s="3192"/>
    </row>
    <row r="224" spans="1:21" s="961" customFormat="1" ht="14.25" customHeight="1">
      <c r="A224" s="3157" t="s">
        <v>1154</v>
      </c>
      <c r="B224" s="3157" t="s">
        <v>2918</v>
      </c>
      <c r="C224" s="3166"/>
      <c r="D224" s="3166"/>
      <c r="E224" s="3166"/>
      <c r="F224" s="3165">
        <v>1930</v>
      </c>
      <c r="G224" s="3163"/>
      <c r="I224" s="972"/>
      <c r="J224" s="3192"/>
      <c r="K224" s="3192"/>
      <c r="L224" s="3192"/>
      <c r="M224" s="3192"/>
      <c r="N224" s="3192"/>
      <c r="O224" s="3192"/>
      <c r="P224" s="3192"/>
      <c r="Q224" s="3192"/>
      <c r="R224" s="3192"/>
      <c r="S224" s="3192"/>
      <c r="T224" s="3192"/>
      <c r="U224" s="3192"/>
    </row>
    <row r="225" spans="1:21" s="961" customFormat="1" ht="14.25" customHeight="1">
      <c r="A225" s="3157" t="s">
        <v>1154</v>
      </c>
      <c r="B225" s="3157" t="s">
        <v>2919</v>
      </c>
      <c r="C225" s="3157"/>
      <c r="D225" s="3157"/>
      <c r="E225" s="3157"/>
      <c r="F225" s="3163">
        <v>1930</v>
      </c>
      <c r="G225" s="3163"/>
      <c r="I225" s="972"/>
      <c r="J225" s="3192"/>
      <c r="K225" s="3192"/>
      <c r="L225" s="3192"/>
      <c r="M225" s="3192"/>
      <c r="N225" s="3192"/>
      <c r="O225" s="3192"/>
      <c r="P225" s="3192"/>
      <c r="Q225" s="3192"/>
      <c r="R225" s="3192"/>
      <c r="S225" s="3192"/>
      <c r="T225" s="3192"/>
      <c r="U225" s="3192"/>
    </row>
    <row r="226" spans="1:21" s="961" customFormat="1" ht="14.25" customHeight="1">
      <c r="A226" s="3157" t="s">
        <v>1154</v>
      </c>
      <c r="B226" s="3157" t="s">
        <v>2920</v>
      </c>
      <c r="C226" s="3157"/>
      <c r="D226" s="3157"/>
      <c r="E226" s="3157"/>
      <c r="F226" s="3163">
        <v>1700</v>
      </c>
      <c r="G226" s="3163"/>
      <c r="I226" s="972"/>
      <c r="J226" s="3192"/>
      <c r="K226" s="3192"/>
      <c r="L226" s="3192"/>
      <c r="M226" s="3192"/>
      <c r="N226" s="3192"/>
      <c r="O226" s="3192"/>
      <c r="P226" s="3192"/>
      <c r="Q226" s="3192"/>
      <c r="R226" s="3192"/>
      <c r="S226" s="3192"/>
      <c r="T226" s="3192"/>
      <c r="U226" s="3192"/>
    </row>
    <row r="227" spans="1:21" s="961" customFormat="1" ht="14.25" customHeight="1">
      <c r="A227" s="3157" t="s">
        <v>1154</v>
      </c>
      <c r="B227" s="3157" t="s">
        <v>2921</v>
      </c>
      <c r="C227" s="3157"/>
      <c r="D227" s="3157"/>
      <c r="E227" s="3157"/>
      <c r="F227" s="3163">
        <v>1520</v>
      </c>
      <c r="G227" s="3163"/>
      <c r="I227" s="972"/>
      <c r="J227" s="3192"/>
      <c r="K227" s="3192"/>
      <c r="L227" s="3192"/>
      <c r="M227" s="3192"/>
      <c r="N227" s="3192"/>
      <c r="O227" s="3192"/>
      <c r="P227" s="3192"/>
      <c r="Q227" s="3192"/>
      <c r="R227" s="3192"/>
      <c r="S227" s="3192"/>
      <c r="T227" s="3192"/>
      <c r="U227" s="3192"/>
    </row>
    <row r="228" spans="1:21" s="961" customFormat="1" ht="14.25" customHeight="1">
      <c r="A228" s="3157" t="s">
        <v>1154</v>
      </c>
      <c r="B228" s="3157" t="s">
        <v>2922</v>
      </c>
      <c r="C228" s="3157"/>
      <c r="D228" s="3157"/>
      <c r="E228" s="3157"/>
      <c r="F228" s="3163">
        <v>1520</v>
      </c>
      <c r="G228" s="3163"/>
      <c r="I228" s="972"/>
      <c r="J228" s="3192"/>
      <c r="K228" s="3192"/>
      <c r="L228" s="3192"/>
      <c r="M228" s="3192"/>
      <c r="N228" s="3192"/>
      <c r="O228" s="3192"/>
      <c r="P228" s="3192"/>
      <c r="Q228" s="3192"/>
      <c r="R228" s="3192"/>
      <c r="S228" s="3192"/>
      <c r="T228" s="3192"/>
      <c r="U228" s="3192"/>
    </row>
    <row r="229" spans="1:21" s="961" customFormat="1" ht="14.25" customHeight="1">
      <c r="A229" s="3157" t="s">
        <v>1154</v>
      </c>
      <c r="B229" s="3157" t="s">
        <v>2923</v>
      </c>
      <c r="C229" s="3157"/>
      <c r="D229" s="3157"/>
      <c r="E229" s="3157"/>
      <c r="F229" s="3163">
        <v>1520</v>
      </c>
      <c r="G229" s="3165"/>
      <c r="I229" s="972"/>
      <c r="J229" s="3192"/>
      <c r="K229" s="3192"/>
      <c r="L229" s="3192"/>
      <c r="M229" s="3192"/>
      <c r="N229" s="3192"/>
      <c r="O229" s="3192"/>
      <c r="P229" s="3192"/>
      <c r="Q229" s="3192"/>
      <c r="R229" s="3192"/>
      <c r="S229" s="3192"/>
      <c r="T229" s="3192"/>
      <c r="U229" s="3192"/>
    </row>
    <row r="230" spans="1:21" s="961" customFormat="1" ht="14.25" customHeight="1">
      <c r="A230" s="3157" t="s">
        <v>1154</v>
      </c>
      <c r="B230" s="3157" t="s">
        <v>2924</v>
      </c>
      <c r="C230" s="3157"/>
      <c r="D230" s="3157"/>
      <c r="E230" s="3157"/>
      <c r="F230" s="3163">
        <v>1820</v>
      </c>
      <c r="G230" s="3165"/>
      <c r="I230" s="972"/>
      <c r="J230" s="3192"/>
      <c r="K230" s="3192"/>
      <c r="L230" s="3192"/>
      <c r="M230" s="3192"/>
      <c r="N230" s="3192"/>
      <c r="O230" s="3192"/>
      <c r="P230" s="3192"/>
      <c r="Q230" s="3192"/>
      <c r="R230" s="3192"/>
      <c r="S230" s="3192"/>
      <c r="T230" s="3192"/>
      <c r="U230" s="3192"/>
    </row>
    <row r="231" spans="1:21" s="961" customFormat="1" ht="14.25" customHeight="1">
      <c r="A231" s="3157" t="s">
        <v>1154</v>
      </c>
      <c r="B231" s="3157" t="s">
        <v>2925</v>
      </c>
      <c r="C231" s="3157"/>
      <c r="D231" s="3157"/>
      <c r="E231" s="3157"/>
      <c r="F231" s="3163">
        <v>1760</v>
      </c>
      <c r="G231" s="3165"/>
      <c r="I231" s="972"/>
      <c r="J231" s="3192"/>
      <c r="K231" s="3192"/>
      <c r="L231" s="3192"/>
      <c r="M231" s="3192"/>
      <c r="N231" s="3192"/>
      <c r="O231" s="3192"/>
      <c r="P231" s="3192"/>
      <c r="Q231" s="3192"/>
      <c r="R231" s="3192"/>
      <c r="S231" s="3192"/>
      <c r="T231" s="3192"/>
      <c r="U231" s="3192"/>
    </row>
    <row r="232" spans="1:21" s="961" customFormat="1" ht="14.25" customHeight="1">
      <c r="A232" s="3157" t="s">
        <v>1154</v>
      </c>
      <c r="B232" s="3157" t="s">
        <v>2926</v>
      </c>
      <c r="C232" s="3157"/>
      <c r="D232" s="3157"/>
      <c r="E232" s="3157"/>
      <c r="F232" s="3163">
        <v>1840</v>
      </c>
      <c r="G232" s="3163"/>
      <c r="I232" s="972"/>
      <c r="J232" s="3192"/>
      <c r="K232" s="3192"/>
      <c r="L232" s="3192"/>
      <c r="M232" s="3192"/>
      <c r="N232" s="3192"/>
      <c r="O232" s="3192"/>
      <c r="P232" s="3192"/>
      <c r="Q232" s="3192"/>
      <c r="R232" s="3192"/>
      <c r="S232" s="3192"/>
      <c r="T232" s="3192"/>
      <c r="U232" s="3192"/>
    </row>
    <row r="233" spans="1:21" s="961" customFormat="1" ht="14.25" customHeight="1" thickBot="1">
      <c r="A233" s="3172" t="s">
        <v>1154</v>
      </c>
      <c r="B233" s="3160" t="s">
        <v>2927</v>
      </c>
      <c r="C233" s="3160"/>
      <c r="D233" s="3160"/>
      <c r="E233" s="3160"/>
      <c r="F233" s="3161">
        <v>1770</v>
      </c>
      <c r="G233" s="3176"/>
      <c r="I233" s="972"/>
      <c r="J233" s="3192"/>
      <c r="K233" s="3192"/>
      <c r="L233" s="3192"/>
      <c r="M233" s="3192"/>
      <c r="N233" s="3192"/>
      <c r="O233" s="3192"/>
      <c r="P233" s="3192"/>
      <c r="Q233" s="3192"/>
      <c r="R233" s="3192"/>
      <c r="S233" s="3192"/>
      <c r="T233" s="3192"/>
      <c r="U233" s="3192"/>
    </row>
    <row r="234" spans="1:21" s="961" customFormat="1" ht="14.25" customHeight="1">
      <c r="A234" s="3171" t="s">
        <v>1155</v>
      </c>
      <c r="B234" s="1216" t="s">
        <v>2928</v>
      </c>
      <c r="C234" s="1216">
        <v>6980</v>
      </c>
      <c r="D234" s="1216">
        <v>6970</v>
      </c>
      <c r="E234" s="1216">
        <v>8720</v>
      </c>
      <c r="F234" s="3158">
        <v>1350</v>
      </c>
      <c r="G234" s="3174">
        <v>4280</v>
      </c>
      <c r="I234" s="972"/>
      <c r="J234" s="3192"/>
      <c r="K234" s="3192"/>
      <c r="L234" s="3192"/>
      <c r="M234" s="3192"/>
      <c r="N234" s="3192"/>
      <c r="O234" s="3192"/>
      <c r="P234" s="3192"/>
      <c r="Q234" s="3192"/>
      <c r="R234" s="3192"/>
      <c r="S234" s="3192"/>
      <c r="T234" s="3192"/>
      <c r="U234" s="3192"/>
    </row>
    <row r="235" spans="1:21" s="961" customFormat="1" ht="14.25" customHeight="1">
      <c r="A235" s="3157" t="s">
        <v>1155</v>
      </c>
      <c r="B235" s="3157" t="s">
        <v>979</v>
      </c>
      <c r="C235" s="3157">
        <v>7620</v>
      </c>
      <c r="D235" s="3157">
        <v>7580</v>
      </c>
      <c r="E235" s="3157">
        <v>9360</v>
      </c>
      <c r="F235" s="3163">
        <v>1490</v>
      </c>
      <c r="G235" s="3163">
        <v>4650</v>
      </c>
      <c r="I235" s="972"/>
      <c r="J235" s="3192"/>
      <c r="K235" s="3192"/>
      <c r="L235" s="3192"/>
      <c r="M235" s="3192"/>
      <c r="N235" s="3192"/>
      <c r="O235" s="3192"/>
      <c r="P235" s="3192"/>
      <c r="Q235" s="3192"/>
      <c r="R235" s="3192"/>
      <c r="S235" s="3192"/>
      <c r="T235" s="3192"/>
      <c r="U235" s="3192"/>
    </row>
    <row r="236" spans="1:21" s="961" customFormat="1" ht="14.25" customHeight="1">
      <c r="A236" s="3157" t="s">
        <v>1155</v>
      </c>
      <c r="B236" s="3157" t="s">
        <v>989</v>
      </c>
      <c r="C236" s="3157">
        <v>6650</v>
      </c>
      <c r="D236" s="3157">
        <v>6630</v>
      </c>
      <c r="E236" s="3157">
        <v>8330</v>
      </c>
      <c r="F236" s="3163">
        <v>1250</v>
      </c>
      <c r="G236" s="3163">
        <v>4070</v>
      </c>
      <c r="I236" s="972"/>
      <c r="J236" s="3192"/>
      <c r="K236" s="3192"/>
      <c r="L236" s="3192"/>
      <c r="M236" s="3192"/>
      <c r="N236" s="3192"/>
      <c r="O236" s="3192"/>
      <c r="P236" s="3192"/>
      <c r="Q236" s="3192"/>
      <c r="R236" s="3192"/>
      <c r="S236" s="3192"/>
      <c r="T236" s="3192"/>
      <c r="U236" s="3192"/>
    </row>
    <row r="237" spans="1:21" s="961" customFormat="1" ht="14.25" customHeight="1">
      <c r="A237" s="3157" t="s">
        <v>1155</v>
      </c>
      <c r="B237" s="3157" t="s">
        <v>998</v>
      </c>
      <c r="C237" s="3157">
        <v>5850</v>
      </c>
      <c r="D237" s="3157">
        <v>5820</v>
      </c>
      <c r="E237" s="3157">
        <v>7260</v>
      </c>
      <c r="F237" s="3163">
        <v>1140</v>
      </c>
      <c r="G237" s="3163">
        <v>3570</v>
      </c>
      <c r="I237" s="972"/>
      <c r="J237" s="3192"/>
      <c r="K237" s="3192"/>
      <c r="L237" s="3192"/>
      <c r="M237" s="3192"/>
      <c r="N237" s="3192"/>
      <c r="O237" s="3192"/>
      <c r="P237" s="3192"/>
      <c r="Q237" s="3192"/>
      <c r="R237" s="3192"/>
      <c r="S237" s="3192"/>
      <c r="T237" s="3192"/>
      <c r="U237" s="3192"/>
    </row>
    <row r="238" spans="1:21" s="961" customFormat="1" ht="14.25" customHeight="1">
      <c r="A238" s="3157" t="s">
        <v>1155</v>
      </c>
      <c r="B238" s="3157" t="s">
        <v>2929</v>
      </c>
      <c r="C238" s="3157">
        <v>6920</v>
      </c>
      <c r="D238" s="3157">
        <v>6890</v>
      </c>
      <c r="E238" s="3157">
        <v>8640</v>
      </c>
      <c r="F238" s="3163">
        <v>1310</v>
      </c>
      <c r="G238" s="3163">
        <v>4230</v>
      </c>
      <c r="I238" s="972"/>
      <c r="J238" s="3192"/>
      <c r="K238" s="3192"/>
      <c r="L238" s="3192"/>
      <c r="M238" s="3192"/>
      <c r="N238" s="3192"/>
      <c r="O238" s="3192"/>
      <c r="P238" s="3192"/>
      <c r="Q238" s="3192"/>
      <c r="R238" s="3192"/>
      <c r="S238" s="3192"/>
      <c r="T238" s="3192"/>
      <c r="U238" s="3192"/>
    </row>
    <row r="239" spans="1:21" s="961" customFormat="1" ht="14.25" customHeight="1">
      <c r="A239" s="3157" t="s">
        <v>1155</v>
      </c>
      <c r="B239" s="3157" t="s">
        <v>2930</v>
      </c>
      <c r="C239" s="3157">
        <v>6780</v>
      </c>
      <c r="D239" s="3157">
        <v>6750</v>
      </c>
      <c r="E239" s="3157">
        <v>8440</v>
      </c>
      <c r="F239" s="3163">
        <v>1160</v>
      </c>
      <c r="G239" s="3163">
        <v>4140</v>
      </c>
      <c r="I239" s="972"/>
      <c r="J239" s="3192"/>
      <c r="K239" s="3192"/>
      <c r="L239" s="3192"/>
      <c r="M239" s="3192"/>
      <c r="N239" s="3192"/>
      <c r="O239" s="3192"/>
      <c r="P239" s="3192"/>
      <c r="Q239" s="3192"/>
      <c r="R239" s="3192"/>
      <c r="S239" s="3192"/>
      <c r="T239" s="3192"/>
      <c r="U239" s="3192"/>
    </row>
    <row r="240" spans="1:21" s="961" customFormat="1" ht="14.25" customHeight="1">
      <c r="A240" s="3157" t="s">
        <v>1155</v>
      </c>
      <c r="B240" s="3157" t="s">
        <v>2931</v>
      </c>
      <c r="C240" s="3157">
        <v>5420</v>
      </c>
      <c r="D240" s="3157">
        <v>5380</v>
      </c>
      <c r="E240" s="3157">
        <v>6640</v>
      </c>
      <c r="F240" s="3163">
        <v>1020</v>
      </c>
      <c r="G240" s="3163">
        <v>3300</v>
      </c>
      <c r="I240" s="972"/>
      <c r="J240" s="3192"/>
      <c r="K240" s="3192"/>
      <c r="L240" s="3192"/>
      <c r="M240" s="3192"/>
      <c r="N240" s="3192"/>
      <c r="O240" s="3192"/>
      <c r="P240" s="3192"/>
      <c r="Q240" s="3192"/>
      <c r="R240" s="3192"/>
      <c r="S240" s="3192"/>
      <c r="T240" s="3192"/>
      <c r="U240" s="3192"/>
    </row>
    <row r="241" spans="1:21" s="961" customFormat="1" ht="14.25" customHeight="1">
      <c r="A241" s="3157" t="s">
        <v>1155</v>
      </c>
      <c r="B241" s="3157" t="s">
        <v>2932</v>
      </c>
      <c r="C241" s="3157">
        <v>6660</v>
      </c>
      <c r="D241" s="3157">
        <v>6640</v>
      </c>
      <c r="E241" s="3157">
        <v>8340</v>
      </c>
      <c r="F241" s="3163">
        <v>1130</v>
      </c>
      <c r="G241" s="3163">
        <v>4080</v>
      </c>
      <c r="I241" s="972"/>
      <c r="J241" s="3192"/>
      <c r="K241" s="3192"/>
      <c r="L241" s="3192"/>
      <c r="M241" s="3192"/>
      <c r="N241" s="3192"/>
      <c r="O241" s="3192"/>
      <c r="P241" s="3192"/>
      <c r="Q241" s="3192"/>
      <c r="R241" s="3192"/>
      <c r="S241" s="3192"/>
      <c r="T241" s="3192"/>
      <c r="U241" s="3192"/>
    </row>
    <row r="242" spans="1:21" s="961" customFormat="1" ht="14.25" customHeight="1">
      <c r="A242" s="3157" t="s">
        <v>1155</v>
      </c>
      <c r="B242" s="3157" t="s">
        <v>1028</v>
      </c>
      <c r="C242" s="3157">
        <v>6580</v>
      </c>
      <c r="D242" s="3157">
        <v>6550</v>
      </c>
      <c r="E242" s="3157">
        <v>8090</v>
      </c>
      <c r="F242" s="3163">
        <v>1240</v>
      </c>
      <c r="G242" s="3163">
        <v>4020</v>
      </c>
      <c r="I242" s="972"/>
      <c r="J242" s="3192"/>
      <c r="K242" s="3192"/>
      <c r="L242" s="3192"/>
      <c r="M242" s="3192"/>
      <c r="N242" s="3192"/>
      <c r="O242" s="3192"/>
      <c r="P242" s="3192"/>
      <c r="Q242" s="3192"/>
      <c r="R242" s="3192"/>
      <c r="S242" s="3192"/>
      <c r="T242" s="3192"/>
      <c r="U242" s="3192"/>
    </row>
    <row r="243" spans="1:21" s="961" customFormat="1" ht="14.25" customHeight="1">
      <c r="A243" s="3157" t="s">
        <v>1155</v>
      </c>
      <c r="B243" s="3157" t="s">
        <v>1038</v>
      </c>
      <c r="C243" s="3157">
        <v>6000</v>
      </c>
      <c r="D243" s="3157">
        <v>5970</v>
      </c>
      <c r="E243" s="3157">
        <v>7370</v>
      </c>
      <c r="F243" s="3163">
        <v>1070</v>
      </c>
      <c r="G243" s="3163">
        <v>3670</v>
      </c>
      <c r="I243" s="972"/>
      <c r="J243" s="3192"/>
      <c r="K243" s="3192"/>
      <c r="L243" s="3192"/>
      <c r="M243" s="3192"/>
      <c r="N243" s="3192"/>
      <c r="O243" s="3192"/>
      <c r="P243" s="3192"/>
      <c r="Q243" s="3192"/>
      <c r="R243" s="3192"/>
      <c r="S243" s="3192"/>
      <c r="T243" s="3192"/>
      <c r="U243" s="3192"/>
    </row>
    <row r="244" spans="1:21" s="961" customFormat="1" ht="14.25" customHeight="1">
      <c r="A244" s="3157" t="s">
        <v>1155</v>
      </c>
      <c r="B244" s="3157" t="s">
        <v>2933</v>
      </c>
      <c r="C244" s="3157">
        <v>5840</v>
      </c>
      <c r="D244" s="3157">
        <v>5810</v>
      </c>
      <c r="E244" s="3157">
        <v>7240</v>
      </c>
      <c r="F244" s="3163">
        <v>1100</v>
      </c>
      <c r="G244" s="3170">
        <v>3560</v>
      </c>
      <c r="I244" s="972"/>
      <c r="J244" s="3192"/>
      <c r="K244" s="3192"/>
      <c r="L244" s="3192"/>
      <c r="M244" s="3192"/>
      <c r="N244" s="3192"/>
      <c r="O244" s="3192"/>
      <c r="P244" s="3192"/>
      <c r="Q244" s="3192"/>
      <c r="R244" s="3192"/>
      <c r="S244" s="3192"/>
      <c r="T244" s="3192"/>
      <c r="U244" s="3192"/>
    </row>
    <row r="245" spans="1:21" s="961" customFormat="1" ht="14.25" customHeight="1">
      <c r="A245" s="1216" t="s">
        <v>1155</v>
      </c>
      <c r="B245" s="1216" t="s">
        <v>1053</v>
      </c>
      <c r="C245" s="1216">
        <v>6040</v>
      </c>
      <c r="D245" s="1216">
        <v>6000</v>
      </c>
      <c r="E245" s="1216">
        <v>7420</v>
      </c>
      <c r="F245" s="3158">
        <v>1140</v>
      </c>
      <c r="G245" s="3158">
        <v>3690</v>
      </c>
      <c r="I245" s="972"/>
      <c r="J245" s="3192"/>
      <c r="K245" s="3192"/>
      <c r="L245" s="3192"/>
      <c r="M245" s="3192"/>
      <c r="N245" s="3192"/>
      <c r="O245" s="3192"/>
      <c r="P245" s="3192"/>
      <c r="Q245" s="3192"/>
      <c r="R245" s="3192"/>
      <c r="S245" s="3192"/>
      <c r="T245" s="3192"/>
      <c r="U245" s="3192"/>
    </row>
    <row r="246" spans="1:21" s="961" customFormat="1" ht="14.25" customHeight="1">
      <c r="A246" s="3157" t="s">
        <v>1155</v>
      </c>
      <c r="B246" s="3157" t="s">
        <v>1060</v>
      </c>
      <c r="C246" s="3157">
        <v>5890</v>
      </c>
      <c r="D246" s="3157">
        <v>5860</v>
      </c>
      <c r="E246" s="3157">
        <v>7300</v>
      </c>
      <c r="F246" s="3163">
        <v>1110</v>
      </c>
      <c r="G246" s="3163">
        <v>3590</v>
      </c>
      <c r="I246" s="972"/>
      <c r="J246" s="3192"/>
      <c r="K246" s="3192"/>
      <c r="L246" s="3192"/>
      <c r="M246" s="3192"/>
      <c r="N246" s="3192"/>
      <c r="O246" s="3192"/>
      <c r="P246" s="3192"/>
      <c r="Q246" s="3192"/>
      <c r="R246" s="3192"/>
      <c r="S246" s="3192"/>
      <c r="T246" s="3192"/>
      <c r="U246" s="3192"/>
    </row>
    <row r="247" spans="1:21" s="961" customFormat="1" ht="14.25" customHeight="1">
      <c r="A247" s="3157" t="s">
        <v>1155</v>
      </c>
      <c r="B247" s="3157" t="s">
        <v>2934</v>
      </c>
      <c r="C247" s="3157">
        <v>6480</v>
      </c>
      <c r="D247" s="3157">
        <v>6450</v>
      </c>
      <c r="E247" s="3157">
        <v>8010</v>
      </c>
      <c r="F247" s="3163">
        <v>1170</v>
      </c>
      <c r="G247" s="3163">
        <v>3960</v>
      </c>
      <c r="I247" s="972"/>
      <c r="J247" s="3192"/>
      <c r="K247" s="3192"/>
      <c r="L247" s="3192"/>
      <c r="M247" s="3192"/>
      <c r="N247" s="3192"/>
      <c r="O247" s="3192"/>
      <c r="P247" s="3192"/>
      <c r="Q247" s="3192"/>
      <c r="R247" s="3192"/>
      <c r="S247" s="3192"/>
      <c r="T247" s="3192"/>
      <c r="U247" s="3192"/>
    </row>
    <row r="248" spans="1:21" s="961" customFormat="1" ht="14.25" customHeight="1">
      <c r="A248" s="3157" t="s">
        <v>1155</v>
      </c>
      <c r="B248" s="3157" t="s">
        <v>1075</v>
      </c>
      <c r="C248" s="3157">
        <v>6860</v>
      </c>
      <c r="D248" s="3157">
        <v>6840</v>
      </c>
      <c r="E248" s="3157">
        <v>8520</v>
      </c>
      <c r="F248" s="3163">
        <v>1240</v>
      </c>
      <c r="G248" s="3163">
        <v>4200</v>
      </c>
      <c r="I248" s="972"/>
      <c r="J248" s="3192"/>
      <c r="K248" s="3192"/>
      <c r="L248" s="3192"/>
      <c r="M248" s="3192"/>
      <c r="N248" s="3192"/>
      <c r="O248" s="3192"/>
      <c r="P248" s="3192"/>
      <c r="Q248" s="3192"/>
      <c r="R248" s="3192"/>
      <c r="S248" s="3192"/>
      <c r="T248" s="3192"/>
      <c r="U248" s="3192"/>
    </row>
    <row r="249" spans="1:21" s="961" customFormat="1" ht="14.25" customHeight="1">
      <c r="A249" s="3157" t="s">
        <v>1155</v>
      </c>
      <c r="B249" s="3157" t="s">
        <v>2935</v>
      </c>
      <c r="C249" s="3157">
        <v>7180</v>
      </c>
      <c r="D249" s="3157">
        <v>7140</v>
      </c>
      <c r="E249" s="3157">
        <v>8900</v>
      </c>
      <c r="F249" s="3163">
        <v>1350</v>
      </c>
      <c r="G249" s="3163">
        <v>4380</v>
      </c>
      <c r="I249" s="972"/>
      <c r="J249" s="3192"/>
      <c r="K249" s="3192"/>
      <c r="L249" s="3192"/>
      <c r="M249" s="3192"/>
      <c r="N249" s="3192"/>
      <c r="O249" s="3192"/>
      <c r="P249" s="3192"/>
      <c r="Q249" s="3192"/>
      <c r="R249" s="3192"/>
      <c r="S249" s="3192"/>
      <c r="T249" s="3192"/>
      <c r="U249" s="3192"/>
    </row>
    <row r="250" spans="1:21" s="961" customFormat="1" ht="14.25" customHeight="1">
      <c r="A250" s="3157" t="s">
        <v>1155</v>
      </c>
      <c r="B250" s="3157" t="s">
        <v>1089</v>
      </c>
      <c r="C250" s="3157">
        <v>6880</v>
      </c>
      <c r="D250" s="3157">
        <v>6860</v>
      </c>
      <c r="E250" s="3157">
        <v>8550</v>
      </c>
      <c r="F250" s="3163">
        <v>1220</v>
      </c>
      <c r="G250" s="3163">
        <v>4210</v>
      </c>
      <c r="I250" s="972"/>
      <c r="J250" s="3192"/>
      <c r="K250" s="3192"/>
      <c r="L250" s="3192"/>
      <c r="M250" s="3192"/>
      <c r="N250" s="3192"/>
      <c r="O250" s="3192"/>
      <c r="P250" s="3192"/>
      <c r="Q250" s="3192"/>
      <c r="R250" s="3192"/>
      <c r="S250" s="3192"/>
      <c r="T250" s="3192"/>
      <c r="U250" s="3192"/>
    </row>
    <row r="251" spans="1:21" s="961" customFormat="1" ht="14.25" customHeight="1">
      <c r="A251" s="3157" t="s">
        <v>1155</v>
      </c>
      <c r="B251" s="3157" t="s">
        <v>1097</v>
      </c>
      <c r="C251" s="3157"/>
      <c r="D251" s="3157"/>
      <c r="E251" s="3157"/>
      <c r="F251" s="3163">
        <v>1100</v>
      </c>
      <c r="G251" s="3163"/>
      <c r="I251" s="972"/>
      <c r="J251" s="3192"/>
      <c r="K251" s="3192"/>
      <c r="L251" s="3192"/>
      <c r="M251" s="3192"/>
      <c r="N251" s="3192"/>
      <c r="O251" s="3192"/>
      <c r="P251" s="3192"/>
      <c r="Q251" s="3192"/>
      <c r="R251" s="3192"/>
      <c r="S251" s="3192"/>
      <c r="T251" s="3192"/>
      <c r="U251" s="3192"/>
    </row>
    <row r="252" spans="1:21" s="961" customFormat="1" ht="14.25" customHeight="1">
      <c r="A252" s="3157" t="s">
        <v>1155</v>
      </c>
      <c r="B252" s="3157" t="s">
        <v>2936</v>
      </c>
      <c r="C252" s="3157">
        <v>7240</v>
      </c>
      <c r="D252" s="3157">
        <v>7200</v>
      </c>
      <c r="E252" s="3157">
        <v>9040</v>
      </c>
      <c r="F252" s="3163">
        <v>1380</v>
      </c>
      <c r="G252" s="3163">
        <v>4420</v>
      </c>
      <c r="I252" s="972"/>
      <c r="J252" s="3192"/>
      <c r="K252" s="3192"/>
      <c r="L252" s="3192"/>
      <c r="M252" s="3192"/>
      <c r="N252" s="3192"/>
      <c r="O252" s="3192"/>
      <c r="P252" s="3192"/>
      <c r="Q252" s="3192"/>
      <c r="R252" s="3192"/>
      <c r="S252" s="3192"/>
      <c r="T252" s="3192"/>
      <c r="U252" s="3192"/>
    </row>
    <row r="253" spans="1:21" s="961" customFormat="1" ht="14.25" customHeight="1">
      <c r="A253" s="3157" t="s">
        <v>1155</v>
      </c>
      <c r="B253" s="3157" t="s">
        <v>1132</v>
      </c>
      <c r="C253" s="3157">
        <v>6670</v>
      </c>
      <c r="D253" s="3157">
        <v>6650</v>
      </c>
      <c r="E253" s="3157">
        <v>8350</v>
      </c>
      <c r="F253" s="3163">
        <v>1260</v>
      </c>
      <c r="G253" s="3163">
        <v>4080</v>
      </c>
      <c r="I253" s="972"/>
      <c r="J253" s="3192"/>
      <c r="K253" s="3192"/>
      <c r="L253" s="3192"/>
      <c r="M253" s="3192"/>
      <c r="N253" s="3192"/>
      <c r="O253" s="3192"/>
      <c r="P253" s="3192"/>
      <c r="Q253" s="3192"/>
      <c r="R253" s="3192"/>
      <c r="S253" s="3192"/>
      <c r="T253" s="3192"/>
      <c r="U253" s="3192"/>
    </row>
    <row r="254" spans="1:21" s="961" customFormat="1" ht="14.25" customHeight="1">
      <c r="A254" s="3157" t="s">
        <v>1155</v>
      </c>
      <c r="B254" s="3157" t="s">
        <v>1135</v>
      </c>
      <c r="C254" s="3166">
        <v>7630</v>
      </c>
      <c r="D254" s="3166">
        <v>7590</v>
      </c>
      <c r="E254" s="3166">
        <v>9380</v>
      </c>
      <c r="F254" s="3165">
        <v>1320</v>
      </c>
      <c r="G254" s="3163">
        <v>4660</v>
      </c>
      <c r="I254" s="972"/>
      <c r="J254" s="3192"/>
      <c r="K254" s="3192"/>
      <c r="L254" s="3192"/>
      <c r="M254" s="3192"/>
      <c r="N254" s="3192"/>
      <c r="O254" s="3192"/>
      <c r="P254" s="3192"/>
      <c r="Q254" s="3192"/>
      <c r="R254" s="3192"/>
      <c r="S254" s="3192"/>
      <c r="T254" s="3192"/>
      <c r="U254" s="3192"/>
    </row>
    <row r="255" spans="1:21" s="961" customFormat="1" ht="14.25" customHeight="1">
      <c r="A255" s="3157" t="s">
        <v>1155</v>
      </c>
      <c r="B255" s="3157" t="s">
        <v>1138</v>
      </c>
      <c r="C255" s="3166">
        <v>6940</v>
      </c>
      <c r="D255" s="3166">
        <v>6890</v>
      </c>
      <c r="E255" s="3166">
        <v>8650</v>
      </c>
      <c r="F255" s="3165">
        <v>1210</v>
      </c>
      <c r="G255" s="3163">
        <v>4230</v>
      </c>
      <c r="I255" s="972"/>
      <c r="J255" s="3192"/>
      <c r="K255" s="3192"/>
      <c r="L255" s="3192"/>
      <c r="M255" s="3192"/>
      <c r="N255" s="3192"/>
      <c r="O255" s="3192"/>
      <c r="P255" s="3192"/>
      <c r="Q255" s="3192"/>
      <c r="R255" s="3192"/>
      <c r="S255" s="3192"/>
      <c r="T255" s="3192"/>
      <c r="U255" s="3192"/>
    </row>
    <row r="256" spans="1:21" s="961" customFormat="1" ht="14.25" customHeight="1">
      <c r="A256" s="3157" t="s">
        <v>1155</v>
      </c>
      <c r="B256" s="3157" t="s">
        <v>2937</v>
      </c>
      <c r="C256" s="3157">
        <v>7520</v>
      </c>
      <c r="D256" s="3157">
        <v>7490</v>
      </c>
      <c r="E256" s="3157">
        <v>9240</v>
      </c>
      <c r="F256" s="3163">
        <v>1270</v>
      </c>
      <c r="G256" s="3163">
        <v>4590</v>
      </c>
      <c r="I256" s="972"/>
      <c r="J256" s="3192"/>
      <c r="K256" s="3192"/>
      <c r="L256" s="3192"/>
      <c r="M256" s="3192"/>
      <c r="N256" s="3192"/>
      <c r="O256" s="3192"/>
      <c r="P256" s="3192"/>
      <c r="Q256" s="3192"/>
      <c r="R256" s="3192"/>
      <c r="S256" s="3192"/>
      <c r="T256" s="3192"/>
      <c r="U256" s="3192"/>
    </row>
    <row r="257" spans="1:21" s="961" customFormat="1" ht="14.25" customHeight="1">
      <c r="A257" s="3157" t="s">
        <v>1155</v>
      </c>
      <c r="B257" s="3157" t="s">
        <v>1124</v>
      </c>
      <c r="C257" s="3157">
        <v>6280</v>
      </c>
      <c r="D257" s="3157">
        <v>6230</v>
      </c>
      <c r="E257" s="3157">
        <v>7740</v>
      </c>
      <c r="F257" s="3163">
        <v>1080</v>
      </c>
      <c r="G257" s="3163">
        <v>3830</v>
      </c>
      <c r="I257" s="972"/>
      <c r="J257" s="3192"/>
      <c r="K257" s="3192"/>
      <c r="L257" s="3192"/>
      <c r="M257" s="3192"/>
      <c r="N257" s="3192"/>
      <c r="O257" s="3192"/>
      <c r="P257" s="3192"/>
      <c r="Q257" s="3192"/>
      <c r="R257" s="3192"/>
      <c r="S257" s="3192"/>
      <c r="T257" s="3192"/>
      <c r="U257" s="3192"/>
    </row>
    <row r="258" spans="1:21" s="961" customFormat="1" ht="14.25" customHeight="1">
      <c r="A258" s="3157" t="s">
        <v>1155</v>
      </c>
      <c r="B258" s="3157" t="s">
        <v>2938</v>
      </c>
      <c r="C258" s="3157">
        <v>6190</v>
      </c>
      <c r="D258" s="3157">
        <v>6160</v>
      </c>
      <c r="E258" s="3157">
        <v>7680</v>
      </c>
      <c r="F258" s="3163">
        <v>1170</v>
      </c>
      <c r="G258" s="3163">
        <v>3780</v>
      </c>
      <c r="I258" s="972"/>
      <c r="J258" s="3192"/>
      <c r="K258" s="3192"/>
      <c r="L258" s="3192"/>
      <c r="M258" s="3192"/>
      <c r="N258" s="3192"/>
      <c r="O258" s="3192"/>
      <c r="P258" s="3192"/>
      <c r="Q258" s="3192"/>
      <c r="R258" s="3192"/>
      <c r="S258" s="3192"/>
      <c r="T258" s="3192"/>
      <c r="U258" s="3192"/>
    </row>
    <row r="259" spans="1:21" s="961" customFormat="1" ht="14.25" customHeight="1">
      <c r="A259" s="3157" t="s">
        <v>1155</v>
      </c>
      <c r="B259" s="3157" t="s">
        <v>2939</v>
      </c>
      <c r="C259" s="3157">
        <v>7610</v>
      </c>
      <c r="D259" s="3157">
        <v>7570</v>
      </c>
      <c r="E259" s="3157">
        <v>9350</v>
      </c>
      <c r="F259" s="3163">
        <v>1350</v>
      </c>
      <c r="G259" s="3163">
        <v>4650</v>
      </c>
      <c r="I259" s="972"/>
      <c r="J259" s="3192"/>
      <c r="K259" s="3192"/>
      <c r="L259" s="3192"/>
      <c r="M259" s="3192"/>
      <c r="N259" s="3192"/>
      <c r="O259" s="3192"/>
      <c r="P259" s="3192"/>
      <c r="Q259" s="3192"/>
      <c r="R259" s="3192"/>
      <c r="S259" s="3192"/>
      <c r="T259" s="3192"/>
      <c r="U259" s="3192"/>
    </row>
    <row r="260" spans="1:21" s="961" customFormat="1" ht="14.25" customHeight="1">
      <c r="A260" s="3157" t="s">
        <v>1155</v>
      </c>
      <c r="B260" s="3157" t="s">
        <v>2940</v>
      </c>
      <c r="C260" s="3157">
        <v>6920</v>
      </c>
      <c r="D260" s="3157">
        <v>6880</v>
      </c>
      <c r="E260" s="3157">
        <v>8380</v>
      </c>
      <c r="F260" s="3163">
        <v>1160</v>
      </c>
      <c r="G260" s="3163">
        <v>4220</v>
      </c>
      <c r="I260" s="972"/>
      <c r="J260" s="3192"/>
      <c r="K260" s="3192"/>
      <c r="L260" s="3192"/>
      <c r="M260" s="3192"/>
      <c r="N260" s="3192"/>
      <c r="O260" s="3192"/>
      <c r="P260" s="3192"/>
      <c r="Q260" s="3192"/>
      <c r="R260" s="3192"/>
      <c r="S260" s="3192"/>
      <c r="T260" s="3192"/>
      <c r="U260" s="3192"/>
    </row>
    <row r="261" spans="1:21" s="961" customFormat="1" ht="14.25" customHeight="1">
      <c r="A261" s="3157" t="s">
        <v>1155</v>
      </c>
      <c r="B261" s="3157" t="s">
        <v>2941</v>
      </c>
      <c r="C261" s="3157">
        <v>6850</v>
      </c>
      <c r="D261" s="3157">
        <v>6810</v>
      </c>
      <c r="E261" s="3157">
        <v>8290</v>
      </c>
      <c r="F261" s="3163">
        <v>1130</v>
      </c>
      <c r="G261" s="3163">
        <v>4180</v>
      </c>
      <c r="I261" s="972"/>
      <c r="J261" s="3192"/>
      <c r="K261" s="3192"/>
      <c r="L261" s="3192"/>
      <c r="M261" s="3192"/>
      <c r="N261" s="3192"/>
      <c r="O261" s="3192"/>
      <c r="P261" s="3192"/>
      <c r="Q261" s="3192"/>
      <c r="R261" s="3192"/>
      <c r="S261" s="3192"/>
      <c r="T261" s="3192"/>
      <c r="U261" s="3192"/>
    </row>
    <row r="262" spans="1:21" s="961" customFormat="1" ht="14.25" customHeight="1">
      <c r="A262" s="3157" t="s">
        <v>1155</v>
      </c>
      <c r="B262" s="3157" t="s">
        <v>2942</v>
      </c>
      <c r="C262" s="3157">
        <v>5860</v>
      </c>
      <c r="D262" s="3157">
        <v>5820</v>
      </c>
      <c r="E262" s="3157">
        <v>7640</v>
      </c>
      <c r="F262" s="3163">
        <v>1070</v>
      </c>
      <c r="G262" s="3165">
        <v>3570</v>
      </c>
      <c r="I262" s="972"/>
      <c r="J262" s="3192"/>
      <c r="K262" s="3192"/>
      <c r="L262" s="3192"/>
      <c r="M262" s="3192"/>
      <c r="N262" s="3192"/>
      <c r="O262" s="3192"/>
      <c r="P262" s="3192"/>
      <c r="Q262" s="3192"/>
      <c r="R262" s="3192"/>
      <c r="S262" s="3192"/>
      <c r="T262" s="3192"/>
      <c r="U262" s="3192"/>
    </row>
    <row r="263" spans="1:21" s="961" customFormat="1" ht="14.25" customHeight="1">
      <c r="A263" s="3157" t="s">
        <v>1155</v>
      </c>
      <c r="B263" s="3157" t="s">
        <v>2943</v>
      </c>
      <c r="C263" s="3157">
        <v>5870</v>
      </c>
      <c r="D263" s="3157">
        <v>5840</v>
      </c>
      <c r="E263" s="3157">
        <v>7270</v>
      </c>
      <c r="F263" s="3163">
        <v>1190</v>
      </c>
      <c r="G263" s="3163">
        <v>3580</v>
      </c>
      <c r="I263" s="972"/>
      <c r="J263" s="3192"/>
      <c r="K263" s="3192"/>
      <c r="L263" s="3192"/>
      <c r="M263" s="3192"/>
      <c r="N263" s="3192"/>
      <c r="O263" s="3192"/>
      <c r="P263" s="3192"/>
      <c r="Q263" s="3192"/>
      <c r="R263" s="3192"/>
      <c r="S263" s="3192"/>
      <c r="T263" s="3192"/>
      <c r="U263" s="3192"/>
    </row>
    <row r="264" spans="1:21" s="961" customFormat="1" ht="14.25" customHeight="1">
      <c r="A264" s="3157" t="s">
        <v>1155</v>
      </c>
      <c r="B264" s="3157" t="s">
        <v>1148</v>
      </c>
      <c r="C264" s="3157">
        <v>6190</v>
      </c>
      <c r="D264" s="3157">
        <v>6150</v>
      </c>
      <c r="E264" s="3157">
        <v>7660</v>
      </c>
      <c r="F264" s="3163">
        <v>1160</v>
      </c>
      <c r="G264" s="3163">
        <v>3770</v>
      </c>
      <c r="I264" s="972"/>
      <c r="J264" s="3192"/>
      <c r="K264" s="3192"/>
      <c r="L264" s="3192"/>
      <c r="M264" s="3192"/>
      <c r="N264" s="3192"/>
      <c r="O264" s="3192"/>
      <c r="P264" s="3192"/>
      <c r="Q264" s="3192"/>
      <c r="R264" s="3192"/>
      <c r="S264" s="3192"/>
      <c r="T264" s="3192"/>
      <c r="U264" s="3192"/>
    </row>
    <row r="265" spans="1:21" s="961" customFormat="1" ht="14.25" customHeight="1">
      <c r="A265" s="3157" t="s">
        <v>1155</v>
      </c>
      <c r="B265" s="3157" t="s">
        <v>2944</v>
      </c>
      <c r="C265" s="3157"/>
      <c r="D265" s="3157"/>
      <c r="E265" s="3157"/>
      <c r="F265" s="3163">
        <v>1500</v>
      </c>
      <c r="G265" s="3163"/>
      <c r="I265" s="972"/>
      <c r="J265" s="3192"/>
      <c r="K265" s="3192"/>
      <c r="L265" s="3192"/>
      <c r="M265" s="3192"/>
      <c r="N265" s="3192"/>
      <c r="O265" s="3192"/>
      <c r="P265" s="3192"/>
      <c r="Q265" s="3192"/>
      <c r="R265" s="3192"/>
      <c r="S265" s="3192"/>
      <c r="T265" s="3192"/>
      <c r="U265" s="3192"/>
    </row>
    <row r="266" spans="1:21" s="961" customFormat="1" ht="14.25" customHeight="1">
      <c r="A266" s="3157" t="s">
        <v>1155</v>
      </c>
      <c r="B266" s="3157" t="s">
        <v>2945</v>
      </c>
      <c r="C266" s="3157"/>
      <c r="D266" s="3157"/>
      <c r="E266" s="3157"/>
      <c r="F266" s="3163">
        <v>1500</v>
      </c>
      <c r="G266" s="3163"/>
      <c r="I266" s="972"/>
      <c r="J266" s="3192"/>
      <c r="K266" s="3192"/>
      <c r="L266" s="3192"/>
      <c r="M266" s="3192"/>
      <c r="N266" s="3192"/>
      <c r="O266" s="3192"/>
      <c r="P266" s="3192"/>
      <c r="Q266" s="3192"/>
      <c r="R266" s="3192"/>
      <c r="S266" s="3192"/>
      <c r="T266" s="3192"/>
      <c r="U266" s="3192"/>
    </row>
    <row r="267" spans="1:21" s="961" customFormat="1" ht="14.25" customHeight="1">
      <c r="A267" s="3157" t="s">
        <v>1155</v>
      </c>
      <c r="B267" s="3157" t="s">
        <v>2946</v>
      </c>
      <c r="C267" s="3157"/>
      <c r="D267" s="3157"/>
      <c r="E267" s="3157"/>
      <c r="F267" s="3163">
        <v>1500</v>
      </c>
      <c r="G267" s="3165"/>
      <c r="I267" s="972"/>
      <c r="J267" s="3192"/>
      <c r="K267" s="3192"/>
      <c r="L267" s="3192"/>
      <c r="M267" s="3192"/>
      <c r="N267" s="3192"/>
      <c r="O267" s="3192"/>
      <c r="P267" s="3192"/>
      <c r="Q267" s="3192"/>
      <c r="R267" s="3192"/>
      <c r="S267" s="3192"/>
      <c r="T267" s="3192"/>
      <c r="U267" s="3192"/>
    </row>
    <row r="268" spans="1:21" s="961" customFormat="1" ht="14.25" customHeight="1">
      <c r="A268" s="3157" t="s">
        <v>1155</v>
      </c>
      <c r="B268" s="3157" t="s">
        <v>2947</v>
      </c>
      <c r="C268" s="3157"/>
      <c r="D268" s="3157"/>
      <c r="E268" s="3157"/>
      <c r="F268" s="3163">
        <v>1290</v>
      </c>
      <c r="G268" s="3163"/>
      <c r="I268" s="972"/>
      <c r="J268" s="3192"/>
      <c r="K268" s="3192"/>
      <c r="L268" s="3192"/>
      <c r="M268" s="3192"/>
      <c r="N268" s="3192"/>
      <c r="O268" s="3192"/>
      <c r="P268" s="3192"/>
      <c r="Q268" s="3192"/>
      <c r="R268" s="3192"/>
      <c r="S268" s="3192"/>
      <c r="T268" s="3192"/>
      <c r="U268" s="3192"/>
    </row>
    <row r="269" spans="1:21" s="961" customFormat="1" ht="14.25" customHeight="1">
      <c r="A269" s="3157" t="s">
        <v>1155</v>
      </c>
      <c r="B269" s="3157" t="s">
        <v>2948</v>
      </c>
      <c r="C269" s="3157"/>
      <c r="D269" s="3157"/>
      <c r="E269" s="3157"/>
      <c r="F269" s="3163">
        <v>1150</v>
      </c>
      <c r="G269" s="3163"/>
      <c r="I269" s="972"/>
      <c r="J269" s="3192"/>
      <c r="K269" s="3192"/>
      <c r="L269" s="3192"/>
      <c r="M269" s="3192"/>
      <c r="N269" s="3192"/>
      <c r="O269" s="3192"/>
      <c r="P269" s="3192"/>
      <c r="Q269" s="3192"/>
      <c r="R269" s="3192"/>
      <c r="S269" s="3192"/>
      <c r="T269" s="3192"/>
      <c r="U269" s="3192"/>
    </row>
    <row r="270" spans="1:21" s="961" customFormat="1" ht="14.25" customHeight="1">
      <c r="A270" s="3157" t="s">
        <v>1155</v>
      </c>
      <c r="B270" s="3157" t="s">
        <v>2949</v>
      </c>
      <c r="C270" s="3157"/>
      <c r="D270" s="3157"/>
      <c r="E270" s="3157"/>
      <c r="F270" s="3163">
        <v>1380</v>
      </c>
      <c r="G270" s="3163"/>
      <c r="I270" s="972"/>
      <c r="J270" s="3192"/>
      <c r="K270" s="3192"/>
      <c r="L270" s="3192"/>
      <c r="M270" s="3192"/>
      <c r="N270" s="3192"/>
      <c r="O270" s="3192"/>
      <c r="P270" s="3192"/>
      <c r="Q270" s="3192"/>
      <c r="R270" s="3192"/>
      <c r="S270" s="3192"/>
      <c r="T270" s="3192"/>
      <c r="U270" s="3192"/>
    </row>
    <row r="271" spans="1:21" s="961" customFormat="1" ht="14.25" customHeight="1">
      <c r="A271" s="3157" t="s">
        <v>1155</v>
      </c>
      <c r="B271" s="3157" t="s">
        <v>2950</v>
      </c>
      <c r="C271" s="3157"/>
      <c r="D271" s="3157"/>
      <c r="E271" s="3157"/>
      <c r="F271" s="3163">
        <v>1460</v>
      </c>
      <c r="G271" s="3163"/>
      <c r="I271" s="972"/>
      <c r="J271" s="3192"/>
      <c r="K271" s="3192"/>
      <c r="L271" s="3192"/>
      <c r="M271" s="3192"/>
      <c r="N271" s="3192"/>
      <c r="O271" s="3192"/>
      <c r="P271" s="3192"/>
      <c r="Q271" s="3192"/>
      <c r="R271" s="3192"/>
      <c r="S271" s="3192"/>
      <c r="T271" s="3192"/>
      <c r="U271" s="3192"/>
    </row>
    <row r="272" spans="1:21" s="961" customFormat="1" ht="14.25" customHeight="1">
      <c r="A272" s="3157" t="s">
        <v>1155</v>
      </c>
      <c r="B272" s="3157" t="s">
        <v>2951</v>
      </c>
      <c r="C272" s="3166"/>
      <c r="D272" s="3166"/>
      <c r="E272" s="3166"/>
      <c r="F272" s="3165">
        <v>1460</v>
      </c>
      <c r="G272" s="3163"/>
      <c r="I272" s="972"/>
      <c r="J272" s="3192"/>
      <c r="K272" s="3192"/>
      <c r="L272" s="3192"/>
      <c r="M272" s="3192"/>
      <c r="N272" s="3192"/>
      <c r="O272" s="3192"/>
      <c r="P272" s="3192"/>
      <c r="Q272" s="3192"/>
      <c r="R272" s="3192"/>
      <c r="S272" s="3192"/>
      <c r="T272" s="3192"/>
      <c r="U272" s="3192"/>
    </row>
    <row r="273" spans="1:21" s="961" customFormat="1" ht="14.25" customHeight="1">
      <c r="A273" s="3157" t="s">
        <v>1155</v>
      </c>
      <c r="B273" s="3157" t="s">
        <v>2952</v>
      </c>
      <c r="C273" s="3157"/>
      <c r="D273" s="3157"/>
      <c r="E273" s="3157"/>
      <c r="F273" s="3163">
        <v>1490</v>
      </c>
      <c r="G273" s="3163"/>
      <c r="I273" s="972"/>
      <c r="J273" s="3192"/>
      <c r="K273" s="3192"/>
      <c r="L273" s="3192"/>
      <c r="M273" s="3192"/>
      <c r="N273" s="3192"/>
      <c r="O273" s="3192"/>
      <c r="P273" s="3192"/>
      <c r="Q273" s="3192"/>
      <c r="R273" s="3192"/>
      <c r="S273" s="3192"/>
      <c r="T273" s="3192"/>
      <c r="U273" s="3192"/>
    </row>
    <row r="274" spans="1:21" s="961" customFormat="1" ht="14.25" customHeight="1">
      <c r="A274" s="3157" t="s">
        <v>1155</v>
      </c>
      <c r="B274" s="3157" t="s">
        <v>2953</v>
      </c>
      <c r="C274" s="3157"/>
      <c r="D274" s="3157"/>
      <c r="E274" s="3157"/>
      <c r="F274" s="3163">
        <v>1490</v>
      </c>
      <c r="G274" s="3163"/>
      <c r="I274" s="972"/>
      <c r="J274" s="3192"/>
      <c r="K274" s="3192"/>
      <c r="L274" s="3192"/>
      <c r="M274" s="3192"/>
      <c r="N274" s="3192"/>
      <c r="O274" s="3192"/>
      <c r="P274" s="3192"/>
      <c r="Q274" s="3192"/>
      <c r="R274" s="3192"/>
      <c r="S274" s="3192"/>
      <c r="T274" s="3192"/>
      <c r="U274" s="3192"/>
    </row>
    <row r="275" spans="1:21" s="961" customFormat="1" ht="14.25" customHeight="1">
      <c r="A275" s="3157" t="s">
        <v>1155</v>
      </c>
      <c r="B275" s="3157" t="s">
        <v>2954</v>
      </c>
      <c r="C275" s="3157"/>
      <c r="D275" s="3157"/>
      <c r="E275" s="3157"/>
      <c r="F275" s="3163">
        <v>1220</v>
      </c>
      <c r="G275" s="3163"/>
      <c r="I275" s="972"/>
      <c r="J275" s="3192"/>
      <c r="K275" s="3192"/>
      <c r="L275" s="3192"/>
      <c r="M275" s="3192"/>
      <c r="N275" s="3192"/>
      <c r="O275" s="3192"/>
      <c r="P275" s="3192"/>
      <c r="Q275" s="3192"/>
      <c r="R275" s="3192"/>
      <c r="S275" s="3192"/>
      <c r="T275" s="3192"/>
      <c r="U275" s="3192"/>
    </row>
    <row r="276" spans="1:21" s="961" customFormat="1" ht="14.25" customHeight="1" thickBot="1">
      <c r="A276" s="3172" t="s">
        <v>1155</v>
      </c>
      <c r="B276" s="3160" t="s">
        <v>2955</v>
      </c>
      <c r="C276" s="3160"/>
      <c r="D276" s="3160"/>
      <c r="E276" s="3160"/>
      <c r="F276" s="3161">
        <v>1380</v>
      </c>
      <c r="G276" s="3173"/>
      <c r="I276" s="972"/>
      <c r="J276" s="3192"/>
      <c r="K276" s="3192"/>
      <c r="L276" s="3192"/>
      <c r="M276" s="3192"/>
      <c r="N276" s="3192"/>
      <c r="O276" s="3192"/>
      <c r="P276" s="3192"/>
      <c r="Q276" s="3192"/>
      <c r="R276" s="3192"/>
      <c r="S276" s="3192"/>
      <c r="T276" s="3192"/>
      <c r="U276" s="3192"/>
    </row>
    <row r="277" spans="1:21" s="961" customFormat="1" ht="14.25" customHeight="1">
      <c r="A277" s="3171" t="s">
        <v>1156</v>
      </c>
      <c r="B277" s="1216" t="s">
        <v>2956</v>
      </c>
      <c r="C277" s="1216">
        <v>5790</v>
      </c>
      <c r="D277" s="1216">
        <v>5740</v>
      </c>
      <c r="E277" s="1216">
        <v>6730</v>
      </c>
      <c r="F277" s="3158">
        <v>1110</v>
      </c>
      <c r="G277" s="3158">
        <v>3460</v>
      </c>
      <c r="I277" s="972"/>
      <c r="J277" s="3192"/>
      <c r="K277" s="3192"/>
      <c r="L277" s="3192"/>
      <c r="M277" s="3192"/>
      <c r="N277" s="3192"/>
      <c r="O277" s="3192"/>
      <c r="P277" s="3192"/>
      <c r="Q277" s="3192"/>
      <c r="R277" s="3192"/>
      <c r="S277" s="3192"/>
      <c r="T277" s="3192"/>
      <c r="U277" s="3192"/>
    </row>
    <row r="278" spans="1:21" s="961" customFormat="1" ht="14.25" customHeight="1">
      <c r="A278" s="3157" t="s">
        <v>1156</v>
      </c>
      <c r="B278" s="3157" t="s">
        <v>980</v>
      </c>
      <c r="C278" s="3157">
        <v>5740</v>
      </c>
      <c r="D278" s="3157">
        <v>5670</v>
      </c>
      <c r="E278" s="3157">
        <v>6680</v>
      </c>
      <c r="F278" s="3163">
        <v>1070</v>
      </c>
      <c r="G278" s="3163">
        <v>3420</v>
      </c>
      <c r="I278" s="972"/>
      <c r="J278" s="3192"/>
      <c r="K278" s="3192"/>
      <c r="L278" s="3192"/>
      <c r="M278" s="3192"/>
      <c r="N278" s="3192"/>
      <c r="O278" s="3192"/>
      <c r="P278" s="3192"/>
      <c r="Q278" s="3192"/>
      <c r="R278" s="3192"/>
      <c r="S278" s="3192"/>
      <c r="T278" s="3192"/>
      <c r="U278" s="3192"/>
    </row>
    <row r="279" spans="1:21" s="961" customFormat="1" ht="14.25" customHeight="1">
      <c r="A279" s="3157" t="s">
        <v>1156</v>
      </c>
      <c r="B279" s="3157" t="s">
        <v>2957</v>
      </c>
      <c r="C279" s="3157">
        <v>4760</v>
      </c>
      <c r="D279" s="3157">
        <v>4720</v>
      </c>
      <c r="E279" s="3157">
        <v>5540</v>
      </c>
      <c r="F279" s="3163">
        <v>810</v>
      </c>
      <c r="G279" s="3163">
        <v>2850</v>
      </c>
      <c r="I279" s="972"/>
      <c r="J279" s="3192"/>
      <c r="K279" s="3192"/>
      <c r="L279" s="3192"/>
      <c r="M279" s="3192"/>
      <c r="N279" s="3192"/>
      <c r="O279" s="3192"/>
      <c r="P279" s="3192"/>
      <c r="Q279" s="3192"/>
      <c r="R279" s="3192"/>
      <c r="S279" s="3192"/>
      <c r="T279" s="3192"/>
      <c r="U279" s="3192"/>
    </row>
    <row r="280" spans="1:21" s="961" customFormat="1" ht="14.25" customHeight="1">
      <c r="A280" s="3157" t="s">
        <v>1156</v>
      </c>
      <c r="B280" s="3157" t="s">
        <v>2958</v>
      </c>
      <c r="C280" s="3157">
        <v>4010</v>
      </c>
      <c r="D280" s="3157">
        <v>3950</v>
      </c>
      <c r="E280" s="3157">
        <v>4710</v>
      </c>
      <c r="F280" s="3163">
        <v>800</v>
      </c>
      <c r="G280" s="3163">
        <v>2390</v>
      </c>
      <c r="I280" s="972"/>
      <c r="J280" s="3192"/>
      <c r="K280" s="3192"/>
      <c r="L280" s="3192"/>
      <c r="M280" s="3192"/>
      <c r="N280" s="3192"/>
      <c r="O280" s="3192"/>
      <c r="P280" s="3192"/>
      <c r="Q280" s="3192"/>
      <c r="R280" s="3192"/>
      <c r="S280" s="3192"/>
      <c r="T280" s="3192"/>
      <c r="U280" s="3192"/>
    </row>
    <row r="281" spans="1:21" s="961" customFormat="1" ht="14.25" customHeight="1">
      <c r="A281" s="3157" t="s">
        <v>1156</v>
      </c>
      <c r="B281" s="3157" t="s">
        <v>2959</v>
      </c>
      <c r="C281" s="3157">
        <v>4480</v>
      </c>
      <c r="D281" s="3157">
        <v>4420</v>
      </c>
      <c r="E281" s="3157">
        <v>5230</v>
      </c>
      <c r="F281" s="3163">
        <v>870</v>
      </c>
      <c r="G281" s="3163">
        <v>2660</v>
      </c>
      <c r="I281" s="972"/>
      <c r="J281" s="3192"/>
      <c r="K281" s="3192"/>
      <c r="L281" s="3192"/>
      <c r="M281" s="3192"/>
      <c r="N281" s="3192"/>
      <c r="O281" s="3192"/>
      <c r="P281" s="3192"/>
      <c r="Q281" s="3192"/>
      <c r="R281" s="3192"/>
      <c r="S281" s="3192"/>
      <c r="T281" s="3192"/>
      <c r="U281" s="3192"/>
    </row>
    <row r="282" spans="1:21" s="961" customFormat="1" ht="14.25" customHeight="1">
      <c r="A282" s="3157" t="s">
        <v>1156</v>
      </c>
      <c r="B282" s="3157" t="s">
        <v>2960</v>
      </c>
      <c r="C282" s="3157">
        <v>5360</v>
      </c>
      <c r="D282" s="3157">
        <v>5300</v>
      </c>
      <c r="E282" s="3157">
        <v>6190</v>
      </c>
      <c r="F282" s="3163">
        <v>950</v>
      </c>
      <c r="G282" s="3163">
        <v>3190</v>
      </c>
      <c r="I282" s="972"/>
      <c r="J282" s="3192"/>
      <c r="K282" s="3192"/>
      <c r="L282" s="3192"/>
      <c r="M282" s="3192"/>
      <c r="N282" s="3192"/>
      <c r="O282" s="3192"/>
      <c r="P282" s="3192"/>
      <c r="Q282" s="3192"/>
      <c r="R282" s="3192"/>
      <c r="S282" s="3192"/>
      <c r="T282" s="3192"/>
      <c r="U282" s="3192"/>
    </row>
    <row r="283" spans="1:21" s="961" customFormat="1" ht="14.25" customHeight="1">
      <c r="A283" s="3157" t="s">
        <v>1156</v>
      </c>
      <c r="B283" s="3157" t="s">
        <v>1021</v>
      </c>
      <c r="C283" s="3157">
        <v>4950</v>
      </c>
      <c r="D283" s="3157">
        <v>4900</v>
      </c>
      <c r="E283" s="3157">
        <v>5720</v>
      </c>
      <c r="F283" s="3163">
        <v>920</v>
      </c>
      <c r="G283" s="3163">
        <v>2950</v>
      </c>
      <c r="I283" s="972"/>
      <c r="J283" s="3192"/>
      <c r="K283" s="3192"/>
      <c r="L283" s="3192"/>
      <c r="M283" s="3192"/>
      <c r="N283" s="3192"/>
      <c r="O283" s="3192"/>
      <c r="P283" s="3192"/>
      <c r="Q283" s="3192"/>
      <c r="R283" s="3192"/>
      <c r="S283" s="3192"/>
      <c r="T283" s="3192"/>
      <c r="U283" s="3192"/>
    </row>
    <row r="284" spans="1:21" s="961" customFormat="1" ht="14.25" customHeight="1">
      <c r="A284" s="3157" t="s">
        <v>1156</v>
      </c>
      <c r="B284" s="3157" t="s">
        <v>1029</v>
      </c>
      <c r="C284" s="3157">
        <v>5610</v>
      </c>
      <c r="D284" s="3157">
        <v>5560</v>
      </c>
      <c r="E284" s="3157">
        <v>6520</v>
      </c>
      <c r="F284" s="3163">
        <v>1030</v>
      </c>
      <c r="G284" s="3163">
        <v>3360</v>
      </c>
      <c r="I284" s="972"/>
      <c r="J284" s="3192"/>
      <c r="K284" s="3192"/>
      <c r="L284" s="3192"/>
      <c r="M284" s="3192"/>
      <c r="N284" s="3192"/>
      <c r="O284" s="3192"/>
      <c r="P284" s="3192"/>
      <c r="Q284" s="3192"/>
      <c r="R284" s="3192"/>
      <c r="S284" s="3192"/>
      <c r="T284" s="3192"/>
      <c r="U284" s="3192"/>
    </row>
    <row r="285" spans="1:21" s="961" customFormat="1" ht="14.25" customHeight="1">
      <c r="A285" s="3157" t="s">
        <v>1156</v>
      </c>
      <c r="B285" s="3157" t="s">
        <v>1039</v>
      </c>
      <c r="C285" s="3157">
        <v>5340</v>
      </c>
      <c r="D285" s="3157">
        <v>5290</v>
      </c>
      <c r="E285" s="3157">
        <v>6170</v>
      </c>
      <c r="F285" s="3163">
        <v>1080</v>
      </c>
      <c r="G285" s="3163">
        <v>3180</v>
      </c>
      <c r="I285" s="972"/>
      <c r="J285" s="3192"/>
      <c r="K285" s="3192"/>
      <c r="L285" s="3192"/>
      <c r="M285" s="3192"/>
      <c r="N285" s="3192"/>
      <c r="O285" s="3192"/>
      <c r="P285" s="3192"/>
      <c r="Q285" s="3192"/>
      <c r="R285" s="3192"/>
      <c r="S285" s="3192"/>
      <c r="T285" s="3192"/>
      <c r="U285" s="3192"/>
    </row>
    <row r="286" spans="1:21" s="961" customFormat="1" ht="14.25" customHeight="1">
      <c r="A286" s="3157" t="s">
        <v>1156</v>
      </c>
      <c r="B286" s="3157" t="s">
        <v>1046</v>
      </c>
      <c r="C286" s="3157">
        <v>4890</v>
      </c>
      <c r="D286" s="3157">
        <v>4840</v>
      </c>
      <c r="E286" s="3157">
        <v>5640</v>
      </c>
      <c r="F286" s="3163">
        <v>960</v>
      </c>
      <c r="G286" s="3163">
        <v>2910</v>
      </c>
      <c r="I286" s="972"/>
      <c r="J286" s="3192"/>
      <c r="K286" s="3192"/>
      <c r="L286" s="3192"/>
      <c r="M286" s="3192"/>
      <c r="N286" s="3192"/>
      <c r="O286" s="3192"/>
      <c r="P286" s="3192"/>
      <c r="Q286" s="3192"/>
      <c r="R286" s="3192"/>
      <c r="S286" s="3192"/>
      <c r="T286" s="3192"/>
      <c r="U286" s="3192"/>
    </row>
    <row r="287" spans="1:21" s="961" customFormat="1" ht="14.25" customHeight="1">
      <c r="A287" s="3157" t="s">
        <v>1156</v>
      </c>
      <c r="B287" s="3157" t="s">
        <v>2961</v>
      </c>
      <c r="C287" s="3157">
        <v>4960</v>
      </c>
      <c r="D287" s="3157">
        <v>4920</v>
      </c>
      <c r="E287" s="3157">
        <v>5730</v>
      </c>
      <c r="F287" s="3163">
        <v>930</v>
      </c>
      <c r="G287" s="3163">
        <v>2960</v>
      </c>
      <c r="I287" s="972"/>
      <c r="J287" s="3192"/>
      <c r="K287" s="3192"/>
      <c r="L287" s="3192"/>
      <c r="M287" s="3192"/>
      <c r="N287" s="3192"/>
      <c r="O287" s="3192"/>
      <c r="P287" s="3192"/>
      <c r="Q287" s="3192"/>
      <c r="R287" s="3192"/>
      <c r="S287" s="3192"/>
      <c r="T287" s="3192"/>
      <c r="U287" s="3192"/>
    </row>
    <row r="288" spans="1:21" s="961" customFormat="1" ht="14.25" customHeight="1">
      <c r="A288" s="3157" t="s">
        <v>1156</v>
      </c>
      <c r="B288" s="3157" t="s">
        <v>1067</v>
      </c>
      <c r="C288" s="3157">
        <v>4350</v>
      </c>
      <c r="D288" s="3157">
        <v>4300</v>
      </c>
      <c r="E288" s="3157">
        <v>4900</v>
      </c>
      <c r="F288" s="3163">
        <v>820</v>
      </c>
      <c r="G288" s="3163">
        <v>2590</v>
      </c>
      <c r="I288" s="972"/>
      <c r="J288" s="3192"/>
      <c r="K288" s="3192"/>
      <c r="L288" s="3192"/>
      <c r="M288" s="3192"/>
      <c r="N288" s="3192"/>
      <c r="O288" s="3192"/>
      <c r="P288" s="3192"/>
      <c r="Q288" s="3192"/>
      <c r="R288" s="3192"/>
      <c r="S288" s="3192"/>
      <c r="T288" s="3192"/>
      <c r="U288" s="3192"/>
    </row>
    <row r="289" spans="1:21" s="961" customFormat="1" ht="14.25" customHeight="1">
      <c r="A289" s="3157" t="s">
        <v>1156</v>
      </c>
      <c r="B289" s="3157" t="s">
        <v>2962</v>
      </c>
      <c r="C289" s="3157">
        <v>5230</v>
      </c>
      <c r="D289" s="3157">
        <v>5170</v>
      </c>
      <c r="E289" s="3157">
        <v>6060</v>
      </c>
      <c r="F289" s="3157">
        <v>900</v>
      </c>
      <c r="G289" s="3157">
        <v>3120</v>
      </c>
      <c r="H289" s="958"/>
      <c r="I289" s="972"/>
      <c r="J289" s="3192"/>
      <c r="K289" s="3192"/>
      <c r="L289" s="3192"/>
      <c r="M289" s="3192"/>
      <c r="N289" s="3192"/>
      <c r="O289" s="3192"/>
      <c r="P289" s="3192"/>
      <c r="Q289" s="3192"/>
      <c r="R289" s="3192"/>
      <c r="S289" s="3192"/>
      <c r="T289" s="3192"/>
      <c r="U289" s="3192"/>
    </row>
    <row r="290" spans="1:21" s="961" customFormat="1" ht="14.25" customHeight="1">
      <c r="A290" s="1216" t="s">
        <v>1156</v>
      </c>
      <c r="B290" s="1216" t="s">
        <v>1090</v>
      </c>
      <c r="C290" s="1216">
        <v>5550</v>
      </c>
      <c r="D290" s="1216">
        <v>5500</v>
      </c>
      <c r="E290" s="1216">
        <v>6440</v>
      </c>
      <c r="F290" s="3158">
        <v>960</v>
      </c>
      <c r="G290" s="3174">
        <v>3320</v>
      </c>
      <c r="I290" s="972"/>
      <c r="J290" s="3192"/>
      <c r="K290" s="3192"/>
      <c r="L290" s="3192"/>
      <c r="M290" s="3192"/>
      <c r="N290" s="3192"/>
      <c r="O290" s="3192"/>
      <c r="P290" s="3192"/>
      <c r="Q290" s="3192"/>
      <c r="R290" s="3192"/>
      <c r="S290" s="3192"/>
      <c r="T290" s="3192"/>
      <c r="U290" s="3192"/>
    </row>
    <row r="291" spans="1:21" s="961" customFormat="1" ht="14.25" customHeight="1">
      <c r="A291" s="3157" t="s">
        <v>1156</v>
      </c>
      <c r="B291" s="3157" t="s">
        <v>1098</v>
      </c>
      <c r="C291" s="3157">
        <v>5440</v>
      </c>
      <c r="D291" s="3157">
        <v>5400</v>
      </c>
      <c r="E291" s="3157">
        <v>6320</v>
      </c>
      <c r="F291" s="3163">
        <v>930</v>
      </c>
      <c r="G291" s="3165">
        <v>3250</v>
      </c>
      <c r="I291" s="972"/>
      <c r="J291" s="3192"/>
      <c r="K291" s="3192"/>
      <c r="L291" s="3192"/>
      <c r="M291" s="3192"/>
      <c r="N291" s="3192"/>
      <c r="O291" s="3192"/>
      <c r="P291" s="3192"/>
      <c r="Q291" s="3192"/>
      <c r="R291" s="3192"/>
      <c r="S291" s="3192"/>
      <c r="T291" s="3192"/>
      <c r="U291" s="3192"/>
    </row>
    <row r="292" spans="1:21" s="961" customFormat="1" ht="14.25" customHeight="1">
      <c r="A292" s="3157" t="s">
        <v>1156</v>
      </c>
      <c r="B292" s="3157" t="s">
        <v>1104</v>
      </c>
      <c r="C292" s="3157">
        <v>5400</v>
      </c>
      <c r="D292" s="3157">
        <v>5360</v>
      </c>
      <c r="E292" s="3157">
        <v>6270</v>
      </c>
      <c r="F292" s="3163">
        <v>1040</v>
      </c>
      <c r="G292" s="3163">
        <v>3230</v>
      </c>
      <c r="I292" s="972"/>
      <c r="J292" s="3192"/>
      <c r="K292" s="3192"/>
      <c r="L292" s="3192"/>
      <c r="M292" s="3192"/>
      <c r="N292" s="3192"/>
      <c r="O292" s="3192"/>
      <c r="P292" s="3192"/>
      <c r="Q292" s="3192"/>
      <c r="R292" s="3192"/>
      <c r="S292" s="3192"/>
      <c r="T292" s="3192"/>
      <c r="U292" s="3192"/>
    </row>
    <row r="293" spans="1:21" s="961" customFormat="1" ht="14.25" customHeight="1">
      <c r="A293" s="3157" t="s">
        <v>1156</v>
      </c>
      <c r="B293" s="3157" t="s">
        <v>2963</v>
      </c>
      <c r="C293" s="3157">
        <v>5320</v>
      </c>
      <c r="D293" s="3157">
        <v>5270</v>
      </c>
      <c r="E293" s="3157">
        <v>6160</v>
      </c>
      <c r="F293" s="3163">
        <v>990</v>
      </c>
      <c r="G293" s="3163">
        <v>3170</v>
      </c>
      <c r="I293" s="972"/>
      <c r="J293" s="3192"/>
      <c r="K293" s="3192"/>
      <c r="L293" s="3192"/>
      <c r="M293" s="3192"/>
      <c r="N293" s="3192"/>
      <c r="O293" s="3192"/>
      <c r="P293" s="3192"/>
      <c r="Q293" s="3192"/>
      <c r="R293" s="3192"/>
      <c r="S293" s="3192"/>
      <c r="T293" s="3192"/>
      <c r="U293" s="3192"/>
    </row>
    <row r="294" spans="1:21" s="961" customFormat="1" ht="14.25" customHeight="1">
      <c r="A294" s="3157" t="s">
        <v>1156</v>
      </c>
      <c r="B294" s="3157" t="s">
        <v>2964</v>
      </c>
      <c r="C294" s="3157">
        <v>5260</v>
      </c>
      <c r="D294" s="3157">
        <v>5210</v>
      </c>
      <c r="E294" s="3157">
        <v>6100</v>
      </c>
      <c r="F294" s="3163">
        <v>950</v>
      </c>
      <c r="G294" s="3163">
        <v>3150</v>
      </c>
      <c r="I294" s="972"/>
      <c r="J294" s="3192"/>
      <c r="K294" s="3192"/>
      <c r="L294" s="3192"/>
      <c r="M294" s="3192"/>
      <c r="N294" s="3192"/>
      <c r="O294" s="3192"/>
      <c r="P294" s="3192"/>
      <c r="Q294" s="3192"/>
      <c r="R294" s="3192"/>
      <c r="S294" s="3192"/>
      <c r="T294" s="3192"/>
      <c r="U294" s="3192"/>
    </row>
    <row r="295" spans="1:21" s="961" customFormat="1" ht="14.25" customHeight="1">
      <c r="A295" s="3157" t="s">
        <v>1156</v>
      </c>
      <c r="B295" s="3157" t="s">
        <v>1139</v>
      </c>
      <c r="C295" s="3157">
        <v>5610</v>
      </c>
      <c r="D295" s="3157">
        <v>5570</v>
      </c>
      <c r="E295" s="3157">
        <v>6530</v>
      </c>
      <c r="F295" s="3163">
        <v>960</v>
      </c>
      <c r="G295" s="3163">
        <v>3360</v>
      </c>
      <c r="I295" s="972"/>
      <c r="J295" s="3192"/>
      <c r="K295" s="3192"/>
      <c r="L295" s="3192"/>
      <c r="M295" s="3192"/>
      <c r="N295" s="3192"/>
      <c r="O295" s="3192"/>
      <c r="P295" s="3192"/>
      <c r="Q295" s="3192"/>
      <c r="R295" s="3192"/>
      <c r="S295" s="3192"/>
      <c r="T295" s="3192"/>
      <c r="U295" s="3192"/>
    </row>
    <row r="296" spans="1:21" s="961" customFormat="1" ht="14.25" customHeight="1">
      <c r="A296" s="3157" t="s">
        <v>1156</v>
      </c>
      <c r="B296" s="3157" t="s">
        <v>1142</v>
      </c>
      <c r="C296" s="3157">
        <v>5540</v>
      </c>
      <c r="D296" s="3157">
        <v>5490</v>
      </c>
      <c r="E296" s="3157">
        <v>6430</v>
      </c>
      <c r="F296" s="3163">
        <v>980</v>
      </c>
      <c r="G296" s="3163">
        <v>3310</v>
      </c>
      <c r="I296" s="972"/>
      <c r="J296" s="3192"/>
      <c r="K296" s="3192"/>
      <c r="L296" s="3192"/>
      <c r="M296" s="3192"/>
      <c r="N296" s="3192"/>
      <c r="O296" s="3192"/>
      <c r="P296" s="3192"/>
      <c r="Q296" s="3192"/>
      <c r="R296" s="3192"/>
      <c r="S296" s="3192"/>
      <c r="T296" s="3192"/>
      <c r="U296" s="3192"/>
    </row>
    <row r="297" spans="1:21" s="961" customFormat="1" ht="14.25" customHeight="1">
      <c r="A297" s="3157" t="s">
        <v>1156</v>
      </c>
      <c r="B297" s="3157" t="s">
        <v>1144</v>
      </c>
      <c r="C297" s="3157">
        <v>5480</v>
      </c>
      <c r="D297" s="3157">
        <v>5420</v>
      </c>
      <c r="E297" s="3157">
        <v>6370</v>
      </c>
      <c r="F297" s="3163">
        <v>990</v>
      </c>
      <c r="G297" s="3163">
        <v>3270</v>
      </c>
      <c r="I297" s="972"/>
      <c r="J297" s="3192"/>
      <c r="K297" s="3192"/>
      <c r="L297" s="3192"/>
      <c r="M297" s="3192"/>
      <c r="N297" s="3192"/>
      <c r="O297" s="3192"/>
      <c r="P297" s="3192"/>
      <c r="Q297" s="3192"/>
      <c r="R297" s="3192"/>
      <c r="S297" s="3192"/>
      <c r="T297" s="3192"/>
      <c r="U297" s="3192"/>
    </row>
    <row r="298" spans="1:21" s="961" customFormat="1" ht="14.25" customHeight="1">
      <c r="A298" s="3157" t="s">
        <v>1156</v>
      </c>
      <c r="B298" s="3157" t="s">
        <v>1147</v>
      </c>
      <c r="C298" s="3157">
        <v>5090</v>
      </c>
      <c r="D298" s="3157">
        <v>5050</v>
      </c>
      <c r="E298" s="3157">
        <v>5910</v>
      </c>
      <c r="F298" s="3163">
        <v>900</v>
      </c>
      <c r="G298" s="3163">
        <v>3040</v>
      </c>
      <c r="I298" s="972"/>
      <c r="J298" s="3192"/>
      <c r="K298" s="3192"/>
      <c r="L298" s="3192"/>
      <c r="M298" s="3192"/>
      <c r="N298" s="3192"/>
      <c r="O298" s="3192"/>
      <c r="P298" s="3192"/>
      <c r="Q298" s="3192"/>
      <c r="R298" s="3192"/>
      <c r="S298" s="3192"/>
      <c r="T298" s="3192"/>
      <c r="U298" s="3192"/>
    </row>
    <row r="299" spans="1:21" s="961" customFormat="1" ht="14.25" customHeight="1">
      <c r="A299" s="3157" t="s">
        <v>1156</v>
      </c>
      <c r="B299" s="3157" t="s">
        <v>2965</v>
      </c>
      <c r="C299" s="3157">
        <v>5430</v>
      </c>
      <c r="D299" s="3157">
        <v>5380</v>
      </c>
      <c r="E299" s="3157">
        <v>6280</v>
      </c>
      <c r="F299" s="3163">
        <v>1000</v>
      </c>
      <c r="G299" s="3165">
        <v>3240</v>
      </c>
      <c r="I299" s="972"/>
      <c r="J299" s="3192"/>
      <c r="K299" s="3192"/>
      <c r="L299" s="3192"/>
      <c r="M299" s="3192"/>
      <c r="N299" s="3192"/>
      <c r="O299" s="3192"/>
      <c r="P299" s="3192"/>
      <c r="Q299" s="3192"/>
      <c r="R299" s="3192"/>
      <c r="S299" s="3192"/>
      <c r="T299" s="3192"/>
      <c r="U299" s="3192"/>
    </row>
    <row r="300" spans="1:21" s="961" customFormat="1" ht="14.25" customHeight="1">
      <c r="A300" s="3157" t="s">
        <v>1156</v>
      </c>
      <c r="B300" s="3157" t="s">
        <v>1119</v>
      </c>
      <c r="C300" s="3157">
        <v>4740</v>
      </c>
      <c r="D300" s="3157">
        <v>4680</v>
      </c>
      <c r="E300" s="3157">
        <v>5450</v>
      </c>
      <c r="F300" s="3163">
        <v>900</v>
      </c>
      <c r="G300" s="3163">
        <v>2830</v>
      </c>
      <c r="I300" s="972"/>
      <c r="J300" s="3192"/>
      <c r="K300" s="3192"/>
      <c r="L300" s="3192"/>
      <c r="M300" s="3192"/>
      <c r="N300" s="3192"/>
      <c r="O300" s="3192"/>
      <c r="P300" s="3192"/>
      <c r="Q300" s="3192"/>
      <c r="R300" s="3192"/>
      <c r="S300" s="3192"/>
      <c r="T300" s="3192"/>
      <c r="U300" s="3192"/>
    </row>
    <row r="301" spans="1:21" s="961" customFormat="1" ht="14.25" customHeight="1">
      <c r="A301" s="3157" t="s">
        <v>1156</v>
      </c>
      <c r="B301" s="3157" t="s">
        <v>1125</v>
      </c>
      <c r="C301" s="3157">
        <v>4870</v>
      </c>
      <c r="D301" s="3157">
        <v>4810</v>
      </c>
      <c r="E301" s="3157">
        <v>5560</v>
      </c>
      <c r="F301" s="3163">
        <v>990</v>
      </c>
      <c r="G301" s="3165">
        <v>2910</v>
      </c>
      <c r="I301" s="972"/>
      <c r="J301" s="3192"/>
      <c r="K301" s="3192"/>
      <c r="L301" s="3192"/>
      <c r="M301" s="3192"/>
      <c r="N301" s="3192"/>
      <c r="O301" s="3192"/>
      <c r="P301" s="3192"/>
      <c r="Q301" s="3192"/>
      <c r="R301" s="3192"/>
      <c r="S301" s="3192"/>
      <c r="T301" s="3192"/>
      <c r="U301" s="3192"/>
    </row>
    <row r="302" spans="1:21" s="961" customFormat="1" ht="14.25" customHeight="1">
      <c r="A302" s="3157" t="s">
        <v>1156</v>
      </c>
      <c r="B302" s="3157" t="s">
        <v>2966</v>
      </c>
      <c r="C302" s="3157">
        <v>5520</v>
      </c>
      <c r="D302" s="3157">
        <v>5470</v>
      </c>
      <c r="E302" s="3157">
        <v>6410</v>
      </c>
      <c r="F302" s="3163">
        <v>950</v>
      </c>
      <c r="G302" s="3163">
        <v>3300</v>
      </c>
      <c r="I302" s="972"/>
      <c r="J302" s="3192"/>
      <c r="K302" s="3192"/>
      <c r="L302" s="3192"/>
      <c r="M302" s="3192"/>
      <c r="N302" s="3192"/>
      <c r="O302" s="3192"/>
      <c r="P302" s="3192"/>
      <c r="Q302" s="3192"/>
      <c r="R302" s="3192"/>
      <c r="S302" s="3192"/>
      <c r="T302" s="3192"/>
      <c r="U302" s="3192"/>
    </row>
    <row r="303" spans="1:21" s="961" customFormat="1" ht="14.25" customHeight="1">
      <c r="A303" s="3157" t="s">
        <v>1156</v>
      </c>
      <c r="B303" s="3157" t="s">
        <v>2967</v>
      </c>
      <c r="C303" s="3157">
        <v>5630</v>
      </c>
      <c r="D303" s="3157">
        <v>5590</v>
      </c>
      <c r="E303" s="3157">
        <v>6550</v>
      </c>
      <c r="F303" s="3163">
        <v>1010</v>
      </c>
      <c r="G303" s="3163">
        <v>3370</v>
      </c>
      <c r="I303" s="972"/>
      <c r="J303" s="3192"/>
      <c r="K303" s="3192"/>
      <c r="L303" s="3192"/>
      <c r="M303" s="3192"/>
      <c r="N303" s="3192"/>
      <c r="O303" s="3192"/>
      <c r="P303" s="3192"/>
      <c r="Q303" s="3192"/>
      <c r="R303" s="3192"/>
      <c r="S303" s="3192"/>
      <c r="T303" s="3192"/>
      <c r="U303" s="3192"/>
    </row>
    <row r="304" spans="1:21" s="961" customFormat="1" ht="14.25" customHeight="1">
      <c r="A304" s="3157" t="s">
        <v>1156</v>
      </c>
      <c r="B304" s="3157" t="s">
        <v>2968</v>
      </c>
      <c r="C304" s="3157">
        <v>5680</v>
      </c>
      <c r="D304" s="3157">
        <v>5620</v>
      </c>
      <c r="E304" s="3157">
        <v>6620</v>
      </c>
      <c r="F304" s="3163">
        <v>1050</v>
      </c>
      <c r="G304" s="3165">
        <v>3390</v>
      </c>
      <c r="I304" s="972"/>
      <c r="J304" s="3192"/>
      <c r="K304" s="3192"/>
      <c r="L304" s="3192"/>
      <c r="M304" s="3192"/>
      <c r="N304" s="3192"/>
      <c r="O304" s="3192"/>
      <c r="P304" s="3192"/>
      <c r="Q304" s="3192"/>
      <c r="R304" s="3192"/>
      <c r="S304" s="3192"/>
      <c r="T304" s="3192"/>
      <c r="U304" s="3192"/>
    </row>
    <row r="305" spans="1:21" s="961" customFormat="1" ht="14.25" customHeight="1">
      <c r="A305" s="3157" t="s">
        <v>1156</v>
      </c>
      <c r="B305" s="3157" t="s">
        <v>2969</v>
      </c>
      <c r="C305" s="3157">
        <v>5590</v>
      </c>
      <c r="D305" s="3157">
        <v>5530</v>
      </c>
      <c r="E305" s="3157">
        <v>6460</v>
      </c>
      <c r="F305" s="3163">
        <v>900</v>
      </c>
      <c r="G305" s="3163">
        <v>3340</v>
      </c>
      <c r="I305" s="972"/>
      <c r="J305" s="3192"/>
      <c r="K305" s="3192"/>
      <c r="L305" s="3192"/>
      <c r="M305" s="3192"/>
      <c r="N305" s="3192"/>
      <c r="O305" s="3192"/>
      <c r="P305" s="3192"/>
      <c r="Q305" s="3192"/>
      <c r="R305" s="3192"/>
      <c r="S305" s="3192"/>
      <c r="T305" s="3192"/>
      <c r="U305" s="3192"/>
    </row>
    <row r="306" spans="1:21" s="961" customFormat="1" ht="14.25" customHeight="1">
      <c r="A306" s="3157" t="s">
        <v>1156</v>
      </c>
      <c r="B306" s="3157" t="s">
        <v>2970</v>
      </c>
      <c r="C306" s="3157">
        <v>5560</v>
      </c>
      <c r="D306" s="3157">
        <v>5510</v>
      </c>
      <c r="E306" s="3157">
        <v>6440</v>
      </c>
      <c r="F306" s="3163">
        <v>900</v>
      </c>
      <c r="G306" s="3165">
        <v>3320</v>
      </c>
      <c r="I306" s="972"/>
      <c r="J306" s="3192"/>
      <c r="K306" s="3192"/>
      <c r="L306" s="3192"/>
      <c r="M306" s="3192"/>
      <c r="N306" s="3192"/>
      <c r="O306" s="3192"/>
      <c r="P306" s="3192"/>
      <c r="Q306" s="3192"/>
      <c r="R306" s="3192"/>
      <c r="S306" s="3192"/>
      <c r="T306" s="3192"/>
      <c r="U306" s="3192"/>
    </row>
    <row r="307" spans="1:21" s="961" customFormat="1" ht="14.25" customHeight="1">
      <c r="A307" s="3157" t="s">
        <v>1156</v>
      </c>
      <c r="B307" s="3157" t="s">
        <v>2971</v>
      </c>
      <c r="C307" s="3157">
        <v>5650</v>
      </c>
      <c r="D307" s="3157">
        <v>5600</v>
      </c>
      <c r="E307" s="3157">
        <v>6590</v>
      </c>
      <c r="F307" s="3163">
        <v>930</v>
      </c>
      <c r="G307" s="3163">
        <v>3380</v>
      </c>
      <c r="I307" s="972"/>
      <c r="J307" s="3192"/>
      <c r="K307" s="3192"/>
      <c r="L307" s="3192"/>
      <c r="M307" s="3192"/>
      <c r="N307" s="3192"/>
      <c r="O307" s="3192"/>
      <c r="P307" s="3192"/>
      <c r="Q307" s="3192"/>
      <c r="R307" s="3192"/>
      <c r="S307" s="3192"/>
      <c r="T307" s="3192"/>
      <c r="U307" s="3192"/>
    </row>
    <row r="308" spans="1:21" s="961" customFormat="1" ht="14.25" customHeight="1">
      <c r="A308" s="3157" t="s">
        <v>1156</v>
      </c>
      <c r="B308" s="3157" t="s">
        <v>2972</v>
      </c>
      <c r="C308" s="3157">
        <v>5620</v>
      </c>
      <c r="D308" s="3157">
        <v>5580</v>
      </c>
      <c r="E308" s="3157">
        <v>6540</v>
      </c>
      <c r="F308" s="3163">
        <v>910</v>
      </c>
      <c r="G308" s="3163">
        <v>3370</v>
      </c>
      <c r="I308" s="972"/>
      <c r="J308" s="3192"/>
      <c r="K308" s="3192"/>
      <c r="L308" s="3192"/>
      <c r="M308" s="3192"/>
      <c r="N308" s="3192"/>
      <c r="O308" s="3192"/>
      <c r="P308" s="3192"/>
      <c r="Q308" s="3192"/>
      <c r="R308" s="3192"/>
      <c r="S308" s="3192"/>
      <c r="T308" s="3192"/>
      <c r="U308" s="3192"/>
    </row>
    <row r="309" spans="1:21" s="961" customFormat="1" ht="14.25" customHeight="1">
      <c r="A309" s="3157" t="s">
        <v>1156</v>
      </c>
      <c r="B309" s="3157" t="s">
        <v>2973</v>
      </c>
      <c r="C309" s="3157">
        <v>5060</v>
      </c>
      <c r="D309" s="3157">
        <v>5020</v>
      </c>
      <c r="E309" s="3157">
        <v>6370</v>
      </c>
      <c r="F309" s="3163">
        <v>800</v>
      </c>
      <c r="G309" s="3165">
        <v>3020</v>
      </c>
      <c r="I309" s="972"/>
      <c r="J309" s="3192"/>
      <c r="K309" s="3192"/>
      <c r="L309" s="3192"/>
      <c r="M309" s="3192"/>
      <c r="N309" s="3192"/>
      <c r="O309" s="3192"/>
      <c r="P309" s="3192"/>
      <c r="Q309" s="3192"/>
      <c r="R309" s="3192"/>
      <c r="S309" s="3192"/>
      <c r="T309" s="3192"/>
      <c r="U309" s="3192"/>
    </row>
    <row r="310" spans="1:21" s="961" customFormat="1" ht="14.25" customHeight="1">
      <c r="A310" s="3157" t="s">
        <v>1156</v>
      </c>
      <c r="B310" s="3157" t="s">
        <v>2974</v>
      </c>
      <c r="C310" s="3157">
        <v>5150</v>
      </c>
      <c r="D310" s="3157">
        <v>5110</v>
      </c>
      <c r="E310" s="3157">
        <v>6500</v>
      </c>
      <c r="F310" s="3163">
        <v>880</v>
      </c>
      <c r="G310" s="3163">
        <v>3080</v>
      </c>
      <c r="I310" s="972"/>
      <c r="J310" s="3192"/>
      <c r="K310" s="3192"/>
      <c r="L310" s="3192"/>
      <c r="M310" s="3192"/>
      <c r="N310" s="3192"/>
      <c r="O310" s="3192"/>
      <c r="P310" s="3192"/>
      <c r="Q310" s="3192"/>
      <c r="R310" s="3192"/>
      <c r="S310" s="3192"/>
      <c r="T310" s="3192"/>
      <c r="U310" s="3192"/>
    </row>
    <row r="311" spans="1:21" s="961" customFormat="1" ht="14.25" customHeight="1">
      <c r="A311" s="3157" t="s">
        <v>1156</v>
      </c>
      <c r="B311" s="3157" t="s">
        <v>2975</v>
      </c>
      <c r="C311" s="3157">
        <v>4750</v>
      </c>
      <c r="D311" s="3157">
        <v>4710</v>
      </c>
      <c r="E311" s="3157">
        <v>5510</v>
      </c>
      <c r="F311" s="3163">
        <v>880</v>
      </c>
      <c r="G311" s="3163">
        <v>2840</v>
      </c>
      <c r="I311" s="972"/>
      <c r="J311" s="3192"/>
      <c r="K311" s="3192"/>
      <c r="L311" s="3192"/>
      <c r="M311" s="3192"/>
      <c r="N311" s="3192"/>
      <c r="O311" s="3192"/>
      <c r="P311" s="3192"/>
      <c r="Q311" s="3192"/>
      <c r="R311" s="3192"/>
      <c r="S311" s="3192"/>
      <c r="T311" s="3192"/>
      <c r="U311" s="3192"/>
    </row>
    <row r="312" spans="1:21" s="961" customFormat="1" ht="14.25" customHeight="1">
      <c r="A312" s="3157" t="s">
        <v>1156</v>
      </c>
      <c r="B312" s="3157" t="s">
        <v>2976</v>
      </c>
      <c r="C312" s="3157">
        <v>4690</v>
      </c>
      <c r="D312" s="3157">
        <v>4640</v>
      </c>
      <c r="E312" s="3157">
        <v>5420</v>
      </c>
      <c r="F312" s="3163">
        <v>800</v>
      </c>
      <c r="G312" s="3163">
        <v>2800</v>
      </c>
      <c r="I312" s="972"/>
      <c r="J312" s="3192"/>
      <c r="K312" s="3192"/>
      <c r="L312" s="3192"/>
      <c r="M312" s="3192"/>
      <c r="N312" s="3192"/>
      <c r="O312" s="3192"/>
      <c r="P312" s="3192"/>
      <c r="Q312" s="3192"/>
      <c r="R312" s="3192"/>
      <c r="S312" s="3192"/>
      <c r="T312" s="3192"/>
      <c r="U312" s="3192"/>
    </row>
    <row r="313" spans="1:21" s="961" customFormat="1" ht="14.25" customHeight="1">
      <c r="A313" s="3157" t="s">
        <v>1156</v>
      </c>
      <c r="B313" s="3157" t="s">
        <v>2977</v>
      </c>
      <c r="C313" s="3157">
        <v>4810</v>
      </c>
      <c r="D313" s="3157">
        <v>4760</v>
      </c>
      <c r="E313" s="3157">
        <v>5550</v>
      </c>
      <c r="F313" s="3163">
        <v>920</v>
      </c>
      <c r="G313" s="3163">
        <v>2870</v>
      </c>
      <c r="I313" s="972"/>
      <c r="J313" s="3192"/>
      <c r="K313" s="3192"/>
      <c r="L313" s="3192"/>
      <c r="M313" s="3192"/>
      <c r="N313" s="3192"/>
      <c r="O313" s="3192"/>
      <c r="P313" s="3192"/>
      <c r="Q313" s="3192"/>
      <c r="R313" s="3192"/>
      <c r="S313" s="3192"/>
      <c r="T313" s="3192"/>
      <c r="U313" s="3192"/>
    </row>
    <row r="314" spans="1:21" s="961" customFormat="1" ht="14.25" customHeight="1">
      <c r="A314" s="3157" t="s">
        <v>1156</v>
      </c>
      <c r="B314" s="3157" t="s">
        <v>2978</v>
      </c>
      <c r="C314" s="3157"/>
      <c r="D314" s="3157"/>
      <c r="E314" s="3157"/>
      <c r="F314" s="3163">
        <v>1020</v>
      </c>
      <c r="G314" s="3163"/>
      <c r="I314" s="972"/>
      <c r="J314" s="3192"/>
      <c r="K314" s="3192"/>
      <c r="L314" s="3192"/>
      <c r="M314" s="3192"/>
      <c r="N314" s="3192"/>
      <c r="O314" s="3192"/>
      <c r="P314" s="3192"/>
      <c r="Q314" s="3192"/>
      <c r="R314" s="3192"/>
      <c r="S314" s="3192"/>
      <c r="T314" s="3192"/>
      <c r="U314" s="3192"/>
    </row>
    <row r="315" spans="1:21" s="961" customFormat="1" ht="14.25" customHeight="1">
      <c r="A315" s="3157" t="s">
        <v>1156</v>
      </c>
      <c r="B315" s="3157" t="s">
        <v>2979</v>
      </c>
      <c r="C315" s="3157"/>
      <c r="D315" s="3157"/>
      <c r="E315" s="3157"/>
      <c r="F315" s="3163">
        <v>1050</v>
      </c>
      <c r="G315" s="3163"/>
      <c r="I315" s="972"/>
      <c r="J315" s="3192"/>
      <c r="K315" s="3192"/>
      <c r="L315" s="3192"/>
      <c r="M315" s="3192"/>
      <c r="N315" s="3192"/>
      <c r="O315" s="3192"/>
      <c r="P315" s="3192"/>
      <c r="Q315" s="3192"/>
      <c r="R315" s="3192"/>
      <c r="S315" s="3192"/>
      <c r="T315" s="3192"/>
      <c r="U315" s="3192"/>
    </row>
    <row r="316" spans="1:21" s="961" customFormat="1" ht="14.25" customHeight="1">
      <c r="A316" s="3157" t="s">
        <v>1156</v>
      </c>
      <c r="B316" s="3157" t="s">
        <v>2980</v>
      </c>
      <c r="C316" s="3157"/>
      <c r="D316" s="3157"/>
      <c r="E316" s="3157"/>
      <c r="F316" s="3163">
        <v>900</v>
      </c>
      <c r="G316" s="3170"/>
      <c r="I316" s="972"/>
      <c r="J316" s="3192"/>
      <c r="K316" s="3192"/>
      <c r="L316" s="3192"/>
      <c r="M316" s="3192"/>
      <c r="N316" s="3192"/>
      <c r="O316" s="3192"/>
      <c r="P316" s="3192"/>
      <c r="Q316" s="3192"/>
      <c r="R316" s="3192"/>
      <c r="S316" s="3192"/>
      <c r="T316" s="3192"/>
      <c r="U316" s="3192"/>
    </row>
    <row r="317" spans="1:21" s="961" customFormat="1" ht="14.25" customHeight="1">
      <c r="A317" s="1216" t="s">
        <v>1156</v>
      </c>
      <c r="B317" s="1216" t="s">
        <v>2981</v>
      </c>
      <c r="C317" s="1216"/>
      <c r="D317" s="1216"/>
      <c r="E317" s="1216"/>
      <c r="F317" s="3158">
        <v>920</v>
      </c>
      <c r="G317" s="3158"/>
      <c r="I317" s="958"/>
      <c r="J317" s="3192"/>
      <c r="K317" s="3192"/>
      <c r="L317" s="3192"/>
      <c r="M317" s="3192"/>
      <c r="N317" s="3192"/>
      <c r="O317" s="3192"/>
      <c r="P317" s="3192"/>
      <c r="Q317" s="3192"/>
      <c r="R317" s="3192"/>
      <c r="S317" s="3192"/>
      <c r="T317" s="3192"/>
      <c r="U317" s="3192"/>
    </row>
    <row r="318" spans="1:21" s="961" customFormat="1" ht="14.25" customHeight="1">
      <c r="A318" s="3157" t="s">
        <v>1156</v>
      </c>
      <c r="B318" s="3157" t="s">
        <v>2982</v>
      </c>
      <c r="C318" s="3157"/>
      <c r="D318" s="3157"/>
      <c r="E318" s="3157"/>
      <c r="F318" s="3163">
        <v>1080</v>
      </c>
      <c r="G318" s="3165"/>
      <c r="I318" s="958"/>
      <c r="J318" s="3192"/>
      <c r="K318" s="3192"/>
      <c r="L318" s="3192"/>
      <c r="M318" s="3192"/>
      <c r="N318" s="3192"/>
      <c r="O318" s="3192"/>
      <c r="P318" s="3192"/>
      <c r="Q318" s="3192"/>
      <c r="R318" s="3192"/>
      <c r="S318" s="3192"/>
      <c r="T318" s="3192"/>
      <c r="U318" s="3192"/>
    </row>
    <row r="319" spans="1:21" s="961" customFormat="1" ht="14.25" customHeight="1">
      <c r="A319" s="3157" t="s">
        <v>1156</v>
      </c>
      <c r="B319" s="3157" t="s">
        <v>2983</v>
      </c>
      <c r="C319" s="3157"/>
      <c r="D319" s="3157"/>
      <c r="E319" s="3157"/>
      <c r="F319" s="3163">
        <v>1020</v>
      </c>
      <c r="G319" s="3163"/>
      <c r="I319" s="958"/>
      <c r="J319" s="3192"/>
      <c r="K319" s="3192"/>
      <c r="L319" s="3192"/>
      <c r="M319" s="3192"/>
      <c r="N319" s="3192"/>
      <c r="O319" s="3192"/>
      <c r="P319" s="3192"/>
      <c r="Q319" s="3192"/>
      <c r="R319" s="3192"/>
      <c r="S319" s="3192"/>
      <c r="T319" s="3192"/>
      <c r="U319" s="3192"/>
    </row>
    <row r="320" spans="1:21" s="961" customFormat="1" ht="14.25" customHeight="1">
      <c r="A320" s="3157" t="s">
        <v>1156</v>
      </c>
      <c r="B320" s="3157" t="s">
        <v>2984</v>
      </c>
      <c r="C320" s="3157"/>
      <c r="D320" s="3157"/>
      <c r="E320" s="3157"/>
      <c r="F320" s="3163">
        <v>1050</v>
      </c>
      <c r="G320" s="3165"/>
      <c r="I320" s="958"/>
      <c r="J320" s="3192"/>
      <c r="K320" s="3192"/>
      <c r="L320" s="3192"/>
      <c r="M320" s="3192"/>
      <c r="N320" s="3192"/>
      <c r="O320" s="3192"/>
      <c r="P320" s="3192"/>
      <c r="Q320" s="3192"/>
      <c r="R320" s="3192"/>
      <c r="S320" s="3192"/>
      <c r="T320" s="3192"/>
      <c r="U320" s="3192"/>
    </row>
    <row r="321" spans="1:21" s="961" customFormat="1" ht="14.25" customHeight="1">
      <c r="A321" s="3157" t="s">
        <v>1156</v>
      </c>
      <c r="B321" s="3157" t="s">
        <v>2985</v>
      </c>
      <c r="C321" s="3157"/>
      <c r="D321" s="3157"/>
      <c r="E321" s="3157"/>
      <c r="F321" s="3163">
        <v>960</v>
      </c>
      <c r="G321" s="3165"/>
      <c r="I321" s="958"/>
      <c r="J321" s="3192"/>
      <c r="K321" s="3192"/>
      <c r="L321" s="3192"/>
      <c r="M321" s="3192"/>
      <c r="N321" s="3192"/>
      <c r="O321" s="3192"/>
      <c r="P321" s="3192"/>
      <c r="Q321" s="3192"/>
      <c r="R321" s="3192"/>
      <c r="S321" s="3192"/>
      <c r="T321" s="3192"/>
      <c r="U321" s="3192"/>
    </row>
    <row r="322" spans="1:21" s="961" customFormat="1" ht="14.25" customHeight="1">
      <c r="A322" s="3157" t="s">
        <v>1156</v>
      </c>
      <c r="B322" s="3157" t="s">
        <v>2986</v>
      </c>
      <c r="C322" s="3157"/>
      <c r="D322" s="3157"/>
      <c r="E322" s="3157"/>
      <c r="F322" s="3163">
        <v>960</v>
      </c>
      <c r="G322" s="3163"/>
      <c r="I322" s="958"/>
      <c r="J322" s="3192"/>
      <c r="K322" s="3192"/>
      <c r="L322" s="3192"/>
      <c r="M322" s="3192"/>
      <c r="N322" s="3192"/>
      <c r="O322" s="3192"/>
      <c r="P322" s="3192"/>
      <c r="Q322" s="3192"/>
      <c r="R322" s="3192"/>
      <c r="S322" s="3192"/>
      <c r="T322" s="3192"/>
      <c r="U322" s="3192"/>
    </row>
    <row r="323" spans="1:21" s="961" customFormat="1" ht="14.25" customHeight="1">
      <c r="A323" s="3157" t="s">
        <v>1156</v>
      </c>
      <c r="B323" s="3157" t="s">
        <v>2987</v>
      </c>
      <c r="C323" s="3157"/>
      <c r="D323" s="3157"/>
      <c r="E323" s="3157"/>
      <c r="F323" s="3163">
        <v>880</v>
      </c>
      <c r="G323" s="3165"/>
      <c r="I323" s="958"/>
      <c r="J323" s="3192"/>
      <c r="K323" s="3192"/>
      <c r="L323" s="3192"/>
      <c r="M323" s="3192"/>
      <c r="N323" s="3192"/>
      <c r="O323" s="3192"/>
      <c r="P323" s="3192"/>
      <c r="Q323" s="3192"/>
      <c r="R323" s="3192"/>
      <c r="S323" s="3192"/>
      <c r="T323" s="3192"/>
      <c r="U323" s="3192"/>
    </row>
    <row r="324" spans="1:21" s="961" customFormat="1" ht="14.25" customHeight="1">
      <c r="A324" s="3157" t="s">
        <v>1156</v>
      </c>
      <c r="B324" s="3157" t="s">
        <v>2988</v>
      </c>
      <c r="C324" s="3157"/>
      <c r="D324" s="3157"/>
      <c r="E324" s="3157"/>
      <c r="F324" s="3163">
        <v>930</v>
      </c>
      <c r="G324" s="3165"/>
      <c r="I324" s="958"/>
      <c r="J324" s="3192"/>
      <c r="K324" s="3192"/>
      <c r="L324" s="3192"/>
      <c r="M324" s="3192"/>
      <c r="N324" s="3192"/>
      <c r="O324" s="3192"/>
      <c r="P324" s="3192"/>
      <c r="Q324" s="3192"/>
      <c r="R324" s="3192"/>
      <c r="S324" s="3192"/>
      <c r="T324" s="3192"/>
      <c r="U324" s="3192"/>
    </row>
    <row r="325" spans="1:21" s="961" customFormat="1" ht="14.25" customHeight="1">
      <c r="A325" s="3157" t="s">
        <v>1156</v>
      </c>
      <c r="B325" s="3157" t="s">
        <v>2989</v>
      </c>
      <c r="C325" s="3157"/>
      <c r="D325" s="3157"/>
      <c r="E325" s="3157"/>
      <c r="F325" s="3163">
        <v>900</v>
      </c>
      <c r="G325" s="3163"/>
      <c r="I325" s="958"/>
      <c r="J325" s="3192"/>
      <c r="K325" s="3192"/>
      <c r="L325" s="3192"/>
      <c r="M325" s="3192"/>
      <c r="N325" s="3192"/>
      <c r="O325" s="3192"/>
      <c r="P325" s="3192"/>
      <c r="Q325" s="3192"/>
      <c r="R325" s="3192"/>
      <c r="S325" s="3192"/>
      <c r="T325" s="3192"/>
      <c r="U325" s="3192"/>
    </row>
    <row r="326" spans="1:21" s="961" customFormat="1" ht="14.25" customHeight="1" thickBot="1">
      <c r="A326" s="3172" t="s">
        <v>1156</v>
      </c>
      <c r="B326" s="3160" t="s">
        <v>2990</v>
      </c>
      <c r="C326" s="3160"/>
      <c r="D326" s="3160"/>
      <c r="E326" s="3160"/>
      <c r="F326" s="3161">
        <v>790</v>
      </c>
      <c r="G326" s="3176"/>
      <c r="I326" s="958"/>
      <c r="J326" s="3192"/>
      <c r="K326" s="3192"/>
      <c r="L326" s="3192"/>
      <c r="M326" s="3192"/>
      <c r="N326" s="3192"/>
      <c r="O326" s="3192"/>
      <c r="P326" s="3192"/>
      <c r="Q326" s="3192"/>
      <c r="R326" s="3192"/>
      <c r="S326" s="3192"/>
      <c r="T326" s="3192"/>
      <c r="U326" s="3192"/>
    </row>
    <row r="327" spans="1:21" s="961" customFormat="1" ht="14.25" customHeight="1">
      <c r="A327" s="3171" t="s">
        <v>1157</v>
      </c>
      <c r="B327" s="2406" t="s">
        <v>2991</v>
      </c>
      <c r="C327" s="2406">
        <v>3750</v>
      </c>
      <c r="D327" s="2406">
        <v>3710</v>
      </c>
      <c r="E327" s="2406">
        <v>4080</v>
      </c>
      <c r="F327" s="3179">
        <v>860</v>
      </c>
      <c r="G327" s="3179">
        <v>2210</v>
      </c>
      <c r="I327" s="958"/>
      <c r="J327" s="3192"/>
      <c r="K327" s="3192"/>
      <c r="L327" s="3192"/>
      <c r="M327" s="3192"/>
      <c r="N327" s="3192"/>
      <c r="O327" s="3192"/>
      <c r="P327" s="3192"/>
      <c r="Q327" s="3192"/>
      <c r="R327" s="3192"/>
      <c r="S327" s="3192"/>
      <c r="T327" s="3192"/>
      <c r="U327" s="3192"/>
    </row>
    <row r="328" spans="1:21" s="961" customFormat="1" ht="14.25" customHeight="1">
      <c r="A328" s="3157" t="s">
        <v>1157</v>
      </c>
      <c r="B328" s="3157" t="s">
        <v>981</v>
      </c>
      <c r="C328" s="3157">
        <v>3330</v>
      </c>
      <c r="D328" s="3157">
        <v>3290</v>
      </c>
      <c r="E328" s="3157">
        <v>3610</v>
      </c>
      <c r="F328" s="3157">
        <v>850</v>
      </c>
      <c r="G328" s="3157">
        <v>1960</v>
      </c>
      <c r="H328" s="958"/>
      <c r="I328" s="958"/>
      <c r="J328" s="3192"/>
      <c r="K328" s="3192"/>
      <c r="L328" s="3192"/>
      <c r="M328" s="3192"/>
      <c r="N328" s="3192"/>
      <c r="O328" s="3192"/>
      <c r="P328" s="3192"/>
      <c r="Q328" s="3192"/>
      <c r="R328" s="3192"/>
      <c r="S328" s="3192"/>
      <c r="T328" s="3192"/>
      <c r="U328" s="3192"/>
    </row>
    <row r="329" spans="1:21" s="961" customFormat="1" ht="14.25" customHeight="1">
      <c r="A329" s="3157" t="s">
        <v>1157</v>
      </c>
      <c r="B329" s="3157" t="s">
        <v>2992</v>
      </c>
      <c r="C329" s="3157">
        <v>2730</v>
      </c>
      <c r="D329" s="3157">
        <v>2690</v>
      </c>
      <c r="E329" s="3157">
        <v>3100</v>
      </c>
      <c r="F329" s="3157">
        <v>660</v>
      </c>
      <c r="G329" s="3157">
        <v>1610</v>
      </c>
      <c r="H329" s="958"/>
      <c r="I329" s="958"/>
      <c r="J329" s="3192"/>
      <c r="K329" s="3192"/>
      <c r="L329" s="3192"/>
      <c r="M329" s="3192"/>
      <c r="N329" s="3192"/>
      <c r="O329" s="3192"/>
      <c r="P329" s="3192"/>
      <c r="Q329" s="3192"/>
      <c r="R329" s="3192"/>
      <c r="S329" s="3192"/>
      <c r="T329" s="3192"/>
      <c r="U329" s="3192"/>
    </row>
    <row r="330" spans="1:21" s="961" customFormat="1" ht="14.25" customHeight="1">
      <c r="A330" s="3157" t="s">
        <v>1157</v>
      </c>
      <c r="B330" s="3157" t="s">
        <v>2993</v>
      </c>
      <c r="C330" s="3157">
        <v>3270</v>
      </c>
      <c r="D330" s="3157">
        <v>3240</v>
      </c>
      <c r="E330" s="3157">
        <v>3560</v>
      </c>
      <c r="F330" s="3157">
        <v>680</v>
      </c>
      <c r="G330" s="3166">
        <v>1940</v>
      </c>
      <c r="H330" s="958"/>
      <c r="I330" s="958"/>
      <c r="J330" s="3192"/>
      <c r="K330" s="3192"/>
      <c r="L330" s="3192"/>
      <c r="M330" s="3192"/>
      <c r="N330" s="3192"/>
      <c r="O330" s="3192"/>
      <c r="P330" s="3192"/>
      <c r="Q330" s="3192"/>
      <c r="R330" s="3192"/>
      <c r="S330" s="3192"/>
      <c r="T330" s="3192"/>
      <c r="U330" s="3192"/>
    </row>
    <row r="331" spans="1:21" s="961" customFormat="1" ht="14.25" customHeight="1">
      <c r="A331" s="3157" t="s">
        <v>1157</v>
      </c>
      <c r="B331" s="3157" t="s">
        <v>1008</v>
      </c>
      <c r="C331" s="3157">
        <v>3770</v>
      </c>
      <c r="D331" s="3157">
        <v>3740</v>
      </c>
      <c r="E331" s="3157">
        <v>4110</v>
      </c>
      <c r="F331" s="3157">
        <v>730</v>
      </c>
      <c r="G331" s="3157">
        <v>2230</v>
      </c>
      <c r="H331" s="958"/>
      <c r="I331" s="958"/>
      <c r="J331" s="3192"/>
      <c r="K331" s="3192"/>
      <c r="L331" s="3192"/>
      <c r="M331" s="3192"/>
      <c r="N331" s="3192"/>
      <c r="O331" s="3192"/>
      <c r="P331" s="3192"/>
      <c r="Q331" s="3192"/>
      <c r="R331" s="3192"/>
      <c r="S331" s="3192"/>
      <c r="T331" s="3192"/>
      <c r="U331" s="3192"/>
    </row>
    <row r="332" spans="1:21" s="961" customFormat="1" ht="14.25" customHeight="1">
      <c r="A332" s="3157" t="s">
        <v>1157</v>
      </c>
      <c r="B332" s="3157" t="s">
        <v>2994</v>
      </c>
      <c r="C332" s="3157">
        <v>3520</v>
      </c>
      <c r="D332" s="3157">
        <v>3480</v>
      </c>
      <c r="E332" s="3157">
        <v>3830</v>
      </c>
      <c r="F332" s="3157">
        <v>720</v>
      </c>
      <c r="G332" s="3157">
        <v>2090</v>
      </c>
      <c r="H332" s="958"/>
      <c r="I332" s="958"/>
      <c r="J332" s="3192"/>
      <c r="K332" s="3192"/>
      <c r="L332" s="3192"/>
      <c r="M332" s="3192"/>
      <c r="N332" s="3192"/>
      <c r="O332" s="3192"/>
      <c r="P332" s="3192"/>
      <c r="Q332" s="3192"/>
      <c r="R332" s="3192"/>
      <c r="S332" s="3192"/>
      <c r="T332" s="3192"/>
      <c r="U332" s="3192"/>
    </row>
    <row r="333" spans="1:21" s="961" customFormat="1" ht="14.25" customHeight="1">
      <c r="A333" s="3157" t="s">
        <v>1157</v>
      </c>
      <c r="B333" s="3157" t="s">
        <v>2995</v>
      </c>
      <c r="C333" s="3157">
        <v>3840</v>
      </c>
      <c r="D333" s="3157">
        <v>3800</v>
      </c>
      <c r="E333" s="3157">
        <v>4200</v>
      </c>
      <c r="F333" s="3157">
        <v>760</v>
      </c>
      <c r="G333" s="3157">
        <v>2270</v>
      </c>
      <c r="H333" s="958"/>
      <c r="I333" s="958"/>
      <c r="J333" s="3192"/>
      <c r="K333" s="3192"/>
      <c r="L333" s="3192"/>
      <c r="M333" s="3192"/>
      <c r="N333" s="3192"/>
      <c r="O333" s="3192"/>
      <c r="P333" s="3192"/>
      <c r="Q333" s="3192"/>
      <c r="R333" s="3192"/>
      <c r="S333" s="3192"/>
      <c r="T333" s="3192"/>
      <c r="U333" s="3192"/>
    </row>
    <row r="334" spans="1:21" s="961" customFormat="1" ht="14.25" customHeight="1">
      <c r="A334" s="3157" t="s">
        <v>1157</v>
      </c>
      <c r="B334" s="3157" t="s">
        <v>1030</v>
      </c>
      <c r="C334" s="3157">
        <v>3960</v>
      </c>
      <c r="D334" s="3157">
        <v>3910</v>
      </c>
      <c r="E334" s="3157">
        <v>4340</v>
      </c>
      <c r="F334" s="3157">
        <v>780</v>
      </c>
      <c r="G334" s="3157">
        <v>2340</v>
      </c>
      <c r="H334" s="958"/>
      <c r="I334" s="958"/>
      <c r="J334" s="3192"/>
      <c r="K334" s="3192"/>
      <c r="L334" s="3192"/>
      <c r="M334" s="3192"/>
      <c r="N334" s="3192"/>
      <c r="O334" s="3192"/>
      <c r="P334" s="3192"/>
      <c r="Q334" s="3192"/>
      <c r="R334" s="3192"/>
      <c r="S334" s="3192"/>
      <c r="T334" s="3192"/>
      <c r="U334" s="3192"/>
    </row>
    <row r="335" spans="1:21" s="961" customFormat="1" ht="14.25" customHeight="1">
      <c r="A335" s="3157" t="s">
        <v>1157</v>
      </c>
      <c r="B335" s="3157" t="s">
        <v>1040</v>
      </c>
      <c r="C335" s="3157">
        <v>3710</v>
      </c>
      <c r="D335" s="3157">
        <v>3670</v>
      </c>
      <c r="E335" s="3157">
        <v>4030</v>
      </c>
      <c r="F335" s="3157">
        <v>750</v>
      </c>
      <c r="G335" s="3166">
        <v>2200</v>
      </c>
      <c r="H335" s="958"/>
      <c r="I335" s="958"/>
      <c r="J335" s="3192"/>
      <c r="K335" s="3192"/>
      <c r="L335" s="3192"/>
      <c r="M335" s="3192"/>
      <c r="N335" s="3192"/>
      <c r="O335" s="3192"/>
      <c r="P335" s="3192"/>
      <c r="Q335" s="3192"/>
      <c r="R335" s="3192"/>
      <c r="S335" s="3192"/>
      <c r="T335" s="3192"/>
      <c r="U335" s="3192"/>
    </row>
    <row r="336" spans="1:21" s="961" customFormat="1" ht="14.25" customHeight="1">
      <c r="A336" s="3157" t="s">
        <v>1157</v>
      </c>
      <c r="B336" s="3157" t="s">
        <v>2996</v>
      </c>
      <c r="C336" s="3157">
        <v>3570</v>
      </c>
      <c r="D336" s="3157">
        <v>3530</v>
      </c>
      <c r="E336" s="3157">
        <v>3880</v>
      </c>
      <c r="F336" s="3157">
        <v>770</v>
      </c>
      <c r="G336" s="3157">
        <v>2110</v>
      </c>
      <c r="H336" s="958"/>
      <c r="I336" s="958"/>
      <c r="J336" s="3192"/>
      <c r="K336" s="3192"/>
      <c r="L336" s="3192"/>
      <c r="M336" s="3192"/>
      <c r="N336" s="3192"/>
      <c r="O336" s="3192"/>
      <c r="P336" s="3192"/>
      <c r="Q336" s="3192"/>
      <c r="R336" s="3192"/>
      <c r="S336" s="3192"/>
      <c r="T336" s="3192"/>
      <c r="U336" s="3192"/>
    </row>
    <row r="337" spans="1:21" s="961" customFormat="1" ht="14.25" customHeight="1">
      <c r="A337" s="3157" t="s">
        <v>1157</v>
      </c>
      <c r="B337" s="3157" t="s">
        <v>2997</v>
      </c>
      <c r="C337" s="3157">
        <v>3780</v>
      </c>
      <c r="D337" s="3157">
        <v>3750</v>
      </c>
      <c r="E337" s="3157">
        <v>4130</v>
      </c>
      <c r="F337" s="3157">
        <v>750</v>
      </c>
      <c r="G337" s="3157">
        <v>2240</v>
      </c>
      <c r="H337" s="958"/>
      <c r="I337" s="958"/>
      <c r="J337" s="3192"/>
      <c r="K337" s="3192"/>
      <c r="L337" s="3192"/>
      <c r="M337" s="3192"/>
      <c r="N337" s="3192"/>
      <c r="O337" s="3192"/>
      <c r="P337" s="3192"/>
      <c r="Q337" s="3192"/>
      <c r="R337" s="3192"/>
      <c r="S337" s="3192"/>
      <c r="T337" s="3192"/>
      <c r="U337" s="3192"/>
    </row>
    <row r="338" spans="1:21" s="961" customFormat="1" ht="14.25" customHeight="1">
      <c r="A338" s="3157" t="s">
        <v>1157</v>
      </c>
      <c r="B338" s="3157" t="s">
        <v>1068</v>
      </c>
      <c r="C338" s="3157">
        <v>3600</v>
      </c>
      <c r="D338" s="3157">
        <v>3570</v>
      </c>
      <c r="E338" s="3157">
        <v>3920</v>
      </c>
      <c r="F338" s="3157">
        <v>790</v>
      </c>
      <c r="G338" s="3166">
        <v>2140</v>
      </c>
      <c r="H338" s="958"/>
      <c r="I338" s="958"/>
      <c r="J338" s="3192"/>
      <c r="K338" s="3192"/>
      <c r="L338" s="3192"/>
      <c r="M338" s="3192"/>
      <c r="N338" s="3192"/>
      <c r="O338" s="3192"/>
      <c r="P338" s="3192"/>
      <c r="Q338" s="3192"/>
      <c r="R338" s="3192"/>
      <c r="S338" s="3192"/>
      <c r="T338" s="3192"/>
      <c r="U338" s="3192"/>
    </row>
    <row r="339" spans="1:21" s="961" customFormat="1" ht="14.25" customHeight="1">
      <c r="A339" s="3157" t="s">
        <v>1157</v>
      </c>
      <c r="B339" s="3157" t="s">
        <v>1076</v>
      </c>
      <c r="C339" s="3157">
        <v>3540</v>
      </c>
      <c r="D339" s="3157">
        <v>3500</v>
      </c>
      <c r="E339" s="3157">
        <v>3850</v>
      </c>
      <c r="F339" s="3157">
        <v>780</v>
      </c>
      <c r="G339" s="3166">
        <v>2100</v>
      </c>
      <c r="H339" s="958"/>
      <c r="I339" s="958"/>
      <c r="J339" s="3192"/>
      <c r="K339" s="3192"/>
      <c r="L339" s="3192"/>
      <c r="M339" s="3192"/>
      <c r="N339" s="3192"/>
      <c r="O339" s="3192"/>
      <c r="P339" s="3192"/>
      <c r="Q339" s="3192"/>
      <c r="R339" s="3192"/>
      <c r="S339" s="3192"/>
      <c r="T339" s="3192"/>
      <c r="U339" s="3192"/>
    </row>
    <row r="340" spans="1:21" s="961" customFormat="1" ht="14.25" customHeight="1">
      <c r="A340" s="3157" t="s">
        <v>1157</v>
      </c>
      <c r="B340" s="3157" t="s">
        <v>2998</v>
      </c>
      <c r="C340" s="3157">
        <v>3850</v>
      </c>
      <c r="D340" s="3157">
        <v>3810</v>
      </c>
      <c r="E340" s="3157">
        <v>4210</v>
      </c>
      <c r="F340" s="3157">
        <v>750</v>
      </c>
      <c r="G340" s="3166">
        <v>2280</v>
      </c>
      <c r="H340" s="958"/>
      <c r="I340" s="958"/>
      <c r="J340" s="3192"/>
      <c r="K340" s="3192"/>
      <c r="L340" s="3192"/>
      <c r="M340" s="3192"/>
      <c r="N340" s="3192"/>
      <c r="O340" s="3192"/>
      <c r="P340" s="3192"/>
      <c r="Q340" s="3192"/>
      <c r="R340" s="3192"/>
      <c r="S340" s="3192"/>
      <c r="T340" s="3192"/>
      <c r="U340" s="3192"/>
    </row>
    <row r="341" spans="1:21" s="961" customFormat="1" ht="14.25" customHeight="1">
      <c r="A341" s="3157" t="s">
        <v>1157</v>
      </c>
      <c r="B341" s="3157" t="s">
        <v>1054</v>
      </c>
      <c r="C341" s="3157">
        <v>3780</v>
      </c>
      <c r="D341" s="3157">
        <v>3750</v>
      </c>
      <c r="E341" s="3157">
        <v>4140</v>
      </c>
      <c r="F341" s="3157">
        <v>720</v>
      </c>
      <c r="G341" s="3157">
        <v>2240</v>
      </c>
      <c r="H341" s="958"/>
      <c r="I341" s="958"/>
      <c r="J341" s="3192"/>
      <c r="K341" s="3192"/>
      <c r="L341" s="3192"/>
      <c r="M341" s="3192"/>
      <c r="N341" s="3192"/>
      <c r="O341" s="3192"/>
      <c r="P341" s="3192"/>
      <c r="Q341" s="3192"/>
      <c r="R341" s="3192"/>
      <c r="S341" s="3192"/>
      <c r="T341" s="3192"/>
      <c r="U341" s="3192"/>
    </row>
    <row r="342" spans="1:21" s="961" customFormat="1" ht="14.25" customHeight="1">
      <c r="A342" s="3157" t="s">
        <v>1157</v>
      </c>
      <c r="B342" s="3157" t="s">
        <v>2999</v>
      </c>
      <c r="C342" s="3157">
        <v>3670</v>
      </c>
      <c r="D342" s="3157">
        <v>3620</v>
      </c>
      <c r="E342" s="3157">
        <v>3990</v>
      </c>
      <c r="F342" s="3157">
        <v>760</v>
      </c>
      <c r="G342" s="3157">
        <v>2170</v>
      </c>
      <c r="H342" s="958"/>
      <c r="I342" s="958"/>
      <c r="J342" s="3192"/>
      <c r="K342" s="3192"/>
      <c r="L342" s="3192"/>
      <c r="M342" s="3192"/>
      <c r="N342" s="3192"/>
      <c r="O342" s="3192"/>
      <c r="P342" s="3192"/>
      <c r="Q342" s="3192"/>
      <c r="R342" s="3192"/>
      <c r="S342" s="3192"/>
      <c r="T342" s="3192"/>
      <c r="U342" s="3192"/>
    </row>
    <row r="343" spans="1:21" s="961" customFormat="1" ht="14.25" customHeight="1">
      <c r="A343" s="3157" t="s">
        <v>1157</v>
      </c>
      <c r="B343" s="3157" t="s">
        <v>1105</v>
      </c>
      <c r="C343" s="3157">
        <v>3760</v>
      </c>
      <c r="D343" s="3157">
        <v>3720</v>
      </c>
      <c r="E343" s="3157">
        <v>4090</v>
      </c>
      <c r="F343" s="3157">
        <v>780</v>
      </c>
      <c r="G343" s="3157">
        <v>2220</v>
      </c>
      <c r="H343" s="958"/>
      <c r="I343" s="958"/>
      <c r="J343" s="3192"/>
      <c r="K343" s="3192"/>
      <c r="L343" s="3192"/>
      <c r="M343" s="3192"/>
      <c r="N343" s="3192"/>
      <c r="O343" s="3192"/>
      <c r="P343" s="3192"/>
      <c r="Q343" s="3192"/>
      <c r="R343" s="3192"/>
      <c r="S343" s="3192"/>
      <c r="T343" s="3192"/>
      <c r="U343" s="3192"/>
    </row>
    <row r="344" spans="1:21" s="961" customFormat="1" ht="14.25" customHeight="1">
      <c r="A344" s="3157" t="s">
        <v>1157</v>
      </c>
      <c r="B344" s="3157" t="s">
        <v>1113</v>
      </c>
      <c r="C344" s="3157">
        <v>3680</v>
      </c>
      <c r="D344" s="3157">
        <v>3640</v>
      </c>
      <c r="E344" s="3157">
        <v>4010</v>
      </c>
      <c r="F344" s="3157">
        <v>750</v>
      </c>
      <c r="G344" s="3157">
        <v>2180</v>
      </c>
      <c r="H344" s="958"/>
      <c r="I344" s="958"/>
      <c r="J344" s="3192"/>
      <c r="K344" s="3192"/>
      <c r="L344" s="3192"/>
      <c r="M344" s="3192"/>
      <c r="N344" s="3192"/>
      <c r="O344" s="3192"/>
      <c r="P344" s="3192"/>
      <c r="Q344" s="3192"/>
      <c r="R344" s="3192"/>
      <c r="S344" s="3192"/>
      <c r="T344" s="3192"/>
      <c r="U344" s="3192"/>
    </row>
    <row r="345" spans="1:21">
      <c r="A345" s="3166" t="s">
        <v>1157</v>
      </c>
      <c r="B345" s="3166" t="s">
        <v>3000</v>
      </c>
      <c r="C345" s="3166">
        <v>3190</v>
      </c>
      <c r="D345" s="3166">
        <v>3140</v>
      </c>
      <c r="E345" s="3166">
        <v>3450</v>
      </c>
      <c r="F345" s="3166">
        <v>720</v>
      </c>
      <c r="G345" s="3166">
        <v>1880</v>
      </c>
      <c r="H345" s="958"/>
    </row>
    <row r="346" spans="1:21">
      <c r="A346" s="3166" t="s">
        <v>1157</v>
      </c>
      <c r="B346" s="3166" t="s">
        <v>3001</v>
      </c>
      <c r="C346" s="3166">
        <v>3630</v>
      </c>
      <c r="D346" s="3166">
        <v>3590</v>
      </c>
      <c r="E346" s="3166">
        <v>3940</v>
      </c>
      <c r="F346" s="3166">
        <v>730</v>
      </c>
      <c r="G346" s="3166">
        <v>2150</v>
      </c>
      <c r="H346" s="958"/>
    </row>
    <row r="347" spans="1:21">
      <c r="A347" s="3166" t="s">
        <v>1157</v>
      </c>
      <c r="B347" s="3166" t="s">
        <v>1091</v>
      </c>
      <c r="C347" s="3166">
        <v>3860</v>
      </c>
      <c r="D347" s="3166">
        <v>3820</v>
      </c>
      <c r="E347" s="3166">
        <v>4220</v>
      </c>
      <c r="F347" s="3166">
        <v>750</v>
      </c>
      <c r="G347" s="3166">
        <v>2280</v>
      </c>
      <c r="H347" s="958"/>
    </row>
    <row r="348" spans="1:21">
      <c r="A348" s="3166" t="s">
        <v>1157</v>
      </c>
      <c r="B348" s="3166" t="s">
        <v>3002</v>
      </c>
      <c r="C348" s="3166">
        <v>4000</v>
      </c>
      <c r="D348" s="3166">
        <v>3950</v>
      </c>
      <c r="E348" s="3166">
        <v>4430</v>
      </c>
      <c r="F348" s="3166">
        <v>760</v>
      </c>
      <c r="G348" s="3166">
        <v>2360</v>
      </c>
      <c r="H348" s="958"/>
    </row>
    <row r="349" spans="1:21">
      <c r="A349" s="3166" t="s">
        <v>1157</v>
      </c>
      <c r="B349" s="3166" t="s">
        <v>3003</v>
      </c>
      <c r="C349" s="3166">
        <v>3820</v>
      </c>
      <c r="D349" s="3166">
        <v>3780</v>
      </c>
      <c r="E349" s="3166">
        <v>4170</v>
      </c>
      <c r="F349" s="3166">
        <v>710</v>
      </c>
      <c r="G349" s="3166">
        <v>2260</v>
      </c>
      <c r="H349" s="958"/>
    </row>
    <row r="350" spans="1:21">
      <c r="A350" s="3166" t="s">
        <v>1157</v>
      </c>
      <c r="B350" s="3166" t="s">
        <v>3004</v>
      </c>
      <c r="C350" s="3166">
        <v>3760</v>
      </c>
      <c r="D350" s="3166">
        <v>3730</v>
      </c>
      <c r="E350" s="3166">
        <v>4100</v>
      </c>
      <c r="F350" s="3166">
        <v>800</v>
      </c>
      <c r="G350" s="3166">
        <v>2230</v>
      </c>
      <c r="H350" s="958"/>
    </row>
    <row r="351" spans="1:21">
      <c r="A351" s="3166" t="s">
        <v>1157</v>
      </c>
      <c r="B351" s="3166" t="s">
        <v>3005</v>
      </c>
      <c r="C351" s="3166">
        <v>3610</v>
      </c>
      <c r="D351" s="3166">
        <v>3580</v>
      </c>
      <c r="E351" s="3166">
        <v>3930</v>
      </c>
      <c r="F351" s="3166">
        <v>700</v>
      </c>
      <c r="G351" s="3166">
        <v>2140</v>
      </c>
      <c r="H351" s="958"/>
    </row>
    <row r="352" spans="1:21">
      <c r="A352" s="3166" t="s">
        <v>1157</v>
      </c>
      <c r="B352" s="3166" t="s">
        <v>3006</v>
      </c>
      <c r="C352" s="3166">
        <v>3670</v>
      </c>
      <c r="D352" s="3166">
        <v>3630</v>
      </c>
      <c r="E352" s="3166">
        <v>4000</v>
      </c>
      <c r="F352" s="3166">
        <v>750</v>
      </c>
      <c r="G352" s="3166">
        <v>2180</v>
      </c>
      <c r="H352" s="958"/>
    </row>
    <row r="353" spans="1:8">
      <c r="A353" s="3166" t="s">
        <v>1157</v>
      </c>
      <c r="B353" s="3166" t="s">
        <v>3007</v>
      </c>
      <c r="C353" s="3166">
        <v>3190</v>
      </c>
      <c r="D353" s="3166">
        <v>3150</v>
      </c>
      <c r="E353" s="3166">
        <v>3640</v>
      </c>
      <c r="F353" s="3166">
        <v>630</v>
      </c>
      <c r="G353" s="3166">
        <v>1890</v>
      </c>
      <c r="H353" s="958"/>
    </row>
    <row r="354" spans="1:8">
      <c r="A354" s="3166" t="s">
        <v>1157</v>
      </c>
      <c r="B354" s="3166" t="s">
        <v>1129</v>
      </c>
      <c r="C354" s="3166">
        <v>3450</v>
      </c>
      <c r="D354" s="3166">
        <v>3420</v>
      </c>
      <c r="E354" s="3166">
        <v>3960</v>
      </c>
      <c r="F354" s="3166">
        <v>660</v>
      </c>
      <c r="G354" s="3166">
        <v>2050</v>
      </c>
      <c r="H354" s="958"/>
    </row>
    <row r="355" spans="1:8">
      <c r="A355" s="3166" t="s">
        <v>1157</v>
      </c>
      <c r="B355" s="3166" t="s">
        <v>3008</v>
      </c>
      <c r="C355" s="3166">
        <v>3650</v>
      </c>
      <c r="D355" s="3166">
        <v>3610</v>
      </c>
      <c r="E355" s="3166">
        <v>4200</v>
      </c>
      <c r="F355" s="3166">
        <v>640</v>
      </c>
      <c r="G355" s="3166">
        <v>2160</v>
      </c>
      <c r="H355" s="958"/>
    </row>
    <row r="356" spans="1:8">
      <c r="A356" s="3166" t="s">
        <v>1157</v>
      </c>
      <c r="B356" s="3166" t="s">
        <v>3009</v>
      </c>
      <c r="C356" s="3166">
        <v>3260</v>
      </c>
      <c r="D356" s="3166">
        <v>3230</v>
      </c>
      <c r="E356" s="3166">
        <v>3740</v>
      </c>
      <c r="F356" s="3166">
        <v>600</v>
      </c>
      <c r="G356" s="3166">
        <v>1930</v>
      </c>
      <c r="H356" s="958"/>
    </row>
    <row r="357" spans="1:8" ht="14.25" thickBot="1">
      <c r="A357" s="3181" t="s">
        <v>1157</v>
      </c>
      <c r="B357" s="3181" t="s">
        <v>3010</v>
      </c>
      <c r="C357" s="3181">
        <v>3690</v>
      </c>
      <c r="D357" s="3181">
        <v>3650</v>
      </c>
      <c r="E357" s="3181">
        <v>4020</v>
      </c>
      <c r="F357" s="3181">
        <v>700</v>
      </c>
      <c r="G357" s="3181">
        <v>2190</v>
      </c>
      <c r="H357" s="958"/>
    </row>
    <row r="358" spans="1:8">
      <c r="A358" s="3182" t="s">
        <v>2766</v>
      </c>
      <c r="B358" s="3183" t="s">
        <v>3011</v>
      </c>
      <c r="C358" s="3183">
        <v>2080</v>
      </c>
      <c r="D358" s="3183">
        <v>2040</v>
      </c>
      <c r="E358" s="3183">
        <v>2010</v>
      </c>
      <c r="F358" s="3183">
        <v>530</v>
      </c>
      <c r="G358" s="3184">
        <v>1230</v>
      </c>
      <c r="H358" s="958"/>
    </row>
    <row r="359" spans="1:8">
      <c r="A359" s="3185" t="s">
        <v>2766</v>
      </c>
      <c r="B359" s="3166" t="s">
        <v>3012</v>
      </c>
      <c r="C359" s="3166">
        <v>1850</v>
      </c>
      <c r="D359" s="3166">
        <v>1820</v>
      </c>
      <c r="E359" s="3166">
        <v>1780</v>
      </c>
      <c r="F359" s="3166">
        <v>520</v>
      </c>
      <c r="G359" s="3178">
        <v>1100</v>
      </c>
      <c r="H359" s="958"/>
    </row>
    <row r="360" spans="1:8">
      <c r="A360" s="3185" t="s">
        <v>2766</v>
      </c>
      <c r="B360" s="3166" t="s">
        <v>3013</v>
      </c>
      <c r="C360" s="3166">
        <v>2020</v>
      </c>
      <c r="D360" s="3166">
        <v>1990</v>
      </c>
      <c r="E360" s="3166">
        <v>1950</v>
      </c>
      <c r="F360" s="3166">
        <v>500</v>
      </c>
      <c r="G360" s="3178">
        <v>1200</v>
      </c>
      <c r="H360" s="958"/>
    </row>
    <row r="361" spans="1:8">
      <c r="A361" s="3185" t="s">
        <v>2766</v>
      </c>
      <c r="B361" s="3166" t="s">
        <v>999</v>
      </c>
      <c r="C361" s="3166">
        <v>2260</v>
      </c>
      <c r="D361" s="3166">
        <v>2220</v>
      </c>
      <c r="E361" s="3166">
        <v>2180</v>
      </c>
      <c r="F361" s="3166">
        <v>580</v>
      </c>
      <c r="G361" s="3178">
        <v>1340</v>
      </c>
      <c r="H361" s="958"/>
    </row>
    <row r="362" spans="1:8">
      <c r="A362" s="3185" t="s">
        <v>2766</v>
      </c>
      <c r="B362" s="3166" t="s">
        <v>3014</v>
      </c>
      <c r="C362" s="3166">
        <v>2650</v>
      </c>
      <c r="D362" s="3166">
        <v>2610</v>
      </c>
      <c r="E362" s="3166">
        <v>2570</v>
      </c>
      <c r="F362" s="3166">
        <v>630</v>
      </c>
      <c r="G362" s="3178">
        <v>1570</v>
      </c>
      <c r="H362" s="958"/>
    </row>
    <row r="363" spans="1:8">
      <c r="A363" s="3185" t="s">
        <v>2766</v>
      </c>
      <c r="B363" s="3166" t="s">
        <v>3015</v>
      </c>
      <c r="C363" s="3166">
        <v>2390</v>
      </c>
      <c r="D363" s="3166">
        <v>2360</v>
      </c>
      <c r="E363" s="3166">
        <v>2320</v>
      </c>
      <c r="F363" s="3166">
        <v>600</v>
      </c>
      <c r="G363" s="3178">
        <v>1420</v>
      </c>
      <c r="H363" s="958"/>
    </row>
    <row r="364" spans="1:8">
      <c r="A364" s="3185" t="s">
        <v>2766</v>
      </c>
      <c r="B364" s="3166" t="s">
        <v>3016</v>
      </c>
      <c r="C364" s="3166">
        <v>2050</v>
      </c>
      <c r="D364" s="3166">
        <v>2030</v>
      </c>
      <c r="E364" s="3166">
        <v>1990</v>
      </c>
      <c r="F364" s="3166">
        <v>550</v>
      </c>
      <c r="G364" s="3178">
        <v>1220</v>
      </c>
      <c r="H364" s="958"/>
    </row>
    <row r="365" spans="1:8">
      <c r="A365" s="3185" t="s">
        <v>2766</v>
      </c>
      <c r="B365" s="3166" t="s">
        <v>1047</v>
      </c>
      <c r="C365" s="3166">
        <v>2140</v>
      </c>
      <c r="D365" s="3166">
        <v>2100</v>
      </c>
      <c r="E365" s="3166">
        <v>2060</v>
      </c>
      <c r="F365" s="3166">
        <v>540</v>
      </c>
      <c r="G365" s="3178">
        <v>1270</v>
      </c>
      <c r="H365" s="958"/>
    </row>
    <row r="366" spans="1:8">
      <c r="A366" s="3185" t="s">
        <v>2766</v>
      </c>
      <c r="B366" s="3166" t="s">
        <v>3017</v>
      </c>
      <c r="C366" s="3166">
        <v>2410</v>
      </c>
      <c r="D366" s="3166">
        <v>2370</v>
      </c>
      <c r="E366" s="3166">
        <v>2330</v>
      </c>
      <c r="F366" s="3166">
        <v>570</v>
      </c>
      <c r="G366" s="3178">
        <v>1440</v>
      </c>
      <c r="H366" s="958"/>
    </row>
    <row r="367" spans="1:8">
      <c r="A367" s="3185" t="s">
        <v>2766</v>
      </c>
      <c r="B367" s="3166" t="s">
        <v>3018</v>
      </c>
      <c r="C367" s="3166">
        <v>2300</v>
      </c>
      <c r="D367" s="3166">
        <v>2260</v>
      </c>
      <c r="E367" s="3166">
        <v>2220</v>
      </c>
      <c r="F367" s="3166">
        <v>560</v>
      </c>
      <c r="G367" s="3178">
        <v>1370</v>
      </c>
      <c r="H367" s="958"/>
    </row>
    <row r="368" spans="1:8">
      <c r="A368" s="3185" t="s">
        <v>2766</v>
      </c>
      <c r="B368" s="3166" t="s">
        <v>3019</v>
      </c>
      <c r="C368" s="3166">
        <v>2430</v>
      </c>
      <c r="D368" s="3166">
        <v>2390</v>
      </c>
      <c r="E368" s="3166">
        <v>2350</v>
      </c>
      <c r="F368" s="3166">
        <v>570</v>
      </c>
      <c r="G368" s="3178">
        <v>1450</v>
      </c>
      <c r="H368" s="958"/>
    </row>
    <row r="369" spans="1:8">
      <c r="A369" s="3185" t="s">
        <v>2766</v>
      </c>
      <c r="B369" s="3166" t="s">
        <v>1061</v>
      </c>
      <c r="C369" s="3166">
        <v>2320</v>
      </c>
      <c r="D369" s="3166">
        <v>2290</v>
      </c>
      <c r="E369" s="3166">
        <v>2250</v>
      </c>
      <c r="F369" s="3166">
        <v>550</v>
      </c>
      <c r="G369" s="3178">
        <v>1380</v>
      </c>
      <c r="H369" s="958"/>
    </row>
    <row r="370" spans="1:8">
      <c r="A370" s="3185" t="s">
        <v>2766</v>
      </c>
      <c r="B370" s="3166" t="s">
        <v>1069</v>
      </c>
      <c r="C370" s="3166">
        <v>2190</v>
      </c>
      <c r="D370" s="3166">
        <v>2170</v>
      </c>
      <c r="E370" s="3166">
        <v>2130</v>
      </c>
      <c r="F370" s="3166">
        <v>530</v>
      </c>
      <c r="G370" s="3178">
        <v>1310</v>
      </c>
      <c r="H370" s="958"/>
    </row>
    <row r="371" spans="1:8">
      <c r="A371" s="3185" t="s">
        <v>2766</v>
      </c>
      <c r="B371" s="3166" t="s">
        <v>1077</v>
      </c>
      <c r="C371" s="3166">
        <v>2460</v>
      </c>
      <c r="D371" s="3166">
        <v>2420</v>
      </c>
      <c r="E371" s="3166">
        <v>2370</v>
      </c>
      <c r="F371" s="3166">
        <v>560</v>
      </c>
      <c r="G371" s="3178">
        <v>1470</v>
      </c>
      <c r="H371" s="958"/>
    </row>
    <row r="372" spans="1:8">
      <c r="A372" s="3185" t="s">
        <v>2766</v>
      </c>
      <c r="B372" s="3166" t="s">
        <v>3020</v>
      </c>
      <c r="C372" s="3166">
        <v>2250</v>
      </c>
      <c r="D372" s="3166">
        <v>2210</v>
      </c>
      <c r="E372" s="3166">
        <v>2180</v>
      </c>
      <c r="F372" s="3166">
        <v>550</v>
      </c>
      <c r="G372" s="3178">
        <v>1340</v>
      </c>
      <c r="H372" s="958"/>
    </row>
    <row r="373" spans="1:8">
      <c r="A373" s="3185" t="s">
        <v>2766</v>
      </c>
      <c r="B373" s="3166" t="s">
        <v>1106</v>
      </c>
      <c r="C373" s="3166">
        <v>2210</v>
      </c>
      <c r="D373" s="3166">
        <v>2190</v>
      </c>
      <c r="E373" s="3166">
        <v>2150</v>
      </c>
      <c r="F373" s="3166">
        <v>530</v>
      </c>
      <c r="G373" s="3178">
        <v>1320</v>
      </c>
      <c r="H373" s="958"/>
    </row>
    <row r="374" spans="1:8">
      <c r="A374" s="3185" t="s">
        <v>2766</v>
      </c>
      <c r="B374" s="3166" t="s">
        <v>1114</v>
      </c>
      <c r="C374" s="3166">
        <v>2320</v>
      </c>
      <c r="D374" s="3166">
        <v>2280</v>
      </c>
      <c r="E374" s="3166">
        <v>2230</v>
      </c>
      <c r="F374" s="3166">
        <v>580</v>
      </c>
      <c r="G374" s="3178">
        <v>1380</v>
      </c>
      <c r="H374" s="958"/>
    </row>
    <row r="375" spans="1:8">
      <c r="A375" s="3185" t="s">
        <v>2766</v>
      </c>
      <c r="B375" s="3166" t="s">
        <v>3021</v>
      </c>
      <c r="C375" s="3166">
        <v>2090</v>
      </c>
      <c r="D375" s="3166">
        <v>2050</v>
      </c>
      <c r="E375" s="3166">
        <v>2020</v>
      </c>
      <c r="F375" s="3166">
        <v>520</v>
      </c>
      <c r="G375" s="3178">
        <v>1240</v>
      </c>
      <c r="H375" s="958"/>
    </row>
    <row r="376" spans="1:8">
      <c r="A376" s="3185" t="s">
        <v>2766</v>
      </c>
      <c r="B376" s="3166" t="s">
        <v>1126</v>
      </c>
      <c r="C376" s="3166">
        <v>2010</v>
      </c>
      <c r="D376" s="3166">
        <v>1980</v>
      </c>
      <c r="E376" s="3166">
        <v>1940</v>
      </c>
      <c r="F376" s="3166">
        <v>540</v>
      </c>
      <c r="G376" s="3178">
        <v>1190</v>
      </c>
      <c r="H376" s="958"/>
    </row>
    <row r="377" spans="1:8" ht="14.25" thickBot="1">
      <c r="A377" s="3187" t="s">
        <v>2766</v>
      </c>
      <c r="B377" s="3181" t="s">
        <v>3022</v>
      </c>
      <c r="C377" s="3181">
        <v>1930</v>
      </c>
      <c r="D377" s="3181">
        <v>1890</v>
      </c>
      <c r="E377" s="3181">
        <v>1860</v>
      </c>
      <c r="F377" s="3181">
        <v>530</v>
      </c>
      <c r="G377" s="3188">
        <v>1150</v>
      </c>
      <c r="H377" s="958"/>
    </row>
    <row r="378" spans="1:8">
      <c r="A378" s="3182" t="s">
        <v>2767</v>
      </c>
      <c r="B378" s="3183" t="s">
        <v>3023</v>
      </c>
      <c r="C378" s="3183">
        <v>1520</v>
      </c>
      <c r="D378" s="3183">
        <v>1490</v>
      </c>
      <c r="E378" s="3183">
        <v>1460</v>
      </c>
      <c r="F378" s="3183">
        <v>460</v>
      </c>
      <c r="G378" s="3184">
        <v>940</v>
      </c>
      <c r="H378" s="958"/>
    </row>
    <row r="379" spans="1:8">
      <c r="A379" s="3185" t="s">
        <v>2767</v>
      </c>
      <c r="B379" s="3166" t="s">
        <v>3024</v>
      </c>
      <c r="C379" s="3166">
        <v>1500</v>
      </c>
      <c r="D379" s="3166">
        <v>1470</v>
      </c>
      <c r="E379" s="3166">
        <v>1430</v>
      </c>
      <c r="F379" s="3166">
        <v>460</v>
      </c>
      <c r="G379" s="3178">
        <v>920</v>
      </c>
      <c r="H379" s="958"/>
    </row>
    <row r="380" spans="1:8">
      <c r="A380" s="3185" t="s">
        <v>2767</v>
      </c>
      <c r="B380" s="3166" t="s">
        <v>3025</v>
      </c>
      <c r="C380" s="3166">
        <v>1620</v>
      </c>
      <c r="D380" s="3166">
        <v>1590</v>
      </c>
      <c r="E380" s="3166">
        <v>1560</v>
      </c>
      <c r="F380" s="3166">
        <v>480</v>
      </c>
      <c r="G380" s="3178">
        <v>1000</v>
      </c>
      <c r="H380" s="958"/>
    </row>
    <row r="381" spans="1:8">
      <c r="A381" s="3185" t="s">
        <v>2767</v>
      </c>
      <c r="B381" s="3166" t="s">
        <v>3026</v>
      </c>
      <c r="C381" s="3166">
        <v>1460</v>
      </c>
      <c r="D381" s="3166">
        <v>1430</v>
      </c>
      <c r="E381" s="3166">
        <v>1390</v>
      </c>
      <c r="F381" s="3166">
        <v>450</v>
      </c>
      <c r="G381" s="3178">
        <v>900</v>
      </c>
      <c r="H381" s="958"/>
    </row>
    <row r="382" spans="1:8">
      <c r="A382" s="3185" t="s">
        <v>2767</v>
      </c>
      <c r="B382" s="3166" t="s">
        <v>3027</v>
      </c>
      <c r="C382" s="3166">
        <v>1310</v>
      </c>
      <c r="D382" s="3166">
        <v>1280</v>
      </c>
      <c r="E382" s="3166">
        <v>1250</v>
      </c>
      <c r="F382" s="3166">
        <v>440</v>
      </c>
      <c r="G382" s="3178">
        <v>800</v>
      </c>
      <c r="H382" s="958"/>
    </row>
    <row r="383" spans="1:8">
      <c r="A383" s="3185" t="s">
        <v>2767</v>
      </c>
      <c r="B383" s="3166" t="s">
        <v>3028</v>
      </c>
      <c r="C383" s="3166">
        <v>1260</v>
      </c>
      <c r="D383" s="3166">
        <v>1230</v>
      </c>
      <c r="E383" s="3166">
        <v>1200</v>
      </c>
      <c r="F383" s="3166">
        <v>420</v>
      </c>
      <c r="G383" s="3178">
        <v>770</v>
      </c>
      <c r="H383" s="958"/>
    </row>
    <row r="384" spans="1:8" ht="14.25" thickBot="1">
      <c r="A384" s="3186" t="s">
        <v>2767</v>
      </c>
      <c r="B384" s="3180" t="s">
        <v>3029</v>
      </c>
      <c r="C384" s="3180">
        <v>1170</v>
      </c>
      <c r="D384" s="3180">
        <v>1140</v>
      </c>
      <c r="E384" s="3180">
        <v>1120</v>
      </c>
      <c r="F384" s="3180">
        <v>400</v>
      </c>
      <c r="G384" s="3176">
        <v>710</v>
      </c>
      <c r="H384" s="958"/>
    </row>
  </sheetData>
  <sheetProtection password="CEE9" sheet="1" objects="1" scenarios="1" formatCells="0" formatColumns="0" formatRows="0"/>
  <mergeCells count="2">
    <mergeCell ref="A1:G1"/>
    <mergeCell ref="A3:A4"/>
  </mergeCells>
  <phoneticPr fontId="120" type="noConversion"/>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F17"/>
  <sheetViews>
    <sheetView workbookViewId="0">
      <selection sqref="A1:XFD1048576"/>
    </sheetView>
  </sheetViews>
  <sheetFormatPr defaultRowHeight="13.5"/>
  <sheetData>
    <row r="1" spans="1:6" ht="14.25">
      <c r="A1" s="3679" t="s">
        <v>3192</v>
      </c>
      <c r="B1" s="3679"/>
      <c r="C1" s="3679"/>
      <c r="D1" s="3679"/>
      <c r="E1" s="3679"/>
      <c r="F1" s="3680"/>
    </row>
    <row r="2" spans="1:6" ht="14.25">
      <c r="A2" s="3231" t="s">
        <v>3193</v>
      </c>
      <c r="B2" s="1490"/>
      <c r="C2" s="1490"/>
      <c r="D2" s="1490"/>
      <c r="E2" s="1490"/>
      <c r="F2" s="1490"/>
    </row>
    <row r="3" spans="1:6" ht="14.25">
      <c r="A3" s="3231" t="s">
        <v>3194</v>
      </c>
      <c r="B3" s="1490"/>
      <c r="C3" s="1490"/>
      <c r="D3" s="1490"/>
      <c r="E3" s="1490"/>
      <c r="F3" s="3232" t="s">
        <v>3195</v>
      </c>
    </row>
    <row r="4" spans="1:6">
      <c r="A4" s="3233" t="s">
        <v>3190</v>
      </c>
      <c r="B4" s="3233" t="s">
        <v>2742</v>
      </c>
      <c r="C4" s="3233" t="s">
        <v>1212</v>
      </c>
      <c r="D4" s="3233" t="s">
        <v>3191</v>
      </c>
      <c r="E4" s="3233" t="s">
        <v>905</v>
      </c>
      <c r="F4" s="3233" t="s">
        <v>3196</v>
      </c>
    </row>
    <row r="5" spans="1:6">
      <c r="A5" s="3234" t="s">
        <v>2765</v>
      </c>
      <c r="B5" s="3233"/>
      <c r="C5" s="3233"/>
      <c r="D5" s="3233"/>
      <c r="E5" s="3233"/>
      <c r="F5" s="3235"/>
    </row>
    <row r="6" spans="1:6">
      <c r="A6" s="3234" t="s">
        <v>990</v>
      </c>
      <c r="B6" s="3236">
        <v>35380</v>
      </c>
      <c r="C6" s="3236">
        <v>35180</v>
      </c>
      <c r="D6" s="3236">
        <v>35030</v>
      </c>
      <c r="E6" s="3236">
        <v>13780</v>
      </c>
      <c r="F6" s="3236">
        <v>25980</v>
      </c>
    </row>
    <row r="7" spans="1:6">
      <c r="A7" s="3234" t="s">
        <v>1031</v>
      </c>
      <c r="B7" s="3236">
        <v>29960</v>
      </c>
      <c r="C7" s="3236">
        <v>29800</v>
      </c>
      <c r="D7" s="3236">
        <v>29690</v>
      </c>
      <c r="E7" s="3236">
        <v>10100</v>
      </c>
      <c r="F7" s="3236">
        <v>21690</v>
      </c>
    </row>
    <row r="8" spans="1:6">
      <c r="A8" s="3234" t="s">
        <v>1145</v>
      </c>
      <c r="B8" s="3236">
        <v>24480</v>
      </c>
      <c r="C8" s="3236">
        <v>24380</v>
      </c>
      <c r="D8" s="3236">
        <v>25590</v>
      </c>
      <c r="E8" s="3236">
        <v>7010</v>
      </c>
      <c r="F8" s="3236">
        <v>17060</v>
      </c>
    </row>
    <row r="9" spans="1:6">
      <c r="A9" s="3234" t="s">
        <v>853</v>
      </c>
      <c r="B9" s="3236">
        <v>19370</v>
      </c>
      <c r="C9" s="3236">
        <v>19290</v>
      </c>
      <c r="D9" s="3236">
        <v>21280</v>
      </c>
      <c r="E9" s="3236">
        <v>4910</v>
      </c>
      <c r="F9" s="3236">
        <v>13090</v>
      </c>
    </row>
    <row r="10" spans="1:6">
      <c r="A10" s="3234" t="s">
        <v>1152</v>
      </c>
      <c r="B10" s="3236">
        <v>15050</v>
      </c>
      <c r="C10" s="3236">
        <v>14980</v>
      </c>
      <c r="D10" s="3236">
        <v>17300</v>
      </c>
      <c r="E10" s="3236">
        <v>3450</v>
      </c>
      <c r="F10" s="3236">
        <v>9900</v>
      </c>
    </row>
    <row r="11" spans="1:6">
      <c r="A11" s="3234" t="s">
        <v>1153</v>
      </c>
      <c r="B11" s="3236">
        <v>11550</v>
      </c>
      <c r="C11" s="3236">
        <v>11490</v>
      </c>
      <c r="D11" s="3236">
        <v>13850</v>
      </c>
      <c r="E11" s="3236">
        <v>2400</v>
      </c>
      <c r="F11" s="3236">
        <v>7390</v>
      </c>
    </row>
    <row r="12" spans="1:6">
      <c r="A12" s="3234" t="s">
        <v>1154</v>
      </c>
      <c r="B12" s="3236">
        <v>8630</v>
      </c>
      <c r="C12" s="3236">
        <v>8580</v>
      </c>
      <c r="D12" s="3236">
        <v>10740</v>
      </c>
      <c r="E12" s="3236">
        <v>1720</v>
      </c>
      <c r="F12" s="3236">
        <v>5420</v>
      </c>
    </row>
    <row r="13" spans="1:6">
      <c r="A13" s="3234" t="s">
        <v>1155</v>
      </c>
      <c r="B13" s="3236">
        <v>6620</v>
      </c>
      <c r="C13" s="3236">
        <v>6580</v>
      </c>
      <c r="D13" s="3236">
        <v>7830</v>
      </c>
      <c r="E13" s="3236">
        <v>1260</v>
      </c>
      <c r="F13" s="3236">
        <v>4040</v>
      </c>
    </row>
    <row r="14" spans="1:6">
      <c r="A14" s="3234" t="s">
        <v>1156</v>
      </c>
      <c r="B14" s="3236">
        <v>4900</v>
      </c>
      <c r="C14" s="3236">
        <v>4860</v>
      </c>
      <c r="D14" s="3236">
        <v>5540</v>
      </c>
      <c r="E14" s="3236">
        <v>950</v>
      </c>
      <c r="F14" s="3236">
        <v>2930</v>
      </c>
    </row>
    <row r="15" spans="1:6">
      <c r="A15" s="3234" t="s">
        <v>1157</v>
      </c>
      <c r="B15" s="3236">
        <v>3380</v>
      </c>
      <c r="C15" s="3236">
        <v>3340</v>
      </c>
      <c r="D15" s="3236">
        <v>3630</v>
      </c>
      <c r="E15" s="3236">
        <v>730</v>
      </c>
      <c r="F15" s="3236">
        <v>1990</v>
      </c>
    </row>
    <row r="16" spans="1:6">
      <c r="A16" s="3234" t="s">
        <v>2766</v>
      </c>
      <c r="B16" s="3236">
        <v>2230</v>
      </c>
      <c r="C16" s="3236">
        <v>2200</v>
      </c>
      <c r="D16" s="3236">
        <v>2180</v>
      </c>
      <c r="E16" s="3236">
        <v>570</v>
      </c>
      <c r="F16" s="3236">
        <v>1330</v>
      </c>
    </row>
    <row r="17" spans="1:6">
      <c r="A17" s="3234" t="s">
        <v>2767</v>
      </c>
      <c r="B17" s="3236">
        <v>1390</v>
      </c>
      <c r="C17" s="3236">
        <v>1360</v>
      </c>
      <c r="D17" s="3236">
        <v>1340</v>
      </c>
      <c r="E17" s="3236">
        <v>450</v>
      </c>
      <c r="F17" s="3236">
        <v>860</v>
      </c>
    </row>
  </sheetData>
  <sheetProtection password="CEE9" sheet="1" objects="1" scenarios="1"/>
  <mergeCells count="1">
    <mergeCell ref="A1:F1"/>
  </mergeCells>
  <phoneticPr fontId="224" type="noConversion"/>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N460"/>
  <sheetViews>
    <sheetView topLeftCell="A341" zoomScale="70" zoomScaleNormal="70" workbookViewId="0">
      <selection activeCell="A341" sqref="A1:XFD1048576"/>
    </sheetView>
  </sheetViews>
  <sheetFormatPr defaultColWidth="9" defaultRowHeight="13.5"/>
  <cols>
    <col min="1" max="1" width="9" style="940"/>
    <col min="2" max="16384" width="9" style="922"/>
  </cols>
  <sheetData>
    <row r="1" spans="1:14" ht="14.25">
      <c r="A1" s="3084" t="s">
        <v>2779</v>
      </c>
      <c r="B1" s="921"/>
      <c r="C1" s="921"/>
      <c r="D1" s="921"/>
      <c r="E1" s="921"/>
      <c r="F1" s="921"/>
      <c r="G1" s="921"/>
      <c r="H1" s="921"/>
      <c r="I1" s="921"/>
      <c r="J1" s="921"/>
      <c r="K1" s="921"/>
      <c r="L1" s="921"/>
      <c r="M1" s="921"/>
      <c r="N1" s="921"/>
    </row>
    <row r="2" spans="1:14">
      <c r="A2" s="923" t="s">
        <v>1550</v>
      </c>
      <c r="B2" s="924" t="s">
        <v>990</v>
      </c>
      <c r="C2" s="924" t="s">
        <v>1031</v>
      </c>
      <c r="D2" s="924" t="s">
        <v>1145</v>
      </c>
      <c r="E2" s="924" t="s">
        <v>853</v>
      </c>
      <c r="F2" s="924" t="s">
        <v>1152</v>
      </c>
      <c r="G2" s="924" t="s">
        <v>1153</v>
      </c>
      <c r="H2" s="925" t="s">
        <v>1154</v>
      </c>
      <c r="I2" s="925" t="s">
        <v>1155</v>
      </c>
      <c r="J2" s="926" t="s">
        <v>1156</v>
      </c>
      <c r="K2" s="926" t="s">
        <v>1157</v>
      </c>
      <c r="L2" s="926" t="s">
        <v>2766</v>
      </c>
      <c r="M2" s="926" t="s">
        <v>2767</v>
      </c>
    </row>
    <row r="3" spans="1:14">
      <c r="A3" s="923">
        <v>1</v>
      </c>
      <c r="B3" s="932">
        <v>1.2574000000000001</v>
      </c>
      <c r="C3" s="932">
        <v>1.2574000000000001</v>
      </c>
      <c r="D3" s="932">
        <v>1.2299</v>
      </c>
      <c r="E3" s="932">
        <v>1.2299</v>
      </c>
      <c r="F3" s="932">
        <v>1.2299</v>
      </c>
      <c r="G3" s="932">
        <v>1.2299</v>
      </c>
      <c r="H3" s="932">
        <v>1.2299</v>
      </c>
      <c r="I3" s="932">
        <v>1.2333000000000001</v>
      </c>
      <c r="J3" s="932">
        <v>1.2333000000000001</v>
      </c>
      <c r="K3" s="932">
        <v>1.2333000000000001</v>
      </c>
      <c r="L3" s="932">
        <v>1.2333000000000001</v>
      </c>
      <c r="M3" s="932">
        <v>1.2333000000000001</v>
      </c>
    </row>
    <row r="4" spans="1:14">
      <c r="A4" s="923">
        <v>1.1000000000000001</v>
      </c>
      <c r="B4" s="932">
        <v>1.2283999999999999</v>
      </c>
      <c r="C4" s="932">
        <v>1.2283999999999999</v>
      </c>
      <c r="D4" s="932">
        <v>1.1984999999999999</v>
      </c>
      <c r="E4" s="932">
        <v>1.1984999999999999</v>
      </c>
      <c r="F4" s="932">
        <v>1.1984999999999999</v>
      </c>
      <c r="G4" s="932">
        <v>1.1984999999999999</v>
      </c>
      <c r="H4" s="932">
        <v>1.1984999999999999</v>
      </c>
      <c r="I4" s="932">
        <v>1.1899</v>
      </c>
      <c r="J4" s="932">
        <v>1.1899</v>
      </c>
      <c r="K4" s="932">
        <v>1.1899</v>
      </c>
      <c r="L4" s="932">
        <v>1.1899</v>
      </c>
      <c r="M4" s="932">
        <v>1.1899</v>
      </c>
    </row>
    <row r="5" spans="1:14">
      <c r="A5" s="923">
        <v>1.2</v>
      </c>
      <c r="B5" s="932">
        <v>1.2031000000000001</v>
      </c>
      <c r="C5" s="932">
        <v>1.2031000000000001</v>
      </c>
      <c r="D5" s="932">
        <v>1.1711</v>
      </c>
      <c r="E5" s="932">
        <v>1.1711</v>
      </c>
      <c r="F5" s="932">
        <v>1.1711</v>
      </c>
      <c r="G5" s="932">
        <v>1.1711</v>
      </c>
      <c r="H5" s="932">
        <v>1.1711</v>
      </c>
      <c r="I5" s="932">
        <v>1.1528</v>
      </c>
      <c r="J5" s="932">
        <v>1.1528</v>
      </c>
      <c r="K5" s="932">
        <v>1.1528</v>
      </c>
      <c r="L5" s="932">
        <v>1.1528</v>
      </c>
      <c r="M5" s="932">
        <v>1.1528</v>
      </c>
    </row>
    <row r="6" spans="1:14">
      <c r="A6" s="923">
        <v>1.3</v>
      </c>
      <c r="B6" s="932">
        <v>1.1811</v>
      </c>
      <c r="C6" s="932">
        <v>1.1811</v>
      </c>
      <c r="D6" s="932">
        <v>1.1472</v>
      </c>
      <c r="E6" s="932">
        <v>1.1472</v>
      </c>
      <c r="F6" s="932">
        <v>1.1472</v>
      </c>
      <c r="G6" s="932">
        <v>1.1472</v>
      </c>
      <c r="H6" s="932">
        <v>1.1472</v>
      </c>
      <c r="I6" s="932">
        <v>1.1214</v>
      </c>
      <c r="J6" s="932">
        <v>1.1214</v>
      </c>
      <c r="K6" s="932">
        <v>1.1214</v>
      </c>
      <c r="L6" s="932">
        <v>1.1214</v>
      </c>
      <c r="M6" s="932">
        <v>1.1214</v>
      </c>
    </row>
    <row r="7" spans="1:14">
      <c r="A7" s="923">
        <v>1.4</v>
      </c>
      <c r="B7" s="932">
        <v>1.1619999999999999</v>
      </c>
      <c r="C7" s="932">
        <v>1.1619999999999999</v>
      </c>
      <c r="D7" s="932">
        <v>1.1265000000000001</v>
      </c>
      <c r="E7" s="932">
        <v>1.1265000000000001</v>
      </c>
      <c r="F7" s="932">
        <v>1.1265000000000001</v>
      </c>
      <c r="G7" s="932">
        <v>1.1265000000000001</v>
      </c>
      <c r="H7" s="932">
        <v>1.1265000000000001</v>
      </c>
      <c r="I7" s="932">
        <v>1.0948</v>
      </c>
      <c r="J7" s="932">
        <v>1.0948</v>
      </c>
      <c r="K7" s="932">
        <v>1.0948</v>
      </c>
      <c r="L7" s="932">
        <v>1.0948</v>
      </c>
      <c r="M7" s="932">
        <v>1.0948</v>
      </c>
    </row>
    <row r="8" spans="1:14">
      <c r="A8" s="923">
        <v>1.5</v>
      </c>
      <c r="B8" s="932">
        <v>1.1453</v>
      </c>
      <c r="C8" s="932">
        <v>1.1453</v>
      </c>
      <c r="D8" s="932">
        <v>1.1084000000000001</v>
      </c>
      <c r="E8" s="932">
        <v>1.1084000000000001</v>
      </c>
      <c r="F8" s="932">
        <v>1.1084000000000001</v>
      </c>
      <c r="G8" s="932">
        <v>1.1084000000000001</v>
      </c>
      <c r="H8" s="932">
        <v>1.1084000000000001</v>
      </c>
      <c r="I8" s="932">
        <v>1.0725</v>
      </c>
      <c r="J8" s="932">
        <v>1.0725</v>
      </c>
      <c r="K8" s="932">
        <v>1.0725</v>
      </c>
      <c r="L8" s="932">
        <v>1.0725</v>
      </c>
      <c r="M8" s="932">
        <v>1.0725</v>
      </c>
    </row>
    <row r="9" spans="1:14">
      <c r="A9" s="923">
        <v>1.6</v>
      </c>
      <c r="B9" s="932">
        <v>1.1306</v>
      </c>
      <c r="C9" s="932">
        <v>1.1306</v>
      </c>
      <c r="D9" s="932">
        <v>1.0924</v>
      </c>
      <c r="E9" s="932">
        <v>1.0924</v>
      </c>
      <c r="F9" s="932">
        <v>1.0924</v>
      </c>
      <c r="G9" s="932">
        <v>1.0924</v>
      </c>
      <c r="H9" s="932">
        <v>1.0924</v>
      </c>
      <c r="I9" s="932">
        <v>1.0538000000000001</v>
      </c>
      <c r="J9" s="932">
        <v>1.0538000000000001</v>
      </c>
      <c r="K9" s="932">
        <v>1.0538000000000001</v>
      </c>
      <c r="L9" s="932">
        <v>1.0538000000000001</v>
      </c>
      <c r="M9" s="932">
        <v>1.0538000000000001</v>
      </c>
    </row>
    <row r="10" spans="1:14">
      <c r="A10" s="923">
        <v>1.7</v>
      </c>
      <c r="B10" s="932">
        <v>1.1175999999999999</v>
      </c>
      <c r="C10" s="932">
        <v>1.1175999999999999</v>
      </c>
      <c r="D10" s="932">
        <v>1.0783</v>
      </c>
      <c r="E10" s="932">
        <v>1.0783</v>
      </c>
      <c r="F10" s="932">
        <v>1.0783</v>
      </c>
      <c r="G10" s="932">
        <v>1.0783</v>
      </c>
      <c r="H10" s="932">
        <v>1.0783</v>
      </c>
      <c r="I10" s="932">
        <v>1.0379</v>
      </c>
      <c r="J10" s="932">
        <v>1.0379</v>
      </c>
      <c r="K10" s="932">
        <v>1.0379</v>
      </c>
      <c r="L10" s="932">
        <v>1.0379</v>
      </c>
      <c r="M10" s="932">
        <v>1.0379</v>
      </c>
    </row>
    <row r="11" spans="1:14">
      <c r="A11" s="923">
        <v>1.8</v>
      </c>
      <c r="B11" s="932">
        <v>1.1057999999999999</v>
      </c>
      <c r="C11" s="932">
        <v>1.1057999999999999</v>
      </c>
      <c r="D11" s="932">
        <v>1.0653999999999999</v>
      </c>
      <c r="E11" s="932">
        <v>1.0653999999999999</v>
      </c>
      <c r="F11" s="932">
        <v>1.0653999999999999</v>
      </c>
      <c r="G11" s="932">
        <v>1.0653999999999999</v>
      </c>
      <c r="H11" s="932">
        <v>1.0653999999999999</v>
      </c>
      <c r="I11" s="932">
        <v>1.0241</v>
      </c>
      <c r="J11" s="932">
        <v>1.0241</v>
      </c>
      <c r="K11" s="932">
        <v>1.0241</v>
      </c>
      <c r="L11" s="932">
        <v>1.0241</v>
      </c>
      <c r="M11" s="932">
        <v>1.0241</v>
      </c>
    </row>
    <row r="12" spans="1:14">
      <c r="A12" s="923">
        <v>1.9</v>
      </c>
      <c r="B12" s="932">
        <v>1.0949</v>
      </c>
      <c r="C12" s="932">
        <v>1.0949</v>
      </c>
      <c r="D12" s="932">
        <v>1.0537000000000001</v>
      </c>
      <c r="E12" s="932">
        <v>1.0537000000000001</v>
      </c>
      <c r="F12" s="932">
        <v>1.0537000000000001</v>
      </c>
      <c r="G12" s="932">
        <v>1.0537000000000001</v>
      </c>
      <c r="H12" s="932">
        <v>1.0537000000000001</v>
      </c>
      <c r="I12" s="932">
        <v>1.0117</v>
      </c>
      <c r="J12" s="932">
        <v>1.0117</v>
      </c>
      <c r="K12" s="932">
        <v>1.0117</v>
      </c>
      <c r="L12" s="932">
        <v>1.0117</v>
      </c>
      <c r="M12" s="932">
        <v>1.0117</v>
      </c>
    </row>
    <row r="13" spans="1:14">
      <c r="A13" s="923">
        <v>2</v>
      </c>
      <c r="B13" s="932">
        <v>1.0847</v>
      </c>
      <c r="C13" s="932">
        <v>1.0847</v>
      </c>
      <c r="D13" s="932">
        <v>1.0427</v>
      </c>
      <c r="E13" s="932">
        <v>1.0427</v>
      </c>
      <c r="F13" s="932">
        <v>1.0427</v>
      </c>
      <c r="G13" s="932">
        <v>1.0427</v>
      </c>
      <c r="H13" s="932">
        <v>1.0427</v>
      </c>
      <c r="I13" s="932">
        <v>1</v>
      </c>
      <c r="J13" s="932">
        <v>1</v>
      </c>
      <c r="K13" s="932">
        <v>1</v>
      </c>
      <c r="L13" s="932">
        <v>1</v>
      </c>
      <c r="M13" s="932">
        <v>1</v>
      </c>
    </row>
    <row r="14" spans="1:14">
      <c r="A14" s="923">
        <v>2.1</v>
      </c>
      <c r="B14" s="932">
        <v>1.0749</v>
      </c>
      <c r="C14" s="932">
        <v>1.0749</v>
      </c>
      <c r="D14" s="932">
        <v>1.0327999999999999</v>
      </c>
      <c r="E14" s="932">
        <v>1.0327999999999999</v>
      </c>
      <c r="F14" s="932">
        <v>1.0327999999999999</v>
      </c>
      <c r="G14" s="932">
        <v>1.0327999999999999</v>
      </c>
      <c r="H14" s="932">
        <v>1.0327999999999999</v>
      </c>
      <c r="I14" s="932">
        <v>0.98819999999999997</v>
      </c>
      <c r="J14" s="932">
        <v>0.98819999999999997</v>
      </c>
      <c r="K14" s="932">
        <v>0.98819999999999997</v>
      </c>
      <c r="L14" s="932">
        <v>0.98819999999999997</v>
      </c>
      <c r="M14" s="932">
        <v>0.98819999999999997</v>
      </c>
    </row>
    <row r="15" spans="1:14">
      <c r="A15" s="923">
        <v>2.2000000000000002</v>
      </c>
      <c r="B15" s="932">
        <v>1.0663</v>
      </c>
      <c r="C15" s="932">
        <v>1.0663</v>
      </c>
      <c r="D15" s="932">
        <v>1.0237000000000001</v>
      </c>
      <c r="E15" s="932">
        <v>1.0237000000000001</v>
      </c>
      <c r="F15" s="932">
        <v>1.0237000000000001</v>
      </c>
      <c r="G15" s="932">
        <v>1.0237000000000001</v>
      </c>
      <c r="H15" s="932">
        <v>1.0237000000000001</v>
      </c>
      <c r="I15" s="932">
        <v>0.9768</v>
      </c>
      <c r="J15" s="932">
        <v>0.9768</v>
      </c>
      <c r="K15" s="932">
        <v>0.9768</v>
      </c>
      <c r="L15" s="932">
        <v>0.9768</v>
      </c>
      <c r="M15" s="932">
        <v>0.9768</v>
      </c>
    </row>
    <row r="16" spans="1:14">
      <c r="A16" s="923">
        <v>2.2999999999999998</v>
      </c>
      <c r="B16" s="932">
        <v>1.0584</v>
      </c>
      <c r="C16" s="932">
        <v>1.0584</v>
      </c>
      <c r="D16" s="932">
        <v>1.0152000000000001</v>
      </c>
      <c r="E16" s="932">
        <v>1.0152000000000001</v>
      </c>
      <c r="F16" s="932">
        <v>1.0152000000000001</v>
      </c>
      <c r="G16" s="932">
        <v>1.0152000000000001</v>
      </c>
      <c r="H16" s="932">
        <v>1.0152000000000001</v>
      </c>
      <c r="I16" s="932">
        <v>0.96609999999999996</v>
      </c>
      <c r="J16" s="932">
        <v>0.96609999999999996</v>
      </c>
      <c r="K16" s="932">
        <v>0.96609999999999996</v>
      </c>
      <c r="L16" s="932">
        <v>0.96609999999999996</v>
      </c>
      <c r="M16" s="932">
        <v>0.96609999999999996</v>
      </c>
    </row>
    <row r="17" spans="1:13">
      <c r="A17" s="923">
        <v>2.4</v>
      </c>
      <c r="B17" s="932">
        <v>1.0511999999999999</v>
      </c>
      <c r="C17" s="932">
        <v>1.0511999999999999</v>
      </c>
      <c r="D17" s="932">
        <v>1.0074000000000001</v>
      </c>
      <c r="E17" s="932">
        <v>1.0074000000000001</v>
      </c>
      <c r="F17" s="932">
        <v>1.0074000000000001</v>
      </c>
      <c r="G17" s="932">
        <v>1.0074000000000001</v>
      </c>
      <c r="H17" s="932">
        <v>1.0074000000000001</v>
      </c>
      <c r="I17" s="932">
        <v>0.95579999999999998</v>
      </c>
      <c r="J17" s="932">
        <v>0.95579999999999998</v>
      </c>
      <c r="K17" s="932">
        <v>0.95579999999999998</v>
      </c>
      <c r="L17" s="932">
        <v>0.95579999999999998</v>
      </c>
      <c r="M17" s="932">
        <v>0.95579999999999998</v>
      </c>
    </row>
    <row r="18" spans="1:13">
      <c r="A18" s="923">
        <v>2.5</v>
      </c>
      <c r="B18" s="932">
        <v>1.0445</v>
      </c>
      <c r="C18" s="932">
        <v>1.0445</v>
      </c>
      <c r="D18" s="932">
        <v>1</v>
      </c>
      <c r="E18" s="932">
        <v>1</v>
      </c>
      <c r="F18" s="932">
        <v>1</v>
      </c>
      <c r="G18" s="932">
        <v>1</v>
      </c>
      <c r="H18" s="932">
        <v>1</v>
      </c>
      <c r="I18" s="932">
        <v>0.94620000000000004</v>
      </c>
      <c r="J18" s="932">
        <v>0.94620000000000004</v>
      </c>
      <c r="K18" s="932">
        <v>0.94620000000000004</v>
      </c>
      <c r="L18" s="932">
        <v>0.94620000000000004</v>
      </c>
      <c r="M18" s="932">
        <v>0.94620000000000004</v>
      </c>
    </row>
    <row r="19" spans="1:13">
      <c r="A19" s="923">
        <v>2.6</v>
      </c>
      <c r="B19" s="932">
        <v>1.0386</v>
      </c>
      <c r="C19" s="932">
        <v>1.0386</v>
      </c>
      <c r="D19" s="932">
        <v>0.99350000000000005</v>
      </c>
      <c r="E19" s="932">
        <v>0.99350000000000005</v>
      </c>
      <c r="F19" s="932">
        <v>0.99350000000000005</v>
      </c>
      <c r="G19" s="932">
        <v>0.99350000000000005</v>
      </c>
      <c r="H19" s="932">
        <v>0.99350000000000005</v>
      </c>
      <c r="I19" s="932">
        <v>0.93710000000000004</v>
      </c>
      <c r="J19" s="932">
        <v>0.93710000000000004</v>
      </c>
      <c r="K19" s="932">
        <v>0.93710000000000004</v>
      </c>
      <c r="L19" s="932">
        <v>0.93710000000000004</v>
      </c>
      <c r="M19" s="932">
        <v>0.93710000000000004</v>
      </c>
    </row>
    <row r="20" spans="1:13">
      <c r="A20" s="923">
        <v>2.7</v>
      </c>
      <c r="B20" s="932">
        <v>1.0331999999999999</v>
      </c>
      <c r="C20" s="932">
        <v>1.0331999999999999</v>
      </c>
      <c r="D20" s="932">
        <v>0.98770000000000002</v>
      </c>
      <c r="E20" s="932">
        <v>0.98770000000000002</v>
      </c>
      <c r="F20" s="932">
        <v>0.98770000000000002</v>
      </c>
      <c r="G20" s="932">
        <v>0.98770000000000002</v>
      </c>
      <c r="H20" s="932">
        <v>0.98770000000000002</v>
      </c>
      <c r="I20" s="932">
        <v>0.92859999999999998</v>
      </c>
      <c r="J20" s="932">
        <v>0.92859999999999998</v>
      </c>
      <c r="K20" s="932">
        <v>0.92859999999999998</v>
      </c>
      <c r="L20" s="932">
        <v>0.92859999999999998</v>
      </c>
      <c r="M20" s="932">
        <v>0.92859999999999998</v>
      </c>
    </row>
    <row r="21" spans="1:13">
      <c r="A21" s="923">
        <v>2.8</v>
      </c>
      <c r="B21" s="932">
        <v>1.0282</v>
      </c>
      <c r="C21" s="932">
        <v>1.0282</v>
      </c>
      <c r="D21" s="932">
        <v>0.98260000000000003</v>
      </c>
      <c r="E21" s="932">
        <v>0.98260000000000003</v>
      </c>
      <c r="F21" s="932">
        <v>0.98260000000000003</v>
      </c>
      <c r="G21" s="932">
        <v>0.98260000000000003</v>
      </c>
      <c r="H21" s="932">
        <v>0.98260000000000003</v>
      </c>
      <c r="I21" s="932">
        <v>0.92069999999999996</v>
      </c>
      <c r="J21" s="932">
        <v>0.92069999999999996</v>
      </c>
      <c r="K21" s="932">
        <v>0.92069999999999996</v>
      </c>
      <c r="L21" s="932">
        <v>0.92069999999999996</v>
      </c>
      <c r="M21" s="932">
        <v>0.92069999999999996</v>
      </c>
    </row>
    <row r="22" spans="1:13">
      <c r="A22" s="923">
        <v>2.9</v>
      </c>
      <c r="B22" s="932">
        <v>1.0235000000000001</v>
      </c>
      <c r="C22" s="932">
        <v>1.0235000000000001</v>
      </c>
      <c r="D22" s="932">
        <v>0.97770000000000001</v>
      </c>
      <c r="E22" s="932">
        <v>0.97770000000000001</v>
      </c>
      <c r="F22" s="932">
        <v>0.97770000000000001</v>
      </c>
      <c r="G22" s="932">
        <v>0.97770000000000001</v>
      </c>
      <c r="H22" s="932">
        <v>0.97770000000000001</v>
      </c>
      <c r="I22" s="932">
        <v>0.9133</v>
      </c>
      <c r="J22" s="932">
        <v>0.9133</v>
      </c>
      <c r="K22" s="932">
        <v>0.9133</v>
      </c>
      <c r="L22" s="932">
        <v>0.9133</v>
      </c>
      <c r="M22" s="932">
        <v>0.9133</v>
      </c>
    </row>
    <row r="23" spans="1:13">
      <c r="A23" s="939">
        <v>3</v>
      </c>
      <c r="B23" s="932">
        <v>1.0190999999999999</v>
      </c>
      <c r="C23" s="932">
        <v>1.0190999999999999</v>
      </c>
      <c r="D23" s="932">
        <v>0.97299999999999998</v>
      </c>
      <c r="E23" s="932">
        <v>0.97299999999999998</v>
      </c>
      <c r="F23" s="932">
        <v>0.97299999999999998</v>
      </c>
      <c r="G23" s="932">
        <v>0.97299999999999998</v>
      </c>
      <c r="H23" s="932">
        <v>0.97299999999999998</v>
      </c>
      <c r="I23" s="932">
        <v>0.90629999999999999</v>
      </c>
      <c r="J23" s="932">
        <v>0.90629999999999999</v>
      </c>
      <c r="K23" s="932">
        <v>0.90629999999999999</v>
      </c>
      <c r="L23" s="932">
        <v>0.90629999999999999</v>
      </c>
      <c r="M23" s="932">
        <v>0.90629999999999999</v>
      </c>
    </row>
    <row r="24" spans="1:13">
      <c r="A24" s="939">
        <v>3.1</v>
      </c>
      <c r="B24" s="932">
        <v>1.0148999999999999</v>
      </c>
      <c r="C24" s="932">
        <v>1.0148999999999999</v>
      </c>
      <c r="D24" s="932">
        <v>0.96840000000000004</v>
      </c>
      <c r="E24" s="932">
        <v>0.96840000000000004</v>
      </c>
      <c r="F24" s="932">
        <v>0.96840000000000004</v>
      </c>
      <c r="G24" s="932">
        <v>0.96840000000000004</v>
      </c>
      <c r="H24" s="932">
        <v>0.96840000000000004</v>
      </c>
      <c r="I24" s="932">
        <v>0.89959999999999996</v>
      </c>
      <c r="J24" s="932">
        <v>0.89959999999999996</v>
      </c>
      <c r="K24" s="932">
        <v>0.89959999999999996</v>
      </c>
      <c r="L24" s="932">
        <v>0.89959999999999996</v>
      </c>
      <c r="M24" s="932">
        <v>0.89959999999999996</v>
      </c>
    </row>
    <row r="25" spans="1:13">
      <c r="A25" s="939">
        <v>3.2</v>
      </c>
      <c r="B25" s="932">
        <v>1.0108999999999999</v>
      </c>
      <c r="C25" s="932">
        <v>1.0108999999999999</v>
      </c>
      <c r="D25" s="932">
        <v>0.96399999999999997</v>
      </c>
      <c r="E25" s="932">
        <v>0.96399999999999997</v>
      </c>
      <c r="F25" s="932">
        <v>0.96399999999999997</v>
      </c>
      <c r="G25" s="932">
        <v>0.96399999999999997</v>
      </c>
      <c r="H25" s="932">
        <v>0.96399999999999997</v>
      </c>
      <c r="I25" s="932">
        <v>0.89319999999999999</v>
      </c>
      <c r="J25" s="932">
        <v>0.89319999999999999</v>
      </c>
      <c r="K25" s="932">
        <v>0.89319999999999999</v>
      </c>
      <c r="L25" s="932">
        <v>0.89319999999999999</v>
      </c>
      <c r="M25" s="932">
        <v>0.89319999999999999</v>
      </c>
    </row>
    <row r="26" spans="1:13">
      <c r="A26" s="939">
        <v>3.3</v>
      </c>
      <c r="B26" s="932">
        <v>1.0071000000000001</v>
      </c>
      <c r="C26" s="932">
        <v>1.0071000000000001</v>
      </c>
      <c r="D26" s="932">
        <v>0.95979999999999999</v>
      </c>
      <c r="E26" s="932">
        <v>0.95979999999999999</v>
      </c>
      <c r="F26" s="932">
        <v>0.95979999999999999</v>
      </c>
      <c r="G26" s="932">
        <v>0.95979999999999999</v>
      </c>
      <c r="H26" s="932">
        <v>0.95979999999999999</v>
      </c>
      <c r="I26" s="932">
        <v>0.8871</v>
      </c>
      <c r="J26" s="932">
        <v>0.8871</v>
      </c>
      <c r="K26" s="932">
        <v>0.8871</v>
      </c>
      <c r="L26" s="932">
        <v>0.8871</v>
      </c>
      <c r="M26" s="932">
        <v>0.8871</v>
      </c>
    </row>
    <row r="27" spans="1:13">
      <c r="A27" s="939">
        <v>3.4</v>
      </c>
      <c r="B27" s="932">
        <v>1.0035000000000001</v>
      </c>
      <c r="C27" s="932">
        <v>1.0035000000000001</v>
      </c>
      <c r="D27" s="932">
        <v>0.95579999999999998</v>
      </c>
      <c r="E27" s="932">
        <v>0.95579999999999998</v>
      </c>
      <c r="F27" s="932">
        <v>0.95579999999999998</v>
      </c>
      <c r="G27" s="932">
        <v>0.95579999999999998</v>
      </c>
      <c r="H27" s="932">
        <v>0.95579999999999998</v>
      </c>
      <c r="I27" s="932">
        <v>0.88119999999999998</v>
      </c>
      <c r="J27" s="932">
        <v>0.88119999999999998</v>
      </c>
      <c r="K27" s="932">
        <v>0.88119999999999998</v>
      </c>
      <c r="L27" s="932">
        <v>0.88119999999999998</v>
      </c>
      <c r="M27" s="932">
        <v>0.88119999999999998</v>
      </c>
    </row>
    <row r="28" spans="1:13">
      <c r="A28" s="939">
        <v>3.5</v>
      </c>
      <c r="B28" s="932">
        <v>1</v>
      </c>
      <c r="C28" s="932">
        <v>1</v>
      </c>
      <c r="D28" s="932">
        <v>0.95199999999999996</v>
      </c>
      <c r="E28" s="932">
        <v>0.95199999999999996</v>
      </c>
      <c r="F28" s="932">
        <v>0.95199999999999996</v>
      </c>
      <c r="G28" s="932">
        <v>0.95199999999999996</v>
      </c>
      <c r="H28" s="932">
        <v>0.95199999999999996</v>
      </c>
      <c r="I28" s="932">
        <v>0.87549999999999994</v>
      </c>
      <c r="J28" s="932">
        <v>0.87549999999999994</v>
      </c>
      <c r="K28" s="932">
        <v>0.87549999999999994</v>
      </c>
      <c r="L28" s="932">
        <v>0.87549999999999994</v>
      </c>
      <c r="M28" s="932">
        <v>0.87549999999999994</v>
      </c>
    </row>
    <row r="29" spans="1:13">
      <c r="A29" s="939">
        <v>3.6</v>
      </c>
      <c r="B29" s="932">
        <v>0.99660000000000004</v>
      </c>
      <c r="C29" s="932">
        <v>0.99660000000000004</v>
      </c>
      <c r="D29" s="932">
        <v>0.94840000000000002</v>
      </c>
      <c r="E29" s="932">
        <v>0.94840000000000002</v>
      </c>
      <c r="F29" s="932">
        <v>0.94840000000000002</v>
      </c>
      <c r="G29" s="932">
        <v>0.94840000000000002</v>
      </c>
      <c r="H29" s="932">
        <v>0.94840000000000002</v>
      </c>
      <c r="I29" s="932">
        <v>0.87</v>
      </c>
      <c r="J29" s="932">
        <v>0.87</v>
      </c>
      <c r="K29" s="932">
        <v>0.87</v>
      </c>
      <c r="L29" s="932">
        <v>0.87</v>
      </c>
      <c r="M29" s="932">
        <v>0.87</v>
      </c>
    </row>
    <row r="30" spans="1:13">
      <c r="A30" s="939">
        <v>3.7</v>
      </c>
      <c r="B30" s="932">
        <v>0.99329999999999996</v>
      </c>
      <c r="C30" s="932">
        <v>0.99329999999999996</v>
      </c>
      <c r="D30" s="932">
        <v>0.94499999999999995</v>
      </c>
      <c r="E30" s="932">
        <v>0.94499999999999995</v>
      </c>
      <c r="F30" s="932">
        <v>0.94499999999999995</v>
      </c>
      <c r="G30" s="932">
        <v>0.94499999999999995</v>
      </c>
      <c r="H30" s="932">
        <v>0.94499999999999995</v>
      </c>
      <c r="I30" s="932">
        <v>0.86470000000000002</v>
      </c>
      <c r="J30" s="932">
        <v>0.86470000000000002</v>
      </c>
      <c r="K30" s="932">
        <v>0.86470000000000002</v>
      </c>
      <c r="L30" s="932">
        <v>0.86470000000000002</v>
      </c>
      <c r="M30" s="932">
        <v>0.86470000000000002</v>
      </c>
    </row>
    <row r="31" spans="1:13">
      <c r="A31" s="939">
        <v>3.8</v>
      </c>
      <c r="B31" s="932">
        <v>0.99009999999999998</v>
      </c>
      <c r="C31" s="932">
        <v>0.99009999999999998</v>
      </c>
      <c r="D31" s="932">
        <v>0.94169999999999998</v>
      </c>
      <c r="E31" s="932">
        <v>0.94169999999999998</v>
      </c>
      <c r="F31" s="932">
        <v>0.94169999999999998</v>
      </c>
      <c r="G31" s="932">
        <v>0.94169999999999998</v>
      </c>
      <c r="H31" s="932">
        <v>0.94169999999999998</v>
      </c>
      <c r="I31" s="932">
        <v>0.85960000000000003</v>
      </c>
      <c r="J31" s="932">
        <v>0.85960000000000003</v>
      </c>
      <c r="K31" s="932">
        <v>0.85960000000000003</v>
      </c>
      <c r="L31" s="932">
        <v>0.85960000000000003</v>
      </c>
      <c r="M31" s="932">
        <v>0.85960000000000003</v>
      </c>
    </row>
    <row r="32" spans="1:13">
      <c r="A32" s="939">
        <v>3.9</v>
      </c>
      <c r="B32" s="932">
        <v>0.98699999999999999</v>
      </c>
      <c r="C32" s="932">
        <v>0.98699999999999999</v>
      </c>
      <c r="D32" s="932">
        <v>0.9385</v>
      </c>
      <c r="E32" s="932">
        <v>0.9385</v>
      </c>
      <c r="F32" s="932">
        <v>0.9385</v>
      </c>
      <c r="G32" s="932">
        <v>0.9385</v>
      </c>
      <c r="H32" s="932">
        <v>0.9385</v>
      </c>
      <c r="I32" s="932">
        <v>0.85470000000000002</v>
      </c>
      <c r="J32" s="932">
        <v>0.85470000000000002</v>
      </c>
      <c r="K32" s="932">
        <v>0.85470000000000002</v>
      </c>
      <c r="L32" s="932">
        <v>0.85470000000000002</v>
      </c>
      <c r="M32" s="932">
        <v>0.85470000000000002</v>
      </c>
    </row>
    <row r="33" spans="1:13">
      <c r="A33" s="939">
        <v>4</v>
      </c>
      <c r="B33" s="932">
        <v>0.98399999999999999</v>
      </c>
      <c r="C33" s="932">
        <v>0.98399999999999999</v>
      </c>
      <c r="D33" s="932">
        <v>0.93540000000000001</v>
      </c>
      <c r="E33" s="932">
        <v>0.93540000000000001</v>
      </c>
      <c r="F33" s="932">
        <v>0.93540000000000001</v>
      </c>
      <c r="G33" s="932">
        <v>0.93540000000000001</v>
      </c>
      <c r="H33" s="932">
        <v>0.93540000000000001</v>
      </c>
      <c r="I33" s="932">
        <v>0.84989999999999999</v>
      </c>
      <c r="J33" s="932">
        <v>0.84989999999999999</v>
      </c>
      <c r="K33" s="932">
        <v>0.84989999999999999</v>
      </c>
      <c r="L33" s="932">
        <v>0.84989999999999999</v>
      </c>
      <c r="M33" s="932">
        <v>0.84989999999999999</v>
      </c>
    </row>
    <row r="34" spans="1:13">
      <c r="A34" s="939">
        <v>4.0999999999999996</v>
      </c>
      <c r="B34" s="932">
        <v>0.98109999999999997</v>
      </c>
      <c r="C34" s="932">
        <v>0.98109999999999997</v>
      </c>
      <c r="D34" s="932">
        <v>0.93240000000000001</v>
      </c>
      <c r="E34" s="932">
        <v>0.93240000000000001</v>
      </c>
      <c r="F34" s="932">
        <v>0.93240000000000001</v>
      </c>
      <c r="G34" s="932">
        <v>0.93240000000000001</v>
      </c>
      <c r="H34" s="932">
        <v>0.93240000000000001</v>
      </c>
      <c r="I34" s="932">
        <v>0.84519999999999995</v>
      </c>
      <c r="J34" s="932">
        <v>0.84519999999999995</v>
      </c>
      <c r="K34" s="932">
        <v>0.84519999999999995</v>
      </c>
      <c r="L34" s="932">
        <v>0.84519999999999995</v>
      </c>
      <c r="M34" s="932">
        <v>0.84519999999999995</v>
      </c>
    </row>
    <row r="35" spans="1:13">
      <c r="A35" s="939">
        <v>4.2</v>
      </c>
      <c r="B35" s="932">
        <v>0.97829999999999995</v>
      </c>
      <c r="C35" s="932">
        <v>0.97829999999999995</v>
      </c>
      <c r="D35" s="932">
        <v>0.92949999999999999</v>
      </c>
      <c r="E35" s="932">
        <v>0.92949999999999999</v>
      </c>
      <c r="F35" s="932">
        <v>0.92949999999999999</v>
      </c>
      <c r="G35" s="932">
        <v>0.92949999999999999</v>
      </c>
      <c r="H35" s="932">
        <v>0.92949999999999999</v>
      </c>
      <c r="I35" s="932">
        <v>0.84060000000000001</v>
      </c>
      <c r="J35" s="932">
        <v>0.84060000000000001</v>
      </c>
      <c r="K35" s="932">
        <v>0.84060000000000001</v>
      </c>
      <c r="L35" s="932">
        <v>0.84060000000000001</v>
      </c>
      <c r="M35" s="932">
        <v>0.84060000000000001</v>
      </c>
    </row>
    <row r="36" spans="1:13">
      <c r="A36" s="939">
        <v>4.3</v>
      </c>
      <c r="B36" s="932">
        <v>0.97560000000000002</v>
      </c>
      <c r="C36" s="932">
        <v>0.97560000000000002</v>
      </c>
      <c r="D36" s="932">
        <v>0.92669999999999997</v>
      </c>
      <c r="E36" s="932">
        <v>0.92669999999999997</v>
      </c>
      <c r="F36" s="932">
        <v>0.92669999999999997</v>
      </c>
      <c r="G36" s="932">
        <v>0.92669999999999997</v>
      </c>
      <c r="H36" s="932">
        <v>0.92669999999999997</v>
      </c>
      <c r="I36" s="932">
        <v>0.83609999999999995</v>
      </c>
      <c r="J36" s="932">
        <v>0.83609999999999995</v>
      </c>
      <c r="K36" s="932">
        <v>0.83609999999999995</v>
      </c>
      <c r="L36" s="932">
        <v>0.83609999999999995</v>
      </c>
      <c r="M36" s="932">
        <v>0.83609999999999995</v>
      </c>
    </row>
    <row r="37" spans="1:13">
      <c r="A37" s="939">
        <v>4.4000000000000004</v>
      </c>
      <c r="B37" s="932">
        <v>0.97299999999999998</v>
      </c>
      <c r="C37" s="932">
        <v>0.97299999999999998</v>
      </c>
      <c r="D37" s="932">
        <v>0.92400000000000004</v>
      </c>
      <c r="E37" s="932">
        <v>0.92400000000000004</v>
      </c>
      <c r="F37" s="932">
        <v>0.92400000000000004</v>
      </c>
      <c r="G37" s="932">
        <v>0.92400000000000004</v>
      </c>
      <c r="H37" s="932">
        <v>0.92400000000000004</v>
      </c>
      <c r="I37" s="932">
        <v>0.83169999999999999</v>
      </c>
      <c r="J37" s="932">
        <v>0.83169999999999999</v>
      </c>
      <c r="K37" s="932">
        <v>0.83169999999999999</v>
      </c>
      <c r="L37" s="932">
        <v>0.83169999999999999</v>
      </c>
      <c r="M37" s="932">
        <v>0.83169999999999999</v>
      </c>
    </row>
    <row r="38" spans="1:13">
      <c r="A38" s="939">
        <v>4.5</v>
      </c>
      <c r="B38" s="932">
        <v>0.97050000000000003</v>
      </c>
      <c r="C38" s="932">
        <v>0.97050000000000003</v>
      </c>
      <c r="D38" s="932">
        <v>0.92130000000000001</v>
      </c>
      <c r="E38" s="932">
        <v>0.92130000000000001</v>
      </c>
      <c r="F38" s="932">
        <v>0.92130000000000001</v>
      </c>
      <c r="G38" s="932">
        <v>0.92130000000000001</v>
      </c>
      <c r="H38" s="932">
        <v>0.92130000000000001</v>
      </c>
      <c r="I38" s="932">
        <v>0.82740000000000002</v>
      </c>
      <c r="J38" s="932">
        <v>0.82740000000000002</v>
      </c>
      <c r="K38" s="932">
        <v>0.82740000000000002</v>
      </c>
      <c r="L38" s="932">
        <v>0.82740000000000002</v>
      </c>
      <c r="M38" s="932">
        <v>0.82740000000000002</v>
      </c>
    </row>
    <row r="39" spans="1:13">
      <c r="A39" s="939">
        <v>4.5999999999999996</v>
      </c>
      <c r="B39" s="932">
        <v>0.96809999999999996</v>
      </c>
      <c r="C39" s="932">
        <v>0.96809999999999996</v>
      </c>
      <c r="D39" s="932">
        <v>0.91869999999999996</v>
      </c>
      <c r="E39" s="932">
        <v>0.91869999999999996</v>
      </c>
      <c r="F39" s="932">
        <v>0.91869999999999996</v>
      </c>
      <c r="G39" s="932">
        <v>0.91869999999999996</v>
      </c>
      <c r="H39" s="932">
        <v>0.91869999999999996</v>
      </c>
      <c r="I39" s="932">
        <v>0.82320000000000004</v>
      </c>
      <c r="J39" s="932">
        <v>0.82320000000000004</v>
      </c>
      <c r="K39" s="932">
        <v>0.82320000000000004</v>
      </c>
      <c r="L39" s="932">
        <v>0.82320000000000004</v>
      </c>
      <c r="M39" s="932">
        <v>0.82320000000000004</v>
      </c>
    </row>
    <row r="40" spans="1:13">
      <c r="A40" s="939">
        <v>4.7</v>
      </c>
      <c r="B40" s="932">
        <v>0.96579999999999999</v>
      </c>
      <c r="C40" s="932">
        <v>0.96579999999999999</v>
      </c>
      <c r="D40" s="932">
        <v>0.91610000000000003</v>
      </c>
      <c r="E40" s="932">
        <v>0.91610000000000003</v>
      </c>
      <c r="F40" s="932">
        <v>0.91610000000000003</v>
      </c>
      <c r="G40" s="932">
        <v>0.91610000000000003</v>
      </c>
      <c r="H40" s="932">
        <v>0.91610000000000003</v>
      </c>
      <c r="I40" s="932">
        <v>0.81910000000000005</v>
      </c>
      <c r="J40" s="932">
        <v>0.81910000000000005</v>
      </c>
      <c r="K40" s="932">
        <v>0.81910000000000005</v>
      </c>
      <c r="L40" s="932">
        <v>0.81910000000000005</v>
      </c>
      <c r="M40" s="932">
        <v>0.81910000000000005</v>
      </c>
    </row>
    <row r="41" spans="1:13">
      <c r="A41" s="939">
        <v>4.8</v>
      </c>
      <c r="B41" s="932">
        <v>0.96360000000000001</v>
      </c>
      <c r="C41" s="932">
        <v>0.96360000000000001</v>
      </c>
      <c r="D41" s="932">
        <v>0.91349999999999998</v>
      </c>
      <c r="E41" s="932">
        <v>0.91349999999999998</v>
      </c>
      <c r="F41" s="932">
        <v>0.91349999999999998</v>
      </c>
      <c r="G41" s="932">
        <v>0.91349999999999998</v>
      </c>
      <c r="H41" s="932">
        <v>0.91349999999999998</v>
      </c>
      <c r="I41" s="932">
        <v>0.81510000000000005</v>
      </c>
      <c r="J41" s="932">
        <v>0.81510000000000005</v>
      </c>
      <c r="K41" s="932">
        <v>0.81510000000000005</v>
      </c>
      <c r="L41" s="932">
        <v>0.81510000000000005</v>
      </c>
      <c r="M41" s="932">
        <v>0.81510000000000005</v>
      </c>
    </row>
    <row r="42" spans="1:13">
      <c r="A42" s="939">
        <v>4.9000000000000004</v>
      </c>
      <c r="B42" s="932">
        <v>0.96150000000000002</v>
      </c>
      <c r="C42" s="932">
        <v>0.96150000000000002</v>
      </c>
      <c r="D42" s="932">
        <v>0.91100000000000003</v>
      </c>
      <c r="E42" s="932">
        <v>0.91100000000000003</v>
      </c>
      <c r="F42" s="932">
        <v>0.91100000000000003</v>
      </c>
      <c r="G42" s="932">
        <v>0.91100000000000003</v>
      </c>
      <c r="H42" s="932">
        <v>0.91100000000000003</v>
      </c>
      <c r="I42" s="932">
        <v>0.81110000000000004</v>
      </c>
      <c r="J42" s="932">
        <v>0.81110000000000004</v>
      </c>
      <c r="K42" s="932">
        <v>0.81110000000000004</v>
      </c>
      <c r="L42" s="932">
        <v>0.81110000000000004</v>
      </c>
      <c r="M42" s="932">
        <v>0.81110000000000004</v>
      </c>
    </row>
    <row r="43" spans="1:13">
      <c r="A43" s="939">
        <v>5</v>
      </c>
      <c r="B43" s="932">
        <v>0.95940000000000003</v>
      </c>
      <c r="C43" s="932">
        <v>0.95940000000000003</v>
      </c>
      <c r="D43" s="932">
        <v>0.90849999999999997</v>
      </c>
      <c r="E43" s="932">
        <v>0.90849999999999997</v>
      </c>
      <c r="F43" s="932">
        <v>0.90849999999999997</v>
      </c>
      <c r="G43" s="932">
        <v>0.90849999999999997</v>
      </c>
      <c r="H43" s="932">
        <v>0.90849999999999997</v>
      </c>
      <c r="I43" s="932">
        <v>0.80720000000000003</v>
      </c>
      <c r="J43" s="932">
        <v>0.80720000000000003</v>
      </c>
      <c r="K43" s="932">
        <v>0.80720000000000003</v>
      </c>
      <c r="L43" s="932">
        <v>0.80720000000000003</v>
      </c>
      <c r="M43" s="932">
        <v>0.80720000000000003</v>
      </c>
    </row>
    <row r="44" spans="1:13">
      <c r="A44" s="939">
        <v>5.0999999999999996</v>
      </c>
      <c r="B44" s="932">
        <v>0.95740000000000003</v>
      </c>
      <c r="C44" s="932">
        <v>0.95740000000000003</v>
      </c>
      <c r="D44" s="932">
        <v>0.90600000000000003</v>
      </c>
      <c r="E44" s="932">
        <v>0.90600000000000003</v>
      </c>
      <c r="F44" s="932">
        <v>0.90600000000000003</v>
      </c>
      <c r="G44" s="932">
        <v>0.90600000000000003</v>
      </c>
      <c r="H44" s="932">
        <v>0.90600000000000003</v>
      </c>
      <c r="I44" s="932">
        <v>0.80330000000000001</v>
      </c>
      <c r="J44" s="932">
        <v>0.80330000000000001</v>
      </c>
      <c r="K44" s="932">
        <v>0.80330000000000001</v>
      </c>
      <c r="L44" s="932">
        <v>0.80330000000000001</v>
      </c>
      <c r="M44" s="932">
        <v>0.80330000000000001</v>
      </c>
    </row>
    <row r="45" spans="1:13">
      <c r="A45" s="939">
        <v>5.2</v>
      </c>
      <c r="B45" s="932">
        <v>0.95540000000000003</v>
      </c>
      <c r="C45" s="932">
        <v>0.95540000000000003</v>
      </c>
      <c r="D45" s="932">
        <v>0.90349999999999997</v>
      </c>
      <c r="E45" s="932">
        <v>0.90349999999999997</v>
      </c>
      <c r="F45" s="932">
        <v>0.90349999999999997</v>
      </c>
      <c r="G45" s="932">
        <v>0.90349999999999997</v>
      </c>
      <c r="H45" s="932">
        <v>0.90349999999999997</v>
      </c>
      <c r="I45" s="932">
        <v>0.79949999999999999</v>
      </c>
      <c r="J45" s="932">
        <v>0.79949999999999999</v>
      </c>
      <c r="K45" s="932">
        <v>0.79949999999999999</v>
      </c>
      <c r="L45" s="932">
        <v>0.79949999999999999</v>
      </c>
      <c r="M45" s="932">
        <v>0.79949999999999999</v>
      </c>
    </row>
    <row r="46" spans="1:13">
      <c r="A46" s="939">
        <v>5.3</v>
      </c>
      <c r="B46" s="932">
        <v>0.95350000000000001</v>
      </c>
      <c r="C46" s="932">
        <v>0.95350000000000001</v>
      </c>
      <c r="D46" s="932">
        <v>0.90110000000000001</v>
      </c>
      <c r="E46" s="932">
        <v>0.90110000000000001</v>
      </c>
      <c r="F46" s="932">
        <v>0.90110000000000001</v>
      </c>
      <c r="G46" s="932">
        <v>0.90110000000000001</v>
      </c>
      <c r="H46" s="932">
        <v>0.90110000000000001</v>
      </c>
      <c r="I46" s="932">
        <v>0.79569999999999996</v>
      </c>
      <c r="J46" s="932">
        <v>0.79569999999999996</v>
      </c>
      <c r="K46" s="932">
        <v>0.79569999999999996</v>
      </c>
      <c r="L46" s="932">
        <v>0.79569999999999996</v>
      </c>
      <c r="M46" s="932">
        <v>0.79569999999999996</v>
      </c>
    </row>
    <row r="47" spans="1:13">
      <c r="A47" s="939">
        <v>5.4</v>
      </c>
      <c r="B47" s="932">
        <v>0.9516</v>
      </c>
      <c r="C47" s="932">
        <v>0.9516</v>
      </c>
      <c r="D47" s="932">
        <v>0.89870000000000005</v>
      </c>
      <c r="E47" s="932">
        <v>0.89870000000000005</v>
      </c>
      <c r="F47" s="932">
        <v>0.89870000000000005</v>
      </c>
      <c r="G47" s="932">
        <v>0.89870000000000005</v>
      </c>
      <c r="H47" s="932">
        <v>0.89870000000000005</v>
      </c>
      <c r="I47" s="932">
        <v>0.79200000000000004</v>
      </c>
      <c r="J47" s="932">
        <v>0.79200000000000004</v>
      </c>
      <c r="K47" s="932">
        <v>0.79200000000000004</v>
      </c>
      <c r="L47" s="932">
        <v>0.79200000000000004</v>
      </c>
      <c r="M47" s="932">
        <v>0.79200000000000004</v>
      </c>
    </row>
    <row r="48" spans="1:13">
      <c r="A48" s="939">
        <v>5.5</v>
      </c>
      <c r="B48" s="932">
        <v>0.94979999999999998</v>
      </c>
      <c r="C48" s="932">
        <v>0.94979999999999998</v>
      </c>
      <c r="D48" s="932">
        <v>0.89629999999999999</v>
      </c>
      <c r="E48" s="932">
        <v>0.89629999999999999</v>
      </c>
      <c r="F48" s="932">
        <v>0.89629999999999999</v>
      </c>
      <c r="G48" s="932">
        <v>0.89629999999999999</v>
      </c>
      <c r="H48" s="932">
        <v>0.89629999999999999</v>
      </c>
      <c r="I48" s="932">
        <v>0.7883</v>
      </c>
      <c r="J48" s="932">
        <v>0.7883</v>
      </c>
      <c r="K48" s="932">
        <v>0.7883</v>
      </c>
      <c r="L48" s="932">
        <v>0.7883</v>
      </c>
      <c r="M48" s="932">
        <v>0.7883</v>
      </c>
    </row>
    <row r="49" spans="1:13">
      <c r="A49" s="939">
        <v>5.6</v>
      </c>
      <c r="B49" s="932">
        <v>0.94799999999999995</v>
      </c>
      <c r="C49" s="932">
        <v>0.94799999999999995</v>
      </c>
      <c r="D49" s="932">
        <v>0.89390000000000003</v>
      </c>
      <c r="E49" s="932">
        <v>0.89390000000000003</v>
      </c>
      <c r="F49" s="932">
        <v>0.89390000000000003</v>
      </c>
      <c r="G49" s="932">
        <v>0.89390000000000003</v>
      </c>
      <c r="H49" s="932">
        <v>0.89390000000000003</v>
      </c>
      <c r="I49" s="932">
        <v>0.78469999999999995</v>
      </c>
      <c r="J49" s="932">
        <v>0.78469999999999995</v>
      </c>
      <c r="K49" s="932">
        <v>0.78469999999999995</v>
      </c>
      <c r="L49" s="932">
        <v>0.78469999999999995</v>
      </c>
      <c r="M49" s="932">
        <v>0.78469999999999995</v>
      </c>
    </row>
    <row r="50" spans="1:13">
      <c r="A50" s="939">
        <v>5.7</v>
      </c>
      <c r="B50" s="932">
        <v>0.94620000000000004</v>
      </c>
      <c r="C50" s="932">
        <v>0.94620000000000004</v>
      </c>
      <c r="D50" s="932">
        <v>0.89149999999999996</v>
      </c>
      <c r="E50" s="932">
        <v>0.89149999999999996</v>
      </c>
      <c r="F50" s="932">
        <v>0.89149999999999996</v>
      </c>
      <c r="G50" s="932">
        <v>0.89149999999999996</v>
      </c>
      <c r="H50" s="932">
        <v>0.89149999999999996</v>
      </c>
      <c r="I50" s="932">
        <v>0.78110000000000002</v>
      </c>
      <c r="J50" s="932">
        <v>0.78110000000000002</v>
      </c>
      <c r="K50" s="932">
        <v>0.78110000000000002</v>
      </c>
      <c r="L50" s="932">
        <v>0.78110000000000002</v>
      </c>
      <c r="M50" s="932">
        <v>0.78110000000000002</v>
      </c>
    </row>
    <row r="51" spans="1:13">
      <c r="A51" s="939">
        <v>5.8</v>
      </c>
      <c r="B51" s="932">
        <v>0.94450000000000001</v>
      </c>
      <c r="C51" s="932">
        <v>0.94450000000000001</v>
      </c>
      <c r="D51" s="932">
        <v>0.88919999999999999</v>
      </c>
      <c r="E51" s="932">
        <v>0.88919999999999999</v>
      </c>
      <c r="F51" s="932">
        <v>0.88919999999999999</v>
      </c>
      <c r="G51" s="932">
        <v>0.88919999999999999</v>
      </c>
      <c r="H51" s="932">
        <v>0.88919999999999999</v>
      </c>
      <c r="I51" s="932">
        <v>0.77759999999999996</v>
      </c>
      <c r="J51" s="932">
        <v>0.77759999999999996</v>
      </c>
      <c r="K51" s="932">
        <v>0.77759999999999996</v>
      </c>
      <c r="L51" s="932">
        <v>0.77759999999999996</v>
      </c>
      <c r="M51" s="932">
        <v>0.77759999999999996</v>
      </c>
    </row>
    <row r="52" spans="1:13">
      <c r="A52" s="939">
        <v>5.9</v>
      </c>
      <c r="B52" s="932">
        <v>0.94279999999999997</v>
      </c>
      <c r="C52" s="932">
        <v>0.94279999999999997</v>
      </c>
      <c r="D52" s="932">
        <v>0.88690000000000002</v>
      </c>
      <c r="E52" s="932">
        <v>0.88690000000000002</v>
      </c>
      <c r="F52" s="932">
        <v>0.88690000000000002</v>
      </c>
      <c r="G52" s="932">
        <v>0.88690000000000002</v>
      </c>
      <c r="H52" s="932">
        <v>0.88690000000000002</v>
      </c>
      <c r="I52" s="932">
        <v>0.77410000000000001</v>
      </c>
      <c r="J52" s="932">
        <v>0.77410000000000001</v>
      </c>
      <c r="K52" s="932">
        <v>0.77410000000000001</v>
      </c>
      <c r="L52" s="932">
        <v>0.77410000000000001</v>
      </c>
      <c r="M52" s="932">
        <v>0.77410000000000001</v>
      </c>
    </row>
    <row r="53" spans="1:13">
      <c r="A53" s="923">
        <v>6</v>
      </c>
      <c r="B53" s="932">
        <v>0.94110000000000005</v>
      </c>
      <c r="C53" s="932">
        <v>0.94110000000000005</v>
      </c>
      <c r="D53" s="932">
        <v>0.88460000000000005</v>
      </c>
      <c r="E53" s="932">
        <v>0.88460000000000005</v>
      </c>
      <c r="F53" s="932">
        <v>0.88460000000000005</v>
      </c>
      <c r="G53" s="932">
        <v>0.88460000000000005</v>
      </c>
      <c r="H53" s="932">
        <v>0.88460000000000005</v>
      </c>
      <c r="I53" s="932">
        <v>0.77070000000000005</v>
      </c>
      <c r="J53" s="932">
        <v>0.77070000000000005</v>
      </c>
      <c r="K53" s="932">
        <v>0.77070000000000005</v>
      </c>
      <c r="L53" s="932">
        <v>0.77070000000000005</v>
      </c>
      <c r="M53" s="932">
        <v>0.77070000000000005</v>
      </c>
    </row>
    <row r="54" spans="1:13">
      <c r="A54" s="923">
        <v>6.1</v>
      </c>
      <c r="B54" s="932">
        <v>0.93940000000000001</v>
      </c>
      <c r="C54" s="932">
        <v>0.93940000000000001</v>
      </c>
      <c r="D54" s="932">
        <v>0.88229999999999997</v>
      </c>
      <c r="E54" s="932">
        <v>0.88229999999999997</v>
      </c>
      <c r="F54" s="932">
        <v>0.88229999999999997</v>
      </c>
      <c r="G54" s="932">
        <v>0.88229999999999997</v>
      </c>
      <c r="H54" s="932">
        <v>0.88229999999999997</v>
      </c>
      <c r="I54" s="932">
        <v>0.76729999999999998</v>
      </c>
      <c r="J54" s="932">
        <v>0.76729999999999998</v>
      </c>
      <c r="K54" s="932">
        <v>0.76729999999999998</v>
      </c>
      <c r="L54" s="932">
        <v>0.76729999999999998</v>
      </c>
      <c r="M54" s="932">
        <v>0.76729999999999998</v>
      </c>
    </row>
    <row r="55" spans="1:13">
      <c r="A55" s="923">
        <v>6.2</v>
      </c>
      <c r="B55" s="932">
        <v>0.93769999999999998</v>
      </c>
      <c r="C55" s="932">
        <v>0.93769999999999998</v>
      </c>
      <c r="D55" s="932">
        <v>0.88</v>
      </c>
      <c r="E55" s="932">
        <v>0.88</v>
      </c>
      <c r="F55" s="932">
        <v>0.88</v>
      </c>
      <c r="G55" s="932">
        <v>0.88</v>
      </c>
      <c r="H55" s="932">
        <v>0.88</v>
      </c>
      <c r="I55" s="932">
        <v>0.76400000000000001</v>
      </c>
      <c r="J55" s="932">
        <v>0.76400000000000001</v>
      </c>
      <c r="K55" s="932">
        <v>0.76400000000000001</v>
      </c>
      <c r="L55" s="932">
        <v>0.76400000000000001</v>
      </c>
      <c r="M55" s="932">
        <v>0.76400000000000001</v>
      </c>
    </row>
    <row r="56" spans="1:13">
      <c r="A56" s="923">
        <v>6.3</v>
      </c>
      <c r="B56" s="932">
        <v>0.93610000000000004</v>
      </c>
      <c r="C56" s="932">
        <v>0.93610000000000004</v>
      </c>
      <c r="D56" s="932">
        <v>0.87780000000000002</v>
      </c>
      <c r="E56" s="932">
        <v>0.87780000000000002</v>
      </c>
      <c r="F56" s="932">
        <v>0.87780000000000002</v>
      </c>
      <c r="G56" s="932">
        <v>0.87780000000000002</v>
      </c>
      <c r="H56" s="932">
        <v>0.87780000000000002</v>
      </c>
      <c r="I56" s="932">
        <v>0.76070000000000004</v>
      </c>
      <c r="J56" s="932">
        <v>0.76070000000000004</v>
      </c>
      <c r="K56" s="932">
        <v>0.76070000000000004</v>
      </c>
      <c r="L56" s="932">
        <v>0.76070000000000004</v>
      </c>
      <c r="M56" s="932">
        <v>0.76070000000000004</v>
      </c>
    </row>
    <row r="57" spans="1:13">
      <c r="A57" s="923">
        <v>6.4</v>
      </c>
      <c r="B57" s="932">
        <v>0.9345</v>
      </c>
      <c r="C57" s="932">
        <v>0.9345</v>
      </c>
      <c r="D57" s="932">
        <v>0.87560000000000004</v>
      </c>
      <c r="E57" s="932">
        <v>0.87560000000000004</v>
      </c>
      <c r="F57" s="932">
        <v>0.87560000000000004</v>
      </c>
      <c r="G57" s="932">
        <v>0.87560000000000004</v>
      </c>
      <c r="H57" s="932">
        <v>0.87560000000000004</v>
      </c>
      <c r="I57" s="932">
        <v>0.75749999999999995</v>
      </c>
      <c r="J57" s="932">
        <v>0.75749999999999995</v>
      </c>
      <c r="K57" s="932">
        <v>0.75749999999999995</v>
      </c>
      <c r="L57" s="932">
        <v>0.75749999999999995</v>
      </c>
      <c r="M57" s="932">
        <v>0.75749999999999995</v>
      </c>
    </row>
    <row r="58" spans="1:13">
      <c r="A58" s="923">
        <v>6.5</v>
      </c>
      <c r="B58" s="932">
        <v>0.93289999999999995</v>
      </c>
      <c r="C58" s="932">
        <v>0.93289999999999995</v>
      </c>
      <c r="D58" s="932">
        <v>0.87339999999999995</v>
      </c>
      <c r="E58" s="932">
        <v>0.87339999999999995</v>
      </c>
      <c r="F58" s="932">
        <v>0.87339999999999995</v>
      </c>
      <c r="G58" s="932">
        <v>0.87339999999999995</v>
      </c>
      <c r="H58" s="932">
        <v>0.87339999999999995</v>
      </c>
      <c r="I58" s="932">
        <v>0.75429999999999997</v>
      </c>
      <c r="J58" s="932">
        <v>0.75429999999999997</v>
      </c>
      <c r="K58" s="932">
        <v>0.75429999999999997</v>
      </c>
      <c r="L58" s="932">
        <v>0.75429999999999997</v>
      </c>
      <c r="M58" s="932">
        <v>0.75429999999999997</v>
      </c>
    </row>
    <row r="59" spans="1:13">
      <c r="A59" s="939">
        <v>6.6</v>
      </c>
      <c r="B59" s="932">
        <v>0.93130000000000002</v>
      </c>
      <c r="C59" s="932">
        <v>0.93130000000000002</v>
      </c>
      <c r="D59" s="932">
        <v>0.87119999999999997</v>
      </c>
      <c r="E59" s="932">
        <v>0.87119999999999997</v>
      </c>
      <c r="F59" s="932">
        <v>0.87119999999999997</v>
      </c>
      <c r="G59" s="932">
        <v>0.87119999999999997</v>
      </c>
      <c r="H59" s="932">
        <v>0.87119999999999997</v>
      </c>
      <c r="I59" s="932">
        <v>0.75119999999999998</v>
      </c>
      <c r="J59" s="932">
        <v>0.75119999999999998</v>
      </c>
      <c r="K59" s="932">
        <v>0.75119999999999998</v>
      </c>
      <c r="L59" s="932">
        <v>0.75119999999999998</v>
      </c>
      <c r="M59" s="932">
        <v>0.75119999999999998</v>
      </c>
    </row>
    <row r="60" spans="1:13">
      <c r="A60" s="923">
        <v>6.7</v>
      </c>
      <c r="B60" s="932">
        <v>0.92969999999999997</v>
      </c>
      <c r="C60" s="932">
        <v>0.92969999999999997</v>
      </c>
      <c r="D60" s="932">
        <v>0.86899999999999999</v>
      </c>
      <c r="E60" s="932">
        <v>0.86899999999999999</v>
      </c>
      <c r="F60" s="932">
        <v>0.86899999999999999</v>
      </c>
      <c r="G60" s="932">
        <v>0.86899999999999999</v>
      </c>
      <c r="H60" s="932">
        <v>0.86899999999999999</v>
      </c>
      <c r="I60" s="932">
        <v>0.74809999999999999</v>
      </c>
      <c r="J60" s="932">
        <v>0.74809999999999999</v>
      </c>
      <c r="K60" s="932">
        <v>0.74809999999999999</v>
      </c>
      <c r="L60" s="932">
        <v>0.74809999999999999</v>
      </c>
      <c r="M60" s="932">
        <v>0.74809999999999999</v>
      </c>
    </row>
    <row r="61" spans="1:13">
      <c r="A61" s="923">
        <v>6.8</v>
      </c>
      <c r="B61" s="932">
        <v>0.92820000000000003</v>
      </c>
      <c r="C61" s="932">
        <v>0.92820000000000003</v>
      </c>
      <c r="D61" s="932">
        <v>0.8669</v>
      </c>
      <c r="E61" s="932">
        <v>0.8669</v>
      </c>
      <c r="F61" s="932">
        <v>0.8669</v>
      </c>
      <c r="G61" s="932">
        <v>0.8669</v>
      </c>
      <c r="H61" s="932">
        <v>0.8669</v>
      </c>
      <c r="I61" s="932">
        <v>0.74509999999999998</v>
      </c>
      <c r="J61" s="932">
        <v>0.74509999999999998</v>
      </c>
      <c r="K61" s="932">
        <v>0.74509999999999998</v>
      </c>
      <c r="L61" s="932">
        <v>0.74509999999999998</v>
      </c>
      <c r="M61" s="932">
        <v>0.74509999999999998</v>
      </c>
    </row>
    <row r="62" spans="1:13">
      <c r="A62" s="923">
        <v>6.9</v>
      </c>
      <c r="B62" s="932">
        <v>0.92669999999999997</v>
      </c>
      <c r="C62" s="932">
        <v>0.92669999999999997</v>
      </c>
      <c r="D62" s="932">
        <v>0.86480000000000001</v>
      </c>
      <c r="E62" s="932">
        <v>0.86480000000000001</v>
      </c>
      <c r="F62" s="932">
        <v>0.86480000000000001</v>
      </c>
      <c r="G62" s="932">
        <v>0.86480000000000001</v>
      </c>
      <c r="H62" s="932">
        <v>0.86480000000000001</v>
      </c>
      <c r="I62" s="932">
        <v>0.74209999999999998</v>
      </c>
      <c r="J62" s="932">
        <v>0.74209999999999998</v>
      </c>
      <c r="K62" s="932">
        <v>0.74209999999999998</v>
      </c>
      <c r="L62" s="932">
        <v>0.74209999999999998</v>
      </c>
      <c r="M62" s="932">
        <v>0.74209999999999998</v>
      </c>
    </row>
    <row r="63" spans="1:13">
      <c r="A63" s="923">
        <v>7</v>
      </c>
      <c r="B63" s="932">
        <v>0.92520000000000002</v>
      </c>
      <c r="C63" s="932">
        <v>0.92520000000000002</v>
      </c>
      <c r="D63" s="932">
        <v>0.86270000000000002</v>
      </c>
      <c r="E63" s="932">
        <v>0.86270000000000002</v>
      </c>
      <c r="F63" s="932">
        <v>0.86270000000000002</v>
      </c>
      <c r="G63" s="932">
        <v>0.86270000000000002</v>
      </c>
      <c r="H63" s="932">
        <v>0.86270000000000002</v>
      </c>
      <c r="I63" s="932">
        <v>0.73919999999999997</v>
      </c>
      <c r="J63" s="932">
        <v>0.73919999999999997</v>
      </c>
      <c r="K63" s="932">
        <v>0.73919999999999997</v>
      </c>
      <c r="L63" s="932">
        <v>0.73919999999999997</v>
      </c>
      <c r="M63" s="932">
        <v>0.73919999999999997</v>
      </c>
    </row>
    <row r="64" spans="1:13">
      <c r="A64" s="923">
        <v>7.1</v>
      </c>
      <c r="B64" s="932">
        <v>0.92369999999999997</v>
      </c>
      <c r="C64" s="932">
        <v>0.92369999999999997</v>
      </c>
      <c r="D64" s="932">
        <v>0.86060000000000003</v>
      </c>
      <c r="E64" s="932">
        <v>0.86060000000000003</v>
      </c>
      <c r="F64" s="932">
        <v>0.86060000000000003</v>
      </c>
      <c r="G64" s="932">
        <v>0.86060000000000003</v>
      </c>
      <c r="H64" s="932">
        <v>0.86060000000000003</v>
      </c>
      <c r="I64" s="932">
        <v>0.73629999999999995</v>
      </c>
      <c r="J64" s="932">
        <v>0.73629999999999995</v>
      </c>
      <c r="K64" s="932">
        <v>0.73629999999999995</v>
      </c>
      <c r="L64" s="932">
        <v>0.73629999999999995</v>
      </c>
      <c r="M64" s="932">
        <v>0.73629999999999995</v>
      </c>
    </row>
    <row r="65" spans="1:13">
      <c r="A65" s="923">
        <v>7.2</v>
      </c>
      <c r="B65" s="932">
        <v>0.92220000000000002</v>
      </c>
      <c r="C65" s="932">
        <v>0.92220000000000002</v>
      </c>
      <c r="D65" s="932">
        <v>0.85850000000000004</v>
      </c>
      <c r="E65" s="932">
        <v>0.85850000000000004</v>
      </c>
      <c r="F65" s="932">
        <v>0.85850000000000004</v>
      </c>
      <c r="G65" s="932">
        <v>0.85850000000000004</v>
      </c>
      <c r="H65" s="932">
        <v>0.85850000000000004</v>
      </c>
      <c r="I65" s="932">
        <v>0.73350000000000004</v>
      </c>
      <c r="J65" s="932">
        <v>0.73350000000000004</v>
      </c>
      <c r="K65" s="932">
        <v>0.73350000000000004</v>
      </c>
      <c r="L65" s="932">
        <v>0.73350000000000004</v>
      </c>
      <c r="M65" s="932">
        <v>0.73350000000000004</v>
      </c>
    </row>
    <row r="66" spans="1:13">
      <c r="A66" s="923">
        <v>7.3</v>
      </c>
      <c r="B66" s="932">
        <v>0.92069999999999996</v>
      </c>
      <c r="C66" s="932">
        <v>0.92069999999999996</v>
      </c>
      <c r="D66" s="932">
        <v>0.85650000000000004</v>
      </c>
      <c r="E66" s="932">
        <v>0.85650000000000004</v>
      </c>
      <c r="F66" s="932">
        <v>0.85650000000000004</v>
      </c>
      <c r="G66" s="932">
        <v>0.85650000000000004</v>
      </c>
      <c r="H66" s="932">
        <v>0.85650000000000004</v>
      </c>
      <c r="I66" s="932">
        <v>0.73070000000000002</v>
      </c>
      <c r="J66" s="932">
        <v>0.73070000000000002</v>
      </c>
      <c r="K66" s="932">
        <v>0.73070000000000002</v>
      </c>
      <c r="L66" s="932">
        <v>0.73070000000000002</v>
      </c>
      <c r="M66" s="932">
        <v>0.73070000000000002</v>
      </c>
    </row>
    <row r="67" spans="1:13">
      <c r="A67" s="923">
        <v>7.4</v>
      </c>
      <c r="B67" s="932">
        <v>0.91930000000000001</v>
      </c>
      <c r="C67" s="932">
        <v>0.91930000000000001</v>
      </c>
      <c r="D67" s="932">
        <v>0.85450000000000004</v>
      </c>
      <c r="E67" s="932">
        <v>0.85450000000000004</v>
      </c>
      <c r="F67" s="932">
        <v>0.85450000000000004</v>
      </c>
      <c r="G67" s="932">
        <v>0.85450000000000004</v>
      </c>
      <c r="H67" s="932">
        <v>0.85450000000000004</v>
      </c>
      <c r="I67" s="932">
        <v>0.72799999999999998</v>
      </c>
      <c r="J67" s="932">
        <v>0.72799999999999998</v>
      </c>
      <c r="K67" s="932">
        <v>0.72799999999999998</v>
      </c>
      <c r="L67" s="932">
        <v>0.72799999999999998</v>
      </c>
      <c r="M67" s="932">
        <v>0.72799999999999998</v>
      </c>
    </row>
    <row r="68" spans="1:13">
      <c r="A68" s="923">
        <v>7.5</v>
      </c>
      <c r="B68" s="932">
        <v>0.91790000000000005</v>
      </c>
      <c r="C68" s="932">
        <v>0.91790000000000005</v>
      </c>
      <c r="D68" s="932">
        <v>0.85250000000000004</v>
      </c>
      <c r="E68" s="932">
        <v>0.85250000000000004</v>
      </c>
      <c r="F68" s="932">
        <v>0.85250000000000004</v>
      </c>
      <c r="G68" s="932">
        <v>0.85250000000000004</v>
      </c>
      <c r="H68" s="932">
        <v>0.85250000000000004</v>
      </c>
      <c r="I68" s="932">
        <v>0.72529999999999994</v>
      </c>
      <c r="J68" s="932">
        <v>0.72529999999999994</v>
      </c>
      <c r="K68" s="932">
        <v>0.72529999999999994</v>
      </c>
      <c r="L68" s="932">
        <v>0.72529999999999994</v>
      </c>
      <c r="M68" s="932">
        <v>0.72529999999999994</v>
      </c>
    </row>
    <row r="69" spans="1:13">
      <c r="A69" s="923">
        <v>7.6</v>
      </c>
      <c r="B69" s="932">
        <v>0.91649999999999998</v>
      </c>
      <c r="C69" s="932">
        <v>0.91649999999999998</v>
      </c>
      <c r="D69" s="932">
        <v>0.85050000000000003</v>
      </c>
      <c r="E69" s="932">
        <v>0.85050000000000003</v>
      </c>
      <c r="F69" s="932">
        <v>0.85050000000000003</v>
      </c>
      <c r="G69" s="932">
        <v>0.85050000000000003</v>
      </c>
      <c r="H69" s="932">
        <v>0.85050000000000003</v>
      </c>
      <c r="I69" s="932">
        <v>0.72260000000000002</v>
      </c>
      <c r="J69" s="932">
        <v>0.72260000000000002</v>
      </c>
      <c r="K69" s="932">
        <v>0.72260000000000002</v>
      </c>
      <c r="L69" s="932">
        <v>0.72260000000000002</v>
      </c>
      <c r="M69" s="932">
        <v>0.72260000000000002</v>
      </c>
    </row>
    <row r="70" spans="1:13">
      <c r="A70" s="923">
        <v>7.7</v>
      </c>
      <c r="B70" s="932">
        <v>0.91510000000000002</v>
      </c>
      <c r="C70" s="932">
        <v>0.91510000000000002</v>
      </c>
      <c r="D70" s="932">
        <v>0.84850000000000003</v>
      </c>
      <c r="E70" s="932">
        <v>0.84850000000000003</v>
      </c>
      <c r="F70" s="932">
        <v>0.84850000000000003</v>
      </c>
      <c r="G70" s="932">
        <v>0.84850000000000003</v>
      </c>
      <c r="H70" s="932">
        <v>0.84850000000000003</v>
      </c>
      <c r="I70" s="932">
        <v>0.72</v>
      </c>
      <c r="J70" s="932">
        <v>0.72</v>
      </c>
      <c r="K70" s="932">
        <v>0.72</v>
      </c>
      <c r="L70" s="932">
        <v>0.72</v>
      </c>
      <c r="M70" s="932">
        <v>0.72</v>
      </c>
    </row>
    <row r="71" spans="1:13">
      <c r="A71" s="923">
        <v>7.8</v>
      </c>
      <c r="B71" s="932">
        <v>0.91369999999999996</v>
      </c>
      <c r="C71" s="932">
        <v>0.91369999999999996</v>
      </c>
      <c r="D71" s="932">
        <v>0.84660000000000002</v>
      </c>
      <c r="E71" s="932">
        <v>0.84660000000000002</v>
      </c>
      <c r="F71" s="932">
        <v>0.84660000000000002</v>
      </c>
      <c r="G71" s="932">
        <v>0.84660000000000002</v>
      </c>
      <c r="H71" s="932">
        <v>0.84660000000000002</v>
      </c>
      <c r="I71" s="932">
        <v>0.71740000000000004</v>
      </c>
      <c r="J71" s="932">
        <v>0.71740000000000004</v>
      </c>
      <c r="K71" s="932">
        <v>0.71740000000000004</v>
      </c>
      <c r="L71" s="932">
        <v>0.71740000000000004</v>
      </c>
      <c r="M71" s="932">
        <v>0.71740000000000004</v>
      </c>
    </row>
    <row r="72" spans="1:13">
      <c r="A72" s="923">
        <v>7.9</v>
      </c>
      <c r="B72" s="932">
        <v>0.9123</v>
      </c>
      <c r="C72" s="932">
        <v>0.9123</v>
      </c>
      <c r="D72" s="932">
        <v>0.84470000000000001</v>
      </c>
      <c r="E72" s="932">
        <v>0.84470000000000001</v>
      </c>
      <c r="F72" s="932">
        <v>0.84470000000000001</v>
      </c>
      <c r="G72" s="932">
        <v>0.84470000000000001</v>
      </c>
      <c r="H72" s="932">
        <v>0.84470000000000001</v>
      </c>
      <c r="I72" s="932">
        <v>0.71479999999999999</v>
      </c>
      <c r="J72" s="932">
        <v>0.71479999999999999</v>
      </c>
      <c r="K72" s="932">
        <v>0.71479999999999999</v>
      </c>
      <c r="L72" s="932">
        <v>0.71479999999999999</v>
      </c>
      <c r="M72" s="932">
        <v>0.71479999999999999</v>
      </c>
    </row>
    <row r="73" spans="1:13">
      <c r="A73" s="923">
        <v>8</v>
      </c>
      <c r="B73" s="932">
        <v>0.91090000000000004</v>
      </c>
      <c r="C73" s="932">
        <v>0.91090000000000004</v>
      </c>
      <c r="D73" s="932">
        <v>0.84279999999999999</v>
      </c>
      <c r="E73" s="932">
        <v>0.84279999999999999</v>
      </c>
      <c r="F73" s="932">
        <v>0.84279999999999999</v>
      </c>
      <c r="G73" s="932">
        <v>0.84279999999999999</v>
      </c>
      <c r="H73" s="932">
        <v>0.84279999999999999</v>
      </c>
      <c r="I73" s="932">
        <v>0.71230000000000004</v>
      </c>
      <c r="J73" s="932">
        <v>0.71230000000000004</v>
      </c>
      <c r="K73" s="932">
        <v>0.71230000000000004</v>
      </c>
      <c r="L73" s="932">
        <v>0.71230000000000004</v>
      </c>
      <c r="M73" s="932">
        <v>0.71230000000000004</v>
      </c>
    </row>
    <row r="74" spans="1:13">
      <c r="A74" s="923">
        <v>8.1</v>
      </c>
      <c r="B74" s="932">
        <v>0.90959999999999996</v>
      </c>
      <c r="C74" s="932">
        <v>0.90959999999999996</v>
      </c>
      <c r="D74" s="932">
        <v>0.84089999999999998</v>
      </c>
      <c r="E74" s="932">
        <v>0.84089999999999998</v>
      </c>
      <c r="F74" s="932">
        <v>0.84089999999999998</v>
      </c>
      <c r="G74" s="932">
        <v>0.84089999999999998</v>
      </c>
      <c r="H74" s="932">
        <v>0.84089999999999998</v>
      </c>
      <c r="I74" s="932">
        <v>0.70979999999999999</v>
      </c>
      <c r="J74" s="932">
        <v>0.70979999999999999</v>
      </c>
      <c r="K74" s="932">
        <v>0.70979999999999999</v>
      </c>
      <c r="L74" s="932">
        <v>0.70979999999999999</v>
      </c>
      <c r="M74" s="932">
        <v>0.70979999999999999</v>
      </c>
    </row>
    <row r="75" spans="1:13">
      <c r="A75" s="923">
        <v>8.1999999999999993</v>
      </c>
      <c r="B75" s="932">
        <v>0.9083</v>
      </c>
      <c r="C75" s="932">
        <v>0.9083</v>
      </c>
      <c r="D75" s="932">
        <v>0.83899999999999997</v>
      </c>
      <c r="E75" s="932">
        <v>0.83899999999999997</v>
      </c>
      <c r="F75" s="932">
        <v>0.83899999999999997</v>
      </c>
      <c r="G75" s="932">
        <v>0.83899999999999997</v>
      </c>
      <c r="H75" s="932">
        <v>0.83899999999999997</v>
      </c>
      <c r="I75" s="932">
        <v>0.70730000000000004</v>
      </c>
      <c r="J75" s="932">
        <v>0.70730000000000004</v>
      </c>
      <c r="K75" s="932">
        <v>0.70730000000000004</v>
      </c>
      <c r="L75" s="932">
        <v>0.70730000000000004</v>
      </c>
      <c r="M75" s="932">
        <v>0.70730000000000004</v>
      </c>
    </row>
    <row r="76" spans="1:13">
      <c r="A76" s="923">
        <v>8.3000000000000007</v>
      </c>
      <c r="B76" s="932">
        <v>0.90700000000000003</v>
      </c>
      <c r="C76" s="932">
        <v>0.90700000000000003</v>
      </c>
      <c r="D76" s="932">
        <v>0.83720000000000006</v>
      </c>
      <c r="E76" s="932">
        <v>0.83720000000000006</v>
      </c>
      <c r="F76" s="932">
        <v>0.83720000000000006</v>
      </c>
      <c r="G76" s="932">
        <v>0.83720000000000006</v>
      </c>
      <c r="H76" s="932">
        <v>0.83720000000000006</v>
      </c>
      <c r="I76" s="932">
        <v>0.70489999999999997</v>
      </c>
      <c r="J76" s="932">
        <v>0.70489999999999997</v>
      </c>
      <c r="K76" s="932">
        <v>0.70489999999999997</v>
      </c>
      <c r="L76" s="932">
        <v>0.70489999999999997</v>
      </c>
      <c r="M76" s="932">
        <v>0.70489999999999997</v>
      </c>
    </row>
    <row r="77" spans="1:13">
      <c r="A77" s="923">
        <v>8.4</v>
      </c>
      <c r="B77" s="932">
        <v>0.90569999999999995</v>
      </c>
      <c r="C77" s="932">
        <v>0.90569999999999995</v>
      </c>
      <c r="D77" s="932">
        <v>0.83540000000000003</v>
      </c>
      <c r="E77" s="932">
        <v>0.83540000000000003</v>
      </c>
      <c r="F77" s="932">
        <v>0.83540000000000003</v>
      </c>
      <c r="G77" s="932">
        <v>0.83540000000000003</v>
      </c>
      <c r="H77" s="932">
        <v>0.83540000000000003</v>
      </c>
      <c r="I77" s="932">
        <v>0.70250000000000001</v>
      </c>
      <c r="J77" s="932">
        <v>0.70250000000000001</v>
      </c>
      <c r="K77" s="932">
        <v>0.70250000000000001</v>
      </c>
      <c r="L77" s="932">
        <v>0.70250000000000001</v>
      </c>
      <c r="M77" s="932">
        <v>0.70250000000000001</v>
      </c>
    </row>
    <row r="78" spans="1:13">
      <c r="A78" s="923">
        <v>8.5</v>
      </c>
      <c r="B78" s="932">
        <v>0.90439999999999998</v>
      </c>
      <c r="C78" s="932">
        <v>0.90439999999999998</v>
      </c>
      <c r="D78" s="932">
        <v>0.83360000000000001</v>
      </c>
      <c r="E78" s="932">
        <v>0.83360000000000001</v>
      </c>
      <c r="F78" s="932">
        <v>0.83360000000000001</v>
      </c>
      <c r="G78" s="932">
        <v>0.83360000000000001</v>
      </c>
      <c r="H78" s="932">
        <v>0.83360000000000001</v>
      </c>
      <c r="I78" s="932">
        <v>0.70009999999999994</v>
      </c>
      <c r="J78" s="932">
        <v>0.70009999999999994</v>
      </c>
      <c r="K78" s="932">
        <v>0.70009999999999994</v>
      </c>
      <c r="L78" s="932">
        <v>0.70009999999999994</v>
      </c>
      <c r="M78" s="932">
        <v>0.70009999999999994</v>
      </c>
    </row>
    <row r="79" spans="1:13">
      <c r="A79" s="923">
        <v>8.6</v>
      </c>
      <c r="B79" s="932">
        <v>0.90310000000000001</v>
      </c>
      <c r="C79" s="932">
        <v>0.90310000000000001</v>
      </c>
      <c r="D79" s="932">
        <v>0.83179999999999998</v>
      </c>
      <c r="E79" s="932">
        <v>0.83179999999999998</v>
      </c>
      <c r="F79" s="932">
        <v>0.83179999999999998</v>
      </c>
      <c r="G79" s="932">
        <v>0.83179999999999998</v>
      </c>
      <c r="H79" s="932">
        <v>0.83179999999999998</v>
      </c>
      <c r="I79" s="932">
        <v>0.69779999999999998</v>
      </c>
      <c r="J79" s="932">
        <v>0.69779999999999998</v>
      </c>
      <c r="K79" s="932">
        <v>0.69779999999999998</v>
      </c>
      <c r="L79" s="932">
        <v>0.69779999999999998</v>
      </c>
      <c r="M79" s="932">
        <v>0.69779999999999998</v>
      </c>
    </row>
    <row r="80" spans="1:13">
      <c r="A80" s="923">
        <v>8.6999999999999993</v>
      </c>
      <c r="B80" s="932">
        <v>0.90180000000000005</v>
      </c>
      <c r="C80" s="932">
        <v>0.90180000000000005</v>
      </c>
      <c r="D80" s="932">
        <v>0.83</v>
      </c>
      <c r="E80" s="932">
        <v>0.83</v>
      </c>
      <c r="F80" s="932">
        <v>0.83</v>
      </c>
      <c r="G80" s="932">
        <v>0.83</v>
      </c>
      <c r="H80" s="932">
        <v>0.83</v>
      </c>
      <c r="I80" s="932">
        <v>0.69550000000000001</v>
      </c>
      <c r="J80" s="932">
        <v>0.69550000000000001</v>
      </c>
      <c r="K80" s="932">
        <v>0.69550000000000001</v>
      </c>
      <c r="L80" s="932">
        <v>0.69550000000000001</v>
      </c>
      <c r="M80" s="932">
        <v>0.69550000000000001</v>
      </c>
    </row>
    <row r="81" spans="1:14">
      <c r="A81" s="923">
        <v>8.8000000000000007</v>
      </c>
      <c r="B81" s="932">
        <v>0.90059999999999996</v>
      </c>
      <c r="C81" s="932">
        <v>0.90059999999999996</v>
      </c>
      <c r="D81" s="932">
        <v>0.82830000000000004</v>
      </c>
      <c r="E81" s="932">
        <v>0.82830000000000004</v>
      </c>
      <c r="F81" s="932">
        <v>0.82830000000000004</v>
      </c>
      <c r="G81" s="932">
        <v>0.82830000000000004</v>
      </c>
      <c r="H81" s="932">
        <v>0.82830000000000004</v>
      </c>
      <c r="I81" s="932">
        <v>0.69320000000000004</v>
      </c>
      <c r="J81" s="932">
        <v>0.69320000000000004</v>
      </c>
      <c r="K81" s="932">
        <v>0.69320000000000004</v>
      </c>
      <c r="L81" s="932">
        <v>0.69320000000000004</v>
      </c>
      <c r="M81" s="932">
        <v>0.69320000000000004</v>
      </c>
    </row>
    <row r="82" spans="1:14">
      <c r="A82" s="923">
        <v>8.9</v>
      </c>
      <c r="B82" s="932">
        <v>0.89939999999999998</v>
      </c>
      <c r="C82" s="932">
        <v>0.89939999999999998</v>
      </c>
      <c r="D82" s="932">
        <v>0.8266</v>
      </c>
      <c r="E82" s="932">
        <v>0.8266</v>
      </c>
      <c r="F82" s="932">
        <v>0.8266</v>
      </c>
      <c r="G82" s="932">
        <v>0.8266</v>
      </c>
      <c r="H82" s="932">
        <v>0.8266</v>
      </c>
      <c r="I82" s="932">
        <v>0.69099999999999995</v>
      </c>
      <c r="J82" s="932">
        <v>0.69099999999999995</v>
      </c>
      <c r="K82" s="932">
        <v>0.69099999999999995</v>
      </c>
      <c r="L82" s="932">
        <v>0.69099999999999995</v>
      </c>
      <c r="M82" s="932">
        <v>0.69099999999999995</v>
      </c>
    </row>
    <row r="83" spans="1:14">
      <c r="A83" s="923">
        <v>9</v>
      </c>
      <c r="B83" s="932">
        <v>0.8982</v>
      </c>
      <c r="C83" s="932">
        <v>0.8982</v>
      </c>
      <c r="D83" s="932">
        <v>0.82489999999999997</v>
      </c>
      <c r="E83" s="932">
        <v>0.82489999999999997</v>
      </c>
      <c r="F83" s="932">
        <v>0.82489999999999997</v>
      </c>
      <c r="G83" s="932">
        <v>0.82489999999999997</v>
      </c>
      <c r="H83" s="932">
        <v>0.82489999999999997</v>
      </c>
      <c r="I83" s="932">
        <v>0.68879999999999997</v>
      </c>
      <c r="J83" s="932">
        <v>0.68879999999999997</v>
      </c>
      <c r="K83" s="932">
        <v>0.68879999999999997</v>
      </c>
      <c r="L83" s="932">
        <v>0.68879999999999997</v>
      </c>
      <c r="M83" s="932">
        <v>0.68879999999999997</v>
      </c>
    </row>
    <row r="84" spans="1:14">
      <c r="A84" s="923">
        <v>9.1</v>
      </c>
      <c r="B84" s="932">
        <v>0.89700000000000002</v>
      </c>
      <c r="C84" s="932">
        <v>0.89700000000000002</v>
      </c>
      <c r="D84" s="932">
        <v>0.82320000000000004</v>
      </c>
      <c r="E84" s="932">
        <v>0.82320000000000004</v>
      </c>
      <c r="F84" s="932">
        <v>0.82320000000000004</v>
      </c>
      <c r="G84" s="932">
        <v>0.82320000000000004</v>
      </c>
      <c r="H84" s="932">
        <v>0.82320000000000004</v>
      </c>
      <c r="I84" s="932">
        <v>0.68659999999999999</v>
      </c>
      <c r="J84" s="932">
        <v>0.68659999999999999</v>
      </c>
      <c r="K84" s="932">
        <v>0.68659999999999999</v>
      </c>
      <c r="L84" s="932">
        <v>0.68659999999999999</v>
      </c>
      <c r="M84" s="932">
        <v>0.68659999999999999</v>
      </c>
    </row>
    <row r="85" spans="1:14">
      <c r="A85" s="923">
        <v>9.1999999999999993</v>
      </c>
      <c r="B85" s="932">
        <v>0.89580000000000004</v>
      </c>
      <c r="C85" s="932">
        <v>0.89580000000000004</v>
      </c>
      <c r="D85" s="932">
        <v>0.82150000000000001</v>
      </c>
      <c r="E85" s="932">
        <v>0.82150000000000001</v>
      </c>
      <c r="F85" s="932">
        <v>0.82150000000000001</v>
      </c>
      <c r="G85" s="932">
        <v>0.82150000000000001</v>
      </c>
      <c r="H85" s="932">
        <v>0.82150000000000001</v>
      </c>
      <c r="I85" s="932">
        <v>0.6845</v>
      </c>
      <c r="J85" s="932">
        <v>0.6845</v>
      </c>
      <c r="K85" s="932">
        <v>0.6845</v>
      </c>
      <c r="L85" s="932">
        <v>0.6845</v>
      </c>
      <c r="M85" s="932">
        <v>0.6845</v>
      </c>
    </row>
    <row r="86" spans="1:14">
      <c r="A86" s="923">
        <v>9.3000000000000007</v>
      </c>
      <c r="B86" s="932">
        <v>0.89459999999999995</v>
      </c>
      <c r="C86" s="932">
        <v>0.89459999999999995</v>
      </c>
      <c r="D86" s="932">
        <v>0.81989999999999996</v>
      </c>
      <c r="E86" s="932">
        <v>0.81989999999999996</v>
      </c>
      <c r="F86" s="932">
        <v>0.81989999999999996</v>
      </c>
      <c r="G86" s="932">
        <v>0.81989999999999996</v>
      </c>
      <c r="H86" s="932">
        <v>0.81989999999999996</v>
      </c>
      <c r="I86" s="932">
        <v>0.68240000000000001</v>
      </c>
      <c r="J86" s="932">
        <v>0.68240000000000001</v>
      </c>
      <c r="K86" s="932">
        <v>0.68240000000000001</v>
      </c>
      <c r="L86" s="932">
        <v>0.68240000000000001</v>
      </c>
      <c r="M86" s="932">
        <v>0.68240000000000001</v>
      </c>
    </row>
    <row r="87" spans="1:14">
      <c r="A87" s="923">
        <v>9.4</v>
      </c>
      <c r="B87" s="932">
        <v>0.89339999999999997</v>
      </c>
      <c r="C87" s="932">
        <v>0.89339999999999997</v>
      </c>
      <c r="D87" s="932">
        <v>0.81830000000000003</v>
      </c>
      <c r="E87" s="932">
        <v>0.81830000000000003</v>
      </c>
      <c r="F87" s="932">
        <v>0.81830000000000003</v>
      </c>
      <c r="G87" s="932">
        <v>0.81830000000000003</v>
      </c>
      <c r="H87" s="932">
        <v>0.81830000000000003</v>
      </c>
      <c r="I87" s="932">
        <v>0.68030000000000002</v>
      </c>
      <c r="J87" s="932">
        <v>0.68030000000000002</v>
      </c>
      <c r="K87" s="932">
        <v>0.68030000000000002</v>
      </c>
      <c r="L87" s="932">
        <v>0.68030000000000002</v>
      </c>
      <c r="M87" s="932">
        <v>0.68030000000000002</v>
      </c>
    </row>
    <row r="88" spans="1:14">
      <c r="A88" s="923">
        <v>9.5</v>
      </c>
      <c r="B88" s="932">
        <v>0.89229999999999998</v>
      </c>
      <c r="C88" s="932">
        <v>0.89229999999999998</v>
      </c>
      <c r="D88" s="932">
        <v>0.81669999999999998</v>
      </c>
      <c r="E88" s="932">
        <v>0.81669999999999998</v>
      </c>
      <c r="F88" s="932">
        <v>0.81669999999999998</v>
      </c>
      <c r="G88" s="932">
        <v>0.81669999999999998</v>
      </c>
      <c r="H88" s="932">
        <v>0.81669999999999998</v>
      </c>
      <c r="I88" s="932">
        <v>0.67830000000000001</v>
      </c>
      <c r="J88" s="932">
        <v>0.67830000000000001</v>
      </c>
      <c r="K88" s="932">
        <v>0.67830000000000001</v>
      </c>
      <c r="L88" s="932">
        <v>0.67830000000000001</v>
      </c>
      <c r="M88" s="932">
        <v>0.67830000000000001</v>
      </c>
    </row>
    <row r="89" spans="1:14">
      <c r="A89" s="923">
        <v>9.6</v>
      </c>
      <c r="B89" s="932">
        <v>0.89119999999999999</v>
      </c>
      <c r="C89" s="932">
        <v>0.89119999999999999</v>
      </c>
      <c r="D89" s="932">
        <v>0.81510000000000005</v>
      </c>
      <c r="E89" s="932">
        <v>0.81510000000000005</v>
      </c>
      <c r="F89" s="932">
        <v>0.81510000000000005</v>
      </c>
      <c r="G89" s="932">
        <v>0.81510000000000005</v>
      </c>
      <c r="H89" s="932">
        <v>0.81510000000000005</v>
      </c>
      <c r="I89" s="932">
        <v>0.67630000000000001</v>
      </c>
      <c r="J89" s="932">
        <v>0.67630000000000001</v>
      </c>
      <c r="K89" s="932">
        <v>0.67630000000000001</v>
      </c>
      <c r="L89" s="932">
        <v>0.67630000000000001</v>
      </c>
      <c r="M89" s="932">
        <v>0.67630000000000001</v>
      </c>
    </row>
    <row r="90" spans="1:14">
      <c r="A90" s="923">
        <v>9.6999999999999993</v>
      </c>
      <c r="B90" s="932">
        <v>0.8901</v>
      </c>
      <c r="C90" s="932">
        <v>0.8901</v>
      </c>
      <c r="D90" s="932">
        <v>0.8135</v>
      </c>
      <c r="E90" s="932">
        <v>0.8135</v>
      </c>
      <c r="F90" s="932">
        <v>0.8135</v>
      </c>
      <c r="G90" s="932">
        <v>0.8135</v>
      </c>
      <c r="H90" s="932">
        <v>0.8135</v>
      </c>
      <c r="I90" s="932">
        <v>0.67430000000000001</v>
      </c>
      <c r="J90" s="932">
        <v>0.67430000000000001</v>
      </c>
      <c r="K90" s="932">
        <v>0.67430000000000001</v>
      </c>
      <c r="L90" s="932">
        <v>0.67430000000000001</v>
      </c>
      <c r="M90" s="932">
        <v>0.67430000000000001</v>
      </c>
    </row>
    <row r="91" spans="1:14">
      <c r="A91" s="923">
        <v>9.8000000000000007</v>
      </c>
      <c r="B91" s="932">
        <v>0.88900000000000001</v>
      </c>
      <c r="C91" s="932">
        <v>0.88900000000000001</v>
      </c>
      <c r="D91" s="932">
        <v>0.81200000000000006</v>
      </c>
      <c r="E91" s="932">
        <v>0.81200000000000006</v>
      </c>
      <c r="F91" s="932">
        <v>0.81200000000000006</v>
      </c>
      <c r="G91" s="932">
        <v>0.81200000000000006</v>
      </c>
      <c r="H91" s="932">
        <v>0.81200000000000006</v>
      </c>
      <c r="I91" s="932">
        <v>0.6724</v>
      </c>
      <c r="J91" s="932">
        <v>0.6724</v>
      </c>
      <c r="K91" s="932">
        <v>0.6724</v>
      </c>
      <c r="L91" s="932">
        <v>0.6724</v>
      </c>
      <c r="M91" s="932">
        <v>0.6724</v>
      </c>
    </row>
    <row r="92" spans="1:14">
      <c r="A92" s="939">
        <v>9.9</v>
      </c>
      <c r="B92" s="932">
        <v>0.88790000000000002</v>
      </c>
      <c r="C92" s="932">
        <v>0.88790000000000002</v>
      </c>
      <c r="D92" s="932">
        <v>0.8105</v>
      </c>
      <c r="E92" s="932">
        <v>0.8105</v>
      </c>
      <c r="F92" s="932">
        <v>0.8105</v>
      </c>
      <c r="G92" s="932">
        <v>0.8105</v>
      </c>
      <c r="H92" s="932">
        <v>0.8105</v>
      </c>
      <c r="I92" s="932">
        <v>0.67049999999999998</v>
      </c>
      <c r="J92" s="932">
        <v>0.67049999999999998</v>
      </c>
      <c r="K92" s="932">
        <v>0.67049999999999998</v>
      </c>
      <c r="L92" s="932">
        <v>0.67049999999999998</v>
      </c>
      <c r="M92" s="932">
        <v>0.67049999999999998</v>
      </c>
    </row>
    <row r="93" spans="1:14" ht="14.25">
      <c r="A93" s="3084" t="s">
        <v>2780</v>
      </c>
      <c r="B93" s="932"/>
      <c r="C93" s="932"/>
      <c r="D93" s="932"/>
      <c r="E93" s="932"/>
      <c r="F93" s="932"/>
      <c r="G93" s="932"/>
      <c r="H93" s="932"/>
      <c r="I93" s="932"/>
      <c r="J93" s="932"/>
      <c r="K93" s="932"/>
      <c r="L93" s="932"/>
      <c r="M93" s="932"/>
    </row>
    <row r="94" spans="1:14">
      <c r="A94" s="939" t="s">
        <v>1550</v>
      </c>
      <c r="B94" s="932" t="s">
        <v>990</v>
      </c>
      <c r="C94" s="932" t="s">
        <v>1031</v>
      </c>
      <c r="D94" s="932" t="s">
        <v>1145</v>
      </c>
      <c r="E94" s="932" t="s">
        <v>853</v>
      </c>
      <c r="F94" s="932" t="s">
        <v>1152</v>
      </c>
      <c r="G94" s="932" t="s">
        <v>1153</v>
      </c>
      <c r="H94" s="932" t="s">
        <v>1154</v>
      </c>
      <c r="I94" s="932" t="s">
        <v>1155</v>
      </c>
      <c r="J94" s="932" t="s">
        <v>1156</v>
      </c>
      <c r="K94" s="932" t="s">
        <v>1157</v>
      </c>
      <c r="L94" s="932" t="s">
        <v>2766</v>
      </c>
      <c r="M94" s="932" t="s">
        <v>2767</v>
      </c>
      <c r="N94" s="922" t="e">
        <f>SUMPRODUCT((A95:A184=ROUNDDOWN([2]基准地价修正!G3,1))*(B94:M94=[2]基准地价修正!G2)*(B95:M184))</f>
        <v>#REF!</v>
      </c>
    </row>
    <row r="95" spans="1:14">
      <c r="A95" s="939">
        <v>1</v>
      </c>
      <c r="B95" s="932">
        <v>1.2501</v>
      </c>
      <c r="C95" s="932">
        <v>1.2501</v>
      </c>
      <c r="D95" s="932">
        <v>1.2158</v>
      </c>
      <c r="E95" s="932">
        <v>1.2158</v>
      </c>
      <c r="F95" s="932">
        <v>1.2158</v>
      </c>
      <c r="G95" s="932">
        <v>1.2158</v>
      </c>
      <c r="H95" s="932">
        <v>1.2158</v>
      </c>
      <c r="I95" s="932">
        <v>1.2302</v>
      </c>
      <c r="J95" s="932">
        <v>1.2302</v>
      </c>
      <c r="K95" s="932">
        <v>1.2302</v>
      </c>
      <c r="L95" s="932">
        <v>1.2302</v>
      </c>
      <c r="M95" s="932">
        <v>1.2302</v>
      </c>
    </row>
    <row r="96" spans="1:14">
      <c r="A96" s="939">
        <v>1.1000000000000001</v>
      </c>
      <c r="B96" s="932">
        <v>1.2310000000000001</v>
      </c>
      <c r="C96" s="932">
        <v>1.2310000000000001</v>
      </c>
      <c r="D96" s="932">
        <v>1.1947000000000001</v>
      </c>
      <c r="E96" s="932">
        <v>1.1947000000000001</v>
      </c>
      <c r="F96" s="932">
        <v>1.1947000000000001</v>
      </c>
      <c r="G96" s="932">
        <v>1.1947000000000001</v>
      </c>
      <c r="H96" s="932">
        <v>1.1947000000000001</v>
      </c>
      <c r="I96" s="932">
        <v>1.2008000000000001</v>
      </c>
      <c r="J96" s="932">
        <v>1.2008000000000001</v>
      </c>
      <c r="K96" s="932">
        <v>1.2008000000000001</v>
      </c>
      <c r="L96" s="932">
        <v>1.2008000000000001</v>
      </c>
      <c r="M96" s="932">
        <v>1.2008000000000001</v>
      </c>
    </row>
    <row r="97" spans="1:14">
      <c r="A97" s="939">
        <v>1.2</v>
      </c>
      <c r="B97" s="932">
        <v>1.2130000000000001</v>
      </c>
      <c r="C97" s="932">
        <v>1.2130000000000001</v>
      </c>
      <c r="D97" s="932">
        <v>1.1748000000000001</v>
      </c>
      <c r="E97" s="932">
        <v>1.1748000000000001</v>
      </c>
      <c r="F97" s="932">
        <v>1.1748000000000001</v>
      </c>
      <c r="G97" s="932">
        <v>1.1748000000000001</v>
      </c>
      <c r="H97" s="932">
        <v>1.1748000000000001</v>
      </c>
      <c r="I97" s="932">
        <v>1.173</v>
      </c>
      <c r="J97" s="932">
        <v>1.173</v>
      </c>
      <c r="K97" s="932">
        <v>1.173</v>
      </c>
      <c r="L97" s="932">
        <v>1.173</v>
      </c>
      <c r="M97" s="932">
        <v>1.173</v>
      </c>
    </row>
    <row r="98" spans="1:14">
      <c r="A98" s="939">
        <v>1.3</v>
      </c>
      <c r="B98" s="932">
        <v>1.196</v>
      </c>
      <c r="C98" s="932">
        <v>1.196</v>
      </c>
      <c r="D98" s="932">
        <v>1.1559999999999999</v>
      </c>
      <c r="E98" s="932">
        <v>1.1559999999999999</v>
      </c>
      <c r="F98" s="932">
        <v>1.1559999999999999</v>
      </c>
      <c r="G98" s="932">
        <v>1.1559999999999999</v>
      </c>
      <c r="H98" s="932">
        <v>1.1559999999999999</v>
      </c>
      <c r="I98" s="932">
        <v>1.1468</v>
      </c>
      <c r="J98" s="932">
        <v>1.1468</v>
      </c>
      <c r="K98" s="932">
        <v>1.1468</v>
      </c>
      <c r="L98" s="932">
        <v>1.1468</v>
      </c>
      <c r="M98" s="932">
        <v>1.1468</v>
      </c>
    </row>
    <row r="99" spans="1:14">
      <c r="A99" s="939">
        <v>1.4</v>
      </c>
      <c r="B99" s="932">
        <v>1.18</v>
      </c>
      <c r="C99" s="932">
        <v>1.18</v>
      </c>
      <c r="D99" s="932">
        <v>1.1382000000000001</v>
      </c>
      <c r="E99" s="932">
        <v>1.1382000000000001</v>
      </c>
      <c r="F99" s="932">
        <v>1.1382000000000001</v>
      </c>
      <c r="G99" s="932">
        <v>1.1382000000000001</v>
      </c>
      <c r="H99" s="932">
        <v>1.1382000000000001</v>
      </c>
      <c r="I99" s="932">
        <v>1.1220000000000001</v>
      </c>
      <c r="J99" s="932">
        <v>1.1220000000000001</v>
      </c>
      <c r="K99" s="932">
        <v>1.1220000000000001</v>
      </c>
      <c r="L99" s="932">
        <v>1.1220000000000001</v>
      </c>
      <c r="M99" s="932">
        <v>1.1220000000000001</v>
      </c>
    </row>
    <row r="100" spans="1:14">
      <c r="A100" s="939">
        <v>1.5</v>
      </c>
      <c r="B100" s="932">
        <v>1.1649</v>
      </c>
      <c r="C100" s="932">
        <v>1.1649</v>
      </c>
      <c r="D100" s="932">
        <v>1.1214999999999999</v>
      </c>
      <c r="E100" s="932">
        <v>1.1214999999999999</v>
      </c>
      <c r="F100" s="932">
        <v>1.1214999999999999</v>
      </c>
      <c r="G100" s="932">
        <v>1.1214999999999999</v>
      </c>
      <c r="H100" s="932">
        <v>1.1214999999999999</v>
      </c>
      <c r="I100" s="932">
        <v>1.0985</v>
      </c>
      <c r="J100" s="932">
        <v>1.0985</v>
      </c>
      <c r="K100" s="932">
        <v>1.0985</v>
      </c>
      <c r="L100" s="932">
        <v>1.0985</v>
      </c>
      <c r="M100" s="932">
        <v>1.0985</v>
      </c>
    </row>
    <row r="101" spans="1:14">
      <c r="A101" s="939">
        <v>1.6</v>
      </c>
      <c r="B101" s="932">
        <v>1.1507000000000001</v>
      </c>
      <c r="C101" s="932">
        <v>1.1507000000000001</v>
      </c>
      <c r="D101" s="932">
        <v>1.1056999999999999</v>
      </c>
      <c r="E101" s="932">
        <v>1.1056999999999999</v>
      </c>
      <c r="F101" s="932">
        <v>1.1056999999999999</v>
      </c>
      <c r="G101" s="932">
        <v>1.1056999999999999</v>
      </c>
      <c r="H101" s="932">
        <v>1.1056999999999999</v>
      </c>
      <c r="I101" s="932">
        <v>1.0764</v>
      </c>
      <c r="J101" s="932">
        <v>1.0764</v>
      </c>
      <c r="K101" s="932">
        <v>1.0764</v>
      </c>
      <c r="L101" s="932">
        <v>1.0764</v>
      </c>
      <c r="M101" s="932">
        <v>1.0764</v>
      </c>
    </row>
    <row r="102" spans="1:14">
      <c r="A102" s="939">
        <v>1.7</v>
      </c>
      <c r="B102" s="932">
        <v>1.1373</v>
      </c>
      <c r="C102" s="932">
        <v>1.1373</v>
      </c>
      <c r="D102" s="932">
        <v>1.0908</v>
      </c>
      <c r="E102" s="932">
        <v>1.0908</v>
      </c>
      <c r="F102" s="932">
        <v>1.0908</v>
      </c>
      <c r="G102" s="932">
        <v>1.0908</v>
      </c>
      <c r="H102" s="932">
        <v>1.0908</v>
      </c>
      <c r="I102" s="932">
        <v>1.0556000000000001</v>
      </c>
      <c r="J102" s="932">
        <v>1.0556000000000001</v>
      </c>
      <c r="K102" s="932">
        <v>1.0556000000000001</v>
      </c>
      <c r="L102" s="932">
        <v>1.0556000000000001</v>
      </c>
      <c r="M102" s="932">
        <v>1.0556000000000001</v>
      </c>
    </row>
    <row r="103" spans="1:14">
      <c r="A103" s="939">
        <v>1.8</v>
      </c>
      <c r="B103" s="932">
        <v>1.1247</v>
      </c>
      <c r="C103" s="932">
        <v>1.1247</v>
      </c>
      <c r="D103" s="932">
        <v>1.0768</v>
      </c>
      <c r="E103" s="932">
        <v>1.0768</v>
      </c>
      <c r="F103" s="932">
        <v>1.0768</v>
      </c>
      <c r="G103" s="932">
        <v>1.0768</v>
      </c>
      <c r="H103" s="932">
        <v>1.0768</v>
      </c>
      <c r="I103" s="932">
        <v>1.0359</v>
      </c>
      <c r="J103" s="932">
        <v>1.0359</v>
      </c>
      <c r="K103" s="932">
        <v>1.0359</v>
      </c>
      <c r="L103" s="932">
        <v>1.0359</v>
      </c>
      <c r="M103" s="932">
        <v>1.0359</v>
      </c>
    </row>
    <row r="104" spans="1:14" ht="14.25">
      <c r="A104" s="923">
        <v>1.9</v>
      </c>
      <c r="B104" s="924">
        <v>1.1128</v>
      </c>
      <c r="C104" s="924">
        <v>1.1128</v>
      </c>
      <c r="D104" s="924">
        <v>1.0637000000000001</v>
      </c>
      <c r="E104" s="924">
        <v>1.0637000000000001</v>
      </c>
      <c r="F104" s="924">
        <v>1.0637000000000001</v>
      </c>
      <c r="G104" s="924">
        <v>1.0637000000000001</v>
      </c>
      <c r="H104" s="925">
        <v>1.0637000000000001</v>
      </c>
      <c r="I104" s="925">
        <v>1.0174000000000001</v>
      </c>
      <c r="J104" s="926">
        <v>1.0174000000000001</v>
      </c>
      <c r="K104" s="926">
        <v>1.0174000000000001</v>
      </c>
      <c r="L104" s="926">
        <v>1.0174000000000001</v>
      </c>
      <c r="M104" s="926">
        <v>1.0174000000000001</v>
      </c>
      <c r="N104" s="921"/>
    </row>
    <row r="105" spans="1:14">
      <c r="A105" s="923">
        <v>2</v>
      </c>
      <c r="B105" s="932">
        <v>1.1016999999999999</v>
      </c>
      <c r="C105" s="932">
        <v>1.1016999999999999</v>
      </c>
      <c r="D105" s="932">
        <v>1.0512999999999999</v>
      </c>
      <c r="E105" s="932">
        <v>1.0512999999999999</v>
      </c>
      <c r="F105" s="932">
        <v>1.0512999999999999</v>
      </c>
      <c r="G105" s="932">
        <v>1.0512999999999999</v>
      </c>
      <c r="H105" s="932">
        <v>1.0512999999999999</v>
      </c>
      <c r="I105" s="932">
        <v>1</v>
      </c>
      <c r="J105" s="932">
        <v>1</v>
      </c>
      <c r="K105" s="932">
        <v>1</v>
      </c>
      <c r="L105" s="932">
        <v>1</v>
      </c>
      <c r="M105" s="932">
        <v>1</v>
      </c>
    </row>
    <row r="106" spans="1:14">
      <c r="A106" s="923">
        <v>2.1</v>
      </c>
      <c r="B106" s="932">
        <v>1.0912999999999999</v>
      </c>
      <c r="C106" s="932">
        <v>1.0912999999999999</v>
      </c>
      <c r="D106" s="932">
        <v>1.0397000000000001</v>
      </c>
      <c r="E106" s="932">
        <v>1.0397000000000001</v>
      </c>
      <c r="F106" s="932">
        <v>1.0397000000000001</v>
      </c>
      <c r="G106" s="932">
        <v>1.0397000000000001</v>
      </c>
      <c r="H106" s="932">
        <v>1.0397000000000001</v>
      </c>
      <c r="I106" s="932">
        <v>0.98360000000000003</v>
      </c>
      <c r="J106" s="932">
        <v>0.98360000000000003</v>
      </c>
      <c r="K106" s="932">
        <v>0.98360000000000003</v>
      </c>
      <c r="L106" s="932">
        <v>0.98360000000000003</v>
      </c>
      <c r="M106" s="932">
        <v>0.98360000000000003</v>
      </c>
    </row>
    <row r="107" spans="1:14">
      <c r="A107" s="923">
        <v>2.2000000000000002</v>
      </c>
      <c r="B107" s="932">
        <v>1.0814999999999999</v>
      </c>
      <c r="C107" s="932">
        <v>1.0814999999999999</v>
      </c>
      <c r="D107" s="932">
        <v>1.0287999999999999</v>
      </c>
      <c r="E107" s="932">
        <v>1.0287999999999999</v>
      </c>
      <c r="F107" s="932">
        <v>1.0287999999999999</v>
      </c>
      <c r="G107" s="932">
        <v>1.0287999999999999</v>
      </c>
      <c r="H107" s="932">
        <v>1.0287999999999999</v>
      </c>
      <c r="I107" s="932">
        <v>0.96819999999999995</v>
      </c>
      <c r="J107" s="932">
        <v>0.96819999999999995</v>
      </c>
      <c r="K107" s="932">
        <v>0.96819999999999995</v>
      </c>
      <c r="L107" s="932">
        <v>0.96819999999999995</v>
      </c>
      <c r="M107" s="932">
        <v>0.96819999999999995</v>
      </c>
    </row>
    <row r="108" spans="1:14">
      <c r="A108" s="923">
        <v>2.2999999999999998</v>
      </c>
      <c r="B108" s="932">
        <v>1.0724</v>
      </c>
      <c r="C108" s="932">
        <v>1.0724</v>
      </c>
      <c r="D108" s="932">
        <v>1.0185999999999999</v>
      </c>
      <c r="E108" s="932">
        <v>1.0185999999999999</v>
      </c>
      <c r="F108" s="932">
        <v>1.0185999999999999</v>
      </c>
      <c r="G108" s="932">
        <v>1.0185999999999999</v>
      </c>
      <c r="H108" s="932">
        <v>1.0185999999999999</v>
      </c>
      <c r="I108" s="932">
        <v>0.95369999999999999</v>
      </c>
      <c r="J108" s="932">
        <v>0.95369999999999999</v>
      </c>
      <c r="K108" s="932">
        <v>0.95369999999999999</v>
      </c>
      <c r="L108" s="932">
        <v>0.95369999999999999</v>
      </c>
      <c r="M108" s="932">
        <v>0.95369999999999999</v>
      </c>
    </row>
    <row r="109" spans="1:14">
      <c r="A109" s="923">
        <v>2.4</v>
      </c>
      <c r="B109" s="932">
        <v>1.0638000000000001</v>
      </c>
      <c r="C109" s="932">
        <v>1.0638000000000001</v>
      </c>
      <c r="D109" s="932">
        <v>1.0089999999999999</v>
      </c>
      <c r="E109" s="932">
        <v>1.0089999999999999</v>
      </c>
      <c r="F109" s="932">
        <v>1.0089999999999999</v>
      </c>
      <c r="G109" s="932">
        <v>1.0089999999999999</v>
      </c>
      <c r="H109" s="932">
        <v>1.0089999999999999</v>
      </c>
      <c r="I109" s="932">
        <v>0.94010000000000005</v>
      </c>
      <c r="J109" s="932">
        <v>0.94010000000000005</v>
      </c>
      <c r="K109" s="932">
        <v>0.94010000000000005</v>
      </c>
      <c r="L109" s="932">
        <v>0.94010000000000005</v>
      </c>
      <c r="M109" s="932">
        <v>0.94010000000000005</v>
      </c>
    </row>
    <row r="110" spans="1:14">
      <c r="A110" s="923">
        <v>2.5</v>
      </c>
      <c r="B110" s="932">
        <v>1.0558000000000001</v>
      </c>
      <c r="C110" s="932">
        <v>1.0558000000000001</v>
      </c>
      <c r="D110" s="932">
        <v>1</v>
      </c>
      <c r="E110" s="932">
        <v>1</v>
      </c>
      <c r="F110" s="932">
        <v>1</v>
      </c>
      <c r="G110" s="932">
        <v>1</v>
      </c>
      <c r="H110" s="932">
        <v>1</v>
      </c>
      <c r="I110" s="932">
        <v>0.9274</v>
      </c>
      <c r="J110" s="932">
        <v>0.9274</v>
      </c>
      <c r="K110" s="932">
        <v>0.9274</v>
      </c>
      <c r="L110" s="932">
        <v>0.9274</v>
      </c>
      <c r="M110" s="932">
        <v>0.9274</v>
      </c>
    </row>
    <row r="111" spans="1:14">
      <c r="A111" s="923">
        <v>2.6</v>
      </c>
      <c r="B111" s="932">
        <v>1.0483</v>
      </c>
      <c r="C111" s="932">
        <v>1.0483</v>
      </c>
      <c r="D111" s="932">
        <v>0.99160000000000004</v>
      </c>
      <c r="E111" s="932">
        <v>0.99160000000000004</v>
      </c>
      <c r="F111" s="932">
        <v>0.99160000000000004</v>
      </c>
      <c r="G111" s="932">
        <v>0.99160000000000004</v>
      </c>
      <c r="H111" s="932">
        <v>0.99160000000000004</v>
      </c>
      <c r="I111" s="932">
        <v>0.91539999999999999</v>
      </c>
      <c r="J111" s="932">
        <v>0.91539999999999999</v>
      </c>
      <c r="K111" s="932">
        <v>0.91539999999999999</v>
      </c>
      <c r="L111" s="932">
        <v>0.91539999999999999</v>
      </c>
      <c r="M111" s="932">
        <v>0.91539999999999999</v>
      </c>
    </row>
    <row r="112" spans="1:14">
      <c r="A112" s="923">
        <v>2.7</v>
      </c>
      <c r="B112" s="932">
        <v>1.0412999999999999</v>
      </c>
      <c r="C112" s="932">
        <v>1.0412999999999999</v>
      </c>
      <c r="D112" s="932">
        <v>0.98370000000000002</v>
      </c>
      <c r="E112" s="932">
        <v>0.98370000000000002</v>
      </c>
      <c r="F112" s="932">
        <v>0.98370000000000002</v>
      </c>
      <c r="G112" s="932">
        <v>0.98370000000000002</v>
      </c>
      <c r="H112" s="932">
        <v>0.98370000000000002</v>
      </c>
      <c r="I112" s="932">
        <v>0.90429999999999999</v>
      </c>
      <c r="J112" s="932">
        <v>0.90429999999999999</v>
      </c>
      <c r="K112" s="932">
        <v>0.90429999999999999</v>
      </c>
      <c r="L112" s="932">
        <v>0.90429999999999999</v>
      </c>
      <c r="M112" s="932">
        <v>0.90429999999999999</v>
      </c>
    </row>
    <row r="113" spans="1:13">
      <c r="A113" s="923">
        <v>2.8</v>
      </c>
      <c r="B113" s="932">
        <v>1.0347999999999999</v>
      </c>
      <c r="C113" s="932">
        <v>1.0347999999999999</v>
      </c>
      <c r="D113" s="932">
        <v>0.97640000000000005</v>
      </c>
      <c r="E113" s="932">
        <v>0.97640000000000005</v>
      </c>
      <c r="F113" s="932">
        <v>0.97640000000000005</v>
      </c>
      <c r="G113" s="932">
        <v>0.97640000000000005</v>
      </c>
      <c r="H113" s="932">
        <v>0.97640000000000005</v>
      </c>
      <c r="I113" s="932">
        <v>0.89370000000000005</v>
      </c>
      <c r="J113" s="932">
        <v>0.89370000000000005</v>
      </c>
      <c r="K113" s="932">
        <v>0.89370000000000005</v>
      </c>
      <c r="L113" s="932">
        <v>0.89370000000000005</v>
      </c>
      <c r="M113" s="932">
        <v>0.89370000000000005</v>
      </c>
    </row>
    <row r="114" spans="1:13">
      <c r="A114" s="923">
        <v>2.9</v>
      </c>
      <c r="B114" s="932">
        <v>1.0286999999999999</v>
      </c>
      <c r="C114" s="932">
        <v>1.0286999999999999</v>
      </c>
      <c r="D114" s="932">
        <v>0.96950000000000003</v>
      </c>
      <c r="E114" s="932">
        <v>0.96950000000000003</v>
      </c>
      <c r="F114" s="932">
        <v>0.96950000000000003</v>
      </c>
      <c r="G114" s="932">
        <v>0.96950000000000003</v>
      </c>
      <c r="H114" s="932">
        <v>0.96950000000000003</v>
      </c>
      <c r="I114" s="932">
        <v>0.88390000000000002</v>
      </c>
      <c r="J114" s="932">
        <v>0.88390000000000002</v>
      </c>
      <c r="K114" s="932">
        <v>0.88390000000000002</v>
      </c>
      <c r="L114" s="932">
        <v>0.88390000000000002</v>
      </c>
      <c r="M114" s="932">
        <v>0.88390000000000002</v>
      </c>
    </row>
    <row r="115" spans="1:13">
      <c r="A115" s="923">
        <v>3</v>
      </c>
      <c r="B115" s="932">
        <v>1.0229999999999999</v>
      </c>
      <c r="C115" s="932">
        <v>1.0229999999999999</v>
      </c>
      <c r="D115" s="932">
        <v>0.96309999999999996</v>
      </c>
      <c r="E115" s="932">
        <v>0.96309999999999996</v>
      </c>
      <c r="F115" s="932">
        <v>0.96309999999999996</v>
      </c>
      <c r="G115" s="932">
        <v>0.96309999999999996</v>
      </c>
      <c r="H115" s="932">
        <v>0.96309999999999996</v>
      </c>
      <c r="I115" s="932">
        <v>0.87460000000000004</v>
      </c>
      <c r="J115" s="932">
        <v>0.87460000000000004</v>
      </c>
      <c r="K115" s="932">
        <v>0.87460000000000004</v>
      </c>
      <c r="L115" s="932">
        <v>0.87460000000000004</v>
      </c>
      <c r="M115" s="932">
        <v>0.87460000000000004</v>
      </c>
    </row>
    <row r="116" spans="1:13">
      <c r="A116" s="923">
        <v>3.1</v>
      </c>
      <c r="B116" s="932">
        <v>1.0177</v>
      </c>
      <c r="C116" s="932">
        <v>1.0177</v>
      </c>
      <c r="D116" s="932">
        <v>0.95709999999999995</v>
      </c>
      <c r="E116" s="932">
        <v>0.95709999999999995</v>
      </c>
      <c r="F116" s="932">
        <v>0.95709999999999995</v>
      </c>
      <c r="G116" s="932">
        <v>0.95709999999999995</v>
      </c>
      <c r="H116" s="932">
        <v>0.95709999999999995</v>
      </c>
      <c r="I116" s="932">
        <v>0.8659</v>
      </c>
      <c r="J116" s="932">
        <v>0.8659</v>
      </c>
      <c r="K116" s="932">
        <v>0.8659</v>
      </c>
      <c r="L116" s="932">
        <v>0.8659</v>
      </c>
      <c r="M116" s="932">
        <v>0.8659</v>
      </c>
    </row>
    <row r="117" spans="1:13">
      <c r="A117" s="923">
        <v>3.2</v>
      </c>
      <c r="B117" s="932">
        <v>1.0127999999999999</v>
      </c>
      <c r="C117" s="932">
        <v>1.0127999999999999</v>
      </c>
      <c r="D117" s="932">
        <v>0.9516</v>
      </c>
      <c r="E117" s="932">
        <v>0.9516</v>
      </c>
      <c r="F117" s="932">
        <v>0.9516</v>
      </c>
      <c r="G117" s="932">
        <v>0.9516</v>
      </c>
      <c r="H117" s="932">
        <v>0.9516</v>
      </c>
      <c r="I117" s="932">
        <v>0.85780000000000001</v>
      </c>
      <c r="J117" s="932">
        <v>0.85780000000000001</v>
      </c>
      <c r="K117" s="932">
        <v>0.85780000000000001</v>
      </c>
      <c r="L117" s="932">
        <v>0.85780000000000001</v>
      </c>
      <c r="M117" s="932">
        <v>0.85780000000000001</v>
      </c>
    </row>
    <row r="118" spans="1:13">
      <c r="A118" s="923">
        <v>3.3</v>
      </c>
      <c r="B118" s="932">
        <v>1.0082</v>
      </c>
      <c r="C118" s="932">
        <v>1.0082</v>
      </c>
      <c r="D118" s="932">
        <v>0.94640000000000002</v>
      </c>
      <c r="E118" s="932">
        <v>0.94640000000000002</v>
      </c>
      <c r="F118" s="932">
        <v>0.94640000000000002</v>
      </c>
      <c r="G118" s="932">
        <v>0.94640000000000002</v>
      </c>
      <c r="H118" s="932">
        <v>0.94640000000000002</v>
      </c>
      <c r="I118" s="932">
        <v>0.85029999999999994</v>
      </c>
      <c r="J118" s="932">
        <v>0.85029999999999994</v>
      </c>
      <c r="K118" s="932">
        <v>0.85029999999999994</v>
      </c>
      <c r="L118" s="932">
        <v>0.85029999999999994</v>
      </c>
      <c r="M118" s="932">
        <v>0.85029999999999994</v>
      </c>
    </row>
    <row r="119" spans="1:13">
      <c r="A119" s="923">
        <v>3.4</v>
      </c>
      <c r="B119" s="932">
        <v>1.004</v>
      </c>
      <c r="C119" s="932">
        <v>1.004</v>
      </c>
      <c r="D119" s="932">
        <v>0.9415</v>
      </c>
      <c r="E119" s="932">
        <v>0.9415</v>
      </c>
      <c r="F119" s="932">
        <v>0.9415</v>
      </c>
      <c r="G119" s="932">
        <v>0.9415</v>
      </c>
      <c r="H119" s="932">
        <v>0.9415</v>
      </c>
      <c r="I119" s="932">
        <v>0.84319999999999995</v>
      </c>
      <c r="J119" s="932">
        <v>0.84319999999999995</v>
      </c>
      <c r="K119" s="932">
        <v>0.84319999999999995</v>
      </c>
      <c r="L119" s="932">
        <v>0.84319999999999995</v>
      </c>
      <c r="M119" s="932">
        <v>0.84319999999999995</v>
      </c>
    </row>
    <row r="120" spans="1:13">
      <c r="A120" s="923">
        <v>3.5</v>
      </c>
      <c r="B120" s="932">
        <v>1</v>
      </c>
      <c r="C120" s="932">
        <v>1</v>
      </c>
      <c r="D120" s="932">
        <v>0.93700000000000006</v>
      </c>
      <c r="E120" s="932">
        <v>0.93700000000000006</v>
      </c>
      <c r="F120" s="932">
        <v>0.93700000000000006</v>
      </c>
      <c r="G120" s="932">
        <v>0.93700000000000006</v>
      </c>
      <c r="H120" s="932">
        <v>0.93700000000000006</v>
      </c>
      <c r="I120" s="932">
        <v>0.83660000000000001</v>
      </c>
      <c r="J120" s="932">
        <v>0.83660000000000001</v>
      </c>
      <c r="K120" s="932">
        <v>0.83660000000000001</v>
      </c>
      <c r="L120" s="932">
        <v>0.83660000000000001</v>
      </c>
      <c r="M120" s="932">
        <v>0.83660000000000001</v>
      </c>
    </row>
    <row r="121" spans="1:13">
      <c r="A121" s="923">
        <v>3.6</v>
      </c>
      <c r="B121" s="932">
        <v>0.99629999999999996</v>
      </c>
      <c r="C121" s="932">
        <v>0.99629999999999996</v>
      </c>
      <c r="D121" s="932">
        <v>0.93279999999999996</v>
      </c>
      <c r="E121" s="932">
        <v>0.93279999999999996</v>
      </c>
      <c r="F121" s="932">
        <v>0.93279999999999996</v>
      </c>
      <c r="G121" s="932">
        <v>0.93279999999999996</v>
      </c>
      <c r="H121" s="932">
        <v>0.93279999999999996</v>
      </c>
      <c r="I121" s="932">
        <v>0.83040000000000003</v>
      </c>
      <c r="J121" s="932">
        <v>0.83040000000000003</v>
      </c>
      <c r="K121" s="932">
        <v>0.83040000000000003</v>
      </c>
      <c r="L121" s="932">
        <v>0.83040000000000003</v>
      </c>
      <c r="M121" s="932">
        <v>0.83040000000000003</v>
      </c>
    </row>
    <row r="122" spans="1:13">
      <c r="A122" s="923">
        <v>3.7</v>
      </c>
      <c r="B122" s="932">
        <v>0.9929</v>
      </c>
      <c r="C122" s="932">
        <v>0.9929</v>
      </c>
      <c r="D122" s="932">
        <v>0.92879999999999996</v>
      </c>
      <c r="E122" s="932">
        <v>0.92879999999999996</v>
      </c>
      <c r="F122" s="932">
        <v>0.92879999999999996</v>
      </c>
      <c r="G122" s="932">
        <v>0.92879999999999996</v>
      </c>
      <c r="H122" s="932">
        <v>0.92879999999999996</v>
      </c>
      <c r="I122" s="932">
        <v>0.8246</v>
      </c>
      <c r="J122" s="932">
        <v>0.8246</v>
      </c>
      <c r="K122" s="932">
        <v>0.8246</v>
      </c>
      <c r="L122" s="932">
        <v>0.8246</v>
      </c>
      <c r="M122" s="932">
        <v>0.8246</v>
      </c>
    </row>
    <row r="123" spans="1:13">
      <c r="A123" s="923">
        <v>3.8</v>
      </c>
      <c r="B123" s="932">
        <v>0.98970000000000002</v>
      </c>
      <c r="C123" s="932">
        <v>0.98970000000000002</v>
      </c>
      <c r="D123" s="932">
        <v>0.92520000000000002</v>
      </c>
      <c r="E123" s="932">
        <v>0.92520000000000002</v>
      </c>
      <c r="F123" s="932">
        <v>0.92520000000000002</v>
      </c>
      <c r="G123" s="932">
        <v>0.92520000000000002</v>
      </c>
      <c r="H123" s="932">
        <v>0.92520000000000002</v>
      </c>
      <c r="I123" s="932">
        <v>0.81920000000000004</v>
      </c>
      <c r="J123" s="932">
        <v>0.81920000000000004</v>
      </c>
      <c r="K123" s="932">
        <v>0.81920000000000004</v>
      </c>
      <c r="L123" s="932">
        <v>0.81920000000000004</v>
      </c>
      <c r="M123" s="932">
        <v>0.81920000000000004</v>
      </c>
    </row>
    <row r="124" spans="1:13">
      <c r="A124" s="923">
        <v>3.9</v>
      </c>
      <c r="B124" s="932">
        <v>0.98670000000000002</v>
      </c>
      <c r="C124" s="932">
        <v>0.98670000000000002</v>
      </c>
      <c r="D124" s="932">
        <v>0.92179999999999995</v>
      </c>
      <c r="E124" s="932">
        <v>0.92179999999999995</v>
      </c>
      <c r="F124" s="932">
        <v>0.92179999999999995</v>
      </c>
      <c r="G124" s="932">
        <v>0.92179999999999995</v>
      </c>
      <c r="H124" s="932">
        <v>0.92179999999999995</v>
      </c>
      <c r="I124" s="932">
        <v>0.81410000000000005</v>
      </c>
      <c r="J124" s="932">
        <v>0.81410000000000005</v>
      </c>
      <c r="K124" s="932">
        <v>0.81410000000000005</v>
      </c>
      <c r="L124" s="932">
        <v>0.81410000000000005</v>
      </c>
      <c r="M124" s="932">
        <v>0.81410000000000005</v>
      </c>
    </row>
    <row r="125" spans="1:13">
      <c r="A125" s="939">
        <v>4</v>
      </c>
      <c r="B125" s="932">
        <v>0.98380000000000001</v>
      </c>
      <c r="C125" s="932">
        <v>0.98380000000000001</v>
      </c>
      <c r="D125" s="932">
        <v>0.91859999999999997</v>
      </c>
      <c r="E125" s="932">
        <v>0.91859999999999997</v>
      </c>
      <c r="F125" s="932">
        <v>0.91859999999999997</v>
      </c>
      <c r="G125" s="932">
        <v>0.91859999999999997</v>
      </c>
      <c r="H125" s="932">
        <v>0.91859999999999997</v>
      </c>
      <c r="I125" s="932">
        <v>0.80940000000000001</v>
      </c>
      <c r="J125" s="932">
        <v>0.80940000000000001</v>
      </c>
      <c r="K125" s="932">
        <v>0.80940000000000001</v>
      </c>
      <c r="L125" s="932">
        <v>0.80940000000000001</v>
      </c>
      <c r="M125" s="932">
        <v>0.80940000000000001</v>
      </c>
    </row>
    <row r="126" spans="1:13">
      <c r="A126" s="939">
        <v>4.0999999999999996</v>
      </c>
      <c r="B126" s="932">
        <v>0.98099999999999998</v>
      </c>
      <c r="C126" s="932">
        <v>0.98099999999999998</v>
      </c>
      <c r="D126" s="932">
        <v>0.91559999999999997</v>
      </c>
      <c r="E126" s="932">
        <v>0.91559999999999997</v>
      </c>
      <c r="F126" s="932">
        <v>0.91559999999999997</v>
      </c>
      <c r="G126" s="932">
        <v>0.91559999999999997</v>
      </c>
      <c r="H126" s="932">
        <v>0.91559999999999997</v>
      </c>
      <c r="I126" s="932">
        <v>0.80489999999999995</v>
      </c>
      <c r="J126" s="932">
        <v>0.80489999999999995</v>
      </c>
      <c r="K126" s="932">
        <v>0.80489999999999995</v>
      </c>
      <c r="L126" s="932">
        <v>0.80489999999999995</v>
      </c>
      <c r="M126" s="932">
        <v>0.80489999999999995</v>
      </c>
    </row>
    <row r="127" spans="1:13">
      <c r="A127" s="939">
        <v>4.2</v>
      </c>
      <c r="B127" s="932">
        <v>0.97829999999999995</v>
      </c>
      <c r="C127" s="932">
        <v>0.97829999999999995</v>
      </c>
      <c r="D127" s="932">
        <v>0.91269999999999996</v>
      </c>
      <c r="E127" s="932">
        <v>0.91269999999999996</v>
      </c>
      <c r="F127" s="932">
        <v>0.91269999999999996</v>
      </c>
      <c r="G127" s="932">
        <v>0.91269999999999996</v>
      </c>
      <c r="H127" s="932">
        <v>0.91269999999999996</v>
      </c>
      <c r="I127" s="932">
        <v>0.80059999999999998</v>
      </c>
      <c r="J127" s="932">
        <v>0.80059999999999998</v>
      </c>
      <c r="K127" s="932">
        <v>0.80059999999999998</v>
      </c>
      <c r="L127" s="932">
        <v>0.80059999999999998</v>
      </c>
      <c r="M127" s="932">
        <v>0.80059999999999998</v>
      </c>
    </row>
    <row r="128" spans="1:13">
      <c r="A128" s="939">
        <v>4.3</v>
      </c>
      <c r="B128" s="932">
        <v>0.97570000000000001</v>
      </c>
      <c r="C128" s="932">
        <v>0.97570000000000001</v>
      </c>
      <c r="D128" s="932">
        <v>0.90990000000000004</v>
      </c>
      <c r="E128" s="932">
        <v>0.90990000000000004</v>
      </c>
      <c r="F128" s="932">
        <v>0.90990000000000004</v>
      </c>
      <c r="G128" s="932">
        <v>0.90990000000000004</v>
      </c>
      <c r="H128" s="932">
        <v>0.90990000000000004</v>
      </c>
      <c r="I128" s="932">
        <v>0.79649999999999999</v>
      </c>
      <c r="J128" s="932">
        <v>0.79649999999999999</v>
      </c>
      <c r="K128" s="932">
        <v>0.79649999999999999</v>
      </c>
      <c r="L128" s="932">
        <v>0.79649999999999999</v>
      </c>
      <c r="M128" s="932">
        <v>0.79649999999999999</v>
      </c>
    </row>
    <row r="129" spans="1:13">
      <c r="A129" s="939">
        <v>4.4000000000000004</v>
      </c>
      <c r="B129" s="932">
        <v>0.97319999999999995</v>
      </c>
      <c r="C129" s="932">
        <v>0.97319999999999995</v>
      </c>
      <c r="D129" s="932">
        <v>0.90720000000000001</v>
      </c>
      <c r="E129" s="932">
        <v>0.90720000000000001</v>
      </c>
      <c r="F129" s="932">
        <v>0.90720000000000001</v>
      </c>
      <c r="G129" s="932">
        <v>0.90720000000000001</v>
      </c>
      <c r="H129" s="932">
        <v>0.90720000000000001</v>
      </c>
      <c r="I129" s="932">
        <v>0.79259999999999997</v>
      </c>
      <c r="J129" s="932">
        <v>0.79259999999999997</v>
      </c>
      <c r="K129" s="932">
        <v>0.79259999999999997</v>
      </c>
      <c r="L129" s="932">
        <v>0.79259999999999997</v>
      </c>
      <c r="M129" s="932">
        <v>0.79259999999999997</v>
      </c>
    </row>
    <row r="130" spans="1:13">
      <c r="A130" s="939">
        <v>4.5</v>
      </c>
      <c r="B130" s="932">
        <v>0.9708</v>
      </c>
      <c r="C130" s="932">
        <v>0.9708</v>
      </c>
      <c r="D130" s="932">
        <v>0.90459999999999996</v>
      </c>
      <c r="E130" s="932">
        <v>0.90459999999999996</v>
      </c>
      <c r="F130" s="932">
        <v>0.90459999999999996</v>
      </c>
      <c r="G130" s="932">
        <v>0.90459999999999996</v>
      </c>
      <c r="H130" s="932">
        <v>0.90459999999999996</v>
      </c>
      <c r="I130" s="932">
        <v>0.78890000000000005</v>
      </c>
      <c r="J130" s="932">
        <v>0.78890000000000005</v>
      </c>
      <c r="K130" s="932">
        <v>0.78890000000000005</v>
      </c>
      <c r="L130" s="932">
        <v>0.78890000000000005</v>
      </c>
      <c r="M130" s="932">
        <v>0.78890000000000005</v>
      </c>
    </row>
    <row r="131" spans="1:13">
      <c r="A131" s="939">
        <v>4.5999999999999996</v>
      </c>
      <c r="B131" s="932">
        <v>0.96850000000000003</v>
      </c>
      <c r="C131" s="932">
        <v>0.96850000000000003</v>
      </c>
      <c r="D131" s="932">
        <v>0.90210000000000001</v>
      </c>
      <c r="E131" s="932">
        <v>0.90210000000000001</v>
      </c>
      <c r="F131" s="932">
        <v>0.90210000000000001</v>
      </c>
      <c r="G131" s="932">
        <v>0.90210000000000001</v>
      </c>
      <c r="H131" s="932">
        <v>0.90210000000000001</v>
      </c>
      <c r="I131" s="932">
        <v>0.78539999999999999</v>
      </c>
      <c r="J131" s="932">
        <v>0.78539999999999999</v>
      </c>
      <c r="K131" s="932">
        <v>0.78539999999999999</v>
      </c>
      <c r="L131" s="932">
        <v>0.78539999999999999</v>
      </c>
      <c r="M131" s="932">
        <v>0.78539999999999999</v>
      </c>
    </row>
    <row r="132" spans="1:13">
      <c r="A132" s="939">
        <v>4.7</v>
      </c>
      <c r="B132" s="932">
        <v>0.96630000000000005</v>
      </c>
      <c r="C132" s="932">
        <v>0.96630000000000005</v>
      </c>
      <c r="D132" s="932">
        <v>0.89959999999999996</v>
      </c>
      <c r="E132" s="932">
        <v>0.89959999999999996</v>
      </c>
      <c r="F132" s="932">
        <v>0.89959999999999996</v>
      </c>
      <c r="G132" s="932">
        <v>0.89959999999999996</v>
      </c>
      <c r="H132" s="932">
        <v>0.89959999999999996</v>
      </c>
      <c r="I132" s="932">
        <v>0.78210000000000002</v>
      </c>
      <c r="J132" s="932">
        <v>0.78210000000000002</v>
      </c>
      <c r="K132" s="932">
        <v>0.78210000000000002</v>
      </c>
      <c r="L132" s="932">
        <v>0.78210000000000002</v>
      </c>
      <c r="M132" s="932">
        <v>0.78210000000000002</v>
      </c>
    </row>
    <row r="133" spans="1:13">
      <c r="A133" s="939">
        <v>4.8</v>
      </c>
      <c r="B133" s="932">
        <v>0.96409999999999996</v>
      </c>
      <c r="C133" s="932">
        <v>0.96409999999999996</v>
      </c>
      <c r="D133" s="932">
        <v>0.8972</v>
      </c>
      <c r="E133" s="932">
        <v>0.8972</v>
      </c>
      <c r="F133" s="932">
        <v>0.8972</v>
      </c>
      <c r="G133" s="932">
        <v>0.8972</v>
      </c>
      <c r="H133" s="932">
        <v>0.8972</v>
      </c>
      <c r="I133" s="932">
        <v>0.77890000000000004</v>
      </c>
      <c r="J133" s="932">
        <v>0.77890000000000004</v>
      </c>
      <c r="K133" s="932">
        <v>0.77890000000000004</v>
      </c>
      <c r="L133" s="932">
        <v>0.77890000000000004</v>
      </c>
      <c r="M133" s="932">
        <v>0.77890000000000004</v>
      </c>
    </row>
    <row r="134" spans="1:13">
      <c r="A134" s="939">
        <v>4.9000000000000004</v>
      </c>
      <c r="B134" s="932">
        <v>0.96199999999999997</v>
      </c>
      <c r="C134" s="932">
        <v>0.96199999999999997</v>
      </c>
      <c r="D134" s="932">
        <v>0.89480000000000004</v>
      </c>
      <c r="E134" s="932">
        <v>0.89480000000000004</v>
      </c>
      <c r="F134" s="932">
        <v>0.89480000000000004</v>
      </c>
      <c r="G134" s="932">
        <v>0.89480000000000004</v>
      </c>
      <c r="H134" s="932">
        <v>0.89480000000000004</v>
      </c>
      <c r="I134" s="932">
        <v>0.77580000000000005</v>
      </c>
      <c r="J134" s="932">
        <v>0.77580000000000005</v>
      </c>
      <c r="K134" s="932">
        <v>0.77580000000000005</v>
      </c>
      <c r="L134" s="932">
        <v>0.77580000000000005</v>
      </c>
      <c r="M134" s="932">
        <v>0.77580000000000005</v>
      </c>
    </row>
    <row r="135" spans="1:13">
      <c r="A135" s="939">
        <v>5</v>
      </c>
      <c r="B135" s="932">
        <v>0.95989999999999998</v>
      </c>
      <c r="C135" s="932">
        <v>0.95989999999999998</v>
      </c>
      <c r="D135" s="932">
        <v>0.89239999999999997</v>
      </c>
      <c r="E135" s="932">
        <v>0.89239999999999997</v>
      </c>
      <c r="F135" s="932">
        <v>0.89239999999999997</v>
      </c>
      <c r="G135" s="932">
        <v>0.89239999999999997</v>
      </c>
      <c r="H135" s="932">
        <v>0.89239999999999997</v>
      </c>
      <c r="I135" s="932">
        <v>0.77280000000000004</v>
      </c>
      <c r="J135" s="932">
        <v>0.77280000000000004</v>
      </c>
      <c r="K135" s="932">
        <v>0.77280000000000004</v>
      </c>
      <c r="L135" s="932">
        <v>0.77280000000000004</v>
      </c>
      <c r="M135" s="932">
        <v>0.77280000000000004</v>
      </c>
    </row>
    <row r="136" spans="1:13">
      <c r="A136" s="939">
        <v>5.0999999999999996</v>
      </c>
      <c r="B136" s="932">
        <v>0.95779999999999998</v>
      </c>
      <c r="C136" s="932">
        <v>0.95779999999999998</v>
      </c>
      <c r="D136" s="932">
        <v>0.8901</v>
      </c>
      <c r="E136" s="932">
        <v>0.8901</v>
      </c>
      <c r="F136" s="932">
        <v>0.8901</v>
      </c>
      <c r="G136" s="932">
        <v>0.8901</v>
      </c>
      <c r="H136" s="932">
        <v>0.8901</v>
      </c>
      <c r="I136" s="932">
        <v>0.76990000000000003</v>
      </c>
      <c r="J136" s="932">
        <v>0.76990000000000003</v>
      </c>
      <c r="K136" s="932">
        <v>0.76990000000000003</v>
      </c>
      <c r="L136" s="932">
        <v>0.76990000000000003</v>
      </c>
      <c r="M136" s="932">
        <v>0.76990000000000003</v>
      </c>
    </row>
    <row r="137" spans="1:13">
      <c r="A137" s="939">
        <v>5.2</v>
      </c>
      <c r="B137" s="932">
        <v>0.95579999999999998</v>
      </c>
      <c r="C137" s="932">
        <v>0.95579999999999998</v>
      </c>
      <c r="D137" s="932">
        <v>0.88780000000000003</v>
      </c>
      <c r="E137" s="932">
        <v>0.88780000000000003</v>
      </c>
      <c r="F137" s="932">
        <v>0.88780000000000003</v>
      </c>
      <c r="G137" s="932">
        <v>0.88780000000000003</v>
      </c>
      <c r="H137" s="932">
        <v>0.88780000000000003</v>
      </c>
      <c r="I137" s="932">
        <v>0.76700000000000002</v>
      </c>
      <c r="J137" s="932">
        <v>0.76700000000000002</v>
      </c>
      <c r="K137" s="932">
        <v>0.76700000000000002</v>
      </c>
      <c r="L137" s="932">
        <v>0.76700000000000002</v>
      </c>
      <c r="M137" s="932">
        <v>0.76700000000000002</v>
      </c>
    </row>
    <row r="138" spans="1:13">
      <c r="A138" s="939">
        <v>5.3</v>
      </c>
      <c r="B138" s="932">
        <v>0.95379999999999998</v>
      </c>
      <c r="C138" s="932">
        <v>0.95379999999999998</v>
      </c>
      <c r="D138" s="932">
        <v>0.88549999999999995</v>
      </c>
      <c r="E138" s="932">
        <v>0.88549999999999995</v>
      </c>
      <c r="F138" s="932">
        <v>0.88549999999999995</v>
      </c>
      <c r="G138" s="932">
        <v>0.88549999999999995</v>
      </c>
      <c r="H138" s="932">
        <v>0.88549999999999995</v>
      </c>
      <c r="I138" s="932">
        <v>0.76419999999999999</v>
      </c>
      <c r="J138" s="932">
        <v>0.76419999999999999</v>
      </c>
      <c r="K138" s="932">
        <v>0.76419999999999999</v>
      </c>
      <c r="L138" s="932">
        <v>0.76419999999999999</v>
      </c>
      <c r="M138" s="932">
        <v>0.76419999999999999</v>
      </c>
    </row>
    <row r="139" spans="1:13">
      <c r="A139" s="939">
        <v>5.4</v>
      </c>
      <c r="B139" s="932">
        <v>0.95179999999999998</v>
      </c>
      <c r="C139" s="932">
        <v>0.95179999999999998</v>
      </c>
      <c r="D139" s="932">
        <v>0.88329999999999997</v>
      </c>
      <c r="E139" s="932">
        <v>0.88329999999999997</v>
      </c>
      <c r="F139" s="932">
        <v>0.88329999999999997</v>
      </c>
      <c r="G139" s="932">
        <v>0.88329999999999997</v>
      </c>
      <c r="H139" s="932">
        <v>0.88329999999999997</v>
      </c>
      <c r="I139" s="932">
        <v>0.76139999999999997</v>
      </c>
      <c r="J139" s="932">
        <v>0.76139999999999997</v>
      </c>
      <c r="K139" s="932">
        <v>0.76139999999999997</v>
      </c>
      <c r="L139" s="932">
        <v>0.76139999999999997</v>
      </c>
      <c r="M139" s="932">
        <v>0.76139999999999997</v>
      </c>
    </row>
    <row r="140" spans="1:13">
      <c r="A140" s="939">
        <v>5.5</v>
      </c>
      <c r="B140" s="932">
        <v>0.94979999999999998</v>
      </c>
      <c r="C140" s="932">
        <v>0.94979999999999998</v>
      </c>
      <c r="D140" s="932">
        <v>0.88109999999999999</v>
      </c>
      <c r="E140" s="932">
        <v>0.88109999999999999</v>
      </c>
      <c r="F140" s="932">
        <v>0.88109999999999999</v>
      </c>
      <c r="G140" s="932">
        <v>0.88109999999999999</v>
      </c>
      <c r="H140" s="932">
        <v>0.88109999999999999</v>
      </c>
      <c r="I140" s="932">
        <v>0.75860000000000005</v>
      </c>
      <c r="J140" s="932">
        <v>0.75860000000000005</v>
      </c>
      <c r="K140" s="932">
        <v>0.75860000000000005</v>
      </c>
      <c r="L140" s="932">
        <v>0.75860000000000005</v>
      </c>
      <c r="M140" s="932">
        <v>0.75860000000000005</v>
      </c>
    </row>
    <row r="141" spans="1:13">
      <c r="A141" s="939">
        <v>5.6</v>
      </c>
      <c r="B141" s="932">
        <v>0.94789999999999996</v>
      </c>
      <c r="C141" s="932">
        <v>0.94789999999999996</v>
      </c>
      <c r="D141" s="932">
        <v>0.87890000000000001</v>
      </c>
      <c r="E141" s="932">
        <v>0.87890000000000001</v>
      </c>
      <c r="F141" s="932">
        <v>0.87890000000000001</v>
      </c>
      <c r="G141" s="932">
        <v>0.87890000000000001</v>
      </c>
      <c r="H141" s="932">
        <v>0.87890000000000001</v>
      </c>
      <c r="I141" s="932">
        <v>0.75590000000000002</v>
      </c>
      <c r="J141" s="932">
        <v>0.75590000000000002</v>
      </c>
      <c r="K141" s="932">
        <v>0.75590000000000002</v>
      </c>
      <c r="L141" s="932">
        <v>0.75590000000000002</v>
      </c>
      <c r="M141" s="932">
        <v>0.75590000000000002</v>
      </c>
    </row>
    <row r="142" spans="1:13">
      <c r="A142" s="939">
        <v>5.7</v>
      </c>
      <c r="B142" s="932">
        <v>0.94599999999999995</v>
      </c>
      <c r="C142" s="932">
        <v>0.94599999999999995</v>
      </c>
      <c r="D142" s="932">
        <v>0.87670000000000003</v>
      </c>
      <c r="E142" s="932">
        <v>0.87670000000000003</v>
      </c>
      <c r="F142" s="932">
        <v>0.87670000000000003</v>
      </c>
      <c r="G142" s="932">
        <v>0.87670000000000003</v>
      </c>
      <c r="H142" s="932">
        <v>0.87670000000000003</v>
      </c>
      <c r="I142" s="932">
        <v>0.75319999999999998</v>
      </c>
      <c r="J142" s="932">
        <v>0.75319999999999998</v>
      </c>
      <c r="K142" s="932">
        <v>0.75319999999999998</v>
      </c>
      <c r="L142" s="932">
        <v>0.75319999999999998</v>
      </c>
      <c r="M142" s="932">
        <v>0.75319999999999998</v>
      </c>
    </row>
    <row r="143" spans="1:13">
      <c r="A143" s="939">
        <v>5.8</v>
      </c>
      <c r="B143" s="932">
        <v>0.94410000000000005</v>
      </c>
      <c r="C143" s="932">
        <v>0.94410000000000005</v>
      </c>
      <c r="D143" s="932">
        <v>0.87460000000000004</v>
      </c>
      <c r="E143" s="932">
        <v>0.87460000000000004</v>
      </c>
      <c r="F143" s="932">
        <v>0.87460000000000004</v>
      </c>
      <c r="G143" s="932">
        <v>0.87460000000000004</v>
      </c>
      <c r="H143" s="932">
        <v>0.87460000000000004</v>
      </c>
      <c r="I143" s="932">
        <v>0.75049999999999994</v>
      </c>
      <c r="J143" s="932">
        <v>0.75049999999999994</v>
      </c>
      <c r="K143" s="932">
        <v>0.75049999999999994</v>
      </c>
      <c r="L143" s="932">
        <v>0.75049999999999994</v>
      </c>
      <c r="M143" s="932">
        <v>0.75049999999999994</v>
      </c>
    </row>
    <row r="144" spans="1:13">
      <c r="A144" s="939">
        <v>5.9</v>
      </c>
      <c r="B144" s="932">
        <v>0.94220000000000004</v>
      </c>
      <c r="C144" s="932">
        <v>0.94220000000000004</v>
      </c>
      <c r="D144" s="932">
        <v>0.87250000000000005</v>
      </c>
      <c r="E144" s="932">
        <v>0.87250000000000005</v>
      </c>
      <c r="F144" s="932">
        <v>0.87250000000000005</v>
      </c>
      <c r="G144" s="932">
        <v>0.87250000000000005</v>
      </c>
      <c r="H144" s="932">
        <v>0.87250000000000005</v>
      </c>
      <c r="I144" s="932">
        <v>0.74780000000000002</v>
      </c>
      <c r="J144" s="932">
        <v>0.74780000000000002</v>
      </c>
      <c r="K144" s="932">
        <v>0.74780000000000002</v>
      </c>
      <c r="L144" s="932">
        <v>0.74780000000000002</v>
      </c>
      <c r="M144" s="932">
        <v>0.74780000000000002</v>
      </c>
    </row>
    <row r="145" spans="1:13">
      <c r="A145" s="939">
        <v>6</v>
      </c>
      <c r="B145" s="932">
        <v>0.94040000000000001</v>
      </c>
      <c r="C145" s="932">
        <v>0.94040000000000001</v>
      </c>
      <c r="D145" s="932">
        <v>0.87039999999999995</v>
      </c>
      <c r="E145" s="932">
        <v>0.87039999999999995</v>
      </c>
      <c r="F145" s="932">
        <v>0.87039999999999995</v>
      </c>
      <c r="G145" s="932">
        <v>0.87039999999999995</v>
      </c>
      <c r="H145" s="932">
        <v>0.87039999999999995</v>
      </c>
      <c r="I145" s="932">
        <v>0.74519999999999997</v>
      </c>
      <c r="J145" s="932">
        <v>0.74519999999999997</v>
      </c>
      <c r="K145" s="932">
        <v>0.74519999999999997</v>
      </c>
      <c r="L145" s="932">
        <v>0.74519999999999997</v>
      </c>
      <c r="M145" s="932">
        <v>0.74519999999999997</v>
      </c>
    </row>
    <row r="146" spans="1:13">
      <c r="A146" s="939">
        <v>6.1</v>
      </c>
      <c r="B146" s="932">
        <v>0.93859999999999999</v>
      </c>
      <c r="C146" s="932">
        <v>0.93859999999999999</v>
      </c>
      <c r="D146" s="932">
        <v>0.86829999999999996</v>
      </c>
      <c r="E146" s="932">
        <v>0.86829999999999996</v>
      </c>
      <c r="F146" s="932">
        <v>0.86829999999999996</v>
      </c>
      <c r="G146" s="932">
        <v>0.86829999999999996</v>
      </c>
      <c r="H146" s="932">
        <v>0.86829999999999996</v>
      </c>
      <c r="I146" s="932">
        <v>0.74260000000000004</v>
      </c>
      <c r="J146" s="932">
        <v>0.74260000000000004</v>
      </c>
      <c r="K146" s="932">
        <v>0.74260000000000004</v>
      </c>
      <c r="L146" s="932">
        <v>0.74260000000000004</v>
      </c>
      <c r="M146" s="932">
        <v>0.74260000000000004</v>
      </c>
    </row>
    <row r="147" spans="1:13">
      <c r="A147" s="939">
        <v>6.2</v>
      </c>
      <c r="B147" s="932">
        <v>0.93679999999999997</v>
      </c>
      <c r="C147" s="932">
        <v>0.93679999999999997</v>
      </c>
      <c r="D147" s="932">
        <v>0.86619999999999997</v>
      </c>
      <c r="E147" s="932">
        <v>0.86619999999999997</v>
      </c>
      <c r="F147" s="932">
        <v>0.86619999999999997</v>
      </c>
      <c r="G147" s="932">
        <v>0.86619999999999997</v>
      </c>
      <c r="H147" s="932">
        <v>0.86619999999999997</v>
      </c>
      <c r="I147" s="932">
        <v>0.74</v>
      </c>
      <c r="J147" s="932">
        <v>0.74</v>
      </c>
      <c r="K147" s="932">
        <v>0.74</v>
      </c>
      <c r="L147" s="932">
        <v>0.74</v>
      </c>
      <c r="M147" s="932">
        <v>0.74</v>
      </c>
    </row>
    <row r="148" spans="1:13">
      <c r="A148" s="939">
        <v>6.3</v>
      </c>
      <c r="B148" s="932">
        <v>0.93500000000000005</v>
      </c>
      <c r="C148" s="932">
        <v>0.93500000000000005</v>
      </c>
      <c r="D148" s="932">
        <v>0.86409999999999998</v>
      </c>
      <c r="E148" s="932">
        <v>0.86409999999999998</v>
      </c>
      <c r="F148" s="932">
        <v>0.86409999999999998</v>
      </c>
      <c r="G148" s="932">
        <v>0.86409999999999998</v>
      </c>
      <c r="H148" s="932">
        <v>0.86409999999999998</v>
      </c>
      <c r="I148" s="932">
        <v>0.73740000000000006</v>
      </c>
      <c r="J148" s="932">
        <v>0.73740000000000006</v>
      </c>
      <c r="K148" s="932">
        <v>0.73740000000000006</v>
      </c>
      <c r="L148" s="932">
        <v>0.73740000000000006</v>
      </c>
      <c r="M148" s="932">
        <v>0.73740000000000006</v>
      </c>
    </row>
    <row r="149" spans="1:13">
      <c r="A149" s="939">
        <v>6.4</v>
      </c>
      <c r="B149" s="932">
        <v>0.93320000000000003</v>
      </c>
      <c r="C149" s="932">
        <v>0.93320000000000003</v>
      </c>
      <c r="D149" s="932">
        <v>0.86209999999999998</v>
      </c>
      <c r="E149" s="932">
        <v>0.86209999999999998</v>
      </c>
      <c r="F149" s="932">
        <v>0.86209999999999998</v>
      </c>
      <c r="G149" s="932">
        <v>0.86209999999999998</v>
      </c>
      <c r="H149" s="932">
        <v>0.86209999999999998</v>
      </c>
      <c r="I149" s="932">
        <v>0.73480000000000001</v>
      </c>
      <c r="J149" s="932">
        <v>0.73480000000000001</v>
      </c>
      <c r="K149" s="932">
        <v>0.73480000000000001</v>
      </c>
      <c r="L149" s="932">
        <v>0.73480000000000001</v>
      </c>
      <c r="M149" s="932">
        <v>0.73480000000000001</v>
      </c>
    </row>
    <row r="150" spans="1:13">
      <c r="A150" s="939">
        <v>6.5</v>
      </c>
      <c r="B150" s="932">
        <v>0.93149999999999999</v>
      </c>
      <c r="C150" s="932">
        <v>0.93149999999999999</v>
      </c>
      <c r="D150" s="932">
        <v>0.86009999999999998</v>
      </c>
      <c r="E150" s="932">
        <v>0.86009999999999998</v>
      </c>
      <c r="F150" s="932">
        <v>0.86009999999999998</v>
      </c>
      <c r="G150" s="932">
        <v>0.86009999999999998</v>
      </c>
      <c r="H150" s="932">
        <v>0.86009999999999998</v>
      </c>
      <c r="I150" s="932">
        <v>0.73229999999999995</v>
      </c>
      <c r="J150" s="932">
        <v>0.73229999999999995</v>
      </c>
      <c r="K150" s="932">
        <v>0.73229999999999995</v>
      </c>
      <c r="L150" s="932">
        <v>0.73229999999999995</v>
      </c>
      <c r="M150" s="932">
        <v>0.73229999999999995</v>
      </c>
    </row>
    <row r="151" spans="1:13">
      <c r="A151" s="939">
        <v>6.6</v>
      </c>
      <c r="B151" s="932">
        <v>0.92979999999999996</v>
      </c>
      <c r="C151" s="932">
        <v>0.92979999999999996</v>
      </c>
      <c r="D151" s="932">
        <v>0.85809999999999997</v>
      </c>
      <c r="E151" s="932">
        <v>0.85809999999999997</v>
      </c>
      <c r="F151" s="932">
        <v>0.85809999999999997</v>
      </c>
      <c r="G151" s="932">
        <v>0.85809999999999997</v>
      </c>
      <c r="H151" s="932">
        <v>0.85809999999999997</v>
      </c>
      <c r="I151" s="932">
        <v>0.7298</v>
      </c>
      <c r="J151" s="932">
        <v>0.7298</v>
      </c>
      <c r="K151" s="932">
        <v>0.7298</v>
      </c>
      <c r="L151" s="932">
        <v>0.7298</v>
      </c>
      <c r="M151" s="932">
        <v>0.7298</v>
      </c>
    </row>
    <row r="152" spans="1:13">
      <c r="A152" s="939">
        <v>6.7</v>
      </c>
      <c r="B152" s="932">
        <v>0.92810000000000004</v>
      </c>
      <c r="C152" s="932">
        <v>0.92810000000000004</v>
      </c>
      <c r="D152" s="932">
        <v>0.85609999999999997</v>
      </c>
      <c r="E152" s="932">
        <v>0.85609999999999997</v>
      </c>
      <c r="F152" s="932">
        <v>0.85609999999999997</v>
      </c>
      <c r="G152" s="932">
        <v>0.85609999999999997</v>
      </c>
      <c r="H152" s="932">
        <v>0.85609999999999997</v>
      </c>
      <c r="I152" s="932">
        <v>0.72729999999999995</v>
      </c>
      <c r="J152" s="932">
        <v>0.72729999999999995</v>
      </c>
      <c r="K152" s="932">
        <v>0.72729999999999995</v>
      </c>
      <c r="L152" s="932">
        <v>0.72729999999999995</v>
      </c>
      <c r="M152" s="932">
        <v>0.72729999999999995</v>
      </c>
    </row>
    <row r="153" spans="1:13">
      <c r="A153" s="939">
        <v>6.8</v>
      </c>
      <c r="B153" s="932">
        <v>0.9264</v>
      </c>
      <c r="C153" s="932">
        <v>0.9264</v>
      </c>
      <c r="D153" s="932">
        <v>0.85409999999999997</v>
      </c>
      <c r="E153" s="932">
        <v>0.85409999999999997</v>
      </c>
      <c r="F153" s="932">
        <v>0.85409999999999997</v>
      </c>
      <c r="G153" s="932">
        <v>0.85409999999999997</v>
      </c>
      <c r="H153" s="932">
        <v>0.85409999999999997</v>
      </c>
      <c r="I153" s="932">
        <v>0.7248</v>
      </c>
      <c r="J153" s="932">
        <v>0.7248</v>
      </c>
      <c r="K153" s="932">
        <v>0.7248</v>
      </c>
      <c r="L153" s="932">
        <v>0.7248</v>
      </c>
      <c r="M153" s="932">
        <v>0.7248</v>
      </c>
    </row>
    <row r="154" spans="1:13">
      <c r="A154" s="939">
        <v>6.9</v>
      </c>
      <c r="B154" s="932">
        <v>0.92469999999999997</v>
      </c>
      <c r="C154" s="932">
        <v>0.92469999999999997</v>
      </c>
      <c r="D154" s="932">
        <v>0.85209999999999997</v>
      </c>
      <c r="E154" s="932">
        <v>0.85209999999999997</v>
      </c>
      <c r="F154" s="932">
        <v>0.85209999999999997</v>
      </c>
      <c r="G154" s="932">
        <v>0.85209999999999997</v>
      </c>
      <c r="H154" s="932">
        <v>0.85209999999999997</v>
      </c>
      <c r="I154" s="932">
        <v>0.72230000000000005</v>
      </c>
      <c r="J154" s="932">
        <v>0.72230000000000005</v>
      </c>
      <c r="K154" s="932">
        <v>0.72230000000000005</v>
      </c>
      <c r="L154" s="932">
        <v>0.72230000000000005</v>
      </c>
      <c r="M154" s="932">
        <v>0.72230000000000005</v>
      </c>
    </row>
    <row r="155" spans="1:13">
      <c r="A155" s="923">
        <v>7</v>
      </c>
      <c r="B155" s="932">
        <v>0.92300000000000004</v>
      </c>
      <c r="C155" s="932">
        <v>0.92300000000000004</v>
      </c>
      <c r="D155" s="932">
        <v>0.85019999999999996</v>
      </c>
      <c r="E155" s="932">
        <v>0.85019999999999996</v>
      </c>
      <c r="F155" s="932">
        <v>0.85019999999999996</v>
      </c>
      <c r="G155" s="932">
        <v>0.85019999999999996</v>
      </c>
      <c r="H155" s="932">
        <v>0.85019999999999996</v>
      </c>
      <c r="I155" s="932">
        <v>0.71989999999999998</v>
      </c>
      <c r="J155" s="932">
        <v>0.71989999999999998</v>
      </c>
      <c r="K155" s="932">
        <v>0.71989999999999998</v>
      </c>
      <c r="L155" s="932">
        <v>0.71989999999999998</v>
      </c>
      <c r="M155" s="932">
        <v>0.71989999999999998</v>
      </c>
    </row>
    <row r="156" spans="1:13">
      <c r="A156" s="923">
        <v>7.1</v>
      </c>
      <c r="B156" s="932">
        <v>0.9214</v>
      </c>
      <c r="C156" s="932">
        <v>0.9214</v>
      </c>
      <c r="D156" s="932">
        <v>0.84830000000000005</v>
      </c>
      <c r="E156" s="932">
        <v>0.84830000000000005</v>
      </c>
      <c r="F156" s="932">
        <v>0.84830000000000005</v>
      </c>
      <c r="G156" s="932">
        <v>0.84830000000000005</v>
      </c>
      <c r="H156" s="932">
        <v>0.84830000000000005</v>
      </c>
      <c r="I156" s="932">
        <v>0.71750000000000003</v>
      </c>
      <c r="J156" s="932">
        <v>0.71750000000000003</v>
      </c>
      <c r="K156" s="932">
        <v>0.71750000000000003</v>
      </c>
      <c r="L156" s="932">
        <v>0.71750000000000003</v>
      </c>
      <c r="M156" s="932">
        <v>0.71750000000000003</v>
      </c>
    </row>
    <row r="157" spans="1:13">
      <c r="A157" s="923">
        <v>7.2</v>
      </c>
      <c r="B157" s="932">
        <v>0.91979999999999995</v>
      </c>
      <c r="C157" s="932">
        <v>0.91979999999999995</v>
      </c>
      <c r="D157" s="932">
        <v>0.84640000000000004</v>
      </c>
      <c r="E157" s="932">
        <v>0.84640000000000004</v>
      </c>
      <c r="F157" s="932">
        <v>0.84640000000000004</v>
      </c>
      <c r="G157" s="932">
        <v>0.84640000000000004</v>
      </c>
      <c r="H157" s="932">
        <v>0.84640000000000004</v>
      </c>
      <c r="I157" s="932">
        <v>0.71509999999999996</v>
      </c>
      <c r="J157" s="932">
        <v>0.71509999999999996</v>
      </c>
      <c r="K157" s="932">
        <v>0.71509999999999996</v>
      </c>
      <c r="L157" s="932">
        <v>0.71509999999999996</v>
      </c>
      <c r="M157" s="932">
        <v>0.71509999999999996</v>
      </c>
    </row>
    <row r="158" spans="1:13">
      <c r="A158" s="923">
        <v>7.3</v>
      </c>
      <c r="B158" s="932">
        <v>0.91820000000000002</v>
      </c>
      <c r="C158" s="932">
        <v>0.91820000000000002</v>
      </c>
      <c r="D158" s="932">
        <v>0.84450000000000003</v>
      </c>
      <c r="E158" s="932">
        <v>0.84450000000000003</v>
      </c>
      <c r="F158" s="932">
        <v>0.84450000000000003</v>
      </c>
      <c r="G158" s="932">
        <v>0.84450000000000003</v>
      </c>
      <c r="H158" s="932">
        <v>0.84450000000000003</v>
      </c>
      <c r="I158" s="932">
        <v>0.7127</v>
      </c>
      <c r="J158" s="932">
        <v>0.7127</v>
      </c>
      <c r="K158" s="932">
        <v>0.7127</v>
      </c>
      <c r="L158" s="932">
        <v>0.7127</v>
      </c>
      <c r="M158" s="932">
        <v>0.7127</v>
      </c>
    </row>
    <row r="159" spans="1:13">
      <c r="A159" s="923">
        <v>7.4</v>
      </c>
      <c r="B159" s="932">
        <v>0.91659999999999997</v>
      </c>
      <c r="C159" s="932">
        <v>0.91659999999999997</v>
      </c>
      <c r="D159" s="932">
        <v>0.84260000000000002</v>
      </c>
      <c r="E159" s="932">
        <v>0.84260000000000002</v>
      </c>
      <c r="F159" s="932">
        <v>0.84260000000000002</v>
      </c>
      <c r="G159" s="932">
        <v>0.84260000000000002</v>
      </c>
      <c r="H159" s="932">
        <v>0.84260000000000002</v>
      </c>
      <c r="I159" s="932">
        <v>0.71030000000000004</v>
      </c>
      <c r="J159" s="932">
        <v>0.71030000000000004</v>
      </c>
      <c r="K159" s="932">
        <v>0.71030000000000004</v>
      </c>
      <c r="L159" s="932">
        <v>0.71030000000000004</v>
      </c>
      <c r="M159" s="932">
        <v>0.71030000000000004</v>
      </c>
    </row>
    <row r="160" spans="1:13">
      <c r="A160" s="923">
        <v>7.5</v>
      </c>
      <c r="B160" s="932">
        <v>0.91500000000000004</v>
      </c>
      <c r="C160" s="932">
        <v>0.91500000000000004</v>
      </c>
      <c r="D160" s="932">
        <v>0.8407</v>
      </c>
      <c r="E160" s="932">
        <v>0.8407</v>
      </c>
      <c r="F160" s="932">
        <v>0.8407</v>
      </c>
      <c r="G160" s="932">
        <v>0.8407</v>
      </c>
      <c r="H160" s="932">
        <v>0.8407</v>
      </c>
      <c r="I160" s="932">
        <v>0.70799999999999996</v>
      </c>
      <c r="J160" s="932">
        <v>0.70799999999999996</v>
      </c>
      <c r="K160" s="932">
        <v>0.70799999999999996</v>
      </c>
      <c r="L160" s="932">
        <v>0.70799999999999996</v>
      </c>
      <c r="M160" s="932">
        <v>0.70799999999999996</v>
      </c>
    </row>
    <row r="161" spans="1:13">
      <c r="A161" s="939">
        <v>7.6</v>
      </c>
      <c r="B161" s="932">
        <v>0.91339999999999999</v>
      </c>
      <c r="C161" s="932">
        <v>0.91339999999999999</v>
      </c>
      <c r="D161" s="932">
        <v>0.83889999999999998</v>
      </c>
      <c r="E161" s="932">
        <v>0.83889999999999998</v>
      </c>
      <c r="F161" s="932">
        <v>0.83889999999999998</v>
      </c>
      <c r="G161" s="932">
        <v>0.83889999999999998</v>
      </c>
      <c r="H161" s="932">
        <v>0.83889999999999998</v>
      </c>
      <c r="I161" s="932">
        <v>0.70569999999999999</v>
      </c>
      <c r="J161" s="932">
        <v>0.70569999999999999</v>
      </c>
      <c r="K161" s="932">
        <v>0.70569999999999999</v>
      </c>
      <c r="L161" s="932">
        <v>0.70569999999999999</v>
      </c>
      <c r="M161" s="932">
        <v>0.70569999999999999</v>
      </c>
    </row>
    <row r="162" spans="1:13">
      <c r="A162" s="923">
        <v>7.7</v>
      </c>
      <c r="B162" s="932">
        <v>0.91190000000000004</v>
      </c>
      <c r="C162" s="932">
        <v>0.91190000000000004</v>
      </c>
      <c r="D162" s="932">
        <v>0.83709999999999996</v>
      </c>
      <c r="E162" s="932">
        <v>0.83709999999999996</v>
      </c>
      <c r="F162" s="932">
        <v>0.83709999999999996</v>
      </c>
      <c r="G162" s="932">
        <v>0.83709999999999996</v>
      </c>
      <c r="H162" s="932">
        <v>0.83709999999999996</v>
      </c>
      <c r="I162" s="932">
        <v>0.70340000000000003</v>
      </c>
      <c r="J162" s="932">
        <v>0.70340000000000003</v>
      </c>
      <c r="K162" s="932">
        <v>0.70340000000000003</v>
      </c>
      <c r="L162" s="932">
        <v>0.70340000000000003</v>
      </c>
      <c r="M162" s="932">
        <v>0.70340000000000003</v>
      </c>
    </row>
    <row r="163" spans="1:13">
      <c r="A163" s="923">
        <v>7.8</v>
      </c>
      <c r="B163" s="932">
        <v>0.91039999999999999</v>
      </c>
      <c r="C163" s="932">
        <v>0.91039999999999999</v>
      </c>
      <c r="D163" s="932">
        <v>0.83530000000000004</v>
      </c>
      <c r="E163" s="932">
        <v>0.83530000000000004</v>
      </c>
      <c r="F163" s="932">
        <v>0.83530000000000004</v>
      </c>
      <c r="G163" s="932">
        <v>0.83530000000000004</v>
      </c>
      <c r="H163" s="932">
        <v>0.83530000000000004</v>
      </c>
      <c r="I163" s="932">
        <v>0.70109999999999995</v>
      </c>
      <c r="J163" s="932">
        <v>0.70109999999999995</v>
      </c>
      <c r="K163" s="932">
        <v>0.70109999999999995</v>
      </c>
      <c r="L163" s="932">
        <v>0.70109999999999995</v>
      </c>
      <c r="M163" s="932">
        <v>0.70109999999999995</v>
      </c>
    </row>
    <row r="164" spans="1:13">
      <c r="A164" s="923">
        <v>7.9</v>
      </c>
      <c r="B164" s="932">
        <v>0.90890000000000004</v>
      </c>
      <c r="C164" s="932">
        <v>0.90890000000000004</v>
      </c>
      <c r="D164" s="932">
        <v>0.83350000000000002</v>
      </c>
      <c r="E164" s="932">
        <v>0.83350000000000002</v>
      </c>
      <c r="F164" s="932">
        <v>0.83350000000000002</v>
      </c>
      <c r="G164" s="932">
        <v>0.83350000000000002</v>
      </c>
      <c r="H164" s="932">
        <v>0.83350000000000002</v>
      </c>
      <c r="I164" s="932">
        <v>0.69879999999999998</v>
      </c>
      <c r="J164" s="932">
        <v>0.69879999999999998</v>
      </c>
      <c r="K164" s="932">
        <v>0.69879999999999998</v>
      </c>
      <c r="L164" s="932">
        <v>0.69879999999999998</v>
      </c>
      <c r="M164" s="932">
        <v>0.69879999999999998</v>
      </c>
    </row>
    <row r="165" spans="1:13">
      <c r="A165" s="923">
        <v>8</v>
      </c>
      <c r="B165" s="932">
        <v>0.90739999999999998</v>
      </c>
      <c r="C165" s="932">
        <v>0.90739999999999998</v>
      </c>
      <c r="D165" s="932">
        <v>0.83169999999999999</v>
      </c>
      <c r="E165" s="932">
        <v>0.83169999999999999</v>
      </c>
      <c r="F165" s="932">
        <v>0.83169999999999999</v>
      </c>
      <c r="G165" s="932">
        <v>0.83169999999999999</v>
      </c>
      <c r="H165" s="932">
        <v>0.83169999999999999</v>
      </c>
      <c r="I165" s="932">
        <v>0.6966</v>
      </c>
      <c r="J165" s="932">
        <v>0.6966</v>
      </c>
      <c r="K165" s="932">
        <v>0.6966</v>
      </c>
      <c r="L165" s="932">
        <v>0.6966</v>
      </c>
      <c r="M165" s="932">
        <v>0.6966</v>
      </c>
    </row>
    <row r="166" spans="1:13">
      <c r="A166" s="923">
        <v>8.1</v>
      </c>
      <c r="B166" s="932">
        <v>0.90590000000000004</v>
      </c>
      <c r="C166" s="932">
        <v>0.90590000000000004</v>
      </c>
      <c r="D166" s="932">
        <v>0.82989999999999997</v>
      </c>
      <c r="E166" s="932">
        <v>0.82989999999999997</v>
      </c>
      <c r="F166" s="932">
        <v>0.82989999999999997</v>
      </c>
      <c r="G166" s="932">
        <v>0.82989999999999997</v>
      </c>
      <c r="H166" s="932">
        <v>0.82989999999999997</v>
      </c>
      <c r="I166" s="932">
        <v>0.69440000000000002</v>
      </c>
      <c r="J166" s="932">
        <v>0.69440000000000002</v>
      </c>
      <c r="K166" s="932">
        <v>0.69440000000000002</v>
      </c>
      <c r="L166" s="932">
        <v>0.69440000000000002</v>
      </c>
      <c r="M166" s="932">
        <v>0.69440000000000002</v>
      </c>
    </row>
    <row r="167" spans="1:13">
      <c r="A167" s="923">
        <v>8.1999999999999993</v>
      </c>
      <c r="B167" s="932">
        <v>0.90439999999999998</v>
      </c>
      <c r="C167" s="932">
        <v>0.90439999999999998</v>
      </c>
      <c r="D167" s="932">
        <v>0.82820000000000005</v>
      </c>
      <c r="E167" s="932">
        <v>0.82820000000000005</v>
      </c>
      <c r="F167" s="932">
        <v>0.82820000000000005</v>
      </c>
      <c r="G167" s="932">
        <v>0.82820000000000005</v>
      </c>
      <c r="H167" s="932">
        <v>0.82820000000000005</v>
      </c>
      <c r="I167" s="932">
        <v>0.69220000000000004</v>
      </c>
      <c r="J167" s="932">
        <v>0.69220000000000004</v>
      </c>
      <c r="K167" s="932">
        <v>0.69220000000000004</v>
      </c>
      <c r="L167" s="932">
        <v>0.69220000000000004</v>
      </c>
      <c r="M167" s="932">
        <v>0.69220000000000004</v>
      </c>
    </row>
    <row r="168" spans="1:13">
      <c r="A168" s="923">
        <v>8.3000000000000007</v>
      </c>
      <c r="B168" s="932">
        <v>0.90300000000000002</v>
      </c>
      <c r="C168" s="932">
        <v>0.90300000000000002</v>
      </c>
      <c r="D168" s="932">
        <v>0.82650000000000001</v>
      </c>
      <c r="E168" s="932">
        <v>0.82650000000000001</v>
      </c>
      <c r="F168" s="932">
        <v>0.82650000000000001</v>
      </c>
      <c r="G168" s="932">
        <v>0.82650000000000001</v>
      </c>
      <c r="H168" s="932">
        <v>0.82650000000000001</v>
      </c>
      <c r="I168" s="932">
        <v>0.69</v>
      </c>
      <c r="J168" s="932">
        <v>0.69</v>
      </c>
      <c r="K168" s="932">
        <v>0.69</v>
      </c>
      <c r="L168" s="932">
        <v>0.69</v>
      </c>
      <c r="M168" s="932">
        <v>0.69</v>
      </c>
    </row>
    <row r="169" spans="1:13">
      <c r="A169" s="923">
        <v>8.4</v>
      </c>
      <c r="B169" s="932">
        <v>0.90159999999999996</v>
      </c>
      <c r="C169" s="932">
        <v>0.90159999999999996</v>
      </c>
      <c r="D169" s="932">
        <v>0.82479999999999998</v>
      </c>
      <c r="E169" s="932">
        <v>0.82479999999999998</v>
      </c>
      <c r="F169" s="932">
        <v>0.82479999999999998</v>
      </c>
      <c r="G169" s="932">
        <v>0.82479999999999998</v>
      </c>
      <c r="H169" s="932">
        <v>0.82479999999999998</v>
      </c>
      <c r="I169" s="932">
        <v>0.68779999999999997</v>
      </c>
      <c r="J169" s="932">
        <v>0.68779999999999997</v>
      </c>
      <c r="K169" s="932">
        <v>0.68779999999999997</v>
      </c>
      <c r="L169" s="932">
        <v>0.68779999999999997</v>
      </c>
      <c r="M169" s="932">
        <v>0.68779999999999997</v>
      </c>
    </row>
    <row r="170" spans="1:13">
      <c r="A170" s="923">
        <v>8.5</v>
      </c>
      <c r="B170" s="932">
        <v>0.9002</v>
      </c>
      <c r="C170" s="932">
        <v>0.9002</v>
      </c>
      <c r="D170" s="932">
        <v>0.82310000000000005</v>
      </c>
      <c r="E170" s="932">
        <v>0.82310000000000005</v>
      </c>
      <c r="F170" s="932">
        <v>0.82310000000000005</v>
      </c>
      <c r="G170" s="932">
        <v>0.82310000000000005</v>
      </c>
      <c r="H170" s="932">
        <v>0.82310000000000005</v>
      </c>
      <c r="I170" s="932">
        <v>0.68569999999999998</v>
      </c>
      <c r="J170" s="932">
        <v>0.68569999999999998</v>
      </c>
      <c r="K170" s="932">
        <v>0.68569999999999998</v>
      </c>
      <c r="L170" s="932">
        <v>0.68569999999999998</v>
      </c>
      <c r="M170" s="932">
        <v>0.68569999999999998</v>
      </c>
    </row>
    <row r="171" spans="1:13">
      <c r="A171" s="923">
        <v>8.6</v>
      </c>
      <c r="B171" s="932">
        <v>0.89880000000000004</v>
      </c>
      <c r="C171" s="932">
        <v>0.89880000000000004</v>
      </c>
      <c r="D171" s="932">
        <v>0.82140000000000002</v>
      </c>
      <c r="E171" s="932">
        <v>0.82140000000000002</v>
      </c>
      <c r="F171" s="932">
        <v>0.82140000000000002</v>
      </c>
      <c r="G171" s="932">
        <v>0.82140000000000002</v>
      </c>
      <c r="H171" s="932">
        <v>0.82140000000000002</v>
      </c>
      <c r="I171" s="932">
        <v>0.68359999999999999</v>
      </c>
      <c r="J171" s="932">
        <v>0.68359999999999999</v>
      </c>
      <c r="K171" s="932">
        <v>0.68359999999999999</v>
      </c>
      <c r="L171" s="932">
        <v>0.68359999999999999</v>
      </c>
      <c r="M171" s="932">
        <v>0.68359999999999999</v>
      </c>
    </row>
    <row r="172" spans="1:13">
      <c r="A172" s="923">
        <v>8.6999999999999993</v>
      </c>
      <c r="B172" s="932">
        <v>0.89739999999999998</v>
      </c>
      <c r="C172" s="932">
        <v>0.89739999999999998</v>
      </c>
      <c r="D172" s="932">
        <v>0.81969999999999998</v>
      </c>
      <c r="E172" s="932">
        <v>0.81969999999999998</v>
      </c>
      <c r="F172" s="932">
        <v>0.81969999999999998</v>
      </c>
      <c r="G172" s="932">
        <v>0.81969999999999998</v>
      </c>
      <c r="H172" s="932">
        <v>0.81969999999999998</v>
      </c>
      <c r="I172" s="932">
        <v>0.68149999999999999</v>
      </c>
      <c r="J172" s="932">
        <v>0.68149999999999999</v>
      </c>
      <c r="K172" s="932">
        <v>0.68149999999999999</v>
      </c>
      <c r="L172" s="932">
        <v>0.68149999999999999</v>
      </c>
      <c r="M172" s="932">
        <v>0.68149999999999999</v>
      </c>
    </row>
    <row r="173" spans="1:13">
      <c r="A173" s="923">
        <v>8.8000000000000007</v>
      </c>
      <c r="B173" s="932">
        <v>0.89600000000000002</v>
      </c>
      <c r="C173" s="932">
        <v>0.89600000000000002</v>
      </c>
      <c r="D173" s="932">
        <v>0.81810000000000005</v>
      </c>
      <c r="E173" s="932">
        <v>0.81810000000000005</v>
      </c>
      <c r="F173" s="932">
        <v>0.81810000000000005</v>
      </c>
      <c r="G173" s="932">
        <v>0.81810000000000005</v>
      </c>
      <c r="H173" s="932">
        <v>0.81810000000000005</v>
      </c>
      <c r="I173" s="932">
        <v>0.6794</v>
      </c>
      <c r="J173" s="932">
        <v>0.6794</v>
      </c>
      <c r="K173" s="932">
        <v>0.6794</v>
      </c>
      <c r="L173" s="932">
        <v>0.6794</v>
      </c>
      <c r="M173" s="932">
        <v>0.6794</v>
      </c>
    </row>
    <row r="174" spans="1:13">
      <c r="A174" s="923">
        <v>8.9</v>
      </c>
      <c r="B174" s="932">
        <v>0.89470000000000005</v>
      </c>
      <c r="C174" s="932">
        <v>0.89470000000000005</v>
      </c>
      <c r="D174" s="932">
        <v>0.8165</v>
      </c>
      <c r="E174" s="932">
        <v>0.8165</v>
      </c>
      <c r="F174" s="932">
        <v>0.8165</v>
      </c>
      <c r="G174" s="932">
        <v>0.8165</v>
      </c>
      <c r="H174" s="932">
        <v>0.8165</v>
      </c>
      <c r="I174" s="932">
        <v>0.6774</v>
      </c>
      <c r="J174" s="932">
        <v>0.6774</v>
      </c>
      <c r="K174" s="932">
        <v>0.6774</v>
      </c>
      <c r="L174" s="932">
        <v>0.6774</v>
      </c>
      <c r="M174" s="932">
        <v>0.6774</v>
      </c>
    </row>
    <row r="175" spans="1:13">
      <c r="A175" s="923">
        <v>9</v>
      </c>
      <c r="B175" s="932">
        <v>0.89339999999999997</v>
      </c>
      <c r="C175" s="932">
        <v>0.89339999999999997</v>
      </c>
      <c r="D175" s="932">
        <v>0.81489999999999996</v>
      </c>
      <c r="E175" s="932">
        <v>0.81489999999999996</v>
      </c>
      <c r="F175" s="932">
        <v>0.81489999999999996</v>
      </c>
      <c r="G175" s="932">
        <v>0.81489999999999996</v>
      </c>
      <c r="H175" s="932">
        <v>0.81489999999999996</v>
      </c>
      <c r="I175" s="932">
        <v>0.6754</v>
      </c>
      <c r="J175" s="932">
        <v>0.6754</v>
      </c>
      <c r="K175" s="932">
        <v>0.6754</v>
      </c>
      <c r="L175" s="932">
        <v>0.6754</v>
      </c>
      <c r="M175" s="932">
        <v>0.6754</v>
      </c>
    </row>
    <row r="176" spans="1:13">
      <c r="A176" s="923">
        <v>9.1</v>
      </c>
      <c r="B176" s="932">
        <v>0.8921</v>
      </c>
      <c r="C176" s="932">
        <v>0.8921</v>
      </c>
      <c r="D176" s="932">
        <v>0.81330000000000002</v>
      </c>
      <c r="E176" s="932">
        <v>0.81330000000000002</v>
      </c>
      <c r="F176" s="932">
        <v>0.81330000000000002</v>
      </c>
      <c r="G176" s="932">
        <v>0.81330000000000002</v>
      </c>
      <c r="H176" s="932">
        <v>0.81330000000000002</v>
      </c>
      <c r="I176" s="932">
        <v>0.6734</v>
      </c>
      <c r="J176" s="932">
        <v>0.6734</v>
      </c>
      <c r="K176" s="932">
        <v>0.6734</v>
      </c>
      <c r="L176" s="932">
        <v>0.6734</v>
      </c>
      <c r="M176" s="932">
        <v>0.6734</v>
      </c>
    </row>
    <row r="177" spans="1:13">
      <c r="A177" s="923">
        <v>9.1999999999999993</v>
      </c>
      <c r="B177" s="932">
        <v>0.89080000000000004</v>
      </c>
      <c r="C177" s="932">
        <v>0.89080000000000004</v>
      </c>
      <c r="D177" s="932">
        <v>0.81169999999999998</v>
      </c>
      <c r="E177" s="932">
        <v>0.81169999999999998</v>
      </c>
      <c r="F177" s="932">
        <v>0.81169999999999998</v>
      </c>
      <c r="G177" s="932">
        <v>0.81169999999999998</v>
      </c>
      <c r="H177" s="932">
        <v>0.81169999999999998</v>
      </c>
      <c r="I177" s="932">
        <v>0.6714</v>
      </c>
      <c r="J177" s="932">
        <v>0.6714</v>
      </c>
      <c r="K177" s="932">
        <v>0.6714</v>
      </c>
      <c r="L177" s="932">
        <v>0.6714</v>
      </c>
      <c r="M177" s="932">
        <v>0.6714</v>
      </c>
    </row>
    <row r="178" spans="1:13">
      <c r="A178" s="923">
        <v>9.3000000000000007</v>
      </c>
      <c r="B178" s="932">
        <v>0.88949999999999996</v>
      </c>
      <c r="C178" s="932">
        <v>0.88949999999999996</v>
      </c>
      <c r="D178" s="932">
        <v>0.81010000000000004</v>
      </c>
      <c r="E178" s="932">
        <v>0.81010000000000004</v>
      </c>
      <c r="F178" s="932">
        <v>0.81010000000000004</v>
      </c>
      <c r="G178" s="932">
        <v>0.81010000000000004</v>
      </c>
      <c r="H178" s="932">
        <v>0.81010000000000004</v>
      </c>
      <c r="I178" s="932">
        <v>0.6694</v>
      </c>
      <c r="J178" s="932">
        <v>0.6694</v>
      </c>
      <c r="K178" s="932">
        <v>0.6694</v>
      </c>
      <c r="L178" s="932">
        <v>0.6694</v>
      </c>
      <c r="M178" s="932">
        <v>0.6694</v>
      </c>
    </row>
    <row r="179" spans="1:13">
      <c r="A179" s="923">
        <v>9.4</v>
      </c>
      <c r="B179" s="932">
        <v>0.88819999999999999</v>
      </c>
      <c r="C179" s="932">
        <v>0.88819999999999999</v>
      </c>
      <c r="D179" s="932">
        <v>0.8085</v>
      </c>
      <c r="E179" s="932">
        <v>0.8085</v>
      </c>
      <c r="F179" s="932">
        <v>0.8085</v>
      </c>
      <c r="G179" s="932">
        <v>0.8085</v>
      </c>
      <c r="H179" s="932">
        <v>0.8085</v>
      </c>
      <c r="I179" s="932">
        <v>0.66739999999999999</v>
      </c>
      <c r="J179" s="932">
        <v>0.66739999999999999</v>
      </c>
      <c r="K179" s="932">
        <v>0.66739999999999999</v>
      </c>
      <c r="L179" s="932">
        <v>0.66739999999999999</v>
      </c>
      <c r="M179" s="932">
        <v>0.66739999999999999</v>
      </c>
    </row>
    <row r="180" spans="1:13">
      <c r="A180" s="923">
        <v>9.5</v>
      </c>
      <c r="B180" s="932">
        <v>0.88700000000000001</v>
      </c>
      <c r="C180" s="932">
        <v>0.88700000000000001</v>
      </c>
      <c r="D180" s="932">
        <v>0.80700000000000005</v>
      </c>
      <c r="E180" s="932">
        <v>0.80700000000000005</v>
      </c>
      <c r="F180" s="932">
        <v>0.80700000000000005</v>
      </c>
      <c r="G180" s="932">
        <v>0.80700000000000005</v>
      </c>
      <c r="H180" s="932">
        <v>0.80700000000000005</v>
      </c>
      <c r="I180" s="932">
        <v>0.66549999999999998</v>
      </c>
      <c r="J180" s="932">
        <v>0.66549999999999998</v>
      </c>
      <c r="K180" s="932">
        <v>0.66549999999999998</v>
      </c>
      <c r="L180" s="932">
        <v>0.66549999999999998</v>
      </c>
      <c r="M180" s="932">
        <v>0.66549999999999998</v>
      </c>
    </row>
    <row r="181" spans="1:13">
      <c r="A181" s="923">
        <v>9.6</v>
      </c>
      <c r="B181" s="932">
        <v>0.88580000000000003</v>
      </c>
      <c r="C181" s="932">
        <v>0.88580000000000003</v>
      </c>
      <c r="D181" s="932">
        <v>0.80549999999999999</v>
      </c>
      <c r="E181" s="932">
        <v>0.80549999999999999</v>
      </c>
      <c r="F181" s="932">
        <v>0.80549999999999999</v>
      </c>
      <c r="G181" s="932">
        <v>0.80549999999999999</v>
      </c>
      <c r="H181" s="932">
        <v>0.80549999999999999</v>
      </c>
      <c r="I181" s="932">
        <v>0.66359999999999997</v>
      </c>
      <c r="J181" s="932">
        <v>0.66359999999999997</v>
      </c>
      <c r="K181" s="932">
        <v>0.66359999999999997</v>
      </c>
      <c r="L181" s="932">
        <v>0.66359999999999997</v>
      </c>
      <c r="M181" s="932">
        <v>0.66359999999999997</v>
      </c>
    </row>
    <row r="182" spans="1:13">
      <c r="A182" s="923">
        <v>9.6999999999999993</v>
      </c>
      <c r="B182" s="932">
        <v>0.88460000000000005</v>
      </c>
      <c r="C182" s="932">
        <v>0.88460000000000005</v>
      </c>
      <c r="D182" s="932">
        <v>0.80400000000000005</v>
      </c>
      <c r="E182" s="932">
        <v>0.80400000000000005</v>
      </c>
      <c r="F182" s="932">
        <v>0.80400000000000005</v>
      </c>
      <c r="G182" s="932">
        <v>0.80400000000000005</v>
      </c>
      <c r="H182" s="932">
        <v>0.80400000000000005</v>
      </c>
      <c r="I182" s="932">
        <v>0.66169999999999995</v>
      </c>
      <c r="J182" s="932">
        <v>0.66169999999999995</v>
      </c>
      <c r="K182" s="932">
        <v>0.66169999999999995</v>
      </c>
      <c r="L182" s="932">
        <v>0.66169999999999995</v>
      </c>
      <c r="M182" s="932">
        <v>0.66169999999999995</v>
      </c>
    </row>
    <row r="183" spans="1:13">
      <c r="A183" s="923">
        <v>9.8000000000000007</v>
      </c>
      <c r="B183" s="932">
        <v>0.88339999999999996</v>
      </c>
      <c r="C183" s="932">
        <v>0.88339999999999996</v>
      </c>
      <c r="D183" s="932">
        <v>0.80249999999999999</v>
      </c>
      <c r="E183" s="932">
        <v>0.80249999999999999</v>
      </c>
      <c r="F183" s="932">
        <v>0.80249999999999999</v>
      </c>
      <c r="G183" s="932">
        <v>0.80249999999999999</v>
      </c>
      <c r="H183" s="932">
        <v>0.80249999999999999</v>
      </c>
      <c r="I183" s="932">
        <v>0.65980000000000005</v>
      </c>
      <c r="J183" s="932">
        <v>0.65980000000000005</v>
      </c>
      <c r="K183" s="932">
        <v>0.65980000000000005</v>
      </c>
      <c r="L183" s="932">
        <v>0.65980000000000005</v>
      </c>
      <c r="M183" s="932">
        <v>0.65980000000000005</v>
      </c>
    </row>
    <row r="184" spans="1:13">
      <c r="A184" s="923">
        <v>9.9</v>
      </c>
      <c r="B184" s="932">
        <v>0.88219999999999998</v>
      </c>
      <c r="C184" s="932">
        <v>0.88219999999999998</v>
      </c>
      <c r="D184" s="932">
        <v>0.80100000000000005</v>
      </c>
      <c r="E184" s="932">
        <v>0.80100000000000005</v>
      </c>
      <c r="F184" s="932">
        <v>0.80100000000000005</v>
      </c>
      <c r="G184" s="932">
        <v>0.80100000000000005</v>
      </c>
      <c r="H184" s="932">
        <v>0.80100000000000005</v>
      </c>
      <c r="I184" s="932">
        <v>0.65790000000000004</v>
      </c>
      <c r="J184" s="932">
        <v>0.65790000000000004</v>
      </c>
      <c r="K184" s="932">
        <v>0.65790000000000004</v>
      </c>
      <c r="L184" s="932">
        <v>0.65790000000000004</v>
      </c>
      <c r="M184" s="932">
        <v>0.65790000000000004</v>
      </c>
    </row>
    <row r="185" spans="1:13" ht="14.25">
      <c r="A185" s="3084" t="s">
        <v>2781</v>
      </c>
      <c r="B185" s="932"/>
      <c r="C185" s="932"/>
      <c r="D185" s="932"/>
      <c r="E185" s="932"/>
      <c r="F185" s="932"/>
      <c r="G185" s="932"/>
      <c r="H185" s="932"/>
      <c r="I185" s="932"/>
      <c r="J185" s="932"/>
      <c r="K185" s="932"/>
      <c r="L185" s="932"/>
      <c r="M185" s="932"/>
    </row>
    <row r="186" spans="1:13">
      <c r="A186" s="923" t="s">
        <v>1550</v>
      </c>
      <c r="B186" s="932" t="s">
        <v>990</v>
      </c>
      <c r="C186" s="932" t="s">
        <v>1031</v>
      </c>
      <c r="D186" s="932" t="s">
        <v>1145</v>
      </c>
      <c r="E186" s="932" t="s">
        <v>853</v>
      </c>
      <c r="F186" s="932" t="s">
        <v>1152</v>
      </c>
      <c r="G186" s="932" t="s">
        <v>1153</v>
      </c>
      <c r="H186" s="932" t="s">
        <v>1154</v>
      </c>
      <c r="I186" s="932" t="s">
        <v>1155</v>
      </c>
      <c r="J186" s="932" t="s">
        <v>1156</v>
      </c>
      <c r="K186" s="932" t="s">
        <v>1157</v>
      </c>
      <c r="L186" s="932" t="s">
        <v>2766</v>
      </c>
      <c r="M186" s="932" t="s">
        <v>2767</v>
      </c>
    </row>
    <row r="187" spans="1:13">
      <c r="A187" s="923">
        <v>1</v>
      </c>
      <c r="B187" s="932">
        <v>1.1901999999999999</v>
      </c>
      <c r="C187" s="932">
        <v>1.1901999999999999</v>
      </c>
      <c r="D187" s="932">
        <v>1.222</v>
      </c>
      <c r="E187" s="932">
        <v>1.222</v>
      </c>
      <c r="F187" s="932">
        <v>1.222</v>
      </c>
      <c r="G187" s="932">
        <v>1.222</v>
      </c>
      <c r="H187" s="932">
        <v>1.222</v>
      </c>
      <c r="I187" s="932">
        <v>1.1054999999999999</v>
      </c>
      <c r="J187" s="932">
        <v>1.1054999999999999</v>
      </c>
      <c r="K187" s="932">
        <v>1.1054999999999999</v>
      </c>
      <c r="L187" s="932">
        <v>1.1054999999999999</v>
      </c>
      <c r="M187" s="932">
        <v>1.1054999999999999</v>
      </c>
    </row>
    <row r="188" spans="1:13">
      <c r="A188" s="923">
        <v>1.1000000000000001</v>
      </c>
      <c r="B188" s="932">
        <v>1.1715</v>
      </c>
      <c r="C188" s="932">
        <v>1.1715</v>
      </c>
      <c r="D188" s="932">
        <v>1.2002999999999999</v>
      </c>
      <c r="E188" s="932">
        <v>1.2002999999999999</v>
      </c>
      <c r="F188" s="932">
        <v>1.2002999999999999</v>
      </c>
      <c r="G188" s="932">
        <v>1.2002999999999999</v>
      </c>
      <c r="H188" s="932">
        <v>1.2002999999999999</v>
      </c>
      <c r="I188" s="932">
        <v>1.0819000000000001</v>
      </c>
      <c r="J188" s="932">
        <v>1.0819000000000001</v>
      </c>
      <c r="K188" s="932">
        <v>1.0819000000000001</v>
      </c>
      <c r="L188" s="932">
        <v>1.0819000000000001</v>
      </c>
      <c r="M188" s="932">
        <v>1.0819000000000001</v>
      </c>
    </row>
    <row r="189" spans="1:13">
      <c r="A189" s="923">
        <v>1.2</v>
      </c>
      <c r="B189" s="932">
        <v>1.1538999999999999</v>
      </c>
      <c r="C189" s="932">
        <v>1.1538999999999999</v>
      </c>
      <c r="D189" s="932">
        <v>1.1798</v>
      </c>
      <c r="E189" s="932">
        <v>1.1798</v>
      </c>
      <c r="F189" s="932">
        <v>1.1798</v>
      </c>
      <c r="G189" s="932">
        <v>1.1798</v>
      </c>
      <c r="H189" s="932">
        <v>1.1798</v>
      </c>
      <c r="I189" s="932">
        <v>1.0597000000000001</v>
      </c>
      <c r="J189" s="932">
        <v>1.0597000000000001</v>
      </c>
      <c r="K189" s="932">
        <v>1.0597000000000001</v>
      </c>
      <c r="L189" s="932">
        <v>1.0597000000000001</v>
      </c>
      <c r="M189" s="932">
        <v>1.0597000000000001</v>
      </c>
    </row>
    <row r="190" spans="1:13">
      <c r="A190" s="923">
        <v>1.3</v>
      </c>
      <c r="B190" s="932">
        <v>1.1372</v>
      </c>
      <c r="C190" s="932">
        <v>1.1372</v>
      </c>
      <c r="D190" s="932">
        <v>1.1605000000000001</v>
      </c>
      <c r="E190" s="932">
        <v>1.1605000000000001</v>
      </c>
      <c r="F190" s="932">
        <v>1.1605000000000001</v>
      </c>
      <c r="G190" s="932">
        <v>1.1605000000000001</v>
      </c>
      <c r="H190" s="932">
        <v>1.1605000000000001</v>
      </c>
      <c r="I190" s="932">
        <v>1.0386</v>
      </c>
      <c r="J190" s="932">
        <v>1.0386</v>
      </c>
      <c r="K190" s="932">
        <v>1.0386</v>
      </c>
      <c r="L190" s="932">
        <v>1.0386</v>
      </c>
      <c r="M190" s="932">
        <v>1.0386</v>
      </c>
    </row>
    <row r="191" spans="1:13">
      <c r="A191" s="923">
        <v>1.4</v>
      </c>
      <c r="B191" s="932">
        <v>1.1215999999999999</v>
      </c>
      <c r="C191" s="932">
        <v>1.1215999999999999</v>
      </c>
      <c r="D191" s="932">
        <v>1.1422000000000001</v>
      </c>
      <c r="E191" s="932">
        <v>1.1422000000000001</v>
      </c>
      <c r="F191" s="932">
        <v>1.1422000000000001</v>
      </c>
      <c r="G191" s="932">
        <v>1.1422000000000001</v>
      </c>
      <c r="H191" s="932">
        <v>1.1422000000000001</v>
      </c>
      <c r="I191" s="932">
        <v>1.0187999999999999</v>
      </c>
      <c r="J191" s="932">
        <v>1.0187999999999999</v>
      </c>
      <c r="K191" s="932">
        <v>1.0187999999999999</v>
      </c>
      <c r="L191" s="932">
        <v>1.0187999999999999</v>
      </c>
      <c r="M191" s="932">
        <v>1.0187999999999999</v>
      </c>
    </row>
    <row r="192" spans="1:13">
      <c r="A192" s="923">
        <v>1.5</v>
      </c>
      <c r="B192" s="932">
        <v>1.1069</v>
      </c>
      <c r="C192" s="932">
        <v>1.1069</v>
      </c>
      <c r="D192" s="932">
        <v>1.125</v>
      </c>
      <c r="E192" s="932">
        <v>1.125</v>
      </c>
      <c r="F192" s="932">
        <v>1.125</v>
      </c>
      <c r="G192" s="932">
        <v>1.125</v>
      </c>
      <c r="H192" s="932">
        <v>1.125</v>
      </c>
      <c r="I192" s="932">
        <v>1</v>
      </c>
      <c r="J192" s="932">
        <v>1</v>
      </c>
      <c r="K192" s="932">
        <v>1</v>
      </c>
      <c r="L192" s="932">
        <v>1</v>
      </c>
      <c r="M192" s="932">
        <v>1</v>
      </c>
    </row>
    <row r="193" spans="1:13">
      <c r="A193" s="923">
        <v>1.6</v>
      </c>
      <c r="B193" s="932">
        <v>1.0929</v>
      </c>
      <c r="C193" s="932">
        <v>1.0929</v>
      </c>
      <c r="D193" s="932">
        <v>1.1087</v>
      </c>
      <c r="E193" s="932">
        <v>1.1087</v>
      </c>
      <c r="F193" s="932">
        <v>1.1087</v>
      </c>
      <c r="G193" s="932">
        <v>1.1087</v>
      </c>
      <c r="H193" s="932">
        <v>1.1087</v>
      </c>
      <c r="I193" s="932">
        <v>0.98229999999999995</v>
      </c>
      <c r="J193" s="932">
        <v>0.98229999999999995</v>
      </c>
      <c r="K193" s="932">
        <v>0.98229999999999995</v>
      </c>
      <c r="L193" s="932">
        <v>0.98229999999999995</v>
      </c>
      <c r="M193" s="932">
        <v>0.98229999999999995</v>
      </c>
    </row>
    <row r="194" spans="1:13">
      <c r="A194" s="939">
        <v>1.7</v>
      </c>
      <c r="B194" s="932">
        <v>1.0798000000000001</v>
      </c>
      <c r="C194" s="932">
        <v>1.0798000000000001</v>
      </c>
      <c r="D194" s="932">
        <v>1.0933999999999999</v>
      </c>
      <c r="E194" s="932">
        <v>1.0933999999999999</v>
      </c>
      <c r="F194" s="932">
        <v>1.0933999999999999</v>
      </c>
      <c r="G194" s="932">
        <v>1.0933999999999999</v>
      </c>
      <c r="H194" s="932">
        <v>1.0933999999999999</v>
      </c>
      <c r="I194" s="932">
        <v>0.96560000000000001</v>
      </c>
      <c r="J194" s="932">
        <v>0.96560000000000001</v>
      </c>
      <c r="K194" s="932">
        <v>0.96560000000000001</v>
      </c>
      <c r="L194" s="932">
        <v>0.96560000000000001</v>
      </c>
      <c r="M194" s="932">
        <v>0.96560000000000001</v>
      </c>
    </row>
    <row r="195" spans="1:13">
      <c r="A195" s="939">
        <v>1.8</v>
      </c>
      <c r="B195" s="932">
        <v>1.0674999999999999</v>
      </c>
      <c r="C195" s="932">
        <v>1.0674999999999999</v>
      </c>
      <c r="D195" s="932">
        <v>1.0790999999999999</v>
      </c>
      <c r="E195" s="932">
        <v>1.0790999999999999</v>
      </c>
      <c r="F195" s="932">
        <v>1.0790999999999999</v>
      </c>
      <c r="G195" s="932">
        <v>1.0790999999999999</v>
      </c>
      <c r="H195" s="932">
        <v>1.0790999999999999</v>
      </c>
      <c r="I195" s="932">
        <v>0.94989999999999997</v>
      </c>
      <c r="J195" s="932">
        <v>0.94989999999999997</v>
      </c>
      <c r="K195" s="932">
        <v>0.94989999999999997</v>
      </c>
      <c r="L195" s="932">
        <v>0.94989999999999997</v>
      </c>
      <c r="M195" s="932">
        <v>0.94989999999999997</v>
      </c>
    </row>
    <row r="196" spans="1:13">
      <c r="A196" s="939">
        <v>1.9</v>
      </c>
      <c r="B196" s="932">
        <v>1.0558000000000001</v>
      </c>
      <c r="C196" s="932">
        <v>1.0558000000000001</v>
      </c>
      <c r="D196" s="932">
        <v>1.0654999999999999</v>
      </c>
      <c r="E196" s="932">
        <v>1.0654999999999999</v>
      </c>
      <c r="F196" s="932">
        <v>1.0654999999999999</v>
      </c>
      <c r="G196" s="932">
        <v>1.0654999999999999</v>
      </c>
      <c r="H196" s="932">
        <v>1.0654999999999999</v>
      </c>
      <c r="I196" s="932">
        <v>0.93520000000000003</v>
      </c>
      <c r="J196" s="932">
        <v>0.93520000000000003</v>
      </c>
      <c r="K196" s="932">
        <v>0.93520000000000003</v>
      </c>
      <c r="L196" s="932">
        <v>0.93520000000000003</v>
      </c>
      <c r="M196" s="932">
        <v>0.93520000000000003</v>
      </c>
    </row>
    <row r="197" spans="1:13">
      <c r="A197" s="939">
        <v>2</v>
      </c>
      <c r="B197" s="932">
        <v>1.0449999999999999</v>
      </c>
      <c r="C197" s="932">
        <v>1.0449999999999999</v>
      </c>
      <c r="D197" s="932">
        <v>1.0528</v>
      </c>
      <c r="E197" s="932">
        <v>1.0528</v>
      </c>
      <c r="F197" s="932">
        <v>1.0528</v>
      </c>
      <c r="G197" s="932">
        <v>1.0528</v>
      </c>
      <c r="H197" s="932">
        <v>1.0528</v>
      </c>
      <c r="I197" s="932">
        <v>0.92130000000000001</v>
      </c>
      <c r="J197" s="932">
        <v>0.92130000000000001</v>
      </c>
      <c r="K197" s="932">
        <v>0.92130000000000001</v>
      </c>
      <c r="L197" s="932">
        <v>0.92130000000000001</v>
      </c>
      <c r="M197" s="932">
        <v>0.92130000000000001</v>
      </c>
    </row>
    <row r="198" spans="1:13">
      <c r="A198" s="939">
        <v>2.1</v>
      </c>
      <c r="B198" s="932">
        <v>1.0347999999999999</v>
      </c>
      <c r="C198" s="932">
        <v>1.0347999999999999</v>
      </c>
      <c r="D198" s="932">
        <v>1.0407999999999999</v>
      </c>
      <c r="E198" s="932">
        <v>1.0407999999999999</v>
      </c>
      <c r="F198" s="932">
        <v>1.0407999999999999</v>
      </c>
      <c r="G198" s="932">
        <v>1.0407999999999999</v>
      </c>
      <c r="H198" s="932">
        <v>1.0407999999999999</v>
      </c>
      <c r="I198" s="932">
        <v>0.90820000000000001</v>
      </c>
      <c r="J198" s="932">
        <v>0.90820000000000001</v>
      </c>
      <c r="K198" s="932">
        <v>0.90820000000000001</v>
      </c>
      <c r="L198" s="932">
        <v>0.90820000000000001</v>
      </c>
      <c r="M198" s="932">
        <v>0.90820000000000001</v>
      </c>
    </row>
    <row r="199" spans="1:13">
      <c r="A199" s="939">
        <v>2.2000000000000002</v>
      </c>
      <c r="B199" s="932">
        <v>1.0251999999999999</v>
      </c>
      <c r="C199" s="932">
        <v>1.0251999999999999</v>
      </c>
      <c r="D199" s="932">
        <v>1.0296000000000001</v>
      </c>
      <c r="E199" s="932">
        <v>1.0296000000000001</v>
      </c>
      <c r="F199" s="932">
        <v>1.0296000000000001</v>
      </c>
      <c r="G199" s="932">
        <v>1.0296000000000001</v>
      </c>
      <c r="H199" s="932">
        <v>1.0296000000000001</v>
      </c>
      <c r="I199" s="932">
        <v>0.89570000000000005</v>
      </c>
      <c r="J199" s="932">
        <v>0.89570000000000005</v>
      </c>
      <c r="K199" s="932">
        <v>0.89570000000000005</v>
      </c>
      <c r="L199" s="932">
        <v>0.89570000000000005</v>
      </c>
      <c r="M199" s="932">
        <v>0.89570000000000005</v>
      </c>
    </row>
    <row r="200" spans="1:13">
      <c r="A200" s="939">
        <v>2.2999999999999998</v>
      </c>
      <c r="B200" s="932">
        <v>1.0162</v>
      </c>
      <c r="C200" s="932">
        <v>1.0162</v>
      </c>
      <c r="D200" s="932">
        <v>1.0190999999999999</v>
      </c>
      <c r="E200" s="932">
        <v>1.0190999999999999</v>
      </c>
      <c r="F200" s="932">
        <v>1.0190999999999999</v>
      </c>
      <c r="G200" s="932">
        <v>1.0190999999999999</v>
      </c>
      <c r="H200" s="932">
        <v>1.0190999999999999</v>
      </c>
      <c r="I200" s="932">
        <v>0.88419999999999999</v>
      </c>
      <c r="J200" s="932">
        <v>0.88419999999999999</v>
      </c>
      <c r="K200" s="932">
        <v>0.88419999999999999</v>
      </c>
      <c r="L200" s="932">
        <v>0.88419999999999999</v>
      </c>
      <c r="M200" s="932">
        <v>0.88419999999999999</v>
      </c>
    </row>
    <row r="201" spans="1:13">
      <c r="A201" s="939">
        <v>2.4</v>
      </c>
      <c r="B201" s="932">
        <v>1.0078</v>
      </c>
      <c r="C201" s="932">
        <v>1.0078</v>
      </c>
      <c r="D201" s="932">
        <v>1.0092000000000001</v>
      </c>
      <c r="E201" s="932">
        <v>1.0092000000000001</v>
      </c>
      <c r="F201" s="932">
        <v>1.0092000000000001</v>
      </c>
      <c r="G201" s="932">
        <v>1.0092000000000001</v>
      </c>
      <c r="H201" s="932">
        <v>1.0092000000000001</v>
      </c>
      <c r="I201" s="932">
        <v>0.87329999999999997</v>
      </c>
      <c r="J201" s="932">
        <v>0.87329999999999997</v>
      </c>
      <c r="K201" s="932">
        <v>0.87329999999999997</v>
      </c>
      <c r="L201" s="932">
        <v>0.87329999999999997</v>
      </c>
      <c r="M201" s="932">
        <v>0.87329999999999997</v>
      </c>
    </row>
    <row r="202" spans="1:13">
      <c r="A202" s="939">
        <v>2.5</v>
      </c>
      <c r="B202" s="932">
        <v>1</v>
      </c>
      <c r="C202" s="932">
        <v>1</v>
      </c>
      <c r="D202" s="932">
        <v>1</v>
      </c>
      <c r="E202" s="932">
        <v>1</v>
      </c>
      <c r="F202" s="932">
        <v>1</v>
      </c>
      <c r="G202" s="932">
        <v>1</v>
      </c>
      <c r="H202" s="932">
        <v>1</v>
      </c>
      <c r="I202" s="932">
        <v>0.86299999999999999</v>
      </c>
      <c r="J202" s="932">
        <v>0.86299999999999999</v>
      </c>
      <c r="K202" s="932">
        <v>0.86299999999999999</v>
      </c>
      <c r="L202" s="932">
        <v>0.86299999999999999</v>
      </c>
      <c r="M202" s="932">
        <v>0.86299999999999999</v>
      </c>
    </row>
    <row r="203" spans="1:13">
      <c r="A203" s="939">
        <v>2.6</v>
      </c>
      <c r="B203" s="932">
        <v>0.99270000000000003</v>
      </c>
      <c r="C203" s="932">
        <v>0.99270000000000003</v>
      </c>
      <c r="D203" s="932">
        <v>0.99139999999999995</v>
      </c>
      <c r="E203" s="932">
        <v>0.99139999999999995</v>
      </c>
      <c r="F203" s="932">
        <v>0.99139999999999995</v>
      </c>
      <c r="G203" s="932">
        <v>0.99139999999999995</v>
      </c>
      <c r="H203" s="932">
        <v>0.99139999999999995</v>
      </c>
      <c r="I203" s="932">
        <v>0.85340000000000005</v>
      </c>
      <c r="J203" s="932">
        <v>0.85340000000000005</v>
      </c>
      <c r="K203" s="932">
        <v>0.85340000000000005</v>
      </c>
      <c r="L203" s="932">
        <v>0.85340000000000005</v>
      </c>
      <c r="M203" s="932">
        <v>0.85340000000000005</v>
      </c>
    </row>
    <row r="204" spans="1:13">
      <c r="A204" s="939">
        <v>2.7</v>
      </c>
      <c r="B204" s="932">
        <v>0.98580000000000001</v>
      </c>
      <c r="C204" s="932">
        <v>0.98580000000000001</v>
      </c>
      <c r="D204" s="932">
        <v>0.98329999999999995</v>
      </c>
      <c r="E204" s="932">
        <v>0.98329999999999995</v>
      </c>
      <c r="F204" s="932">
        <v>0.98329999999999995</v>
      </c>
      <c r="G204" s="932">
        <v>0.98329999999999995</v>
      </c>
      <c r="H204" s="932">
        <v>0.98329999999999995</v>
      </c>
      <c r="I204" s="932">
        <v>0.84440000000000004</v>
      </c>
      <c r="J204" s="932">
        <v>0.84440000000000004</v>
      </c>
      <c r="K204" s="932">
        <v>0.84440000000000004</v>
      </c>
      <c r="L204" s="932">
        <v>0.84440000000000004</v>
      </c>
      <c r="M204" s="932">
        <v>0.84440000000000004</v>
      </c>
    </row>
    <row r="205" spans="1:13">
      <c r="A205" s="939">
        <v>2.8</v>
      </c>
      <c r="B205" s="932">
        <v>0.97940000000000005</v>
      </c>
      <c r="C205" s="932">
        <v>0.97940000000000005</v>
      </c>
      <c r="D205" s="932">
        <v>0.97570000000000001</v>
      </c>
      <c r="E205" s="932">
        <v>0.97570000000000001</v>
      </c>
      <c r="F205" s="932">
        <v>0.97570000000000001</v>
      </c>
      <c r="G205" s="932">
        <v>0.97570000000000001</v>
      </c>
      <c r="H205" s="932">
        <v>0.97570000000000001</v>
      </c>
      <c r="I205" s="932">
        <v>0.83599999999999997</v>
      </c>
      <c r="J205" s="932">
        <v>0.83599999999999997</v>
      </c>
      <c r="K205" s="932">
        <v>0.83599999999999997</v>
      </c>
      <c r="L205" s="932">
        <v>0.83599999999999997</v>
      </c>
      <c r="M205" s="932">
        <v>0.83599999999999997</v>
      </c>
    </row>
    <row r="206" spans="1:13">
      <c r="A206" s="923">
        <v>2.9</v>
      </c>
      <c r="B206" s="924">
        <v>0.97350000000000003</v>
      </c>
      <c r="C206" s="924">
        <v>0.97350000000000003</v>
      </c>
      <c r="D206" s="924">
        <v>0.96870000000000001</v>
      </c>
      <c r="E206" s="924">
        <v>0.96870000000000001</v>
      </c>
      <c r="F206" s="924">
        <v>0.96870000000000001</v>
      </c>
      <c r="G206" s="924">
        <v>0.96870000000000001</v>
      </c>
      <c r="H206" s="925">
        <v>0.96870000000000001</v>
      </c>
      <c r="I206" s="925">
        <v>0.82820000000000005</v>
      </c>
      <c r="J206" s="926">
        <v>0.82820000000000005</v>
      </c>
      <c r="K206" s="926">
        <v>0.82820000000000005</v>
      </c>
      <c r="L206" s="926">
        <v>0.82820000000000005</v>
      </c>
      <c r="M206" s="926">
        <v>0.82820000000000005</v>
      </c>
    </row>
    <row r="207" spans="1:13">
      <c r="A207" s="923">
        <v>3</v>
      </c>
      <c r="B207" s="932">
        <v>0.96789999999999998</v>
      </c>
      <c r="C207" s="932">
        <v>0.96789999999999998</v>
      </c>
      <c r="D207" s="932">
        <v>0.96209999999999996</v>
      </c>
      <c r="E207" s="932">
        <v>0.96209999999999996</v>
      </c>
      <c r="F207" s="932">
        <v>0.96209999999999996</v>
      </c>
      <c r="G207" s="932">
        <v>0.96209999999999996</v>
      </c>
      <c r="H207" s="932">
        <v>0.96209999999999996</v>
      </c>
      <c r="I207" s="932">
        <v>0.82079999999999997</v>
      </c>
      <c r="J207" s="932">
        <v>0.82079999999999997</v>
      </c>
      <c r="K207" s="932">
        <v>0.82079999999999997</v>
      </c>
      <c r="L207" s="932">
        <v>0.82079999999999997</v>
      </c>
      <c r="M207" s="932">
        <v>0.82079999999999997</v>
      </c>
    </row>
    <row r="208" spans="1:13">
      <c r="A208" s="923">
        <v>3.1</v>
      </c>
      <c r="B208" s="932">
        <v>0.9627</v>
      </c>
      <c r="C208" s="932">
        <v>0.9627</v>
      </c>
      <c r="D208" s="932">
        <v>0.95589999999999997</v>
      </c>
      <c r="E208" s="932">
        <v>0.95589999999999997</v>
      </c>
      <c r="F208" s="932">
        <v>0.95589999999999997</v>
      </c>
      <c r="G208" s="932">
        <v>0.95589999999999997</v>
      </c>
      <c r="H208" s="932">
        <v>0.95589999999999997</v>
      </c>
      <c r="I208" s="932">
        <v>0.81389999999999996</v>
      </c>
      <c r="J208" s="932">
        <v>0.81389999999999996</v>
      </c>
      <c r="K208" s="932">
        <v>0.81389999999999996</v>
      </c>
      <c r="L208" s="932">
        <v>0.81389999999999996</v>
      </c>
      <c r="M208" s="932">
        <v>0.81389999999999996</v>
      </c>
    </row>
    <row r="209" spans="1:13">
      <c r="A209" s="923">
        <v>3.2</v>
      </c>
      <c r="B209" s="932">
        <v>0.95789999999999997</v>
      </c>
      <c r="C209" s="932">
        <v>0.95789999999999997</v>
      </c>
      <c r="D209" s="932">
        <v>0.95020000000000004</v>
      </c>
      <c r="E209" s="932">
        <v>0.95020000000000004</v>
      </c>
      <c r="F209" s="932">
        <v>0.95020000000000004</v>
      </c>
      <c r="G209" s="932">
        <v>0.95020000000000004</v>
      </c>
      <c r="H209" s="932">
        <v>0.95020000000000004</v>
      </c>
      <c r="I209" s="932">
        <v>0.8075</v>
      </c>
      <c r="J209" s="932">
        <v>0.8075</v>
      </c>
      <c r="K209" s="932">
        <v>0.8075</v>
      </c>
      <c r="L209" s="932">
        <v>0.8075</v>
      </c>
      <c r="M209" s="932">
        <v>0.8075</v>
      </c>
    </row>
    <row r="210" spans="1:13">
      <c r="A210" s="923">
        <v>3.3</v>
      </c>
      <c r="B210" s="932">
        <v>0.95340000000000003</v>
      </c>
      <c r="C210" s="932">
        <v>0.95340000000000003</v>
      </c>
      <c r="D210" s="932">
        <v>0.94479999999999997</v>
      </c>
      <c r="E210" s="932">
        <v>0.94479999999999997</v>
      </c>
      <c r="F210" s="932">
        <v>0.94479999999999997</v>
      </c>
      <c r="G210" s="932">
        <v>0.94479999999999997</v>
      </c>
      <c r="H210" s="932">
        <v>0.94479999999999997</v>
      </c>
      <c r="I210" s="932">
        <v>0.80149999999999999</v>
      </c>
      <c r="J210" s="932">
        <v>0.80149999999999999</v>
      </c>
      <c r="K210" s="932">
        <v>0.80149999999999999</v>
      </c>
      <c r="L210" s="932">
        <v>0.80149999999999999</v>
      </c>
      <c r="M210" s="932">
        <v>0.80149999999999999</v>
      </c>
    </row>
    <row r="211" spans="1:13">
      <c r="A211" s="923">
        <v>3.4</v>
      </c>
      <c r="B211" s="932">
        <v>0.94920000000000004</v>
      </c>
      <c r="C211" s="932">
        <v>0.94920000000000004</v>
      </c>
      <c r="D211" s="932">
        <v>0.93989999999999996</v>
      </c>
      <c r="E211" s="932">
        <v>0.93989999999999996</v>
      </c>
      <c r="F211" s="932">
        <v>0.93989999999999996</v>
      </c>
      <c r="G211" s="932">
        <v>0.93989999999999996</v>
      </c>
      <c r="H211" s="932">
        <v>0.93989999999999996</v>
      </c>
      <c r="I211" s="932">
        <v>0.79590000000000005</v>
      </c>
      <c r="J211" s="932">
        <v>0.79590000000000005</v>
      </c>
      <c r="K211" s="932">
        <v>0.79590000000000005</v>
      </c>
      <c r="L211" s="932">
        <v>0.79590000000000005</v>
      </c>
      <c r="M211" s="932">
        <v>0.79590000000000005</v>
      </c>
    </row>
    <row r="212" spans="1:13">
      <c r="A212" s="923">
        <v>3.5</v>
      </c>
      <c r="B212" s="932">
        <v>0.94540000000000002</v>
      </c>
      <c r="C212" s="932">
        <v>0.94540000000000002</v>
      </c>
      <c r="D212" s="932">
        <v>0.93520000000000003</v>
      </c>
      <c r="E212" s="932">
        <v>0.93520000000000003</v>
      </c>
      <c r="F212" s="932">
        <v>0.93520000000000003</v>
      </c>
      <c r="G212" s="932">
        <v>0.93520000000000003</v>
      </c>
      <c r="H212" s="932">
        <v>0.93520000000000003</v>
      </c>
      <c r="I212" s="932">
        <v>0.79059999999999997</v>
      </c>
      <c r="J212" s="932">
        <v>0.79059999999999997</v>
      </c>
      <c r="K212" s="932">
        <v>0.79059999999999997</v>
      </c>
      <c r="L212" s="932">
        <v>0.79059999999999997</v>
      </c>
      <c r="M212" s="932">
        <v>0.79059999999999997</v>
      </c>
    </row>
    <row r="213" spans="1:13">
      <c r="A213" s="923">
        <v>3.6</v>
      </c>
      <c r="B213" s="932">
        <v>0.94179999999999997</v>
      </c>
      <c r="C213" s="932">
        <v>0.94179999999999997</v>
      </c>
      <c r="D213" s="932">
        <v>0.93089999999999995</v>
      </c>
      <c r="E213" s="932">
        <v>0.93089999999999995</v>
      </c>
      <c r="F213" s="932">
        <v>0.93089999999999995</v>
      </c>
      <c r="G213" s="932">
        <v>0.93089999999999995</v>
      </c>
      <c r="H213" s="932">
        <v>0.93089999999999995</v>
      </c>
      <c r="I213" s="932">
        <v>0.78569999999999995</v>
      </c>
      <c r="J213" s="932">
        <v>0.78569999999999995</v>
      </c>
      <c r="K213" s="932">
        <v>0.78569999999999995</v>
      </c>
      <c r="L213" s="932">
        <v>0.78569999999999995</v>
      </c>
      <c r="M213" s="932">
        <v>0.78569999999999995</v>
      </c>
    </row>
    <row r="214" spans="1:13">
      <c r="A214" s="923">
        <v>3.7</v>
      </c>
      <c r="B214" s="932">
        <v>0.93840000000000001</v>
      </c>
      <c r="C214" s="932">
        <v>0.93840000000000001</v>
      </c>
      <c r="D214" s="932">
        <v>0.92689999999999995</v>
      </c>
      <c r="E214" s="932">
        <v>0.92689999999999995</v>
      </c>
      <c r="F214" s="932">
        <v>0.92689999999999995</v>
      </c>
      <c r="G214" s="932">
        <v>0.92689999999999995</v>
      </c>
      <c r="H214" s="932">
        <v>0.92689999999999995</v>
      </c>
      <c r="I214" s="932">
        <v>0.78110000000000002</v>
      </c>
      <c r="J214" s="932">
        <v>0.78110000000000002</v>
      </c>
      <c r="K214" s="932">
        <v>0.78110000000000002</v>
      </c>
      <c r="L214" s="932">
        <v>0.78110000000000002</v>
      </c>
      <c r="M214" s="932">
        <v>0.78110000000000002</v>
      </c>
    </row>
    <row r="215" spans="1:13">
      <c r="A215" s="923">
        <v>3.8</v>
      </c>
      <c r="B215" s="932">
        <v>0.93530000000000002</v>
      </c>
      <c r="C215" s="932">
        <v>0.93530000000000002</v>
      </c>
      <c r="D215" s="932">
        <v>0.92310000000000003</v>
      </c>
      <c r="E215" s="932">
        <v>0.92310000000000003</v>
      </c>
      <c r="F215" s="932">
        <v>0.92310000000000003</v>
      </c>
      <c r="G215" s="932">
        <v>0.92310000000000003</v>
      </c>
      <c r="H215" s="932">
        <v>0.92310000000000003</v>
      </c>
      <c r="I215" s="932">
        <v>0.77680000000000005</v>
      </c>
      <c r="J215" s="932">
        <v>0.77680000000000005</v>
      </c>
      <c r="K215" s="932">
        <v>0.77680000000000005</v>
      </c>
      <c r="L215" s="932">
        <v>0.77680000000000005</v>
      </c>
      <c r="M215" s="932">
        <v>0.77680000000000005</v>
      </c>
    </row>
    <row r="216" spans="1:13">
      <c r="A216" s="923">
        <v>3.9</v>
      </c>
      <c r="B216" s="932">
        <v>0.93240000000000001</v>
      </c>
      <c r="C216" s="932">
        <v>0.93240000000000001</v>
      </c>
      <c r="D216" s="932">
        <v>0.91959999999999997</v>
      </c>
      <c r="E216" s="932">
        <v>0.91959999999999997</v>
      </c>
      <c r="F216" s="932">
        <v>0.91959999999999997</v>
      </c>
      <c r="G216" s="932">
        <v>0.91959999999999997</v>
      </c>
      <c r="H216" s="932">
        <v>0.91959999999999997</v>
      </c>
      <c r="I216" s="932">
        <v>0.77270000000000005</v>
      </c>
      <c r="J216" s="932">
        <v>0.77270000000000005</v>
      </c>
      <c r="K216" s="932">
        <v>0.77270000000000005</v>
      </c>
      <c r="L216" s="932">
        <v>0.77270000000000005</v>
      </c>
      <c r="M216" s="932">
        <v>0.77270000000000005</v>
      </c>
    </row>
    <row r="217" spans="1:13">
      <c r="A217" s="923">
        <v>4</v>
      </c>
      <c r="B217" s="932">
        <v>0.92969999999999997</v>
      </c>
      <c r="C217" s="932">
        <v>0.92969999999999997</v>
      </c>
      <c r="D217" s="932">
        <v>0.9163</v>
      </c>
      <c r="E217" s="932">
        <v>0.9163</v>
      </c>
      <c r="F217" s="932">
        <v>0.9163</v>
      </c>
      <c r="G217" s="932">
        <v>0.9163</v>
      </c>
      <c r="H217" s="932">
        <v>0.9163</v>
      </c>
      <c r="I217" s="932">
        <v>0.76880000000000004</v>
      </c>
      <c r="J217" s="932">
        <v>0.76880000000000004</v>
      </c>
      <c r="K217" s="932">
        <v>0.76880000000000004</v>
      </c>
      <c r="L217" s="932">
        <v>0.76880000000000004</v>
      </c>
      <c r="M217" s="932">
        <v>0.76880000000000004</v>
      </c>
    </row>
    <row r="218" spans="1:13">
      <c r="A218" s="923">
        <v>4.0999999999999996</v>
      </c>
      <c r="B218" s="932">
        <v>0.92720000000000002</v>
      </c>
      <c r="C218" s="932">
        <v>0.92720000000000002</v>
      </c>
      <c r="D218" s="932">
        <v>0.91320000000000001</v>
      </c>
      <c r="E218" s="932">
        <v>0.91320000000000001</v>
      </c>
      <c r="F218" s="932">
        <v>0.91320000000000001</v>
      </c>
      <c r="G218" s="932">
        <v>0.91320000000000001</v>
      </c>
      <c r="H218" s="932">
        <v>0.91320000000000001</v>
      </c>
      <c r="I218" s="932">
        <v>0.7651</v>
      </c>
      <c r="J218" s="932">
        <v>0.7651</v>
      </c>
      <c r="K218" s="932">
        <v>0.7651</v>
      </c>
      <c r="L218" s="932">
        <v>0.7651</v>
      </c>
      <c r="M218" s="932">
        <v>0.7651</v>
      </c>
    </row>
    <row r="219" spans="1:13">
      <c r="A219" s="923">
        <v>4.2</v>
      </c>
      <c r="B219" s="932">
        <v>0.92479999999999996</v>
      </c>
      <c r="C219" s="932">
        <v>0.92479999999999996</v>
      </c>
      <c r="D219" s="932">
        <v>0.91020000000000001</v>
      </c>
      <c r="E219" s="932">
        <v>0.91020000000000001</v>
      </c>
      <c r="F219" s="932">
        <v>0.91020000000000001</v>
      </c>
      <c r="G219" s="932">
        <v>0.91020000000000001</v>
      </c>
      <c r="H219" s="932">
        <v>0.91020000000000001</v>
      </c>
      <c r="I219" s="932">
        <v>0.76149999999999995</v>
      </c>
      <c r="J219" s="932">
        <v>0.76149999999999995</v>
      </c>
      <c r="K219" s="932">
        <v>0.76149999999999995</v>
      </c>
      <c r="L219" s="932">
        <v>0.76149999999999995</v>
      </c>
      <c r="M219" s="932">
        <v>0.76149999999999995</v>
      </c>
    </row>
    <row r="220" spans="1:13">
      <c r="A220" s="923">
        <v>4.3</v>
      </c>
      <c r="B220" s="932">
        <v>0.92249999999999999</v>
      </c>
      <c r="C220" s="932">
        <v>0.92249999999999999</v>
      </c>
      <c r="D220" s="932">
        <v>0.9073</v>
      </c>
      <c r="E220" s="932">
        <v>0.9073</v>
      </c>
      <c r="F220" s="932">
        <v>0.9073</v>
      </c>
      <c r="G220" s="932">
        <v>0.9073</v>
      </c>
      <c r="H220" s="932">
        <v>0.9073</v>
      </c>
      <c r="I220" s="932">
        <v>0.75800000000000001</v>
      </c>
      <c r="J220" s="932">
        <v>0.75800000000000001</v>
      </c>
      <c r="K220" s="932">
        <v>0.75800000000000001</v>
      </c>
      <c r="L220" s="932">
        <v>0.75800000000000001</v>
      </c>
      <c r="M220" s="932">
        <v>0.75800000000000001</v>
      </c>
    </row>
    <row r="221" spans="1:13">
      <c r="A221" s="923">
        <v>4.4000000000000004</v>
      </c>
      <c r="B221" s="932">
        <v>0.92030000000000001</v>
      </c>
      <c r="C221" s="932">
        <v>0.92030000000000001</v>
      </c>
      <c r="D221" s="932">
        <v>0.90449999999999997</v>
      </c>
      <c r="E221" s="932">
        <v>0.90449999999999997</v>
      </c>
      <c r="F221" s="932">
        <v>0.90449999999999997</v>
      </c>
      <c r="G221" s="932">
        <v>0.90449999999999997</v>
      </c>
      <c r="H221" s="932">
        <v>0.90449999999999997</v>
      </c>
      <c r="I221" s="932">
        <v>0.75460000000000005</v>
      </c>
      <c r="J221" s="932">
        <v>0.75460000000000005</v>
      </c>
      <c r="K221" s="932">
        <v>0.75460000000000005</v>
      </c>
      <c r="L221" s="932">
        <v>0.75460000000000005</v>
      </c>
      <c r="M221" s="932">
        <v>0.75460000000000005</v>
      </c>
    </row>
    <row r="222" spans="1:13">
      <c r="A222" s="923">
        <v>4.5</v>
      </c>
      <c r="B222" s="932">
        <v>0.91810000000000003</v>
      </c>
      <c r="C222" s="932">
        <v>0.91810000000000003</v>
      </c>
      <c r="D222" s="932">
        <v>0.90180000000000005</v>
      </c>
      <c r="E222" s="932">
        <v>0.90180000000000005</v>
      </c>
      <c r="F222" s="932">
        <v>0.90180000000000005</v>
      </c>
      <c r="G222" s="932">
        <v>0.90180000000000005</v>
      </c>
      <c r="H222" s="932">
        <v>0.90180000000000005</v>
      </c>
      <c r="I222" s="932">
        <v>0.75129999999999997</v>
      </c>
      <c r="J222" s="932">
        <v>0.75129999999999997</v>
      </c>
      <c r="K222" s="932">
        <v>0.75129999999999997</v>
      </c>
      <c r="L222" s="932">
        <v>0.75129999999999997</v>
      </c>
      <c r="M222" s="932">
        <v>0.75129999999999997</v>
      </c>
    </row>
    <row r="223" spans="1:13">
      <c r="A223" s="923">
        <v>4.5999999999999996</v>
      </c>
      <c r="B223" s="932">
        <v>0.91600000000000004</v>
      </c>
      <c r="C223" s="932">
        <v>0.91600000000000004</v>
      </c>
      <c r="D223" s="932">
        <v>0.8992</v>
      </c>
      <c r="E223" s="932">
        <v>0.8992</v>
      </c>
      <c r="F223" s="932">
        <v>0.8992</v>
      </c>
      <c r="G223" s="932">
        <v>0.8992</v>
      </c>
      <c r="H223" s="932">
        <v>0.8992</v>
      </c>
      <c r="I223" s="932">
        <v>0.748</v>
      </c>
      <c r="J223" s="932">
        <v>0.748</v>
      </c>
      <c r="K223" s="932">
        <v>0.748</v>
      </c>
      <c r="L223" s="932">
        <v>0.748</v>
      </c>
      <c r="M223" s="932">
        <v>0.748</v>
      </c>
    </row>
    <row r="224" spans="1:13">
      <c r="A224" s="923">
        <v>4.7</v>
      </c>
      <c r="B224" s="932">
        <v>0.91390000000000005</v>
      </c>
      <c r="C224" s="932">
        <v>0.91390000000000005</v>
      </c>
      <c r="D224" s="932">
        <v>0.89659999999999995</v>
      </c>
      <c r="E224" s="932">
        <v>0.89659999999999995</v>
      </c>
      <c r="F224" s="932">
        <v>0.89659999999999995</v>
      </c>
      <c r="G224" s="932">
        <v>0.89659999999999995</v>
      </c>
      <c r="H224" s="932">
        <v>0.89659999999999995</v>
      </c>
      <c r="I224" s="932">
        <v>0.74480000000000002</v>
      </c>
      <c r="J224" s="932">
        <v>0.74480000000000002</v>
      </c>
      <c r="K224" s="932">
        <v>0.74480000000000002</v>
      </c>
      <c r="L224" s="932">
        <v>0.74480000000000002</v>
      </c>
      <c r="M224" s="932">
        <v>0.74480000000000002</v>
      </c>
    </row>
    <row r="225" spans="1:13">
      <c r="A225" s="923">
        <v>4.8</v>
      </c>
      <c r="B225" s="932">
        <v>0.91180000000000005</v>
      </c>
      <c r="C225" s="932">
        <v>0.91180000000000005</v>
      </c>
      <c r="D225" s="932">
        <v>0.89410000000000001</v>
      </c>
      <c r="E225" s="932">
        <v>0.89410000000000001</v>
      </c>
      <c r="F225" s="932">
        <v>0.89410000000000001</v>
      </c>
      <c r="G225" s="932">
        <v>0.89410000000000001</v>
      </c>
      <c r="H225" s="932">
        <v>0.89410000000000001</v>
      </c>
      <c r="I225" s="932">
        <v>0.74160000000000004</v>
      </c>
      <c r="J225" s="932">
        <v>0.74160000000000004</v>
      </c>
      <c r="K225" s="932">
        <v>0.74160000000000004</v>
      </c>
      <c r="L225" s="932">
        <v>0.74160000000000004</v>
      </c>
      <c r="M225" s="932">
        <v>0.74160000000000004</v>
      </c>
    </row>
    <row r="226" spans="1:13">
      <c r="A226" s="923">
        <v>4.9000000000000004</v>
      </c>
      <c r="B226" s="932">
        <v>0.90980000000000005</v>
      </c>
      <c r="C226" s="932">
        <v>0.90980000000000005</v>
      </c>
      <c r="D226" s="932">
        <v>0.89159999999999995</v>
      </c>
      <c r="E226" s="932">
        <v>0.89159999999999995</v>
      </c>
      <c r="F226" s="932">
        <v>0.89159999999999995</v>
      </c>
      <c r="G226" s="932">
        <v>0.89159999999999995</v>
      </c>
      <c r="H226" s="932">
        <v>0.89159999999999995</v>
      </c>
      <c r="I226" s="932">
        <v>0.73839999999999995</v>
      </c>
      <c r="J226" s="932">
        <v>0.73839999999999995</v>
      </c>
      <c r="K226" s="932">
        <v>0.73839999999999995</v>
      </c>
      <c r="L226" s="932">
        <v>0.73839999999999995</v>
      </c>
      <c r="M226" s="932">
        <v>0.73839999999999995</v>
      </c>
    </row>
    <row r="227" spans="1:13">
      <c r="A227" s="939">
        <v>5</v>
      </c>
      <c r="B227" s="932">
        <v>0.90780000000000005</v>
      </c>
      <c r="C227" s="932">
        <v>0.90780000000000005</v>
      </c>
      <c r="D227" s="932">
        <v>0.8891</v>
      </c>
      <c r="E227" s="932">
        <v>0.8891</v>
      </c>
      <c r="F227" s="932">
        <v>0.8891</v>
      </c>
      <c r="G227" s="932">
        <v>0.8891</v>
      </c>
      <c r="H227" s="932">
        <v>0.8891</v>
      </c>
      <c r="I227" s="932">
        <v>0.73529999999999995</v>
      </c>
      <c r="J227" s="932">
        <v>0.73529999999999995</v>
      </c>
      <c r="K227" s="932">
        <v>0.73529999999999995</v>
      </c>
      <c r="L227" s="932">
        <v>0.73529999999999995</v>
      </c>
      <c r="M227" s="932">
        <v>0.73529999999999995</v>
      </c>
    </row>
    <row r="228" spans="1:13">
      <c r="A228" s="939">
        <v>5.0999999999999996</v>
      </c>
      <c r="B228" s="932">
        <v>0.90580000000000005</v>
      </c>
      <c r="C228" s="932">
        <v>0.90580000000000005</v>
      </c>
      <c r="D228" s="932">
        <v>0.88670000000000004</v>
      </c>
      <c r="E228" s="932">
        <v>0.88670000000000004</v>
      </c>
      <c r="F228" s="932">
        <v>0.88670000000000004</v>
      </c>
      <c r="G228" s="932">
        <v>0.88670000000000004</v>
      </c>
      <c r="H228" s="932">
        <v>0.88670000000000004</v>
      </c>
      <c r="I228" s="932">
        <v>0.73219999999999996</v>
      </c>
      <c r="J228" s="932">
        <v>0.73219999999999996</v>
      </c>
      <c r="K228" s="932">
        <v>0.73219999999999996</v>
      </c>
      <c r="L228" s="932">
        <v>0.73219999999999996</v>
      </c>
      <c r="M228" s="932">
        <v>0.73219999999999996</v>
      </c>
    </row>
    <row r="229" spans="1:13">
      <c r="A229" s="939">
        <v>5.2</v>
      </c>
      <c r="B229" s="932">
        <v>0.90380000000000005</v>
      </c>
      <c r="C229" s="932">
        <v>0.90380000000000005</v>
      </c>
      <c r="D229" s="932">
        <v>0.88429999999999997</v>
      </c>
      <c r="E229" s="932">
        <v>0.88429999999999997</v>
      </c>
      <c r="F229" s="932">
        <v>0.88429999999999997</v>
      </c>
      <c r="G229" s="932">
        <v>0.88429999999999997</v>
      </c>
      <c r="H229" s="932">
        <v>0.88429999999999997</v>
      </c>
      <c r="I229" s="932">
        <v>0.72909999999999997</v>
      </c>
      <c r="J229" s="932">
        <v>0.72909999999999997</v>
      </c>
      <c r="K229" s="932">
        <v>0.72909999999999997</v>
      </c>
      <c r="L229" s="932">
        <v>0.72909999999999997</v>
      </c>
      <c r="M229" s="932">
        <v>0.72909999999999997</v>
      </c>
    </row>
    <row r="230" spans="1:13">
      <c r="A230" s="939">
        <v>5.3</v>
      </c>
      <c r="B230" s="932">
        <v>0.90190000000000003</v>
      </c>
      <c r="C230" s="932">
        <v>0.90190000000000003</v>
      </c>
      <c r="D230" s="932">
        <v>0.88190000000000002</v>
      </c>
      <c r="E230" s="932">
        <v>0.88190000000000002</v>
      </c>
      <c r="F230" s="932">
        <v>0.88190000000000002</v>
      </c>
      <c r="G230" s="932">
        <v>0.88190000000000002</v>
      </c>
      <c r="H230" s="932">
        <v>0.88190000000000002</v>
      </c>
      <c r="I230" s="932">
        <v>0.72609999999999997</v>
      </c>
      <c r="J230" s="932">
        <v>0.72609999999999997</v>
      </c>
      <c r="K230" s="932">
        <v>0.72609999999999997</v>
      </c>
      <c r="L230" s="932">
        <v>0.72609999999999997</v>
      </c>
      <c r="M230" s="932">
        <v>0.72609999999999997</v>
      </c>
    </row>
    <row r="231" spans="1:13">
      <c r="A231" s="939">
        <v>5.4</v>
      </c>
      <c r="B231" s="932">
        <v>0.9</v>
      </c>
      <c r="C231" s="932">
        <v>0.9</v>
      </c>
      <c r="D231" s="932">
        <v>0.87949999999999995</v>
      </c>
      <c r="E231" s="932">
        <v>0.87949999999999995</v>
      </c>
      <c r="F231" s="932">
        <v>0.87949999999999995</v>
      </c>
      <c r="G231" s="932">
        <v>0.87949999999999995</v>
      </c>
      <c r="H231" s="932">
        <v>0.87949999999999995</v>
      </c>
      <c r="I231" s="932">
        <v>0.72309999999999997</v>
      </c>
      <c r="J231" s="932">
        <v>0.72309999999999997</v>
      </c>
      <c r="K231" s="932">
        <v>0.72309999999999997</v>
      </c>
      <c r="L231" s="932">
        <v>0.72309999999999997</v>
      </c>
      <c r="M231" s="932">
        <v>0.72309999999999997</v>
      </c>
    </row>
    <row r="232" spans="1:13">
      <c r="A232" s="939">
        <v>5.5</v>
      </c>
      <c r="B232" s="932">
        <v>0.89810000000000001</v>
      </c>
      <c r="C232" s="932">
        <v>0.89810000000000001</v>
      </c>
      <c r="D232" s="932">
        <v>0.87719999999999998</v>
      </c>
      <c r="E232" s="932">
        <v>0.87719999999999998</v>
      </c>
      <c r="F232" s="932">
        <v>0.87719999999999998</v>
      </c>
      <c r="G232" s="932">
        <v>0.87719999999999998</v>
      </c>
      <c r="H232" s="932">
        <v>0.87719999999999998</v>
      </c>
      <c r="I232" s="932">
        <v>0.72009999999999996</v>
      </c>
      <c r="J232" s="932">
        <v>0.72009999999999996</v>
      </c>
      <c r="K232" s="932">
        <v>0.72009999999999996</v>
      </c>
      <c r="L232" s="932">
        <v>0.72009999999999996</v>
      </c>
      <c r="M232" s="932">
        <v>0.72009999999999996</v>
      </c>
    </row>
    <row r="233" spans="1:13">
      <c r="A233" s="939">
        <v>5.6</v>
      </c>
      <c r="B233" s="932">
        <v>0.8962</v>
      </c>
      <c r="C233" s="932">
        <v>0.8962</v>
      </c>
      <c r="D233" s="932">
        <v>0.87490000000000001</v>
      </c>
      <c r="E233" s="932">
        <v>0.87490000000000001</v>
      </c>
      <c r="F233" s="932">
        <v>0.87490000000000001</v>
      </c>
      <c r="G233" s="932">
        <v>0.87490000000000001</v>
      </c>
      <c r="H233" s="932">
        <v>0.87490000000000001</v>
      </c>
      <c r="I233" s="932">
        <v>0.71709999999999996</v>
      </c>
      <c r="J233" s="932">
        <v>0.71709999999999996</v>
      </c>
      <c r="K233" s="932">
        <v>0.71709999999999996</v>
      </c>
      <c r="L233" s="932">
        <v>0.71709999999999996</v>
      </c>
      <c r="M233" s="932">
        <v>0.71709999999999996</v>
      </c>
    </row>
    <row r="234" spans="1:13">
      <c r="A234" s="939">
        <v>5.7</v>
      </c>
      <c r="B234" s="932">
        <v>0.89429999999999998</v>
      </c>
      <c r="C234" s="932">
        <v>0.89429999999999998</v>
      </c>
      <c r="D234" s="932">
        <v>0.87260000000000004</v>
      </c>
      <c r="E234" s="932">
        <v>0.87260000000000004</v>
      </c>
      <c r="F234" s="932">
        <v>0.87260000000000004</v>
      </c>
      <c r="G234" s="932">
        <v>0.87260000000000004</v>
      </c>
      <c r="H234" s="932">
        <v>0.87260000000000004</v>
      </c>
      <c r="I234" s="932">
        <v>0.71419999999999995</v>
      </c>
      <c r="J234" s="932">
        <v>0.71419999999999995</v>
      </c>
      <c r="K234" s="932">
        <v>0.71419999999999995</v>
      </c>
      <c r="L234" s="932">
        <v>0.71419999999999995</v>
      </c>
      <c r="M234" s="932">
        <v>0.71419999999999995</v>
      </c>
    </row>
    <row r="235" spans="1:13">
      <c r="A235" s="939">
        <v>5.8</v>
      </c>
      <c r="B235" s="932">
        <v>0.89249999999999996</v>
      </c>
      <c r="C235" s="932">
        <v>0.89249999999999996</v>
      </c>
      <c r="D235" s="932">
        <v>0.87029999999999996</v>
      </c>
      <c r="E235" s="932">
        <v>0.87029999999999996</v>
      </c>
      <c r="F235" s="932">
        <v>0.87029999999999996</v>
      </c>
      <c r="G235" s="932">
        <v>0.87029999999999996</v>
      </c>
      <c r="H235" s="932">
        <v>0.87029999999999996</v>
      </c>
      <c r="I235" s="932">
        <v>0.71130000000000004</v>
      </c>
      <c r="J235" s="932">
        <v>0.71130000000000004</v>
      </c>
      <c r="K235" s="932">
        <v>0.71130000000000004</v>
      </c>
      <c r="L235" s="932">
        <v>0.71130000000000004</v>
      </c>
      <c r="M235" s="932">
        <v>0.71130000000000004</v>
      </c>
    </row>
    <row r="236" spans="1:13">
      <c r="A236" s="939">
        <v>5.9</v>
      </c>
      <c r="B236" s="932">
        <v>0.89070000000000005</v>
      </c>
      <c r="C236" s="932">
        <v>0.89070000000000005</v>
      </c>
      <c r="D236" s="932">
        <v>0.86799999999999999</v>
      </c>
      <c r="E236" s="932">
        <v>0.86799999999999999</v>
      </c>
      <c r="F236" s="932">
        <v>0.86799999999999999</v>
      </c>
      <c r="G236" s="932">
        <v>0.86799999999999999</v>
      </c>
      <c r="H236" s="932">
        <v>0.86799999999999999</v>
      </c>
      <c r="I236" s="932">
        <v>0.70840000000000003</v>
      </c>
      <c r="J236" s="932">
        <v>0.70840000000000003</v>
      </c>
      <c r="K236" s="932">
        <v>0.70840000000000003</v>
      </c>
      <c r="L236" s="932">
        <v>0.70840000000000003</v>
      </c>
      <c r="M236" s="932">
        <v>0.70840000000000003</v>
      </c>
    </row>
    <row r="237" spans="1:13">
      <c r="A237" s="939">
        <v>6</v>
      </c>
      <c r="B237" s="932">
        <v>0.88890000000000002</v>
      </c>
      <c r="C237" s="932">
        <v>0.88890000000000002</v>
      </c>
      <c r="D237" s="932">
        <v>0.86580000000000001</v>
      </c>
      <c r="E237" s="932">
        <v>0.86580000000000001</v>
      </c>
      <c r="F237" s="932">
        <v>0.86580000000000001</v>
      </c>
      <c r="G237" s="932">
        <v>0.86580000000000001</v>
      </c>
      <c r="H237" s="932">
        <v>0.86580000000000001</v>
      </c>
      <c r="I237" s="932">
        <v>0.70550000000000002</v>
      </c>
      <c r="J237" s="932">
        <v>0.70550000000000002</v>
      </c>
      <c r="K237" s="932">
        <v>0.70550000000000002</v>
      </c>
      <c r="L237" s="932">
        <v>0.70550000000000002</v>
      </c>
      <c r="M237" s="932">
        <v>0.70550000000000002</v>
      </c>
    </row>
    <row r="238" spans="1:13">
      <c r="A238" s="939">
        <v>6.1</v>
      </c>
      <c r="B238" s="932">
        <v>0.8871</v>
      </c>
      <c r="C238" s="932">
        <v>0.8871</v>
      </c>
      <c r="D238" s="932">
        <v>0.86360000000000003</v>
      </c>
      <c r="E238" s="932">
        <v>0.86360000000000003</v>
      </c>
      <c r="F238" s="932">
        <v>0.86360000000000003</v>
      </c>
      <c r="G238" s="932">
        <v>0.86360000000000003</v>
      </c>
      <c r="H238" s="932">
        <v>0.86360000000000003</v>
      </c>
      <c r="I238" s="932">
        <v>0.70269999999999999</v>
      </c>
      <c r="J238" s="932">
        <v>0.70269999999999999</v>
      </c>
      <c r="K238" s="932">
        <v>0.70269999999999999</v>
      </c>
      <c r="L238" s="932">
        <v>0.70269999999999999</v>
      </c>
      <c r="M238" s="932">
        <v>0.70269999999999999</v>
      </c>
    </row>
    <row r="239" spans="1:13">
      <c r="A239" s="939">
        <v>6.2</v>
      </c>
      <c r="B239" s="932">
        <v>0.88529999999999998</v>
      </c>
      <c r="C239" s="932">
        <v>0.88529999999999998</v>
      </c>
      <c r="D239" s="932">
        <v>0.86140000000000005</v>
      </c>
      <c r="E239" s="932">
        <v>0.86140000000000005</v>
      </c>
      <c r="F239" s="932">
        <v>0.86140000000000005</v>
      </c>
      <c r="G239" s="932">
        <v>0.86140000000000005</v>
      </c>
      <c r="H239" s="932">
        <v>0.86140000000000005</v>
      </c>
      <c r="I239" s="932">
        <v>0.69989999999999997</v>
      </c>
      <c r="J239" s="932">
        <v>0.69989999999999997</v>
      </c>
      <c r="K239" s="932">
        <v>0.69989999999999997</v>
      </c>
      <c r="L239" s="932">
        <v>0.69989999999999997</v>
      </c>
      <c r="M239" s="932">
        <v>0.69989999999999997</v>
      </c>
    </row>
    <row r="240" spans="1:13">
      <c r="A240" s="939">
        <v>6.3</v>
      </c>
      <c r="B240" s="932">
        <v>0.88349999999999995</v>
      </c>
      <c r="C240" s="932">
        <v>0.88349999999999995</v>
      </c>
      <c r="D240" s="932">
        <v>0.85919999999999996</v>
      </c>
      <c r="E240" s="932">
        <v>0.85919999999999996</v>
      </c>
      <c r="F240" s="932">
        <v>0.85919999999999996</v>
      </c>
      <c r="G240" s="932">
        <v>0.85919999999999996</v>
      </c>
      <c r="H240" s="932">
        <v>0.85919999999999996</v>
      </c>
      <c r="I240" s="932">
        <v>0.69710000000000005</v>
      </c>
      <c r="J240" s="932">
        <v>0.69710000000000005</v>
      </c>
      <c r="K240" s="932">
        <v>0.69710000000000005</v>
      </c>
      <c r="L240" s="932">
        <v>0.69710000000000005</v>
      </c>
      <c r="M240" s="932">
        <v>0.69710000000000005</v>
      </c>
    </row>
    <row r="241" spans="1:13">
      <c r="A241" s="939">
        <v>6.4</v>
      </c>
      <c r="B241" s="932">
        <v>0.88180000000000003</v>
      </c>
      <c r="C241" s="932">
        <v>0.88180000000000003</v>
      </c>
      <c r="D241" s="932">
        <v>0.85699999999999998</v>
      </c>
      <c r="E241" s="932">
        <v>0.85699999999999998</v>
      </c>
      <c r="F241" s="932">
        <v>0.85699999999999998</v>
      </c>
      <c r="G241" s="932">
        <v>0.85699999999999998</v>
      </c>
      <c r="H241" s="932">
        <v>0.85699999999999998</v>
      </c>
      <c r="I241" s="932">
        <v>0.69430000000000003</v>
      </c>
      <c r="J241" s="932">
        <v>0.69430000000000003</v>
      </c>
      <c r="K241" s="932">
        <v>0.69430000000000003</v>
      </c>
      <c r="L241" s="932">
        <v>0.69430000000000003</v>
      </c>
      <c r="M241" s="932">
        <v>0.69430000000000003</v>
      </c>
    </row>
    <row r="242" spans="1:13">
      <c r="A242" s="939">
        <v>6.5</v>
      </c>
      <c r="B242" s="932">
        <v>0.88009999999999999</v>
      </c>
      <c r="C242" s="932">
        <v>0.88009999999999999</v>
      </c>
      <c r="D242" s="932">
        <v>0.85489999999999999</v>
      </c>
      <c r="E242" s="932">
        <v>0.85489999999999999</v>
      </c>
      <c r="F242" s="932">
        <v>0.85489999999999999</v>
      </c>
      <c r="G242" s="932">
        <v>0.85489999999999999</v>
      </c>
      <c r="H242" s="932">
        <v>0.85489999999999999</v>
      </c>
      <c r="I242" s="932">
        <v>0.69159999999999999</v>
      </c>
      <c r="J242" s="932">
        <v>0.69159999999999999</v>
      </c>
      <c r="K242" s="932">
        <v>0.69159999999999999</v>
      </c>
      <c r="L242" s="932">
        <v>0.69159999999999999</v>
      </c>
      <c r="M242" s="932">
        <v>0.69159999999999999</v>
      </c>
    </row>
    <row r="243" spans="1:13">
      <c r="A243" s="939">
        <v>6.6</v>
      </c>
      <c r="B243" s="932">
        <v>0.87839999999999996</v>
      </c>
      <c r="C243" s="932">
        <v>0.87839999999999996</v>
      </c>
      <c r="D243" s="932">
        <v>0.8528</v>
      </c>
      <c r="E243" s="932">
        <v>0.8528</v>
      </c>
      <c r="F243" s="932">
        <v>0.8528</v>
      </c>
      <c r="G243" s="932">
        <v>0.8528</v>
      </c>
      <c r="H243" s="932">
        <v>0.8528</v>
      </c>
      <c r="I243" s="932">
        <v>0.68889999999999996</v>
      </c>
      <c r="J243" s="932">
        <v>0.68889999999999996</v>
      </c>
      <c r="K243" s="932">
        <v>0.68889999999999996</v>
      </c>
      <c r="L243" s="932">
        <v>0.68889999999999996</v>
      </c>
      <c r="M243" s="932">
        <v>0.68889999999999996</v>
      </c>
    </row>
    <row r="244" spans="1:13">
      <c r="A244" s="939">
        <v>6.7</v>
      </c>
      <c r="B244" s="932">
        <v>0.87670000000000003</v>
      </c>
      <c r="C244" s="932">
        <v>0.87670000000000003</v>
      </c>
      <c r="D244" s="932">
        <v>0.85070000000000001</v>
      </c>
      <c r="E244" s="932">
        <v>0.85070000000000001</v>
      </c>
      <c r="F244" s="932">
        <v>0.85070000000000001</v>
      </c>
      <c r="G244" s="932">
        <v>0.85070000000000001</v>
      </c>
      <c r="H244" s="932">
        <v>0.85070000000000001</v>
      </c>
      <c r="I244" s="932">
        <v>0.68620000000000003</v>
      </c>
      <c r="J244" s="932">
        <v>0.68620000000000003</v>
      </c>
      <c r="K244" s="932">
        <v>0.68620000000000003</v>
      </c>
      <c r="L244" s="932">
        <v>0.68620000000000003</v>
      </c>
      <c r="M244" s="932">
        <v>0.68620000000000003</v>
      </c>
    </row>
    <row r="245" spans="1:13">
      <c r="A245" s="939">
        <v>6.8</v>
      </c>
      <c r="B245" s="932">
        <v>0.875</v>
      </c>
      <c r="C245" s="932">
        <v>0.875</v>
      </c>
      <c r="D245" s="932">
        <v>0.84860000000000002</v>
      </c>
      <c r="E245" s="932">
        <v>0.84860000000000002</v>
      </c>
      <c r="F245" s="932">
        <v>0.84860000000000002</v>
      </c>
      <c r="G245" s="932">
        <v>0.84860000000000002</v>
      </c>
      <c r="H245" s="932">
        <v>0.84860000000000002</v>
      </c>
      <c r="I245" s="932">
        <v>0.6835</v>
      </c>
      <c r="J245" s="932">
        <v>0.6835</v>
      </c>
      <c r="K245" s="932">
        <v>0.6835</v>
      </c>
      <c r="L245" s="932">
        <v>0.6835</v>
      </c>
      <c r="M245" s="932">
        <v>0.6835</v>
      </c>
    </row>
    <row r="246" spans="1:13">
      <c r="A246" s="939">
        <v>6.9</v>
      </c>
      <c r="B246" s="932">
        <v>0.87329999999999997</v>
      </c>
      <c r="C246" s="932">
        <v>0.87329999999999997</v>
      </c>
      <c r="D246" s="932">
        <v>0.84650000000000003</v>
      </c>
      <c r="E246" s="932">
        <v>0.84650000000000003</v>
      </c>
      <c r="F246" s="932">
        <v>0.84650000000000003</v>
      </c>
      <c r="G246" s="932">
        <v>0.84650000000000003</v>
      </c>
      <c r="H246" s="932">
        <v>0.84650000000000003</v>
      </c>
      <c r="I246" s="932">
        <v>0.68089999999999995</v>
      </c>
      <c r="J246" s="932">
        <v>0.68089999999999995</v>
      </c>
      <c r="K246" s="932">
        <v>0.68089999999999995</v>
      </c>
      <c r="L246" s="932">
        <v>0.68089999999999995</v>
      </c>
      <c r="M246" s="932">
        <v>0.68089999999999995</v>
      </c>
    </row>
    <row r="247" spans="1:13">
      <c r="A247" s="939">
        <v>7</v>
      </c>
      <c r="B247" s="932">
        <v>0.87170000000000003</v>
      </c>
      <c r="C247" s="932">
        <v>0.87170000000000003</v>
      </c>
      <c r="D247" s="932">
        <v>0.84450000000000003</v>
      </c>
      <c r="E247" s="932">
        <v>0.84450000000000003</v>
      </c>
      <c r="F247" s="932">
        <v>0.84450000000000003</v>
      </c>
      <c r="G247" s="932">
        <v>0.84450000000000003</v>
      </c>
      <c r="H247" s="932">
        <v>0.84450000000000003</v>
      </c>
      <c r="I247" s="932">
        <v>0.67830000000000001</v>
      </c>
      <c r="J247" s="932">
        <v>0.67830000000000001</v>
      </c>
      <c r="K247" s="932">
        <v>0.67830000000000001</v>
      </c>
      <c r="L247" s="932">
        <v>0.67830000000000001</v>
      </c>
      <c r="M247" s="932">
        <v>0.67830000000000001</v>
      </c>
    </row>
    <row r="248" spans="1:13">
      <c r="A248" s="939">
        <v>7.1</v>
      </c>
      <c r="B248" s="932">
        <v>0.87009999999999998</v>
      </c>
      <c r="C248" s="932">
        <v>0.87009999999999998</v>
      </c>
      <c r="D248" s="932">
        <v>0.84250000000000003</v>
      </c>
      <c r="E248" s="932">
        <v>0.84250000000000003</v>
      </c>
      <c r="F248" s="932">
        <v>0.84250000000000003</v>
      </c>
      <c r="G248" s="932">
        <v>0.84250000000000003</v>
      </c>
      <c r="H248" s="932">
        <v>0.84250000000000003</v>
      </c>
      <c r="I248" s="932">
        <v>0.67569999999999997</v>
      </c>
      <c r="J248" s="932">
        <v>0.67569999999999997</v>
      </c>
      <c r="K248" s="932">
        <v>0.67569999999999997</v>
      </c>
      <c r="L248" s="932">
        <v>0.67569999999999997</v>
      </c>
      <c r="M248" s="932">
        <v>0.67569999999999997</v>
      </c>
    </row>
    <row r="249" spans="1:13">
      <c r="A249" s="939">
        <v>7.2</v>
      </c>
      <c r="B249" s="932">
        <v>0.86850000000000005</v>
      </c>
      <c r="C249" s="932">
        <v>0.86850000000000005</v>
      </c>
      <c r="D249" s="932">
        <v>0.84050000000000002</v>
      </c>
      <c r="E249" s="932">
        <v>0.84050000000000002</v>
      </c>
      <c r="F249" s="932">
        <v>0.84050000000000002</v>
      </c>
      <c r="G249" s="932">
        <v>0.84050000000000002</v>
      </c>
      <c r="H249" s="932">
        <v>0.84050000000000002</v>
      </c>
      <c r="I249" s="932">
        <v>0.67310000000000003</v>
      </c>
      <c r="J249" s="932">
        <v>0.67310000000000003</v>
      </c>
      <c r="K249" s="932">
        <v>0.67310000000000003</v>
      </c>
      <c r="L249" s="932">
        <v>0.67310000000000003</v>
      </c>
      <c r="M249" s="932">
        <v>0.67310000000000003</v>
      </c>
    </row>
    <row r="250" spans="1:13">
      <c r="A250" s="939">
        <v>7.3</v>
      </c>
      <c r="B250" s="932">
        <v>0.8669</v>
      </c>
      <c r="C250" s="932">
        <v>0.8669</v>
      </c>
      <c r="D250" s="932">
        <v>0.83850000000000002</v>
      </c>
      <c r="E250" s="932">
        <v>0.83850000000000002</v>
      </c>
      <c r="F250" s="932">
        <v>0.83850000000000002</v>
      </c>
      <c r="G250" s="932">
        <v>0.83850000000000002</v>
      </c>
      <c r="H250" s="932">
        <v>0.83850000000000002</v>
      </c>
      <c r="I250" s="932">
        <v>0.67059999999999997</v>
      </c>
      <c r="J250" s="932">
        <v>0.67059999999999997</v>
      </c>
      <c r="K250" s="932">
        <v>0.67059999999999997</v>
      </c>
      <c r="L250" s="932">
        <v>0.67059999999999997</v>
      </c>
      <c r="M250" s="932">
        <v>0.67059999999999997</v>
      </c>
    </row>
    <row r="251" spans="1:13">
      <c r="A251" s="939">
        <v>7.4</v>
      </c>
      <c r="B251" s="932">
        <v>0.86529999999999996</v>
      </c>
      <c r="C251" s="932">
        <v>0.86529999999999996</v>
      </c>
      <c r="D251" s="932">
        <v>0.83650000000000002</v>
      </c>
      <c r="E251" s="932">
        <v>0.83650000000000002</v>
      </c>
      <c r="F251" s="932">
        <v>0.83650000000000002</v>
      </c>
      <c r="G251" s="932">
        <v>0.83650000000000002</v>
      </c>
      <c r="H251" s="932">
        <v>0.83650000000000002</v>
      </c>
      <c r="I251" s="932">
        <v>0.66810000000000003</v>
      </c>
      <c r="J251" s="932">
        <v>0.66810000000000003</v>
      </c>
      <c r="K251" s="932">
        <v>0.66810000000000003</v>
      </c>
      <c r="L251" s="932">
        <v>0.66810000000000003</v>
      </c>
      <c r="M251" s="932">
        <v>0.66810000000000003</v>
      </c>
    </row>
    <row r="252" spans="1:13">
      <c r="A252" s="939">
        <v>7.5</v>
      </c>
      <c r="B252" s="932">
        <v>0.86370000000000002</v>
      </c>
      <c r="C252" s="932">
        <v>0.86370000000000002</v>
      </c>
      <c r="D252" s="932">
        <v>0.83460000000000001</v>
      </c>
      <c r="E252" s="932">
        <v>0.83460000000000001</v>
      </c>
      <c r="F252" s="932">
        <v>0.83460000000000001</v>
      </c>
      <c r="G252" s="932">
        <v>0.83460000000000001</v>
      </c>
      <c r="H252" s="932">
        <v>0.83460000000000001</v>
      </c>
      <c r="I252" s="932">
        <v>0.66559999999999997</v>
      </c>
      <c r="J252" s="932">
        <v>0.66559999999999997</v>
      </c>
      <c r="K252" s="932">
        <v>0.66559999999999997</v>
      </c>
      <c r="L252" s="932">
        <v>0.66559999999999997</v>
      </c>
      <c r="M252" s="932">
        <v>0.66559999999999997</v>
      </c>
    </row>
    <row r="253" spans="1:13">
      <c r="A253" s="939">
        <v>7.6</v>
      </c>
      <c r="B253" s="932">
        <v>0.86219999999999997</v>
      </c>
      <c r="C253" s="932">
        <v>0.86219999999999997</v>
      </c>
      <c r="D253" s="932">
        <v>0.8327</v>
      </c>
      <c r="E253" s="932">
        <v>0.8327</v>
      </c>
      <c r="F253" s="932">
        <v>0.8327</v>
      </c>
      <c r="G253" s="932">
        <v>0.8327</v>
      </c>
      <c r="H253" s="932">
        <v>0.8327</v>
      </c>
      <c r="I253" s="932">
        <v>0.66310000000000002</v>
      </c>
      <c r="J253" s="932">
        <v>0.66310000000000002</v>
      </c>
      <c r="K253" s="932">
        <v>0.66310000000000002</v>
      </c>
      <c r="L253" s="932">
        <v>0.66310000000000002</v>
      </c>
      <c r="M253" s="932">
        <v>0.66310000000000002</v>
      </c>
    </row>
    <row r="254" spans="1:13">
      <c r="A254" s="939">
        <v>7.7</v>
      </c>
      <c r="B254" s="932">
        <v>0.86070000000000002</v>
      </c>
      <c r="C254" s="932">
        <v>0.86070000000000002</v>
      </c>
      <c r="D254" s="932">
        <v>0.83079999999999998</v>
      </c>
      <c r="E254" s="932">
        <v>0.83079999999999998</v>
      </c>
      <c r="F254" s="932">
        <v>0.83079999999999998</v>
      </c>
      <c r="G254" s="932">
        <v>0.83079999999999998</v>
      </c>
      <c r="H254" s="932">
        <v>0.83079999999999998</v>
      </c>
      <c r="I254" s="932">
        <v>0.66069999999999995</v>
      </c>
      <c r="J254" s="932">
        <v>0.66069999999999995</v>
      </c>
      <c r="K254" s="932">
        <v>0.66069999999999995</v>
      </c>
      <c r="L254" s="932">
        <v>0.66069999999999995</v>
      </c>
      <c r="M254" s="932">
        <v>0.66069999999999995</v>
      </c>
    </row>
    <row r="255" spans="1:13">
      <c r="A255" s="939">
        <v>7.8</v>
      </c>
      <c r="B255" s="932">
        <v>0.85919999999999996</v>
      </c>
      <c r="C255" s="932">
        <v>0.85919999999999996</v>
      </c>
      <c r="D255" s="932">
        <v>0.82889999999999997</v>
      </c>
      <c r="E255" s="932">
        <v>0.82889999999999997</v>
      </c>
      <c r="F255" s="932">
        <v>0.82889999999999997</v>
      </c>
      <c r="G255" s="932">
        <v>0.82889999999999997</v>
      </c>
      <c r="H255" s="932">
        <v>0.82889999999999997</v>
      </c>
      <c r="I255" s="932">
        <v>0.6583</v>
      </c>
      <c r="J255" s="932">
        <v>0.6583</v>
      </c>
      <c r="K255" s="932">
        <v>0.6583</v>
      </c>
      <c r="L255" s="932">
        <v>0.6583</v>
      </c>
      <c r="M255" s="932">
        <v>0.6583</v>
      </c>
    </row>
    <row r="256" spans="1:13">
      <c r="A256" s="939">
        <v>7.9</v>
      </c>
      <c r="B256" s="932">
        <v>0.85770000000000002</v>
      </c>
      <c r="C256" s="932">
        <v>0.85770000000000002</v>
      </c>
      <c r="D256" s="932">
        <v>0.82699999999999996</v>
      </c>
      <c r="E256" s="932">
        <v>0.82699999999999996</v>
      </c>
      <c r="F256" s="932">
        <v>0.82699999999999996</v>
      </c>
      <c r="G256" s="932">
        <v>0.82699999999999996</v>
      </c>
      <c r="H256" s="932">
        <v>0.82699999999999996</v>
      </c>
      <c r="I256" s="932">
        <v>0.65590000000000004</v>
      </c>
      <c r="J256" s="932">
        <v>0.65590000000000004</v>
      </c>
      <c r="K256" s="932">
        <v>0.65590000000000004</v>
      </c>
      <c r="L256" s="932">
        <v>0.65590000000000004</v>
      </c>
      <c r="M256" s="932">
        <v>0.65590000000000004</v>
      </c>
    </row>
    <row r="257" spans="1:13">
      <c r="A257" s="923">
        <v>8</v>
      </c>
      <c r="B257" s="932">
        <v>0.85619999999999996</v>
      </c>
      <c r="C257" s="932">
        <v>0.85619999999999996</v>
      </c>
      <c r="D257" s="932">
        <v>0.82509999999999994</v>
      </c>
      <c r="E257" s="932">
        <v>0.82509999999999994</v>
      </c>
      <c r="F257" s="932">
        <v>0.82509999999999994</v>
      </c>
      <c r="G257" s="932">
        <v>0.82509999999999994</v>
      </c>
      <c r="H257" s="932">
        <v>0.82509999999999994</v>
      </c>
      <c r="I257" s="932">
        <v>0.65349999999999997</v>
      </c>
      <c r="J257" s="932">
        <v>0.65349999999999997</v>
      </c>
      <c r="K257" s="932">
        <v>0.65349999999999997</v>
      </c>
      <c r="L257" s="932">
        <v>0.65349999999999997</v>
      </c>
      <c r="M257" s="932">
        <v>0.65349999999999997</v>
      </c>
    </row>
    <row r="258" spans="1:13">
      <c r="A258" s="923">
        <v>8.1</v>
      </c>
      <c r="B258" s="932">
        <v>0.85470000000000002</v>
      </c>
      <c r="C258" s="932">
        <v>0.85470000000000002</v>
      </c>
      <c r="D258" s="932">
        <v>0.82330000000000003</v>
      </c>
      <c r="E258" s="932">
        <v>0.82330000000000003</v>
      </c>
      <c r="F258" s="932">
        <v>0.82330000000000003</v>
      </c>
      <c r="G258" s="932">
        <v>0.82330000000000003</v>
      </c>
      <c r="H258" s="932">
        <v>0.82330000000000003</v>
      </c>
      <c r="I258" s="932">
        <v>0.6512</v>
      </c>
      <c r="J258" s="932">
        <v>0.6512</v>
      </c>
      <c r="K258" s="932">
        <v>0.6512</v>
      </c>
      <c r="L258" s="932">
        <v>0.6512</v>
      </c>
      <c r="M258" s="932">
        <v>0.6512</v>
      </c>
    </row>
    <row r="259" spans="1:13">
      <c r="A259" s="923">
        <v>8.1999999999999993</v>
      </c>
      <c r="B259" s="932">
        <v>0.85329999999999995</v>
      </c>
      <c r="C259" s="932">
        <v>0.85329999999999995</v>
      </c>
      <c r="D259" s="932">
        <v>0.82150000000000001</v>
      </c>
      <c r="E259" s="932">
        <v>0.82150000000000001</v>
      </c>
      <c r="F259" s="932">
        <v>0.82150000000000001</v>
      </c>
      <c r="G259" s="932">
        <v>0.82150000000000001</v>
      </c>
      <c r="H259" s="932">
        <v>0.82150000000000001</v>
      </c>
      <c r="I259" s="932">
        <v>0.64890000000000003</v>
      </c>
      <c r="J259" s="932">
        <v>0.64890000000000003</v>
      </c>
      <c r="K259" s="932">
        <v>0.64890000000000003</v>
      </c>
      <c r="L259" s="932">
        <v>0.64890000000000003</v>
      </c>
      <c r="M259" s="932">
        <v>0.64890000000000003</v>
      </c>
    </row>
    <row r="260" spans="1:13">
      <c r="A260" s="923">
        <v>8.3000000000000007</v>
      </c>
      <c r="B260" s="932">
        <v>0.85189999999999999</v>
      </c>
      <c r="C260" s="932">
        <v>0.85189999999999999</v>
      </c>
      <c r="D260" s="932">
        <v>0.81969999999999998</v>
      </c>
      <c r="E260" s="932">
        <v>0.81969999999999998</v>
      </c>
      <c r="F260" s="932">
        <v>0.81969999999999998</v>
      </c>
      <c r="G260" s="932">
        <v>0.81969999999999998</v>
      </c>
      <c r="H260" s="932">
        <v>0.81969999999999998</v>
      </c>
      <c r="I260" s="932">
        <v>0.64659999999999995</v>
      </c>
      <c r="J260" s="932">
        <v>0.64659999999999995</v>
      </c>
      <c r="K260" s="932">
        <v>0.64659999999999995</v>
      </c>
      <c r="L260" s="932">
        <v>0.64659999999999995</v>
      </c>
      <c r="M260" s="932">
        <v>0.64659999999999995</v>
      </c>
    </row>
    <row r="261" spans="1:13">
      <c r="A261" s="923">
        <v>8.4</v>
      </c>
      <c r="B261" s="932">
        <v>0.85050000000000003</v>
      </c>
      <c r="C261" s="932">
        <v>0.85050000000000003</v>
      </c>
      <c r="D261" s="932">
        <v>0.81789999999999996</v>
      </c>
      <c r="E261" s="932">
        <v>0.81789999999999996</v>
      </c>
      <c r="F261" s="932">
        <v>0.81789999999999996</v>
      </c>
      <c r="G261" s="932">
        <v>0.81789999999999996</v>
      </c>
      <c r="H261" s="932">
        <v>0.81789999999999996</v>
      </c>
      <c r="I261" s="932">
        <v>0.64429999999999998</v>
      </c>
      <c r="J261" s="932">
        <v>0.64429999999999998</v>
      </c>
      <c r="K261" s="932">
        <v>0.64429999999999998</v>
      </c>
      <c r="L261" s="932">
        <v>0.64429999999999998</v>
      </c>
      <c r="M261" s="932">
        <v>0.64429999999999998</v>
      </c>
    </row>
    <row r="262" spans="1:13">
      <c r="A262" s="923">
        <v>8.5</v>
      </c>
      <c r="B262" s="932">
        <v>0.84909999999999997</v>
      </c>
      <c r="C262" s="932">
        <v>0.84909999999999997</v>
      </c>
      <c r="D262" s="932">
        <v>0.81610000000000005</v>
      </c>
      <c r="E262" s="932">
        <v>0.81610000000000005</v>
      </c>
      <c r="F262" s="932">
        <v>0.81610000000000005</v>
      </c>
      <c r="G262" s="932">
        <v>0.81610000000000005</v>
      </c>
      <c r="H262" s="932">
        <v>0.81610000000000005</v>
      </c>
      <c r="I262" s="932">
        <v>0.6421</v>
      </c>
      <c r="J262" s="932">
        <v>0.6421</v>
      </c>
      <c r="K262" s="932">
        <v>0.6421</v>
      </c>
      <c r="L262" s="932">
        <v>0.6421</v>
      </c>
      <c r="M262" s="932">
        <v>0.6421</v>
      </c>
    </row>
    <row r="263" spans="1:13">
      <c r="A263" s="939">
        <v>8.6</v>
      </c>
      <c r="B263" s="932">
        <v>0.84770000000000001</v>
      </c>
      <c r="C263" s="932">
        <v>0.84770000000000001</v>
      </c>
      <c r="D263" s="932">
        <v>0.81440000000000001</v>
      </c>
      <c r="E263" s="932">
        <v>0.81440000000000001</v>
      </c>
      <c r="F263" s="932">
        <v>0.81440000000000001</v>
      </c>
      <c r="G263" s="932">
        <v>0.81440000000000001</v>
      </c>
      <c r="H263" s="932">
        <v>0.81440000000000001</v>
      </c>
      <c r="I263" s="932">
        <v>0.63990000000000002</v>
      </c>
      <c r="J263" s="932">
        <v>0.63990000000000002</v>
      </c>
      <c r="K263" s="932">
        <v>0.63990000000000002</v>
      </c>
      <c r="L263" s="932">
        <v>0.63990000000000002</v>
      </c>
      <c r="M263" s="932">
        <v>0.63990000000000002</v>
      </c>
    </row>
    <row r="264" spans="1:13">
      <c r="A264" s="923">
        <v>8.6999999999999993</v>
      </c>
      <c r="B264" s="932">
        <v>0.84630000000000005</v>
      </c>
      <c r="C264" s="932">
        <v>0.84630000000000005</v>
      </c>
      <c r="D264" s="932">
        <v>0.81269999999999998</v>
      </c>
      <c r="E264" s="932">
        <v>0.81269999999999998</v>
      </c>
      <c r="F264" s="932">
        <v>0.81269999999999998</v>
      </c>
      <c r="G264" s="932">
        <v>0.81269999999999998</v>
      </c>
      <c r="H264" s="932">
        <v>0.81269999999999998</v>
      </c>
      <c r="I264" s="932">
        <v>0.63770000000000004</v>
      </c>
      <c r="J264" s="932">
        <v>0.63770000000000004</v>
      </c>
      <c r="K264" s="932">
        <v>0.63770000000000004</v>
      </c>
      <c r="L264" s="932">
        <v>0.63770000000000004</v>
      </c>
      <c r="M264" s="932">
        <v>0.63770000000000004</v>
      </c>
    </row>
    <row r="265" spans="1:13">
      <c r="A265" s="923">
        <v>8.8000000000000007</v>
      </c>
      <c r="B265" s="932">
        <v>0.84489999999999998</v>
      </c>
      <c r="C265" s="932">
        <v>0.84489999999999998</v>
      </c>
      <c r="D265" s="932">
        <v>0.81100000000000005</v>
      </c>
      <c r="E265" s="932">
        <v>0.81100000000000005</v>
      </c>
      <c r="F265" s="932">
        <v>0.81100000000000005</v>
      </c>
      <c r="G265" s="932">
        <v>0.81100000000000005</v>
      </c>
      <c r="H265" s="932">
        <v>0.81100000000000005</v>
      </c>
      <c r="I265" s="932">
        <v>0.63549999999999995</v>
      </c>
      <c r="J265" s="932">
        <v>0.63549999999999995</v>
      </c>
      <c r="K265" s="932">
        <v>0.63549999999999995</v>
      </c>
      <c r="L265" s="932">
        <v>0.63549999999999995</v>
      </c>
      <c r="M265" s="932">
        <v>0.63549999999999995</v>
      </c>
    </row>
    <row r="266" spans="1:13">
      <c r="A266" s="923">
        <v>8.9</v>
      </c>
      <c r="B266" s="932">
        <v>0.84360000000000002</v>
      </c>
      <c r="C266" s="932">
        <v>0.84360000000000002</v>
      </c>
      <c r="D266" s="932">
        <v>0.80930000000000002</v>
      </c>
      <c r="E266" s="932">
        <v>0.80930000000000002</v>
      </c>
      <c r="F266" s="932">
        <v>0.80930000000000002</v>
      </c>
      <c r="G266" s="932">
        <v>0.80930000000000002</v>
      </c>
      <c r="H266" s="932">
        <v>0.80930000000000002</v>
      </c>
      <c r="I266" s="932">
        <v>0.63339999999999996</v>
      </c>
      <c r="J266" s="932">
        <v>0.63339999999999996</v>
      </c>
      <c r="K266" s="932">
        <v>0.63339999999999996</v>
      </c>
      <c r="L266" s="932">
        <v>0.63339999999999996</v>
      </c>
      <c r="M266" s="932">
        <v>0.63339999999999996</v>
      </c>
    </row>
    <row r="267" spans="1:13">
      <c r="A267" s="923">
        <v>9</v>
      </c>
      <c r="B267" s="932">
        <v>0.84230000000000005</v>
      </c>
      <c r="C267" s="932">
        <v>0.84230000000000005</v>
      </c>
      <c r="D267" s="932">
        <v>0.80759999999999998</v>
      </c>
      <c r="E267" s="932">
        <v>0.80759999999999998</v>
      </c>
      <c r="F267" s="932">
        <v>0.80759999999999998</v>
      </c>
      <c r="G267" s="932">
        <v>0.80759999999999998</v>
      </c>
      <c r="H267" s="932">
        <v>0.80759999999999998</v>
      </c>
      <c r="I267" s="932">
        <v>0.63129999999999997</v>
      </c>
      <c r="J267" s="932">
        <v>0.63129999999999997</v>
      </c>
      <c r="K267" s="932">
        <v>0.63129999999999997</v>
      </c>
      <c r="L267" s="932">
        <v>0.63129999999999997</v>
      </c>
      <c r="M267" s="932">
        <v>0.63129999999999997</v>
      </c>
    </row>
    <row r="268" spans="1:13">
      <c r="A268" s="923">
        <v>9.1</v>
      </c>
      <c r="B268" s="932">
        <v>0.84099999999999997</v>
      </c>
      <c r="C268" s="932">
        <v>0.84099999999999997</v>
      </c>
      <c r="D268" s="932">
        <v>0.80600000000000005</v>
      </c>
      <c r="E268" s="932">
        <v>0.80600000000000005</v>
      </c>
      <c r="F268" s="932">
        <v>0.80600000000000005</v>
      </c>
      <c r="G268" s="932">
        <v>0.80600000000000005</v>
      </c>
      <c r="H268" s="932">
        <v>0.80600000000000005</v>
      </c>
      <c r="I268" s="932">
        <v>0.62919999999999998</v>
      </c>
      <c r="J268" s="932">
        <v>0.62919999999999998</v>
      </c>
      <c r="K268" s="932">
        <v>0.62919999999999998</v>
      </c>
      <c r="L268" s="932">
        <v>0.62919999999999998</v>
      </c>
      <c r="M268" s="932">
        <v>0.62919999999999998</v>
      </c>
    </row>
    <row r="269" spans="1:13">
      <c r="A269" s="923">
        <v>9.1999999999999993</v>
      </c>
      <c r="B269" s="932">
        <v>0.8397</v>
      </c>
      <c r="C269" s="932">
        <v>0.8397</v>
      </c>
      <c r="D269" s="932">
        <v>0.8044</v>
      </c>
      <c r="E269" s="932">
        <v>0.8044</v>
      </c>
      <c r="F269" s="932">
        <v>0.8044</v>
      </c>
      <c r="G269" s="932">
        <v>0.8044</v>
      </c>
      <c r="H269" s="932">
        <v>0.8044</v>
      </c>
      <c r="I269" s="932">
        <v>0.62709999999999999</v>
      </c>
      <c r="J269" s="932">
        <v>0.62709999999999999</v>
      </c>
      <c r="K269" s="932">
        <v>0.62709999999999999</v>
      </c>
      <c r="L269" s="932">
        <v>0.62709999999999999</v>
      </c>
      <c r="M269" s="932">
        <v>0.62709999999999999</v>
      </c>
    </row>
    <row r="270" spans="1:13">
      <c r="A270" s="923">
        <v>9.3000000000000007</v>
      </c>
      <c r="B270" s="932">
        <v>0.83840000000000003</v>
      </c>
      <c r="C270" s="932">
        <v>0.83840000000000003</v>
      </c>
      <c r="D270" s="932">
        <v>0.80279999999999996</v>
      </c>
      <c r="E270" s="932">
        <v>0.80279999999999996</v>
      </c>
      <c r="F270" s="932">
        <v>0.80279999999999996</v>
      </c>
      <c r="G270" s="932">
        <v>0.80279999999999996</v>
      </c>
      <c r="H270" s="932">
        <v>0.80279999999999996</v>
      </c>
      <c r="I270" s="932">
        <v>0.62509999999999999</v>
      </c>
      <c r="J270" s="932">
        <v>0.62509999999999999</v>
      </c>
      <c r="K270" s="932">
        <v>0.62509999999999999</v>
      </c>
      <c r="L270" s="932">
        <v>0.62509999999999999</v>
      </c>
      <c r="M270" s="932">
        <v>0.62509999999999999</v>
      </c>
    </row>
    <row r="271" spans="1:13">
      <c r="A271" s="923">
        <v>9.4</v>
      </c>
      <c r="B271" s="932">
        <v>0.83709999999999996</v>
      </c>
      <c r="C271" s="932">
        <v>0.83709999999999996</v>
      </c>
      <c r="D271" s="932">
        <v>0.80120000000000002</v>
      </c>
      <c r="E271" s="932">
        <v>0.80120000000000002</v>
      </c>
      <c r="F271" s="932">
        <v>0.80120000000000002</v>
      </c>
      <c r="G271" s="932">
        <v>0.80120000000000002</v>
      </c>
      <c r="H271" s="932">
        <v>0.80120000000000002</v>
      </c>
      <c r="I271" s="932">
        <v>0.62309999999999999</v>
      </c>
      <c r="J271" s="932">
        <v>0.62309999999999999</v>
      </c>
      <c r="K271" s="932">
        <v>0.62309999999999999</v>
      </c>
      <c r="L271" s="932">
        <v>0.62309999999999999</v>
      </c>
      <c r="M271" s="932">
        <v>0.62309999999999999</v>
      </c>
    </row>
    <row r="272" spans="1:13">
      <c r="A272" s="923">
        <v>9.5</v>
      </c>
      <c r="B272" s="932">
        <v>0.83579999999999999</v>
      </c>
      <c r="C272" s="932">
        <v>0.83579999999999999</v>
      </c>
      <c r="D272" s="932">
        <v>0.79959999999999998</v>
      </c>
      <c r="E272" s="932">
        <v>0.79959999999999998</v>
      </c>
      <c r="F272" s="932">
        <v>0.79959999999999998</v>
      </c>
      <c r="G272" s="932">
        <v>0.79959999999999998</v>
      </c>
      <c r="H272" s="932">
        <v>0.79959999999999998</v>
      </c>
      <c r="I272" s="932">
        <v>0.62109999999999999</v>
      </c>
      <c r="J272" s="932">
        <v>0.62109999999999999</v>
      </c>
      <c r="K272" s="932">
        <v>0.62109999999999999</v>
      </c>
      <c r="L272" s="932">
        <v>0.62109999999999999</v>
      </c>
      <c r="M272" s="932">
        <v>0.62109999999999999</v>
      </c>
    </row>
    <row r="273" spans="1:13">
      <c r="A273" s="923">
        <v>9.6</v>
      </c>
      <c r="B273" s="932">
        <v>0.83460000000000001</v>
      </c>
      <c r="C273" s="932">
        <v>0.83460000000000001</v>
      </c>
      <c r="D273" s="932">
        <v>0.79800000000000004</v>
      </c>
      <c r="E273" s="932">
        <v>0.79800000000000004</v>
      </c>
      <c r="F273" s="932">
        <v>0.79800000000000004</v>
      </c>
      <c r="G273" s="932">
        <v>0.79800000000000004</v>
      </c>
      <c r="H273" s="932">
        <v>0.79800000000000004</v>
      </c>
      <c r="I273" s="932">
        <v>0.61909999999999998</v>
      </c>
      <c r="J273" s="932">
        <v>0.61909999999999998</v>
      </c>
      <c r="K273" s="932">
        <v>0.61909999999999998</v>
      </c>
      <c r="L273" s="932">
        <v>0.61909999999999998</v>
      </c>
      <c r="M273" s="932">
        <v>0.61909999999999998</v>
      </c>
    </row>
    <row r="274" spans="1:13">
      <c r="A274" s="923">
        <v>9.6999999999999993</v>
      </c>
      <c r="B274" s="932">
        <v>0.83340000000000003</v>
      </c>
      <c r="C274" s="932">
        <v>0.83340000000000003</v>
      </c>
      <c r="D274" s="932">
        <v>0.79649999999999999</v>
      </c>
      <c r="E274" s="932">
        <v>0.79649999999999999</v>
      </c>
      <c r="F274" s="932">
        <v>0.79649999999999999</v>
      </c>
      <c r="G274" s="932">
        <v>0.79649999999999999</v>
      </c>
      <c r="H274" s="932">
        <v>0.79649999999999999</v>
      </c>
      <c r="I274" s="932">
        <v>0.61719999999999997</v>
      </c>
      <c r="J274" s="932">
        <v>0.61719999999999997</v>
      </c>
      <c r="K274" s="932">
        <v>0.61719999999999997</v>
      </c>
      <c r="L274" s="932">
        <v>0.61719999999999997</v>
      </c>
      <c r="M274" s="932">
        <v>0.61719999999999997</v>
      </c>
    </row>
    <row r="275" spans="1:13">
      <c r="A275" s="923">
        <v>9.8000000000000007</v>
      </c>
      <c r="B275" s="932">
        <v>0.83220000000000005</v>
      </c>
      <c r="C275" s="932">
        <v>0.83220000000000005</v>
      </c>
      <c r="D275" s="932">
        <v>0.79500000000000004</v>
      </c>
      <c r="E275" s="932">
        <v>0.79500000000000004</v>
      </c>
      <c r="F275" s="932">
        <v>0.79500000000000004</v>
      </c>
      <c r="G275" s="932">
        <v>0.79500000000000004</v>
      </c>
      <c r="H275" s="932">
        <v>0.79500000000000004</v>
      </c>
      <c r="I275" s="932">
        <v>0.61529999999999996</v>
      </c>
      <c r="J275" s="932">
        <v>0.61529999999999996</v>
      </c>
      <c r="K275" s="932">
        <v>0.61529999999999996</v>
      </c>
      <c r="L275" s="932">
        <v>0.61529999999999996</v>
      </c>
      <c r="M275" s="932">
        <v>0.61529999999999996</v>
      </c>
    </row>
    <row r="276" spans="1:13">
      <c r="A276" s="923">
        <v>9.9</v>
      </c>
      <c r="B276" s="932">
        <v>0.83099999999999996</v>
      </c>
      <c r="C276" s="932">
        <v>0.83099999999999996</v>
      </c>
      <c r="D276" s="932">
        <v>0.79349999999999998</v>
      </c>
      <c r="E276" s="932">
        <v>0.79349999999999998</v>
      </c>
      <c r="F276" s="932">
        <v>0.79349999999999998</v>
      </c>
      <c r="G276" s="932">
        <v>0.79349999999999998</v>
      </c>
      <c r="H276" s="932">
        <v>0.79349999999999998</v>
      </c>
      <c r="I276" s="932">
        <v>0.61339999999999995</v>
      </c>
      <c r="J276" s="932">
        <v>0.61339999999999995</v>
      </c>
      <c r="K276" s="932">
        <v>0.61339999999999995</v>
      </c>
      <c r="L276" s="932">
        <v>0.61339999999999995</v>
      </c>
      <c r="M276" s="932">
        <v>0.61339999999999995</v>
      </c>
    </row>
    <row r="277" spans="1:13" ht="14.25">
      <c r="A277" s="3084" t="s">
        <v>2782</v>
      </c>
      <c r="B277" s="932"/>
      <c r="C277" s="932"/>
      <c r="D277" s="932"/>
      <c r="E277" s="932"/>
      <c r="F277" s="932"/>
      <c r="G277" s="932"/>
      <c r="H277" s="932"/>
      <c r="I277" s="932"/>
      <c r="J277" s="932"/>
      <c r="K277" s="932"/>
      <c r="L277" s="932"/>
      <c r="M277" s="932"/>
    </row>
    <row r="278" spans="1:13">
      <c r="A278" s="923" t="s">
        <v>1550</v>
      </c>
      <c r="B278" s="932" t="s">
        <v>990</v>
      </c>
      <c r="C278" s="932" t="s">
        <v>1031</v>
      </c>
      <c r="D278" s="932" t="s">
        <v>1145</v>
      </c>
      <c r="E278" s="932" t="s">
        <v>853</v>
      </c>
      <c r="F278" s="932" t="s">
        <v>1152</v>
      </c>
      <c r="G278" s="932" t="s">
        <v>1153</v>
      </c>
      <c r="H278" s="932" t="s">
        <v>1154</v>
      </c>
      <c r="I278" s="932" t="s">
        <v>1155</v>
      </c>
      <c r="J278" s="932" t="s">
        <v>1156</v>
      </c>
      <c r="K278" s="932" t="s">
        <v>1157</v>
      </c>
      <c r="L278" s="932" t="s">
        <v>2766</v>
      </c>
      <c r="M278" s="932" t="s">
        <v>2767</v>
      </c>
    </row>
    <row r="279" spans="1:13">
      <c r="A279" s="923">
        <v>1</v>
      </c>
      <c r="B279" s="932">
        <v>1.1055999999999999</v>
      </c>
      <c r="C279" s="932">
        <v>1.1055999999999999</v>
      </c>
      <c r="D279" s="932">
        <v>1.1220000000000001</v>
      </c>
      <c r="E279" s="932">
        <v>1.1220000000000001</v>
      </c>
      <c r="F279" s="932">
        <v>1.1220000000000001</v>
      </c>
      <c r="G279" s="932">
        <v>1.0583</v>
      </c>
      <c r="H279" s="932">
        <v>1.0583</v>
      </c>
      <c r="I279" s="932">
        <v>1</v>
      </c>
      <c r="J279" s="932">
        <v>1</v>
      </c>
      <c r="K279" s="932">
        <v>1</v>
      </c>
      <c r="L279" s="932">
        <v>1</v>
      </c>
      <c r="M279" s="932">
        <v>1</v>
      </c>
    </row>
    <row r="280" spans="1:13">
      <c r="A280" s="923">
        <v>1.1000000000000001</v>
      </c>
      <c r="B280" s="932">
        <v>1.0820000000000001</v>
      </c>
      <c r="C280" s="932">
        <v>1.0820000000000001</v>
      </c>
      <c r="D280" s="932">
        <v>1.0948</v>
      </c>
      <c r="E280" s="932">
        <v>1.0948</v>
      </c>
      <c r="F280" s="932">
        <v>1.0948</v>
      </c>
      <c r="G280" s="932">
        <v>1.0284</v>
      </c>
      <c r="H280" s="932">
        <v>1.0284</v>
      </c>
      <c r="I280" s="932">
        <v>0.96860000000000002</v>
      </c>
      <c r="J280" s="932">
        <v>0.96860000000000002</v>
      </c>
      <c r="K280" s="932">
        <v>0.96860000000000002</v>
      </c>
      <c r="L280" s="932">
        <v>0.96860000000000002</v>
      </c>
      <c r="M280" s="932">
        <v>0.96860000000000002</v>
      </c>
    </row>
    <row r="281" spans="1:13">
      <c r="A281" s="923">
        <v>1.2</v>
      </c>
      <c r="B281" s="932">
        <v>1.0598000000000001</v>
      </c>
      <c r="C281" s="932">
        <v>1.0598000000000001</v>
      </c>
      <c r="D281" s="932">
        <v>1.0690999999999999</v>
      </c>
      <c r="E281" s="932">
        <v>1.0690999999999999</v>
      </c>
      <c r="F281" s="932">
        <v>1.0690999999999999</v>
      </c>
      <c r="G281" s="932">
        <v>1</v>
      </c>
      <c r="H281" s="932">
        <v>1</v>
      </c>
      <c r="I281" s="932">
        <v>0.93879999999999997</v>
      </c>
      <c r="J281" s="932">
        <v>0.93879999999999997</v>
      </c>
      <c r="K281" s="932">
        <v>0.93879999999999997</v>
      </c>
      <c r="L281" s="932">
        <v>0.93879999999999997</v>
      </c>
      <c r="M281" s="932">
        <v>0.93879999999999997</v>
      </c>
    </row>
    <row r="282" spans="1:13">
      <c r="A282" s="923">
        <v>1.3</v>
      </c>
      <c r="B282" s="932">
        <v>1.0387</v>
      </c>
      <c r="C282" s="932">
        <v>1.0387</v>
      </c>
      <c r="D282" s="932">
        <v>1.0447</v>
      </c>
      <c r="E282" s="932">
        <v>1.0447</v>
      </c>
      <c r="F282" s="932">
        <v>1.0447</v>
      </c>
      <c r="G282" s="932">
        <v>0.97319999999999995</v>
      </c>
      <c r="H282" s="932">
        <v>0.97319999999999995</v>
      </c>
      <c r="I282" s="932">
        <v>0.91069999999999995</v>
      </c>
      <c r="J282" s="932">
        <v>0.91069999999999995</v>
      </c>
      <c r="K282" s="932">
        <v>0.91069999999999995</v>
      </c>
      <c r="L282" s="932">
        <v>0.91069999999999995</v>
      </c>
      <c r="M282" s="932">
        <v>0.91069999999999995</v>
      </c>
    </row>
    <row r="283" spans="1:13">
      <c r="A283" s="923">
        <v>1.4</v>
      </c>
      <c r="B283" s="932">
        <v>1.0187999999999999</v>
      </c>
      <c r="C283" s="932">
        <v>1.0187999999999999</v>
      </c>
      <c r="D283" s="932">
        <v>1.0217000000000001</v>
      </c>
      <c r="E283" s="932">
        <v>1.0217000000000001</v>
      </c>
      <c r="F283" s="932">
        <v>1.0217000000000001</v>
      </c>
      <c r="G283" s="932">
        <v>0.94779999999999998</v>
      </c>
      <c r="H283" s="932">
        <v>0.94779999999999998</v>
      </c>
      <c r="I283" s="932">
        <v>0.8841</v>
      </c>
      <c r="J283" s="932">
        <v>0.8841</v>
      </c>
      <c r="K283" s="932">
        <v>0.8841</v>
      </c>
      <c r="L283" s="932">
        <v>0.8841</v>
      </c>
      <c r="M283" s="932">
        <v>0.8841</v>
      </c>
    </row>
    <row r="284" spans="1:13">
      <c r="A284" s="923">
        <v>1.5</v>
      </c>
      <c r="B284" s="932">
        <v>1</v>
      </c>
      <c r="C284" s="932">
        <v>1</v>
      </c>
      <c r="D284" s="932">
        <v>1</v>
      </c>
      <c r="E284" s="932">
        <v>1</v>
      </c>
      <c r="F284" s="932">
        <v>1</v>
      </c>
      <c r="G284" s="932">
        <v>0.92379999999999995</v>
      </c>
      <c r="H284" s="932">
        <v>0.92379999999999995</v>
      </c>
      <c r="I284" s="932">
        <v>0.8589</v>
      </c>
      <c r="J284" s="932">
        <v>0.8589</v>
      </c>
      <c r="K284" s="932">
        <v>0.8589</v>
      </c>
      <c r="L284" s="932">
        <v>0.8589</v>
      </c>
      <c r="M284" s="932">
        <v>0.8589</v>
      </c>
    </row>
    <row r="285" spans="1:13">
      <c r="A285" s="923">
        <v>1.6</v>
      </c>
      <c r="B285" s="932">
        <v>0.98229999999999995</v>
      </c>
      <c r="C285" s="932">
        <v>0.98229999999999995</v>
      </c>
      <c r="D285" s="932">
        <v>0.97950000000000004</v>
      </c>
      <c r="E285" s="932">
        <v>0.97950000000000004</v>
      </c>
      <c r="F285" s="932">
        <v>0.97950000000000004</v>
      </c>
      <c r="G285" s="932">
        <v>0.9012</v>
      </c>
      <c r="H285" s="932">
        <v>0.9012</v>
      </c>
      <c r="I285" s="932">
        <v>0.83509999999999995</v>
      </c>
      <c r="J285" s="932">
        <v>0.83509999999999995</v>
      </c>
      <c r="K285" s="932">
        <v>0.83509999999999995</v>
      </c>
      <c r="L285" s="932">
        <v>0.83509999999999995</v>
      </c>
      <c r="M285" s="932">
        <v>0.83509999999999995</v>
      </c>
    </row>
    <row r="286" spans="1:13">
      <c r="A286" s="923">
        <v>1.7</v>
      </c>
      <c r="B286" s="932">
        <v>0.96550000000000002</v>
      </c>
      <c r="C286" s="932">
        <v>0.96550000000000002</v>
      </c>
      <c r="D286" s="932">
        <v>0.96009999999999995</v>
      </c>
      <c r="E286" s="932">
        <v>0.96009999999999995</v>
      </c>
      <c r="F286" s="932">
        <v>0.96009999999999995</v>
      </c>
      <c r="G286" s="932">
        <v>0.87980000000000003</v>
      </c>
      <c r="H286" s="932">
        <v>0.87980000000000003</v>
      </c>
      <c r="I286" s="932">
        <v>0.81269999999999998</v>
      </c>
      <c r="J286" s="932">
        <v>0.81269999999999998</v>
      </c>
      <c r="K286" s="932">
        <v>0.81269999999999998</v>
      </c>
      <c r="L286" s="932">
        <v>0.81269999999999998</v>
      </c>
      <c r="M286" s="932">
        <v>0.81269999999999998</v>
      </c>
    </row>
    <row r="287" spans="1:13">
      <c r="A287" s="923">
        <v>1.8</v>
      </c>
      <c r="B287" s="932">
        <v>0.94969999999999999</v>
      </c>
      <c r="C287" s="932">
        <v>0.94969999999999999</v>
      </c>
      <c r="D287" s="932">
        <v>0.94189999999999996</v>
      </c>
      <c r="E287" s="932">
        <v>0.94189999999999996</v>
      </c>
      <c r="F287" s="932">
        <v>0.94189999999999996</v>
      </c>
      <c r="G287" s="932">
        <v>0.85960000000000003</v>
      </c>
      <c r="H287" s="932">
        <v>0.85960000000000003</v>
      </c>
      <c r="I287" s="932">
        <v>0.79149999999999998</v>
      </c>
      <c r="J287" s="932">
        <v>0.79149999999999998</v>
      </c>
      <c r="K287" s="932">
        <v>0.79149999999999998</v>
      </c>
      <c r="L287" s="932">
        <v>0.79149999999999998</v>
      </c>
      <c r="M287" s="932">
        <v>0.79149999999999998</v>
      </c>
    </row>
    <row r="288" spans="1:13">
      <c r="A288" s="923">
        <v>1.9</v>
      </c>
      <c r="B288" s="932">
        <v>0.93479999999999996</v>
      </c>
      <c r="C288" s="932">
        <v>0.93479999999999996</v>
      </c>
      <c r="D288" s="932">
        <v>0.92459999999999998</v>
      </c>
      <c r="E288" s="932">
        <v>0.92459999999999998</v>
      </c>
      <c r="F288" s="932">
        <v>0.92459999999999998</v>
      </c>
      <c r="G288" s="932">
        <v>0.84060000000000001</v>
      </c>
      <c r="H288" s="932">
        <v>0.84060000000000001</v>
      </c>
      <c r="I288" s="932">
        <v>0.77149999999999996</v>
      </c>
      <c r="J288" s="932">
        <v>0.77149999999999996</v>
      </c>
      <c r="K288" s="932">
        <v>0.77149999999999996</v>
      </c>
      <c r="L288" s="932">
        <v>0.77149999999999996</v>
      </c>
      <c r="M288" s="932">
        <v>0.77149999999999996</v>
      </c>
    </row>
    <row r="289" spans="1:13">
      <c r="A289" s="923">
        <v>2</v>
      </c>
      <c r="B289" s="932">
        <v>0.92079999999999995</v>
      </c>
      <c r="C289" s="932">
        <v>0.92079999999999995</v>
      </c>
      <c r="D289" s="932">
        <v>0.90839999999999999</v>
      </c>
      <c r="E289" s="932">
        <v>0.90839999999999999</v>
      </c>
      <c r="F289" s="932">
        <v>0.90839999999999999</v>
      </c>
      <c r="G289" s="932">
        <v>0.82269999999999999</v>
      </c>
      <c r="H289" s="932">
        <v>0.82269999999999999</v>
      </c>
      <c r="I289" s="932">
        <v>0.75270000000000004</v>
      </c>
      <c r="J289" s="932">
        <v>0.75270000000000004</v>
      </c>
      <c r="K289" s="932">
        <v>0.75270000000000004</v>
      </c>
      <c r="L289" s="932">
        <v>0.75270000000000004</v>
      </c>
      <c r="M289" s="932">
        <v>0.75270000000000004</v>
      </c>
    </row>
    <row r="290" spans="1:13">
      <c r="A290" s="923">
        <v>2.1</v>
      </c>
      <c r="B290" s="932">
        <v>0.90759999999999996</v>
      </c>
      <c r="C290" s="932">
        <v>0.90759999999999996</v>
      </c>
      <c r="D290" s="932">
        <v>0.89319999999999999</v>
      </c>
      <c r="E290" s="932">
        <v>0.89319999999999999</v>
      </c>
      <c r="F290" s="932">
        <v>0.89319999999999999</v>
      </c>
      <c r="G290" s="932">
        <v>0.80589999999999995</v>
      </c>
      <c r="H290" s="932">
        <v>0.80589999999999995</v>
      </c>
      <c r="I290" s="932">
        <v>0.73499999999999999</v>
      </c>
      <c r="J290" s="932">
        <v>0.73499999999999999</v>
      </c>
      <c r="K290" s="932">
        <v>0.73499999999999999</v>
      </c>
      <c r="L290" s="932">
        <v>0.73499999999999999</v>
      </c>
      <c r="M290" s="932">
        <v>0.73499999999999999</v>
      </c>
    </row>
    <row r="291" spans="1:13">
      <c r="A291" s="923">
        <v>2.2000000000000002</v>
      </c>
      <c r="B291" s="932">
        <v>0.8952</v>
      </c>
      <c r="C291" s="932">
        <v>0.8952</v>
      </c>
      <c r="D291" s="932">
        <v>0.87880000000000003</v>
      </c>
      <c r="E291" s="932">
        <v>0.87880000000000003</v>
      </c>
      <c r="F291" s="932">
        <v>0.87880000000000003</v>
      </c>
      <c r="G291" s="932">
        <v>0.79</v>
      </c>
      <c r="H291" s="932">
        <v>0.79</v>
      </c>
      <c r="I291" s="932">
        <v>0.71840000000000004</v>
      </c>
      <c r="J291" s="932">
        <v>0.71840000000000004</v>
      </c>
      <c r="K291" s="932">
        <v>0.71840000000000004</v>
      </c>
      <c r="L291" s="932">
        <v>0.71840000000000004</v>
      </c>
      <c r="M291" s="932">
        <v>0.71840000000000004</v>
      </c>
    </row>
    <row r="292" spans="1:13">
      <c r="A292" s="923">
        <v>2.2999999999999998</v>
      </c>
      <c r="B292" s="932">
        <v>0.88360000000000005</v>
      </c>
      <c r="C292" s="932">
        <v>0.88360000000000005</v>
      </c>
      <c r="D292" s="932">
        <v>0.86529999999999996</v>
      </c>
      <c r="E292" s="932">
        <v>0.86529999999999996</v>
      </c>
      <c r="F292" s="932">
        <v>0.86529999999999996</v>
      </c>
      <c r="G292" s="932">
        <v>0.77510000000000001</v>
      </c>
      <c r="H292" s="932">
        <v>0.77510000000000001</v>
      </c>
      <c r="I292" s="932">
        <v>0.70269999999999999</v>
      </c>
      <c r="J292" s="932">
        <v>0.70269999999999999</v>
      </c>
      <c r="K292" s="932">
        <v>0.70269999999999999</v>
      </c>
      <c r="L292" s="932">
        <v>0.70269999999999999</v>
      </c>
      <c r="M292" s="932">
        <v>0.70269999999999999</v>
      </c>
    </row>
    <row r="293" spans="1:13">
      <c r="A293" s="923">
        <v>2.4</v>
      </c>
      <c r="B293" s="932">
        <v>0.87260000000000004</v>
      </c>
      <c r="C293" s="932">
        <v>0.87260000000000004</v>
      </c>
      <c r="D293" s="932">
        <v>0.85260000000000002</v>
      </c>
      <c r="E293" s="932">
        <v>0.85260000000000002</v>
      </c>
      <c r="F293" s="932">
        <v>0.85260000000000002</v>
      </c>
      <c r="G293" s="932">
        <v>0.76100000000000001</v>
      </c>
      <c r="H293" s="932">
        <v>0.76100000000000001</v>
      </c>
      <c r="I293" s="932">
        <v>0.68799999999999994</v>
      </c>
      <c r="J293" s="932">
        <v>0.68799999999999994</v>
      </c>
      <c r="K293" s="932">
        <v>0.68799999999999994</v>
      </c>
      <c r="L293" s="932">
        <v>0.68799999999999994</v>
      </c>
      <c r="M293" s="932">
        <v>0.68799999999999994</v>
      </c>
    </row>
    <row r="294" spans="1:13">
      <c r="A294" s="923">
        <v>2.5</v>
      </c>
      <c r="B294" s="932">
        <v>0.86229999999999996</v>
      </c>
      <c r="C294" s="932">
        <v>0.86229999999999996</v>
      </c>
      <c r="D294" s="932">
        <v>0.8407</v>
      </c>
      <c r="E294" s="932">
        <v>0.8407</v>
      </c>
      <c r="F294" s="932">
        <v>0.8407</v>
      </c>
      <c r="G294" s="932">
        <v>0.74780000000000002</v>
      </c>
      <c r="H294" s="932">
        <v>0.74780000000000002</v>
      </c>
      <c r="I294" s="932">
        <v>0.67410000000000003</v>
      </c>
      <c r="J294" s="932">
        <v>0.67410000000000003</v>
      </c>
      <c r="K294" s="932">
        <v>0.67410000000000003</v>
      </c>
      <c r="L294" s="932">
        <v>0.67410000000000003</v>
      </c>
      <c r="M294" s="932">
        <v>0.67410000000000003</v>
      </c>
    </row>
    <row r="295" spans="1:13">
      <c r="A295" s="923">
        <v>2.6</v>
      </c>
      <c r="B295" s="932">
        <v>0.85270000000000001</v>
      </c>
      <c r="C295" s="932">
        <v>0.85270000000000001</v>
      </c>
      <c r="D295" s="932">
        <v>0.82950000000000002</v>
      </c>
      <c r="E295" s="932">
        <v>0.82950000000000002</v>
      </c>
      <c r="F295" s="932">
        <v>0.82950000000000002</v>
      </c>
      <c r="G295" s="932">
        <v>0.73540000000000005</v>
      </c>
      <c r="H295" s="932">
        <v>0.73540000000000005</v>
      </c>
      <c r="I295" s="932">
        <v>0.66110000000000002</v>
      </c>
      <c r="J295" s="932">
        <v>0.66110000000000002</v>
      </c>
      <c r="K295" s="932">
        <v>0.66110000000000002</v>
      </c>
      <c r="L295" s="932">
        <v>0.66110000000000002</v>
      </c>
      <c r="M295" s="932">
        <v>0.66110000000000002</v>
      </c>
    </row>
    <row r="296" spans="1:13">
      <c r="A296" s="939">
        <v>2.7</v>
      </c>
      <c r="B296" s="932">
        <v>0.84360000000000002</v>
      </c>
      <c r="C296" s="932">
        <v>0.84360000000000002</v>
      </c>
      <c r="D296" s="932">
        <v>0.81899999999999995</v>
      </c>
      <c r="E296" s="932">
        <v>0.81899999999999995</v>
      </c>
      <c r="F296" s="932">
        <v>0.81899999999999995</v>
      </c>
      <c r="G296" s="932">
        <v>0.7238</v>
      </c>
      <c r="H296" s="932">
        <v>0.7238</v>
      </c>
      <c r="I296" s="932">
        <v>0.64880000000000004</v>
      </c>
      <c r="J296" s="932">
        <v>0.64880000000000004</v>
      </c>
      <c r="K296" s="932">
        <v>0.64880000000000004</v>
      </c>
      <c r="L296" s="932">
        <v>0.64880000000000004</v>
      </c>
      <c r="M296" s="932">
        <v>0.64880000000000004</v>
      </c>
    </row>
    <row r="297" spans="1:13">
      <c r="A297" s="939">
        <v>2.8</v>
      </c>
      <c r="B297" s="932">
        <v>0.83509999999999995</v>
      </c>
      <c r="C297" s="932">
        <v>0.83509999999999995</v>
      </c>
      <c r="D297" s="932">
        <v>0.80910000000000004</v>
      </c>
      <c r="E297" s="932">
        <v>0.80910000000000004</v>
      </c>
      <c r="F297" s="932">
        <v>0.80910000000000004</v>
      </c>
      <c r="G297" s="932">
        <v>0.71289999999999998</v>
      </c>
      <c r="H297" s="932">
        <v>0.71289999999999998</v>
      </c>
      <c r="I297" s="932">
        <v>0.63739999999999997</v>
      </c>
      <c r="J297" s="932">
        <v>0.63739999999999997</v>
      </c>
      <c r="K297" s="932">
        <v>0.63739999999999997</v>
      </c>
      <c r="L297" s="932">
        <v>0.63739999999999997</v>
      </c>
      <c r="M297" s="932">
        <v>0.63739999999999997</v>
      </c>
    </row>
    <row r="298" spans="1:13">
      <c r="A298" s="939">
        <v>2.9</v>
      </c>
      <c r="B298" s="932">
        <v>0.82720000000000005</v>
      </c>
      <c r="C298" s="932">
        <v>0.82720000000000005</v>
      </c>
      <c r="D298" s="932">
        <v>0.79990000000000006</v>
      </c>
      <c r="E298" s="932">
        <v>0.79990000000000006</v>
      </c>
      <c r="F298" s="932">
        <v>0.79990000000000006</v>
      </c>
      <c r="G298" s="932">
        <v>0.7026</v>
      </c>
      <c r="H298" s="932">
        <v>0.7026</v>
      </c>
      <c r="I298" s="932">
        <v>0.62660000000000005</v>
      </c>
      <c r="J298" s="932">
        <v>0.62660000000000005</v>
      </c>
      <c r="K298" s="932">
        <v>0.62660000000000005</v>
      </c>
      <c r="L298" s="932">
        <v>0.62660000000000005</v>
      </c>
      <c r="M298" s="932">
        <v>0.62660000000000005</v>
      </c>
    </row>
    <row r="299" spans="1:13">
      <c r="A299" s="939">
        <v>3</v>
      </c>
      <c r="B299" s="932">
        <v>0.81969999999999998</v>
      </c>
      <c r="C299" s="932">
        <v>0.81969999999999998</v>
      </c>
      <c r="D299" s="932">
        <v>0.79120000000000001</v>
      </c>
      <c r="E299" s="932">
        <v>0.79120000000000001</v>
      </c>
      <c r="F299" s="932">
        <v>0.79120000000000001</v>
      </c>
      <c r="G299" s="932">
        <v>0.69299999999999995</v>
      </c>
      <c r="H299" s="932">
        <v>0.69299999999999995</v>
      </c>
      <c r="I299" s="932">
        <v>0.61650000000000005</v>
      </c>
      <c r="J299" s="932">
        <v>0.61650000000000005</v>
      </c>
      <c r="K299" s="932">
        <v>0.61650000000000005</v>
      </c>
      <c r="L299" s="932">
        <v>0.61650000000000005</v>
      </c>
      <c r="M299" s="932">
        <v>0.61650000000000005</v>
      </c>
    </row>
    <row r="300" spans="1:13">
      <c r="A300" s="939">
        <v>3.1</v>
      </c>
      <c r="B300" s="932">
        <v>0.81279999999999997</v>
      </c>
      <c r="C300" s="932">
        <v>0.81279999999999997</v>
      </c>
      <c r="D300" s="932">
        <v>0.78310000000000002</v>
      </c>
      <c r="E300" s="932">
        <v>0.78310000000000002</v>
      </c>
      <c r="F300" s="932">
        <v>0.78310000000000002</v>
      </c>
      <c r="G300" s="932">
        <v>0.68400000000000005</v>
      </c>
      <c r="H300" s="932">
        <v>0.68400000000000005</v>
      </c>
      <c r="I300" s="932">
        <v>0.60709999999999997</v>
      </c>
      <c r="J300" s="932">
        <v>0.60709999999999997</v>
      </c>
      <c r="K300" s="932">
        <v>0.60709999999999997</v>
      </c>
      <c r="L300" s="932">
        <v>0.60709999999999997</v>
      </c>
      <c r="M300" s="932">
        <v>0.60709999999999997</v>
      </c>
    </row>
    <row r="301" spans="1:13">
      <c r="A301" s="939">
        <v>3.2</v>
      </c>
      <c r="B301" s="932">
        <v>0.80620000000000003</v>
      </c>
      <c r="C301" s="932">
        <v>0.80620000000000003</v>
      </c>
      <c r="D301" s="932">
        <v>0.77549999999999997</v>
      </c>
      <c r="E301" s="932">
        <v>0.77549999999999997</v>
      </c>
      <c r="F301" s="932">
        <v>0.77549999999999997</v>
      </c>
      <c r="G301" s="932">
        <v>0.67559999999999998</v>
      </c>
      <c r="H301" s="932">
        <v>0.67559999999999998</v>
      </c>
      <c r="I301" s="932">
        <v>0.59809999999999997</v>
      </c>
      <c r="J301" s="932">
        <v>0.59809999999999997</v>
      </c>
      <c r="K301" s="932">
        <v>0.59809999999999997</v>
      </c>
      <c r="L301" s="932">
        <v>0.59809999999999997</v>
      </c>
      <c r="M301" s="932">
        <v>0.59809999999999997</v>
      </c>
    </row>
    <row r="302" spans="1:13">
      <c r="A302" s="939">
        <v>3.3</v>
      </c>
      <c r="B302" s="932">
        <v>0.80010000000000003</v>
      </c>
      <c r="C302" s="932">
        <v>0.80010000000000003</v>
      </c>
      <c r="D302" s="932">
        <v>0.76839999999999997</v>
      </c>
      <c r="E302" s="932">
        <v>0.76839999999999997</v>
      </c>
      <c r="F302" s="932">
        <v>0.76839999999999997</v>
      </c>
      <c r="G302" s="932">
        <v>0.66769999999999996</v>
      </c>
      <c r="H302" s="932">
        <v>0.66769999999999996</v>
      </c>
      <c r="I302" s="932">
        <v>0.58979999999999999</v>
      </c>
      <c r="J302" s="932">
        <v>0.58979999999999999</v>
      </c>
      <c r="K302" s="932">
        <v>0.58979999999999999</v>
      </c>
      <c r="L302" s="932">
        <v>0.58979999999999999</v>
      </c>
      <c r="M302" s="932">
        <v>0.58979999999999999</v>
      </c>
    </row>
    <row r="303" spans="1:13">
      <c r="A303" s="939">
        <v>3.4</v>
      </c>
      <c r="B303" s="932">
        <v>0.7944</v>
      </c>
      <c r="C303" s="932">
        <v>0.7944</v>
      </c>
      <c r="D303" s="932">
        <v>0.76170000000000004</v>
      </c>
      <c r="E303" s="932">
        <v>0.76170000000000004</v>
      </c>
      <c r="F303" s="932">
        <v>0.76170000000000004</v>
      </c>
      <c r="G303" s="932">
        <v>0.66020000000000001</v>
      </c>
      <c r="H303" s="932">
        <v>0.66020000000000001</v>
      </c>
      <c r="I303" s="932">
        <v>0.58209999999999995</v>
      </c>
      <c r="J303" s="932">
        <v>0.58209999999999995</v>
      </c>
      <c r="K303" s="932">
        <v>0.58209999999999995</v>
      </c>
      <c r="L303" s="932">
        <v>0.58209999999999995</v>
      </c>
      <c r="M303" s="932">
        <v>0.58209999999999995</v>
      </c>
    </row>
    <row r="304" spans="1:13">
      <c r="A304" s="939">
        <v>3.5</v>
      </c>
      <c r="B304" s="932">
        <v>0.78910000000000002</v>
      </c>
      <c r="C304" s="932">
        <v>0.78910000000000002</v>
      </c>
      <c r="D304" s="932">
        <v>0.75549999999999995</v>
      </c>
      <c r="E304" s="932">
        <v>0.75549999999999995</v>
      </c>
      <c r="F304" s="932">
        <v>0.75549999999999995</v>
      </c>
      <c r="G304" s="932">
        <v>0.65329999999999999</v>
      </c>
      <c r="H304" s="932">
        <v>0.65329999999999999</v>
      </c>
      <c r="I304" s="932">
        <v>0.57479999999999998</v>
      </c>
      <c r="J304" s="932">
        <v>0.57479999999999998</v>
      </c>
      <c r="K304" s="932">
        <v>0.57479999999999998</v>
      </c>
      <c r="L304" s="932">
        <v>0.57479999999999998</v>
      </c>
      <c r="M304" s="932">
        <v>0.57479999999999998</v>
      </c>
    </row>
    <row r="305" spans="1:13">
      <c r="A305" s="939">
        <v>3.6</v>
      </c>
      <c r="B305" s="932">
        <v>0.78410000000000002</v>
      </c>
      <c r="C305" s="932">
        <v>0.78410000000000002</v>
      </c>
      <c r="D305" s="932">
        <v>0.74960000000000004</v>
      </c>
      <c r="E305" s="932">
        <v>0.74960000000000004</v>
      </c>
      <c r="F305" s="932">
        <v>0.74960000000000004</v>
      </c>
      <c r="G305" s="932">
        <v>0.64680000000000004</v>
      </c>
      <c r="H305" s="932">
        <v>0.64680000000000004</v>
      </c>
      <c r="I305" s="932">
        <v>0.56789999999999996</v>
      </c>
      <c r="J305" s="932">
        <v>0.56789999999999996</v>
      </c>
      <c r="K305" s="932">
        <v>0.56789999999999996</v>
      </c>
      <c r="L305" s="932">
        <v>0.56789999999999996</v>
      </c>
      <c r="M305" s="932">
        <v>0.56789999999999996</v>
      </c>
    </row>
    <row r="306" spans="1:13">
      <c r="A306" s="939">
        <v>3.7</v>
      </c>
      <c r="B306" s="932">
        <v>0.77939999999999998</v>
      </c>
      <c r="C306" s="932">
        <v>0.77939999999999998</v>
      </c>
      <c r="D306" s="932">
        <v>0.74409999999999998</v>
      </c>
      <c r="E306" s="932">
        <v>0.74409999999999998</v>
      </c>
      <c r="F306" s="932">
        <v>0.74409999999999998</v>
      </c>
      <c r="G306" s="932">
        <v>0.64070000000000005</v>
      </c>
      <c r="H306" s="932">
        <v>0.64070000000000005</v>
      </c>
      <c r="I306" s="932">
        <v>0.5615</v>
      </c>
      <c r="J306" s="932">
        <v>0.5615</v>
      </c>
      <c r="K306" s="932">
        <v>0.5615</v>
      </c>
      <c r="L306" s="932">
        <v>0.5615</v>
      </c>
      <c r="M306" s="932">
        <v>0.5615</v>
      </c>
    </row>
    <row r="307" spans="1:13">
      <c r="A307" s="939">
        <v>3.8</v>
      </c>
      <c r="B307" s="932">
        <v>0.77500000000000002</v>
      </c>
      <c r="C307" s="932">
        <v>0.77500000000000002</v>
      </c>
      <c r="D307" s="932">
        <v>0.73899999999999999</v>
      </c>
      <c r="E307" s="932">
        <v>0.73899999999999999</v>
      </c>
      <c r="F307" s="932">
        <v>0.73899999999999999</v>
      </c>
      <c r="G307" s="932">
        <v>0.63490000000000002</v>
      </c>
      <c r="H307" s="932">
        <v>0.63490000000000002</v>
      </c>
      <c r="I307" s="932">
        <v>0.55549999999999999</v>
      </c>
      <c r="J307" s="932">
        <v>0.55549999999999999</v>
      </c>
      <c r="K307" s="932">
        <v>0.55549999999999999</v>
      </c>
      <c r="L307" s="932">
        <v>0.55549999999999999</v>
      </c>
      <c r="M307" s="932">
        <v>0.55549999999999999</v>
      </c>
    </row>
    <row r="308" spans="1:13">
      <c r="A308" s="923">
        <v>3.9</v>
      </c>
      <c r="B308" s="924">
        <v>0.77090000000000003</v>
      </c>
      <c r="C308" s="924">
        <v>0.77090000000000003</v>
      </c>
      <c r="D308" s="924">
        <v>0.73419999999999996</v>
      </c>
      <c r="E308" s="924">
        <v>0.73419999999999996</v>
      </c>
      <c r="F308" s="924">
        <v>0.73419999999999996</v>
      </c>
      <c r="G308" s="924">
        <v>0.62949999999999995</v>
      </c>
      <c r="H308" s="925">
        <v>0.62949999999999995</v>
      </c>
      <c r="I308" s="925">
        <v>0.54990000000000006</v>
      </c>
      <c r="J308" s="926">
        <v>0.54990000000000006</v>
      </c>
      <c r="K308" s="926">
        <v>0.54990000000000006</v>
      </c>
      <c r="L308" s="926">
        <v>0.54990000000000006</v>
      </c>
      <c r="M308" s="926">
        <v>0.54990000000000006</v>
      </c>
    </row>
    <row r="309" spans="1:13">
      <c r="A309" s="923">
        <v>4</v>
      </c>
      <c r="B309" s="932">
        <v>0.7671</v>
      </c>
      <c r="C309" s="932">
        <v>0.7671</v>
      </c>
      <c r="D309" s="932">
        <v>0.72970000000000002</v>
      </c>
      <c r="E309" s="932">
        <v>0.72970000000000002</v>
      </c>
      <c r="F309" s="932">
        <v>0.72970000000000002</v>
      </c>
      <c r="G309" s="932">
        <v>0.62450000000000006</v>
      </c>
      <c r="H309" s="932">
        <v>0.62450000000000006</v>
      </c>
      <c r="I309" s="932">
        <v>0.54449999999999998</v>
      </c>
      <c r="J309" s="932">
        <v>0.54449999999999998</v>
      </c>
      <c r="K309" s="932">
        <v>0.54449999999999998</v>
      </c>
      <c r="L309" s="932">
        <v>0.54449999999999998</v>
      </c>
      <c r="M309" s="932">
        <v>0.54449999999999998</v>
      </c>
    </row>
    <row r="310" spans="1:13">
      <c r="A310" s="923">
        <v>4.0999999999999996</v>
      </c>
      <c r="B310" s="932">
        <v>0.76349999999999996</v>
      </c>
      <c r="C310" s="932">
        <v>0.76349999999999996</v>
      </c>
      <c r="D310" s="932">
        <v>0.72540000000000004</v>
      </c>
      <c r="E310" s="932">
        <v>0.72540000000000004</v>
      </c>
      <c r="F310" s="932">
        <v>0.72540000000000004</v>
      </c>
      <c r="G310" s="932">
        <v>0.61970000000000003</v>
      </c>
      <c r="H310" s="932">
        <v>0.61970000000000003</v>
      </c>
      <c r="I310" s="932">
        <v>0.53959999999999997</v>
      </c>
      <c r="J310" s="932">
        <v>0.53959999999999997</v>
      </c>
      <c r="K310" s="932">
        <v>0.53959999999999997</v>
      </c>
      <c r="L310" s="932">
        <v>0.53959999999999997</v>
      </c>
      <c r="M310" s="932">
        <v>0.53959999999999997</v>
      </c>
    </row>
    <row r="311" spans="1:13">
      <c r="A311" s="923">
        <v>4.2</v>
      </c>
      <c r="B311" s="932">
        <v>0.7601</v>
      </c>
      <c r="C311" s="932">
        <v>0.7601</v>
      </c>
      <c r="D311" s="932">
        <v>0.72140000000000004</v>
      </c>
      <c r="E311" s="932">
        <v>0.72140000000000004</v>
      </c>
      <c r="F311" s="932">
        <v>0.72140000000000004</v>
      </c>
      <c r="G311" s="932">
        <v>0.61529999999999996</v>
      </c>
      <c r="H311" s="932">
        <v>0.61529999999999996</v>
      </c>
      <c r="I311" s="932">
        <v>0.53490000000000004</v>
      </c>
      <c r="J311" s="932">
        <v>0.53490000000000004</v>
      </c>
      <c r="K311" s="932">
        <v>0.53490000000000004</v>
      </c>
      <c r="L311" s="932">
        <v>0.53490000000000004</v>
      </c>
      <c r="M311" s="932">
        <v>0.53490000000000004</v>
      </c>
    </row>
    <row r="312" spans="1:13">
      <c r="A312" s="923">
        <v>4.3</v>
      </c>
      <c r="B312" s="932">
        <v>0.75700000000000001</v>
      </c>
      <c r="C312" s="932">
        <v>0.75700000000000001</v>
      </c>
      <c r="D312" s="932">
        <v>0.7177</v>
      </c>
      <c r="E312" s="932">
        <v>0.7177</v>
      </c>
      <c r="F312" s="932">
        <v>0.7177</v>
      </c>
      <c r="G312" s="932">
        <v>0.61109999999999998</v>
      </c>
      <c r="H312" s="932">
        <v>0.61109999999999998</v>
      </c>
      <c r="I312" s="932">
        <v>0.53049999999999997</v>
      </c>
      <c r="J312" s="932">
        <v>0.53049999999999997</v>
      </c>
      <c r="K312" s="932">
        <v>0.53049999999999997</v>
      </c>
      <c r="L312" s="932">
        <v>0.53049999999999997</v>
      </c>
      <c r="M312" s="932">
        <v>0.53049999999999997</v>
      </c>
    </row>
    <row r="313" spans="1:13">
      <c r="A313" s="923">
        <v>4.4000000000000004</v>
      </c>
      <c r="B313" s="932">
        <v>0.754</v>
      </c>
      <c r="C313" s="932">
        <v>0.754</v>
      </c>
      <c r="D313" s="932">
        <v>0.71409999999999996</v>
      </c>
      <c r="E313" s="932">
        <v>0.71409999999999996</v>
      </c>
      <c r="F313" s="932">
        <v>0.71409999999999996</v>
      </c>
      <c r="G313" s="932">
        <v>0.60709999999999997</v>
      </c>
      <c r="H313" s="932">
        <v>0.60709999999999997</v>
      </c>
      <c r="I313" s="932">
        <v>0.52639999999999998</v>
      </c>
      <c r="J313" s="932">
        <v>0.52639999999999998</v>
      </c>
      <c r="K313" s="932">
        <v>0.52639999999999998</v>
      </c>
      <c r="L313" s="932">
        <v>0.52639999999999998</v>
      </c>
      <c r="M313" s="932">
        <v>0.52639999999999998</v>
      </c>
    </row>
    <row r="314" spans="1:13">
      <c r="A314" s="923">
        <v>4.5</v>
      </c>
      <c r="B314" s="932">
        <v>0.75119999999999998</v>
      </c>
      <c r="C314" s="932">
        <v>0.75119999999999998</v>
      </c>
      <c r="D314" s="932">
        <v>0.71079999999999999</v>
      </c>
      <c r="E314" s="932">
        <v>0.71079999999999999</v>
      </c>
      <c r="F314" s="932">
        <v>0.71079999999999999</v>
      </c>
      <c r="G314" s="932">
        <v>0.60329999999999995</v>
      </c>
      <c r="H314" s="932">
        <v>0.60329999999999995</v>
      </c>
      <c r="I314" s="932">
        <v>0.52249999999999996</v>
      </c>
      <c r="J314" s="932">
        <v>0.52249999999999996</v>
      </c>
      <c r="K314" s="932">
        <v>0.52249999999999996</v>
      </c>
      <c r="L314" s="932">
        <v>0.52249999999999996</v>
      </c>
      <c r="M314" s="932">
        <v>0.52249999999999996</v>
      </c>
    </row>
    <row r="315" spans="1:13">
      <c r="A315" s="923">
        <v>4.5999999999999996</v>
      </c>
      <c r="B315" s="932">
        <v>0.74860000000000004</v>
      </c>
      <c r="C315" s="932">
        <v>0.74860000000000004</v>
      </c>
      <c r="D315" s="932">
        <v>0.70760000000000001</v>
      </c>
      <c r="E315" s="932">
        <v>0.70760000000000001</v>
      </c>
      <c r="F315" s="932">
        <v>0.70760000000000001</v>
      </c>
      <c r="G315" s="932">
        <v>0.59970000000000001</v>
      </c>
      <c r="H315" s="932">
        <v>0.59970000000000001</v>
      </c>
      <c r="I315" s="932">
        <v>0.51890000000000003</v>
      </c>
      <c r="J315" s="932">
        <v>0.51890000000000003</v>
      </c>
      <c r="K315" s="932">
        <v>0.51890000000000003</v>
      </c>
      <c r="L315" s="932">
        <v>0.51890000000000003</v>
      </c>
      <c r="M315" s="932">
        <v>0.51890000000000003</v>
      </c>
    </row>
    <row r="316" spans="1:13">
      <c r="A316" s="923">
        <v>4.7</v>
      </c>
      <c r="B316" s="932">
        <v>0.74609999999999999</v>
      </c>
      <c r="C316" s="932">
        <v>0.74609999999999999</v>
      </c>
      <c r="D316" s="932">
        <v>0.7046</v>
      </c>
      <c r="E316" s="932">
        <v>0.7046</v>
      </c>
      <c r="F316" s="932">
        <v>0.7046</v>
      </c>
      <c r="G316" s="932">
        <v>0.59630000000000005</v>
      </c>
      <c r="H316" s="932">
        <v>0.59630000000000005</v>
      </c>
      <c r="I316" s="932">
        <v>0.51529999999999998</v>
      </c>
      <c r="J316" s="932">
        <v>0.51529999999999998</v>
      </c>
      <c r="K316" s="932">
        <v>0.51529999999999998</v>
      </c>
      <c r="L316" s="932">
        <v>0.51529999999999998</v>
      </c>
      <c r="M316" s="932">
        <v>0.51529999999999998</v>
      </c>
    </row>
    <row r="317" spans="1:13">
      <c r="A317" s="923">
        <v>4.8</v>
      </c>
      <c r="B317" s="932">
        <v>0.74380000000000002</v>
      </c>
      <c r="C317" s="932">
        <v>0.74380000000000002</v>
      </c>
      <c r="D317" s="932">
        <v>0.70169999999999999</v>
      </c>
      <c r="E317" s="932">
        <v>0.70169999999999999</v>
      </c>
      <c r="F317" s="932">
        <v>0.70169999999999999</v>
      </c>
      <c r="G317" s="932">
        <v>0.59309999999999996</v>
      </c>
      <c r="H317" s="932">
        <v>0.59309999999999996</v>
      </c>
      <c r="I317" s="932">
        <v>0.5121</v>
      </c>
      <c r="J317" s="932">
        <v>0.5121</v>
      </c>
      <c r="K317" s="932">
        <v>0.5121</v>
      </c>
      <c r="L317" s="932">
        <v>0.5121</v>
      </c>
      <c r="M317" s="932">
        <v>0.5121</v>
      </c>
    </row>
    <row r="318" spans="1:13">
      <c r="A318" s="923">
        <v>4.9000000000000004</v>
      </c>
      <c r="B318" s="932">
        <v>0.74160000000000004</v>
      </c>
      <c r="C318" s="932">
        <v>0.74160000000000004</v>
      </c>
      <c r="D318" s="932">
        <v>0.69889999999999997</v>
      </c>
      <c r="E318" s="932">
        <v>0.69889999999999997</v>
      </c>
      <c r="F318" s="932">
        <v>0.69889999999999997</v>
      </c>
      <c r="G318" s="932">
        <v>0.59009999999999996</v>
      </c>
      <c r="H318" s="932">
        <v>0.59009999999999996</v>
      </c>
      <c r="I318" s="932">
        <v>0.50900000000000001</v>
      </c>
      <c r="J318" s="932">
        <v>0.50900000000000001</v>
      </c>
      <c r="K318" s="932">
        <v>0.50900000000000001</v>
      </c>
      <c r="L318" s="932">
        <v>0.50900000000000001</v>
      </c>
      <c r="M318" s="932">
        <v>0.50900000000000001</v>
      </c>
    </row>
    <row r="319" spans="1:13">
      <c r="A319" s="923">
        <v>5</v>
      </c>
      <c r="B319" s="932">
        <v>0.73950000000000005</v>
      </c>
      <c r="C319" s="932">
        <v>0.73950000000000005</v>
      </c>
      <c r="D319" s="932">
        <v>0.69620000000000004</v>
      </c>
      <c r="E319" s="932">
        <v>0.69620000000000004</v>
      </c>
      <c r="F319" s="932">
        <v>0.69620000000000004</v>
      </c>
      <c r="G319" s="932">
        <v>0.58720000000000006</v>
      </c>
      <c r="H319" s="932">
        <v>0.58720000000000006</v>
      </c>
      <c r="I319" s="932">
        <v>0.50609999999999999</v>
      </c>
      <c r="J319" s="932">
        <v>0.50609999999999999</v>
      </c>
      <c r="K319" s="932">
        <v>0.50609999999999999</v>
      </c>
      <c r="L319" s="932">
        <v>0.50609999999999999</v>
      </c>
      <c r="M319" s="932">
        <v>0.50609999999999999</v>
      </c>
    </row>
    <row r="320" spans="1:13">
      <c r="A320" s="923">
        <v>5.0999999999999996</v>
      </c>
      <c r="B320" s="932">
        <v>0.73750000000000004</v>
      </c>
      <c r="C320" s="932">
        <v>0.73750000000000004</v>
      </c>
      <c r="D320" s="932">
        <v>0.69359999999999999</v>
      </c>
      <c r="E320" s="932">
        <v>0.69359999999999999</v>
      </c>
      <c r="F320" s="932">
        <v>0.69359999999999999</v>
      </c>
      <c r="G320" s="932">
        <v>0.58440000000000003</v>
      </c>
      <c r="H320" s="932">
        <v>0.58440000000000003</v>
      </c>
      <c r="I320" s="932">
        <v>0.50329999999999997</v>
      </c>
      <c r="J320" s="932">
        <v>0.50329999999999997</v>
      </c>
      <c r="K320" s="932">
        <v>0.50329999999999997</v>
      </c>
      <c r="L320" s="932">
        <v>0.50329999999999997</v>
      </c>
      <c r="M320" s="932">
        <v>0.50329999999999997</v>
      </c>
    </row>
    <row r="321" spans="1:13">
      <c r="A321" s="923">
        <v>5.2</v>
      </c>
      <c r="B321" s="932">
        <v>0.73560000000000003</v>
      </c>
      <c r="C321" s="932">
        <v>0.73560000000000003</v>
      </c>
      <c r="D321" s="932">
        <v>0.69110000000000005</v>
      </c>
      <c r="E321" s="932">
        <v>0.69110000000000005</v>
      </c>
      <c r="F321" s="932">
        <v>0.69110000000000005</v>
      </c>
      <c r="G321" s="932">
        <v>0.58169999999999999</v>
      </c>
      <c r="H321" s="932">
        <v>0.58169999999999999</v>
      </c>
      <c r="I321" s="932">
        <v>0.50060000000000004</v>
      </c>
      <c r="J321" s="932">
        <v>0.50060000000000004</v>
      </c>
      <c r="K321" s="932">
        <v>0.50060000000000004</v>
      </c>
      <c r="L321" s="932">
        <v>0.50060000000000004</v>
      </c>
      <c r="M321" s="932">
        <v>0.50060000000000004</v>
      </c>
    </row>
    <row r="322" spans="1:13">
      <c r="A322" s="923">
        <v>5.3</v>
      </c>
      <c r="B322" s="932">
        <v>0.73380000000000001</v>
      </c>
      <c r="C322" s="932">
        <v>0.73380000000000001</v>
      </c>
      <c r="D322" s="932">
        <v>0.68869999999999998</v>
      </c>
      <c r="E322" s="932">
        <v>0.68869999999999998</v>
      </c>
      <c r="F322" s="932">
        <v>0.68869999999999998</v>
      </c>
      <c r="G322" s="932">
        <v>0.57909999999999995</v>
      </c>
      <c r="H322" s="932">
        <v>0.57909999999999995</v>
      </c>
      <c r="I322" s="932">
        <v>0.49809999999999999</v>
      </c>
      <c r="J322" s="932">
        <v>0.49809999999999999</v>
      </c>
      <c r="K322" s="932">
        <v>0.49809999999999999</v>
      </c>
      <c r="L322" s="932">
        <v>0.49809999999999999</v>
      </c>
      <c r="M322" s="932">
        <v>0.49809999999999999</v>
      </c>
    </row>
    <row r="323" spans="1:13">
      <c r="A323" s="923">
        <v>5.4</v>
      </c>
      <c r="B323" s="932">
        <v>0.73199999999999998</v>
      </c>
      <c r="C323" s="932">
        <v>0.73199999999999998</v>
      </c>
      <c r="D323" s="932">
        <v>0.68640000000000001</v>
      </c>
      <c r="E323" s="932">
        <v>0.68640000000000001</v>
      </c>
      <c r="F323" s="932">
        <v>0.68640000000000001</v>
      </c>
      <c r="G323" s="932">
        <v>0.57650000000000001</v>
      </c>
      <c r="H323" s="932">
        <v>0.57650000000000001</v>
      </c>
      <c r="I323" s="932">
        <v>0.49559999999999998</v>
      </c>
      <c r="J323" s="932">
        <v>0.49559999999999998</v>
      </c>
      <c r="K323" s="932">
        <v>0.49559999999999998</v>
      </c>
      <c r="L323" s="932">
        <v>0.49559999999999998</v>
      </c>
      <c r="M323" s="932">
        <v>0.49559999999999998</v>
      </c>
    </row>
    <row r="324" spans="1:13">
      <c r="A324" s="923">
        <v>5.5</v>
      </c>
      <c r="B324" s="932">
        <v>0.73009999999999997</v>
      </c>
      <c r="C324" s="932">
        <v>0.73009999999999997</v>
      </c>
      <c r="D324" s="932">
        <v>0.68420000000000003</v>
      </c>
      <c r="E324" s="932">
        <v>0.68420000000000003</v>
      </c>
      <c r="F324" s="932">
        <v>0.68420000000000003</v>
      </c>
      <c r="G324" s="932">
        <v>0.57399999999999995</v>
      </c>
      <c r="H324" s="932">
        <v>0.57399999999999995</v>
      </c>
      <c r="I324" s="932">
        <v>0.49320000000000003</v>
      </c>
      <c r="J324" s="932">
        <v>0.49320000000000003</v>
      </c>
      <c r="K324" s="932">
        <v>0.49320000000000003</v>
      </c>
      <c r="L324" s="932">
        <v>0.49320000000000003</v>
      </c>
      <c r="M324" s="932">
        <v>0.49320000000000003</v>
      </c>
    </row>
    <row r="325" spans="1:13">
      <c r="A325" s="923">
        <v>5.6</v>
      </c>
      <c r="B325" s="932">
        <v>0.72819999999999996</v>
      </c>
      <c r="C325" s="932">
        <v>0.72819999999999996</v>
      </c>
      <c r="D325" s="932">
        <v>0.68200000000000005</v>
      </c>
      <c r="E325" s="932">
        <v>0.68200000000000005</v>
      </c>
      <c r="F325" s="932">
        <v>0.68200000000000005</v>
      </c>
      <c r="G325" s="932">
        <v>0.57150000000000001</v>
      </c>
      <c r="H325" s="932">
        <v>0.57150000000000001</v>
      </c>
      <c r="I325" s="932">
        <v>0.49080000000000001</v>
      </c>
      <c r="J325" s="932">
        <v>0.49080000000000001</v>
      </c>
      <c r="K325" s="932">
        <v>0.49080000000000001</v>
      </c>
      <c r="L325" s="932">
        <v>0.49080000000000001</v>
      </c>
      <c r="M325" s="932">
        <v>0.49080000000000001</v>
      </c>
    </row>
    <row r="326" spans="1:13">
      <c r="A326" s="923">
        <v>5.7</v>
      </c>
      <c r="B326" s="932">
        <v>0.72640000000000005</v>
      </c>
      <c r="C326" s="932">
        <v>0.72640000000000005</v>
      </c>
      <c r="D326" s="932">
        <v>0.67989999999999995</v>
      </c>
      <c r="E326" s="932">
        <v>0.67989999999999995</v>
      </c>
      <c r="F326" s="932">
        <v>0.67989999999999995</v>
      </c>
      <c r="G326" s="932">
        <v>0.56899999999999995</v>
      </c>
      <c r="H326" s="932">
        <v>0.56899999999999995</v>
      </c>
      <c r="I326" s="932">
        <v>0.4884</v>
      </c>
      <c r="J326" s="932">
        <v>0.4884</v>
      </c>
      <c r="K326" s="932">
        <v>0.4884</v>
      </c>
      <c r="L326" s="932">
        <v>0.4884</v>
      </c>
      <c r="M326" s="932">
        <v>0.4884</v>
      </c>
    </row>
    <row r="327" spans="1:13">
      <c r="A327" s="923">
        <v>5.8</v>
      </c>
      <c r="B327" s="932">
        <v>0.72460000000000002</v>
      </c>
      <c r="C327" s="932">
        <v>0.72460000000000002</v>
      </c>
      <c r="D327" s="932">
        <v>0.67779999999999996</v>
      </c>
      <c r="E327" s="932">
        <v>0.67779999999999996</v>
      </c>
      <c r="F327" s="932">
        <v>0.67779999999999996</v>
      </c>
      <c r="G327" s="932">
        <v>0.56659999999999999</v>
      </c>
      <c r="H327" s="932">
        <v>0.56659999999999999</v>
      </c>
      <c r="I327" s="932">
        <v>0.48609999999999998</v>
      </c>
      <c r="J327" s="932">
        <v>0.48609999999999998</v>
      </c>
      <c r="K327" s="932">
        <v>0.48609999999999998</v>
      </c>
      <c r="L327" s="932">
        <v>0.48609999999999998</v>
      </c>
      <c r="M327" s="932">
        <v>0.48609999999999998</v>
      </c>
    </row>
    <row r="328" spans="1:13">
      <c r="A328" s="923">
        <v>5.9</v>
      </c>
      <c r="B328" s="932">
        <v>0.7228</v>
      </c>
      <c r="C328" s="932">
        <v>0.7228</v>
      </c>
      <c r="D328" s="932">
        <v>0.67569999999999997</v>
      </c>
      <c r="E328" s="932">
        <v>0.67569999999999997</v>
      </c>
      <c r="F328" s="932">
        <v>0.67569999999999997</v>
      </c>
      <c r="G328" s="932">
        <v>0.56420000000000003</v>
      </c>
      <c r="H328" s="932">
        <v>0.56420000000000003</v>
      </c>
      <c r="I328" s="932">
        <v>0.48380000000000001</v>
      </c>
      <c r="J328" s="932">
        <v>0.48380000000000001</v>
      </c>
      <c r="K328" s="932">
        <v>0.48380000000000001</v>
      </c>
      <c r="L328" s="932">
        <v>0.48380000000000001</v>
      </c>
      <c r="M328" s="932">
        <v>0.48380000000000001</v>
      </c>
    </row>
    <row r="329" spans="1:13">
      <c r="A329" s="939">
        <v>6</v>
      </c>
      <c r="B329" s="932">
        <v>0.72099999999999997</v>
      </c>
      <c r="C329" s="932">
        <v>0.72099999999999997</v>
      </c>
      <c r="D329" s="932">
        <v>0.67359999999999998</v>
      </c>
      <c r="E329" s="932">
        <v>0.67359999999999998</v>
      </c>
      <c r="F329" s="932">
        <v>0.67359999999999998</v>
      </c>
      <c r="G329" s="932">
        <v>0.56179999999999997</v>
      </c>
      <c r="H329" s="932">
        <v>0.56179999999999997</v>
      </c>
      <c r="I329" s="932">
        <v>0.48159999999999997</v>
      </c>
      <c r="J329" s="932">
        <v>0.48159999999999997</v>
      </c>
      <c r="K329" s="932">
        <v>0.48159999999999997</v>
      </c>
      <c r="L329" s="932">
        <v>0.48159999999999997</v>
      </c>
      <c r="M329" s="932">
        <v>0.48159999999999997</v>
      </c>
    </row>
    <row r="330" spans="1:13">
      <c r="A330" s="939">
        <v>6.1</v>
      </c>
      <c r="B330" s="932">
        <v>0.71930000000000005</v>
      </c>
      <c r="C330" s="932">
        <v>0.71930000000000005</v>
      </c>
      <c r="D330" s="932">
        <v>0.67159999999999997</v>
      </c>
      <c r="E330" s="932">
        <v>0.67159999999999997</v>
      </c>
      <c r="F330" s="932">
        <v>0.67159999999999997</v>
      </c>
      <c r="G330" s="932">
        <v>0.55940000000000001</v>
      </c>
      <c r="H330" s="932">
        <v>0.55940000000000001</v>
      </c>
      <c r="I330" s="932">
        <v>0.4793</v>
      </c>
      <c r="J330" s="932">
        <v>0.4793</v>
      </c>
      <c r="K330" s="932">
        <v>0.4793</v>
      </c>
      <c r="L330" s="932">
        <v>0.4793</v>
      </c>
      <c r="M330" s="932">
        <v>0.4793</v>
      </c>
    </row>
    <row r="331" spans="1:13">
      <c r="A331" s="939">
        <v>6.2</v>
      </c>
      <c r="B331" s="932">
        <v>0.71760000000000002</v>
      </c>
      <c r="C331" s="932">
        <v>0.71760000000000002</v>
      </c>
      <c r="D331" s="932">
        <v>0.66959999999999997</v>
      </c>
      <c r="E331" s="932">
        <v>0.66959999999999997</v>
      </c>
      <c r="F331" s="932">
        <v>0.66959999999999997</v>
      </c>
      <c r="G331" s="932">
        <v>0.55710000000000004</v>
      </c>
      <c r="H331" s="932">
        <v>0.55710000000000004</v>
      </c>
      <c r="I331" s="932">
        <v>0.47710000000000002</v>
      </c>
      <c r="J331" s="932">
        <v>0.47710000000000002</v>
      </c>
      <c r="K331" s="932">
        <v>0.47710000000000002</v>
      </c>
      <c r="L331" s="932">
        <v>0.47710000000000002</v>
      </c>
      <c r="M331" s="932">
        <v>0.47710000000000002</v>
      </c>
    </row>
    <row r="332" spans="1:13">
      <c r="A332" s="939">
        <v>6.3</v>
      </c>
      <c r="B332" s="932">
        <v>0.71589999999999998</v>
      </c>
      <c r="C332" s="932">
        <v>0.71589999999999998</v>
      </c>
      <c r="D332" s="932">
        <v>0.66759999999999997</v>
      </c>
      <c r="E332" s="932">
        <v>0.66759999999999997</v>
      </c>
      <c r="F332" s="932">
        <v>0.66759999999999997</v>
      </c>
      <c r="G332" s="932">
        <v>0.55479999999999996</v>
      </c>
      <c r="H332" s="932">
        <v>0.55479999999999996</v>
      </c>
      <c r="I332" s="932">
        <v>0.47489999999999999</v>
      </c>
      <c r="J332" s="932">
        <v>0.47489999999999999</v>
      </c>
      <c r="K332" s="932">
        <v>0.47489999999999999</v>
      </c>
      <c r="L332" s="932">
        <v>0.47489999999999999</v>
      </c>
      <c r="M332" s="932">
        <v>0.47489999999999999</v>
      </c>
    </row>
    <row r="333" spans="1:13">
      <c r="A333" s="939">
        <v>6.4</v>
      </c>
      <c r="B333" s="932">
        <v>0.71419999999999995</v>
      </c>
      <c r="C333" s="932">
        <v>0.71419999999999995</v>
      </c>
      <c r="D333" s="932">
        <v>0.66559999999999997</v>
      </c>
      <c r="E333" s="932">
        <v>0.66559999999999997</v>
      </c>
      <c r="F333" s="932">
        <v>0.66559999999999997</v>
      </c>
      <c r="G333" s="932">
        <v>0.55249999999999999</v>
      </c>
      <c r="H333" s="932">
        <v>0.55249999999999999</v>
      </c>
      <c r="I333" s="932">
        <v>0.47270000000000001</v>
      </c>
      <c r="J333" s="932">
        <v>0.47270000000000001</v>
      </c>
      <c r="K333" s="932">
        <v>0.47270000000000001</v>
      </c>
      <c r="L333" s="932">
        <v>0.47270000000000001</v>
      </c>
      <c r="M333" s="932">
        <v>0.47270000000000001</v>
      </c>
    </row>
    <row r="334" spans="1:13">
      <c r="A334" s="939">
        <v>6.5</v>
      </c>
      <c r="B334" s="932">
        <v>0.71250000000000002</v>
      </c>
      <c r="C334" s="932">
        <v>0.71250000000000002</v>
      </c>
      <c r="D334" s="932">
        <v>0.66359999999999997</v>
      </c>
      <c r="E334" s="932">
        <v>0.66359999999999997</v>
      </c>
      <c r="F334" s="932">
        <v>0.66359999999999997</v>
      </c>
      <c r="G334" s="932">
        <v>0.55020000000000002</v>
      </c>
      <c r="H334" s="932">
        <v>0.55020000000000002</v>
      </c>
      <c r="I334" s="932">
        <v>0.47060000000000002</v>
      </c>
      <c r="J334" s="932">
        <v>0.47060000000000002</v>
      </c>
      <c r="K334" s="932">
        <v>0.47060000000000002</v>
      </c>
      <c r="L334" s="932">
        <v>0.47060000000000002</v>
      </c>
      <c r="M334" s="932">
        <v>0.47060000000000002</v>
      </c>
    </row>
    <row r="335" spans="1:13">
      <c r="A335" s="939">
        <v>6.6</v>
      </c>
      <c r="B335" s="932">
        <v>0.71089999999999998</v>
      </c>
      <c r="C335" s="932">
        <v>0.71089999999999998</v>
      </c>
      <c r="D335" s="932">
        <v>0.66159999999999997</v>
      </c>
      <c r="E335" s="932">
        <v>0.66159999999999997</v>
      </c>
      <c r="F335" s="932">
        <v>0.66159999999999997</v>
      </c>
      <c r="G335" s="932">
        <v>0.54800000000000004</v>
      </c>
      <c r="H335" s="932">
        <v>0.54800000000000004</v>
      </c>
      <c r="I335" s="932">
        <v>0.46839999999999998</v>
      </c>
      <c r="J335" s="932">
        <v>0.46839999999999998</v>
      </c>
      <c r="K335" s="932">
        <v>0.46839999999999998</v>
      </c>
      <c r="L335" s="932">
        <v>0.46839999999999998</v>
      </c>
      <c r="M335" s="932">
        <v>0.46839999999999998</v>
      </c>
    </row>
    <row r="336" spans="1:13">
      <c r="A336" s="939">
        <v>6.7</v>
      </c>
      <c r="B336" s="932">
        <v>0.70930000000000004</v>
      </c>
      <c r="C336" s="932">
        <v>0.70930000000000004</v>
      </c>
      <c r="D336" s="932">
        <v>0.65969999999999995</v>
      </c>
      <c r="E336" s="932">
        <v>0.65969999999999995</v>
      </c>
      <c r="F336" s="932">
        <v>0.65969999999999995</v>
      </c>
      <c r="G336" s="932">
        <v>0.54579999999999995</v>
      </c>
      <c r="H336" s="932">
        <v>0.54579999999999995</v>
      </c>
      <c r="I336" s="932">
        <v>0.46629999999999999</v>
      </c>
      <c r="J336" s="932">
        <v>0.46629999999999999</v>
      </c>
      <c r="K336" s="932">
        <v>0.46629999999999999</v>
      </c>
      <c r="L336" s="932">
        <v>0.46629999999999999</v>
      </c>
      <c r="M336" s="932">
        <v>0.46629999999999999</v>
      </c>
    </row>
    <row r="337" spans="1:13">
      <c r="A337" s="939">
        <v>6.8</v>
      </c>
      <c r="B337" s="932">
        <v>0.7077</v>
      </c>
      <c r="C337" s="932">
        <v>0.7077</v>
      </c>
      <c r="D337" s="932">
        <v>0.65780000000000005</v>
      </c>
      <c r="E337" s="932">
        <v>0.65780000000000005</v>
      </c>
      <c r="F337" s="932">
        <v>0.65780000000000005</v>
      </c>
      <c r="G337" s="932">
        <v>0.54359999999999997</v>
      </c>
      <c r="H337" s="932">
        <v>0.54359999999999997</v>
      </c>
      <c r="I337" s="932">
        <v>0.46410000000000001</v>
      </c>
      <c r="J337" s="932">
        <v>0.46410000000000001</v>
      </c>
      <c r="K337" s="932">
        <v>0.46410000000000001</v>
      </c>
      <c r="L337" s="932">
        <v>0.46410000000000001</v>
      </c>
      <c r="M337" s="932">
        <v>0.46410000000000001</v>
      </c>
    </row>
    <row r="338" spans="1:13">
      <c r="A338" s="939">
        <v>6.9</v>
      </c>
      <c r="B338" s="932">
        <v>0.70609999999999995</v>
      </c>
      <c r="C338" s="932">
        <v>0.70609999999999995</v>
      </c>
      <c r="D338" s="932">
        <v>0.65590000000000004</v>
      </c>
      <c r="E338" s="932">
        <v>0.65590000000000004</v>
      </c>
      <c r="F338" s="932">
        <v>0.65590000000000004</v>
      </c>
      <c r="G338" s="932">
        <v>0.54139999999999999</v>
      </c>
      <c r="H338" s="932">
        <v>0.54139999999999999</v>
      </c>
      <c r="I338" s="932">
        <v>0.46200000000000002</v>
      </c>
      <c r="J338" s="932">
        <v>0.46200000000000002</v>
      </c>
      <c r="K338" s="932">
        <v>0.46200000000000002</v>
      </c>
      <c r="L338" s="932">
        <v>0.46200000000000002</v>
      </c>
      <c r="M338" s="932">
        <v>0.46200000000000002</v>
      </c>
    </row>
    <row r="339" spans="1:13">
      <c r="A339" s="939">
        <v>7</v>
      </c>
      <c r="B339" s="932">
        <v>0.70450000000000002</v>
      </c>
      <c r="C339" s="932">
        <v>0.70450000000000002</v>
      </c>
      <c r="D339" s="932">
        <v>0.65400000000000003</v>
      </c>
      <c r="E339" s="932">
        <v>0.65400000000000003</v>
      </c>
      <c r="F339" s="932">
        <v>0.65400000000000003</v>
      </c>
      <c r="G339" s="932">
        <v>0.53920000000000001</v>
      </c>
      <c r="H339" s="932">
        <v>0.53920000000000001</v>
      </c>
      <c r="I339" s="932">
        <v>0.45979999999999999</v>
      </c>
      <c r="J339" s="932">
        <v>0.45979999999999999</v>
      </c>
      <c r="K339" s="932">
        <v>0.45979999999999999</v>
      </c>
      <c r="L339" s="932">
        <v>0.45979999999999999</v>
      </c>
      <c r="M339" s="932">
        <v>0.45979999999999999</v>
      </c>
    </row>
    <row r="340" spans="1:13">
      <c r="A340" s="939">
        <v>7.1</v>
      </c>
      <c r="B340" s="932">
        <v>0.70289999999999997</v>
      </c>
      <c r="C340" s="932">
        <v>0.70289999999999997</v>
      </c>
      <c r="D340" s="932">
        <v>0.65210000000000001</v>
      </c>
      <c r="E340" s="932">
        <v>0.65210000000000001</v>
      </c>
      <c r="F340" s="932">
        <v>0.65210000000000001</v>
      </c>
      <c r="G340" s="932">
        <v>0.53710000000000002</v>
      </c>
      <c r="H340" s="932">
        <v>0.53710000000000002</v>
      </c>
      <c r="I340" s="932">
        <v>0.45779999999999998</v>
      </c>
      <c r="J340" s="932">
        <v>0.45779999999999998</v>
      </c>
      <c r="K340" s="932">
        <v>0.45779999999999998</v>
      </c>
      <c r="L340" s="932">
        <v>0.45779999999999998</v>
      </c>
      <c r="M340" s="932">
        <v>0.45779999999999998</v>
      </c>
    </row>
    <row r="341" spans="1:13">
      <c r="A341" s="939">
        <v>7.2</v>
      </c>
      <c r="B341" s="932">
        <v>0.70140000000000002</v>
      </c>
      <c r="C341" s="932">
        <v>0.70140000000000002</v>
      </c>
      <c r="D341" s="932">
        <v>0.6502</v>
      </c>
      <c r="E341" s="932">
        <v>0.6502</v>
      </c>
      <c r="F341" s="932">
        <v>0.6502</v>
      </c>
      <c r="G341" s="932">
        <v>0.53500000000000003</v>
      </c>
      <c r="H341" s="932">
        <v>0.53500000000000003</v>
      </c>
      <c r="I341" s="932">
        <v>0.45569999999999999</v>
      </c>
      <c r="J341" s="932">
        <v>0.45569999999999999</v>
      </c>
      <c r="K341" s="932">
        <v>0.45569999999999999</v>
      </c>
      <c r="L341" s="932">
        <v>0.45569999999999999</v>
      </c>
      <c r="M341" s="932">
        <v>0.45569999999999999</v>
      </c>
    </row>
    <row r="342" spans="1:13">
      <c r="A342" s="939">
        <v>7.3</v>
      </c>
      <c r="B342" s="932">
        <v>0.69989999999999997</v>
      </c>
      <c r="C342" s="932">
        <v>0.69989999999999997</v>
      </c>
      <c r="D342" s="932">
        <v>0.64829999999999999</v>
      </c>
      <c r="E342" s="932">
        <v>0.64829999999999999</v>
      </c>
      <c r="F342" s="932">
        <v>0.64829999999999999</v>
      </c>
      <c r="G342" s="932">
        <v>0.53290000000000004</v>
      </c>
      <c r="H342" s="932">
        <v>0.53290000000000004</v>
      </c>
      <c r="I342" s="932">
        <v>0.45369999999999999</v>
      </c>
      <c r="J342" s="932">
        <v>0.45369999999999999</v>
      </c>
      <c r="K342" s="932">
        <v>0.45369999999999999</v>
      </c>
      <c r="L342" s="932">
        <v>0.45369999999999999</v>
      </c>
      <c r="M342" s="932">
        <v>0.45369999999999999</v>
      </c>
    </row>
    <row r="343" spans="1:13">
      <c r="A343" s="939">
        <v>7.4</v>
      </c>
      <c r="B343" s="932">
        <v>0.69840000000000002</v>
      </c>
      <c r="C343" s="932">
        <v>0.69840000000000002</v>
      </c>
      <c r="D343" s="932">
        <v>0.64649999999999996</v>
      </c>
      <c r="E343" s="932">
        <v>0.64649999999999996</v>
      </c>
      <c r="F343" s="932">
        <v>0.64649999999999996</v>
      </c>
      <c r="G343" s="932">
        <v>0.53080000000000005</v>
      </c>
      <c r="H343" s="932">
        <v>0.53080000000000005</v>
      </c>
      <c r="I343" s="932">
        <v>0.4516</v>
      </c>
      <c r="J343" s="932">
        <v>0.4516</v>
      </c>
      <c r="K343" s="932">
        <v>0.4516</v>
      </c>
      <c r="L343" s="932">
        <v>0.4516</v>
      </c>
      <c r="M343" s="932">
        <v>0.4516</v>
      </c>
    </row>
    <row r="344" spans="1:13">
      <c r="A344" s="939">
        <v>7.5</v>
      </c>
      <c r="B344" s="932">
        <v>0.69689999999999996</v>
      </c>
      <c r="C344" s="932">
        <v>0.69689999999999996</v>
      </c>
      <c r="D344" s="932">
        <v>0.64470000000000005</v>
      </c>
      <c r="E344" s="932">
        <v>0.64470000000000005</v>
      </c>
      <c r="F344" s="932">
        <v>0.64470000000000005</v>
      </c>
      <c r="G344" s="932">
        <v>0.52869999999999995</v>
      </c>
      <c r="H344" s="932">
        <v>0.52869999999999995</v>
      </c>
      <c r="I344" s="932">
        <v>0.44950000000000001</v>
      </c>
      <c r="J344" s="932">
        <v>0.44950000000000001</v>
      </c>
      <c r="K344" s="932">
        <v>0.44950000000000001</v>
      </c>
      <c r="L344" s="932">
        <v>0.44950000000000001</v>
      </c>
      <c r="M344" s="932">
        <v>0.44950000000000001</v>
      </c>
    </row>
    <row r="345" spans="1:13">
      <c r="A345" s="939">
        <v>7.6</v>
      </c>
      <c r="B345" s="932">
        <v>0.69540000000000002</v>
      </c>
      <c r="C345" s="932">
        <v>0.69540000000000002</v>
      </c>
      <c r="D345" s="932">
        <v>0.64290000000000003</v>
      </c>
      <c r="E345" s="932">
        <v>0.64290000000000003</v>
      </c>
      <c r="F345" s="932">
        <v>0.64290000000000003</v>
      </c>
      <c r="G345" s="932">
        <v>0.52659999999999996</v>
      </c>
      <c r="H345" s="932">
        <v>0.52659999999999996</v>
      </c>
      <c r="I345" s="932">
        <v>0.44750000000000001</v>
      </c>
      <c r="J345" s="932">
        <v>0.44750000000000001</v>
      </c>
      <c r="K345" s="932">
        <v>0.44750000000000001</v>
      </c>
      <c r="L345" s="932">
        <v>0.44750000000000001</v>
      </c>
      <c r="M345" s="932">
        <v>0.44750000000000001</v>
      </c>
    </row>
    <row r="346" spans="1:13">
      <c r="A346" s="939">
        <v>7.7</v>
      </c>
      <c r="B346" s="932">
        <v>0.69389999999999996</v>
      </c>
      <c r="C346" s="932">
        <v>0.69389999999999996</v>
      </c>
      <c r="D346" s="932">
        <v>0.6411</v>
      </c>
      <c r="E346" s="932">
        <v>0.6411</v>
      </c>
      <c r="F346" s="932">
        <v>0.6411</v>
      </c>
      <c r="G346" s="932">
        <v>0.52459999999999996</v>
      </c>
      <c r="H346" s="932">
        <v>0.52459999999999996</v>
      </c>
      <c r="I346" s="932">
        <v>0.44540000000000002</v>
      </c>
      <c r="J346" s="932">
        <v>0.44540000000000002</v>
      </c>
      <c r="K346" s="932">
        <v>0.44540000000000002</v>
      </c>
      <c r="L346" s="932">
        <v>0.44540000000000002</v>
      </c>
      <c r="M346" s="932">
        <v>0.44540000000000002</v>
      </c>
    </row>
    <row r="347" spans="1:13">
      <c r="A347" s="939">
        <v>7.8</v>
      </c>
      <c r="B347" s="932">
        <v>0.69240000000000002</v>
      </c>
      <c r="C347" s="932">
        <v>0.69240000000000002</v>
      </c>
      <c r="D347" s="932">
        <v>0.63929999999999998</v>
      </c>
      <c r="E347" s="932">
        <v>0.63929999999999998</v>
      </c>
      <c r="F347" s="932">
        <v>0.63929999999999998</v>
      </c>
      <c r="G347" s="932">
        <v>0.52259999999999995</v>
      </c>
      <c r="H347" s="932">
        <v>0.52259999999999995</v>
      </c>
      <c r="I347" s="932">
        <v>0.44340000000000002</v>
      </c>
      <c r="J347" s="932">
        <v>0.44340000000000002</v>
      </c>
      <c r="K347" s="932">
        <v>0.44340000000000002</v>
      </c>
      <c r="L347" s="932">
        <v>0.44340000000000002</v>
      </c>
      <c r="M347" s="932">
        <v>0.44340000000000002</v>
      </c>
    </row>
    <row r="348" spans="1:13">
      <c r="A348" s="939">
        <v>7.9</v>
      </c>
      <c r="B348" s="932">
        <v>0.69099999999999995</v>
      </c>
      <c r="C348" s="932">
        <v>0.69099999999999995</v>
      </c>
      <c r="D348" s="932">
        <v>0.63749999999999996</v>
      </c>
      <c r="E348" s="932">
        <v>0.63749999999999996</v>
      </c>
      <c r="F348" s="932">
        <v>0.63749999999999996</v>
      </c>
      <c r="G348" s="932">
        <v>0.52059999999999995</v>
      </c>
      <c r="H348" s="932">
        <v>0.52059999999999995</v>
      </c>
      <c r="I348" s="932">
        <v>0.44130000000000003</v>
      </c>
      <c r="J348" s="932">
        <v>0.44130000000000003</v>
      </c>
      <c r="K348" s="932">
        <v>0.44130000000000003</v>
      </c>
      <c r="L348" s="932">
        <v>0.44130000000000003</v>
      </c>
      <c r="M348" s="932">
        <v>0.44130000000000003</v>
      </c>
    </row>
    <row r="349" spans="1:13">
      <c r="A349" s="939">
        <v>8</v>
      </c>
      <c r="B349" s="932">
        <v>0.68959999999999999</v>
      </c>
      <c r="C349" s="932">
        <v>0.68959999999999999</v>
      </c>
      <c r="D349" s="932">
        <v>0.63570000000000004</v>
      </c>
      <c r="E349" s="932">
        <v>0.63570000000000004</v>
      </c>
      <c r="F349" s="932">
        <v>0.63570000000000004</v>
      </c>
      <c r="G349" s="932">
        <v>0.51859999999999995</v>
      </c>
      <c r="H349" s="932">
        <v>0.51859999999999995</v>
      </c>
      <c r="I349" s="932">
        <v>0.43919999999999998</v>
      </c>
      <c r="J349" s="932">
        <v>0.43919999999999998</v>
      </c>
      <c r="K349" s="932">
        <v>0.43919999999999998</v>
      </c>
      <c r="L349" s="932">
        <v>0.43919999999999998</v>
      </c>
      <c r="M349" s="932">
        <v>0.43919999999999998</v>
      </c>
    </row>
    <row r="350" spans="1:13">
      <c r="A350" s="939">
        <v>8.1</v>
      </c>
      <c r="B350" s="932">
        <v>0.68820000000000003</v>
      </c>
      <c r="C350" s="932">
        <v>0.68820000000000003</v>
      </c>
      <c r="D350" s="932">
        <v>0.63390000000000002</v>
      </c>
      <c r="E350" s="932">
        <v>0.63390000000000002</v>
      </c>
      <c r="F350" s="932">
        <v>0.63390000000000002</v>
      </c>
      <c r="G350" s="932">
        <v>0.51659999999999995</v>
      </c>
      <c r="H350" s="932">
        <v>0.51659999999999995</v>
      </c>
      <c r="I350" s="932">
        <v>0.43730000000000002</v>
      </c>
      <c r="J350" s="932">
        <v>0.43730000000000002</v>
      </c>
      <c r="K350" s="932">
        <v>0.43730000000000002</v>
      </c>
      <c r="L350" s="932">
        <v>0.43730000000000002</v>
      </c>
      <c r="M350" s="932">
        <v>0.43730000000000002</v>
      </c>
    </row>
    <row r="351" spans="1:13">
      <c r="A351" s="939">
        <v>8.1999999999999993</v>
      </c>
      <c r="B351" s="932">
        <v>0.68679999999999997</v>
      </c>
      <c r="C351" s="932">
        <v>0.68679999999999997</v>
      </c>
      <c r="D351" s="932">
        <v>0.63219999999999998</v>
      </c>
      <c r="E351" s="932">
        <v>0.63219999999999998</v>
      </c>
      <c r="F351" s="932">
        <v>0.63219999999999998</v>
      </c>
      <c r="G351" s="932">
        <v>0.51459999999999995</v>
      </c>
      <c r="H351" s="932">
        <v>0.51459999999999995</v>
      </c>
      <c r="I351" s="932">
        <v>0.43530000000000002</v>
      </c>
      <c r="J351" s="932">
        <v>0.43530000000000002</v>
      </c>
      <c r="K351" s="932">
        <v>0.43530000000000002</v>
      </c>
      <c r="L351" s="932">
        <v>0.43530000000000002</v>
      </c>
      <c r="M351" s="932">
        <v>0.43530000000000002</v>
      </c>
    </row>
    <row r="352" spans="1:13">
      <c r="A352" s="939">
        <v>8.3000000000000007</v>
      </c>
      <c r="B352" s="932">
        <v>0.68540000000000001</v>
      </c>
      <c r="C352" s="932">
        <v>0.68540000000000001</v>
      </c>
      <c r="D352" s="932">
        <v>0.63049999999999995</v>
      </c>
      <c r="E352" s="932">
        <v>0.63049999999999995</v>
      </c>
      <c r="F352" s="932">
        <v>0.63049999999999995</v>
      </c>
      <c r="G352" s="932">
        <v>0.51259999999999994</v>
      </c>
      <c r="H352" s="932">
        <v>0.51259999999999994</v>
      </c>
      <c r="I352" s="932">
        <v>0.43330000000000002</v>
      </c>
      <c r="J352" s="932">
        <v>0.43330000000000002</v>
      </c>
      <c r="K352" s="932">
        <v>0.43330000000000002</v>
      </c>
      <c r="L352" s="932">
        <v>0.43330000000000002</v>
      </c>
      <c r="M352" s="932">
        <v>0.43330000000000002</v>
      </c>
    </row>
    <row r="353" spans="1:13">
      <c r="A353" s="939">
        <v>8.4</v>
      </c>
      <c r="B353" s="932">
        <v>0.68400000000000005</v>
      </c>
      <c r="C353" s="932">
        <v>0.68400000000000005</v>
      </c>
      <c r="D353" s="932">
        <v>0.62880000000000003</v>
      </c>
      <c r="E353" s="932">
        <v>0.62880000000000003</v>
      </c>
      <c r="F353" s="932">
        <v>0.62880000000000003</v>
      </c>
      <c r="G353" s="932">
        <v>0.51070000000000004</v>
      </c>
      <c r="H353" s="932">
        <v>0.51070000000000004</v>
      </c>
      <c r="I353" s="932">
        <v>0.43130000000000002</v>
      </c>
      <c r="J353" s="932">
        <v>0.43130000000000002</v>
      </c>
      <c r="K353" s="932">
        <v>0.43130000000000002</v>
      </c>
      <c r="L353" s="932">
        <v>0.43130000000000002</v>
      </c>
      <c r="M353" s="932">
        <v>0.43130000000000002</v>
      </c>
    </row>
    <row r="354" spans="1:13">
      <c r="A354" s="939">
        <v>8.5</v>
      </c>
      <c r="B354" s="932">
        <v>0.68259999999999998</v>
      </c>
      <c r="C354" s="932">
        <v>0.68259999999999998</v>
      </c>
      <c r="D354" s="932">
        <v>0.62709999999999999</v>
      </c>
      <c r="E354" s="932">
        <v>0.62709999999999999</v>
      </c>
      <c r="F354" s="932">
        <v>0.62709999999999999</v>
      </c>
      <c r="G354" s="932">
        <v>0.50880000000000003</v>
      </c>
      <c r="H354" s="932">
        <v>0.50880000000000003</v>
      </c>
      <c r="I354" s="932">
        <v>0.4294</v>
      </c>
      <c r="J354" s="932">
        <v>0.4294</v>
      </c>
      <c r="K354" s="932">
        <v>0.4294</v>
      </c>
      <c r="L354" s="932">
        <v>0.4294</v>
      </c>
      <c r="M354" s="932">
        <v>0.4294</v>
      </c>
    </row>
    <row r="355" spans="1:13">
      <c r="A355" s="939">
        <v>8.6</v>
      </c>
      <c r="B355" s="932">
        <v>0.68120000000000003</v>
      </c>
      <c r="C355" s="932">
        <v>0.68120000000000003</v>
      </c>
      <c r="D355" s="932">
        <v>0.62539999999999996</v>
      </c>
      <c r="E355" s="932">
        <v>0.62539999999999996</v>
      </c>
      <c r="F355" s="932">
        <v>0.62539999999999996</v>
      </c>
      <c r="G355" s="932">
        <v>0.50690000000000002</v>
      </c>
      <c r="H355" s="932">
        <v>0.50690000000000002</v>
      </c>
      <c r="I355" s="932">
        <v>0.4274</v>
      </c>
      <c r="J355" s="932">
        <v>0.4274</v>
      </c>
      <c r="K355" s="932">
        <v>0.4274</v>
      </c>
      <c r="L355" s="932">
        <v>0.4274</v>
      </c>
      <c r="M355" s="932">
        <v>0.4274</v>
      </c>
    </row>
    <row r="356" spans="1:13">
      <c r="A356" s="939">
        <v>8.6999999999999993</v>
      </c>
      <c r="B356" s="932">
        <v>0.67989999999999995</v>
      </c>
      <c r="C356" s="932">
        <v>0.67989999999999995</v>
      </c>
      <c r="D356" s="932">
        <v>0.62370000000000003</v>
      </c>
      <c r="E356" s="932">
        <v>0.62370000000000003</v>
      </c>
      <c r="F356" s="932">
        <v>0.62370000000000003</v>
      </c>
      <c r="G356" s="932">
        <v>0.505</v>
      </c>
      <c r="H356" s="932">
        <v>0.505</v>
      </c>
      <c r="I356" s="932">
        <v>0.4254</v>
      </c>
      <c r="J356" s="932">
        <v>0.4254</v>
      </c>
      <c r="K356" s="932">
        <v>0.4254</v>
      </c>
      <c r="L356" s="932">
        <v>0.4254</v>
      </c>
      <c r="M356" s="932">
        <v>0.4254</v>
      </c>
    </row>
    <row r="357" spans="1:13">
      <c r="A357" s="939">
        <v>8.8000000000000007</v>
      </c>
      <c r="B357" s="932">
        <v>0.67859999999999998</v>
      </c>
      <c r="C357" s="932">
        <v>0.67859999999999998</v>
      </c>
      <c r="D357" s="932">
        <v>0.622</v>
      </c>
      <c r="E357" s="932">
        <v>0.622</v>
      </c>
      <c r="F357" s="932">
        <v>0.622</v>
      </c>
      <c r="G357" s="932">
        <v>0.50309999999999999</v>
      </c>
      <c r="H357" s="932">
        <v>0.50309999999999999</v>
      </c>
      <c r="I357" s="932">
        <v>0.4234</v>
      </c>
      <c r="J357" s="932">
        <v>0.4234</v>
      </c>
      <c r="K357" s="932">
        <v>0.4234</v>
      </c>
      <c r="L357" s="932">
        <v>0.4234</v>
      </c>
      <c r="M357" s="932">
        <v>0.4234</v>
      </c>
    </row>
    <row r="358" spans="1:13">
      <c r="A358" s="939">
        <v>8.9</v>
      </c>
      <c r="B358" s="932">
        <v>0.67730000000000001</v>
      </c>
      <c r="C358" s="932">
        <v>0.67730000000000001</v>
      </c>
      <c r="D358" s="932">
        <v>0.62029999999999996</v>
      </c>
      <c r="E358" s="932">
        <v>0.62029999999999996</v>
      </c>
      <c r="F358" s="932">
        <v>0.62029999999999996</v>
      </c>
      <c r="G358" s="932">
        <v>0.50119999999999998</v>
      </c>
      <c r="H358" s="932">
        <v>0.50119999999999998</v>
      </c>
      <c r="I358" s="932">
        <v>0.42149999999999999</v>
      </c>
      <c r="J358" s="932">
        <v>0.42149999999999999</v>
      </c>
      <c r="K358" s="932">
        <v>0.42149999999999999</v>
      </c>
      <c r="L358" s="932">
        <v>0.42149999999999999</v>
      </c>
      <c r="M358" s="932">
        <v>0.42149999999999999</v>
      </c>
    </row>
    <row r="359" spans="1:13">
      <c r="A359" s="923">
        <v>9</v>
      </c>
      <c r="B359" s="932">
        <v>0.67600000000000005</v>
      </c>
      <c r="C359" s="932">
        <v>0.67600000000000005</v>
      </c>
      <c r="D359" s="932">
        <v>0.61870000000000003</v>
      </c>
      <c r="E359" s="932">
        <v>0.61870000000000003</v>
      </c>
      <c r="F359" s="932">
        <v>0.61870000000000003</v>
      </c>
      <c r="G359" s="932">
        <v>0.49930000000000002</v>
      </c>
      <c r="H359" s="932">
        <v>0.49930000000000002</v>
      </c>
      <c r="I359" s="932">
        <v>0.41949999999999998</v>
      </c>
      <c r="J359" s="932">
        <v>0.41949999999999998</v>
      </c>
      <c r="K359" s="932">
        <v>0.41949999999999998</v>
      </c>
      <c r="L359" s="932">
        <v>0.41949999999999998</v>
      </c>
      <c r="M359" s="932">
        <v>0.41949999999999998</v>
      </c>
    </row>
    <row r="360" spans="1:13">
      <c r="A360" s="923">
        <v>9.1</v>
      </c>
      <c r="B360" s="932">
        <v>0.67469999999999997</v>
      </c>
      <c r="C360" s="932">
        <v>0.67469999999999997</v>
      </c>
      <c r="D360" s="932">
        <v>0.61709999999999998</v>
      </c>
      <c r="E360" s="932">
        <v>0.61709999999999998</v>
      </c>
      <c r="F360" s="932">
        <v>0.61709999999999998</v>
      </c>
      <c r="G360" s="932">
        <v>0.49740000000000001</v>
      </c>
      <c r="H360" s="932">
        <v>0.49740000000000001</v>
      </c>
      <c r="I360" s="932">
        <v>0.41760000000000003</v>
      </c>
      <c r="J360" s="932">
        <v>0.41760000000000003</v>
      </c>
      <c r="K360" s="932">
        <v>0.41760000000000003</v>
      </c>
      <c r="L360" s="932">
        <v>0.41760000000000003</v>
      </c>
      <c r="M360" s="932">
        <v>0.41760000000000003</v>
      </c>
    </row>
    <row r="361" spans="1:13">
      <c r="A361" s="923">
        <v>9.1999999999999993</v>
      </c>
      <c r="B361" s="932">
        <v>0.6734</v>
      </c>
      <c r="C361" s="932">
        <v>0.6734</v>
      </c>
      <c r="D361" s="932">
        <v>0.61550000000000005</v>
      </c>
      <c r="E361" s="932">
        <v>0.61550000000000005</v>
      </c>
      <c r="F361" s="932">
        <v>0.61550000000000005</v>
      </c>
      <c r="G361" s="932">
        <v>0.49559999999999998</v>
      </c>
      <c r="H361" s="932">
        <v>0.49559999999999998</v>
      </c>
      <c r="I361" s="932">
        <v>0.41570000000000001</v>
      </c>
      <c r="J361" s="932">
        <v>0.41570000000000001</v>
      </c>
      <c r="K361" s="932">
        <v>0.41570000000000001</v>
      </c>
      <c r="L361" s="932">
        <v>0.41570000000000001</v>
      </c>
      <c r="M361" s="932">
        <v>0.41570000000000001</v>
      </c>
    </row>
    <row r="362" spans="1:13">
      <c r="A362" s="923">
        <v>9.3000000000000007</v>
      </c>
      <c r="B362" s="932">
        <v>0.67210000000000003</v>
      </c>
      <c r="C362" s="932">
        <v>0.67210000000000003</v>
      </c>
      <c r="D362" s="932">
        <v>0.6139</v>
      </c>
      <c r="E362" s="932">
        <v>0.6139</v>
      </c>
      <c r="F362" s="932">
        <v>0.6139</v>
      </c>
      <c r="G362" s="932">
        <v>0.49380000000000002</v>
      </c>
      <c r="H362" s="932">
        <v>0.49380000000000002</v>
      </c>
      <c r="I362" s="932">
        <v>0.4138</v>
      </c>
      <c r="J362" s="932">
        <v>0.4138</v>
      </c>
      <c r="K362" s="932">
        <v>0.4138</v>
      </c>
      <c r="L362" s="932">
        <v>0.4138</v>
      </c>
      <c r="M362" s="932">
        <v>0.4138</v>
      </c>
    </row>
    <row r="363" spans="1:13">
      <c r="A363" s="923">
        <v>9.4</v>
      </c>
      <c r="B363" s="932">
        <v>0.67079999999999995</v>
      </c>
      <c r="C363" s="932">
        <v>0.67079999999999995</v>
      </c>
      <c r="D363" s="932">
        <v>0.61229999999999996</v>
      </c>
      <c r="E363" s="932">
        <v>0.61229999999999996</v>
      </c>
      <c r="F363" s="932">
        <v>0.61229999999999996</v>
      </c>
      <c r="G363" s="932">
        <v>0.49199999999999999</v>
      </c>
      <c r="H363" s="932">
        <v>0.49199999999999999</v>
      </c>
      <c r="I363" s="932">
        <v>0.41189999999999999</v>
      </c>
      <c r="J363" s="932">
        <v>0.41189999999999999</v>
      </c>
      <c r="K363" s="932">
        <v>0.41189999999999999</v>
      </c>
      <c r="L363" s="932">
        <v>0.41189999999999999</v>
      </c>
      <c r="M363" s="932">
        <v>0.41189999999999999</v>
      </c>
    </row>
    <row r="364" spans="1:13">
      <c r="A364" s="923">
        <v>9.5</v>
      </c>
      <c r="B364" s="932">
        <v>0.66959999999999997</v>
      </c>
      <c r="C364" s="932">
        <v>0.66959999999999997</v>
      </c>
      <c r="D364" s="932">
        <v>0.61070000000000002</v>
      </c>
      <c r="E364" s="932">
        <v>0.61070000000000002</v>
      </c>
      <c r="F364" s="932">
        <v>0.61070000000000002</v>
      </c>
      <c r="G364" s="932">
        <v>0.49020000000000002</v>
      </c>
      <c r="H364" s="932">
        <v>0.49020000000000002</v>
      </c>
      <c r="I364" s="932">
        <v>0.41</v>
      </c>
      <c r="J364" s="932">
        <v>0.41</v>
      </c>
      <c r="K364" s="932">
        <v>0.41</v>
      </c>
      <c r="L364" s="932">
        <v>0.41</v>
      </c>
      <c r="M364" s="932">
        <v>0.41</v>
      </c>
    </row>
    <row r="365" spans="1:13">
      <c r="A365" s="939">
        <v>9.6</v>
      </c>
      <c r="B365" s="932">
        <v>0.66839999999999999</v>
      </c>
      <c r="C365" s="932">
        <v>0.66839999999999999</v>
      </c>
      <c r="D365" s="932">
        <v>0.60909999999999997</v>
      </c>
      <c r="E365" s="932">
        <v>0.60909999999999997</v>
      </c>
      <c r="F365" s="932">
        <v>0.60909999999999997</v>
      </c>
      <c r="G365" s="932">
        <v>0.4884</v>
      </c>
      <c r="H365" s="932">
        <v>0.4884</v>
      </c>
      <c r="I365" s="932">
        <v>0.40810000000000002</v>
      </c>
      <c r="J365" s="932">
        <v>0.40810000000000002</v>
      </c>
      <c r="K365" s="932">
        <v>0.40810000000000002</v>
      </c>
      <c r="L365" s="932">
        <v>0.40810000000000002</v>
      </c>
      <c r="M365" s="932">
        <v>0.40810000000000002</v>
      </c>
    </row>
    <row r="366" spans="1:13">
      <c r="A366" s="923">
        <v>9.6999999999999993</v>
      </c>
      <c r="B366" s="932">
        <v>0.66720000000000002</v>
      </c>
      <c r="C366" s="932">
        <v>0.66720000000000002</v>
      </c>
      <c r="D366" s="932">
        <v>0.60750000000000004</v>
      </c>
      <c r="E366" s="932">
        <v>0.60750000000000004</v>
      </c>
      <c r="F366" s="932">
        <v>0.60750000000000004</v>
      </c>
      <c r="G366" s="932">
        <v>0.48659999999999998</v>
      </c>
      <c r="H366" s="932">
        <v>0.48659999999999998</v>
      </c>
      <c r="I366" s="932">
        <v>0.40620000000000001</v>
      </c>
      <c r="J366" s="932">
        <v>0.40620000000000001</v>
      </c>
      <c r="K366" s="932">
        <v>0.40620000000000001</v>
      </c>
      <c r="L366" s="932">
        <v>0.40620000000000001</v>
      </c>
      <c r="M366" s="932">
        <v>0.40620000000000001</v>
      </c>
    </row>
    <row r="367" spans="1:13">
      <c r="A367" s="923">
        <v>9.8000000000000007</v>
      </c>
      <c r="B367" s="932">
        <v>0.66600000000000004</v>
      </c>
      <c r="C367" s="932">
        <v>0.66600000000000004</v>
      </c>
      <c r="D367" s="932">
        <v>0.60599999999999998</v>
      </c>
      <c r="E367" s="932">
        <v>0.60599999999999998</v>
      </c>
      <c r="F367" s="932">
        <v>0.60599999999999998</v>
      </c>
      <c r="G367" s="932">
        <v>0.48480000000000001</v>
      </c>
      <c r="H367" s="932">
        <v>0.48480000000000001</v>
      </c>
      <c r="I367" s="932">
        <v>0.40429999999999999</v>
      </c>
      <c r="J367" s="932">
        <v>0.40429999999999999</v>
      </c>
      <c r="K367" s="932">
        <v>0.40429999999999999</v>
      </c>
      <c r="L367" s="932">
        <v>0.40429999999999999</v>
      </c>
      <c r="M367" s="932">
        <v>0.40429999999999999</v>
      </c>
    </row>
    <row r="368" spans="1:13">
      <c r="A368" s="923">
        <v>9.9</v>
      </c>
      <c r="B368" s="932">
        <v>0.66479999999999995</v>
      </c>
      <c r="C368" s="932">
        <v>0.66479999999999995</v>
      </c>
      <c r="D368" s="932">
        <v>0.60450000000000004</v>
      </c>
      <c r="E368" s="932">
        <v>0.60450000000000004</v>
      </c>
      <c r="F368" s="932">
        <v>0.60450000000000004</v>
      </c>
      <c r="G368" s="932">
        <v>0.48299999999999998</v>
      </c>
      <c r="H368" s="932">
        <v>0.48299999999999998</v>
      </c>
      <c r="I368" s="932">
        <v>0.40239999999999998</v>
      </c>
      <c r="J368" s="932">
        <v>0.40239999999999998</v>
      </c>
      <c r="K368" s="932">
        <v>0.40239999999999998</v>
      </c>
      <c r="L368" s="932">
        <v>0.40239999999999998</v>
      </c>
      <c r="M368" s="932">
        <v>0.40239999999999998</v>
      </c>
    </row>
    <row r="369" spans="1:14" ht="14.25">
      <c r="A369" s="3084" t="s">
        <v>2783</v>
      </c>
      <c r="B369" s="932"/>
      <c r="C369" s="932"/>
      <c r="D369" s="932"/>
      <c r="E369" s="932"/>
      <c r="F369" s="932"/>
      <c r="G369" s="932"/>
      <c r="H369" s="932"/>
      <c r="I369" s="932"/>
      <c r="J369" s="932"/>
      <c r="K369" s="932"/>
      <c r="L369" s="932"/>
      <c r="M369" s="932"/>
    </row>
    <row r="370" spans="1:14">
      <c r="A370" s="923" t="s">
        <v>1550</v>
      </c>
      <c r="B370" s="932" t="s">
        <v>990</v>
      </c>
      <c r="C370" s="932" t="s">
        <v>1031</v>
      </c>
      <c r="D370" s="932" t="s">
        <v>1145</v>
      </c>
      <c r="E370" s="932" t="s">
        <v>853</v>
      </c>
      <c r="F370" s="932" t="s">
        <v>1152</v>
      </c>
      <c r="G370" s="932" t="s">
        <v>1153</v>
      </c>
      <c r="H370" s="932" t="s">
        <v>1154</v>
      </c>
      <c r="I370" s="932" t="s">
        <v>1155</v>
      </c>
      <c r="J370" s="932" t="s">
        <v>1156</v>
      </c>
      <c r="K370" s="932" t="s">
        <v>1157</v>
      </c>
      <c r="L370" s="932" t="s">
        <v>2766</v>
      </c>
      <c r="M370" s="932" t="s">
        <v>2767</v>
      </c>
      <c r="N370" s="922" t="e">
        <f>SUMPRODUCT((A371:A460=ROUNDDOWN([2]基准地价修正!G3,1))*(B370:M370=[2]基准地价修正!G2)*(B371:M460))</f>
        <v>#REF!</v>
      </c>
    </row>
    <row r="371" spans="1:14">
      <c r="A371" s="923">
        <v>1</v>
      </c>
      <c r="B371" s="932">
        <v>1.1839999999999999</v>
      </c>
      <c r="C371" s="932">
        <v>1.1839999999999999</v>
      </c>
      <c r="D371" s="932">
        <v>1.1565000000000001</v>
      </c>
      <c r="E371" s="932">
        <v>1.1565000000000001</v>
      </c>
      <c r="F371" s="932">
        <v>1.1565000000000001</v>
      </c>
      <c r="G371" s="932">
        <v>1.1565000000000001</v>
      </c>
      <c r="H371" s="932">
        <v>1.1565000000000001</v>
      </c>
      <c r="I371" s="932">
        <v>1.1198999999999999</v>
      </c>
      <c r="J371" s="932">
        <v>1.1198999999999999</v>
      </c>
      <c r="K371" s="932">
        <v>1.1198999999999999</v>
      </c>
      <c r="L371" s="932">
        <v>1.1198999999999999</v>
      </c>
      <c r="M371" s="932">
        <v>1.1198999999999999</v>
      </c>
    </row>
    <row r="372" spans="1:14">
      <c r="A372" s="923">
        <v>1.1000000000000001</v>
      </c>
      <c r="B372" s="932">
        <v>1.1658999999999999</v>
      </c>
      <c r="C372" s="932">
        <v>1.1658999999999999</v>
      </c>
      <c r="D372" s="932">
        <v>1.1364000000000001</v>
      </c>
      <c r="E372" s="932">
        <v>1.1364000000000001</v>
      </c>
      <c r="F372" s="932">
        <v>1.1364000000000001</v>
      </c>
      <c r="G372" s="932">
        <v>1.1364000000000001</v>
      </c>
      <c r="H372" s="932">
        <v>1.1364000000000001</v>
      </c>
      <c r="I372" s="932">
        <v>1.0931</v>
      </c>
      <c r="J372" s="932">
        <v>1.0931</v>
      </c>
      <c r="K372" s="932">
        <v>1.0931</v>
      </c>
      <c r="L372" s="932">
        <v>1.0931</v>
      </c>
      <c r="M372" s="932">
        <v>1.0931</v>
      </c>
    </row>
    <row r="373" spans="1:14">
      <c r="A373" s="923">
        <v>1.2</v>
      </c>
      <c r="B373" s="932">
        <v>1.1489</v>
      </c>
      <c r="C373" s="932">
        <v>1.1489</v>
      </c>
      <c r="D373" s="932">
        <v>1.1174999999999999</v>
      </c>
      <c r="E373" s="932">
        <v>1.1174999999999999</v>
      </c>
      <c r="F373" s="932">
        <v>1.1174999999999999</v>
      </c>
      <c r="G373" s="932">
        <v>1.1174999999999999</v>
      </c>
      <c r="H373" s="932">
        <v>1.1174999999999999</v>
      </c>
      <c r="I373" s="932">
        <v>1.0678000000000001</v>
      </c>
      <c r="J373" s="932">
        <v>1.0678000000000001</v>
      </c>
      <c r="K373" s="932">
        <v>1.0678000000000001</v>
      </c>
      <c r="L373" s="932">
        <v>1.0678000000000001</v>
      </c>
      <c r="M373" s="932">
        <v>1.0678000000000001</v>
      </c>
    </row>
    <row r="374" spans="1:14">
      <c r="A374" s="923">
        <v>1.3</v>
      </c>
      <c r="B374" s="932">
        <v>1.1328</v>
      </c>
      <c r="C374" s="932">
        <v>1.1328</v>
      </c>
      <c r="D374" s="932">
        <v>1.0995999999999999</v>
      </c>
      <c r="E374" s="932">
        <v>1.0995999999999999</v>
      </c>
      <c r="F374" s="932">
        <v>1.0995999999999999</v>
      </c>
      <c r="G374" s="932">
        <v>1.0995999999999999</v>
      </c>
      <c r="H374" s="932">
        <v>1.0995999999999999</v>
      </c>
      <c r="I374" s="932">
        <v>1.044</v>
      </c>
      <c r="J374" s="932">
        <v>1.044</v>
      </c>
      <c r="K374" s="932">
        <v>1.044</v>
      </c>
      <c r="L374" s="932">
        <v>1.044</v>
      </c>
      <c r="M374" s="932">
        <v>1.044</v>
      </c>
    </row>
    <row r="375" spans="1:14">
      <c r="A375" s="923">
        <v>1.4</v>
      </c>
      <c r="B375" s="932">
        <v>1.1175999999999999</v>
      </c>
      <c r="C375" s="932">
        <v>1.1175999999999999</v>
      </c>
      <c r="D375" s="932">
        <v>1.0827</v>
      </c>
      <c r="E375" s="932">
        <v>1.0827</v>
      </c>
      <c r="F375" s="932">
        <v>1.0827</v>
      </c>
      <c r="G375" s="932">
        <v>1.0827</v>
      </c>
      <c r="H375" s="932">
        <v>1.0827</v>
      </c>
      <c r="I375" s="932">
        <v>1.0214000000000001</v>
      </c>
      <c r="J375" s="932">
        <v>1.0214000000000001</v>
      </c>
      <c r="K375" s="932">
        <v>1.0214000000000001</v>
      </c>
      <c r="L375" s="932">
        <v>1.0214000000000001</v>
      </c>
      <c r="M375" s="932">
        <v>1.0214000000000001</v>
      </c>
    </row>
    <row r="376" spans="1:14">
      <c r="A376" s="923">
        <v>1.5</v>
      </c>
      <c r="B376" s="932">
        <v>1.1032999999999999</v>
      </c>
      <c r="C376" s="932">
        <v>1.1032999999999999</v>
      </c>
      <c r="D376" s="932">
        <v>1.0668</v>
      </c>
      <c r="E376" s="932">
        <v>1.0668</v>
      </c>
      <c r="F376" s="932">
        <v>1.0668</v>
      </c>
      <c r="G376" s="932">
        <v>1.0668</v>
      </c>
      <c r="H376" s="932">
        <v>1.0668</v>
      </c>
      <c r="I376" s="932">
        <v>1</v>
      </c>
      <c r="J376" s="932">
        <v>1</v>
      </c>
      <c r="K376" s="932">
        <v>1</v>
      </c>
      <c r="L376" s="932">
        <v>1</v>
      </c>
      <c r="M376" s="932">
        <v>1</v>
      </c>
    </row>
    <row r="377" spans="1:14">
      <c r="A377" s="923">
        <v>1.6</v>
      </c>
      <c r="B377" s="932">
        <v>1.0899000000000001</v>
      </c>
      <c r="C377" s="932">
        <v>1.0899000000000001</v>
      </c>
      <c r="D377" s="932">
        <v>1.0517000000000001</v>
      </c>
      <c r="E377" s="932">
        <v>1.0517000000000001</v>
      </c>
      <c r="F377" s="932">
        <v>1.0517000000000001</v>
      </c>
      <c r="G377" s="932">
        <v>1.0517000000000001</v>
      </c>
      <c r="H377" s="932">
        <v>1.0517000000000001</v>
      </c>
      <c r="I377" s="932">
        <v>0.97989999999999999</v>
      </c>
      <c r="J377" s="932">
        <v>0.97989999999999999</v>
      </c>
      <c r="K377" s="932">
        <v>0.97989999999999999</v>
      </c>
      <c r="L377" s="932">
        <v>0.97989999999999999</v>
      </c>
      <c r="M377" s="932">
        <v>0.97989999999999999</v>
      </c>
    </row>
    <row r="378" spans="1:14">
      <c r="A378" s="923">
        <v>1.7</v>
      </c>
      <c r="B378" s="932">
        <v>1.0771999999999999</v>
      </c>
      <c r="C378" s="932">
        <v>1.0771999999999999</v>
      </c>
      <c r="D378" s="932">
        <v>1.0376000000000001</v>
      </c>
      <c r="E378" s="932">
        <v>1.0376000000000001</v>
      </c>
      <c r="F378" s="932">
        <v>1.0376000000000001</v>
      </c>
      <c r="G378" s="932">
        <v>1.0376000000000001</v>
      </c>
      <c r="H378" s="932">
        <v>1.0376000000000001</v>
      </c>
      <c r="I378" s="932">
        <v>0.96089999999999998</v>
      </c>
      <c r="J378" s="932">
        <v>0.96089999999999998</v>
      </c>
      <c r="K378" s="932">
        <v>0.96089999999999998</v>
      </c>
      <c r="L378" s="932">
        <v>0.96089999999999998</v>
      </c>
      <c r="M378" s="932">
        <v>0.96089999999999998</v>
      </c>
    </row>
    <row r="379" spans="1:14">
      <c r="A379" s="923">
        <v>1.8</v>
      </c>
      <c r="B379" s="932">
        <v>1.0652999999999999</v>
      </c>
      <c r="C379" s="932">
        <v>1.0652999999999999</v>
      </c>
      <c r="D379" s="932">
        <v>1.0243</v>
      </c>
      <c r="E379" s="932">
        <v>1.0243</v>
      </c>
      <c r="F379" s="932">
        <v>1.0243</v>
      </c>
      <c r="G379" s="932">
        <v>1.0243</v>
      </c>
      <c r="H379" s="932">
        <v>1.0243</v>
      </c>
      <c r="I379" s="932">
        <v>0.94299999999999995</v>
      </c>
      <c r="J379" s="932">
        <v>0.94299999999999995</v>
      </c>
      <c r="K379" s="932">
        <v>0.94299999999999995</v>
      </c>
      <c r="L379" s="932">
        <v>0.94299999999999995</v>
      </c>
      <c r="M379" s="932">
        <v>0.94299999999999995</v>
      </c>
    </row>
    <row r="380" spans="1:14">
      <c r="A380" s="923">
        <v>1.9</v>
      </c>
      <c r="B380" s="932">
        <v>1.054</v>
      </c>
      <c r="C380" s="932">
        <v>1.054</v>
      </c>
      <c r="D380" s="932">
        <v>1.0118</v>
      </c>
      <c r="E380" s="932">
        <v>1.0118</v>
      </c>
      <c r="F380" s="932">
        <v>1.0118</v>
      </c>
      <c r="G380" s="932">
        <v>1.0118</v>
      </c>
      <c r="H380" s="932">
        <v>1.0118</v>
      </c>
      <c r="I380" s="932">
        <v>0.92620000000000002</v>
      </c>
      <c r="J380" s="932">
        <v>0.92620000000000002</v>
      </c>
      <c r="K380" s="932">
        <v>0.92620000000000002</v>
      </c>
      <c r="L380" s="932">
        <v>0.92620000000000002</v>
      </c>
      <c r="M380" s="932">
        <v>0.92620000000000002</v>
      </c>
    </row>
    <row r="381" spans="1:14">
      <c r="A381" s="923">
        <v>2</v>
      </c>
      <c r="B381" s="932">
        <v>1.0435000000000001</v>
      </c>
      <c r="C381" s="932">
        <v>1.0435000000000001</v>
      </c>
      <c r="D381" s="932">
        <v>1</v>
      </c>
      <c r="E381" s="932">
        <v>1</v>
      </c>
      <c r="F381" s="932">
        <v>1</v>
      </c>
      <c r="G381" s="932">
        <v>1</v>
      </c>
      <c r="H381" s="932">
        <v>1</v>
      </c>
      <c r="I381" s="932">
        <v>0.9103</v>
      </c>
      <c r="J381" s="932">
        <v>0.9103</v>
      </c>
      <c r="K381" s="932">
        <v>0.9103</v>
      </c>
      <c r="L381" s="932">
        <v>0.9103</v>
      </c>
      <c r="M381" s="932">
        <v>0.9103</v>
      </c>
    </row>
    <row r="382" spans="1:14">
      <c r="A382" s="923">
        <v>2.1</v>
      </c>
      <c r="B382" s="932">
        <v>1.0336000000000001</v>
      </c>
      <c r="C382" s="932">
        <v>1.0336000000000001</v>
      </c>
      <c r="D382" s="932">
        <v>0.98899999999999999</v>
      </c>
      <c r="E382" s="932">
        <v>0.98899999999999999</v>
      </c>
      <c r="F382" s="932">
        <v>0.98899999999999999</v>
      </c>
      <c r="G382" s="932">
        <v>0.98899999999999999</v>
      </c>
      <c r="H382" s="932">
        <v>0.98899999999999999</v>
      </c>
      <c r="I382" s="932">
        <v>0.89539999999999997</v>
      </c>
      <c r="J382" s="932">
        <v>0.89539999999999997</v>
      </c>
      <c r="K382" s="932">
        <v>0.89539999999999997</v>
      </c>
      <c r="L382" s="932">
        <v>0.89539999999999997</v>
      </c>
      <c r="M382" s="932">
        <v>0.89539999999999997</v>
      </c>
    </row>
    <row r="383" spans="1:14">
      <c r="A383" s="923">
        <v>2.2000000000000002</v>
      </c>
      <c r="B383" s="932">
        <v>1.0243</v>
      </c>
      <c r="C383" s="932">
        <v>1.0243</v>
      </c>
      <c r="D383" s="932">
        <v>0.97860000000000003</v>
      </c>
      <c r="E383" s="932">
        <v>0.97860000000000003</v>
      </c>
      <c r="F383" s="932">
        <v>0.97860000000000003</v>
      </c>
      <c r="G383" s="932">
        <v>0.97860000000000003</v>
      </c>
      <c r="H383" s="932">
        <v>0.97860000000000003</v>
      </c>
      <c r="I383" s="932">
        <v>0.88139999999999996</v>
      </c>
      <c r="J383" s="932">
        <v>0.88139999999999996</v>
      </c>
      <c r="K383" s="932">
        <v>0.88139999999999996</v>
      </c>
      <c r="L383" s="932">
        <v>0.88139999999999996</v>
      </c>
      <c r="M383" s="932">
        <v>0.88139999999999996</v>
      </c>
    </row>
    <row r="384" spans="1:14">
      <c r="A384" s="923">
        <v>2.2999999999999998</v>
      </c>
      <c r="B384" s="932">
        <v>1.0157</v>
      </c>
      <c r="C384" s="932">
        <v>1.0157</v>
      </c>
      <c r="D384" s="932">
        <v>0.96889999999999998</v>
      </c>
      <c r="E384" s="932">
        <v>0.96889999999999998</v>
      </c>
      <c r="F384" s="932">
        <v>0.96889999999999998</v>
      </c>
      <c r="G384" s="932">
        <v>0.96889999999999998</v>
      </c>
      <c r="H384" s="932">
        <v>0.96889999999999998</v>
      </c>
      <c r="I384" s="932">
        <v>0.86819999999999997</v>
      </c>
      <c r="J384" s="932">
        <v>0.86819999999999997</v>
      </c>
      <c r="K384" s="932">
        <v>0.86819999999999997</v>
      </c>
      <c r="L384" s="932">
        <v>0.86819999999999997</v>
      </c>
      <c r="M384" s="932">
        <v>0.86819999999999997</v>
      </c>
    </row>
    <row r="385" spans="1:13">
      <c r="A385" s="923">
        <v>2.4</v>
      </c>
      <c r="B385" s="932">
        <v>1.0076000000000001</v>
      </c>
      <c r="C385" s="932">
        <v>1.0076000000000001</v>
      </c>
      <c r="D385" s="932">
        <v>0.95979999999999999</v>
      </c>
      <c r="E385" s="932">
        <v>0.95979999999999999</v>
      </c>
      <c r="F385" s="932">
        <v>0.95979999999999999</v>
      </c>
      <c r="G385" s="932">
        <v>0.95979999999999999</v>
      </c>
      <c r="H385" s="932">
        <v>0.95979999999999999</v>
      </c>
      <c r="I385" s="932">
        <v>0.85580000000000001</v>
      </c>
      <c r="J385" s="932">
        <v>0.85580000000000001</v>
      </c>
      <c r="K385" s="932">
        <v>0.85580000000000001</v>
      </c>
      <c r="L385" s="932">
        <v>0.85580000000000001</v>
      </c>
      <c r="M385" s="932">
        <v>0.85580000000000001</v>
      </c>
    </row>
    <row r="386" spans="1:13">
      <c r="A386" s="923">
        <v>2.5</v>
      </c>
      <c r="B386" s="932">
        <v>1</v>
      </c>
      <c r="C386" s="932">
        <v>1</v>
      </c>
      <c r="D386" s="932">
        <v>0.95120000000000005</v>
      </c>
      <c r="E386" s="932">
        <v>0.95120000000000005</v>
      </c>
      <c r="F386" s="932">
        <v>0.95120000000000005</v>
      </c>
      <c r="G386" s="932">
        <v>0.95120000000000005</v>
      </c>
      <c r="H386" s="932">
        <v>0.95120000000000005</v>
      </c>
      <c r="I386" s="932">
        <v>0.84419999999999995</v>
      </c>
      <c r="J386" s="932">
        <v>0.84419999999999995</v>
      </c>
      <c r="K386" s="932">
        <v>0.84419999999999995</v>
      </c>
      <c r="L386" s="932">
        <v>0.84419999999999995</v>
      </c>
      <c r="M386" s="932">
        <v>0.84419999999999995</v>
      </c>
    </row>
    <row r="387" spans="1:13">
      <c r="A387" s="923">
        <v>2.6</v>
      </c>
      <c r="B387" s="932">
        <v>0.9929</v>
      </c>
      <c r="C387" s="932">
        <v>0.9929</v>
      </c>
      <c r="D387" s="932">
        <v>0.94320000000000004</v>
      </c>
      <c r="E387" s="932">
        <v>0.94320000000000004</v>
      </c>
      <c r="F387" s="932">
        <v>0.94320000000000004</v>
      </c>
      <c r="G387" s="932">
        <v>0.94320000000000004</v>
      </c>
      <c r="H387" s="932">
        <v>0.94320000000000004</v>
      </c>
      <c r="I387" s="932">
        <v>0.83330000000000004</v>
      </c>
      <c r="J387" s="932">
        <v>0.83330000000000004</v>
      </c>
      <c r="K387" s="932">
        <v>0.83330000000000004</v>
      </c>
      <c r="L387" s="932">
        <v>0.83330000000000004</v>
      </c>
      <c r="M387" s="932">
        <v>0.83330000000000004</v>
      </c>
    </row>
    <row r="388" spans="1:13">
      <c r="A388" s="923">
        <v>2.7</v>
      </c>
      <c r="B388" s="932">
        <v>0.98629999999999995</v>
      </c>
      <c r="C388" s="932">
        <v>0.98629999999999995</v>
      </c>
      <c r="D388" s="932">
        <v>0.93569999999999998</v>
      </c>
      <c r="E388" s="932">
        <v>0.93569999999999998</v>
      </c>
      <c r="F388" s="932">
        <v>0.93569999999999998</v>
      </c>
      <c r="G388" s="932">
        <v>0.93569999999999998</v>
      </c>
      <c r="H388" s="932">
        <v>0.93569999999999998</v>
      </c>
      <c r="I388" s="932">
        <v>0.82320000000000004</v>
      </c>
      <c r="J388" s="932">
        <v>0.82320000000000004</v>
      </c>
      <c r="K388" s="932">
        <v>0.82320000000000004</v>
      </c>
      <c r="L388" s="932">
        <v>0.82320000000000004</v>
      </c>
      <c r="M388" s="932">
        <v>0.82320000000000004</v>
      </c>
    </row>
    <row r="389" spans="1:13">
      <c r="A389" s="923">
        <v>2.8</v>
      </c>
      <c r="B389" s="932">
        <v>0.98009999999999997</v>
      </c>
      <c r="C389" s="932">
        <v>0.98009999999999997</v>
      </c>
      <c r="D389" s="932">
        <v>0.92879999999999996</v>
      </c>
      <c r="E389" s="932">
        <v>0.92879999999999996</v>
      </c>
      <c r="F389" s="932">
        <v>0.92879999999999996</v>
      </c>
      <c r="G389" s="932">
        <v>0.92879999999999996</v>
      </c>
      <c r="H389" s="932">
        <v>0.92879999999999996</v>
      </c>
      <c r="I389" s="932">
        <v>0.81359999999999999</v>
      </c>
      <c r="J389" s="932">
        <v>0.81359999999999999</v>
      </c>
      <c r="K389" s="932">
        <v>0.81359999999999999</v>
      </c>
      <c r="L389" s="932">
        <v>0.81359999999999999</v>
      </c>
      <c r="M389" s="932">
        <v>0.81359999999999999</v>
      </c>
    </row>
    <row r="390" spans="1:13">
      <c r="A390" s="923">
        <v>2.9</v>
      </c>
      <c r="B390" s="932">
        <v>0.97430000000000005</v>
      </c>
      <c r="C390" s="932">
        <v>0.97430000000000005</v>
      </c>
      <c r="D390" s="932">
        <v>0.92220000000000002</v>
      </c>
      <c r="E390" s="932">
        <v>0.92220000000000002</v>
      </c>
      <c r="F390" s="932">
        <v>0.92220000000000002</v>
      </c>
      <c r="G390" s="932">
        <v>0.92220000000000002</v>
      </c>
      <c r="H390" s="932">
        <v>0.92220000000000002</v>
      </c>
      <c r="I390" s="932">
        <v>0.80459999999999998</v>
      </c>
      <c r="J390" s="932">
        <v>0.80459999999999998</v>
      </c>
      <c r="K390" s="932">
        <v>0.80459999999999998</v>
      </c>
      <c r="L390" s="932">
        <v>0.80459999999999998</v>
      </c>
      <c r="M390" s="932">
        <v>0.80459999999999998</v>
      </c>
    </row>
    <row r="391" spans="1:13">
      <c r="A391" s="923">
        <v>3</v>
      </c>
      <c r="B391" s="932">
        <v>0.96889999999999998</v>
      </c>
      <c r="C391" s="932">
        <v>0.96889999999999998</v>
      </c>
      <c r="D391" s="932">
        <v>0.91610000000000003</v>
      </c>
      <c r="E391" s="932">
        <v>0.91610000000000003</v>
      </c>
      <c r="F391" s="932">
        <v>0.91610000000000003</v>
      </c>
      <c r="G391" s="932">
        <v>0.91610000000000003</v>
      </c>
      <c r="H391" s="932">
        <v>0.91610000000000003</v>
      </c>
      <c r="I391" s="932">
        <v>0.79620000000000002</v>
      </c>
      <c r="J391" s="932">
        <v>0.79620000000000002</v>
      </c>
      <c r="K391" s="932">
        <v>0.79620000000000002</v>
      </c>
      <c r="L391" s="932">
        <v>0.79620000000000002</v>
      </c>
      <c r="M391" s="932">
        <v>0.79620000000000002</v>
      </c>
    </row>
    <row r="392" spans="1:13">
      <c r="A392" s="923">
        <v>3.1</v>
      </c>
      <c r="B392" s="932">
        <v>0.96389999999999998</v>
      </c>
      <c r="C392" s="932">
        <v>0.96389999999999998</v>
      </c>
      <c r="D392" s="932">
        <v>0.91039999999999999</v>
      </c>
      <c r="E392" s="932">
        <v>0.91039999999999999</v>
      </c>
      <c r="F392" s="932">
        <v>0.91039999999999999</v>
      </c>
      <c r="G392" s="932">
        <v>0.91039999999999999</v>
      </c>
      <c r="H392" s="932">
        <v>0.91039999999999999</v>
      </c>
      <c r="I392" s="932">
        <v>0.7883</v>
      </c>
      <c r="J392" s="932">
        <v>0.7883</v>
      </c>
      <c r="K392" s="932">
        <v>0.7883</v>
      </c>
      <c r="L392" s="932">
        <v>0.7883</v>
      </c>
      <c r="M392" s="932">
        <v>0.7883</v>
      </c>
    </row>
    <row r="393" spans="1:13">
      <c r="A393" s="923">
        <v>3.2</v>
      </c>
      <c r="B393" s="932">
        <v>0.95930000000000004</v>
      </c>
      <c r="C393" s="932">
        <v>0.95930000000000004</v>
      </c>
      <c r="D393" s="932">
        <v>0.9052</v>
      </c>
      <c r="E393" s="932">
        <v>0.9052</v>
      </c>
      <c r="F393" s="932">
        <v>0.9052</v>
      </c>
      <c r="G393" s="932">
        <v>0.9052</v>
      </c>
      <c r="H393" s="932">
        <v>0.9052</v>
      </c>
      <c r="I393" s="932">
        <v>0.78090000000000004</v>
      </c>
      <c r="J393" s="932">
        <v>0.78090000000000004</v>
      </c>
      <c r="K393" s="932">
        <v>0.78090000000000004</v>
      </c>
      <c r="L393" s="932">
        <v>0.78090000000000004</v>
      </c>
      <c r="M393" s="932">
        <v>0.78090000000000004</v>
      </c>
    </row>
    <row r="394" spans="1:13">
      <c r="A394" s="923">
        <v>3.3</v>
      </c>
      <c r="B394" s="932">
        <v>0.95489999999999997</v>
      </c>
      <c r="C394" s="932">
        <v>0.95489999999999997</v>
      </c>
      <c r="D394" s="932">
        <v>0.9002</v>
      </c>
      <c r="E394" s="932">
        <v>0.9002</v>
      </c>
      <c r="F394" s="932">
        <v>0.9002</v>
      </c>
      <c r="G394" s="932">
        <v>0.9002</v>
      </c>
      <c r="H394" s="932">
        <v>0.9002</v>
      </c>
      <c r="I394" s="932">
        <v>0.77410000000000001</v>
      </c>
      <c r="J394" s="932">
        <v>0.77410000000000001</v>
      </c>
      <c r="K394" s="932">
        <v>0.77410000000000001</v>
      </c>
      <c r="L394" s="932">
        <v>0.77410000000000001</v>
      </c>
      <c r="M394" s="932">
        <v>0.77410000000000001</v>
      </c>
    </row>
    <row r="395" spans="1:13">
      <c r="A395" s="923">
        <v>3.4</v>
      </c>
      <c r="B395" s="932">
        <v>0.95089999999999997</v>
      </c>
      <c r="C395" s="932">
        <v>0.95089999999999997</v>
      </c>
      <c r="D395" s="932">
        <v>0.89559999999999995</v>
      </c>
      <c r="E395" s="932">
        <v>0.89559999999999995</v>
      </c>
      <c r="F395" s="932">
        <v>0.89559999999999995</v>
      </c>
      <c r="G395" s="932">
        <v>0.89559999999999995</v>
      </c>
      <c r="H395" s="932">
        <v>0.89559999999999995</v>
      </c>
      <c r="I395" s="932">
        <v>0.76759999999999995</v>
      </c>
      <c r="J395" s="932">
        <v>0.76759999999999995</v>
      </c>
      <c r="K395" s="932">
        <v>0.76759999999999995</v>
      </c>
      <c r="L395" s="932">
        <v>0.76759999999999995</v>
      </c>
      <c r="M395" s="932">
        <v>0.76759999999999995</v>
      </c>
    </row>
    <row r="396" spans="1:13">
      <c r="A396" s="923">
        <v>3.5</v>
      </c>
      <c r="B396" s="932">
        <v>0.94710000000000005</v>
      </c>
      <c r="C396" s="932">
        <v>0.94710000000000005</v>
      </c>
      <c r="D396" s="932">
        <v>0.89129999999999998</v>
      </c>
      <c r="E396" s="932">
        <v>0.89129999999999998</v>
      </c>
      <c r="F396" s="932">
        <v>0.89129999999999998</v>
      </c>
      <c r="G396" s="932">
        <v>0.89129999999999998</v>
      </c>
      <c r="H396" s="932">
        <v>0.89129999999999998</v>
      </c>
      <c r="I396" s="932">
        <v>0.76160000000000005</v>
      </c>
      <c r="J396" s="932">
        <v>0.76160000000000005</v>
      </c>
      <c r="K396" s="932">
        <v>0.76160000000000005</v>
      </c>
      <c r="L396" s="932">
        <v>0.76160000000000005</v>
      </c>
      <c r="M396" s="932">
        <v>0.76160000000000005</v>
      </c>
    </row>
    <row r="397" spans="1:13">
      <c r="A397" s="923">
        <v>3.6</v>
      </c>
      <c r="B397" s="932">
        <v>0.94359999999999999</v>
      </c>
      <c r="C397" s="932">
        <v>0.94359999999999999</v>
      </c>
      <c r="D397" s="932">
        <v>0.88729999999999998</v>
      </c>
      <c r="E397" s="932">
        <v>0.88729999999999998</v>
      </c>
      <c r="F397" s="932">
        <v>0.88729999999999998</v>
      </c>
      <c r="G397" s="932">
        <v>0.88729999999999998</v>
      </c>
      <c r="H397" s="932">
        <v>0.88729999999999998</v>
      </c>
      <c r="I397" s="932">
        <v>0.75590000000000002</v>
      </c>
      <c r="J397" s="932">
        <v>0.75590000000000002</v>
      </c>
      <c r="K397" s="932">
        <v>0.75590000000000002</v>
      </c>
      <c r="L397" s="932">
        <v>0.75590000000000002</v>
      </c>
      <c r="M397" s="932">
        <v>0.75590000000000002</v>
      </c>
    </row>
    <row r="398" spans="1:13">
      <c r="A398" s="939">
        <v>3.7</v>
      </c>
      <c r="B398" s="932">
        <v>0.94040000000000001</v>
      </c>
      <c r="C398" s="932">
        <v>0.94040000000000001</v>
      </c>
      <c r="D398" s="932">
        <v>0.88349999999999995</v>
      </c>
      <c r="E398" s="932">
        <v>0.88349999999999995</v>
      </c>
      <c r="F398" s="932">
        <v>0.88349999999999995</v>
      </c>
      <c r="G398" s="932">
        <v>0.88349999999999995</v>
      </c>
      <c r="H398" s="932">
        <v>0.88349999999999995</v>
      </c>
      <c r="I398" s="932">
        <v>0.75070000000000003</v>
      </c>
      <c r="J398" s="932">
        <v>0.75070000000000003</v>
      </c>
      <c r="K398" s="932">
        <v>0.75070000000000003</v>
      </c>
      <c r="L398" s="932">
        <v>0.75070000000000003</v>
      </c>
      <c r="M398" s="932">
        <v>0.75070000000000003</v>
      </c>
    </row>
    <row r="399" spans="1:13">
      <c r="A399" s="939">
        <v>3.8</v>
      </c>
      <c r="B399" s="932">
        <v>0.93740000000000001</v>
      </c>
      <c r="C399" s="932">
        <v>0.93740000000000001</v>
      </c>
      <c r="D399" s="932">
        <v>0.88009999999999999</v>
      </c>
      <c r="E399" s="932">
        <v>0.88009999999999999</v>
      </c>
      <c r="F399" s="932">
        <v>0.88009999999999999</v>
      </c>
      <c r="G399" s="932">
        <v>0.88009999999999999</v>
      </c>
      <c r="H399" s="932">
        <v>0.88009999999999999</v>
      </c>
      <c r="I399" s="932">
        <v>0.74570000000000003</v>
      </c>
      <c r="J399" s="932">
        <v>0.74570000000000003</v>
      </c>
      <c r="K399" s="932">
        <v>0.74570000000000003</v>
      </c>
      <c r="L399" s="932">
        <v>0.74570000000000003</v>
      </c>
      <c r="M399" s="932">
        <v>0.74570000000000003</v>
      </c>
    </row>
    <row r="400" spans="1:13">
      <c r="A400" s="939">
        <v>3.9</v>
      </c>
      <c r="B400" s="932">
        <v>0.93459999999999999</v>
      </c>
      <c r="C400" s="932">
        <v>0.93459999999999999</v>
      </c>
      <c r="D400" s="932">
        <v>0.87680000000000002</v>
      </c>
      <c r="E400" s="932">
        <v>0.87680000000000002</v>
      </c>
      <c r="F400" s="932">
        <v>0.87680000000000002</v>
      </c>
      <c r="G400" s="932">
        <v>0.87680000000000002</v>
      </c>
      <c r="H400" s="932">
        <v>0.87680000000000002</v>
      </c>
      <c r="I400" s="932">
        <v>0.74109999999999998</v>
      </c>
      <c r="J400" s="932">
        <v>0.74109999999999998</v>
      </c>
      <c r="K400" s="932">
        <v>0.74109999999999998</v>
      </c>
      <c r="L400" s="932">
        <v>0.74109999999999998</v>
      </c>
      <c r="M400" s="932">
        <v>0.74109999999999998</v>
      </c>
    </row>
    <row r="401" spans="1:13">
      <c r="A401" s="939">
        <v>4</v>
      </c>
      <c r="B401" s="932">
        <v>0.93179999999999996</v>
      </c>
      <c r="C401" s="932">
        <v>0.93179999999999996</v>
      </c>
      <c r="D401" s="932">
        <v>0.87380000000000002</v>
      </c>
      <c r="E401" s="932">
        <v>0.87380000000000002</v>
      </c>
      <c r="F401" s="932">
        <v>0.87380000000000002</v>
      </c>
      <c r="G401" s="932">
        <v>0.87380000000000002</v>
      </c>
      <c r="H401" s="932">
        <v>0.87380000000000002</v>
      </c>
      <c r="I401" s="932">
        <v>0.73680000000000001</v>
      </c>
      <c r="J401" s="932">
        <v>0.73680000000000001</v>
      </c>
      <c r="K401" s="932">
        <v>0.73680000000000001</v>
      </c>
      <c r="L401" s="932">
        <v>0.73680000000000001</v>
      </c>
      <c r="M401" s="932">
        <v>0.73680000000000001</v>
      </c>
    </row>
    <row r="402" spans="1:13">
      <c r="A402" s="939">
        <v>4.0999999999999996</v>
      </c>
      <c r="B402" s="932">
        <v>0.92920000000000003</v>
      </c>
      <c r="C402" s="932">
        <v>0.92920000000000003</v>
      </c>
      <c r="D402" s="932">
        <v>0.87090000000000001</v>
      </c>
      <c r="E402" s="932">
        <v>0.87090000000000001</v>
      </c>
      <c r="F402" s="932">
        <v>0.87090000000000001</v>
      </c>
      <c r="G402" s="932">
        <v>0.87090000000000001</v>
      </c>
      <c r="H402" s="932">
        <v>0.87090000000000001</v>
      </c>
      <c r="I402" s="932">
        <v>0.73270000000000002</v>
      </c>
      <c r="J402" s="932">
        <v>0.73270000000000002</v>
      </c>
      <c r="K402" s="932">
        <v>0.73270000000000002</v>
      </c>
      <c r="L402" s="932">
        <v>0.73270000000000002</v>
      </c>
      <c r="M402" s="932">
        <v>0.73270000000000002</v>
      </c>
    </row>
    <row r="403" spans="1:13">
      <c r="A403" s="939">
        <v>4.2</v>
      </c>
      <c r="B403" s="932">
        <v>0.92659999999999998</v>
      </c>
      <c r="C403" s="932">
        <v>0.92659999999999998</v>
      </c>
      <c r="D403" s="932">
        <v>0.86819999999999997</v>
      </c>
      <c r="E403" s="932">
        <v>0.86819999999999997</v>
      </c>
      <c r="F403" s="932">
        <v>0.86819999999999997</v>
      </c>
      <c r="G403" s="932">
        <v>0.86819999999999997</v>
      </c>
      <c r="H403" s="932">
        <v>0.86819999999999997</v>
      </c>
      <c r="I403" s="932">
        <v>0.7288</v>
      </c>
      <c r="J403" s="932">
        <v>0.7288</v>
      </c>
      <c r="K403" s="932">
        <v>0.7288</v>
      </c>
      <c r="L403" s="932">
        <v>0.7288</v>
      </c>
      <c r="M403" s="932">
        <v>0.7288</v>
      </c>
    </row>
    <row r="404" spans="1:13">
      <c r="A404" s="939">
        <v>4.3</v>
      </c>
      <c r="B404" s="932">
        <v>0.92410000000000003</v>
      </c>
      <c r="C404" s="932">
        <v>0.92410000000000003</v>
      </c>
      <c r="D404" s="932">
        <v>0.86550000000000005</v>
      </c>
      <c r="E404" s="932">
        <v>0.86550000000000005</v>
      </c>
      <c r="F404" s="932">
        <v>0.86550000000000005</v>
      </c>
      <c r="G404" s="932">
        <v>0.86550000000000005</v>
      </c>
      <c r="H404" s="932">
        <v>0.86550000000000005</v>
      </c>
      <c r="I404" s="932">
        <v>0.72509999999999997</v>
      </c>
      <c r="J404" s="932">
        <v>0.72509999999999997</v>
      </c>
      <c r="K404" s="932">
        <v>0.72509999999999997</v>
      </c>
      <c r="L404" s="932">
        <v>0.72509999999999997</v>
      </c>
      <c r="M404" s="932">
        <v>0.72509999999999997</v>
      </c>
    </row>
    <row r="405" spans="1:13">
      <c r="A405" s="939">
        <v>4.4000000000000004</v>
      </c>
      <c r="B405" s="932">
        <v>0.92179999999999995</v>
      </c>
      <c r="C405" s="932">
        <v>0.92179999999999995</v>
      </c>
      <c r="D405" s="932">
        <v>0.8629</v>
      </c>
      <c r="E405" s="932">
        <v>0.8629</v>
      </c>
      <c r="F405" s="932">
        <v>0.8629</v>
      </c>
      <c r="G405" s="932">
        <v>0.8629</v>
      </c>
      <c r="H405" s="932">
        <v>0.8629</v>
      </c>
      <c r="I405" s="932">
        <v>0.72150000000000003</v>
      </c>
      <c r="J405" s="932">
        <v>0.72150000000000003</v>
      </c>
      <c r="K405" s="932">
        <v>0.72150000000000003</v>
      </c>
      <c r="L405" s="932">
        <v>0.72150000000000003</v>
      </c>
      <c r="M405" s="932">
        <v>0.72150000000000003</v>
      </c>
    </row>
    <row r="406" spans="1:13">
      <c r="A406" s="939">
        <v>4.5</v>
      </c>
      <c r="B406" s="932">
        <v>0.91949999999999998</v>
      </c>
      <c r="C406" s="932">
        <v>0.91949999999999998</v>
      </c>
      <c r="D406" s="932">
        <v>0.86050000000000004</v>
      </c>
      <c r="E406" s="932">
        <v>0.86050000000000004</v>
      </c>
      <c r="F406" s="932">
        <v>0.86050000000000004</v>
      </c>
      <c r="G406" s="932">
        <v>0.86050000000000004</v>
      </c>
      <c r="H406" s="932">
        <v>0.86050000000000004</v>
      </c>
      <c r="I406" s="932">
        <v>0.71819999999999995</v>
      </c>
      <c r="J406" s="932">
        <v>0.71819999999999995</v>
      </c>
      <c r="K406" s="932">
        <v>0.71819999999999995</v>
      </c>
      <c r="L406" s="932">
        <v>0.71819999999999995</v>
      </c>
      <c r="M406" s="932">
        <v>0.71819999999999995</v>
      </c>
    </row>
    <row r="407" spans="1:13">
      <c r="A407" s="939">
        <v>4.5999999999999996</v>
      </c>
      <c r="B407" s="932">
        <v>0.9173</v>
      </c>
      <c r="C407" s="932">
        <v>0.9173</v>
      </c>
      <c r="D407" s="932">
        <v>0.85809999999999997</v>
      </c>
      <c r="E407" s="932">
        <v>0.85809999999999997</v>
      </c>
      <c r="F407" s="932">
        <v>0.85809999999999997</v>
      </c>
      <c r="G407" s="932">
        <v>0.85809999999999997</v>
      </c>
      <c r="H407" s="932">
        <v>0.85809999999999997</v>
      </c>
      <c r="I407" s="932">
        <v>0.71499999999999997</v>
      </c>
      <c r="J407" s="932">
        <v>0.71499999999999997</v>
      </c>
      <c r="K407" s="932">
        <v>0.71499999999999997</v>
      </c>
      <c r="L407" s="932">
        <v>0.71499999999999997</v>
      </c>
      <c r="M407" s="932">
        <v>0.71499999999999997</v>
      </c>
    </row>
    <row r="408" spans="1:13">
      <c r="A408" s="939">
        <v>4.7</v>
      </c>
      <c r="B408" s="932">
        <v>0.91520000000000001</v>
      </c>
      <c r="C408" s="932">
        <v>0.91520000000000001</v>
      </c>
      <c r="D408" s="932">
        <v>0.85570000000000002</v>
      </c>
      <c r="E408" s="932">
        <v>0.85570000000000002</v>
      </c>
      <c r="F408" s="932">
        <v>0.85570000000000002</v>
      </c>
      <c r="G408" s="932">
        <v>0.85570000000000002</v>
      </c>
      <c r="H408" s="932">
        <v>0.85570000000000002</v>
      </c>
      <c r="I408" s="932">
        <v>0.71199999999999997</v>
      </c>
      <c r="J408" s="932">
        <v>0.71199999999999997</v>
      </c>
      <c r="K408" s="932">
        <v>0.71199999999999997</v>
      </c>
      <c r="L408" s="932">
        <v>0.71199999999999997</v>
      </c>
      <c r="M408" s="932">
        <v>0.71199999999999997</v>
      </c>
    </row>
    <row r="409" spans="1:13">
      <c r="A409" s="939">
        <v>4.8</v>
      </c>
      <c r="B409" s="932">
        <v>0.91310000000000002</v>
      </c>
      <c r="C409" s="932">
        <v>0.91310000000000002</v>
      </c>
      <c r="D409" s="932">
        <v>0.85340000000000005</v>
      </c>
      <c r="E409" s="932">
        <v>0.85340000000000005</v>
      </c>
      <c r="F409" s="932">
        <v>0.85340000000000005</v>
      </c>
      <c r="G409" s="932">
        <v>0.85340000000000005</v>
      </c>
      <c r="H409" s="932">
        <v>0.85340000000000005</v>
      </c>
      <c r="I409" s="932">
        <v>0.70909999999999995</v>
      </c>
      <c r="J409" s="932">
        <v>0.70909999999999995</v>
      </c>
      <c r="K409" s="932">
        <v>0.70909999999999995</v>
      </c>
      <c r="L409" s="932">
        <v>0.70909999999999995</v>
      </c>
      <c r="M409" s="932">
        <v>0.70909999999999995</v>
      </c>
    </row>
    <row r="410" spans="1:13">
      <c r="A410" s="939">
        <v>4.9000000000000004</v>
      </c>
      <c r="B410" s="932">
        <v>0.91120000000000001</v>
      </c>
      <c r="C410" s="932">
        <v>0.91120000000000001</v>
      </c>
      <c r="D410" s="932">
        <v>0.85109999999999997</v>
      </c>
      <c r="E410" s="932">
        <v>0.85109999999999997</v>
      </c>
      <c r="F410" s="932">
        <v>0.85109999999999997</v>
      </c>
      <c r="G410" s="932">
        <v>0.85109999999999997</v>
      </c>
      <c r="H410" s="932">
        <v>0.85109999999999997</v>
      </c>
      <c r="I410" s="932">
        <v>0.70620000000000005</v>
      </c>
      <c r="J410" s="932">
        <v>0.70620000000000005</v>
      </c>
      <c r="K410" s="932">
        <v>0.70620000000000005</v>
      </c>
      <c r="L410" s="932">
        <v>0.70620000000000005</v>
      </c>
      <c r="M410" s="932">
        <v>0.70620000000000005</v>
      </c>
    </row>
    <row r="411" spans="1:13">
      <c r="A411" s="939">
        <v>5</v>
      </c>
      <c r="B411" s="932">
        <v>0.90920000000000001</v>
      </c>
      <c r="C411" s="932">
        <v>0.90920000000000001</v>
      </c>
      <c r="D411" s="932">
        <v>0.84889999999999999</v>
      </c>
      <c r="E411" s="932">
        <v>0.84889999999999999</v>
      </c>
      <c r="F411" s="932">
        <v>0.84889999999999999</v>
      </c>
      <c r="G411" s="932">
        <v>0.84889999999999999</v>
      </c>
      <c r="H411" s="932">
        <v>0.84889999999999999</v>
      </c>
      <c r="I411" s="932">
        <v>0.70350000000000001</v>
      </c>
      <c r="J411" s="932">
        <v>0.70350000000000001</v>
      </c>
      <c r="K411" s="932">
        <v>0.70350000000000001</v>
      </c>
      <c r="L411" s="932">
        <v>0.70350000000000001</v>
      </c>
      <c r="M411" s="932">
        <v>0.70350000000000001</v>
      </c>
    </row>
    <row r="412" spans="1:13">
      <c r="A412" s="939">
        <v>5.0999999999999996</v>
      </c>
      <c r="B412" s="932">
        <v>0.90720000000000001</v>
      </c>
      <c r="C412" s="932">
        <v>0.90720000000000001</v>
      </c>
      <c r="D412" s="932">
        <v>0.84670000000000001</v>
      </c>
      <c r="E412" s="932">
        <v>0.84670000000000001</v>
      </c>
      <c r="F412" s="932">
        <v>0.84670000000000001</v>
      </c>
      <c r="G412" s="932">
        <v>0.84670000000000001</v>
      </c>
      <c r="H412" s="932">
        <v>0.84670000000000001</v>
      </c>
      <c r="I412" s="932">
        <v>0.70089999999999997</v>
      </c>
      <c r="J412" s="932">
        <v>0.70089999999999997</v>
      </c>
      <c r="K412" s="932">
        <v>0.70089999999999997</v>
      </c>
      <c r="L412" s="932">
        <v>0.70089999999999997</v>
      </c>
      <c r="M412" s="932">
        <v>0.70089999999999997</v>
      </c>
    </row>
    <row r="413" spans="1:13">
      <c r="A413" s="939">
        <v>5.2</v>
      </c>
      <c r="B413" s="932">
        <v>0.90529999999999999</v>
      </c>
      <c r="C413" s="932">
        <v>0.90529999999999999</v>
      </c>
      <c r="D413" s="932">
        <v>0.84450000000000003</v>
      </c>
      <c r="E413" s="932">
        <v>0.84450000000000003</v>
      </c>
      <c r="F413" s="932">
        <v>0.84450000000000003</v>
      </c>
      <c r="G413" s="932">
        <v>0.84450000000000003</v>
      </c>
      <c r="H413" s="932">
        <v>0.84450000000000003</v>
      </c>
      <c r="I413" s="932">
        <v>0.69820000000000004</v>
      </c>
      <c r="J413" s="932">
        <v>0.69820000000000004</v>
      </c>
      <c r="K413" s="932">
        <v>0.69820000000000004</v>
      </c>
      <c r="L413" s="932">
        <v>0.69820000000000004</v>
      </c>
      <c r="M413" s="932">
        <v>0.69820000000000004</v>
      </c>
    </row>
    <row r="414" spans="1:13">
      <c r="A414" s="939">
        <v>5.3</v>
      </c>
      <c r="B414" s="932">
        <v>0.90339999999999998</v>
      </c>
      <c r="C414" s="932">
        <v>0.90339999999999998</v>
      </c>
      <c r="D414" s="932">
        <v>0.84230000000000005</v>
      </c>
      <c r="E414" s="932">
        <v>0.84230000000000005</v>
      </c>
      <c r="F414" s="932">
        <v>0.84230000000000005</v>
      </c>
      <c r="G414" s="932">
        <v>0.84230000000000005</v>
      </c>
      <c r="H414" s="932">
        <v>0.84230000000000005</v>
      </c>
      <c r="I414" s="932">
        <v>0.69569999999999999</v>
      </c>
      <c r="J414" s="932">
        <v>0.69569999999999999</v>
      </c>
      <c r="K414" s="932">
        <v>0.69569999999999999</v>
      </c>
      <c r="L414" s="932">
        <v>0.69569999999999999</v>
      </c>
      <c r="M414" s="932">
        <v>0.69569999999999999</v>
      </c>
    </row>
    <row r="415" spans="1:13">
      <c r="A415" s="939">
        <v>5.4</v>
      </c>
      <c r="B415" s="932">
        <v>0.90149999999999997</v>
      </c>
      <c r="C415" s="932">
        <v>0.90149999999999997</v>
      </c>
      <c r="D415" s="932">
        <v>0.84019999999999995</v>
      </c>
      <c r="E415" s="932">
        <v>0.84019999999999995</v>
      </c>
      <c r="F415" s="932">
        <v>0.84019999999999995</v>
      </c>
      <c r="G415" s="932">
        <v>0.84019999999999995</v>
      </c>
      <c r="H415" s="932">
        <v>0.84019999999999995</v>
      </c>
      <c r="I415" s="932">
        <v>0.69310000000000005</v>
      </c>
      <c r="J415" s="932">
        <v>0.69310000000000005</v>
      </c>
      <c r="K415" s="932">
        <v>0.69310000000000005</v>
      </c>
      <c r="L415" s="932">
        <v>0.69310000000000005</v>
      </c>
      <c r="M415" s="932">
        <v>0.69310000000000005</v>
      </c>
    </row>
    <row r="416" spans="1:13">
      <c r="A416" s="939">
        <v>5.5</v>
      </c>
      <c r="B416" s="932">
        <v>0.89959999999999996</v>
      </c>
      <c r="C416" s="932">
        <v>0.89959999999999996</v>
      </c>
      <c r="D416" s="932">
        <v>0.83809999999999996</v>
      </c>
      <c r="E416" s="932">
        <v>0.83809999999999996</v>
      </c>
      <c r="F416" s="932">
        <v>0.83809999999999996</v>
      </c>
      <c r="G416" s="932">
        <v>0.83809999999999996</v>
      </c>
      <c r="H416" s="932">
        <v>0.83809999999999996</v>
      </c>
      <c r="I416" s="932">
        <v>0.69059999999999999</v>
      </c>
      <c r="J416" s="932">
        <v>0.69059999999999999</v>
      </c>
      <c r="K416" s="932">
        <v>0.69059999999999999</v>
      </c>
      <c r="L416" s="932">
        <v>0.69059999999999999</v>
      </c>
      <c r="M416" s="932">
        <v>0.69059999999999999</v>
      </c>
    </row>
    <row r="417" spans="1:13">
      <c r="A417" s="939">
        <v>5.6</v>
      </c>
      <c r="B417" s="932">
        <v>0.89780000000000004</v>
      </c>
      <c r="C417" s="932">
        <v>0.89780000000000004</v>
      </c>
      <c r="D417" s="932">
        <v>0.83599999999999997</v>
      </c>
      <c r="E417" s="932">
        <v>0.83599999999999997</v>
      </c>
      <c r="F417" s="932">
        <v>0.83599999999999997</v>
      </c>
      <c r="G417" s="932">
        <v>0.83599999999999997</v>
      </c>
      <c r="H417" s="932">
        <v>0.83599999999999997</v>
      </c>
      <c r="I417" s="932">
        <v>0.68810000000000004</v>
      </c>
      <c r="J417" s="932">
        <v>0.68810000000000004</v>
      </c>
      <c r="K417" s="932">
        <v>0.68810000000000004</v>
      </c>
      <c r="L417" s="932">
        <v>0.68810000000000004</v>
      </c>
      <c r="M417" s="932">
        <v>0.68810000000000004</v>
      </c>
    </row>
    <row r="418" spans="1:13">
      <c r="A418" s="939">
        <v>5.7</v>
      </c>
      <c r="B418" s="932">
        <v>0.89600000000000002</v>
      </c>
      <c r="C418" s="932">
        <v>0.89600000000000002</v>
      </c>
      <c r="D418" s="932">
        <v>0.83389999999999997</v>
      </c>
      <c r="E418" s="932">
        <v>0.83389999999999997</v>
      </c>
      <c r="F418" s="932">
        <v>0.83389999999999997</v>
      </c>
      <c r="G418" s="932">
        <v>0.83389999999999997</v>
      </c>
      <c r="H418" s="932">
        <v>0.83389999999999997</v>
      </c>
      <c r="I418" s="932">
        <v>0.68569999999999998</v>
      </c>
      <c r="J418" s="932">
        <v>0.68569999999999998</v>
      </c>
      <c r="K418" s="932">
        <v>0.68569999999999998</v>
      </c>
      <c r="L418" s="932">
        <v>0.68569999999999998</v>
      </c>
      <c r="M418" s="932">
        <v>0.68569999999999998</v>
      </c>
    </row>
    <row r="419" spans="1:13">
      <c r="A419" s="939">
        <v>5.8</v>
      </c>
      <c r="B419" s="932">
        <v>0.89419999999999999</v>
      </c>
      <c r="C419" s="932">
        <v>0.89419999999999999</v>
      </c>
      <c r="D419" s="932">
        <v>0.83189999999999997</v>
      </c>
      <c r="E419" s="932">
        <v>0.83189999999999997</v>
      </c>
      <c r="F419" s="932">
        <v>0.83189999999999997</v>
      </c>
      <c r="G419" s="932">
        <v>0.83189999999999997</v>
      </c>
      <c r="H419" s="932">
        <v>0.83189999999999997</v>
      </c>
      <c r="I419" s="932">
        <v>0.68320000000000003</v>
      </c>
      <c r="J419" s="932">
        <v>0.68320000000000003</v>
      </c>
      <c r="K419" s="932">
        <v>0.68320000000000003</v>
      </c>
      <c r="L419" s="932">
        <v>0.68320000000000003</v>
      </c>
      <c r="M419" s="932">
        <v>0.68320000000000003</v>
      </c>
    </row>
    <row r="420" spans="1:13">
      <c r="A420" s="939">
        <v>5.9</v>
      </c>
      <c r="B420" s="932">
        <v>0.89239999999999997</v>
      </c>
      <c r="C420" s="932">
        <v>0.89239999999999997</v>
      </c>
      <c r="D420" s="932">
        <v>0.82989999999999997</v>
      </c>
      <c r="E420" s="932">
        <v>0.82989999999999997</v>
      </c>
      <c r="F420" s="932">
        <v>0.82989999999999997</v>
      </c>
      <c r="G420" s="932">
        <v>0.82989999999999997</v>
      </c>
      <c r="H420" s="932">
        <v>0.82989999999999997</v>
      </c>
      <c r="I420" s="932">
        <v>0.68069999999999997</v>
      </c>
      <c r="J420" s="932">
        <v>0.68069999999999997</v>
      </c>
      <c r="K420" s="932">
        <v>0.68069999999999997</v>
      </c>
      <c r="L420" s="932">
        <v>0.68069999999999997</v>
      </c>
      <c r="M420" s="932">
        <v>0.68069999999999997</v>
      </c>
    </row>
    <row r="421" spans="1:13">
      <c r="A421" s="939">
        <v>6</v>
      </c>
      <c r="B421" s="932">
        <v>0.89070000000000005</v>
      </c>
      <c r="C421" s="932">
        <v>0.89070000000000005</v>
      </c>
      <c r="D421" s="932">
        <v>0.82789999999999997</v>
      </c>
      <c r="E421" s="932">
        <v>0.82789999999999997</v>
      </c>
      <c r="F421" s="932">
        <v>0.82789999999999997</v>
      </c>
      <c r="G421" s="932">
        <v>0.82789999999999997</v>
      </c>
      <c r="H421" s="932">
        <v>0.82789999999999997</v>
      </c>
      <c r="I421" s="932">
        <v>0.6784</v>
      </c>
      <c r="J421" s="932">
        <v>0.6784</v>
      </c>
      <c r="K421" s="932">
        <v>0.6784</v>
      </c>
      <c r="L421" s="932">
        <v>0.6784</v>
      </c>
      <c r="M421" s="932">
        <v>0.6784</v>
      </c>
    </row>
    <row r="422" spans="1:13">
      <c r="A422" s="939">
        <v>6.1</v>
      </c>
      <c r="B422" s="932">
        <v>0.88900000000000001</v>
      </c>
      <c r="C422" s="932">
        <v>0.88900000000000001</v>
      </c>
      <c r="D422" s="932">
        <v>0.82589999999999997</v>
      </c>
      <c r="E422" s="932">
        <v>0.82589999999999997</v>
      </c>
      <c r="F422" s="932">
        <v>0.82589999999999997</v>
      </c>
      <c r="G422" s="932">
        <v>0.82589999999999997</v>
      </c>
      <c r="H422" s="932">
        <v>0.82589999999999997</v>
      </c>
      <c r="I422" s="932">
        <v>0.67600000000000005</v>
      </c>
      <c r="J422" s="932">
        <v>0.67600000000000005</v>
      </c>
      <c r="K422" s="932">
        <v>0.67600000000000005</v>
      </c>
      <c r="L422" s="932">
        <v>0.67600000000000005</v>
      </c>
      <c r="M422" s="932">
        <v>0.67600000000000005</v>
      </c>
    </row>
    <row r="423" spans="1:13">
      <c r="A423" s="939">
        <v>6.2</v>
      </c>
      <c r="B423" s="932">
        <v>0.88729999999999998</v>
      </c>
      <c r="C423" s="932">
        <v>0.88729999999999998</v>
      </c>
      <c r="D423" s="932">
        <v>0.82389999999999997</v>
      </c>
      <c r="E423" s="932">
        <v>0.82389999999999997</v>
      </c>
      <c r="F423" s="932">
        <v>0.82389999999999997</v>
      </c>
      <c r="G423" s="932">
        <v>0.82389999999999997</v>
      </c>
      <c r="H423" s="932">
        <v>0.82389999999999997</v>
      </c>
      <c r="I423" s="932">
        <v>0.67359999999999998</v>
      </c>
      <c r="J423" s="932">
        <v>0.67359999999999998</v>
      </c>
      <c r="K423" s="932">
        <v>0.67359999999999998</v>
      </c>
      <c r="L423" s="932">
        <v>0.67359999999999998</v>
      </c>
      <c r="M423" s="932">
        <v>0.67359999999999998</v>
      </c>
    </row>
    <row r="424" spans="1:13">
      <c r="A424" s="939">
        <v>6.3</v>
      </c>
      <c r="B424" s="932">
        <v>0.88560000000000005</v>
      </c>
      <c r="C424" s="932">
        <v>0.88560000000000005</v>
      </c>
      <c r="D424" s="932">
        <v>0.82189999999999996</v>
      </c>
      <c r="E424" s="932">
        <v>0.82189999999999996</v>
      </c>
      <c r="F424" s="932">
        <v>0.82189999999999996</v>
      </c>
      <c r="G424" s="932">
        <v>0.82189999999999996</v>
      </c>
      <c r="H424" s="932">
        <v>0.82189999999999996</v>
      </c>
      <c r="I424" s="932">
        <v>0.67130000000000001</v>
      </c>
      <c r="J424" s="932">
        <v>0.67130000000000001</v>
      </c>
      <c r="K424" s="932">
        <v>0.67130000000000001</v>
      </c>
      <c r="L424" s="932">
        <v>0.67130000000000001</v>
      </c>
      <c r="M424" s="932">
        <v>0.67130000000000001</v>
      </c>
    </row>
    <row r="425" spans="1:13">
      <c r="A425" s="939">
        <v>6.4</v>
      </c>
      <c r="B425" s="932">
        <v>0.88390000000000002</v>
      </c>
      <c r="C425" s="932">
        <v>0.88390000000000002</v>
      </c>
      <c r="D425" s="932">
        <v>0.82</v>
      </c>
      <c r="E425" s="932">
        <v>0.82</v>
      </c>
      <c r="F425" s="932">
        <v>0.82</v>
      </c>
      <c r="G425" s="932">
        <v>0.82</v>
      </c>
      <c r="H425" s="932">
        <v>0.82</v>
      </c>
      <c r="I425" s="932">
        <v>0.66890000000000005</v>
      </c>
      <c r="J425" s="932">
        <v>0.66890000000000005</v>
      </c>
      <c r="K425" s="932">
        <v>0.66890000000000005</v>
      </c>
      <c r="L425" s="932">
        <v>0.66890000000000005</v>
      </c>
      <c r="M425" s="932">
        <v>0.66890000000000005</v>
      </c>
    </row>
    <row r="426" spans="1:13">
      <c r="A426" s="939">
        <v>6.5</v>
      </c>
      <c r="B426" s="932">
        <v>0.88229999999999997</v>
      </c>
      <c r="C426" s="932">
        <v>0.88229999999999997</v>
      </c>
      <c r="D426" s="932">
        <v>0.81810000000000005</v>
      </c>
      <c r="E426" s="932">
        <v>0.81810000000000005</v>
      </c>
      <c r="F426" s="932">
        <v>0.81810000000000005</v>
      </c>
      <c r="G426" s="932">
        <v>0.81810000000000005</v>
      </c>
      <c r="H426" s="932">
        <v>0.81810000000000005</v>
      </c>
      <c r="I426" s="932">
        <v>0.66659999999999997</v>
      </c>
      <c r="J426" s="932">
        <v>0.66659999999999997</v>
      </c>
      <c r="K426" s="932">
        <v>0.66659999999999997</v>
      </c>
      <c r="L426" s="932">
        <v>0.66659999999999997</v>
      </c>
      <c r="M426" s="932">
        <v>0.66659999999999997</v>
      </c>
    </row>
    <row r="427" spans="1:13">
      <c r="A427" s="939">
        <v>6.6</v>
      </c>
      <c r="B427" s="932">
        <v>0.88070000000000004</v>
      </c>
      <c r="C427" s="932">
        <v>0.88070000000000004</v>
      </c>
      <c r="D427" s="932">
        <v>0.81620000000000004</v>
      </c>
      <c r="E427" s="932">
        <v>0.81620000000000004</v>
      </c>
      <c r="F427" s="932">
        <v>0.81620000000000004</v>
      </c>
      <c r="G427" s="932">
        <v>0.81620000000000004</v>
      </c>
      <c r="H427" s="932">
        <v>0.81620000000000004</v>
      </c>
      <c r="I427" s="932">
        <v>0.66439999999999999</v>
      </c>
      <c r="J427" s="932">
        <v>0.66439999999999999</v>
      </c>
      <c r="K427" s="932">
        <v>0.66439999999999999</v>
      </c>
      <c r="L427" s="932">
        <v>0.66439999999999999</v>
      </c>
      <c r="M427" s="932">
        <v>0.66439999999999999</v>
      </c>
    </row>
    <row r="428" spans="1:13">
      <c r="A428" s="939">
        <v>6.7</v>
      </c>
      <c r="B428" s="932">
        <v>0.879</v>
      </c>
      <c r="C428" s="932">
        <v>0.879</v>
      </c>
      <c r="D428" s="932">
        <v>0.81430000000000002</v>
      </c>
      <c r="E428" s="932">
        <v>0.81430000000000002</v>
      </c>
      <c r="F428" s="932">
        <v>0.81430000000000002</v>
      </c>
      <c r="G428" s="932">
        <v>0.81430000000000002</v>
      </c>
      <c r="H428" s="932">
        <v>0.81430000000000002</v>
      </c>
      <c r="I428" s="932">
        <v>0.66210000000000002</v>
      </c>
      <c r="J428" s="932">
        <v>0.66210000000000002</v>
      </c>
      <c r="K428" s="932">
        <v>0.66210000000000002</v>
      </c>
      <c r="L428" s="932">
        <v>0.66210000000000002</v>
      </c>
      <c r="M428" s="932">
        <v>0.66210000000000002</v>
      </c>
    </row>
    <row r="429" spans="1:13">
      <c r="A429" s="939">
        <v>6.8</v>
      </c>
      <c r="B429" s="932">
        <v>0.87739999999999996</v>
      </c>
      <c r="C429" s="932">
        <v>0.87739999999999996</v>
      </c>
      <c r="D429" s="932">
        <v>0.81240000000000001</v>
      </c>
      <c r="E429" s="932">
        <v>0.81240000000000001</v>
      </c>
      <c r="F429" s="932">
        <v>0.81240000000000001</v>
      </c>
      <c r="G429" s="932">
        <v>0.81240000000000001</v>
      </c>
      <c r="H429" s="932">
        <v>0.81240000000000001</v>
      </c>
      <c r="I429" s="932">
        <v>0.65980000000000005</v>
      </c>
      <c r="J429" s="932">
        <v>0.65980000000000005</v>
      </c>
      <c r="K429" s="932">
        <v>0.65980000000000005</v>
      </c>
      <c r="L429" s="932">
        <v>0.65980000000000005</v>
      </c>
      <c r="M429" s="932">
        <v>0.65980000000000005</v>
      </c>
    </row>
    <row r="430" spans="1:13">
      <c r="A430" s="939">
        <v>6.9</v>
      </c>
      <c r="B430" s="932">
        <v>0.87580000000000002</v>
      </c>
      <c r="C430" s="932">
        <v>0.87580000000000002</v>
      </c>
      <c r="D430" s="932">
        <v>0.8105</v>
      </c>
      <c r="E430" s="932">
        <v>0.8105</v>
      </c>
      <c r="F430" s="932">
        <v>0.8105</v>
      </c>
      <c r="G430" s="932">
        <v>0.8105</v>
      </c>
      <c r="H430" s="932">
        <v>0.8105</v>
      </c>
      <c r="I430" s="932">
        <v>0.65749999999999997</v>
      </c>
      <c r="J430" s="932">
        <v>0.65749999999999997</v>
      </c>
      <c r="K430" s="932">
        <v>0.65749999999999997</v>
      </c>
      <c r="L430" s="932">
        <v>0.65749999999999997</v>
      </c>
      <c r="M430" s="932">
        <v>0.65749999999999997</v>
      </c>
    </row>
    <row r="431" spans="1:13">
      <c r="A431" s="939">
        <v>7</v>
      </c>
      <c r="B431" s="932">
        <v>0.87419999999999998</v>
      </c>
      <c r="C431" s="932">
        <v>0.87419999999999998</v>
      </c>
      <c r="D431" s="932">
        <v>0.80869999999999997</v>
      </c>
      <c r="E431" s="932">
        <v>0.80869999999999997</v>
      </c>
      <c r="F431" s="932">
        <v>0.80869999999999997</v>
      </c>
      <c r="G431" s="932">
        <v>0.80869999999999997</v>
      </c>
      <c r="H431" s="932">
        <v>0.80869999999999997</v>
      </c>
      <c r="I431" s="932">
        <v>0.65529999999999999</v>
      </c>
      <c r="J431" s="932">
        <v>0.65529999999999999</v>
      </c>
      <c r="K431" s="932">
        <v>0.65529999999999999</v>
      </c>
      <c r="L431" s="932">
        <v>0.65529999999999999</v>
      </c>
      <c r="M431" s="932">
        <v>0.65529999999999999</v>
      </c>
    </row>
    <row r="432" spans="1:13">
      <c r="A432" s="939">
        <v>7.1</v>
      </c>
      <c r="B432" s="932">
        <v>0.87270000000000003</v>
      </c>
      <c r="C432" s="932">
        <v>0.87270000000000003</v>
      </c>
      <c r="D432" s="932">
        <v>0.80689999999999995</v>
      </c>
      <c r="E432" s="932">
        <v>0.80689999999999995</v>
      </c>
      <c r="F432" s="932">
        <v>0.80689999999999995</v>
      </c>
      <c r="G432" s="932">
        <v>0.80689999999999995</v>
      </c>
      <c r="H432" s="932">
        <v>0.80689999999999995</v>
      </c>
      <c r="I432" s="932">
        <v>0.6532</v>
      </c>
      <c r="J432" s="932">
        <v>0.6532</v>
      </c>
      <c r="K432" s="932">
        <v>0.6532</v>
      </c>
      <c r="L432" s="932">
        <v>0.6532</v>
      </c>
      <c r="M432" s="932">
        <v>0.6532</v>
      </c>
    </row>
    <row r="433" spans="1:13">
      <c r="A433" s="939">
        <v>7.2</v>
      </c>
      <c r="B433" s="932">
        <v>0.87119999999999997</v>
      </c>
      <c r="C433" s="932">
        <v>0.87119999999999997</v>
      </c>
      <c r="D433" s="932">
        <v>0.80510000000000004</v>
      </c>
      <c r="E433" s="932">
        <v>0.80510000000000004</v>
      </c>
      <c r="F433" s="932">
        <v>0.80510000000000004</v>
      </c>
      <c r="G433" s="932">
        <v>0.80510000000000004</v>
      </c>
      <c r="H433" s="932">
        <v>0.80510000000000004</v>
      </c>
      <c r="I433" s="932">
        <v>0.65100000000000002</v>
      </c>
      <c r="J433" s="932">
        <v>0.65100000000000002</v>
      </c>
      <c r="K433" s="932">
        <v>0.65100000000000002</v>
      </c>
      <c r="L433" s="932">
        <v>0.65100000000000002</v>
      </c>
      <c r="M433" s="932">
        <v>0.65100000000000002</v>
      </c>
    </row>
    <row r="434" spans="1:13">
      <c r="A434" s="939">
        <v>7.3</v>
      </c>
      <c r="B434" s="932">
        <v>0.86970000000000003</v>
      </c>
      <c r="C434" s="932">
        <v>0.86970000000000003</v>
      </c>
      <c r="D434" s="932">
        <v>0.80330000000000001</v>
      </c>
      <c r="E434" s="932">
        <v>0.80330000000000001</v>
      </c>
      <c r="F434" s="932">
        <v>0.80330000000000001</v>
      </c>
      <c r="G434" s="932">
        <v>0.80330000000000001</v>
      </c>
      <c r="H434" s="932">
        <v>0.80330000000000001</v>
      </c>
      <c r="I434" s="932">
        <v>0.64880000000000004</v>
      </c>
      <c r="J434" s="932">
        <v>0.64880000000000004</v>
      </c>
      <c r="K434" s="932">
        <v>0.64880000000000004</v>
      </c>
      <c r="L434" s="932">
        <v>0.64880000000000004</v>
      </c>
      <c r="M434" s="932">
        <v>0.64880000000000004</v>
      </c>
    </row>
    <row r="435" spans="1:13">
      <c r="A435" s="939">
        <v>7.4</v>
      </c>
      <c r="B435" s="932">
        <v>0.86819999999999997</v>
      </c>
      <c r="C435" s="932">
        <v>0.86819999999999997</v>
      </c>
      <c r="D435" s="932">
        <v>0.80149999999999999</v>
      </c>
      <c r="E435" s="932">
        <v>0.80149999999999999</v>
      </c>
      <c r="F435" s="932">
        <v>0.80149999999999999</v>
      </c>
      <c r="G435" s="932">
        <v>0.80149999999999999</v>
      </c>
      <c r="H435" s="932">
        <v>0.80149999999999999</v>
      </c>
      <c r="I435" s="932">
        <v>0.64659999999999995</v>
      </c>
      <c r="J435" s="932">
        <v>0.64659999999999995</v>
      </c>
      <c r="K435" s="932">
        <v>0.64659999999999995</v>
      </c>
      <c r="L435" s="932">
        <v>0.64659999999999995</v>
      </c>
      <c r="M435" s="932">
        <v>0.64659999999999995</v>
      </c>
    </row>
    <row r="436" spans="1:13">
      <c r="A436" s="939">
        <v>7.5</v>
      </c>
      <c r="B436" s="932">
        <v>0.86660000000000004</v>
      </c>
      <c r="C436" s="932">
        <v>0.86660000000000004</v>
      </c>
      <c r="D436" s="932">
        <v>0.79969999999999997</v>
      </c>
      <c r="E436" s="932">
        <v>0.79969999999999997</v>
      </c>
      <c r="F436" s="932">
        <v>0.79969999999999997</v>
      </c>
      <c r="G436" s="932">
        <v>0.79969999999999997</v>
      </c>
      <c r="H436" s="932">
        <v>0.79969999999999997</v>
      </c>
      <c r="I436" s="932">
        <v>0.64449999999999996</v>
      </c>
      <c r="J436" s="932">
        <v>0.64449999999999996</v>
      </c>
      <c r="K436" s="932">
        <v>0.64449999999999996</v>
      </c>
      <c r="L436" s="932">
        <v>0.64449999999999996</v>
      </c>
      <c r="M436" s="932">
        <v>0.64449999999999996</v>
      </c>
    </row>
    <row r="437" spans="1:13">
      <c r="A437" s="939">
        <v>7.6</v>
      </c>
      <c r="B437" s="932">
        <v>0.86509999999999998</v>
      </c>
      <c r="C437" s="932">
        <v>0.86509999999999998</v>
      </c>
      <c r="D437" s="932">
        <v>0.79800000000000004</v>
      </c>
      <c r="E437" s="932">
        <v>0.79800000000000004</v>
      </c>
      <c r="F437" s="932">
        <v>0.79800000000000004</v>
      </c>
      <c r="G437" s="932">
        <v>0.79800000000000004</v>
      </c>
      <c r="H437" s="932">
        <v>0.79800000000000004</v>
      </c>
      <c r="I437" s="932">
        <v>0.64239999999999997</v>
      </c>
      <c r="J437" s="932">
        <v>0.64239999999999997</v>
      </c>
      <c r="K437" s="932">
        <v>0.64239999999999997</v>
      </c>
      <c r="L437" s="932">
        <v>0.64239999999999997</v>
      </c>
      <c r="M437" s="932">
        <v>0.64239999999999997</v>
      </c>
    </row>
    <row r="438" spans="1:13">
      <c r="A438" s="939">
        <v>7.7</v>
      </c>
      <c r="B438" s="932">
        <v>0.86370000000000002</v>
      </c>
      <c r="C438" s="932">
        <v>0.86370000000000002</v>
      </c>
      <c r="D438" s="932">
        <v>0.79630000000000001</v>
      </c>
      <c r="E438" s="932">
        <v>0.79630000000000001</v>
      </c>
      <c r="F438" s="932">
        <v>0.79630000000000001</v>
      </c>
      <c r="G438" s="932">
        <v>0.79630000000000001</v>
      </c>
      <c r="H438" s="932">
        <v>0.79630000000000001</v>
      </c>
      <c r="I438" s="932">
        <v>0.64029999999999998</v>
      </c>
      <c r="J438" s="932">
        <v>0.64029999999999998</v>
      </c>
      <c r="K438" s="932">
        <v>0.64029999999999998</v>
      </c>
      <c r="L438" s="932">
        <v>0.64029999999999998</v>
      </c>
      <c r="M438" s="932">
        <v>0.64029999999999998</v>
      </c>
    </row>
    <row r="439" spans="1:13">
      <c r="A439" s="939">
        <v>7.8</v>
      </c>
      <c r="B439" s="932">
        <v>0.86229999999999996</v>
      </c>
      <c r="C439" s="932">
        <v>0.86229999999999996</v>
      </c>
      <c r="D439" s="932">
        <v>0.79449999999999998</v>
      </c>
      <c r="E439" s="932">
        <v>0.79449999999999998</v>
      </c>
      <c r="F439" s="932">
        <v>0.79449999999999998</v>
      </c>
      <c r="G439" s="932">
        <v>0.79449999999999998</v>
      </c>
      <c r="H439" s="932">
        <v>0.79449999999999998</v>
      </c>
      <c r="I439" s="932">
        <v>0.63819999999999999</v>
      </c>
      <c r="J439" s="932">
        <v>0.63819999999999999</v>
      </c>
      <c r="K439" s="932">
        <v>0.63819999999999999</v>
      </c>
      <c r="L439" s="932">
        <v>0.63819999999999999</v>
      </c>
      <c r="M439" s="932">
        <v>0.63819999999999999</v>
      </c>
    </row>
    <row r="440" spans="1:13">
      <c r="A440" s="939">
        <v>7.9</v>
      </c>
      <c r="B440" s="932">
        <v>0.8609</v>
      </c>
      <c r="C440" s="932">
        <v>0.8609</v>
      </c>
      <c r="D440" s="932">
        <v>0.79279999999999995</v>
      </c>
      <c r="E440" s="932">
        <v>0.79279999999999995</v>
      </c>
      <c r="F440" s="932">
        <v>0.79279999999999995</v>
      </c>
      <c r="G440" s="932">
        <v>0.79279999999999995</v>
      </c>
      <c r="H440" s="932">
        <v>0.79279999999999995</v>
      </c>
      <c r="I440" s="932">
        <v>0.6361</v>
      </c>
      <c r="J440" s="932">
        <v>0.6361</v>
      </c>
      <c r="K440" s="932">
        <v>0.6361</v>
      </c>
      <c r="L440" s="932">
        <v>0.6361</v>
      </c>
      <c r="M440" s="932">
        <v>0.6361</v>
      </c>
    </row>
    <row r="441" spans="1:13">
      <c r="A441" s="939">
        <v>8</v>
      </c>
      <c r="B441" s="932">
        <v>0.85940000000000005</v>
      </c>
      <c r="C441" s="932">
        <v>0.85940000000000005</v>
      </c>
      <c r="D441" s="932">
        <v>0.79110000000000003</v>
      </c>
      <c r="E441" s="932">
        <v>0.79110000000000003</v>
      </c>
      <c r="F441" s="932">
        <v>0.79110000000000003</v>
      </c>
      <c r="G441" s="932">
        <v>0.79110000000000003</v>
      </c>
      <c r="H441" s="932">
        <v>0.79110000000000003</v>
      </c>
      <c r="I441" s="932">
        <v>0.6341</v>
      </c>
      <c r="J441" s="932">
        <v>0.6341</v>
      </c>
      <c r="K441" s="932">
        <v>0.6341</v>
      </c>
      <c r="L441" s="932">
        <v>0.6341</v>
      </c>
      <c r="M441" s="932">
        <v>0.6341</v>
      </c>
    </row>
    <row r="442" spans="1:13">
      <c r="A442" s="939">
        <v>8.1</v>
      </c>
      <c r="B442" s="932">
        <v>0.85799999999999998</v>
      </c>
      <c r="C442" s="932">
        <v>0.85799999999999998</v>
      </c>
      <c r="D442" s="932">
        <v>0.78939999999999999</v>
      </c>
      <c r="E442" s="932">
        <v>0.78939999999999999</v>
      </c>
      <c r="F442" s="932">
        <v>0.78939999999999999</v>
      </c>
      <c r="G442" s="932">
        <v>0.78939999999999999</v>
      </c>
      <c r="H442" s="932">
        <v>0.78939999999999999</v>
      </c>
      <c r="I442" s="932">
        <v>0.6321</v>
      </c>
      <c r="J442" s="932">
        <v>0.6321</v>
      </c>
      <c r="K442" s="932">
        <v>0.6321</v>
      </c>
      <c r="L442" s="932">
        <v>0.6321</v>
      </c>
      <c r="M442" s="932">
        <v>0.6321</v>
      </c>
    </row>
    <row r="443" spans="1:13">
      <c r="A443" s="939">
        <v>8.1999999999999993</v>
      </c>
      <c r="B443" s="932">
        <v>0.85660000000000003</v>
      </c>
      <c r="C443" s="932">
        <v>0.85660000000000003</v>
      </c>
      <c r="D443" s="932">
        <v>0.78779999999999994</v>
      </c>
      <c r="E443" s="932">
        <v>0.78779999999999994</v>
      </c>
      <c r="F443" s="932">
        <v>0.78779999999999994</v>
      </c>
      <c r="G443" s="932">
        <v>0.78779999999999994</v>
      </c>
      <c r="H443" s="932">
        <v>0.78779999999999994</v>
      </c>
      <c r="I443" s="932">
        <v>0.63009999999999999</v>
      </c>
      <c r="J443" s="932">
        <v>0.63009999999999999</v>
      </c>
      <c r="K443" s="932">
        <v>0.63009999999999999</v>
      </c>
      <c r="L443" s="932">
        <v>0.63009999999999999</v>
      </c>
      <c r="M443" s="932">
        <v>0.63009999999999999</v>
      </c>
    </row>
    <row r="444" spans="1:13">
      <c r="A444" s="939">
        <v>8.3000000000000007</v>
      </c>
      <c r="B444" s="932">
        <v>0.85529999999999995</v>
      </c>
      <c r="C444" s="932">
        <v>0.85529999999999995</v>
      </c>
      <c r="D444" s="932">
        <v>0.78620000000000001</v>
      </c>
      <c r="E444" s="932">
        <v>0.78620000000000001</v>
      </c>
      <c r="F444" s="932">
        <v>0.78620000000000001</v>
      </c>
      <c r="G444" s="932">
        <v>0.78620000000000001</v>
      </c>
      <c r="H444" s="932">
        <v>0.78620000000000001</v>
      </c>
      <c r="I444" s="932">
        <v>0.62809999999999999</v>
      </c>
      <c r="J444" s="932">
        <v>0.62809999999999999</v>
      </c>
      <c r="K444" s="932">
        <v>0.62809999999999999</v>
      </c>
      <c r="L444" s="932">
        <v>0.62809999999999999</v>
      </c>
      <c r="M444" s="932">
        <v>0.62809999999999999</v>
      </c>
    </row>
    <row r="445" spans="1:13">
      <c r="A445" s="939">
        <v>8.4</v>
      </c>
      <c r="B445" s="932">
        <v>0.85389999999999999</v>
      </c>
      <c r="C445" s="932">
        <v>0.85389999999999999</v>
      </c>
      <c r="D445" s="932">
        <v>0.78459999999999996</v>
      </c>
      <c r="E445" s="932">
        <v>0.78459999999999996</v>
      </c>
      <c r="F445" s="932">
        <v>0.78459999999999996</v>
      </c>
      <c r="G445" s="932">
        <v>0.78459999999999996</v>
      </c>
      <c r="H445" s="932">
        <v>0.78459999999999996</v>
      </c>
      <c r="I445" s="932">
        <v>0.62609999999999999</v>
      </c>
      <c r="J445" s="932">
        <v>0.62609999999999999</v>
      </c>
      <c r="K445" s="932">
        <v>0.62609999999999999</v>
      </c>
      <c r="L445" s="932">
        <v>0.62609999999999999</v>
      </c>
      <c r="M445" s="932">
        <v>0.62609999999999999</v>
      </c>
    </row>
    <row r="446" spans="1:13">
      <c r="A446" s="939">
        <v>8.5</v>
      </c>
      <c r="B446" s="932">
        <v>0.85260000000000002</v>
      </c>
      <c r="C446" s="932">
        <v>0.85260000000000002</v>
      </c>
      <c r="D446" s="932">
        <v>0.78290000000000004</v>
      </c>
      <c r="E446" s="932">
        <v>0.78290000000000004</v>
      </c>
      <c r="F446" s="932">
        <v>0.78290000000000004</v>
      </c>
      <c r="G446" s="932">
        <v>0.78290000000000004</v>
      </c>
      <c r="H446" s="932">
        <v>0.78290000000000004</v>
      </c>
      <c r="I446" s="932">
        <v>0.62419999999999998</v>
      </c>
      <c r="J446" s="932">
        <v>0.62419999999999998</v>
      </c>
      <c r="K446" s="932">
        <v>0.62419999999999998</v>
      </c>
      <c r="L446" s="932">
        <v>0.62419999999999998</v>
      </c>
      <c r="M446" s="932">
        <v>0.62419999999999998</v>
      </c>
    </row>
    <row r="447" spans="1:13">
      <c r="A447" s="939">
        <v>8.6</v>
      </c>
      <c r="B447" s="932">
        <v>0.85129999999999995</v>
      </c>
      <c r="C447" s="932">
        <v>0.85129999999999995</v>
      </c>
      <c r="D447" s="932">
        <v>0.78129999999999999</v>
      </c>
      <c r="E447" s="932">
        <v>0.78129999999999999</v>
      </c>
      <c r="F447" s="932">
        <v>0.78129999999999999</v>
      </c>
      <c r="G447" s="932">
        <v>0.78129999999999999</v>
      </c>
      <c r="H447" s="932">
        <v>0.78129999999999999</v>
      </c>
      <c r="I447" s="932">
        <v>0.62229999999999996</v>
      </c>
      <c r="J447" s="932">
        <v>0.62229999999999996</v>
      </c>
      <c r="K447" s="932">
        <v>0.62229999999999996</v>
      </c>
      <c r="L447" s="932">
        <v>0.62229999999999996</v>
      </c>
      <c r="M447" s="932">
        <v>0.62229999999999996</v>
      </c>
    </row>
    <row r="448" spans="1:13">
      <c r="A448" s="939">
        <v>8.6999999999999993</v>
      </c>
      <c r="B448" s="932">
        <v>0.85</v>
      </c>
      <c r="C448" s="932">
        <v>0.85</v>
      </c>
      <c r="D448" s="932">
        <v>0.77969999999999995</v>
      </c>
      <c r="E448" s="932">
        <v>0.77969999999999995</v>
      </c>
      <c r="F448" s="932">
        <v>0.77969999999999995</v>
      </c>
      <c r="G448" s="932">
        <v>0.77969999999999995</v>
      </c>
      <c r="H448" s="932">
        <v>0.77969999999999995</v>
      </c>
      <c r="I448" s="932">
        <v>0.62039999999999995</v>
      </c>
      <c r="J448" s="932">
        <v>0.62039999999999995</v>
      </c>
      <c r="K448" s="932">
        <v>0.62039999999999995</v>
      </c>
      <c r="L448" s="932">
        <v>0.62039999999999995</v>
      </c>
      <c r="M448" s="932">
        <v>0.62039999999999995</v>
      </c>
    </row>
    <row r="449" spans="1:13">
      <c r="A449" s="939">
        <v>8.8000000000000007</v>
      </c>
      <c r="B449" s="932">
        <v>0.84860000000000002</v>
      </c>
      <c r="C449" s="932">
        <v>0.84860000000000002</v>
      </c>
      <c r="D449" s="932">
        <v>0.7782</v>
      </c>
      <c r="E449" s="932">
        <v>0.7782</v>
      </c>
      <c r="F449" s="932">
        <v>0.7782</v>
      </c>
      <c r="G449" s="932">
        <v>0.7782</v>
      </c>
      <c r="H449" s="932">
        <v>0.7782</v>
      </c>
      <c r="I449" s="932">
        <v>0.61850000000000005</v>
      </c>
      <c r="J449" s="932">
        <v>0.61850000000000005</v>
      </c>
      <c r="K449" s="932">
        <v>0.61850000000000005</v>
      </c>
      <c r="L449" s="932">
        <v>0.61850000000000005</v>
      </c>
      <c r="M449" s="932">
        <v>0.61850000000000005</v>
      </c>
    </row>
    <row r="450" spans="1:13">
      <c r="A450" s="939">
        <v>8.9</v>
      </c>
      <c r="B450" s="932">
        <v>0.84740000000000004</v>
      </c>
      <c r="C450" s="932">
        <v>0.84740000000000004</v>
      </c>
      <c r="D450" s="932">
        <v>0.77669999999999995</v>
      </c>
      <c r="E450" s="932">
        <v>0.77669999999999995</v>
      </c>
      <c r="F450" s="932">
        <v>0.77669999999999995</v>
      </c>
      <c r="G450" s="932">
        <v>0.77669999999999995</v>
      </c>
      <c r="H450" s="932">
        <v>0.77669999999999995</v>
      </c>
      <c r="I450" s="932">
        <v>0.61670000000000003</v>
      </c>
      <c r="J450" s="932">
        <v>0.61670000000000003</v>
      </c>
      <c r="K450" s="932">
        <v>0.61670000000000003</v>
      </c>
      <c r="L450" s="932">
        <v>0.61670000000000003</v>
      </c>
      <c r="M450" s="932">
        <v>0.61670000000000003</v>
      </c>
    </row>
    <row r="451" spans="1:13">
      <c r="A451" s="939">
        <v>9</v>
      </c>
      <c r="B451" s="932">
        <v>0.84619999999999995</v>
      </c>
      <c r="C451" s="932">
        <v>0.84619999999999995</v>
      </c>
      <c r="D451" s="932">
        <v>0.77510000000000001</v>
      </c>
      <c r="E451" s="932">
        <v>0.77510000000000001</v>
      </c>
      <c r="F451" s="932">
        <v>0.77510000000000001</v>
      </c>
      <c r="G451" s="932">
        <v>0.77510000000000001</v>
      </c>
      <c r="H451" s="932">
        <v>0.77510000000000001</v>
      </c>
      <c r="I451" s="932">
        <v>0.61480000000000001</v>
      </c>
      <c r="J451" s="932">
        <v>0.61480000000000001</v>
      </c>
      <c r="K451" s="932">
        <v>0.61480000000000001</v>
      </c>
      <c r="L451" s="932">
        <v>0.61480000000000001</v>
      </c>
      <c r="M451" s="932">
        <v>0.61480000000000001</v>
      </c>
    </row>
    <row r="452" spans="1:13">
      <c r="A452" s="939">
        <v>9.1</v>
      </c>
      <c r="B452" s="932">
        <v>0.84499999999999997</v>
      </c>
      <c r="C452" s="932">
        <v>0.84499999999999997</v>
      </c>
      <c r="D452" s="932">
        <v>0.77359999999999995</v>
      </c>
      <c r="E452" s="932">
        <v>0.77359999999999995</v>
      </c>
      <c r="F452" s="932">
        <v>0.77359999999999995</v>
      </c>
      <c r="G452" s="932">
        <v>0.77359999999999995</v>
      </c>
      <c r="H452" s="932">
        <v>0.77359999999999995</v>
      </c>
      <c r="I452" s="932">
        <v>0.61299999999999999</v>
      </c>
      <c r="J452" s="932">
        <v>0.61299999999999999</v>
      </c>
      <c r="K452" s="932">
        <v>0.61299999999999999</v>
      </c>
      <c r="L452" s="932">
        <v>0.61299999999999999</v>
      </c>
      <c r="M452" s="932">
        <v>0.61299999999999999</v>
      </c>
    </row>
    <row r="453" spans="1:13">
      <c r="A453" s="939">
        <v>9.1999999999999993</v>
      </c>
      <c r="B453" s="932">
        <v>0.84370000000000001</v>
      </c>
      <c r="C453" s="932">
        <v>0.84370000000000001</v>
      </c>
      <c r="D453" s="932">
        <v>0.77210000000000001</v>
      </c>
      <c r="E453" s="932">
        <v>0.77210000000000001</v>
      </c>
      <c r="F453" s="932">
        <v>0.77210000000000001</v>
      </c>
      <c r="G453" s="932">
        <v>0.77210000000000001</v>
      </c>
      <c r="H453" s="932">
        <v>0.77210000000000001</v>
      </c>
      <c r="I453" s="932">
        <v>0.61119999999999997</v>
      </c>
      <c r="J453" s="932">
        <v>0.61119999999999997</v>
      </c>
      <c r="K453" s="932">
        <v>0.61119999999999997</v>
      </c>
      <c r="L453" s="932">
        <v>0.61119999999999997</v>
      </c>
      <c r="M453" s="932">
        <v>0.61119999999999997</v>
      </c>
    </row>
    <row r="454" spans="1:13">
      <c r="A454" s="939">
        <v>9.3000000000000007</v>
      </c>
      <c r="B454" s="932">
        <v>0.84250000000000003</v>
      </c>
      <c r="C454" s="932">
        <v>0.84250000000000003</v>
      </c>
      <c r="D454" s="932">
        <v>0.77059999999999995</v>
      </c>
      <c r="E454" s="932">
        <v>0.77059999999999995</v>
      </c>
      <c r="F454" s="932">
        <v>0.77059999999999995</v>
      </c>
      <c r="G454" s="932">
        <v>0.77059999999999995</v>
      </c>
      <c r="H454" s="932">
        <v>0.77059999999999995</v>
      </c>
      <c r="I454" s="932">
        <v>0.60940000000000005</v>
      </c>
      <c r="J454" s="932">
        <v>0.60940000000000005</v>
      </c>
      <c r="K454" s="932">
        <v>0.60940000000000005</v>
      </c>
      <c r="L454" s="932">
        <v>0.60940000000000005</v>
      </c>
      <c r="M454" s="932">
        <v>0.60940000000000005</v>
      </c>
    </row>
    <row r="455" spans="1:13">
      <c r="A455" s="939">
        <v>9.4</v>
      </c>
      <c r="B455" s="932">
        <v>0.84130000000000005</v>
      </c>
      <c r="C455" s="932">
        <v>0.84130000000000005</v>
      </c>
      <c r="D455" s="932">
        <v>0.76900000000000002</v>
      </c>
      <c r="E455" s="932">
        <v>0.76900000000000002</v>
      </c>
      <c r="F455" s="932">
        <v>0.76900000000000002</v>
      </c>
      <c r="G455" s="932">
        <v>0.76900000000000002</v>
      </c>
      <c r="H455" s="932">
        <v>0.76900000000000002</v>
      </c>
      <c r="I455" s="932">
        <v>0.60760000000000003</v>
      </c>
      <c r="J455" s="932">
        <v>0.60760000000000003</v>
      </c>
      <c r="K455" s="932">
        <v>0.60760000000000003</v>
      </c>
      <c r="L455" s="932">
        <v>0.60760000000000003</v>
      </c>
      <c r="M455" s="932">
        <v>0.60760000000000003</v>
      </c>
    </row>
    <row r="456" spans="1:13">
      <c r="A456" s="939">
        <v>9.5</v>
      </c>
      <c r="B456" s="932">
        <v>0.84009999999999996</v>
      </c>
      <c r="C456" s="932">
        <v>0.84009999999999996</v>
      </c>
      <c r="D456" s="932">
        <v>0.76759999999999995</v>
      </c>
      <c r="E456" s="932">
        <v>0.76759999999999995</v>
      </c>
      <c r="F456" s="932">
        <v>0.76759999999999995</v>
      </c>
      <c r="G456" s="932">
        <v>0.76759999999999995</v>
      </c>
      <c r="H456" s="932">
        <v>0.76759999999999995</v>
      </c>
      <c r="I456" s="932">
        <v>0.60580000000000001</v>
      </c>
      <c r="J456" s="932">
        <v>0.60580000000000001</v>
      </c>
      <c r="K456" s="932">
        <v>0.60580000000000001</v>
      </c>
      <c r="L456" s="932">
        <v>0.60580000000000001</v>
      </c>
      <c r="M456" s="932">
        <v>0.60580000000000001</v>
      </c>
    </row>
    <row r="457" spans="1:13">
      <c r="A457" s="939">
        <v>9.6</v>
      </c>
      <c r="B457" s="932">
        <v>0.83899999999999997</v>
      </c>
      <c r="C457" s="932">
        <v>0.83899999999999997</v>
      </c>
      <c r="D457" s="932">
        <v>0.76619999999999999</v>
      </c>
      <c r="E457" s="932">
        <v>0.76619999999999999</v>
      </c>
      <c r="F457" s="932">
        <v>0.76619999999999999</v>
      </c>
      <c r="G457" s="932">
        <v>0.76619999999999999</v>
      </c>
      <c r="H457" s="932">
        <v>0.76619999999999999</v>
      </c>
      <c r="I457" s="932">
        <v>0.60409999999999997</v>
      </c>
      <c r="J457" s="932">
        <v>0.60409999999999997</v>
      </c>
      <c r="K457" s="932">
        <v>0.60409999999999997</v>
      </c>
      <c r="L457" s="932">
        <v>0.60409999999999997</v>
      </c>
      <c r="M457" s="932">
        <v>0.60409999999999997</v>
      </c>
    </row>
    <row r="458" spans="1:13">
      <c r="A458" s="939">
        <v>9.6999999999999993</v>
      </c>
      <c r="B458" s="932">
        <v>0.83779999999999999</v>
      </c>
      <c r="C458" s="932">
        <v>0.83779999999999999</v>
      </c>
      <c r="D458" s="932">
        <v>0.76480000000000004</v>
      </c>
      <c r="E458" s="932">
        <v>0.76480000000000004</v>
      </c>
      <c r="F458" s="932">
        <v>0.76480000000000004</v>
      </c>
      <c r="G458" s="932">
        <v>0.76480000000000004</v>
      </c>
      <c r="H458" s="932">
        <v>0.76480000000000004</v>
      </c>
      <c r="I458" s="932">
        <v>0.60240000000000005</v>
      </c>
      <c r="J458" s="932">
        <v>0.60240000000000005</v>
      </c>
      <c r="K458" s="932">
        <v>0.60240000000000005</v>
      </c>
      <c r="L458" s="932">
        <v>0.60240000000000005</v>
      </c>
      <c r="M458" s="932">
        <v>0.60240000000000005</v>
      </c>
    </row>
    <row r="459" spans="1:13">
      <c r="A459" s="939">
        <v>9.8000000000000007</v>
      </c>
      <c r="B459" s="932">
        <v>0.8367</v>
      </c>
      <c r="C459" s="932">
        <v>0.8367</v>
      </c>
      <c r="D459" s="932">
        <v>0.76329999999999998</v>
      </c>
      <c r="E459" s="932">
        <v>0.76329999999999998</v>
      </c>
      <c r="F459" s="932">
        <v>0.76329999999999998</v>
      </c>
      <c r="G459" s="932">
        <v>0.76329999999999998</v>
      </c>
      <c r="H459" s="932">
        <v>0.76329999999999998</v>
      </c>
      <c r="I459" s="932">
        <v>0.60060000000000002</v>
      </c>
      <c r="J459" s="932">
        <v>0.60060000000000002</v>
      </c>
      <c r="K459" s="932">
        <v>0.60060000000000002</v>
      </c>
      <c r="L459" s="932">
        <v>0.60060000000000002</v>
      </c>
      <c r="M459" s="932">
        <v>0.60060000000000002</v>
      </c>
    </row>
    <row r="460" spans="1:13">
      <c r="A460" s="939">
        <v>9.9</v>
      </c>
      <c r="B460" s="932">
        <v>0.83560000000000001</v>
      </c>
      <c r="C460" s="932">
        <v>0.83560000000000001</v>
      </c>
      <c r="D460" s="932">
        <v>0.76190000000000002</v>
      </c>
      <c r="E460" s="932">
        <v>0.76190000000000002</v>
      </c>
      <c r="F460" s="932">
        <v>0.76190000000000002</v>
      </c>
      <c r="G460" s="932">
        <v>0.76190000000000002</v>
      </c>
      <c r="H460" s="932">
        <v>0.76190000000000002</v>
      </c>
      <c r="I460" s="932">
        <v>0.59889999999999999</v>
      </c>
      <c r="J460" s="932">
        <v>0.59889999999999999</v>
      </c>
      <c r="K460" s="932">
        <v>0.59889999999999999</v>
      </c>
      <c r="L460" s="932">
        <v>0.59889999999999999</v>
      </c>
      <c r="M460" s="932">
        <v>0.59889999999999999</v>
      </c>
    </row>
  </sheetData>
  <sheetProtection password="CEE9" sheet="1" objects="1" scenarios="1" formatCells="0" formatColumns="0" formatRows="0"/>
  <phoneticPr fontId="120" type="noConversion"/>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G384"/>
  <sheetViews>
    <sheetView workbookViewId="0">
      <selection sqref="A1:XFD1048576"/>
    </sheetView>
  </sheetViews>
  <sheetFormatPr defaultColWidth="8.875" defaultRowHeight="13.5"/>
  <cols>
    <col min="1" max="1" width="7.5" style="3196" customWidth="1"/>
    <col min="2" max="2" width="13.875" style="3196" customWidth="1"/>
    <col min="3" max="7" width="8.875" style="3196"/>
    <col min="8" max="16384" width="8.875" style="1490"/>
  </cols>
  <sheetData>
    <row r="1" spans="1:7">
      <c r="A1" s="3681" t="s">
        <v>3030</v>
      </c>
      <c r="B1" s="3681"/>
    </row>
    <row r="2" spans="1:7" ht="14.25" thickBot="1">
      <c r="A2" s="3197"/>
      <c r="B2" s="3197"/>
    </row>
    <row r="3" spans="1:7" ht="14.25" thickBot="1">
      <c r="A3" s="3197"/>
      <c r="B3" s="3197"/>
      <c r="C3" s="3198" t="s">
        <v>3031</v>
      </c>
      <c r="D3" s="3198" t="s">
        <v>3032</v>
      </c>
      <c r="E3" s="3198" t="s">
        <v>3033</v>
      </c>
      <c r="F3" s="3198" t="s">
        <v>3034</v>
      </c>
      <c r="G3" s="3198" t="s">
        <v>3035</v>
      </c>
    </row>
    <row r="4" spans="1:7" ht="14.25" thickBot="1">
      <c r="A4" s="3199" t="s">
        <v>3036</v>
      </c>
      <c r="B4" s="3200" t="s">
        <v>3037</v>
      </c>
      <c r="C4" s="3198"/>
      <c r="D4" s="3198"/>
      <c r="E4" s="3198"/>
      <c r="F4" s="3198"/>
      <c r="G4" s="3198"/>
    </row>
    <row r="5" spans="1:7">
      <c r="A5" s="3201" t="s">
        <v>3038</v>
      </c>
      <c r="B5" s="3202" t="s">
        <v>3039</v>
      </c>
      <c r="C5" s="3203">
        <v>9.8000000000000004E-2</v>
      </c>
      <c r="D5" s="3203">
        <v>8.6999999999999994E-2</v>
      </c>
      <c r="E5" s="3203">
        <v>8.6999999999999994E-2</v>
      </c>
      <c r="F5" s="3203">
        <v>9.8000000000000004E-2</v>
      </c>
      <c r="G5" s="3204">
        <v>9.5000000000000001E-2</v>
      </c>
    </row>
    <row r="6" spans="1:7">
      <c r="A6" s="3205" t="s">
        <v>990</v>
      </c>
      <c r="B6" s="3206" t="s">
        <v>3040</v>
      </c>
      <c r="C6" s="3207">
        <v>9.8000000000000004E-2</v>
      </c>
      <c r="D6" s="3207">
        <v>9.8000000000000004E-2</v>
      </c>
      <c r="E6" s="3207">
        <v>9.8000000000000004E-2</v>
      </c>
      <c r="F6" s="3207">
        <v>0.1</v>
      </c>
      <c r="G6" s="3208">
        <v>9.9000000000000005E-2</v>
      </c>
    </row>
    <row r="7" spans="1:7">
      <c r="A7" s="3205" t="s">
        <v>990</v>
      </c>
      <c r="B7" s="3206" t="s">
        <v>982</v>
      </c>
      <c r="C7" s="3207">
        <v>9.7000000000000003E-2</v>
      </c>
      <c r="D7" s="3207">
        <v>9.7000000000000003E-2</v>
      </c>
      <c r="E7" s="3207">
        <v>9.6000000000000002E-2</v>
      </c>
      <c r="F7" s="3207">
        <v>0.1</v>
      </c>
      <c r="G7" s="3208">
        <v>9.8000000000000004E-2</v>
      </c>
    </row>
    <row r="8" spans="1:7">
      <c r="A8" s="3205" t="s">
        <v>990</v>
      </c>
      <c r="B8" s="3206" t="s">
        <v>991</v>
      </c>
      <c r="C8" s="3207">
        <v>8.1000000000000003E-2</v>
      </c>
      <c r="D8" s="3207">
        <v>8.2000000000000003E-2</v>
      </c>
      <c r="E8" s="3207">
        <v>7.0000000000000007E-2</v>
      </c>
      <c r="F8" s="3207">
        <v>9.6000000000000002E-2</v>
      </c>
      <c r="G8" s="3208">
        <v>8.8999999999999996E-2</v>
      </c>
    </row>
    <row r="9" spans="1:7" ht="14.25" thickBot="1">
      <c r="A9" s="3209" t="s">
        <v>990</v>
      </c>
      <c r="B9" s="3210" t="s">
        <v>1001</v>
      </c>
      <c r="C9" s="3211">
        <v>0.1</v>
      </c>
      <c r="D9" s="3211">
        <v>0.1</v>
      </c>
      <c r="E9" s="3211">
        <v>0.1</v>
      </c>
      <c r="F9" s="3212"/>
      <c r="G9" s="3213">
        <v>0.1</v>
      </c>
    </row>
    <row r="10" spans="1:7">
      <c r="A10" s="3201" t="s">
        <v>1031</v>
      </c>
      <c r="B10" s="3202" t="s">
        <v>3041</v>
      </c>
      <c r="C10" s="3203">
        <v>6.7000000000000004E-2</v>
      </c>
      <c r="D10" s="3203">
        <v>7.9000000000000001E-2</v>
      </c>
      <c r="E10" s="3203">
        <v>7.9000000000000001E-2</v>
      </c>
      <c r="F10" s="3203">
        <v>0.1</v>
      </c>
      <c r="G10" s="3204">
        <v>9.0999999999999998E-2</v>
      </c>
    </row>
    <row r="11" spans="1:7">
      <c r="A11" s="3205" t="s">
        <v>1031</v>
      </c>
      <c r="B11" s="3206" t="s">
        <v>973</v>
      </c>
      <c r="C11" s="3207">
        <v>0.05</v>
      </c>
      <c r="D11" s="3207">
        <v>5.2999999999999999E-2</v>
      </c>
      <c r="E11" s="3207">
        <v>6.3E-2</v>
      </c>
      <c r="F11" s="3207">
        <v>0.1</v>
      </c>
      <c r="G11" s="3208">
        <v>7.1999999999999995E-2</v>
      </c>
    </row>
    <row r="12" spans="1:7">
      <c r="A12" s="3205" t="s">
        <v>1031</v>
      </c>
      <c r="B12" s="3206" t="s">
        <v>983</v>
      </c>
      <c r="C12" s="3207">
        <v>5.2999999999999999E-2</v>
      </c>
      <c r="D12" s="3207">
        <v>0.09</v>
      </c>
      <c r="E12" s="3207">
        <v>7.1999999999999995E-2</v>
      </c>
      <c r="F12" s="3207">
        <v>0.1</v>
      </c>
      <c r="G12" s="3208">
        <v>9.7000000000000003E-2</v>
      </c>
    </row>
    <row r="13" spans="1:7">
      <c r="A13" s="3205" t="s">
        <v>1031</v>
      </c>
      <c r="B13" s="3206" t="s">
        <v>992</v>
      </c>
      <c r="C13" s="3207">
        <v>9.7000000000000003E-2</v>
      </c>
      <c r="D13" s="3207">
        <v>9.1999999999999998E-2</v>
      </c>
      <c r="E13" s="3207">
        <v>9.5000000000000001E-2</v>
      </c>
      <c r="F13" s="3207">
        <v>0.1</v>
      </c>
      <c r="G13" s="3208">
        <v>9.7000000000000003E-2</v>
      </c>
    </row>
    <row r="14" spans="1:7">
      <c r="A14" s="3205" t="s">
        <v>1031</v>
      </c>
      <c r="B14" s="3206" t="s">
        <v>1002</v>
      </c>
      <c r="C14" s="3207">
        <v>9.7000000000000003E-2</v>
      </c>
      <c r="D14" s="3207">
        <v>9.7000000000000003E-2</v>
      </c>
      <c r="E14" s="3207">
        <v>9.7000000000000003E-2</v>
      </c>
      <c r="F14" s="3207">
        <v>0.1</v>
      </c>
      <c r="G14" s="3208">
        <v>9.8000000000000004E-2</v>
      </c>
    </row>
    <row r="15" spans="1:7">
      <c r="A15" s="3205" t="s">
        <v>1031</v>
      </c>
      <c r="B15" s="3206" t="s">
        <v>1009</v>
      </c>
      <c r="C15" s="3207">
        <v>9.8000000000000004E-2</v>
      </c>
      <c r="D15" s="3207">
        <v>9.0999999999999998E-2</v>
      </c>
      <c r="E15" s="3207">
        <v>0.06</v>
      </c>
      <c r="F15" s="3207">
        <v>0.1</v>
      </c>
      <c r="G15" s="3208">
        <v>9.7000000000000003E-2</v>
      </c>
    </row>
    <row r="16" spans="1:7">
      <c r="A16" s="3205" t="s">
        <v>1031</v>
      </c>
      <c r="B16" s="3206" t="s">
        <v>1015</v>
      </c>
      <c r="C16" s="3207">
        <v>9.8000000000000004E-2</v>
      </c>
      <c r="D16" s="3207">
        <v>9.7000000000000003E-2</v>
      </c>
      <c r="E16" s="3207">
        <v>9.5000000000000001E-2</v>
      </c>
      <c r="F16" s="3207">
        <v>0.1</v>
      </c>
      <c r="G16" s="3208">
        <v>9.9000000000000005E-2</v>
      </c>
    </row>
    <row r="17" spans="1:7">
      <c r="A17" s="3205" t="s">
        <v>1031</v>
      </c>
      <c r="B17" s="3206" t="s">
        <v>1022</v>
      </c>
      <c r="C17" s="3207">
        <v>8.8999999999999996E-2</v>
      </c>
      <c r="D17" s="3207">
        <v>9.1999999999999998E-2</v>
      </c>
      <c r="E17" s="3207">
        <v>6.0999999999999999E-2</v>
      </c>
      <c r="F17" s="3207">
        <v>0.1</v>
      </c>
      <c r="G17" s="3208">
        <v>9.7000000000000003E-2</v>
      </c>
    </row>
    <row r="18" spans="1:7">
      <c r="A18" s="3205" t="s">
        <v>1031</v>
      </c>
      <c r="B18" s="3206" t="s">
        <v>1032</v>
      </c>
      <c r="C18" s="3207">
        <v>9.8000000000000004E-2</v>
      </c>
      <c r="D18" s="3207">
        <v>9.8000000000000004E-2</v>
      </c>
      <c r="E18" s="3207">
        <v>9.8000000000000004E-2</v>
      </c>
      <c r="F18" s="3214"/>
      <c r="G18" s="3208">
        <v>9.9000000000000005E-2</v>
      </c>
    </row>
    <row r="19" spans="1:7">
      <c r="A19" s="3205" t="s">
        <v>1031</v>
      </c>
      <c r="B19" s="3206" t="s">
        <v>1041</v>
      </c>
      <c r="C19" s="3207">
        <v>9.9000000000000005E-2</v>
      </c>
      <c r="D19" s="3207">
        <v>7.3999999999999996E-2</v>
      </c>
      <c r="E19" s="3207">
        <v>8.1000000000000003E-2</v>
      </c>
      <c r="F19" s="3214"/>
      <c r="G19" s="3208">
        <v>9.2999999999999999E-2</v>
      </c>
    </row>
    <row r="20" spans="1:7">
      <c r="A20" s="3205" t="s">
        <v>1031</v>
      </c>
      <c r="B20" s="3206" t="s">
        <v>1048</v>
      </c>
      <c r="C20" s="3207">
        <v>0.1</v>
      </c>
      <c r="D20" s="3207">
        <v>8.8999999999999996E-2</v>
      </c>
      <c r="E20" s="3207">
        <v>8.8999999999999996E-2</v>
      </c>
      <c r="F20" s="3214"/>
      <c r="G20" s="3208">
        <v>9.5000000000000001E-2</v>
      </c>
    </row>
    <row r="21" spans="1:7">
      <c r="A21" s="3205" t="s">
        <v>1031</v>
      </c>
      <c r="B21" s="3206" t="s">
        <v>1055</v>
      </c>
      <c r="C21" s="3207">
        <v>0.1</v>
      </c>
      <c r="D21" s="3207">
        <v>9.0999999999999998E-2</v>
      </c>
      <c r="E21" s="3207">
        <v>8.2000000000000003E-2</v>
      </c>
      <c r="F21" s="3214"/>
      <c r="G21" s="3208">
        <v>9.7000000000000003E-2</v>
      </c>
    </row>
    <row r="22" spans="1:7">
      <c r="A22" s="3205" t="s">
        <v>1031</v>
      </c>
      <c r="B22" s="3206" t="s">
        <v>3042</v>
      </c>
      <c r="C22" s="3207">
        <v>9.5000000000000001E-2</v>
      </c>
      <c r="D22" s="3207">
        <v>9.9000000000000005E-2</v>
      </c>
      <c r="E22" s="3207">
        <v>9.8000000000000004E-2</v>
      </c>
      <c r="F22" s="3214"/>
      <c r="G22" s="3208">
        <v>0.1</v>
      </c>
    </row>
    <row r="23" spans="1:7">
      <c r="A23" s="3205" t="s">
        <v>1031</v>
      </c>
      <c r="B23" s="3206" t="s">
        <v>1070</v>
      </c>
      <c r="C23" s="3207">
        <v>9.9000000000000005E-2</v>
      </c>
      <c r="D23" s="3207">
        <v>0.1</v>
      </c>
      <c r="E23" s="3207">
        <v>0.1</v>
      </c>
      <c r="F23" s="3214"/>
      <c r="G23" s="3208">
        <v>0.1</v>
      </c>
    </row>
    <row r="24" spans="1:7">
      <c r="A24" s="3205" t="s">
        <v>1031</v>
      </c>
      <c r="B24" s="3206" t="s">
        <v>1078</v>
      </c>
      <c r="C24" s="3207">
        <v>9.5000000000000001E-2</v>
      </c>
      <c r="D24" s="3207">
        <v>0.1</v>
      </c>
      <c r="E24" s="3207">
        <v>9.8000000000000004E-2</v>
      </c>
      <c r="F24" s="3214"/>
      <c r="G24" s="3208">
        <v>0.1</v>
      </c>
    </row>
    <row r="25" spans="1:7">
      <c r="A25" s="3205" t="s">
        <v>1031</v>
      </c>
      <c r="B25" s="3206" t="s">
        <v>1083</v>
      </c>
      <c r="C25" s="3207">
        <v>0.05</v>
      </c>
      <c r="D25" s="3207">
        <v>9.6000000000000002E-2</v>
      </c>
      <c r="E25" s="3207">
        <v>9.6000000000000002E-2</v>
      </c>
      <c r="F25" s="3214"/>
      <c r="G25" s="3208">
        <v>9.6000000000000002E-2</v>
      </c>
    </row>
    <row r="26" spans="1:7">
      <c r="A26" s="3205" t="s">
        <v>1031</v>
      </c>
      <c r="B26" s="3206" t="s">
        <v>1092</v>
      </c>
      <c r="C26" s="3207">
        <v>6.3E-2</v>
      </c>
      <c r="D26" s="3207">
        <v>9.9000000000000005E-2</v>
      </c>
      <c r="E26" s="3207">
        <v>9.8000000000000004E-2</v>
      </c>
      <c r="F26" s="3214"/>
      <c r="G26" s="3208">
        <v>0.1</v>
      </c>
    </row>
    <row r="27" spans="1:7">
      <c r="A27" s="3205" t="s">
        <v>1031</v>
      </c>
      <c r="B27" s="3206" t="s">
        <v>1099</v>
      </c>
      <c r="C27" s="3207">
        <v>5.1999999999999998E-2</v>
      </c>
      <c r="D27" s="3207">
        <v>9.5000000000000001E-2</v>
      </c>
      <c r="E27" s="3207">
        <v>6.4000000000000001E-2</v>
      </c>
      <c r="F27" s="3214"/>
      <c r="G27" s="3208">
        <v>9.7000000000000003E-2</v>
      </c>
    </row>
    <row r="28" spans="1:7">
      <c r="A28" s="3205" t="s">
        <v>1031</v>
      </c>
      <c r="B28" s="3206" t="s">
        <v>1107</v>
      </c>
      <c r="C28" s="3214"/>
      <c r="D28" s="3207">
        <v>6.3E-2</v>
      </c>
      <c r="E28" s="3207">
        <v>5.1999999999999998E-2</v>
      </c>
      <c r="F28" s="3214"/>
      <c r="G28" s="3208">
        <v>6.3E-2</v>
      </c>
    </row>
    <row r="29" spans="1:7" ht="14.25" thickBot="1">
      <c r="A29" s="3209" t="s">
        <v>1031</v>
      </c>
      <c r="B29" s="3210" t="s">
        <v>2828</v>
      </c>
      <c r="C29" s="3215"/>
      <c r="D29" s="3211">
        <v>5.1999999999999998E-2</v>
      </c>
      <c r="E29" s="3211">
        <v>7.0000000000000007E-2</v>
      </c>
      <c r="F29" s="3215"/>
      <c r="G29" s="3213">
        <v>7.0999999999999994E-2</v>
      </c>
    </row>
    <row r="30" spans="1:7">
      <c r="A30" s="3216" t="s">
        <v>1145</v>
      </c>
      <c r="B30" s="3202" t="s">
        <v>3043</v>
      </c>
      <c r="C30" s="3203">
        <v>6.6000000000000003E-2</v>
      </c>
      <c r="D30" s="3203">
        <v>6.6000000000000003E-2</v>
      </c>
      <c r="E30" s="3203">
        <v>5.7000000000000002E-2</v>
      </c>
      <c r="F30" s="3203">
        <v>0.1</v>
      </c>
      <c r="G30" s="3204">
        <v>6.8000000000000005E-2</v>
      </c>
    </row>
    <row r="31" spans="1:7">
      <c r="A31" s="3217" t="s">
        <v>1145</v>
      </c>
      <c r="B31" s="3206" t="s">
        <v>974</v>
      </c>
      <c r="C31" s="3207">
        <v>5.5E-2</v>
      </c>
      <c r="D31" s="3207">
        <v>8.2000000000000003E-2</v>
      </c>
      <c r="E31" s="3207">
        <v>6.4000000000000001E-2</v>
      </c>
      <c r="F31" s="3207">
        <v>0.1</v>
      </c>
      <c r="G31" s="3208">
        <v>9.5000000000000001E-2</v>
      </c>
    </row>
    <row r="32" spans="1:7">
      <c r="A32" s="3217" t="s">
        <v>1145</v>
      </c>
      <c r="B32" s="3206" t="s">
        <v>984</v>
      </c>
      <c r="C32" s="3207">
        <v>8.2000000000000003E-2</v>
      </c>
      <c r="D32" s="3207">
        <v>8.6999999999999994E-2</v>
      </c>
      <c r="E32" s="3207">
        <v>9.5000000000000001E-2</v>
      </c>
      <c r="F32" s="3207">
        <v>0.1</v>
      </c>
      <c r="G32" s="3208">
        <v>9.6000000000000002E-2</v>
      </c>
    </row>
    <row r="33" spans="1:7">
      <c r="A33" s="3217" t="s">
        <v>1145</v>
      </c>
      <c r="B33" s="3206" t="s">
        <v>993</v>
      </c>
      <c r="C33" s="3207">
        <v>9.9000000000000005E-2</v>
      </c>
      <c r="D33" s="3207">
        <v>9.1999999999999998E-2</v>
      </c>
      <c r="E33" s="3207">
        <v>8.6999999999999994E-2</v>
      </c>
      <c r="F33" s="3207">
        <v>0.1</v>
      </c>
      <c r="G33" s="3208">
        <v>9.7000000000000003E-2</v>
      </c>
    </row>
    <row r="34" spans="1:7">
      <c r="A34" s="3217" t="s">
        <v>1145</v>
      </c>
      <c r="B34" s="3206" t="s">
        <v>1003</v>
      </c>
      <c r="C34" s="3207">
        <v>8.4000000000000005E-2</v>
      </c>
      <c r="D34" s="3207">
        <v>9.7000000000000003E-2</v>
      </c>
      <c r="E34" s="3207">
        <v>7.0999999999999994E-2</v>
      </c>
      <c r="F34" s="3207">
        <v>0.1</v>
      </c>
      <c r="G34" s="3208">
        <v>9.8000000000000004E-2</v>
      </c>
    </row>
    <row r="35" spans="1:7">
      <c r="A35" s="3217" t="s">
        <v>1145</v>
      </c>
      <c r="B35" s="3206" t="s">
        <v>1010</v>
      </c>
      <c r="C35" s="3207">
        <v>8.3000000000000004E-2</v>
      </c>
      <c r="D35" s="3207">
        <v>9.7000000000000003E-2</v>
      </c>
      <c r="E35" s="3207">
        <v>6.0999999999999999E-2</v>
      </c>
      <c r="F35" s="3207">
        <v>0.1</v>
      </c>
      <c r="G35" s="3208">
        <v>9.9000000000000005E-2</v>
      </c>
    </row>
    <row r="36" spans="1:7">
      <c r="A36" s="3217" t="s">
        <v>1145</v>
      </c>
      <c r="B36" s="3206" t="s">
        <v>1016</v>
      </c>
      <c r="C36" s="3207">
        <v>9.7000000000000003E-2</v>
      </c>
      <c r="D36" s="3207">
        <v>9.7000000000000003E-2</v>
      </c>
      <c r="E36" s="3207">
        <v>7.8E-2</v>
      </c>
      <c r="F36" s="3207">
        <v>0.1</v>
      </c>
      <c r="G36" s="3208">
        <v>9.9000000000000005E-2</v>
      </c>
    </row>
    <row r="37" spans="1:7">
      <c r="A37" s="3217" t="s">
        <v>1145</v>
      </c>
      <c r="B37" s="3206" t="s">
        <v>1023</v>
      </c>
      <c r="C37" s="3207">
        <v>9.7000000000000003E-2</v>
      </c>
      <c r="D37" s="3207">
        <v>9.5000000000000001E-2</v>
      </c>
      <c r="E37" s="3207">
        <v>7.8E-2</v>
      </c>
      <c r="F37" s="3207">
        <v>0.1</v>
      </c>
      <c r="G37" s="3208">
        <v>9.7000000000000003E-2</v>
      </c>
    </row>
    <row r="38" spans="1:7">
      <c r="A38" s="3217" t="s">
        <v>1145</v>
      </c>
      <c r="B38" s="3206" t="s">
        <v>1033</v>
      </c>
      <c r="C38" s="3207">
        <v>9.7000000000000003E-2</v>
      </c>
      <c r="D38" s="3207">
        <v>7.6999999999999999E-2</v>
      </c>
      <c r="E38" s="3207">
        <v>7.0000000000000007E-2</v>
      </c>
      <c r="F38" s="3207">
        <v>0.1</v>
      </c>
      <c r="G38" s="3208">
        <v>7.6999999999999999E-2</v>
      </c>
    </row>
    <row r="39" spans="1:7">
      <c r="A39" s="3217" t="s">
        <v>1145</v>
      </c>
      <c r="B39" s="3206" t="s">
        <v>1042</v>
      </c>
      <c r="C39" s="3207">
        <v>9.5000000000000001E-2</v>
      </c>
      <c r="D39" s="3207">
        <v>7.6999999999999999E-2</v>
      </c>
      <c r="E39" s="3207">
        <v>6.6000000000000003E-2</v>
      </c>
      <c r="F39" s="3207">
        <v>0.1</v>
      </c>
      <c r="G39" s="3208">
        <v>8.5999999999999993E-2</v>
      </c>
    </row>
    <row r="40" spans="1:7">
      <c r="A40" s="3217" t="s">
        <v>1145</v>
      </c>
      <c r="B40" s="3206" t="s">
        <v>1049</v>
      </c>
      <c r="C40" s="3207">
        <v>7.6999999999999999E-2</v>
      </c>
      <c r="D40" s="3207">
        <v>7.8E-2</v>
      </c>
      <c r="E40" s="3207">
        <v>8.2000000000000003E-2</v>
      </c>
      <c r="F40" s="3218"/>
      <c r="G40" s="3208">
        <v>7.8E-2</v>
      </c>
    </row>
    <row r="41" spans="1:7">
      <c r="A41" s="3217" t="s">
        <v>1145</v>
      </c>
      <c r="B41" s="3206" t="s">
        <v>1056</v>
      </c>
      <c r="C41" s="3207">
        <v>7.8E-2</v>
      </c>
      <c r="D41" s="3207">
        <v>7.8E-2</v>
      </c>
      <c r="E41" s="3207">
        <v>8.2000000000000003E-2</v>
      </c>
      <c r="F41" s="3218"/>
      <c r="G41" s="3208">
        <v>8.5999999999999993E-2</v>
      </c>
    </row>
    <row r="42" spans="1:7">
      <c r="A42" s="3217" t="s">
        <v>1145</v>
      </c>
      <c r="B42" s="3206" t="s">
        <v>1063</v>
      </c>
      <c r="C42" s="3207">
        <v>7.8E-2</v>
      </c>
      <c r="D42" s="3207">
        <v>9.6000000000000002E-2</v>
      </c>
      <c r="E42" s="3207">
        <v>7.1999999999999995E-2</v>
      </c>
      <c r="F42" s="3218"/>
      <c r="G42" s="3208">
        <v>9.8000000000000004E-2</v>
      </c>
    </row>
    <row r="43" spans="1:7">
      <c r="A43" s="3217" t="s">
        <v>3044</v>
      </c>
      <c r="B43" s="3206" t="s">
        <v>1071</v>
      </c>
      <c r="C43" s="3207">
        <v>7.8E-2</v>
      </c>
      <c r="D43" s="3207">
        <v>9.9000000000000005E-2</v>
      </c>
      <c r="E43" s="3207">
        <v>9.6000000000000002E-2</v>
      </c>
      <c r="F43" s="3218"/>
      <c r="G43" s="3208">
        <v>0.1</v>
      </c>
    </row>
    <row r="44" spans="1:7">
      <c r="A44" s="3217" t="s">
        <v>1145</v>
      </c>
      <c r="B44" s="3206" t="s">
        <v>1079</v>
      </c>
      <c r="C44" s="3207">
        <v>9.6000000000000002E-2</v>
      </c>
      <c r="D44" s="3207">
        <v>0.1</v>
      </c>
      <c r="E44" s="3207">
        <v>9.8000000000000004E-2</v>
      </c>
      <c r="F44" s="3218"/>
      <c r="G44" s="3208">
        <v>0.1</v>
      </c>
    </row>
    <row r="45" spans="1:7">
      <c r="A45" s="3217" t="s">
        <v>1145</v>
      </c>
      <c r="B45" s="3206" t="s">
        <v>1084</v>
      </c>
      <c r="C45" s="3207">
        <v>9.9000000000000005E-2</v>
      </c>
      <c r="D45" s="3207">
        <v>9.8000000000000004E-2</v>
      </c>
      <c r="E45" s="3207">
        <v>9.5000000000000001E-2</v>
      </c>
      <c r="F45" s="3218"/>
      <c r="G45" s="3208">
        <v>9.8000000000000004E-2</v>
      </c>
    </row>
    <row r="46" spans="1:7">
      <c r="A46" s="3217" t="s">
        <v>1145</v>
      </c>
      <c r="B46" s="3206" t="s">
        <v>1093</v>
      </c>
      <c r="C46" s="3207">
        <v>0.1</v>
      </c>
      <c r="D46" s="3207">
        <v>9.9000000000000005E-2</v>
      </c>
      <c r="E46" s="3207">
        <v>9.6000000000000002E-2</v>
      </c>
      <c r="F46" s="3218"/>
      <c r="G46" s="3208">
        <v>0.1</v>
      </c>
    </row>
    <row r="47" spans="1:7">
      <c r="A47" s="3217" t="s">
        <v>1145</v>
      </c>
      <c r="B47" s="3206" t="s">
        <v>1100</v>
      </c>
      <c r="C47" s="3207">
        <v>9.8000000000000004E-2</v>
      </c>
      <c r="D47" s="3207">
        <v>8.6999999999999994E-2</v>
      </c>
      <c r="E47" s="3207">
        <v>5.8999999999999997E-2</v>
      </c>
      <c r="F47" s="3218"/>
      <c r="G47" s="3208">
        <v>9.6000000000000002E-2</v>
      </c>
    </row>
    <row r="48" spans="1:7">
      <c r="A48" s="3217" t="s">
        <v>1145</v>
      </c>
      <c r="B48" s="3206" t="s">
        <v>1108</v>
      </c>
      <c r="C48" s="3207">
        <v>9.9000000000000005E-2</v>
      </c>
      <c r="D48" s="3207">
        <v>9.8000000000000004E-2</v>
      </c>
      <c r="E48" s="3207">
        <v>9.5000000000000001E-2</v>
      </c>
      <c r="F48" s="3218"/>
      <c r="G48" s="3208">
        <v>9.8000000000000004E-2</v>
      </c>
    </row>
    <row r="49" spans="1:7">
      <c r="A49" s="3217" t="s">
        <v>1145</v>
      </c>
      <c r="B49" s="3206" t="s">
        <v>1115</v>
      </c>
      <c r="C49" s="3207">
        <v>8.7999999999999995E-2</v>
      </c>
      <c r="D49" s="3207">
        <v>9.9000000000000005E-2</v>
      </c>
      <c r="E49" s="3207">
        <v>7.0000000000000007E-2</v>
      </c>
      <c r="F49" s="3218"/>
      <c r="G49" s="3208">
        <v>0.1</v>
      </c>
    </row>
    <row r="50" spans="1:7">
      <c r="A50" s="3217" t="s">
        <v>1145</v>
      </c>
      <c r="B50" s="3206" t="s">
        <v>2830</v>
      </c>
      <c r="C50" s="3207">
        <v>9.8000000000000004E-2</v>
      </c>
      <c r="D50" s="3207">
        <v>7.2999999999999995E-2</v>
      </c>
      <c r="E50" s="3207">
        <v>7.0999999999999994E-2</v>
      </c>
      <c r="F50" s="3218"/>
      <c r="G50" s="3208">
        <v>7.2999999999999995E-2</v>
      </c>
    </row>
    <row r="51" spans="1:7">
      <c r="A51" s="3217" t="s">
        <v>1145</v>
      </c>
      <c r="B51" s="3206" t="s">
        <v>2831</v>
      </c>
      <c r="C51" s="3207">
        <v>9.9000000000000005E-2</v>
      </c>
      <c r="D51" s="3207">
        <v>8.5000000000000006E-2</v>
      </c>
      <c r="E51" s="3207">
        <v>6.3E-2</v>
      </c>
      <c r="F51" s="3218"/>
      <c r="G51" s="3208">
        <v>9.6000000000000002E-2</v>
      </c>
    </row>
    <row r="52" spans="1:7">
      <c r="A52" s="3217" t="s">
        <v>1145</v>
      </c>
      <c r="B52" s="3206" t="s">
        <v>2832</v>
      </c>
      <c r="C52" s="3207">
        <v>7.3999999999999996E-2</v>
      </c>
      <c r="D52" s="3207">
        <v>9.6000000000000002E-2</v>
      </c>
      <c r="E52" s="3207">
        <v>0.05</v>
      </c>
      <c r="F52" s="3218"/>
      <c r="G52" s="3208">
        <v>9.8000000000000004E-2</v>
      </c>
    </row>
    <row r="53" spans="1:7">
      <c r="A53" s="3217" t="s">
        <v>1145</v>
      </c>
      <c r="B53" s="3206" t="s">
        <v>2833</v>
      </c>
      <c r="C53" s="3207">
        <v>8.5999999999999993E-2</v>
      </c>
      <c r="D53" s="3218"/>
      <c r="E53" s="3207">
        <v>9.1999999999999998E-2</v>
      </c>
      <c r="F53" s="3218"/>
      <c r="G53" s="3219"/>
    </row>
    <row r="54" spans="1:7" ht="14.25" thickBot="1">
      <c r="A54" s="3220" t="s">
        <v>1145</v>
      </c>
      <c r="B54" s="3210" t="s">
        <v>2834</v>
      </c>
      <c r="C54" s="3211">
        <v>9.6000000000000002E-2</v>
      </c>
      <c r="D54" s="3212"/>
      <c r="E54" s="3221"/>
      <c r="F54" s="3212"/>
      <c r="G54" s="3222"/>
    </row>
    <row r="55" spans="1:7">
      <c r="A55" s="3216" t="s">
        <v>853</v>
      </c>
      <c r="B55" s="3202" t="s">
        <v>3045</v>
      </c>
      <c r="C55" s="3203">
        <v>9.6000000000000002E-2</v>
      </c>
      <c r="D55" s="3203">
        <v>8.4000000000000005E-2</v>
      </c>
      <c r="E55" s="3203">
        <v>9.1999999999999998E-2</v>
      </c>
      <c r="F55" s="3203">
        <v>0.1</v>
      </c>
      <c r="G55" s="3204">
        <v>9.5000000000000001E-2</v>
      </c>
    </row>
    <row r="56" spans="1:7">
      <c r="A56" s="3217" t="s">
        <v>853</v>
      </c>
      <c r="B56" s="3206" t="s">
        <v>975</v>
      </c>
      <c r="C56" s="3207">
        <v>8.4000000000000005E-2</v>
      </c>
      <c r="D56" s="3207">
        <v>9.1999999999999998E-2</v>
      </c>
      <c r="E56" s="3207">
        <v>9.5000000000000001E-2</v>
      </c>
      <c r="F56" s="3207">
        <v>9.1999999999999998E-2</v>
      </c>
      <c r="G56" s="3208">
        <v>9.6000000000000002E-2</v>
      </c>
    </row>
    <row r="57" spans="1:7">
      <c r="A57" s="3217" t="s">
        <v>853</v>
      </c>
      <c r="B57" s="3206" t="s">
        <v>985</v>
      </c>
      <c r="C57" s="3207">
        <v>9.9000000000000005E-2</v>
      </c>
      <c r="D57" s="3207">
        <v>9.6000000000000002E-2</v>
      </c>
      <c r="E57" s="3207">
        <v>9.1999999999999998E-2</v>
      </c>
      <c r="F57" s="3207">
        <v>0.1</v>
      </c>
      <c r="G57" s="3208">
        <v>9.8000000000000004E-2</v>
      </c>
    </row>
    <row r="58" spans="1:7">
      <c r="A58" s="3217" t="s">
        <v>853</v>
      </c>
      <c r="B58" s="3206" t="s">
        <v>994</v>
      </c>
      <c r="C58" s="3207">
        <v>9.8000000000000004E-2</v>
      </c>
      <c r="D58" s="3207">
        <v>9.5000000000000001E-2</v>
      </c>
      <c r="E58" s="3207">
        <v>5.7000000000000002E-2</v>
      </c>
      <c r="F58" s="3207">
        <v>0.1</v>
      </c>
      <c r="G58" s="3208">
        <v>9.6000000000000002E-2</v>
      </c>
    </row>
    <row r="59" spans="1:7">
      <c r="A59" s="3217" t="s">
        <v>853</v>
      </c>
      <c r="B59" s="3206" t="s">
        <v>1004</v>
      </c>
      <c r="C59" s="3207">
        <v>9.5000000000000001E-2</v>
      </c>
      <c r="D59" s="3207">
        <v>0.1</v>
      </c>
      <c r="E59" s="3207">
        <v>7.4999999999999997E-2</v>
      </c>
      <c r="F59" s="3207">
        <v>0.1</v>
      </c>
      <c r="G59" s="3208">
        <v>0.1</v>
      </c>
    </row>
    <row r="60" spans="1:7">
      <c r="A60" s="3217" t="s">
        <v>853</v>
      </c>
      <c r="B60" s="3206" t="s">
        <v>1011</v>
      </c>
      <c r="C60" s="3207">
        <v>0.1</v>
      </c>
      <c r="D60" s="3207">
        <v>9.7000000000000003E-2</v>
      </c>
      <c r="E60" s="3207">
        <v>0.1</v>
      </c>
      <c r="F60" s="3207">
        <v>0.1</v>
      </c>
      <c r="G60" s="3208">
        <v>9.7000000000000003E-2</v>
      </c>
    </row>
    <row r="61" spans="1:7">
      <c r="A61" s="3217" t="s">
        <v>853</v>
      </c>
      <c r="B61" s="3206" t="s">
        <v>1017</v>
      </c>
      <c r="C61" s="3207">
        <v>9.7000000000000003E-2</v>
      </c>
      <c r="D61" s="3207">
        <v>0.1</v>
      </c>
      <c r="E61" s="3207">
        <v>9.2999999999999999E-2</v>
      </c>
      <c r="F61" s="3207">
        <v>0.1</v>
      </c>
      <c r="G61" s="3208">
        <v>0.1</v>
      </c>
    </row>
    <row r="62" spans="1:7">
      <c r="A62" s="3217" t="s">
        <v>853</v>
      </c>
      <c r="B62" s="3206" t="s">
        <v>1024</v>
      </c>
      <c r="C62" s="3207">
        <v>0.1</v>
      </c>
      <c r="D62" s="3207">
        <v>9.7000000000000003E-2</v>
      </c>
      <c r="E62" s="3207">
        <v>8.8999999999999996E-2</v>
      </c>
      <c r="F62" s="3207">
        <v>0.1</v>
      </c>
      <c r="G62" s="3208">
        <v>9.8000000000000004E-2</v>
      </c>
    </row>
    <row r="63" spans="1:7">
      <c r="A63" s="3217" t="s">
        <v>853</v>
      </c>
      <c r="B63" s="3206" t="s">
        <v>1034</v>
      </c>
      <c r="C63" s="3207">
        <v>9.7000000000000003E-2</v>
      </c>
      <c r="D63" s="3207">
        <v>9.7000000000000003E-2</v>
      </c>
      <c r="E63" s="3207">
        <v>9.9000000000000005E-2</v>
      </c>
      <c r="F63" s="3207">
        <v>0.1</v>
      </c>
      <c r="G63" s="3208">
        <v>9.7000000000000003E-2</v>
      </c>
    </row>
    <row r="64" spans="1:7">
      <c r="A64" s="3217" t="s">
        <v>853</v>
      </c>
      <c r="B64" s="3206" t="s">
        <v>1043</v>
      </c>
      <c r="C64" s="3207">
        <v>9.7000000000000003E-2</v>
      </c>
      <c r="D64" s="3207">
        <v>7.3999999999999996E-2</v>
      </c>
      <c r="E64" s="3207">
        <v>7.8E-2</v>
      </c>
      <c r="F64" s="3207">
        <v>0.1</v>
      </c>
      <c r="G64" s="3208">
        <v>8.8999999999999996E-2</v>
      </c>
    </row>
    <row r="65" spans="1:7">
      <c r="A65" s="3217" t="s">
        <v>853</v>
      </c>
      <c r="B65" s="3206" t="s">
        <v>1050</v>
      </c>
      <c r="C65" s="3207">
        <v>7.2999999999999995E-2</v>
      </c>
      <c r="D65" s="3207">
        <v>9.8000000000000004E-2</v>
      </c>
      <c r="E65" s="3207">
        <v>9.5000000000000001E-2</v>
      </c>
      <c r="F65" s="3207">
        <v>0.1</v>
      </c>
      <c r="G65" s="3208">
        <v>9.9000000000000005E-2</v>
      </c>
    </row>
    <row r="66" spans="1:7">
      <c r="A66" s="3217" t="s">
        <v>853</v>
      </c>
      <c r="B66" s="3206" t="s">
        <v>1057</v>
      </c>
      <c r="C66" s="3207">
        <v>9.8000000000000004E-2</v>
      </c>
      <c r="D66" s="3207">
        <v>9.5000000000000001E-2</v>
      </c>
      <c r="E66" s="3207">
        <v>0.05</v>
      </c>
      <c r="F66" s="3207">
        <v>0.1</v>
      </c>
      <c r="G66" s="3208">
        <v>9.7000000000000003E-2</v>
      </c>
    </row>
    <row r="67" spans="1:7">
      <c r="A67" s="3217" t="s">
        <v>853</v>
      </c>
      <c r="B67" s="3206" t="s">
        <v>1064</v>
      </c>
      <c r="C67" s="3207">
        <v>9.5000000000000001E-2</v>
      </c>
      <c r="D67" s="3207">
        <v>9.7000000000000003E-2</v>
      </c>
      <c r="E67" s="3207">
        <v>9.7000000000000003E-2</v>
      </c>
      <c r="F67" s="3207">
        <v>0.1</v>
      </c>
      <c r="G67" s="3208">
        <v>9.9000000000000005E-2</v>
      </c>
    </row>
    <row r="68" spans="1:7">
      <c r="A68" s="3217" t="s">
        <v>853</v>
      </c>
      <c r="B68" s="3206" t="s">
        <v>1072</v>
      </c>
      <c r="C68" s="3207">
        <v>9.7000000000000003E-2</v>
      </c>
      <c r="D68" s="3207">
        <v>6.8000000000000005E-2</v>
      </c>
      <c r="E68" s="3207">
        <v>6.6000000000000003E-2</v>
      </c>
      <c r="F68" s="3207">
        <v>0.1</v>
      </c>
      <c r="G68" s="3208">
        <v>8.4000000000000005E-2</v>
      </c>
    </row>
    <row r="69" spans="1:7">
      <c r="A69" s="3217" t="s">
        <v>853</v>
      </c>
      <c r="B69" s="3206" t="s">
        <v>1080</v>
      </c>
      <c r="C69" s="3207">
        <v>6.8000000000000005E-2</v>
      </c>
      <c r="D69" s="3207">
        <v>9.8000000000000004E-2</v>
      </c>
      <c r="E69" s="3207">
        <v>9.5000000000000001E-2</v>
      </c>
      <c r="F69" s="3207">
        <v>0.1</v>
      </c>
      <c r="G69" s="3208">
        <v>0.1</v>
      </c>
    </row>
    <row r="70" spans="1:7">
      <c r="A70" s="3217" t="s">
        <v>853</v>
      </c>
      <c r="B70" s="3206" t="s">
        <v>1085</v>
      </c>
      <c r="C70" s="3207">
        <v>9.8000000000000004E-2</v>
      </c>
      <c r="D70" s="3207">
        <v>8.8999999999999996E-2</v>
      </c>
      <c r="E70" s="3207">
        <v>5.8999999999999997E-2</v>
      </c>
      <c r="F70" s="3207">
        <v>0.1</v>
      </c>
      <c r="G70" s="3208">
        <v>9.6000000000000002E-2</v>
      </c>
    </row>
    <row r="71" spans="1:7">
      <c r="A71" s="3217" t="s">
        <v>853</v>
      </c>
      <c r="B71" s="3206" t="s">
        <v>1094</v>
      </c>
      <c r="C71" s="3207">
        <v>8.8999999999999996E-2</v>
      </c>
      <c r="D71" s="3207">
        <v>9.9000000000000005E-2</v>
      </c>
      <c r="E71" s="3207">
        <v>9.6000000000000002E-2</v>
      </c>
      <c r="F71" s="3207">
        <v>0.1</v>
      </c>
      <c r="G71" s="3208">
        <v>0.1</v>
      </c>
    </row>
    <row r="72" spans="1:7">
      <c r="A72" s="3217" t="s">
        <v>853</v>
      </c>
      <c r="B72" s="3206" t="s">
        <v>1101</v>
      </c>
      <c r="C72" s="3207">
        <v>9.9000000000000005E-2</v>
      </c>
      <c r="D72" s="3207">
        <v>0.1</v>
      </c>
      <c r="E72" s="3207">
        <v>7.0000000000000007E-2</v>
      </c>
      <c r="F72" s="3218"/>
      <c r="G72" s="3208">
        <v>0.1</v>
      </c>
    </row>
    <row r="73" spans="1:7">
      <c r="A73" s="3217" t="s">
        <v>853</v>
      </c>
      <c r="B73" s="3206" t="s">
        <v>1109</v>
      </c>
      <c r="C73" s="3207">
        <v>0.1</v>
      </c>
      <c r="D73" s="3207">
        <v>0.1</v>
      </c>
      <c r="E73" s="3207">
        <v>9.6000000000000002E-2</v>
      </c>
      <c r="F73" s="3218"/>
      <c r="G73" s="3208">
        <v>0.1</v>
      </c>
    </row>
    <row r="74" spans="1:7">
      <c r="A74" s="3217" t="s">
        <v>853</v>
      </c>
      <c r="B74" s="3206" t="s">
        <v>1116</v>
      </c>
      <c r="C74" s="3207">
        <v>0.1</v>
      </c>
      <c r="D74" s="3207">
        <v>0.1</v>
      </c>
      <c r="E74" s="3207">
        <v>9.8000000000000004E-2</v>
      </c>
      <c r="F74" s="3218"/>
      <c r="G74" s="3208">
        <v>0.1</v>
      </c>
    </row>
    <row r="75" spans="1:7">
      <c r="A75" s="3217" t="s">
        <v>853</v>
      </c>
      <c r="B75" s="3206" t="s">
        <v>1120</v>
      </c>
      <c r="C75" s="3207">
        <v>0.1</v>
      </c>
      <c r="D75" s="3207">
        <v>9.9000000000000005E-2</v>
      </c>
      <c r="E75" s="3207">
        <v>9.8000000000000004E-2</v>
      </c>
      <c r="F75" s="3218"/>
      <c r="G75" s="3208">
        <v>0.1</v>
      </c>
    </row>
    <row r="76" spans="1:7">
      <c r="A76" s="3217" t="s">
        <v>853</v>
      </c>
      <c r="B76" s="3206" t="s">
        <v>1127</v>
      </c>
      <c r="C76" s="3207">
        <v>9.9000000000000005E-2</v>
      </c>
      <c r="D76" s="3207">
        <v>0.1</v>
      </c>
      <c r="E76" s="3207">
        <v>9.7000000000000003E-2</v>
      </c>
      <c r="F76" s="3218"/>
      <c r="G76" s="3208">
        <v>0.1</v>
      </c>
    </row>
    <row r="77" spans="1:7">
      <c r="A77" s="3217" t="s">
        <v>853</v>
      </c>
      <c r="B77" s="3206" t="s">
        <v>1130</v>
      </c>
      <c r="C77" s="3207">
        <v>0.1</v>
      </c>
      <c r="D77" s="3207">
        <v>0.1</v>
      </c>
      <c r="E77" s="3207">
        <v>9.6000000000000002E-2</v>
      </c>
      <c r="F77" s="3218"/>
      <c r="G77" s="3208">
        <v>0.1</v>
      </c>
    </row>
    <row r="78" spans="1:7">
      <c r="A78" s="3217" t="s">
        <v>853</v>
      </c>
      <c r="B78" s="3206" t="s">
        <v>2836</v>
      </c>
      <c r="C78" s="3207">
        <v>0.1</v>
      </c>
      <c r="D78" s="3207">
        <v>8.5000000000000006E-2</v>
      </c>
      <c r="E78" s="3207">
        <v>9.6000000000000002E-2</v>
      </c>
      <c r="F78" s="3218"/>
      <c r="G78" s="3208">
        <v>9.6000000000000002E-2</v>
      </c>
    </row>
    <row r="79" spans="1:7">
      <c r="A79" s="3217" t="s">
        <v>853</v>
      </c>
      <c r="B79" s="3206" t="s">
        <v>2837</v>
      </c>
      <c r="C79" s="3207">
        <v>0.05</v>
      </c>
      <c r="D79" s="3207">
        <v>9.6000000000000002E-2</v>
      </c>
      <c r="E79" s="3207">
        <v>9.5000000000000001E-2</v>
      </c>
      <c r="F79" s="3218"/>
      <c r="G79" s="3208">
        <v>9.8000000000000004E-2</v>
      </c>
    </row>
    <row r="80" spans="1:7">
      <c r="A80" s="3217" t="s">
        <v>853</v>
      </c>
      <c r="B80" s="3206" t="s">
        <v>2838</v>
      </c>
      <c r="C80" s="3207">
        <v>8.5999999999999993E-2</v>
      </c>
      <c r="D80" s="3223"/>
      <c r="E80" s="3207">
        <v>0.1</v>
      </c>
      <c r="F80" s="3218"/>
      <c r="G80" s="3219"/>
    </row>
    <row r="81" spans="1:7">
      <c r="A81" s="3217" t="s">
        <v>853</v>
      </c>
      <c r="B81" s="3206" t="s">
        <v>2839</v>
      </c>
      <c r="C81" s="3207">
        <v>9.6000000000000002E-2</v>
      </c>
      <c r="D81" s="3218"/>
      <c r="E81" s="3207">
        <v>9.8000000000000004E-2</v>
      </c>
      <c r="F81" s="3218"/>
      <c r="G81" s="3219"/>
    </row>
    <row r="82" spans="1:7">
      <c r="A82" s="3217" t="s">
        <v>853</v>
      </c>
      <c r="B82" s="3206" t="s">
        <v>2840</v>
      </c>
      <c r="C82" s="3223"/>
      <c r="D82" s="3218"/>
      <c r="E82" s="3207">
        <v>7.6999999999999999E-2</v>
      </c>
      <c r="F82" s="3218"/>
      <c r="G82" s="3219"/>
    </row>
    <row r="83" spans="1:7">
      <c r="A83" s="3217" t="s">
        <v>853</v>
      </c>
      <c r="B83" s="3206" t="s">
        <v>3046</v>
      </c>
      <c r="C83" s="3218"/>
      <c r="D83" s="3218"/>
      <c r="E83" s="3218"/>
      <c r="F83" s="3207">
        <v>0.1</v>
      </c>
      <c r="G83" s="3224"/>
    </row>
    <row r="84" spans="1:7">
      <c r="A84" s="3217" t="s">
        <v>853</v>
      </c>
      <c r="B84" s="3206" t="s">
        <v>3047</v>
      </c>
      <c r="C84" s="3218"/>
      <c r="D84" s="3218"/>
      <c r="E84" s="3218"/>
      <c r="F84" s="3207">
        <v>0.1</v>
      </c>
      <c r="G84" s="3224"/>
    </row>
    <row r="85" spans="1:7">
      <c r="A85" s="3217" t="s">
        <v>853</v>
      </c>
      <c r="B85" s="3206" t="s">
        <v>3048</v>
      </c>
      <c r="C85" s="3218"/>
      <c r="D85" s="3218"/>
      <c r="E85" s="3218"/>
      <c r="F85" s="3207">
        <v>0.1</v>
      </c>
      <c r="G85" s="3224"/>
    </row>
    <row r="86" spans="1:7" ht="14.25" thickBot="1">
      <c r="A86" s="3220" t="s">
        <v>853</v>
      </c>
      <c r="B86" s="3210" t="s">
        <v>3049</v>
      </c>
      <c r="C86" s="3211">
        <v>9.8000000000000004E-2</v>
      </c>
      <c r="D86" s="3211">
        <v>9.8000000000000004E-2</v>
      </c>
      <c r="E86" s="3211">
        <v>9.6000000000000002E-2</v>
      </c>
      <c r="F86" s="3221"/>
      <c r="G86" s="3213">
        <v>0.1</v>
      </c>
    </row>
    <row r="87" spans="1:7">
      <c r="A87" s="3216" t="s">
        <v>1152</v>
      </c>
      <c r="B87" s="3202" t="s">
        <v>3050</v>
      </c>
      <c r="C87" s="3203">
        <v>0.1</v>
      </c>
      <c r="D87" s="3203">
        <v>0.1</v>
      </c>
      <c r="E87" s="3203">
        <v>9.8000000000000004E-2</v>
      </c>
      <c r="F87" s="3203">
        <v>0.1</v>
      </c>
      <c r="G87" s="3204">
        <v>0.1</v>
      </c>
    </row>
    <row r="88" spans="1:7">
      <c r="A88" s="3217" t="s">
        <v>1152</v>
      </c>
      <c r="B88" s="3206" t="s">
        <v>976</v>
      </c>
      <c r="C88" s="3207">
        <v>9.0999999999999998E-2</v>
      </c>
      <c r="D88" s="3207">
        <v>9.1999999999999998E-2</v>
      </c>
      <c r="E88" s="3207">
        <v>0.1</v>
      </c>
      <c r="F88" s="3207">
        <v>0.1</v>
      </c>
      <c r="G88" s="3208">
        <v>9.6000000000000002E-2</v>
      </c>
    </row>
    <row r="89" spans="1:7">
      <c r="A89" s="3217" t="s">
        <v>1152</v>
      </c>
      <c r="B89" s="3206" t="s">
        <v>986</v>
      </c>
      <c r="C89" s="3207">
        <v>0.1</v>
      </c>
      <c r="D89" s="3207">
        <v>0.1</v>
      </c>
      <c r="E89" s="3207">
        <v>6.7000000000000004E-2</v>
      </c>
      <c r="F89" s="3207">
        <v>9.2999999999999999E-2</v>
      </c>
      <c r="G89" s="3208">
        <v>0.1</v>
      </c>
    </row>
    <row r="90" spans="1:7">
      <c r="A90" s="3217" t="s">
        <v>1152</v>
      </c>
      <c r="B90" s="3206" t="s">
        <v>995</v>
      </c>
      <c r="C90" s="3207">
        <v>9.6000000000000002E-2</v>
      </c>
      <c r="D90" s="3207">
        <v>9.6000000000000002E-2</v>
      </c>
      <c r="E90" s="3207">
        <v>0.1</v>
      </c>
      <c r="F90" s="3207">
        <v>0.1</v>
      </c>
      <c r="G90" s="3208">
        <v>9.8000000000000004E-2</v>
      </c>
    </row>
    <row r="91" spans="1:7">
      <c r="A91" s="3217" t="s">
        <v>1152</v>
      </c>
      <c r="B91" s="3206" t="s">
        <v>1005</v>
      </c>
      <c r="C91" s="3207">
        <v>7.6999999999999999E-2</v>
      </c>
      <c r="D91" s="3207">
        <v>7.6999999999999999E-2</v>
      </c>
      <c r="E91" s="3207">
        <v>9.6000000000000002E-2</v>
      </c>
      <c r="F91" s="3207">
        <v>0.1</v>
      </c>
      <c r="G91" s="3208">
        <v>7.6999999999999999E-2</v>
      </c>
    </row>
    <row r="92" spans="1:7">
      <c r="A92" s="3217" t="s">
        <v>1152</v>
      </c>
      <c r="B92" s="3206" t="s">
        <v>1012</v>
      </c>
      <c r="C92" s="3207">
        <v>0.1</v>
      </c>
      <c r="D92" s="3207">
        <v>0.1</v>
      </c>
      <c r="E92" s="3207">
        <v>9.1999999999999998E-2</v>
      </c>
      <c r="F92" s="3207">
        <v>0.1</v>
      </c>
      <c r="G92" s="3208">
        <v>0.1</v>
      </c>
    </row>
    <row r="93" spans="1:7">
      <c r="A93" s="3217" t="s">
        <v>1152</v>
      </c>
      <c r="B93" s="3206" t="s">
        <v>1018</v>
      </c>
      <c r="C93" s="3207">
        <v>9.8000000000000004E-2</v>
      </c>
      <c r="D93" s="3207">
        <v>9.8000000000000004E-2</v>
      </c>
      <c r="E93" s="3207">
        <v>9.6000000000000002E-2</v>
      </c>
      <c r="F93" s="3207">
        <v>0.1</v>
      </c>
      <c r="G93" s="3208">
        <v>9.9000000000000005E-2</v>
      </c>
    </row>
    <row r="94" spans="1:7">
      <c r="A94" s="3217" t="s">
        <v>1152</v>
      </c>
      <c r="B94" s="3206" t="s">
        <v>1025</v>
      </c>
      <c r="C94" s="3207">
        <v>8.7999999999999995E-2</v>
      </c>
      <c r="D94" s="3207">
        <v>8.7999999999999995E-2</v>
      </c>
      <c r="E94" s="3207">
        <v>9.6000000000000002E-2</v>
      </c>
      <c r="F94" s="3207">
        <v>0.1</v>
      </c>
      <c r="G94" s="3208">
        <v>8.7999999999999995E-2</v>
      </c>
    </row>
    <row r="95" spans="1:7">
      <c r="A95" s="3217" t="s">
        <v>1152</v>
      </c>
      <c r="B95" s="3206" t="s">
        <v>1035</v>
      </c>
      <c r="C95" s="3207">
        <v>9.6000000000000002E-2</v>
      </c>
      <c r="D95" s="3207">
        <v>9.6000000000000002E-2</v>
      </c>
      <c r="E95" s="3207">
        <v>0.1</v>
      </c>
      <c r="F95" s="3207">
        <v>0.1</v>
      </c>
      <c r="G95" s="3208">
        <v>9.8000000000000004E-2</v>
      </c>
    </row>
    <row r="96" spans="1:7">
      <c r="A96" s="3217" t="s">
        <v>1152</v>
      </c>
      <c r="B96" s="3206" t="s">
        <v>1044</v>
      </c>
      <c r="C96" s="3207">
        <v>9.7000000000000003E-2</v>
      </c>
      <c r="D96" s="3207">
        <v>9.7000000000000003E-2</v>
      </c>
      <c r="E96" s="3207">
        <v>0.1</v>
      </c>
      <c r="F96" s="3207">
        <v>0.1</v>
      </c>
      <c r="G96" s="3208">
        <v>9.8000000000000004E-2</v>
      </c>
    </row>
    <row r="97" spans="1:7">
      <c r="A97" s="3217" t="s">
        <v>1152</v>
      </c>
      <c r="B97" s="3206" t="s">
        <v>1051</v>
      </c>
      <c r="C97" s="3207">
        <v>9.6000000000000002E-2</v>
      </c>
      <c r="D97" s="3207">
        <v>9.6000000000000002E-2</v>
      </c>
      <c r="E97" s="3207">
        <v>9.9000000000000005E-2</v>
      </c>
      <c r="F97" s="3207">
        <v>0.1</v>
      </c>
      <c r="G97" s="3208">
        <v>9.8000000000000004E-2</v>
      </c>
    </row>
    <row r="98" spans="1:7">
      <c r="A98" s="3217" t="s">
        <v>1152</v>
      </c>
      <c r="B98" s="3206" t="s">
        <v>1058</v>
      </c>
      <c r="C98" s="3207">
        <v>9.8000000000000004E-2</v>
      </c>
      <c r="D98" s="3207">
        <v>9.8000000000000004E-2</v>
      </c>
      <c r="E98" s="3207">
        <v>0.1</v>
      </c>
      <c r="F98" s="3207">
        <v>0.1</v>
      </c>
      <c r="G98" s="3208">
        <v>9.9000000000000005E-2</v>
      </c>
    </row>
    <row r="99" spans="1:7">
      <c r="A99" s="3217" t="s">
        <v>1152</v>
      </c>
      <c r="B99" s="3206" t="s">
        <v>1065</v>
      </c>
      <c r="C99" s="3207">
        <v>9.6000000000000002E-2</v>
      </c>
      <c r="D99" s="3207">
        <v>9.6000000000000002E-2</v>
      </c>
      <c r="E99" s="3207">
        <v>0.1</v>
      </c>
      <c r="F99" s="3207">
        <v>0.1</v>
      </c>
      <c r="G99" s="3208">
        <v>9.7000000000000003E-2</v>
      </c>
    </row>
    <row r="100" spans="1:7">
      <c r="A100" s="3217" t="s">
        <v>1152</v>
      </c>
      <c r="B100" s="3206" t="s">
        <v>1073</v>
      </c>
      <c r="C100" s="3207">
        <v>0.1</v>
      </c>
      <c r="D100" s="3207">
        <v>0.1</v>
      </c>
      <c r="E100" s="3207">
        <v>9.7000000000000003E-2</v>
      </c>
      <c r="F100" s="3207">
        <v>9.8000000000000004E-2</v>
      </c>
      <c r="G100" s="3208">
        <v>0.1</v>
      </c>
    </row>
    <row r="101" spans="1:7">
      <c r="A101" s="3217" t="s">
        <v>1152</v>
      </c>
      <c r="B101" s="3206" t="s">
        <v>1081</v>
      </c>
      <c r="C101" s="3207">
        <v>0.1</v>
      </c>
      <c r="D101" s="3207">
        <v>0.1</v>
      </c>
      <c r="E101" s="3207">
        <v>9.5000000000000001E-2</v>
      </c>
      <c r="F101" s="3207">
        <v>0.1</v>
      </c>
      <c r="G101" s="3208">
        <v>0.1</v>
      </c>
    </row>
    <row r="102" spans="1:7">
      <c r="A102" s="3217" t="s">
        <v>1152</v>
      </c>
      <c r="B102" s="3206" t="s">
        <v>1086</v>
      </c>
      <c r="C102" s="3207">
        <v>0.1</v>
      </c>
      <c r="D102" s="3207">
        <v>0.1</v>
      </c>
      <c r="E102" s="3207">
        <v>9.9000000000000005E-2</v>
      </c>
      <c r="F102" s="3207">
        <v>9.7000000000000003E-2</v>
      </c>
      <c r="G102" s="3208">
        <v>0.1</v>
      </c>
    </row>
    <row r="103" spans="1:7">
      <c r="A103" s="3217" t="s">
        <v>1152</v>
      </c>
      <c r="B103" s="3206" t="s">
        <v>1095</v>
      </c>
      <c r="C103" s="3207">
        <v>0.1</v>
      </c>
      <c r="D103" s="3207">
        <v>0.1</v>
      </c>
      <c r="E103" s="3207">
        <v>9.8000000000000004E-2</v>
      </c>
      <c r="F103" s="3207">
        <v>0.1</v>
      </c>
      <c r="G103" s="3208">
        <v>0.1</v>
      </c>
    </row>
    <row r="104" spans="1:7">
      <c r="A104" s="3217" t="s">
        <v>1152</v>
      </c>
      <c r="B104" s="3206" t="s">
        <v>1102</v>
      </c>
      <c r="C104" s="3207">
        <v>0.1</v>
      </c>
      <c r="D104" s="3207">
        <v>0.1</v>
      </c>
      <c r="E104" s="3207">
        <v>9.8000000000000004E-2</v>
      </c>
      <c r="F104" s="3207">
        <v>0.1</v>
      </c>
      <c r="G104" s="3208">
        <v>0.1</v>
      </c>
    </row>
    <row r="105" spans="1:7">
      <c r="A105" s="3217" t="s">
        <v>1152</v>
      </c>
      <c r="B105" s="3206" t="s">
        <v>1110</v>
      </c>
      <c r="C105" s="3207">
        <v>9.8000000000000004E-2</v>
      </c>
      <c r="D105" s="3207">
        <v>9.8000000000000004E-2</v>
      </c>
      <c r="E105" s="3207">
        <v>9.8000000000000004E-2</v>
      </c>
      <c r="F105" s="3207">
        <v>0.1</v>
      </c>
      <c r="G105" s="3208">
        <v>9.9000000000000005E-2</v>
      </c>
    </row>
    <row r="106" spans="1:7">
      <c r="A106" s="3217" t="s">
        <v>1152</v>
      </c>
      <c r="B106" s="3206" t="s">
        <v>1117</v>
      </c>
      <c r="C106" s="3207">
        <v>9.7000000000000003E-2</v>
      </c>
      <c r="D106" s="3207">
        <v>9.7000000000000003E-2</v>
      </c>
      <c r="E106" s="3207">
        <v>9.7000000000000003E-2</v>
      </c>
      <c r="F106" s="3207">
        <v>0.1</v>
      </c>
      <c r="G106" s="3208">
        <v>9.9000000000000005E-2</v>
      </c>
    </row>
    <row r="107" spans="1:7">
      <c r="A107" s="3217" t="s">
        <v>1152</v>
      </c>
      <c r="B107" s="3206" t="s">
        <v>1121</v>
      </c>
      <c r="C107" s="3207">
        <v>0.1</v>
      </c>
      <c r="D107" s="3207">
        <v>0.1</v>
      </c>
      <c r="E107" s="3207">
        <v>8.5999999999999993E-2</v>
      </c>
      <c r="F107" s="3207">
        <v>0.09</v>
      </c>
      <c r="G107" s="3208">
        <v>0.1</v>
      </c>
    </row>
    <row r="108" spans="1:7">
      <c r="A108" s="3217" t="s">
        <v>1152</v>
      </c>
      <c r="B108" s="3206" t="s">
        <v>1128</v>
      </c>
      <c r="C108" s="3207">
        <v>0.1</v>
      </c>
      <c r="D108" s="3207">
        <v>0.1</v>
      </c>
      <c r="E108" s="3207">
        <v>9.6000000000000002E-2</v>
      </c>
      <c r="F108" s="3218"/>
      <c r="G108" s="3208">
        <v>0.1</v>
      </c>
    </row>
    <row r="109" spans="1:7">
      <c r="A109" s="3217" t="s">
        <v>1152</v>
      </c>
      <c r="B109" s="3206" t="s">
        <v>1131</v>
      </c>
      <c r="C109" s="3207">
        <v>0.1</v>
      </c>
      <c r="D109" s="3207">
        <v>0.1</v>
      </c>
      <c r="E109" s="3207">
        <v>0.1</v>
      </c>
      <c r="F109" s="3218"/>
      <c r="G109" s="3208">
        <v>0.1</v>
      </c>
    </row>
    <row r="110" spans="1:7">
      <c r="A110" s="3217" t="s">
        <v>1152</v>
      </c>
      <c r="B110" s="3206" t="s">
        <v>1133</v>
      </c>
      <c r="C110" s="3207">
        <v>0.1</v>
      </c>
      <c r="D110" s="3207">
        <v>0.1</v>
      </c>
      <c r="E110" s="3207">
        <v>0.1</v>
      </c>
      <c r="F110" s="3218"/>
      <c r="G110" s="3208">
        <v>0.1</v>
      </c>
    </row>
    <row r="111" spans="1:7">
      <c r="A111" s="3217" t="s">
        <v>1152</v>
      </c>
      <c r="B111" s="3206" t="s">
        <v>1136</v>
      </c>
      <c r="C111" s="3207">
        <v>0.1</v>
      </c>
      <c r="D111" s="3207">
        <v>0.1</v>
      </c>
      <c r="E111" s="3207">
        <v>9.5000000000000001E-2</v>
      </c>
      <c r="F111" s="3218"/>
      <c r="G111" s="3208">
        <v>0.1</v>
      </c>
    </row>
    <row r="112" spans="1:7">
      <c r="A112" s="3217" t="s">
        <v>1152</v>
      </c>
      <c r="B112" s="3206" t="s">
        <v>1140</v>
      </c>
      <c r="C112" s="3207">
        <v>9.7000000000000003E-2</v>
      </c>
      <c r="D112" s="3207">
        <v>9.7000000000000003E-2</v>
      </c>
      <c r="E112" s="3207">
        <v>0.05</v>
      </c>
      <c r="F112" s="3218"/>
      <c r="G112" s="3208">
        <v>9.8000000000000004E-2</v>
      </c>
    </row>
    <row r="113" spans="1:7">
      <c r="A113" s="3217" t="s">
        <v>1152</v>
      </c>
      <c r="B113" s="3206" t="s">
        <v>2846</v>
      </c>
      <c r="C113" s="3207">
        <v>0.1</v>
      </c>
      <c r="D113" s="3207">
        <v>0.1</v>
      </c>
      <c r="E113" s="3218"/>
      <c r="F113" s="3218"/>
      <c r="G113" s="3208">
        <v>0.1</v>
      </c>
    </row>
    <row r="114" spans="1:7">
      <c r="A114" s="3217" t="s">
        <v>1152</v>
      </c>
      <c r="B114" s="3206" t="s">
        <v>2847</v>
      </c>
      <c r="C114" s="3207">
        <v>9.7000000000000003E-2</v>
      </c>
      <c r="D114" s="3207">
        <v>9.7000000000000003E-2</v>
      </c>
      <c r="E114" s="3218"/>
      <c r="F114" s="3218"/>
      <c r="G114" s="3208">
        <v>9.9000000000000005E-2</v>
      </c>
    </row>
    <row r="115" spans="1:7">
      <c r="A115" s="3217" t="s">
        <v>1152</v>
      </c>
      <c r="B115" s="3206" t="s">
        <v>2848</v>
      </c>
      <c r="C115" s="3207">
        <v>0.1</v>
      </c>
      <c r="D115" s="3207">
        <v>0.1</v>
      </c>
      <c r="E115" s="3218"/>
      <c r="F115" s="3218"/>
      <c r="G115" s="3208">
        <v>0.1</v>
      </c>
    </row>
    <row r="116" spans="1:7">
      <c r="A116" s="3217" t="s">
        <v>1152</v>
      </c>
      <c r="B116" s="3206" t="s">
        <v>2849</v>
      </c>
      <c r="C116" s="3207">
        <v>0.1</v>
      </c>
      <c r="D116" s="3207">
        <v>0.1</v>
      </c>
      <c r="E116" s="3218"/>
      <c r="F116" s="3218"/>
      <c r="G116" s="3208">
        <v>0.1</v>
      </c>
    </row>
    <row r="117" spans="1:7">
      <c r="A117" s="3217" t="s">
        <v>1152</v>
      </c>
      <c r="B117" s="3206" t="s">
        <v>2850</v>
      </c>
      <c r="C117" s="3207">
        <v>9.7000000000000003E-2</v>
      </c>
      <c r="D117" s="3207">
        <v>9.7000000000000003E-2</v>
      </c>
      <c r="E117" s="3218"/>
      <c r="F117" s="3218"/>
      <c r="G117" s="3208">
        <v>9.7000000000000003E-2</v>
      </c>
    </row>
    <row r="118" spans="1:7">
      <c r="A118" s="3217" t="s">
        <v>1152</v>
      </c>
      <c r="B118" s="3206" t="s">
        <v>2851</v>
      </c>
      <c r="C118" s="3207">
        <v>0.1</v>
      </c>
      <c r="D118" s="3207">
        <v>0.1</v>
      </c>
      <c r="E118" s="3218"/>
      <c r="F118" s="3218"/>
      <c r="G118" s="3208">
        <v>0.1</v>
      </c>
    </row>
    <row r="119" spans="1:7">
      <c r="A119" s="3217" t="s">
        <v>1152</v>
      </c>
      <c r="B119" s="3206" t="s">
        <v>2852</v>
      </c>
      <c r="C119" s="3207">
        <v>5.0999999999999997E-2</v>
      </c>
      <c r="D119" s="3207">
        <v>5.1999999999999998E-2</v>
      </c>
      <c r="E119" s="3218"/>
      <c r="F119" s="3223"/>
      <c r="G119" s="3208">
        <v>0.06</v>
      </c>
    </row>
    <row r="120" spans="1:7">
      <c r="A120" s="3217" t="s">
        <v>1152</v>
      </c>
      <c r="B120" s="3206" t="s">
        <v>3051</v>
      </c>
      <c r="C120" s="3218"/>
      <c r="D120" s="3218"/>
      <c r="E120" s="3218"/>
      <c r="F120" s="3207">
        <v>0.1</v>
      </c>
      <c r="G120" s="3224"/>
    </row>
    <row r="121" spans="1:7">
      <c r="A121" s="3217" t="s">
        <v>1152</v>
      </c>
      <c r="B121" s="3206" t="s">
        <v>3052</v>
      </c>
      <c r="C121" s="3218"/>
      <c r="D121" s="3218"/>
      <c r="E121" s="3218"/>
      <c r="F121" s="3207">
        <v>0.1</v>
      </c>
      <c r="G121" s="3224"/>
    </row>
    <row r="122" spans="1:7">
      <c r="A122" s="3217" t="s">
        <v>1152</v>
      </c>
      <c r="B122" s="3206" t="s">
        <v>3053</v>
      </c>
      <c r="C122" s="3207">
        <v>0.1</v>
      </c>
      <c r="D122" s="3207">
        <v>0.1</v>
      </c>
      <c r="E122" s="3207">
        <v>9.8000000000000004E-2</v>
      </c>
      <c r="F122" s="3207">
        <v>0.1</v>
      </c>
      <c r="G122" s="3208">
        <v>0.1</v>
      </c>
    </row>
    <row r="123" spans="1:7">
      <c r="A123" s="3217" t="s">
        <v>1152</v>
      </c>
      <c r="B123" s="3206" t="s">
        <v>2856</v>
      </c>
      <c r="C123" s="3207">
        <v>0.1</v>
      </c>
      <c r="D123" s="3207">
        <v>0.1</v>
      </c>
      <c r="E123" s="3207">
        <v>9.8000000000000004E-2</v>
      </c>
      <c r="F123" s="3207">
        <v>0.1</v>
      </c>
      <c r="G123" s="3208">
        <v>0.1</v>
      </c>
    </row>
    <row r="124" spans="1:7">
      <c r="A124" s="3217" t="s">
        <v>1152</v>
      </c>
      <c r="B124" s="3206" t="s">
        <v>2857</v>
      </c>
      <c r="C124" s="3207">
        <v>0.1</v>
      </c>
      <c r="D124" s="3207">
        <v>0.1</v>
      </c>
      <c r="E124" s="3207">
        <v>9.8000000000000004E-2</v>
      </c>
      <c r="F124" s="3223"/>
      <c r="G124" s="3208">
        <v>0.1</v>
      </c>
    </row>
    <row r="125" spans="1:7">
      <c r="A125" s="3217" t="s">
        <v>1152</v>
      </c>
      <c r="B125" s="3206" t="s">
        <v>2858</v>
      </c>
      <c r="C125" s="3207">
        <v>9.8000000000000004E-2</v>
      </c>
      <c r="D125" s="3207">
        <v>9.8000000000000004E-2</v>
      </c>
      <c r="E125" s="3207">
        <v>9.6000000000000002E-2</v>
      </c>
      <c r="F125" s="3223"/>
      <c r="G125" s="3208">
        <v>0.1</v>
      </c>
    </row>
    <row r="126" spans="1:7" ht="14.25" thickBot="1">
      <c r="A126" s="3220" t="s">
        <v>1152</v>
      </c>
      <c r="B126" s="3210" t="s">
        <v>3054</v>
      </c>
      <c r="C126" s="3211">
        <v>0.1</v>
      </c>
      <c r="D126" s="3211">
        <v>0.1</v>
      </c>
      <c r="E126" s="3211">
        <v>9.8000000000000004E-2</v>
      </c>
      <c r="F126" s="3211">
        <v>0.1</v>
      </c>
      <c r="G126" s="3213">
        <v>0.1</v>
      </c>
    </row>
    <row r="127" spans="1:7">
      <c r="A127" s="3216" t="s">
        <v>1153</v>
      </c>
      <c r="B127" s="3202" t="s">
        <v>3055</v>
      </c>
      <c r="C127" s="3203">
        <v>0.121</v>
      </c>
      <c r="D127" s="3203">
        <v>0.121</v>
      </c>
      <c r="E127" s="3203">
        <v>0.107</v>
      </c>
      <c r="F127" s="3203">
        <v>0.13</v>
      </c>
      <c r="G127" s="3204">
        <v>0.122</v>
      </c>
    </row>
    <row r="128" spans="1:7">
      <c r="A128" s="3217" t="s">
        <v>1153</v>
      </c>
      <c r="B128" s="3206" t="s">
        <v>977</v>
      </c>
      <c r="C128" s="3207">
        <v>0.11600000000000001</v>
      </c>
      <c r="D128" s="3207">
        <v>0.11700000000000001</v>
      </c>
      <c r="E128" s="3207">
        <v>0.104</v>
      </c>
      <c r="F128" s="3207">
        <v>0.13</v>
      </c>
      <c r="G128" s="3208">
        <v>0.11700000000000001</v>
      </c>
    </row>
    <row r="129" spans="1:7">
      <c r="A129" s="3217" t="s">
        <v>1153</v>
      </c>
      <c r="B129" s="3206" t="s">
        <v>987</v>
      </c>
      <c r="C129" s="3207">
        <v>0.107</v>
      </c>
      <c r="D129" s="3207">
        <v>0.108</v>
      </c>
      <c r="E129" s="3207">
        <v>0.1</v>
      </c>
      <c r="F129" s="3207">
        <v>0.13</v>
      </c>
      <c r="G129" s="3208">
        <v>0.11700000000000001</v>
      </c>
    </row>
    <row r="130" spans="1:7">
      <c r="A130" s="3217" t="s">
        <v>1153</v>
      </c>
      <c r="B130" s="3206" t="s">
        <v>996</v>
      </c>
      <c r="C130" s="3207">
        <v>0.13</v>
      </c>
      <c r="D130" s="3207">
        <v>0.13</v>
      </c>
      <c r="E130" s="3207">
        <v>0.126</v>
      </c>
      <c r="F130" s="3207">
        <v>0.13</v>
      </c>
      <c r="G130" s="3208">
        <v>0.13</v>
      </c>
    </row>
    <row r="131" spans="1:7">
      <c r="A131" s="3217" t="s">
        <v>1153</v>
      </c>
      <c r="B131" s="3206" t="s">
        <v>1006</v>
      </c>
      <c r="C131" s="3207">
        <v>0.13</v>
      </c>
      <c r="D131" s="3207">
        <v>0.13</v>
      </c>
      <c r="E131" s="3207">
        <v>0.13</v>
      </c>
      <c r="F131" s="3207">
        <v>0.13</v>
      </c>
      <c r="G131" s="3208">
        <v>0.13</v>
      </c>
    </row>
    <row r="132" spans="1:7">
      <c r="A132" s="3217" t="s">
        <v>1153</v>
      </c>
      <c r="B132" s="3206" t="s">
        <v>1013</v>
      </c>
      <c r="C132" s="3207">
        <v>0.13</v>
      </c>
      <c r="D132" s="3207">
        <v>0.13</v>
      </c>
      <c r="E132" s="3207">
        <v>0.126</v>
      </c>
      <c r="F132" s="3207">
        <v>0.13</v>
      </c>
      <c r="G132" s="3208">
        <v>0.13</v>
      </c>
    </row>
    <row r="133" spans="1:7">
      <c r="A133" s="3217" t="s">
        <v>1153</v>
      </c>
      <c r="B133" s="3206" t="s">
        <v>1019</v>
      </c>
      <c r="C133" s="3207">
        <v>0.111</v>
      </c>
      <c r="D133" s="3207">
        <v>0.111</v>
      </c>
      <c r="E133" s="3207">
        <v>0.10199999999999999</v>
      </c>
      <c r="F133" s="3207">
        <v>0.13</v>
      </c>
      <c r="G133" s="3208">
        <v>0.121</v>
      </c>
    </row>
    <row r="134" spans="1:7">
      <c r="A134" s="3217" t="s">
        <v>1153</v>
      </c>
      <c r="B134" s="3206" t="s">
        <v>1026</v>
      </c>
      <c r="C134" s="3207">
        <v>0.121</v>
      </c>
      <c r="D134" s="3207">
        <v>0.121</v>
      </c>
      <c r="E134" s="3207">
        <v>0.1</v>
      </c>
      <c r="F134" s="3207">
        <v>0.13</v>
      </c>
      <c r="G134" s="3208">
        <v>0.123</v>
      </c>
    </row>
    <row r="135" spans="1:7">
      <c r="A135" s="3217" t="s">
        <v>1153</v>
      </c>
      <c r="B135" s="3206" t="s">
        <v>1036</v>
      </c>
      <c r="C135" s="3207">
        <v>0.105</v>
      </c>
      <c r="D135" s="3207">
        <v>0.106</v>
      </c>
      <c r="E135" s="3207">
        <v>0.1</v>
      </c>
      <c r="F135" s="3207">
        <v>0.13</v>
      </c>
      <c r="G135" s="3208">
        <v>0.115</v>
      </c>
    </row>
    <row r="136" spans="1:7">
      <c r="A136" s="3217" t="s">
        <v>1153</v>
      </c>
      <c r="B136" s="3206" t="s">
        <v>1045</v>
      </c>
      <c r="C136" s="3207">
        <v>0.127</v>
      </c>
      <c r="D136" s="3207">
        <v>0.127</v>
      </c>
      <c r="E136" s="3207">
        <v>0.121</v>
      </c>
      <c r="F136" s="3207">
        <v>0.123</v>
      </c>
      <c r="G136" s="3208">
        <v>0.129</v>
      </c>
    </row>
    <row r="137" spans="1:7">
      <c r="A137" s="3217" t="s">
        <v>1153</v>
      </c>
      <c r="B137" s="3206" t="s">
        <v>1052</v>
      </c>
      <c r="C137" s="3207">
        <v>0.13</v>
      </c>
      <c r="D137" s="3207">
        <v>0.13</v>
      </c>
      <c r="E137" s="3207">
        <v>0.129</v>
      </c>
      <c r="F137" s="3207">
        <v>0.13</v>
      </c>
      <c r="G137" s="3208">
        <v>0.13</v>
      </c>
    </row>
    <row r="138" spans="1:7">
      <c r="A138" s="3217" t="s">
        <v>1153</v>
      </c>
      <c r="B138" s="3206" t="s">
        <v>1059</v>
      </c>
      <c r="C138" s="3207">
        <v>0.13</v>
      </c>
      <c r="D138" s="3207">
        <v>0.13</v>
      </c>
      <c r="E138" s="3207">
        <v>0.125</v>
      </c>
      <c r="F138" s="3207">
        <v>0.13</v>
      </c>
      <c r="G138" s="3208">
        <v>0.13</v>
      </c>
    </row>
    <row r="139" spans="1:7">
      <c r="A139" s="3217" t="s">
        <v>1153</v>
      </c>
      <c r="B139" s="3206" t="s">
        <v>1066</v>
      </c>
      <c r="C139" s="3207">
        <v>0.13</v>
      </c>
      <c r="D139" s="3207">
        <v>0.13</v>
      </c>
      <c r="E139" s="3207">
        <v>0.126</v>
      </c>
      <c r="F139" s="3207">
        <v>0.13</v>
      </c>
      <c r="G139" s="3208">
        <v>0.13</v>
      </c>
    </row>
    <row r="140" spans="1:7">
      <c r="A140" s="3217" t="s">
        <v>1153</v>
      </c>
      <c r="B140" s="3206" t="s">
        <v>1074</v>
      </c>
      <c r="C140" s="3207">
        <v>0.1</v>
      </c>
      <c r="D140" s="3207">
        <v>0.1</v>
      </c>
      <c r="E140" s="3207">
        <v>0.1</v>
      </c>
      <c r="F140" s="3207">
        <v>0.123</v>
      </c>
      <c r="G140" s="3208">
        <v>0.107</v>
      </c>
    </row>
    <row r="141" spans="1:7">
      <c r="A141" s="3217" t="s">
        <v>1153</v>
      </c>
      <c r="B141" s="3206" t="s">
        <v>1082</v>
      </c>
      <c r="C141" s="3207">
        <v>0.127</v>
      </c>
      <c r="D141" s="3207">
        <v>0.127</v>
      </c>
      <c r="E141" s="3207">
        <v>0.122</v>
      </c>
      <c r="F141" s="3207">
        <v>0.1</v>
      </c>
      <c r="G141" s="3208">
        <v>0.129</v>
      </c>
    </row>
    <row r="142" spans="1:7">
      <c r="A142" s="3217" t="s">
        <v>1153</v>
      </c>
      <c r="B142" s="3206" t="s">
        <v>1087</v>
      </c>
      <c r="C142" s="3207">
        <v>0.121</v>
      </c>
      <c r="D142" s="3207">
        <v>0.122</v>
      </c>
      <c r="E142" s="3207">
        <v>0.1</v>
      </c>
      <c r="F142" s="3207">
        <v>0.123</v>
      </c>
      <c r="G142" s="3208">
        <v>0.123</v>
      </c>
    </row>
    <row r="143" spans="1:7">
      <c r="A143" s="3217" t="s">
        <v>1153</v>
      </c>
      <c r="B143" s="3206" t="s">
        <v>1096</v>
      </c>
      <c r="C143" s="3207">
        <v>0.1</v>
      </c>
      <c r="D143" s="3207">
        <v>0.1</v>
      </c>
      <c r="E143" s="3207">
        <v>0.1</v>
      </c>
      <c r="F143" s="3207">
        <v>0.13</v>
      </c>
      <c r="G143" s="3208">
        <v>0.1</v>
      </c>
    </row>
    <row r="144" spans="1:7">
      <c r="A144" s="3217" t="s">
        <v>1153</v>
      </c>
      <c r="B144" s="3206" t="s">
        <v>1103</v>
      </c>
      <c r="C144" s="3207">
        <v>0.106</v>
      </c>
      <c r="D144" s="3207">
        <v>0.105</v>
      </c>
      <c r="E144" s="3207">
        <v>0.1</v>
      </c>
      <c r="F144" s="3207">
        <v>0.13</v>
      </c>
      <c r="G144" s="3208">
        <v>0.11799999999999999</v>
      </c>
    </row>
    <row r="145" spans="1:7">
      <c r="A145" s="3217" t="s">
        <v>1153</v>
      </c>
      <c r="B145" s="3206" t="s">
        <v>1111</v>
      </c>
      <c r="C145" s="3207">
        <v>0.123</v>
      </c>
      <c r="D145" s="3207">
        <v>0.123</v>
      </c>
      <c r="E145" s="3207">
        <v>0.11700000000000001</v>
      </c>
      <c r="F145" s="3207">
        <v>0.13</v>
      </c>
      <c r="G145" s="3208">
        <v>0.126</v>
      </c>
    </row>
    <row r="146" spans="1:7">
      <c r="A146" s="3217" t="s">
        <v>1153</v>
      </c>
      <c r="B146" s="3206" t="s">
        <v>1118</v>
      </c>
      <c r="C146" s="3207">
        <v>0.127</v>
      </c>
      <c r="D146" s="3207">
        <v>0.127</v>
      </c>
      <c r="E146" s="3207">
        <v>0.12</v>
      </c>
      <c r="F146" s="3218"/>
      <c r="G146" s="3208">
        <v>0.129</v>
      </c>
    </row>
    <row r="147" spans="1:7">
      <c r="A147" s="3217" t="s">
        <v>1153</v>
      </c>
      <c r="B147" s="3206" t="s">
        <v>1122</v>
      </c>
      <c r="C147" s="3207">
        <v>0.13</v>
      </c>
      <c r="D147" s="3207">
        <v>0.13</v>
      </c>
      <c r="E147" s="3207">
        <v>0.126</v>
      </c>
      <c r="F147" s="3218"/>
      <c r="G147" s="3208">
        <v>0.13</v>
      </c>
    </row>
    <row r="148" spans="1:7">
      <c r="A148" s="3217" t="s">
        <v>1153</v>
      </c>
      <c r="B148" s="3206" t="s">
        <v>3056</v>
      </c>
      <c r="C148" s="3207">
        <v>0.13</v>
      </c>
      <c r="D148" s="3207">
        <v>0.13</v>
      </c>
      <c r="E148" s="3207">
        <v>0.13</v>
      </c>
      <c r="F148" s="3218"/>
      <c r="G148" s="3208">
        <v>0.13</v>
      </c>
    </row>
    <row r="149" spans="1:7">
      <c r="A149" s="3217" t="s">
        <v>1153</v>
      </c>
      <c r="B149" s="3206" t="s">
        <v>3057</v>
      </c>
      <c r="C149" s="3207">
        <v>0.13</v>
      </c>
      <c r="D149" s="3207">
        <v>0.13</v>
      </c>
      <c r="E149" s="3207">
        <v>0.13</v>
      </c>
      <c r="F149" s="3207">
        <v>0.13</v>
      </c>
      <c r="G149" s="3208">
        <v>0.13</v>
      </c>
    </row>
    <row r="150" spans="1:7">
      <c r="A150" s="3217" t="s">
        <v>1153</v>
      </c>
      <c r="B150" s="3206" t="s">
        <v>1141</v>
      </c>
      <c r="C150" s="3207">
        <v>0.13</v>
      </c>
      <c r="D150" s="3207">
        <v>0.13</v>
      </c>
      <c r="E150" s="3207">
        <v>0.127</v>
      </c>
      <c r="F150" s="3207">
        <v>0.13</v>
      </c>
      <c r="G150" s="3208">
        <v>0.13</v>
      </c>
    </row>
    <row r="151" spans="1:7">
      <c r="A151" s="3217" t="s">
        <v>1153</v>
      </c>
      <c r="B151" s="3206" t="s">
        <v>1143</v>
      </c>
      <c r="C151" s="3207">
        <v>0.13</v>
      </c>
      <c r="D151" s="3207">
        <v>0.13</v>
      </c>
      <c r="E151" s="3207">
        <v>0.13</v>
      </c>
      <c r="F151" s="3207">
        <v>0.13</v>
      </c>
      <c r="G151" s="3208">
        <v>0.13</v>
      </c>
    </row>
    <row r="152" spans="1:7">
      <c r="A152" s="3217" t="s">
        <v>1153</v>
      </c>
      <c r="B152" s="3206" t="s">
        <v>1146</v>
      </c>
      <c r="C152" s="3207">
        <v>0.13</v>
      </c>
      <c r="D152" s="3207">
        <v>0.13</v>
      </c>
      <c r="E152" s="3207">
        <v>0.13</v>
      </c>
      <c r="F152" s="3207">
        <v>0.13</v>
      </c>
      <c r="G152" s="3208">
        <v>0.13</v>
      </c>
    </row>
    <row r="153" spans="1:7">
      <c r="A153" s="3217" t="s">
        <v>1153</v>
      </c>
      <c r="B153" s="3206" t="s">
        <v>2863</v>
      </c>
      <c r="C153" s="3207">
        <v>0.13</v>
      </c>
      <c r="D153" s="3207">
        <v>0.13</v>
      </c>
      <c r="E153" s="3207">
        <v>0.13</v>
      </c>
      <c r="F153" s="3207">
        <v>0.13</v>
      </c>
      <c r="G153" s="3208">
        <v>0.13</v>
      </c>
    </row>
    <row r="154" spans="1:7">
      <c r="A154" s="3217" t="s">
        <v>1153</v>
      </c>
      <c r="B154" s="3206" t="s">
        <v>3058</v>
      </c>
      <c r="C154" s="3207">
        <v>0.121</v>
      </c>
      <c r="D154" s="3207">
        <v>0.121</v>
      </c>
      <c r="E154" s="3207">
        <v>0.105</v>
      </c>
      <c r="F154" s="3207">
        <v>0.121</v>
      </c>
      <c r="G154" s="3208">
        <v>0.123</v>
      </c>
    </row>
    <row r="155" spans="1:7">
      <c r="A155" s="3217" t="s">
        <v>1153</v>
      </c>
      <c r="B155" s="3206" t="s">
        <v>2865</v>
      </c>
      <c r="C155" s="3207">
        <v>0.1</v>
      </c>
      <c r="D155" s="3207">
        <v>0.1</v>
      </c>
      <c r="E155" s="3207">
        <v>0.1</v>
      </c>
      <c r="F155" s="3207">
        <v>0.1</v>
      </c>
      <c r="G155" s="3208">
        <v>0.1</v>
      </c>
    </row>
    <row r="156" spans="1:7">
      <c r="A156" s="3217" t="s">
        <v>1153</v>
      </c>
      <c r="B156" s="3206" t="s">
        <v>3059</v>
      </c>
      <c r="C156" s="3207">
        <v>0.13</v>
      </c>
      <c r="D156" s="3207">
        <v>0.13</v>
      </c>
      <c r="E156" s="3207">
        <v>0.13</v>
      </c>
      <c r="F156" s="3207">
        <v>0.13</v>
      </c>
      <c r="G156" s="3208">
        <v>0.13</v>
      </c>
    </row>
    <row r="157" spans="1:7">
      <c r="A157" s="3217" t="s">
        <v>1153</v>
      </c>
      <c r="B157" s="3206" t="s">
        <v>1149</v>
      </c>
      <c r="C157" s="3207">
        <v>0.13</v>
      </c>
      <c r="D157" s="3207">
        <v>0.13</v>
      </c>
      <c r="E157" s="3207">
        <v>0.125</v>
      </c>
      <c r="F157" s="3207">
        <v>0.13</v>
      </c>
      <c r="G157" s="3208">
        <v>0.13</v>
      </c>
    </row>
    <row r="158" spans="1:7">
      <c r="A158" s="3217" t="s">
        <v>1153</v>
      </c>
      <c r="B158" s="3206" t="s">
        <v>1150</v>
      </c>
      <c r="C158" s="3207">
        <v>0.124</v>
      </c>
      <c r="D158" s="3207">
        <v>0.124</v>
      </c>
      <c r="E158" s="3207">
        <v>0.11700000000000001</v>
      </c>
      <c r="F158" s="3207">
        <v>0.121</v>
      </c>
      <c r="G158" s="3208">
        <v>0.124</v>
      </c>
    </row>
    <row r="159" spans="1:7">
      <c r="A159" s="3217" t="s">
        <v>1153</v>
      </c>
      <c r="B159" s="3206" t="s">
        <v>1151</v>
      </c>
      <c r="C159" s="3207">
        <v>0.127</v>
      </c>
      <c r="D159" s="3207">
        <v>0.127</v>
      </c>
      <c r="E159" s="3207">
        <v>0.122</v>
      </c>
      <c r="F159" s="3207">
        <v>0.13</v>
      </c>
      <c r="G159" s="3208">
        <v>0.129</v>
      </c>
    </row>
    <row r="160" spans="1:7">
      <c r="A160" s="3217" t="s">
        <v>1153</v>
      </c>
      <c r="B160" s="3206" t="s">
        <v>3060</v>
      </c>
      <c r="C160" s="3207">
        <v>0.13</v>
      </c>
      <c r="D160" s="3207">
        <v>0.13</v>
      </c>
      <c r="E160" s="3207">
        <v>0.124</v>
      </c>
      <c r="F160" s="3207">
        <v>0.126</v>
      </c>
      <c r="G160" s="3208">
        <v>0.13</v>
      </c>
    </row>
    <row r="161" spans="1:7">
      <c r="A161" s="3217" t="s">
        <v>1153</v>
      </c>
      <c r="B161" s="3206" t="s">
        <v>2868</v>
      </c>
      <c r="C161" s="3207">
        <v>0.13</v>
      </c>
      <c r="D161" s="3207">
        <v>0.13</v>
      </c>
      <c r="E161" s="3207">
        <v>0.124</v>
      </c>
      <c r="F161" s="3207">
        <v>0.127</v>
      </c>
      <c r="G161" s="3208">
        <v>0.13</v>
      </c>
    </row>
    <row r="162" spans="1:7">
      <c r="A162" s="3217" t="s">
        <v>1153</v>
      </c>
      <c r="B162" s="3206" t="s">
        <v>2869</v>
      </c>
      <c r="C162" s="3207">
        <v>0.1</v>
      </c>
      <c r="D162" s="3207">
        <v>0.1</v>
      </c>
      <c r="E162" s="3207">
        <v>0.1</v>
      </c>
      <c r="F162" s="3207">
        <v>0.121</v>
      </c>
      <c r="G162" s="3208">
        <v>0.105</v>
      </c>
    </row>
    <row r="163" spans="1:7">
      <c r="A163" s="3217" t="s">
        <v>1153</v>
      </c>
      <c r="B163" s="3206" t="s">
        <v>2870</v>
      </c>
      <c r="C163" s="3207">
        <v>0.1</v>
      </c>
      <c r="D163" s="3207">
        <v>0.1</v>
      </c>
      <c r="E163" s="3207">
        <v>0.1</v>
      </c>
      <c r="F163" s="3207">
        <v>0.1</v>
      </c>
      <c r="G163" s="3208">
        <v>0.1</v>
      </c>
    </row>
    <row r="164" spans="1:7">
      <c r="A164" s="3217" t="s">
        <v>1153</v>
      </c>
      <c r="B164" s="3206" t="s">
        <v>2871</v>
      </c>
      <c r="C164" s="3223"/>
      <c r="D164" s="3223"/>
      <c r="E164" s="3223"/>
      <c r="F164" s="3207">
        <v>0.1</v>
      </c>
      <c r="G164" s="3219"/>
    </row>
    <row r="165" spans="1:7">
      <c r="A165" s="3217" t="s">
        <v>1153</v>
      </c>
      <c r="B165" s="3206" t="s">
        <v>3061</v>
      </c>
      <c r="C165" s="3207">
        <v>0.126</v>
      </c>
      <c r="D165" s="3207">
        <v>0.126</v>
      </c>
      <c r="E165" s="3207">
        <v>0.11899999999999999</v>
      </c>
      <c r="F165" s="3207">
        <v>0.13</v>
      </c>
      <c r="G165" s="3208">
        <v>0.128</v>
      </c>
    </row>
    <row r="166" spans="1:7">
      <c r="A166" s="3217" t="s">
        <v>1153</v>
      </c>
      <c r="B166" s="3206" t="s">
        <v>2873</v>
      </c>
      <c r="C166" s="3207">
        <v>0.129</v>
      </c>
      <c r="D166" s="3207">
        <v>0.129</v>
      </c>
      <c r="E166" s="3207">
        <v>0.123</v>
      </c>
      <c r="F166" s="3207">
        <v>0.128</v>
      </c>
      <c r="G166" s="3208">
        <v>0.13</v>
      </c>
    </row>
    <row r="167" spans="1:7">
      <c r="A167" s="3217" t="s">
        <v>1153</v>
      </c>
      <c r="B167" s="3206" t="s">
        <v>2874</v>
      </c>
      <c r="C167" s="3207">
        <v>0.125</v>
      </c>
      <c r="D167" s="3207">
        <v>0.125</v>
      </c>
      <c r="E167" s="3207">
        <v>0.11700000000000001</v>
      </c>
      <c r="F167" s="3207">
        <v>0.13</v>
      </c>
      <c r="G167" s="3208">
        <v>0.126</v>
      </c>
    </row>
    <row r="168" spans="1:7">
      <c r="A168" s="3217" t="s">
        <v>1153</v>
      </c>
      <c r="B168" s="3206" t="s">
        <v>2875</v>
      </c>
      <c r="C168" s="3207">
        <v>0.128</v>
      </c>
      <c r="D168" s="3207">
        <v>0.128</v>
      </c>
      <c r="E168" s="3207">
        <v>0.123</v>
      </c>
      <c r="F168" s="3218"/>
      <c r="G168" s="3208">
        <v>0.13</v>
      </c>
    </row>
    <row r="169" spans="1:7">
      <c r="A169" s="3217" t="s">
        <v>1153</v>
      </c>
      <c r="B169" s="3206" t="s">
        <v>3062</v>
      </c>
      <c r="C169" s="3223"/>
      <c r="D169" s="3223"/>
      <c r="E169" s="3223"/>
      <c r="F169" s="3207">
        <v>0.05</v>
      </c>
      <c r="G169" s="3219"/>
    </row>
    <row r="170" spans="1:7">
      <c r="A170" s="3217" t="s">
        <v>1153</v>
      </c>
      <c r="B170" s="3206" t="s">
        <v>3063</v>
      </c>
      <c r="C170" s="3223"/>
      <c r="D170" s="3223"/>
      <c r="E170" s="3223"/>
      <c r="F170" s="3207">
        <v>0.05</v>
      </c>
      <c r="G170" s="3219"/>
    </row>
    <row r="171" spans="1:7">
      <c r="A171" s="3217" t="s">
        <v>1153</v>
      </c>
      <c r="B171" s="3206" t="s">
        <v>3064</v>
      </c>
      <c r="C171" s="3223"/>
      <c r="D171" s="3223"/>
      <c r="E171" s="3223"/>
      <c r="F171" s="3207">
        <v>0.05</v>
      </c>
      <c r="G171" s="3224"/>
    </row>
    <row r="172" spans="1:7">
      <c r="A172" s="3217" t="s">
        <v>1153</v>
      </c>
      <c r="B172" s="3206" t="s">
        <v>3065</v>
      </c>
      <c r="C172" s="3223"/>
      <c r="D172" s="3223"/>
      <c r="E172" s="3223"/>
      <c r="F172" s="3207">
        <v>0.05</v>
      </c>
      <c r="G172" s="3224"/>
    </row>
    <row r="173" spans="1:7">
      <c r="A173" s="3217" t="s">
        <v>1153</v>
      </c>
      <c r="B173" s="3206" t="s">
        <v>3066</v>
      </c>
      <c r="C173" s="3223"/>
      <c r="D173" s="3223"/>
      <c r="E173" s="3223"/>
      <c r="F173" s="3207">
        <v>0.05</v>
      </c>
      <c r="G173" s="3219"/>
    </row>
    <row r="174" spans="1:7">
      <c r="A174" s="3217" t="s">
        <v>1153</v>
      </c>
      <c r="B174" s="3206" t="s">
        <v>3067</v>
      </c>
      <c r="C174" s="3223"/>
      <c r="D174" s="3223"/>
      <c r="E174" s="3223"/>
      <c r="F174" s="3207">
        <v>0.05</v>
      </c>
      <c r="G174" s="3219"/>
    </row>
    <row r="175" spans="1:7">
      <c r="A175" s="3217" t="s">
        <v>1153</v>
      </c>
      <c r="B175" s="3206" t="s">
        <v>3068</v>
      </c>
      <c r="C175" s="3223"/>
      <c r="D175" s="3223"/>
      <c r="E175" s="3223"/>
      <c r="F175" s="3207">
        <v>0.05</v>
      </c>
      <c r="G175" s="3219"/>
    </row>
    <row r="176" spans="1:7">
      <c r="A176" s="3217" t="s">
        <v>1153</v>
      </c>
      <c r="B176" s="3206" t="s">
        <v>3069</v>
      </c>
      <c r="C176" s="3223"/>
      <c r="D176" s="3223"/>
      <c r="E176" s="3223"/>
      <c r="F176" s="3207">
        <v>0.05</v>
      </c>
      <c r="G176" s="3219"/>
    </row>
    <row r="177" spans="1:7">
      <c r="A177" s="3217" t="s">
        <v>1153</v>
      </c>
      <c r="B177" s="3206" t="s">
        <v>3070</v>
      </c>
      <c r="C177" s="3218"/>
      <c r="D177" s="3218"/>
      <c r="E177" s="3218"/>
      <c r="F177" s="3207">
        <v>0.05</v>
      </c>
      <c r="G177" s="3224"/>
    </row>
    <row r="178" spans="1:7">
      <c r="A178" s="3217" t="s">
        <v>1153</v>
      </c>
      <c r="B178" s="3206" t="s">
        <v>3071</v>
      </c>
      <c r="C178" s="3218"/>
      <c r="D178" s="3218"/>
      <c r="E178" s="3218"/>
      <c r="F178" s="3207">
        <v>0.05</v>
      </c>
      <c r="G178" s="3224"/>
    </row>
    <row r="179" spans="1:7">
      <c r="A179" s="3217" t="s">
        <v>1153</v>
      </c>
      <c r="B179" s="3206" t="s">
        <v>3072</v>
      </c>
      <c r="C179" s="3218"/>
      <c r="D179" s="3218"/>
      <c r="E179" s="3218"/>
      <c r="F179" s="3207">
        <v>0.05</v>
      </c>
      <c r="G179" s="3224"/>
    </row>
    <row r="180" spans="1:7">
      <c r="A180" s="3217" t="s">
        <v>1153</v>
      </c>
      <c r="B180" s="3206" t="s">
        <v>3073</v>
      </c>
      <c r="C180" s="3218"/>
      <c r="D180" s="3218"/>
      <c r="E180" s="3218"/>
      <c r="F180" s="3207">
        <v>0.05</v>
      </c>
      <c r="G180" s="3224"/>
    </row>
    <row r="181" spans="1:7">
      <c r="A181" s="3217" t="s">
        <v>1153</v>
      </c>
      <c r="B181" s="3206" t="s">
        <v>3074</v>
      </c>
      <c r="C181" s="3218"/>
      <c r="D181" s="3218"/>
      <c r="E181" s="3218"/>
      <c r="F181" s="3207">
        <v>0.05</v>
      </c>
      <c r="G181" s="3224"/>
    </row>
    <row r="182" spans="1:7">
      <c r="A182" s="3217" t="s">
        <v>1153</v>
      </c>
      <c r="B182" s="3206" t="s">
        <v>3075</v>
      </c>
      <c r="C182" s="3218"/>
      <c r="D182" s="3218"/>
      <c r="E182" s="3218"/>
      <c r="F182" s="3207">
        <v>0.05</v>
      </c>
      <c r="G182" s="3224"/>
    </row>
    <row r="183" spans="1:7">
      <c r="A183" s="3217" t="s">
        <v>1153</v>
      </c>
      <c r="B183" s="3206" t="s">
        <v>3076</v>
      </c>
      <c r="C183" s="3218"/>
      <c r="D183" s="3218"/>
      <c r="E183" s="3218"/>
      <c r="F183" s="3207">
        <v>0.05</v>
      </c>
      <c r="G183" s="3224"/>
    </row>
    <row r="184" spans="1:7">
      <c r="A184" s="3217" t="s">
        <v>1153</v>
      </c>
      <c r="B184" s="3206" t="s">
        <v>3077</v>
      </c>
      <c r="C184" s="3218"/>
      <c r="D184" s="3218"/>
      <c r="E184" s="3218"/>
      <c r="F184" s="3207">
        <v>0.05</v>
      </c>
      <c r="G184" s="3224"/>
    </row>
    <row r="185" spans="1:7">
      <c r="A185" s="3217" t="s">
        <v>1153</v>
      </c>
      <c r="B185" s="3206" t="s">
        <v>3078</v>
      </c>
      <c r="C185" s="3218"/>
      <c r="D185" s="3218"/>
      <c r="E185" s="3218"/>
      <c r="F185" s="3207">
        <v>0.05</v>
      </c>
      <c r="G185" s="3224"/>
    </row>
    <row r="186" spans="1:7">
      <c r="A186" s="3217" t="s">
        <v>1153</v>
      </c>
      <c r="B186" s="3206" t="s">
        <v>3079</v>
      </c>
      <c r="C186" s="3218"/>
      <c r="D186" s="3218"/>
      <c r="E186" s="3218"/>
      <c r="F186" s="3207">
        <v>0.05</v>
      </c>
      <c r="G186" s="3224"/>
    </row>
    <row r="187" spans="1:7">
      <c r="A187" s="3217" t="s">
        <v>1153</v>
      </c>
      <c r="B187" s="3206" t="s">
        <v>3080</v>
      </c>
      <c r="C187" s="3218"/>
      <c r="D187" s="3218"/>
      <c r="E187" s="3218"/>
      <c r="F187" s="3207">
        <v>0.05</v>
      </c>
      <c r="G187" s="3224"/>
    </row>
    <row r="188" spans="1:7">
      <c r="A188" s="3217" t="s">
        <v>1153</v>
      </c>
      <c r="B188" s="3206" t="s">
        <v>3081</v>
      </c>
      <c r="C188" s="3218"/>
      <c r="D188" s="3218"/>
      <c r="E188" s="3218"/>
      <c r="F188" s="3207">
        <v>0.05</v>
      </c>
      <c r="G188" s="3224"/>
    </row>
    <row r="189" spans="1:7" ht="14.25" thickBot="1">
      <c r="A189" s="3220" t="s">
        <v>1153</v>
      </c>
      <c r="B189" s="3210" t="s">
        <v>3082</v>
      </c>
      <c r="C189" s="3212"/>
      <c r="D189" s="3212"/>
      <c r="E189" s="3212"/>
      <c r="F189" s="3211">
        <v>0.05</v>
      </c>
      <c r="G189" s="3225"/>
    </row>
    <row r="190" spans="1:7">
      <c r="A190" s="3216" t="s">
        <v>1154</v>
      </c>
      <c r="B190" s="3202" t="s">
        <v>3083</v>
      </c>
      <c r="C190" s="3203">
        <v>0.124</v>
      </c>
      <c r="D190" s="3203">
        <v>0.124</v>
      </c>
      <c r="E190" s="3203">
        <v>0.129</v>
      </c>
      <c r="F190" s="3203">
        <v>0.13</v>
      </c>
      <c r="G190" s="3204">
        <v>0.127</v>
      </c>
    </row>
    <row r="191" spans="1:7">
      <c r="A191" s="3217" t="s">
        <v>1154</v>
      </c>
      <c r="B191" s="3206" t="s">
        <v>978</v>
      </c>
      <c r="C191" s="3207">
        <v>0.13</v>
      </c>
      <c r="D191" s="3207">
        <v>0.13</v>
      </c>
      <c r="E191" s="3207">
        <v>0.13</v>
      </c>
      <c r="F191" s="3207">
        <v>0.13</v>
      </c>
      <c r="G191" s="3208">
        <v>0.13</v>
      </c>
    </row>
    <row r="192" spans="1:7">
      <c r="A192" s="3217" t="s">
        <v>1154</v>
      </c>
      <c r="B192" s="3206" t="s">
        <v>988</v>
      </c>
      <c r="C192" s="3207">
        <v>0.13</v>
      </c>
      <c r="D192" s="3207">
        <v>0.13</v>
      </c>
      <c r="E192" s="3207">
        <v>0.13</v>
      </c>
      <c r="F192" s="3207">
        <v>0.13</v>
      </c>
      <c r="G192" s="3208">
        <v>0.13</v>
      </c>
    </row>
    <row r="193" spans="1:7">
      <c r="A193" s="3217" t="s">
        <v>1154</v>
      </c>
      <c r="B193" s="3206" t="s">
        <v>997</v>
      </c>
      <c r="C193" s="3207">
        <v>0.13</v>
      </c>
      <c r="D193" s="3207">
        <v>0.13</v>
      </c>
      <c r="E193" s="3207">
        <v>0.13</v>
      </c>
      <c r="F193" s="3207">
        <v>0.13</v>
      </c>
      <c r="G193" s="3208">
        <v>0.13</v>
      </c>
    </row>
    <row r="194" spans="1:7">
      <c r="A194" s="3217" t="s">
        <v>1154</v>
      </c>
      <c r="B194" s="3206" t="s">
        <v>1007</v>
      </c>
      <c r="C194" s="3207">
        <v>0.123</v>
      </c>
      <c r="D194" s="3207">
        <v>0.123</v>
      </c>
      <c r="E194" s="3207">
        <v>0.128</v>
      </c>
      <c r="F194" s="3207">
        <v>0.13</v>
      </c>
      <c r="G194" s="3208">
        <v>0.126</v>
      </c>
    </row>
    <row r="195" spans="1:7">
      <c r="A195" s="3217" t="s">
        <v>1154</v>
      </c>
      <c r="B195" s="3206" t="s">
        <v>1014</v>
      </c>
      <c r="C195" s="3207">
        <v>0.127</v>
      </c>
      <c r="D195" s="3207">
        <v>0.127</v>
      </c>
      <c r="E195" s="3207">
        <v>0.121</v>
      </c>
      <c r="F195" s="3207">
        <v>0.129</v>
      </c>
      <c r="G195" s="3208">
        <v>0.129</v>
      </c>
    </row>
    <row r="196" spans="1:7">
      <c r="A196" s="3217" t="s">
        <v>1154</v>
      </c>
      <c r="B196" s="3206" t="s">
        <v>1020</v>
      </c>
      <c r="C196" s="3207">
        <v>0.127</v>
      </c>
      <c r="D196" s="3207">
        <v>0.128</v>
      </c>
      <c r="E196" s="3207">
        <v>0.122</v>
      </c>
      <c r="F196" s="3207">
        <v>0.13</v>
      </c>
      <c r="G196" s="3208">
        <v>0.129</v>
      </c>
    </row>
    <row r="197" spans="1:7">
      <c r="A197" s="3217" t="s">
        <v>1154</v>
      </c>
      <c r="B197" s="3206" t="s">
        <v>1027</v>
      </c>
      <c r="C197" s="3207">
        <v>0.126</v>
      </c>
      <c r="D197" s="3207">
        <v>0.126</v>
      </c>
      <c r="E197" s="3207">
        <v>0.11899999999999999</v>
      </c>
      <c r="F197" s="3207">
        <v>0.13</v>
      </c>
      <c r="G197" s="3208">
        <v>0.128</v>
      </c>
    </row>
    <row r="198" spans="1:7">
      <c r="A198" s="3217" t="s">
        <v>1154</v>
      </c>
      <c r="B198" s="3206" t="s">
        <v>1037</v>
      </c>
      <c r="C198" s="3207">
        <v>0.13</v>
      </c>
      <c r="D198" s="3207">
        <v>0.13</v>
      </c>
      <c r="E198" s="3207">
        <v>0.126</v>
      </c>
      <c r="F198" s="3223"/>
      <c r="G198" s="3208">
        <v>0.13</v>
      </c>
    </row>
    <row r="199" spans="1:7">
      <c r="A199" s="3217" t="s">
        <v>1154</v>
      </c>
      <c r="B199" s="3206" t="s">
        <v>3084</v>
      </c>
      <c r="C199" s="3207">
        <v>0.13</v>
      </c>
      <c r="D199" s="3207">
        <v>0.13</v>
      </c>
      <c r="E199" s="3207">
        <v>0.13</v>
      </c>
      <c r="F199" s="3207">
        <v>0.13</v>
      </c>
      <c r="G199" s="3208">
        <v>0.13</v>
      </c>
    </row>
    <row r="200" spans="1:7">
      <c r="A200" s="3217" t="s">
        <v>1154</v>
      </c>
      <c r="B200" s="3206" t="s">
        <v>2899</v>
      </c>
      <c r="C200" s="3223"/>
      <c r="D200" s="3223"/>
      <c r="E200" s="3223"/>
      <c r="F200" s="3207">
        <v>0.13</v>
      </c>
      <c r="G200" s="3219"/>
    </row>
    <row r="201" spans="1:7">
      <c r="A201" s="3217" t="s">
        <v>1154</v>
      </c>
      <c r="B201" s="3206" t="s">
        <v>3085</v>
      </c>
      <c r="C201" s="3207">
        <v>0.13</v>
      </c>
      <c r="D201" s="3207">
        <v>0.13</v>
      </c>
      <c r="E201" s="3207">
        <v>0.13</v>
      </c>
      <c r="F201" s="3207">
        <v>0.129</v>
      </c>
      <c r="G201" s="3208">
        <v>0.13</v>
      </c>
    </row>
    <row r="202" spans="1:7">
      <c r="A202" s="3217" t="s">
        <v>1154</v>
      </c>
      <c r="B202" s="3206" t="s">
        <v>1088</v>
      </c>
      <c r="C202" s="3207">
        <v>0.13</v>
      </c>
      <c r="D202" s="3207">
        <v>0.13</v>
      </c>
      <c r="E202" s="3207">
        <v>0.13</v>
      </c>
      <c r="F202" s="3207">
        <v>0.13</v>
      </c>
      <c r="G202" s="3208">
        <v>0.13</v>
      </c>
    </row>
    <row r="203" spans="1:7">
      <c r="A203" s="3217" t="s">
        <v>1154</v>
      </c>
      <c r="B203" s="3206" t="s">
        <v>3086</v>
      </c>
      <c r="C203" s="3207">
        <v>0.129</v>
      </c>
      <c r="D203" s="3207">
        <v>0.129</v>
      </c>
      <c r="E203" s="3207">
        <v>0.13</v>
      </c>
      <c r="F203" s="3207">
        <v>0.13</v>
      </c>
      <c r="G203" s="3208">
        <v>0.13</v>
      </c>
    </row>
    <row r="204" spans="1:7">
      <c r="A204" s="3217" t="s">
        <v>1154</v>
      </c>
      <c r="B204" s="3206" t="s">
        <v>2902</v>
      </c>
      <c r="C204" s="3207">
        <v>0.129</v>
      </c>
      <c r="D204" s="3207">
        <v>0.129</v>
      </c>
      <c r="E204" s="3207">
        <v>0.123</v>
      </c>
      <c r="F204" s="3207">
        <v>0.13</v>
      </c>
      <c r="G204" s="3208">
        <v>0.13</v>
      </c>
    </row>
    <row r="205" spans="1:7">
      <c r="A205" s="3217" t="s">
        <v>1154</v>
      </c>
      <c r="B205" s="3206" t="s">
        <v>2903</v>
      </c>
      <c r="C205" s="3207">
        <v>0.13</v>
      </c>
      <c r="D205" s="3207">
        <v>0.13</v>
      </c>
      <c r="E205" s="3207">
        <v>0.13</v>
      </c>
      <c r="F205" s="3207">
        <v>0.13</v>
      </c>
      <c r="G205" s="3208">
        <v>0.13</v>
      </c>
    </row>
    <row r="206" spans="1:7">
      <c r="A206" s="3217" t="s">
        <v>1154</v>
      </c>
      <c r="B206" s="3206" t="s">
        <v>2904</v>
      </c>
      <c r="C206" s="3207">
        <v>0.13</v>
      </c>
      <c r="D206" s="3207">
        <v>0.13</v>
      </c>
      <c r="E206" s="3207">
        <v>0.13</v>
      </c>
      <c r="F206" s="3207">
        <v>0.128</v>
      </c>
      <c r="G206" s="3208">
        <v>0.13</v>
      </c>
    </row>
    <row r="207" spans="1:7">
      <c r="A207" s="3217" t="s">
        <v>1154</v>
      </c>
      <c r="B207" s="3206" t="s">
        <v>2905</v>
      </c>
      <c r="C207" s="3207">
        <v>0.13</v>
      </c>
      <c r="D207" s="3207">
        <v>0.13</v>
      </c>
      <c r="E207" s="3207">
        <v>0.13</v>
      </c>
      <c r="F207" s="3207">
        <v>0.13</v>
      </c>
      <c r="G207" s="3208">
        <v>0.13</v>
      </c>
    </row>
    <row r="208" spans="1:7">
      <c r="A208" s="3217" t="s">
        <v>1154</v>
      </c>
      <c r="B208" s="3206" t="s">
        <v>3087</v>
      </c>
      <c r="C208" s="3207">
        <v>0.13</v>
      </c>
      <c r="D208" s="3207">
        <v>0.13</v>
      </c>
      <c r="E208" s="3207">
        <v>0.13</v>
      </c>
      <c r="F208" s="3207">
        <v>0.13</v>
      </c>
      <c r="G208" s="3208">
        <v>0.13</v>
      </c>
    </row>
    <row r="209" spans="1:7">
      <c r="A209" s="3217" t="s">
        <v>1154</v>
      </c>
      <c r="B209" s="3206" t="s">
        <v>1112</v>
      </c>
      <c r="C209" s="3207">
        <v>0.13</v>
      </c>
      <c r="D209" s="3207">
        <v>0.13</v>
      </c>
      <c r="E209" s="3207">
        <v>0.13</v>
      </c>
      <c r="F209" s="3207">
        <v>0.13</v>
      </c>
      <c r="G209" s="3208">
        <v>0.13</v>
      </c>
    </row>
    <row r="210" spans="1:7">
      <c r="A210" s="3217" t="s">
        <v>1154</v>
      </c>
      <c r="B210" s="3206" t="s">
        <v>2907</v>
      </c>
      <c r="C210" s="3207">
        <v>0.121</v>
      </c>
      <c r="D210" s="3207">
        <v>0.121</v>
      </c>
      <c r="E210" s="3207">
        <v>0.125</v>
      </c>
      <c r="F210" s="3207">
        <v>0.13</v>
      </c>
      <c r="G210" s="3208">
        <v>0.123</v>
      </c>
    </row>
    <row r="211" spans="1:7">
      <c r="A211" s="3217" t="s">
        <v>1154</v>
      </c>
      <c r="B211" s="3206" t="s">
        <v>3088</v>
      </c>
      <c r="C211" s="3207">
        <v>0.123</v>
      </c>
      <c r="D211" s="3207">
        <v>0.123</v>
      </c>
      <c r="E211" s="3207">
        <v>0.127</v>
      </c>
      <c r="F211" s="3207">
        <v>0.115</v>
      </c>
      <c r="G211" s="3208">
        <v>0.126</v>
      </c>
    </row>
    <row r="212" spans="1:7">
      <c r="A212" s="3217" t="s">
        <v>1154</v>
      </c>
      <c r="B212" s="3206" t="s">
        <v>1134</v>
      </c>
      <c r="C212" s="3207">
        <v>0.126</v>
      </c>
      <c r="D212" s="3207">
        <v>0.126</v>
      </c>
      <c r="E212" s="3207">
        <v>0.13</v>
      </c>
      <c r="F212" s="3207">
        <v>0.13</v>
      </c>
      <c r="G212" s="3208">
        <v>0.129</v>
      </c>
    </row>
    <row r="213" spans="1:7">
      <c r="A213" s="3217" t="s">
        <v>1154</v>
      </c>
      <c r="B213" s="3206" t="s">
        <v>1137</v>
      </c>
      <c r="C213" s="3207">
        <v>0.129</v>
      </c>
      <c r="D213" s="3207">
        <v>0.13</v>
      </c>
      <c r="E213" s="3207">
        <v>0.127</v>
      </c>
      <c r="F213" s="3207">
        <v>0.13</v>
      </c>
      <c r="G213" s="3208">
        <v>0.13</v>
      </c>
    </row>
    <row r="214" spans="1:7">
      <c r="A214" s="3217" t="s">
        <v>1154</v>
      </c>
      <c r="B214" s="3206" t="s">
        <v>3089</v>
      </c>
      <c r="C214" s="3207">
        <v>0.128</v>
      </c>
      <c r="D214" s="3207">
        <v>0.128</v>
      </c>
      <c r="E214" s="3207">
        <v>0.13</v>
      </c>
      <c r="F214" s="3207">
        <v>0.13</v>
      </c>
      <c r="G214" s="3208">
        <v>0.13</v>
      </c>
    </row>
    <row r="215" spans="1:7">
      <c r="A215" s="3217" t="s">
        <v>1154</v>
      </c>
      <c r="B215" s="3206" t="s">
        <v>3090</v>
      </c>
      <c r="C215" s="3207">
        <v>0.13</v>
      </c>
      <c r="D215" s="3207">
        <v>0.13</v>
      </c>
      <c r="E215" s="3207">
        <v>0.13</v>
      </c>
      <c r="F215" s="3207">
        <v>0.129</v>
      </c>
      <c r="G215" s="3208">
        <v>0.13</v>
      </c>
    </row>
    <row r="216" spans="1:7">
      <c r="A216" s="3217" t="s">
        <v>1154</v>
      </c>
      <c r="B216" s="3206" t="s">
        <v>3091</v>
      </c>
      <c r="C216" s="3207">
        <v>0.13</v>
      </c>
      <c r="D216" s="3207">
        <v>0.13</v>
      </c>
      <c r="E216" s="3207">
        <v>0.13</v>
      </c>
      <c r="F216" s="3207">
        <v>0.13</v>
      </c>
      <c r="G216" s="3208">
        <v>0.13</v>
      </c>
    </row>
    <row r="217" spans="1:7">
      <c r="A217" s="3217" t="s">
        <v>1154</v>
      </c>
      <c r="B217" s="3206" t="s">
        <v>2911</v>
      </c>
      <c r="C217" s="3207">
        <v>0.129</v>
      </c>
      <c r="D217" s="3207">
        <v>0.129</v>
      </c>
      <c r="E217" s="3207">
        <v>0.13</v>
      </c>
      <c r="F217" s="3207">
        <v>0.13</v>
      </c>
      <c r="G217" s="3208">
        <v>0.13</v>
      </c>
    </row>
    <row r="218" spans="1:7">
      <c r="A218" s="3217" t="s">
        <v>1154</v>
      </c>
      <c r="B218" s="3206" t="s">
        <v>3092</v>
      </c>
      <c r="C218" s="3218"/>
      <c r="D218" s="3218"/>
      <c r="E218" s="3218"/>
      <c r="F218" s="3207">
        <v>0.05</v>
      </c>
      <c r="G218" s="3224"/>
    </row>
    <row r="219" spans="1:7">
      <c r="A219" s="3217" t="s">
        <v>1154</v>
      </c>
      <c r="B219" s="3206" t="s">
        <v>3093</v>
      </c>
      <c r="C219" s="3218"/>
      <c r="D219" s="3218"/>
      <c r="E219" s="3218"/>
      <c r="F219" s="3207">
        <v>0.05</v>
      </c>
      <c r="G219" s="3224"/>
    </row>
    <row r="220" spans="1:7">
      <c r="A220" s="3217" t="s">
        <v>1154</v>
      </c>
      <c r="B220" s="3206" t="s">
        <v>3094</v>
      </c>
      <c r="C220" s="3218"/>
      <c r="D220" s="3218"/>
      <c r="E220" s="3218"/>
      <c r="F220" s="3207">
        <v>0.05</v>
      </c>
      <c r="G220" s="3224"/>
    </row>
    <row r="221" spans="1:7">
      <c r="A221" s="3217" t="s">
        <v>1154</v>
      </c>
      <c r="B221" s="3206" t="s">
        <v>3095</v>
      </c>
      <c r="C221" s="3218"/>
      <c r="D221" s="3218"/>
      <c r="E221" s="3218"/>
      <c r="F221" s="3207">
        <v>0.05</v>
      </c>
      <c r="G221" s="3224"/>
    </row>
    <row r="222" spans="1:7">
      <c r="A222" s="3217" t="s">
        <v>1154</v>
      </c>
      <c r="B222" s="3206" t="s">
        <v>3096</v>
      </c>
      <c r="C222" s="3218"/>
      <c r="D222" s="3218"/>
      <c r="E222" s="3218"/>
      <c r="F222" s="3207">
        <v>0.05</v>
      </c>
      <c r="G222" s="3224"/>
    </row>
    <row r="223" spans="1:7">
      <c r="A223" s="3217" t="s">
        <v>1154</v>
      </c>
      <c r="B223" s="3206" t="s">
        <v>3097</v>
      </c>
      <c r="C223" s="3218"/>
      <c r="D223" s="3218"/>
      <c r="E223" s="3218"/>
      <c r="F223" s="3207">
        <v>0.05</v>
      </c>
      <c r="G223" s="3224"/>
    </row>
    <row r="224" spans="1:7">
      <c r="A224" s="3217" t="s">
        <v>1154</v>
      </c>
      <c r="B224" s="3206" t="s">
        <v>3098</v>
      </c>
      <c r="C224" s="3218"/>
      <c r="D224" s="3218"/>
      <c r="E224" s="3218"/>
      <c r="F224" s="3207">
        <v>0.05</v>
      </c>
      <c r="G224" s="3224"/>
    </row>
    <row r="225" spans="1:7">
      <c r="A225" s="3217" t="s">
        <v>1154</v>
      </c>
      <c r="B225" s="3206" t="s">
        <v>3099</v>
      </c>
      <c r="C225" s="3218"/>
      <c r="D225" s="3218"/>
      <c r="E225" s="3218"/>
      <c r="F225" s="3207">
        <v>0.05</v>
      </c>
      <c r="G225" s="3224"/>
    </row>
    <row r="226" spans="1:7">
      <c r="A226" s="3217" t="s">
        <v>1154</v>
      </c>
      <c r="B226" s="3206" t="s">
        <v>3100</v>
      </c>
      <c r="C226" s="3218"/>
      <c r="D226" s="3218"/>
      <c r="E226" s="3218"/>
      <c r="F226" s="3207">
        <v>0.05</v>
      </c>
      <c r="G226" s="3224"/>
    </row>
    <row r="227" spans="1:7">
      <c r="A227" s="3217" t="s">
        <v>1154</v>
      </c>
      <c r="B227" s="3206" t="s">
        <v>3101</v>
      </c>
      <c r="C227" s="3218"/>
      <c r="D227" s="3218"/>
      <c r="E227" s="3218"/>
      <c r="F227" s="3207">
        <v>0.05</v>
      </c>
      <c r="G227" s="3224"/>
    </row>
    <row r="228" spans="1:7">
      <c r="A228" s="3217" t="s">
        <v>1154</v>
      </c>
      <c r="B228" s="3206" t="s">
        <v>3102</v>
      </c>
      <c r="C228" s="3218"/>
      <c r="D228" s="3218"/>
      <c r="E228" s="3218"/>
      <c r="F228" s="3207">
        <v>0.05</v>
      </c>
      <c r="G228" s="3224"/>
    </row>
    <row r="229" spans="1:7">
      <c r="A229" s="3217" t="s">
        <v>1154</v>
      </c>
      <c r="B229" s="3206" t="s">
        <v>3103</v>
      </c>
      <c r="C229" s="3218"/>
      <c r="D229" s="3218"/>
      <c r="E229" s="3218"/>
      <c r="F229" s="3207">
        <v>0.05</v>
      </c>
      <c r="G229" s="3224"/>
    </row>
    <row r="230" spans="1:7">
      <c r="A230" s="3217" t="s">
        <v>1154</v>
      </c>
      <c r="B230" s="3206" t="s">
        <v>3104</v>
      </c>
      <c r="C230" s="3218"/>
      <c r="D230" s="3218"/>
      <c r="E230" s="3218"/>
      <c r="F230" s="3207">
        <v>0.05</v>
      </c>
      <c r="G230" s="3224"/>
    </row>
    <row r="231" spans="1:7">
      <c r="A231" s="3217" t="s">
        <v>1154</v>
      </c>
      <c r="B231" s="3206" t="s">
        <v>3105</v>
      </c>
      <c r="C231" s="3218"/>
      <c r="D231" s="3218"/>
      <c r="E231" s="3218"/>
      <c r="F231" s="3207">
        <v>0.05</v>
      </c>
      <c r="G231" s="3224"/>
    </row>
    <row r="232" spans="1:7">
      <c r="A232" s="3217" t="s">
        <v>1154</v>
      </c>
      <c r="B232" s="3206" t="s">
        <v>3106</v>
      </c>
      <c r="C232" s="3218"/>
      <c r="D232" s="3218"/>
      <c r="E232" s="3218"/>
      <c r="F232" s="3207">
        <v>0.05</v>
      </c>
      <c r="G232" s="3224"/>
    </row>
    <row r="233" spans="1:7" ht="14.25" thickBot="1">
      <c r="A233" s="3220" t="s">
        <v>1154</v>
      </c>
      <c r="B233" s="3210" t="s">
        <v>3107</v>
      </c>
      <c r="C233" s="3212"/>
      <c r="D233" s="3212"/>
      <c r="E233" s="3212"/>
      <c r="F233" s="3211">
        <v>0.05</v>
      </c>
      <c r="G233" s="3225"/>
    </row>
    <row r="234" spans="1:7">
      <c r="A234" s="3216" t="s">
        <v>1155</v>
      </c>
      <c r="B234" s="3202" t="s">
        <v>3108</v>
      </c>
      <c r="C234" s="3203">
        <v>0.13</v>
      </c>
      <c r="D234" s="3203">
        <v>0.128</v>
      </c>
      <c r="E234" s="3203">
        <v>0.14199999999999999</v>
      </c>
      <c r="F234" s="3203">
        <v>0.14699999999999999</v>
      </c>
      <c r="G234" s="3204">
        <v>0.14000000000000001</v>
      </c>
    </row>
    <row r="235" spans="1:7">
      <c r="A235" s="3217" t="s">
        <v>1155</v>
      </c>
      <c r="B235" s="3206" t="s">
        <v>979</v>
      </c>
      <c r="C235" s="3207">
        <v>0.13600000000000001</v>
      </c>
      <c r="D235" s="3207">
        <v>0.13800000000000001</v>
      </c>
      <c r="E235" s="3207">
        <v>0.14499999999999999</v>
      </c>
      <c r="F235" s="3207">
        <v>0.14299999999999999</v>
      </c>
      <c r="G235" s="3208">
        <v>0.14099999999999999</v>
      </c>
    </row>
    <row r="236" spans="1:7">
      <c r="A236" s="3217" t="s">
        <v>1155</v>
      </c>
      <c r="B236" s="3206" t="s">
        <v>989</v>
      </c>
      <c r="C236" s="3207">
        <v>0.15</v>
      </c>
      <c r="D236" s="3207">
        <v>0.15</v>
      </c>
      <c r="E236" s="3207">
        <v>0.15</v>
      </c>
      <c r="F236" s="3207">
        <v>0.15</v>
      </c>
      <c r="G236" s="3208">
        <v>0.15</v>
      </c>
    </row>
    <row r="237" spans="1:7">
      <c r="A237" s="3217" t="s">
        <v>1155</v>
      </c>
      <c r="B237" s="3206" t="s">
        <v>998</v>
      </c>
      <c r="C237" s="3207">
        <v>0.15</v>
      </c>
      <c r="D237" s="3207">
        <v>0.15</v>
      </c>
      <c r="E237" s="3207">
        <v>0.15</v>
      </c>
      <c r="F237" s="3207">
        <v>0.15</v>
      </c>
      <c r="G237" s="3208">
        <v>0.15</v>
      </c>
    </row>
    <row r="238" spans="1:7">
      <c r="A238" s="3217" t="s">
        <v>1155</v>
      </c>
      <c r="B238" s="3206" t="s">
        <v>2929</v>
      </c>
      <c r="C238" s="3207">
        <v>0.14899999999999999</v>
      </c>
      <c r="D238" s="3207">
        <v>0.14899999999999999</v>
      </c>
      <c r="E238" s="3207">
        <v>0.15</v>
      </c>
      <c r="F238" s="3207">
        <v>0.15</v>
      </c>
      <c r="G238" s="3208">
        <v>0.15</v>
      </c>
    </row>
    <row r="239" spans="1:7">
      <c r="A239" s="3217" t="s">
        <v>1155</v>
      </c>
      <c r="B239" s="3206" t="s">
        <v>3109</v>
      </c>
      <c r="C239" s="3207">
        <v>0.15</v>
      </c>
      <c r="D239" s="3207">
        <v>0.15</v>
      </c>
      <c r="E239" s="3207">
        <v>0.15</v>
      </c>
      <c r="F239" s="3207">
        <v>0.15</v>
      </c>
      <c r="G239" s="3208">
        <v>0.15</v>
      </c>
    </row>
    <row r="240" spans="1:7">
      <c r="A240" s="3217" t="s">
        <v>1155</v>
      </c>
      <c r="B240" s="3206" t="s">
        <v>3110</v>
      </c>
      <c r="C240" s="3207">
        <v>0.15</v>
      </c>
      <c r="D240" s="3207">
        <v>0.15</v>
      </c>
      <c r="E240" s="3207">
        <v>0.15</v>
      </c>
      <c r="F240" s="3207">
        <v>0.15</v>
      </c>
      <c r="G240" s="3208">
        <v>0.15</v>
      </c>
    </row>
    <row r="241" spans="1:7">
      <c r="A241" s="3217" t="s">
        <v>1155</v>
      </c>
      <c r="B241" s="3206" t="s">
        <v>3111</v>
      </c>
      <c r="C241" s="3207">
        <v>0.14099999999999999</v>
      </c>
      <c r="D241" s="3207">
        <v>0.14199999999999999</v>
      </c>
      <c r="E241" s="3207">
        <v>0.14899999999999999</v>
      </c>
      <c r="F241" s="3207">
        <v>0.15</v>
      </c>
      <c r="G241" s="3208">
        <v>0.14399999999999999</v>
      </c>
    </row>
    <row r="242" spans="1:7">
      <c r="A242" s="3217" t="s">
        <v>1155</v>
      </c>
      <c r="B242" s="3206" t="s">
        <v>1028</v>
      </c>
      <c r="C242" s="3207">
        <v>0.14099999999999999</v>
      </c>
      <c r="D242" s="3207">
        <v>0.14199999999999999</v>
      </c>
      <c r="E242" s="3207">
        <v>0.14799999999999999</v>
      </c>
      <c r="F242" s="3207">
        <v>0.127</v>
      </c>
      <c r="G242" s="3208">
        <v>0.14399999999999999</v>
      </c>
    </row>
    <row r="243" spans="1:7">
      <c r="A243" s="3217" t="s">
        <v>1155</v>
      </c>
      <c r="B243" s="3206" t="s">
        <v>1038</v>
      </c>
      <c r="C243" s="3207">
        <v>0.14699999999999999</v>
      </c>
      <c r="D243" s="3207">
        <v>0.14699999999999999</v>
      </c>
      <c r="E243" s="3207">
        <v>0.15</v>
      </c>
      <c r="F243" s="3207">
        <v>0.15</v>
      </c>
      <c r="G243" s="3208">
        <v>0.14899999999999999</v>
      </c>
    </row>
    <row r="244" spans="1:7">
      <c r="A244" s="3217" t="s">
        <v>1155</v>
      </c>
      <c r="B244" s="3206" t="s">
        <v>3112</v>
      </c>
      <c r="C244" s="3207">
        <v>0.15</v>
      </c>
      <c r="D244" s="3207">
        <v>0.15</v>
      </c>
      <c r="E244" s="3207">
        <v>0.15</v>
      </c>
      <c r="F244" s="3207">
        <v>0.15</v>
      </c>
      <c r="G244" s="3208">
        <v>0.15</v>
      </c>
    </row>
    <row r="245" spans="1:7">
      <c r="A245" s="3217" t="s">
        <v>1155</v>
      </c>
      <c r="B245" s="3206" t="s">
        <v>1053</v>
      </c>
      <c r="C245" s="3207">
        <v>0.14199999999999999</v>
      </c>
      <c r="D245" s="3207">
        <v>0.14199999999999999</v>
      </c>
      <c r="E245" s="3207">
        <v>0.15</v>
      </c>
      <c r="F245" s="3207">
        <v>0.15</v>
      </c>
      <c r="G245" s="3208">
        <v>0.14499999999999999</v>
      </c>
    </row>
    <row r="246" spans="1:7">
      <c r="A246" s="3217" t="s">
        <v>1155</v>
      </c>
      <c r="B246" s="3206" t="s">
        <v>1060</v>
      </c>
      <c r="C246" s="3207">
        <v>0.14199999999999999</v>
      </c>
      <c r="D246" s="3207">
        <v>0.14299999999999999</v>
      </c>
      <c r="E246" s="3207">
        <v>0.15</v>
      </c>
      <c r="F246" s="3207">
        <v>0.14199999999999999</v>
      </c>
      <c r="G246" s="3208">
        <v>0.14399999999999999</v>
      </c>
    </row>
    <row r="247" spans="1:7">
      <c r="A247" s="3217" t="s">
        <v>1155</v>
      </c>
      <c r="B247" s="3206" t="s">
        <v>3113</v>
      </c>
      <c r="C247" s="3207">
        <v>0.14899999999999999</v>
      </c>
      <c r="D247" s="3207">
        <v>0.14899999999999999</v>
      </c>
      <c r="E247" s="3207">
        <v>0.15</v>
      </c>
      <c r="F247" s="3207">
        <v>0.15</v>
      </c>
      <c r="G247" s="3208">
        <v>0.15</v>
      </c>
    </row>
    <row r="248" spans="1:7">
      <c r="A248" s="3217" t="s">
        <v>1155</v>
      </c>
      <c r="B248" s="3206" t="s">
        <v>1075</v>
      </c>
      <c r="C248" s="3207">
        <v>0.14399999999999999</v>
      </c>
      <c r="D248" s="3207">
        <v>0.14399999999999999</v>
      </c>
      <c r="E248" s="3207">
        <v>0.14899999999999999</v>
      </c>
      <c r="F248" s="3207">
        <v>0.14799999999999999</v>
      </c>
      <c r="G248" s="3208">
        <v>0.14599999999999999</v>
      </c>
    </row>
    <row r="249" spans="1:7">
      <c r="A249" s="3217" t="s">
        <v>1155</v>
      </c>
      <c r="B249" s="3206" t="s">
        <v>3114</v>
      </c>
      <c r="C249" s="3207">
        <v>0.14000000000000001</v>
      </c>
      <c r="D249" s="3207">
        <v>0.14000000000000001</v>
      </c>
      <c r="E249" s="3207">
        <v>0.14699999999999999</v>
      </c>
      <c r="F249" s="3207">
        <v>0.14899999999999999</v>
      </c>
      <c r="G249" s="3208">
        <v>0.14199999999999999</v>
      </c>
    </row>
    <row r="250" spans="1:7">
      <c r="A250" s="3217" t="s">
        <v>1155</v>
      </c>
      <c r="B250" s="3206" t="s">
        <v>1089</v>
      </c>
      <c r="C250" s="3207">
        <v>0.14399999999999999</v>
      </c>
      <c r="D250" s="3207">
        <v>0.14299999999999999</v>
      </c>
      <c r="E250" s="3207">
        <v>0.14899999999999999</v>
      </c>
      <c r="F250" s="3207">
        <v>0.15</v>
      </c>
      <c r="G250" s="3208">
        <v>0.14599999999999999</v>
      </c>
    </row>
    <row r="251" spans="1:7">
      <c r="A251" s="3217" t="s">
        <v>1155</v>
      </c>
      <c r="B251" s="3206" t="s">
        <v>1097</v>
      </c>
      <c r="C251" s="3223"/>
      <c r="D251" s="3218"/>
      <c r="E251" s="3218"/>
      <c r="F251" s="3207">
        <v>0.1</v>
      </c>
      <c r="G251" s="3224"/>
    </row>
    <row r="252" spans="1:7">
      <c r="A252" s="3217" t="s">
        <v>1155</v>
      </c>
      <c r="B252" s="3206" t="s">
        <v>3115</v>
      </c>
      <c r="C252" s="3207">
        <v>0.14399999999999999</v>
      </c>
      <c r="D252" s="3207">
        <v>0.14399999999999999</v>
      </c>
      <c r="E252" s="3207">
        <v>0.15</v>
      </c>
      <c r="F252" s="3207">
        <v>0.14899999999999999</v>
      </c>
      <c r="G252" s="3208">
        <v>0.14599999999999999</v>
      </c>
    </row>
    <row r="253" spans="1:7">
      <c r="A253" s="3217" t="s">
        <v>1155</v>
      </c>
      <c r="B253" s="3206" t="s">
        <v>1132</v>
      </c>
      <c r="C253" s="3207">
        <v>0.14199999999999999</v>
      </c>
      <c r="D253" s="3207">
        <v>0.14199999999999999</v>
      </c>
      <c r="E253" s="3207">
        <v>0.14599999999999999</v>
      </c>
      <c r="F253" s="3207">
        <v>0.14799999999999999</v>
      </c>
      <c r="G253" s="3208">
        <v>0.14499999999999999</v>
      </c>
    </row>
    <row r="254" spans="1:7">
      <c r="A254" s="3217" t="s">
        <v>1155</v>
      </c>
      <c r="B254" s="3206" t="s">
        <v>1135</v>
      </c>
      <c r="C254" s="3207">
        <v>0.15</v>
      </c>
      <c r="D254" s="3207">
        <v>0.15</v>
      </c>
      <c r="E254" s="3207">
        <v>0.15</v>
      </c>
      <c r="F254" s="3207">
        <v>0.15</v>
      </c>
      <c r="G254" s="3208">
        <v>0.15</v>
      </c>
    </row>
    <row r="255" spans="1:7">
      <c r="A255" s="3217" t="s">
        <v>1155</v>
      </c>
      <c r="B255" s="3206" t="s">
        <v>1138</v>
      </c>
      <c r="C255" s="3207">
        <v>0.14299999999999999</v>
      </c>
      <c r="D255" s="3207">
        <v>0.14299999999999999</v>
      </c>
      <c r="E255" s="3207">
        <v>0.15</v>
      </c>
      <c r="F255" s="3207">
        <v>0.15</v>
      </c>
      <c r="G255" s="3208">
        <v>0.14499999999999999</v>
      </c>
    </row>
    <row r="256" spans="1:7">
      <c r="A256" s="3217" t="s">
        <v>1155</v>
      </c>
      <c r="B256" s="3206" t="s">
        <v>3116</v>
      </c>
      <c r="C256" s="3207">
        <v>0.15</v>
      </c>
      <c r="D256" s="3207">
        <v>0.15</v>
      </c>
      <c r="E256" s="3207">
        <v>0.15</v>
      </c>
      <c r="F256" s="3207">
        <v>0.14599999999999999</v>
      </c>
      <c r="G256" s="3208">
        <v>0.15</v>
      </c>
    </row>
    <row r="257" spans="1:7">
      <c r="A257" s="3217" t="s">
        <v>1155</v>
      </c>
      <c r="B257" s="3206" t="s">
        <v>1124</v>
      </c>
      <c r="C257" s="3207">
        <v>0.14199999999999999</v>
      </c>
      <c r="D257" s="3207">
        <v>0.14299999999999999</v>
      </c>
      <c r="E257" s="3207">
        <v>0.14799999999999999</v>
      </c>
      <c r="F257" s="3207">
        <v>0.15</v>
      </c>
      <c r="G257" s="3208">
        <v>0.14499999999999999</v>
      </c>
    </row>
    <row r="258" spans="1:7">
      <c r="A258" s="3217" t="s">
        <v>1155</v>
      </c>
      <c r="B258" s="3206" t="s">
        <v>2938</v>
      </c>
      <c r="C258" s="3207">
        <v>0.14299999999999999</v>
      </c>
      <c r="D258" s="3207">
        <v>0.14299999999999999</v>
      </c>
      <c r="E258" s="3207">
        <v>0.15</v>
      </c>
      <c r="F258" s="3207">
        <v>0.14799999999999999</v>
      </c>
      <c r="G258" s="3208">
        <v>0.14599999999999999</v>
      </c>
    </row>
    <row r="259" spans="1:7">
      <c r="A259" s="3217" t="s">
        <v>1155</v>
      </c>
      <c r="B259" s="3206" t="s">
        <v>3117</v>
      </c>
      <c r="C259" s="3207">
        <v>0.14399999999999999</v>
      </c>
      <c r="D259" s="3207">
        <v>0.14399999999999999</v>
      </c>
      <c r="E259" s="3207">
        <v>0.14899999999999999</v>
      </c>
      <c r="F259" s="3207">
        <v>0.14699999999999999</v>
      </c>
      <c r="G259" s="3208">
        <v>0.14599999999999999</v>
      </c>
    </row>
    <row r="260" spans="1:7">
      <c r="A260" s="3217" t="s">
        <v>1155</v>
      </c>
      <c r="B260" s="3206" t="s">
        <v>3118</v>
      </c>
      <c r="C260" s="3207">
        <v>0.109</v>
      </c>
      <c r="D260" s="3207">
        <v>0.111</v>
      </c>
      <c r="E260" s="3207">
        <v>0.13100000000000001</v>
      </c>
      <c r="F260" s="3207">
        <v>0.126</v>
      </c>
      <c r="G260" s="3208">
        <v>0.11899999999999999</v>
      </c>
    </row>
    <row r="261" spans="1:7">
      <c r="A261" s="3217" t="s">
        <v>1155</v>
      </c>
      <c r="B261" s="3206" t="s">
        <v>3119</v>
      </c>
      <c r="C261" s="3207">
        <v>0.1</v>
      </c>
      <c r="D261" s="3207">
        <v>0.1</v>
      </c>
      <c r="E261" s="3207">
        <v>0.11799999999999999</v>
      </c>
      <c r="F261" s="3207">
        <v>0.108</v>
      </c>
      <c r="G261" s="3208">
        <v>0.107</v>
      </c>
    </row>
    <row r="262" spans="1:7">
      <c r="A262" s="3217" t="s">
        <v>1155</v>
      </c>
      <c r="B262" s="3206" t="s">
        <v>3120</v>
      </c>
      <c r="C262" s="3207">
        <v>0.1</v>
      </c>
      <c r="D262" s="3207">
        <v>0.1</v>
      </c>
      <c r="E262" s="3207">
        <v>0.1</v>
      </c>
      <c r="F262" s="3207">
        <v>0.14099999999999999</v>
      </c>
      <c r="G262" s="3208">
        <v>0.1</v>
      </c>
    </row>
    <row r="263" spans="1:7">
      <c r="A263" s="3217" t="s">
        <v>1155</v>
      </c>
      <c r="B263" s="3206" t="s">
        <v>3121</v>
      </c>
      <c r="C263" s="3207">
        <v>0.14799999999999999</v>
      </c>
      <c r="D263" s="3207">
        <v>0.14799999999999999</v>
      </c>
      <c r="E263" s="3207">
        <v>0.15</v>
      </c>
      <c r="F263" s="3207">
        <v>0.14699999999999999</v>
      </c>
      <c r="G263" s="3208">
        <v>0.15</v>
      </c>
    </row>
    <row r="264" spans="1:7">
      <c r="A264" s="3217" t="s">
        <v>1155</v>
      </c>
      <c r="B264" s="3206" t="s">
        <v>1148</v>
      </c>
      <c r="C264" s="3207">
        <v>0.14299999999999999</v>
      </c>
      <c r="D264" s="3207">
        <v>0.14299999999999999</v>
      </c>
      <c r="E264" s="3207">
        <v>0.15</v>
      </c>
      <c r="F264" s="3207">
        <v>0.14899999999999999</v>
      </c>
      <c r="G264" s="3208">
        <v>0.14599999999999999</v>
      </c>
    </row>
    <row r="265" spans="1:7">
      <c r="A265" s="3217" t="s">
        <v>1155</v>
      </c>
      <c r="B265" s="3206" t="s">
        <v>3122</v>
      </c>
      <c r="C265" s="3218"/>
      <c r="D265" s="3218"/>
      <c r="E265" s="3218"/>
      <c r="F265" s="3207">
        <v>0.05</v>
      </c>
      <c r="G265" s="3224"/>
    </row>
    <row r="266" spans="1:7">
      <c r="A266" s="3217" t="s">
        <v>1155</v>
      </c>
      <c r="B266" s="3206" t="s">
        <v>3123</v>
      </c>
      <c r="C266" s="3218"/>
      <c r="D266" s="3218"/>
      <c r="E266" s="3218"/>
      <c r="F266" s="3207">
        <v>0.05</v>
      </c>
      <c r="G266" s="3224"/>
    </row>
    <row r="267" spans="1:7">
      <c r="A267" s="3217" t="s">
        <v>1155</v>
      </c>
      <c r="B267" s="3206" t="s">
        <v>3124</v>
      </c>
      <c r="C267" s="3218"/>
      <c r="D267" s="3218"/>
      <c r="E267" s="3218"/>
      <c r="F267" s="3207">
        <v>0.05</v>
      </c>
      <c r="G267" s="3224"/>
    </row>
    <row r="268" spans="1:7">
      <c r="A268" s="3217" t="s">
        <v>1155</v>
      </c>
      <c r="B268" s="3206" t="s">
        <v>3125</v>
      </c>
      <c r="C268" s="3218"/>
      <c r="D268" s="3218"/>
      <c r="E268" s="3218"/>
      <c r="F268" s="3207">
        <v>0.05</v>
      </c>
      <c r="G268" s="3224"/>
    </row>
    <row r="269" spans="1:7">
      <c r="A269" s="3217" t="s">
        <v>1155</v>
      </c>
      <c r="B269" s="3206" t="s">
        <v>3126</v>
      </c>
      <c r="C269" s="3218"/>
      <c r="D269" s="3218"/>
      <c r="E269" s="3218"/>
      <c r="F269" s="3207">
        <v>0.05</v>
      </c>
      <c r="G269" s="3224"/>
    </row>
    <row r="270" spans="1:7">
      <c r="A270" s="3217" t="s">
        <v>1155</v>
      </c>
      <c r="B270" s="3206" t="s">
        <v>3127</v>
      </c>
      <c r="C270" s="3218"/>
      <c r="D270" s="3218"/>
      <c r="E270" s="3218"/>
      <c r="F270" s="3207">
        <v>0.05</v>
      </c>
      <c r="G270" s="3224"/>
    </row>
    <row r="271" spans="1:7">
      <c r="A271" s="3217" t="s">
        <v>1155</v>
      </c>
      <c r="B271" s="3206" t="s">
        <v>3128</v>
      </c>
      <c r="C271" s="3218"/>
      <c r="D271" s="3218"/>
      <c r="E271" s="3218"/>
      <c r="F271" s="3207">
        <v>0.05</v>
      </c>
      <c r="G271" s="3224"/>
    </row>
    <row r="272" spans="1:7">
      <c r="A272" s="3217" t="s">
        <v>1155</v>
      </c>
      <c r="B272" s="3206" t="s">
        <v>3129</v>
      </c>
      <c r="C272" s="3218"/>
      <c r="D272" s="3218"/>
      <c r="E272" s="3218"/>
      <c r="F272" s="3207">
        <v>0.05</v>
      </c>
      <c r="G272" s="3224"/>
    </row>
    <row r="273" spans="1:7">
      <c r="A273" s="3217" t="s">
        <v>1155</v>
      </c>
      <c r="B273" s="3206" t="s">
        <v>3130</v>
      </c>
      <c r="C273" s="3218"/>
      <c r="D273" s="3218"/>
      <c r="E273" s="3218"/>
      <c r="F273" s="3207">
        <v>0.05</v>
      </c>
      <c r="G273" s="3224"/>
    </row>
    <row r="274" spans="1:7">
      <c r="A274" s="3217" t="s">
        <v>1155</v>
      </c>
      <c r="B274" s="3206" t="s">
        <v>3131</v>
      </c>
      <c r="C274" s="3218"/>
      <c r="D274" s="3218"/>
      <c r="E274" s="3218"/>
      <c r="F274" s="3207">
        <v>0.05</v>
      </c>
      <c r="G274" s="3224"/>
    </row>
    <row r="275" spans="1:7">
      <c r="A275" s="3217" t="s">
        <v>1155</v>
      </c>
      <c r="B275" s="3206" t="s">
        <v>3132</v>
      </c>
      <c r="C275" s="3218"/>
      <c r="D275" s="3218"/>
      <c r="E275" s="3218"/>
      <c r="F275" s="3207">
        <v>0.05</v>
      </c>
      <c r="G275" s="3224"/>
    </row>
    <row r="276" spans="1:7" ht="14.25" thickBot="1">
      <c r="A276" s="3220" t="s">
        <v>1155</v>
      </c>
      <c r="B276" s="3210" t="s">
        <v>3133</v>
      </c>
      <c r="C276" s="3212"/>
      <c r="D276" s="3212"/>
      <c r="E276" s="3212"/>
      <c r="F276" s="3211">
        <v>0.05</v>
      </c>
      <c r="G276" s="3225"/>
    </row>
    <row r="277" spans="1:7">
      <c r="A277" s="3216" t="s">
        <v>1156</v>
      </c>
      <c r="B277" s="3202" t="s">
        <v>3134</v>
      </c>
      <c r="C277" s="3203">
        <v>0.15</v>
      </c>
      <c r="D277" s="3203">
        <v>0.15</v>
      </c>
      <c r="E277" s="3203">
        <v>0.15</v>
      </c>
      <c r="F277" s="3203">
        <v>0.15</v>
      </c>
      <c r="G277" s="3204">
        <v>0.15</v>
      </c>
    </row>
    <row r="278" spans="1:7">
      <c r="A278" s="3217" t="s">
        <v>1156</v>
      </c>
      <c r="B278" s="3206" t="s">
        <v>980</v>
      </c>
      <c r="C278" s="3207">
        <v>0.15</v>
      </c>
      <c r="D278" s="3207">
        <v>0.15</v>
      </c>
      <c r="E278" s="3207">
        <v>0.15</v>
      </c>
      <c r="F278" s="3207">
        <v>0.15</v>
      </c>
      <c r="G278" s="3208">
        <v>0.15</v>
      </c>
    </row>
    <row r="279" spans="1:7">
      <c r="A279" s="3217" t="s">
        <v>1156</v>
      </c>
      <c r="B279" s="3206" t="s">
        <v>3135</v>
      </c>
      <c r="C279" s="3207">
        <v>0.15</v>
      </c>
      <c r="D279" s="3207">
        <v>0.15</v>
      </c>
      <c r="E279" s="3207">
        <v>0.15</v>
      </c>
      <c r="F279" s="3207">
        <v>0.15</v>
      </c>
      <c r="G279" s="3208">
        <v>0.15</v>
      </c>
    </row>
    <row r="280" spans="1:7">
      <c r="A280" s="3217" t="s">
        <v>1156</v>
      </c>
      <c r="B280" s="3206" t="s">
        <v>3136</v>
      </c>
      <c r="C280" s="3207">
        <v>0.15</v>
      </c>
      <c r="D280" s="3207">
        <v>0.15</v>
      </c>
      <c r="E280" s="3207">
        <v>0.15</v>
      </c>
      <c r="F280" s="3207">
        <v>0.15</v>
      </c>
      <c r="G280" s="3208">
        <v>0.15</v>
      </c>
    </row>
    <row r="281" spans="1:7">
      <c r="A281" s="3217" t="s">
        <v>1156</v>
      </c>
      <c r="B281" s="3206" t="s">
        <v>3137</v>
      </c>
      <c r="C281" s="3207">
        <v>0.15</v>
      </c>
      <c r="D281" s="3207">
        <v>0.15</v>
      </c>
      <c r="E281" s="3207">
        <v>0.15</v>
      </c>
      <c r="F281" s="3207">
        <v>0.15</v>
      </c>
      <c r="G281" s="3208">
        <v>0.15</v>
      </c>
    </row>
    <row r="282" spans="1:7">
      <c r="A282" s="3217" t="s">
        <v>1156</v>
      </c>
      <c r="B282" s="3206" t="s">
        <v>3138</v>
      </c>
      <c r="C282" s="3207">
        <v>0.15</v>
      </c>
      <c r="D282" s="3207">
        <v>0.15</v>
      </c>
      <c r="E282" s="3207">
        <v>0.15</v>
      </c>
      <c r="F282" s="3207">
        <v>0.14499999999999999</v>
      </c>
      <c r="G282" s="3208">
        <v>0.15</v>
      </c>
    </row>
    <row r="283" spans="1:7">
      <c r="A283" s="3217" t="s">
        <v>1156</v>
      </c>
      <c r="B283" s="3206" t="s">
        <v>1021</v>
      </c>
      <c r="C283" s="3207">
        <v>0.15</v>
      </c>
      <c r="D283" s="3207">
        <v>0.15</v>
      </c>
      <c r="E283" s="3207">
        <v>0.15</v>
      </c>
      <c r="F283" s="3207">
        <v>0.14199999999999999</v>
      </c>
      <c r="G283" s="3208">
        <v>0.15</v>
      </c>
    </row>
    <row r="284" spans="1:7">
      <c r="A284" s="3217" t="s">
        <v>1156</v>
      </c>
      <c r="B284" s="3206" t="s">
        <v>1029</v>
      </c>
      <c r="C284" s="3207">
        <v>0.15</v>
      </c>
      <c r="D284" s="3207">
        <v>0.15</v>
      </c>
      <c r="E284" s="3207">
        <v>0.15</v>
      </c>
      <c r="F284" s="3207">
        <v>0.15</v>
      </c>
      <c r="G284" s="3208">
        <v>0.15</v>
      </c>
    </row>
    <row r="285" spans="1:7">
      <c r="A285" s="3217" t="s">
        <v>1156</v>
      </c>
      <c r="B285" s="3206" t="s">
        <v>1039</v>
      </c>
      <c r="C285" s="3207">
        <v>0.15</v>
      </c>
      <c r="D285" s="3207">
        <v>0.15</v>
      </c>
      <c r="E285" s="3207">
        <v>0.15</v>
      </c>
      <c r="F285" s="3207">
        <v>0.15</v>
      </c>
      <c r="G285" s="3208">
        <v>0.15</v>
      </c>
    </row>
    <row r="286" spans="1:7">
      <c r="A286" s="3217" t="s">
        <v>1156</v>
      </c>
      <c r="B286" s="3206" t="s">
        <v>1046</v>
      </c>
      <c r="C286" s="3207">
        <v>0.14499999999999999</v>
      </c>
      <c r="D286" s="3207">
        <v>0.14499999999999999</v>
      </c>
      <c r="E286" s="3207">
        <v>0.15</v>
      </c>
      <c r="F286" s="3207">
        <v>0.14099999999999999</v>
      </c>
      <c r="G286" s="3208">
        <v>0.14499999999999999</v>
      </c>
    </row>
    <row r="287" spans="1:7">
      <c r="A287" s="3217" t="s">
        <v>1156</v>
      </c>
      <c r="B287" s="3206" t="s">
        <v>3139</v>
      </c>
      <c r="C287" s="3207">
        <v>0.11</v>
      </c>
      <c r="D287" s="3207">
        <v>0.111</v>
      </c>
      <c r="E287" s="3207">
        <v>0.14099999999999999</v>
      </c>
      <c r="F287" s="3207">
        <v>0.11</v>
      </c>
      <c r="G287" s="3208">
        <v>0.12</v>
      </c>
    </row>
    <row r="288" spans="1:7">
      <c r="A288" s="3217" t="s">
        <v>1156</v>
      </c>
      <c r="B288" s="3206" t="s">
        <v>1067</v>
      </c>
      <c r="C288" s="3207">
        <v>0.14199999999999999</v>
      </c>
      <c r="D288" s="3207">
        <v>0.14299999999999999</v>
      </c>
      <c r="E288" s="3207">
        <v>0.15</v>
      </c>
      <c r="F288" s="3207">
        <v>0.14199999999999999</v>
      </c>
      <c r="G288" s="3208">
        <v>0.14399999999999999</v>
      </c>
    </row>
    <row r="289" spans="1:7">
      <c r="A289" s="3217" t="s">
        <v>1156</v>
      </c>
      <c r="B289" s="3206" t="s">
        <v>3140</v>
      </c>
      <c r="C289" s="3207">
        <v>0.14299999999999999</v>
      </c>
      <c r="D289" s="3207">
        <v>0.14299999999999999</v>
      </c>
      <c r="E289" s="3207">
        <v>0.14799999999999999</v>
      </c>
      <c r="F289" s="3207">
        <v>0.14399999999999999</v>
      </c>
      <c r="G289" s="3208">
        <v>0.14399999999999999</v>
      </c>
    </row>
    <row r="290" spans="1:7">
      <c r="A290" s="3217" t="s">
        <v>1156</v>
      </c>
      <c r="B290" s="3206" t="s">
        <v>1090</v>
      </c>
      <c r="C290" s="3207">
        <v>0.14799999999999999</v>
      </c>
      <c r="D290" s="3207">
        <v>0.14899999999999999</v>
      </c>
      <c r="E290" s="3207">
        <v>0.15</v>
      </c>
      <c r="F290" s="3207">
        <v>0.127</v>
      </c>
      <c r="G290" s="3208">
        <v>0.15</v>
      </c>
    </row>
    <row r="291" spans="1:7">
      <c r="A291" s="3217" t="s">
        <v>1156</v>
      </c>
      <c r="B291" s="3206" t="s">
        <v>1098</v>
      </c>
      <c r="C291" s="3207">
        <v>0.15</v>
      </c>
      <c r="D291" s="3207">
        <v>0.15</v>
      </c>
      <c r="E291" s="3207">
        <v>0.15</v>
      </c>
      <c r="F291" s="3207">
        <v>0.14899999999999999</v>
      </c>
      <c r="G291" s="3208">
        <v>0.15</v>
      </c>
    </row>
    <row r="292" spans="1:7">
      <c r="A292" s="3217" t="s">
        <v>1156</v>
      </c>
      <c r="B292" s="3206" t="s">
        <v>1104</v>
      </c>
      <c r="C292" s="3207">
        <v>0.15</v>
      </c>
      <c r="D292" s="3207">
        <v>0.15</v>
      </c>
      <c r="E292" s="3207">
        <v>0.15</v>
      </c>
      <c r="F292" s="3207">
        <v>0.14399999999999999</v>
      </c>
      <c r="G292" s="3208">
        <v>0.15</v>
      </c>
    </row>
    <row r="293" spans="1:7">
      <c r="A293" s="3217" t="s">
        <v>1156</v>
      </c>
      <c r="B293" s="3206" t="s">
        <v>2963</v>
      </c>
      <c r="C293" s="3207">
        <v>0.15</v>
      </c>
      <c r="D293" s="3207">
        <v>0.15</v>
      </c>
      <c r="E293" s="3207">
        <v>0.15</v>
      </c>
      <c r="F293" s="3207">
        <v>0.14499999999999999</v>
      </c>
      <c r="G293" s="3208">
        <v>0.15</v>
      </c>
    </row>
    <row r="294" spans="1:7">
      <c r="A294" s="3217" t="s">
        <v>1156</v>
      </c>
      <c r="B294" s="3206" t="s">
        <v>3141</v>
      </c>
      <c r="C294" s="3207">
        <v>0.15</v>
      </c>
      <c r="D294" s="3207">
        <v>0.15</v>
      </c>
      <c r="E294" s="3207">
        <v>0.15</v>
      </c>
      <c r="F294" s="3207">
        <v>0.14899999999999999</v>
      </c>
      <c r="G294" s="3208">
        <v>0.15</v>
      </c>
    </row>
    <row r="295" spans="1:7">
      <c r="A295" s="3217" t="s">
        <v>1156</v>
      </c>
      <c r="B295" s="3206" t="s">
        <v>1139</v>
      </c>
      <c r="C295" s="3207">
        <v>0.15</v>
      </c>
      <c r="D295" s="3207">
        <v>0.15</v>
      </c>
      <c r="E295" s="3207">
        <v>0.15</v>
      </c>
      <c r="F295" s="3207">
        <v>0.14799999999999999</v>
      </c>
      <c r="G295" s="3208">
        <v>0.15</v>
      </c>
    </row>
    <row r="296" spans="1:7">
      <c r="A296" s="3217" t="s">
        <v>1156</v>
      </c>
      <c r="B296" s="3206" t="s">
        <v>1142</v>
      </c>
      <c r="C296" s="3207">
        <v>0.15</v>
      </c>
      <c r="D296" s="3207">
        <v>0.15</v>
      </c>
      <c r="E296" s="3207">
        <v>0.15</v>
      </c>
      <c r="F296" s="3207">
        <v>0.14399999999999999</v>
      </c>
      <c r="G296" s="3208">
        <v>0.15</v>
      </c>
    </row>
    <row r="297" spans="1:7">
      <c r="A297" s="3217" t="s">
        <v>1156</v>
      </c>
      <c r="B297" s="3206" t="s">
        <v>1144</v>
      </c>
      <c r="C297" s="3207">
        <v>0.15</v>
      </c>
      <c r="D297" s="3207">
        <v>0.15</v>
      </c>
      <c r="E297" s="3207">
        <v>0.15</v>
      </c>
      <c r="F297" s="3207">
        <v>0.14499999999999999</v>
      </c>
      <c r="G297" s="3208">
        <v>0.15</v>
      </c>
    </row>
    <row r="298" spans="1:7">
      <c r="A298" s="3217" t="s">
        <v>1156</v>
      </c>
      <c r="B298" s="3206" t="s">
        <v>1147</v>
      </c>
      <c r="C298" s="3207">
        <v>0.15</v>
      </c>
      <c r="D298" s="3207">
        <v>0.15</v>
      </c>
      <c r="E298" s="3207">
        <v>0.15</v>
      </c>
      <c r="F298" s="3207">
        <v>0.15</v>
      </c>
      <c r="G298" s="3208">
        <v>0.15</v>
      </c>
    </row>
    <row r="299" spans="1:7">
      <c r="A299" s="3217" t="s">
        <v>1156</v>
      </c>
      <c r="B299" s="3226" t="s">
        <v>2965</v>
      </c>
      <c r="C299" s="3207">
        <v>0.15</v>
      </c>
      <c r="D299" s="3207">
        <v>0.15</v>
      </c>
      <c r="E299" s="3207">
        <v>0.15</v>
      </c>
      <c r="F299" s="3207">
        <v>0.14499999999999999</v>
      </c>
      <c r="G299" s="3208">
        <v>0.15</v>
      </c>
    </row>
    <row r="300" spans="1:7">
      <c r="A300" s="3217" t="s">
        <v>1156</v>
      </c>
      <c r="B300" s="3226" t="s">
        <v>1119</v>
      </c>
      <c r="C300" s="3207">
        <v>0.15</v>
      </c>
      <c r="D300" s="3207">
        <v>0.15</v>
      </c>
      <c r="E300" s="3207">
        <v>0.15</v>
      </c>
      <c r="F300" s="3207">
        <v>0.14599999999999999</v>
      </c>
      <c r="G300" s="3208">
        <v>0.15</v>
      </c>
    </row>
    <row r="301" spans="1:7">
      <c r="A301" s="3217" t="s">
        <v>1156</v>
      </c>
      <c r="B301" s="3226" t="s">
        <v>1125</v>
      </c>
      <c r="C301" s="3207">
        <v>0.126</v>
      </c>
      <c r="D301" s="3207">
        <v>0.124</v>
      </c>
      <c r="E301" s="3207">
        <v>0.14099999999999999</v>
      </c>
      <c r="F301" s="3207">
        <v>0.14399999999999999</v>
      </c>
      <c r="G301" s="3208">
        <v>0.13</v>
      </c>
    </row>
    <row r="302" spans="1:7">
      <c r="A302" s="3217" t="s">
        <v>1156</v>
      </c>
      <c r="B302" s="3206" t="s">
        <v>3142</v>
      </c>
      <c r="C302" s="3207">
        <v>0.15</v>
      </c>
      <c r="D302" s="3207">
        <v>0.15</v>
      </c>
      <c r="E302" s="3207">
        <v>0.15</v>
      </c>
      <c r="F302" s="3207">
        <v>0.14699999999999999</v>
      </c>
      <c r="G302" s="3208">
        <v>0.15</v>
      </c>
    </row>
    <row r="303" spans="1:7">
      <c r="A303" s="3217" t="s">
        <v>1156</v>
      </c>
      <c r="B303" s="3206" t="s">
        <v>2967</v>
      </c>
      <c r="C303" s="3207">
        <v>0.15</v>
      </c>
      <c r="D303" s="3207">
        <v>0.15</v>
      </c>
      <c r="E303" s="3207">
        <v>0.15</v>
      </c>
      <c r="F303" s="3207">
        <v>0.14199999999999999</v>
      </c>
      <c r="G303" s="3208">
        <v>0.15</v>
      </c>
    </row>
    <row r="304" spans="1:7">
      <c r="A304" s="3217" t="s">
        <v>1156</v>
      </c>
      <c r="B304" s="3206" t="s">
        <v>2968</v>
      </c>
      <c r="C304" s="3207">
        <v>0.15</v>
      </c>
      <c r="D304" s="3207">
        <v>0.15</v>
      </c>
      <c r="E304" s="3207">
        <v>0.15</v>
      </c>
      <c r="F304" s="3207">
        <v>0.14499999999999999</v>
      </c>
      <c r="G304" s="3208">
        <v>0.15</v>
      </c>
    </row>
    <row r="305" spans="1:7">
      <c r="A305" s="3217" t="s">
        <v>1156</v>
      </c>
      <c r="B305" s="3206" t="s">
        <v>2969</v>
      </c>
      <c r="C305" s="3207">
        <v>0.15</v>
      </c>
      <c r="D305" s="3207">
        <v>0.15</v>
      </c>
      <c r="E305" s="3207">
        <v>0.15</v>
      </c>
      <c r="F305" s="3207">
        <v>0.111</v>
      </c>
      <c r="G305" s="3208">
        <v>0.15</v>
      </c>
    </row>
    <row r="306" spans="1:7">
      <c r="A306" s="3217" t="s">
        <v>1156</v>
      </c>
      <c r="B306" s="3206" t="s">
        <v>3143</v>
      </c>
      <c r="C306" s="3207">
        <v>0.15</v>
      </c>
      <c r="D306" s="3207">
        <v>0.15</v>
      </c>
      <c r="E306" s="3207">
        <v>0.15</v>
      </c>
      <c r="F306" s="3207">
        <v>0.126</v>
      </c>
      <c r="G306" s="3208">
        <v>0.15</v>
      </c>
    </row>
    <row r="307" spans="1:7">
      <c r="A307" s="3217" t="s">
        <v>1156</v>
      </c>
      <c r="B307" s="3206" t="s">
        <v>2971</v>
      </c>
      <c r="C307" s="3207">
        <v>0.15</v>
      </c>
      <c r="D307" s="3207">
        <v>0.15</v>
      </c>
      <c r="E307" s="3207">
        <v>0.15</v>
      </c>
      <c r="F307" s="3207">
        <v>0.12</v>
      </c>
      <c r="G307" s="3208">
        <v>0.15</v>
      </c>
    </row>
    <row r="308" spans="1:7">
      <c r="A308" s="3217" t="s">
        <v>1156</v>
      </c>
      <c r="B308" s="3206" t="s">
        <v>3144</v>
      </c>
      <c r="C308" s="3207">
        <v>0.15</v>
      </c>
      <c r="D308" s="3207">
        <v>0.15</v>
      </c>
      <c r="E308" s="3207">
        <v>0.15</v>
      </c>
      <c r="F308" s="3207">
        <v>0.13</v>
      </c>
      <c r="G308" s="3208">
        <v>0.15</v>
      </c>
    </row>
    <row r="309" spans="1:7">
      <c r="A309" s="3217" t="s">
        <v>1156</v>
      </c>
      <c r="B309" s="3206" t="s">
        <v>3145</v>
      </c>
      <c r="C309" s="3207">
        <v>0.15</v>
      </c>
      <c r="D309" s="3207">
        <v>0.15</v>
      </c>
      <c r="E309" s="3207">
        <v>0.15</v>
      </c>
      <c r="F309" s="3207">
        <v>0.14099999999999999</v>
      </c>
      <c r="G309" s="3208">
        <v>0.15</v>
      </c>
    </row>
    <row r="310" spans="1:7">
      <c r="A310" s="3217" t="s">
        <v>1156</v>
      </c>
      <c r="B310" s="3206" t="s">
        <v>2974</v>
      </c>
      <c r="C310" s="3207">
        <v>0.15</v>
      </c>
      <c r="D310" s="3207">
        <v>0.15</v>
      </c>
      <c r="E310" s="3207">
        <v>0.15</v>
      </c>
      <c r="F310" s="3207">
        <v>0.15</v>
      </c>
      <c r="G310" s="3208">
        <v>0.15</v>
      </c>
    </row>
    <row r="311" spans="1:7">
      <c r="A311" s="3217" t="s">
        <v>1156</v>
      </c>
      <c r="B311" s="3206" t="s">
        <v>3146</v>
      </c>
      <c r="C311" s="3207">
        <v>0.13200000000000001</v>
      </c>
      <c r="D311" s="3207">
        <v>0.13300000000000001</v>
      </c>
      <c r="E311" s="3207">
        <v>0.14499999999999999</v>
      </c>
      <c r="F311" s="3207">
        <v>0.14199999999999999</v>
      </c>
      <c r="G311" s="3208">
        <v>0.14000000000000001</v>
      </c>
    </row>
    <row r="312" spans="1:7">
      <c r="A312" s="3217" t="s">
        <v>1156</v>
      </c>
      <c r="B312" s="3206" t="s">
        <v>2976</v>
      </c>
      <c r="C312" s="3207">
        <v>0.13800000000000001</v>
      </c>
      <c r="D312" s="3207">
        <v>0.14000000000000001</v>
      </c>
      <c r="E312" s="3207">
        <v>0.14599999999999999</v>
      </c>
      <c r="F312" s="3207">
        <v>0.14899999999999999</v>
      </c>
      <c r="G312" s="3208">
        <v>0.14199999999999999</v>
      </c>
    </row>
    <row r="313" spans="1:7">
      <c r="A313" s="3217" t="s">
        <v>1156</v>
      </c>
      <c r="B313" s="3206" t="s">
        <v>2977</v>
      </c>
      <c r="C313" s="3207">
        <v>0.125</v>
      </c>
      <c r="D313" s="3207">
        <v>0.127</v>
      </c>
      <c r="E313" s="3207">
        <v>0.14399999999999999</v>
      </c>
      <c r="F313" s="3207">
        <v>0.115</v>
      </c>
      <c r="G313" s="3208">
        <v>0.13600000000000001</v>
      </c>
    </row>
    <row r="314" spans="1:7">
      <c r="A314" s="3217" t="s">
        <v>1156</v>
      </c>
      <c r="B314" s="3206" t="s">
        <v>3147</v>
      </c>
      <c r="C314" s="3223"/>
      <c r="D314" s="3223"/>
      <c r="E314" s="3223"/>
      <c r="F314" s="3207">
        <v>0.05</v>
      </c>
      <c r="G314" s="3224"/>
    </row>
    <row r="315" spans="1:7">
      <c r="A315" s="3217" t="s">
        <v>1156</v>
      </c>
      <c r="B315" s="3206" t="s">
        <v>3148</v>
      </c>
      <c r="C315" s="3223"/>
      <c r="D315" s="3223"/>
      <c r="E315" s="3223"/>
      <c r="F315" s="3207">
        <v>0.05</v>
      </c>
      <c r="G315" s="3224"/>
    </row>
    <row r="316" spans="1:7">
      <c r="A316" s="3217" t="s">
        <v>1156</v>
      </c>
      <c r="B316" s="3206" t="s">
        <v>3149</v>
      </c>
      <c r="C316" s="3218"/>
      <c r="D316" s="3218"/>
      <c r="E316" s="3218"/>
      <c r="F316" s="3207">
        <v>0.05</v>
      </c>
      <c r="G316" s="3224"/>
    </row>
    <row r="317" spans="1:7">
      <c r="A317" s="3217" t="s">
        <v>1156</v>
      </c>
      <c r="B317" s="3206" t="s">
        <v>3150</v>
      </c>
      <c r="C317" s="3218"/>
      <c r="D317" s="3218"/>
      <c r="E317" s="3218"/>
      <c r="F317" s="3207">
        <v>0.05</v>
      </c>
      <c r="G317" s="3224"/>
    </row>
    <row r="318" spans="1:7">
      <c r="A318" s="3217" t="s">
        <v>1156</v>
      </c>
      <c r="B318" s="3206" t="s">
        <v>3151</v>
      </c>
      <c r="C318" s="3218"/>
      <c r="D318" s="3218"/>
      <c r="E318" s="3218"/>
      <c r="F318" s="3207">
        <v>0.05</v>
      </c>
      <c r="G318" s="3224"/>
    </row>
    <row r="319" spans="1:7">
      <c r="A319" s="3217" t="s">
        <v>1156</v>
      </c>
      <c r="B319" s="3206" t="s">
        <v>3152</v>
      </c>
      <c r="C319" s="3218"/>
      <c r="D319" s="3218"/>
      <c r="E319" s="3218"/>
      <c r="F319" s="3207">
        <v>0.05</v>
      </c>
      <c r="G319" s="3224"/>
    </row>
    <row r="320" spans="1:7">
      <c r="A320" s="3217" t="s">
        <v>1156</v>
      </c>
      <c r="B320" s="3206" t="s">
        <v>3153</v>
      </c>
      <c r="C320" s="3218"/>
      <c r="D320" s="3218"/>
      <c r="E320" s="3218"/>
      <c r="F320" s="3207">
        <v>0.05</v>
      </c>
      <c r="G320" s="3224"/>
    </row>
    <row r="321" spans="1:7">
      <c r="A321" s="3217" t="s">
        <v>1156</v>
      </c>
      <c r="B321" s="3206" t="s">
        <v>3154</v>
      </c>
      <c r="C321" s="3218"/>
      <c r="D321" s="3218"/>
      <c r="E321" s="3218"/>
      <c r="F321" s="3207">
        <v>0.05</v>
      </c>
      <c r="G321" s="3224"/>
    </row>
    <row r="322" spans="1:7">
      <c r="A322" s="3217" t="s">
        <v>1156</v>
      </c>
      <c r="B322" s="3206" t="s">
        <v>3155</v>
      </c>
      <c r="C322" s="3218"/>
      <c r="D322" s="3218"/>
      <c r="E322" s="3218"/>
      <c r="F322" s="3207">
        <v>0.05</v>
      </c>
      <c r="G322" s="3224"/>
    </row>
    <row r="323" spans="1:7">
      <c r="A323" s="3217" t="s">
        <v>1156</v>
      </c>
      <c r="B323" s="3206" t="s">
        <v>3156</v>
      </c>
      <c r="C323" s="3218"/>
      <c r="D323" s="3218"/>
      <c r="E323" s="3218"/>
      <c r="F323" s="3207">
        <v>0.05</v>
      </c>
      <c r="G323" s="3224"/>
    </row>
    <row r="324" spans="1:7">
      <c r="A324" s="3217" t="s">
        <v>1156</v>
      </c>
      <c r="B324" s="3206" t="s">
        <v>3157</v>
      </c>
      <c r="C324" s="3218"/>
      <c r="D324" s="3218"/>
      <c r="E324" s="3218"/>
      <c r="F324" s="3207">
        <v>0.05</v>
      </c>
      <c r="G324" s="3224"/>
    </row>
    <row r="325" spans="1:7">
      <c r="A325" s="3217" t="s">
        <v>1156</v>
      </c>
      <c r="B325" s="3206" t="s">
        <v>3158</v>
      </c>
      <c r="C325" s="3218"/>
      <c r="D325" s="3218"/>
      <c r="E325" s="3218"/>
      <c r="F325" s="3207">
        <v>0.05</v>
      </c>
      <c r="G325" s="3224"/>
    </row>
    <row r="326" spans="1:7" ht="14.25" thickBot="1">
      <c r="A326" s="3220" t="s">
        <v>1156</v>
      </c>
      <c r="B326" s="3210" t="s">
        <v>3159</v>
      </c>
      <c r="C326" s="3212"/>
      <c r="D326" s="3212"/>
      <c r="E326" s="3212"/>
      <c r="F326" s="3211">
        <v>0.05</v>
      </c>
      <c r="G326" s="3225"/>
    </row>
    <row r="327" spans="1:7">
      <c r="A327" s="3216" t="s">
        <v>1157</v>
      </c>
      <c r="B327" s="3202" t="s">
        <v>3160</v>
      </c>
      <c r="C327" s="3203">
        <v>0.15</v>
      </c>
      <c r="D327" s="3203">
        <v>0.15</v>
      </c>
      <c r="E327" s="3203">
        <v>0.15</v>
      </c>
      <c r="F327" s="3203">
        <v>0.15</v>
      </c>
      <c r="G327" s="3204">
        <v>0.15</v>
      </c>
    </row>
    <row r="328" spans="1:7">
      <c r="A328" s="3217" t="s">
        <v>1157</v>
      </c>
      <c r="B328" s="3206" t="s">
        <v>981</v>
      </c>
      <c r="C328" s="3207">
        <v>0.15</v>
      </c>
      <c r="D328" s="3207">
        <v>0.15</v>
      </c>
      <c r="E328" s="3207">
        <v>0.15</v>
      </c>
      <c r="F328" s="3207">
        <v>0.126</v>
      </c>
      <c r="G328" s="3208">
        <v>0.15</v>
      </c>
    </row>
    <row r="329" spans="1:7">
      <c r="A329" s="3217" t="s">
        <v>1157</v>
      </c>
      <c r="B329" s="3206" t="s">
        <v>3161</v>
      </c>
      <c r="C329" s="3207">
        <v>0.15</v>
      </c>
      <c r="D329" s="3207">
        <v>0.15</v>
      </c>
      <c r="E329" s="3207">
        <v>0.15</v>
      </c>
      <c r="F329" s="3207">
        <v>0.15</v>
      </c>
      <c r="G329" s="3208">
        <v>0.15</v>
      </c>
    </row>
    <row r="330" spans="1:7">
      <c r="A330" s="3217" t="s">
        <v>1157</v>
      </c>
      <c r="B330" s="3206" t="s">
        <v>3162</v>
      </c>
      <c r="C330" s="3207">
        <v>0.15</v>
      </c>
      <c r="D330" s="3207">
        <v>0.15</v>
      </c>
      <c r="E330" s="3207">
        <v>0.15</v>
      </c>
      <c r="F330" s="3207">
        <v>0.15</v>
      </c>
      <c r="G330" s="3208">
        <v>0.15</v>
      </c>
    </row>
    <row r="331" spans="1:7">
      <c r="A331" s="3217" t="s">
        <v>1157</v>
      </c>
      <c r="B331" s="3206" t="s">
        <v>1008</v>
      </c>
      <c r="C331" s="3207">
        <v>0.15</v>
      </c>
      <c r="D331" s="3207">
        <v>0.15</v>
      </c>
      <c r="E331" s="3207">
        <v>0.15</v>
      </c>
      <c r="F331" s="3207">
        <v>0.15</v>
      </c>
      <c r="G331" s="3208">
        <v>0.15</v>
      </c>
    </row>
    <row r="332" spans="1:7">
      <c r="A332" s="3217" t="s">
        <v>1157</v>
      </c>
      <c r="B332" s="3206" t="s">
        <v>2994</v>
      </c>
      <c r="C332" s="3207">
        <v>0.15</v>
      </c>
      <c r="D332" s="3207">
        <v>0.15</v>
      </c>
      <c r="E332" s="3207">
        <v>0.15</v>
      </c>
      <c r="F332" s="3207">
        <v>0.15</v>
      </c>
      <c r="G332" s="3208">
        <v>0.15</v>
      </c>
    </row>
    <row r="333" spans="1:7">
      <c r="A333" s="3217" t="s">
        <v>1157</v>
      </c>
      <c r="B333" s="3206" t="s">
        <v>3163</v>
      </c>
      <c r="C333" s="3207">
        <v>0.14899999999999999</v>
      </c>
      <c r="D333" s="3207">
        <v>0.14899999999999999</v>
      </c>
      <c r="E333" s="3207">
        <v>0.15</v>
      </c>
      <c r="F333" s="3207">
        <v>0.11600000000000001</v>
      </c>
      <c r="G333" s="3208">
        <v>0.15</v>
      </c>
    </row>
    <row r="334" spans="1:7">
      <c r="A334" s="3217" t="s">
        <v>1157</v>
      </c>
      <c r="B334" s="3206" t="s">
        <v>1030</v>
      </c>
      <c r="C334" s="3207">
        <v>0.15</v>
      </c>
      <c r="D334" s="3207">
        <v>0.15</v>
      </c>
      <c r="E334" s="3207">
        <v>0.15</v>
      </c>
      <c r="F334" s="3207">
        <v>0.13</v>
      </c>
      <c r="G334" s="3208">
        <v>0.15</v>
      </c>
    </row>
    <row r="335" spans="1:7">
      <c r="A335" s="3217" t="s">
        <v>1157</v>
      </c>
      <c r="B335" s="3206" t="s">
        <v>1040</v>
      </c>
      <c r="C335" s="3207">
        <v>0.15</v>
      </c>
      <c r="D335" s="3207">
        <v>0.15</v>
      </c>
      <c r="E335" s="3207">
        <v>0.15</v>
      </c>
      <c r="F335" s="3207">
        <v>0.14399999999999999</v>
      </c>
      <c r="G335" s="3208">
        <v>0.15</v>
      </c>
    </row>
    <row r="336" spans="1:7">
      <c r="A336" s="3217" t="s">
        <v>1157</v>
      </c>
      <c r="B336" s="3206" t="s">
        <v>2996</v>
      </c>
      <c r="C336" s="3207">
        <v>0.15</v>
      </c>
      <c r="D336" s="3207">
        <v>0.15</v>
      </c>
      <c r="E336" s="3207">
        <v>0.15</v>
      </c>
      <c r="F336" s="3207">
        <v>0.14199999999999999</v>
      </c>
      <c r="G336" s="3208">
        <v>0.15</v>
      </c>
    </row>
    <row r="337" spans="1:7">
      <c r="A337" s="3217" t="s">
        <v>1157</v>
      </c>
      <c r="B337" s="3206" t="s">
        <v>3164</v>
      </c>
      <c r="C337" s="3207">
        <v>0.15</v>
      </c>
      <c r="D337" s="3207">
        <v>0.15</v>
      </c>
      <c r="E337" s="3207">
        <v>0.15</v>
      </c>
      <c r="F337" s="3207">
        <v>0.14499999999999999</v>
      </c>
      <c r="G337" s="3208">
        <v>0.15</v>
      </c>
    </row>
    <row r="338" spans="1:7">
      <c r="A338" s="3217" t="s">
        <v>1157</v>
      </c>
      <c r="B338" s="3206" t="s">
        <v>1068</v>
      </c>
      <c r="C338" s="3207">
        <v>0.15</v>
      </c>
      <c r="D338" s="3207">
        <v>0.15</v>
      </c>
      <c r="E338" s="3207">
        <v>0.15</v>
      </c>
      <c r="F338" s="3207">
        <v>0.15</v>
      </c>
      <c r="G338" s="3208">
        <v>0.15</v>
      </c>
    </row>
    <row r="339" spans="1:7">
      <c r="A339" s="3217" t="s">
        <v>1157</v>
      </c>
      <c r="B339" s="3206" t="s">
        <v>1076</v>
      </c>
      <c r="C339" s="3207">
        <v>0.15</v>
      </c>
      <c r="D339" s="3207">
        <v>0.15</v>
      </c>
      <c r="E339" s="3207">
        <v>0.15</v>
      </c>
      <c r="F339" s="3207">
        <v>0.14699999999999999</v>
      </c>
      <c r="G339" s="3208">
        <v>0.15</v>
      </c>
    </row>
    <row r="340" spans="1:7">
      <c r="A340" s="3217" t="s">
        <v>1157</v>
      </c>
      <c r="B340" s="3206" t="s">
        <v>3165</v>
      </c>
      <c r="C340" s="3207">
        <v>0.14599999999999999</v>
      </c>
      <c r="D340" s="3207">
        <v>0.14599999999999999</v>
      </c>
      <c r="E340" s="3207">
        <v>0.15</v>
      </c>
      <c r="F340" s="3207">
        <v>0.14099999999999999</v>
      </c>
      <c r="G340" s="3208">
        <v>0.14699999999999999</v>
      </c>
    </row>
    <row r="341" spans="1:7">
      <c r="A341" s="3217" t="s">
        <v>1157</v>
      </c>
      <c r="B341" s="3206" t="s">
        <v>1054</v>
      </c>
      <c r="C341" s="3207">
        <v>0.126</v>
      </c>
      <c r="D341" s="3207">
        <v>0.124</v>
      </c>
      <c r="E341" s="3207">
        <v>0.14099999999999999</v>
      </c>
      <c r="F341" s="3207">
        <v>0.14399999999999999</v>
      </c>
      <c r="G341" s="3208">
        <v>0.13</v>
      </c>
    </row>
    <row r="342" spans="1:7">
      <c r="A342" s="3217" t="s">
        <v>1157</v>
      </c>
      <c r="B342" s="3206" t="s">
        <v>3166</v>
      </c>
      <c r="C342" s="3207">
        <v>0.15</v>
      </c>
      <c r="D342" s="3207">
        <v>0.15</v>
      </c>
      <c r="E342" s="3207">
        <v>0.15</v>
      </c>
      <c r="F342" s="3207">
        <v>0.14399999999999999</v>
      </c>
      <c r="G342" s="3208">
        <v>0.15</v>
      </c>
    </row>
    <row r="343" spans="1:7">
      <c r="A343" s="3217" t="s">
        <v>1157</v>
      </c>
      <c r="B343" s="3206" t="s">
        <v>1105</v>
      </c>
      <c r="C343" s="3207">
        <v>0.15</v>
      </c>
      <c r="D343" s="3207">
        <v>0.15</v>
      </c>
      <c r="E343" s="3207">
        <v>0.15</v>
      </c>
      <c r="F343" s="3207">
        <v>0.128</v>
      </c>
      <c r="G343" s="3208">
        <v>0.15</v>
      </c>
    </row>
    <row r="344" spans="1:7">
      <c r="A344" s="3217" t="s">
        <v>1157</v>
      </c>
      <c r="B344" s="3206" t="s">
        <v>1113</v>
      </c>
      <c r="C344" s="3207">
        <v>0.15</v>
      </c>
      <c r="D344" s="3207">
        <v>0.15</v>
      </c>
      <c r="E344" s="3207">
        <v>0.15</v>
      </c>
      <c r="F344" s="3207">
        <v>0.14799999999999999</v>
      </c>
      <c r="G344" s="3208">
        <v>0.15</v>
      </c>
    </row>
    <row r="345" spans="1:7">
      <c r="A345" s="3217" t="s">
        <v>1157</v>
      </c>
      <c r="B345" s="3206" t="s">
        <v>3000</v>
      </c>
      <c r="C345" s="3207">
        <v>0.15</v>
      </c>
      <c r="D345" s="3207">
        <v>0.15</v>
      </c>
      <c r="E345" s="3207">
        <v>0.15</v>
      </c>
      <c r="F345" s="3207">
        <v>0.13800000000000001</v>
      </c>
      <c r="G345" s="3208">
        <v>0.15</v>
      </c>
    </row>
    <row r="346" spans="1:7">
      <c r="A346" s="3217" t="s">
        <v>1157</v>
      </c>
      <c r="B346" s="3206" t="s">
        <v>3167</v>
      </c>
      <c r="C346" s="3207">
        <v>0.15</v>
      </c>
      <c r="D346" s="3207">
        <v>0.15</v>
      </c>
      <c r="E346" s="3207">
        <v>0.15</v>
      </c>
      <c r="F346" s="3207">
        <v>0.14399999999999999</v>
      </c>
      <c r="G346" s="3208">
        <v>0.15</v>
      </c>
    </row>
    <row r="347" spans="1:7">
      <c r="A347" s="3217" t="s">
        <v>1157</v>
      </c>
      <c r="B347" s="3206" t="s">
        <v>1091</v>
      </c>
      <c r="C347" s="3207">
        <v>0.15</v>
      </c>
      <c r="D347" s="3207">
        <v>0.15</v>
      </c>
      <c r="E347" s="3207">
        <v>0.15</v>
      </c>
      <c r="F347" s="3207">
        <v>0.14599999999999999</v>
      </c>
      <c r="G347" s="3208">
        <v>0.15</v>
      </c>
    </row>
    <row r="348" spans="1:7">
      <c r="A348" s="3217" t="s">
        <v>1157</v>
      </c>
      <c r="B348" s="3206" t="s">
        <v>3002</v>
      </c>
      <c r="C348" s="3207">
        <v>0.15</v>
      </c>
      <c r="D348" s="3207">
        <v>0.15</v>
      </c>
      <c r="E348" s="3207">
        <v>0.15</v>
      </c>
      <c r="F348" s="3207">
        <v>0.14399999999999999</v>
      </c>
      <c r="G348" s="3208">
        <v>0.15</v>
      </c>
    </row>
    <row r="349" spans="1:7">
      <c r="A349" s="3217" t="s">
        <v>1157</v>
      </c>
      <c r="B349" s="3206" t="s">
        <v>3003</v>
      </c>
      <c r="C349" s="3207">
        <v>0.15</v>
      </c>
      <c r="D349" s="3207">
        <v>0.15</v>
      </c>
      <c r="E349" s="3207">
        <v>0.15</v>
      </c>
      <c r="F349" s="3207">
        <v>0.15</v>
      </c>
      <c r="G349" s="3208">
        <v>0.15</v>
      </c>
    </row>
    <row r="350" spans="1:7">
      <c r="A350" s="3217" t="s">
        <v>1157</v>
      </c>
      <c r="B350" s="3206" t="s">
        <v>3168</v>
      </c>
      <c r="C350" s="3207">
        <v>0.15</v>
      </c>
      <c r="D350" s="3207">
        <v>0.15</v>
      </c>
      <c r="E350" s="3207">
        <v>0.15</v>
      </c>
      <c r="F350" s="3207">
        <v>0.14699999999999999</v>
      </c>
      <c r="G350" s="3208">
        <v>0.15</v>
      </c>
    </row>
    <row r="351" spans="1:7">
      <c r="A351" s="3217" t="s">
        <v>1157</v>
      </c>
      <c r="B351" s="3206" t="s">
        <v>3005</v>
      </c>
      <c r="C351" s="3207">
        <v>0.15</v>
      </c>
      <c r="D351" s="3207">
        <v>0.15</v>
      </c>
      <c r="E351" s="3207">
        <v>0.15</v>
      </c>
      <c r="F351" s="3207">
        <v>0.13</v>
      </c>
      <c r="G351" s="3208">
        <v>0.15</v>
      </c>
    </row>
    <row r="352" spans="1:7">
      <c r="A352" s="3217" t="s">
        <v>1157</v>
      </c>
      <c r="B352" s="3206" t="s">
        <v>3006</v>
      </c>
      <c r="C352" s="3207">
        <v>0.15</v>
      </c>
      <c r="D352" s="3207">
        <v>0.15</v>
      </c>
      <c r="E352" s="3207">
        <v>0.15</v>
      </c>
      <c r="F352" s="3207">
        <v>0.14599999999999999</v>
      </c>
      <c r="G352" s="3208">
        <v>0.15</v>
      </c>
    </row>
    <row r="353" spans="1:7">
      <c r="A353" s="3217" t="s">
        <v>1157</v>
      </c>
      <c r="B353" s="3206" t="s">
        <v>3169</v>
      </c>
      <c r="C353" s="3207">
        <v>0.15</v>
      </c>
      <c r="D353" s="3207">
        <v>0.15</v>
      </c>
      <c r="E353" s="3207">
        <v>0.15</v>
      </c>
      <c r="F353" s="3207">
        <v>0.14499999999999999</v>
      </c>
      <c r="G353" s="3208">
        <v>0.15</v>
      </c>
    </row>
    <row r="354" spans="1:7">
      <c r="A354" s="3217" t="s">
        <v>1157</v>
      </c>
      <c r="B354" s="3206" t="s">
        <v>1129</v>
      </c>
      <c r="C354" s="3207">
        <v>0.15</v>
      </c>
      <c r="D354" s="3207">
        <v>0.15</v>
      </c>
      <c r="E354" s="3207">
        <v>0.15</v>
      </c>
      <c r="F354" s="3207">
        <v>0.14099999999999999</v>
      </c>
      <c r="G354" s="3208">
        <v>0.15</v>
      </c>
    </row>
    <row r="355" spans="1:7">
      <c r="A355" s="3217" t="s">
        <v>1157</v>
      </c>
      <c r="B355" s="3206" t="s">
        <v>3008</v>
      </c>
      <c r="C355" s="3207">
        <v>0.15</v>
      </c>
      <c r="D355" s="3207">
        <v>0.15</v>
      </c>
      <c r="E355" s="3207">
        <v>0.15</v>
      </c>
      <c r="F355" s="3207">
        <v>0.15</v>
      </c>
      <c r="G355" s="3208">
        <v>0.15</v>
      </c>
    </row>
    <row r="356" spans="1:7">
      <c r="A356" s="3217" t="s">
        <v>1157</v>
      </c>
      <c r="B356" s="3206" t="s">
        <v>3009</v>
      </c>
      <c r="C356" s="3207">
        <v>0.15</v>
      </c>
      <c r="D356" s="3207">
        <v>0.15</v>
      </c>
      <c r="E356" s="3207">
        <v>0.15</v>
      </c>
      <c r="F356" s="3207">
        <v>0.15</v>
      </c>
      <c r="G356" s="3208">
        <v>0.15</v>
      </c>
    </row>
    <row r="357" spans="1:7" ht="14.25" thickBot="1">
      <c r="A357" s="3220" t="s">
        <v>1157</v>
      </c>
      <c r="B357" s="3210" t="s">
        <v>3170</v>
      </c>
      <c r="C357" s="3211">
        <v>0.126</v>
      </c>
      <c r="D357" s="3211">
        <v>0.127</v>
      </c>
      <c r="E357" s="3211">
        <v>0.14299999999999999</v>
      </c>
      <c r="F357" s="3211">
        <v>0.125</v>
      </c>
      <c r="G357" s="3213">
        <v>0.129</v>
      </c>
    </row>
    <row r="358" spans="1:7">
      <c r="A358" s="3216" t="s">
        <v>3171</v>
      </c>
      <c r="B358" s="3202" t="s">
        <v>3172</v>
      </c>
      <c r="C358" s="3203">
        <v>0.15</v>
      </c>
      <c r="D358" s="3203">
        <v>0.15</v>
      </c>
      <c r="E358" s="3203">
        <v>0.15</v>
      </c>
      <c r="F358" s="3203">
        <v>0.15</v>
      </c>
      <c r="G358" s="3204">
        <v>0.15</v>
      </c>
    </row>
    <row r="359" spans="1:7">
      <c r="A359" s="3217" t="s">
        <v>3171</v>
      </c>
      <c r="B359" s="3206" t="s">
        <v>3173</v>
      </c>
      <c r="C359" s="3207">
        <v>0.1</v>
      </c>
      <c r="D359" s="3207">
        <v>0.1</v>
      </c>
      <c r="E359" s="3207">
        <v>0.1</v>
      </c>
      <c r="F359" s="3207">
        <v>0.1</v>
      </c>
      <c r="G359" s="3208">
        <v>0.1</v>
      </c>
    </row>
    <row r="360" spans="1:7">
      <c r="A360" s="3217" t="s">
        <v>3171</v>
      </c>
      <c r="B360" s="3206" t="s">
        <v>3174</v>
      </c>
      <c r="C360" s="3207">
        <v>0.15</v>
      </c>
      <c r="D360" s="3207">
        <v>0.15</v>
      </c>
      <c r="E360" s="3207">
        <v>0.15</v>
      </c>
      <c r="F360" s="3207">
        <v>0.14899999999999999</v>
      </c>
      <c r="G360" s="3208">
        <v>0.15</v>
      </c>
    </row>
    <row r="361" spans="1:7">
      <c r="A361" s="3217" t="s">
        <v>3171</v>
      </c>
      <c r="B361" s="3206" t="s">
        <v>999</v>
      </c>
      <c r="C361" s="3207">
        <v>0.15</v>
      </c>
      <c r="D361" s="3207">
        <v>0.15</v>
      </c>
      <c r="E361" s="3207">
        <v>0.15</v>
      </c>
      <c r="F361" s="3207">
        <v>0.115</v>
      </c>
      <c r="G361" s="3208">
        <v>0.15</v>
      </c>
    </row>
    <row r="362" spans="1:7">
      <c r="A362" s="3217" t="s">
        <v>3171</v>
      </c>
      <c r="B362" s="3206" t="s">
        <v>3175</v>
      </c>
      <c r="C362" s="3207">
        <v>0.15</v>
      </c>
      <c r="D362" s="3207">
        <v>0.15</v>
      </c>
      <c r="E362" s="3207">
        <v>0.15</v>
      </c>
      <c r="F362" s="3207">
        <v>0.106</v>
      </c>
      <c r="G362" s="3208">
        <v>0.15</v>
      </c>
    </row>
    <row r="363" spans="1:7">
      <c r="A363" s="3217" t="s">
        <v>3171</v>
      </c>
      <c r="B363" s="3206" t="s">
        <v>3015</v>
      </c>
      <c r="C363" s="3207">
        <v>0.15</v>
      </c>
      <c r="D363" s="3207">
        <v>0.15</v>
      </c>
      <c r="E363" s="3207">
        <v>0.15</v>
      </c>
      <c r="F363" s="3207">
        <v>0.14699999999999999</v>
      </c>
      <c r="G363" s="3208">
        <v>0.15</v>
      </c>
    </row>
    <row r="364" spans="1:7">
      <c r="A364" s="3217" t="s">
        <v>3171</v>
      </c>
      <c r="B364" s="3206" t="s">
        <v>3176</v>
      </c>
      <c r="C364" s="3207">
        <v>0.15</v>
      </c>
      <c r="D364" s="3207">
        <v>0.15</v>
      </c>
      <c r="E364" s="3207">
        <v>0.15</v>
      </c>
      <c r="F364" s="3207">
        <v>0.14799999999999999</v>
      </c>
      <c r="G364" s="3208">
        <v>0.15</v>
      </c>
    </row>
    <row r="365" spans="1:7">
      <c r="A365" s="3217" t="s">
        <v>3171</v>
      </c>
      <c r="B365" s="3206" t="s">
        <v>1047</v>
      </c>
      <c r="C365" s="3207">
        <v>0.15</v>
      </c>
      <c r="D365" s="3207">
        <v>0.15</v>
      </c>
      <c r="E365" s="3207">
        <v>0.15</v>
      </c>
      <c r="F365" s="3207">
        <v>0.15</v>
      </c>
      <c r="G365" s="3208">
        <v>0.15</v>
      </c>
    </row>
    <row r="366" spans="1:7">
      <c r="A366" s="3217" t="s">
        <v>3171</v>
      </c>
      <c r="B366" s="3206" t="s">
        <v>3017</v>
      </c>
      <c r="C366" s="3207">
        <v>0.15</v>
      </c>
      <c r="D366" s="3207">
        <v>0.15</v>
      </c>
      <c r="E366" s="3207">
        <v>0.15</v>
      </c>
      <c r="F366" s="3207">
        <v>0.15</v>
      </c>
      <c r="G366" s="3208">
        <v>0.15</v>
      </c>
    </row>
    <row r="367" spans="1:7">
      <c r="A367" s="3217" t="s">
        <v>3171</v>
      </c>
      <c r="B367" s="3206" t="s">
        <v>3177</v>
      </c>
      <c r="C367" s="3207">
        <v>0.15</v>
      </c>
      <c r="D367" s="3207">
        <v>0.15</v>
      </c>
      <c r="E367" s="3207">
        <v>0.15</v>
      </c>
      <c r="F367" s="3207">
        <v>0.14699999999999999</v>
      </c>
      <c r="G367" s="3208">
        <v>0.15</v>
      </c>
    </row>
    <row r="368" spans="1:7">
      <c r="A368" s="3217" t="s">
        <v>3171</v>
      </c>
      <c r="B368" s="3206" t="s">
        <v>3178</v>
      </c>
      <c r="C368" s="3207">
        <v>0.15</v>
      </c>
      <c r="D368" s="3207">
        <v>0.15</v>
      </c>
      <c r="E368" s="3207">
        <v>0.15</v>
      </c>
      <c r="F368" s="3207">
        <v>0.13600000000000001</v>
      </c>
      <c r="G368" s="3208">
        <v>0.15</v>
      </c>
    </row>
    <row r="369" spans="1:7">
      <c r="A369" s="3217" t="s">
        <v>3171</v>
      </c>
      <c r="B369" s="3206" t="s">
        <v>1061</v>
      </c>
      <c r="C369" s="3207">
        <v>0.15</v>
      </c>
      <c r="D369" s="3207">
        <v>0.15</v>
      </c>
      <c r="E369" s="3207">
        <v>0.15</v>
      </c>
      <c r="F369" s="3207">
        <v>0.14399999999999999</v>
      </c>
      <c r="G369" s="3208">
        <v>0.15</v>
      </c>
    </row>
    <row r="370" spans="1:7">
      <c r="A370" s="3217" t="s">
        <v>3171</v>
      </c>
      <c r="B370" s="3206" t="s">
        <v>1069</v>
      </c>
      <c r="C370" s="3207">
        <v>0.15</v>
      </c>
      <c r="D370" s="3207">
        <v>0.15</v>
      </c>
      <c r="E370" s="3207">
        <v>0.15</v>
      </c>
      <c r="F370" s="3207">
        <v>0.14599999999999999</v>
      </c>
      <c r="G370" s="3208">
        <v>0.15</v>
      </c>
    </row>
    <row r="371" spans="1:7">
      <c r="A371" s="3217" t="s">
        <v>3171</v>
      </c>
      <c r="B371" s="3206" t="s">
        <v>1077</v>
      </c>
      <c r="C371" s="3207">
        <v>0.15</v>
      </c>
      <c r="D371" s="3207">
        <v>0.15</v>
      </c>
      <c r="E371" s="3207">
        <v>0.15</v>
      </c>
      <c r="F371" s="3207">
        <v>0.12</v>
      </c>
      <c r="G371" s="3208">
        <v>0.15</v>
      </c>
    </row>
    <row r="372" spans="1:7">
      <c r="A372" s="3217" t="s">
        <v>3171</v>
      </c>
      <c r="B372" s="3206" t="s">
        <v>3179</v>
      </c>
      <c r="C372" s="3207">
        <v>0.15</v>
      </c>
      <c r="D372" s="3207">
        <v>0.15</v>
      </c>
      <c r="E372" s="3207">
        <v>0.15</v>
      </c>
      <c r="F372" s="3207">
        <v>0.14299999999999999</v>
      </c>
      <c r="G372" s="3208">
        <v>0.15</v>
      </c>
    </row>
    <row r="373" spans="1:7">
      <c r="A373" s="3217" t="s">
        <v>3171</v>
      </c>
      <c r="B373" s="3206" t="s">
        <v>1106</v>
      </c>
      <c r="C373" s="3207">
        <v>0.15</v>
      </c>
      <c r="D373" s="3207">
        <v>0.15</v>
      </c>
      <c r="E373" s="3207">
        <v>0.15</v>
      </c>
      <c r="F373" s="3207">
        <v>0.14599999999999999</v>
      </c>
      <c r="G373" s="3208">
        <v>0.15</v>
      </c>
    </row>
    <row r="374" spans="1:7">
      <c r="A374" s="3217" t="s">
        <v>3171</v>
      </c>
      <c r="B374" s="3206" t="s">
        <v>1114</v>
      </c>
      <c r="C374" s="3207">
        <v>0.15</v>
      </c>
      <c r="D374" s="3207">
        <v>0.15</v>
      </c>
      <c r="E374" s="3207">
        <v>0.15</v>
      </c>
      <c r="F374" s="3207">
        <v>0.14399999999999999</v>
      </c>
      <c r="G374" s="3208">
        <v>0.15</v>
      </c>
    </row>
    <row r="375" spans="1:7">
      <c r="A375" s="3217" t="s">
        <v>3171</v>
      </c>
      <c r="B375" s="3206" t="s">
        <v>3180</v>
      </c>
      <c r="C375" s="3207">
        <v>0.15</v>
      </c>
      <c r="D375" s="3207">
        <v>0.15</v>
      </c>
      <c r="E375" s="3207">
        <v>0.15</v>
      </c>
      <c r="F375" s="3207">
        <v>0.13</v>
      </c>
      <c r="G375" s="3208">
        <v>0.15</v>
      </c>
    </row>
    <row r="376" spans="1:7">
      <c r="A376" s="3217" t="s">
        <v>3171</v>
      </c>
      <c r="B376" s="3206" t="s">
        <v>1126</v>
      </c>
      <c r="C376" s="3207">
        <v>0.15</v>
      </c>
      <c r="D376" s="3207">
        <v>0.15</v>
      </c>
      <c r="E376" s="3207">
        <v>0.15</v>
      </c>
      <c r="F376" s="3207">
        <v>0.14199999999999999</v>
      </c>
      <c r="G376" s="3208">
        <v>0.15</v>
      </c>
    </row>
    <row r="377" spans="1:7" ht="14.25" thickBot="1">
      <c r="A377" s="3220" t="s">
        <v>3171</v>
      </c>
      <c r="B377" s="3210" t="s">
        <v>3022</v>
      </c>
      <c r="C377" s="3211">
        <v>0.15</v>
      </c>
      <c r="D377" s="3211">
        <v>0.15</v>
      </c>
      <c r="E377" s="3211">
        <v>0.15</v>
      </c>
      <c r="F377" s="3211">
        <v>0.14000000000000001</v>
      </c>
      <c r="G377" s="3213">
        <v>0.15</v>
      </c>
    </row>
    <row r="378" spans="1:7">
      <c r="A378" s="3216" t="s">
        <v>3181</v>
      </c>
      <c r="B378" s="3202" t="s">
        <v>3182</v>
      </c>
      <c r="C378" s="3203">
        <v>0.15</v>
      </c>
      <c r="D378" s="3203">
        <v>0.15</v>
      </c>
      <c r="E378" s="3203">
        <v>0.15</v>
      </c>
      <c r="F378" s="3203">
        <v>0.107</v>
      </c>
      <c r="G378" s="3204">
        <v>0.15</v>
      </c>
    </row>
    <row r="379" spans="1:7">
      <c r="A379" s="3217" t="s">
        <v>3181</v>
      </c>
      <c r="B379" s="3206" t="s">
        <v>3183</v>
      </c>
      <c r="C379" s="3207">
        <v>0.15</v>
      </c>
      <c r="D379" s="3207">
        <v>0.15</v>
      </c>
      <c r="E379" s="3207">
        <v>0.15</v>
      </c>
      <c r="F379" s="3207">
        <v>0.115</v>
      </c>
      <c r="G379" s="3208">
        <v>0.14899999999999999</v>
      </c>
    </row>
    <row r="380" spans="1:7">
      <c r="A380" s="3217" t="s">
        <v>3184</v>
      </c>
      <c r="B380" s="3206" t="s">
        <v>3185</v>
      </c>
      <c r="C380" s="3207">
        <v>0.15</v>
      </c>
      <c r="D380" s="3207">
        <v>0.15</v>
      </c>
      <c r="E380" s="3207">
        <v>0.15</v>
      </c>
      <c r="F380" s="3207">
        <v>0.1</v>
      </c>
      <c r="G380" s="3208">
        <v>0.14799999999999999</v>
      </c>
    </row>
    <row r="381" spans="1:7">
      <c r="A381" s="3217" t="s">
        <v>3184</v>
      </c>
      <c r="B381" s="3206" t="s">
        <v>3186</v>
      </c>
      <c r="C381" s="3207">
        <v>0.15</v>
      </c>
      <c r="D381" s="3207">
        <v>0.15</v>
      </c>
      <c r="E381" s="3207">
        <v>0.15</v>
      </c>
      <c r="F381" s="3207">
        <v>0.126</v>
      </c>
      <c r="G381" s="3208">
        <v>0.15</v>
      </c>
    </row>
    <row r="382" spans="1:7">
      <c r="A382" s="3217" t="s">
        <v>3184</v>
      </c>
      <c r="B382" s="3206" t="s">
        <v>3187</v>
      </c>
      <c r="C382" s="3207">
        <v>0.15</v>
      </c>
      <c r="D382" s="3207">
        <v>0.15</v>
      </c>
      <c r="E382" s="3207">
        <v>0.15</v>
      </c>
      <c r="F382" s="3207">
        <v>0.15</v>
      </c>
      <c r="G382" s="3208">
        <v>0.15</v>
      </c>
    </row>
    <row r="383" spans="1:7">
      <c r="A383" s="3217" t="s">
        <v>3184</v>
      </c>
      <c r="B383" s="3206" t="s">
        <v>3188</v>
      </c>
      <c r="C383" s="3207">
        <v>0.15</v>
      </c>
      <c r="D383" s="3207">
        <v>0.15</v>
      </c>
      <c r="E383" s="3207">
        <v>0.15</v>
      </c>
      <c r="F383" s="3207">
        <v>0.14699999999999999</v>
      </c>
      <c r="G383" s="3208">
        <v>0.15</v>
      </c>
    </row>
    <row r="384" spans="1:7" ht="14.25" thickBot="1">
      <c r="A384" s="3227" t="s">
        <v>3184</v>
      </c>
      <c r="B384" s="3228" t="s">
        <v>3189</v>
      </c>
      <c r="C384" s="3229">
        <v>0.15</v>
      </c>
      <c r="D384" s="3229">
        <v>0.15</v>
      </c>
      <c r="E384" s="3229">
        <v>0.15</v>
      </c>
      <c r="F384" s="3229">
        <v>0.15</v>
      </c>
      <c r="G384" s="3230">
        <v>0.15</v>
      </c>
    </row>
  </sheetData>
  <sheetProtection password="CEE9" sheet="1" objects="1" scenarios="1"/>
  <mergeCells count="1">
    <mergeCell ref="A1:B1"/>
  </mergeCells>
  <phoneticPr fontId="139"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AH124"/>
  <sheetViews>
    <sheetView zoomScale="80" zoomScaleNormal="80" workbookViewId="0">
      <selection activeCell="S10" sqref="S10:V10"/>
    </sheetView>
  </sheetViews>
  <sheetFormatPr defaultColWidth="9" defaultRowHeight="12.75"/>
  <cols>
    <col min="1" max="1" width="9" style="2441"/>
    <col min="2" max="6" width="9" style="2441" customWidth="1"/>
    <col min="7" max="7" width="9" style="2466" customWidth="1"/>
    <col min="8" max="12" width="9" style="2441" customWidth="1"/>
    <col min="13" max="13" width="2.25" style="2441" customWidth="1"/>
    <col min="14" max="14" width="9" style="2466" customWidth="1"/>
    <col min="15" max="17" width="9" style="2441" customWidth="1"/>
    <col min="18" max="18" width="2.375" style="2441" customWidth="1"/>
    <col min="19" max="19" width="7.125" style="2466" customWidth="1"/>
    <col min="20" max="22" width="7.125" style="2441" customWidth="1"/>
    <col min="23" max="23" width="24" style="2441" customWidth="1"/>
    <col min="24" max="25" width="9" style="2441"/>
    <col min="26" max="27" width="11.625" style="2441" customWidth="1"/>
    <col min="28" max="28" width="9" style="2441"/>
    <col min="29" max="29" width="2" style="2441" customWidth="1"/>
    <col min="30" max="16384" width="9" style="2441"/>
  </cols>
  <sheetData>
    <row r="1" spans="1:34" s="2422" customFormat="1">
      <c r="B1" s="3684" t="s">
        <v>1858</v>
      </c>
      <c r="C1" s="3684"/>
      <c r="D1" s="3684"/>
      <c r="E1" s="3684"/>
      <c r="F1" s="3684"/>
      <c r="G1" s="3683" t="s">
        <v>1859</v>
      </c>
      <c r="H1" s="3683"/>
      <c r="I1" s="3683"/>
      <c r="J1" s="3683"/>
      <c r="K1" s="3683"/>
      <c r="L1" s="3683"/>
      <c r="N1" s="3683" t="s">
        <v>1860</v>
      </c>
      <c r="O1" s="3683"/>
      <c r="P1" s="3683"/>
      <c r="Q1" s="3683"/>
      <c r="S1" s="3683" t="s">
        <v>1861</v>
      </c>
      <c r="T1" s="3683"/>
      <c r="U1" s="3683"/>
      <c r="V1" s="3683"/>
      <c r="X1" s="3682" t="s">
        <v>1921</v>
      </c>
      <c r="Y1" s="3683"/>
      <c r="Z1" s="3683"/>
      <c r="AA1" s="3683"/>
      <c r="AB1" s="3683"/>
      <c r="AD1" s="3682" t="s">
        <v>1925</v>
      </c>
      <c r="AE1" s="3683"/>
      <c r="AF1" s="3683"/>
      <c r="AG1" s="3683"/>
      <c r="AH1" s="3683"/>
    </row>
    <row r="2" spans="1:34" s="2423" customFormat="1" ht="14.25" thickBot="1">
      <c r="B2" s="2424" t="s">
        <v>1862</v>
      </c>
      <c r="C2" s="2424" t="s">
        <v>1923</v>
      </c>
      <c r="D2" s="2425" t="s">
        <v>1179</v>
      </c>
      <c r="E2" s="2425" t="s">
        <v>1469</v>
      </c>
      <c r="F2" s="2424" t="s">
        <v>1924</v>
      </c>
      <c r="G2" s="2426"/>
      <c r="I2" s="2424" t="s">
        <v>2217</v>
      </c>
      <c r="J2" s="2425" t="s">
        <v>2219</v>
      </c>
      <c r="K2" s="2425" t="s">
        <v>2220</v>
      </c>
      <c r="L2" s="2424" t="s">
        <v>2221</v>
      </c>
      <c r="N2" s="2424" t="s">
        <v>1862</v>
      </c>
      <c r="O2" s="2425" t="s">
        <v>2218</v>
      </c>
      <c r="P2" s="2425" t="s">
        <v>1469</v>
      </c>
      <c r="Q2" s="2424" t="s">
        <v>1924</v>
      </c>
      <c r="S2" s="2424" t="s">
        <v>1862</v>
      </c>
      <c r="T2" s="2425" t="s">
        <v>2218</v>
      </c>
      <c r="U2" s="2425" t="s">
        <v>1469</v>
      </c>
      <c r="V2" s="2424" t="s">
        <v>1924</v>
      </c>
      <c r="X2" s="2424" t="s">
        <v>1862</v>
      </c>
      <c r="Y2" s="2424" t="s">
        <v>1923</v>
      </c>
      <c r="Z2" s="2425" t="s">
        <v>1179</v>
      </c>
      <c r="AA2" s="2425" t="s">
        <v>1469</v>
      </c>
      <c r="AB2" s="2424" t="s">
        <v>1924</v>
      </c>
      <c r="AD2" s="2424" t="s">
        <v>1862</v>
      </c>
      <c r="AE2" s="2424" t="s">
        <v>1923</v>
      </c>
      <c r="AF2" s="2425" t="s">
        <v>1179</v>
      </c>
      <c r="AG2" s="2425" t="s">
        <v>1469</v>
      </c>
      <c r="AH2" s="2424" t="s">
        <v>1924</v>
      </c>
    </row>
    <row r="3" spans="1:34" s="2431" customFormat="1" ht="14.25">
      <c r="A3" s="2427" t="s">
        <v>2228</v>
      </c>
      <c r="B3" s="2428"/>
      <c r="C3" s="2428"/>
      <c r="D3" s="2429"/>
      <c r="E3" s="2429"/>
      <c r="F3" s="2428"/>
      <c r="G3" s="2430"/>
      <c r="I3" s="2432">
        <f>ROUND(AVERAGE($I4:$I41),2)</f>
        <v>1.47</v>
      </c>
      <c r="J3" s="2432">
        <f>ROUND(AVERAGE($J4:$J41),2)</f>
        <v>0.92</v>
      </c>
      <c r="K3" s="2432">
        <f>ROUND(AVERAGE($K4:$K41),2)</f>
        <v>1.61</v>
      </c>
      <c r="L3" s="2432">
        <f>ROUND(AVERAGE($L4:$L41),2)</f>
        <v>1.07</v>
      </c>
      <c r="N3" s="2430"/>
      <c r="S3" s="2430"/>
      <c r="W3" s="2433"/>
      <c r="X3" s="2434">
        <f>ROUND(SUMPRODUCT(PRODUCT(1+N3:N$40)),4)</f>
        <v>1.6585000000000001</v>
      </c>
      <c r="Y3" s="2434">
        <f>ROUND(SUMPRODUCT(PRODUCT(1+O3:O$40)),4)</f>
        <v>1.3676999999999999</v>
      </c>
      <c r="Z3" s="2434">
        <f>Y3</f>
        <v>1.3676999999999999</v>
      </c>
      <c r="AA3" s="2434">
        <f>ROUND(SUMPRODUCT(PRODUCT(1+P3:P$40)),4)</f>
        <v>1.7434000000000001</v>
      </c>
      <c r="AB3" s="2434">
        <f>ROUND(SUMPRODUCT(PRODUCT(1+Q3:Q$40)),4)</f>
        <v>1.4609000000000001</v>
      </c>
      <c r="AD3" s="2435">
        <f>ROUND(AVERAGE(I3:I$41)/100,4)</f>
        <v>1.47E-2</v>
      </c>
      <c r="AE3" s="2435">
        <f>ROUND(AVERAGE(J3:J$41)/100,4)</f>
        <v>9.1999999999999998E-3</v>
      </c>
      <c r="AF3" s="2435">
        <f>AE3</f>
        <v>9.1999999999999998E-3</v>
      </c>
      <c r="AG3" s="2435">
        <f>ROUND(AVERAGE(K3:K$41)/100,4)</f>
        <v>1.61E-2</v>
      </c>
      <c r="AH3" s="2435">
        <f>ROUND(AVERAGE(L3:L$41)/100,4)</f>
        <v>1.0699999999999999E-2</v>
      </c>
    </row>
    <row r="4" spans="1:34" s="2422" customFormat="1" ht="14.25">
      <c r="B4" s="2436"/>
      <c r="C4" s="2436"/>
      <c r="D4" s="2437"/>
      <c r="E4" s="2437"/>
      <c r="F4" s="2436"/>
      <c r="G4" s="2438"/>
      <c r="I4" s="2439"/>
      <c r="J4" s="2439"/>
      <c r="K4" s="2439"/>
      <c r="L4" s="2439"/>
      <c r="N4" s="2438"/>
      <c r="S4" s="2438"/>
      <c r="W4" s="2440"/>
      <c r="X4" s="2441"/>
      <c r="Y4" s="2441"/>
      <c r="Z4" s="2441"/>
      <c r="AA4" s="2441"/>
      <c r="AB4" s="2441"/>
      <c r="AD4" s="2442"/>
      <c r="AE4" s="2442"/>
      <c r="AF4" s="2442"/>
      <c r="AG4" s="2442"/>
      <c r="AH4" s="2442"/>
    </row>
    <row r="5" spans="1:34" s="2450" customFormat="1">
      <c r="A5" s="2443" t="s">
        <v>2450</v>
      </c>
      <c r="B5" s="2444">
        <f t="shared" ref="B5:B19" si="0">B6*(1+N5)</f>
        <v>510.07089659554606</v>
      </c>
      <c r="C5" s="2444">
        <f t="shared" ref="C5:C19" si="1">C6*(1+O5)</f>
        <v>352.55593185737411</v>
      </c>
      <c r="D5" s="2444">
        <f t="shared" ref="D5:D24" si="2">C5</f>
        <v>352.55593185737411</v>
      </c>
      <c r="E5" s="2444">
        <f t="shared" ref="E5:E25" si="3">E6*(1+P5)</f>
        <v>737.27992463403655</v>
      </c>
      <c r="F5" s="2444">
        <f t="shared" ref="F5:F25" si="4">F6*(1+Q5)</f>
        <v>335.88319198297864</v>
      </c>
      <c r="G5" s="2438">
        <v>2023</v>
      </c>
      <c r="H5" s="2445">
        <v>1</v>
      </c>
      <c r="I5" s="2420">
        <v>0</v>
      </c>
      <c r="J5" s="2420">
        <v>0</v>
      </c>
      <c r="K5" s="2420">
        <v>0</v>
      </c>
      <c r="L5" s="2421">
        <v>0</v>
      </c>
      <c r="M5" s="2441"/>
      <c r="N5" s="2446">
        <f t="shared" ref="N5:N24" si="5">I5/100</f>
        <v>0</v>
      </c>
      <c r="O5" s="2442">
        <f t="shared" ref="O5:O24" si="6">J5/100</f>
        <v>0</v>
      </c>
      <c r="P5" s="2442">
        <f t="shared" ref="P5:P24" si="7">K5/100</f>
        <v>0</v>
      </c>
      <c r="Q5" s="2442">
        <f t="shared" ref="Q5:Q24" si="8">L5/100</f>
        <v>0</v>
      </c>
      <c r="R5" s="2447"/>
      <c r="S5" s="2448">
        <f>B5/B6-1</f>
        <v>0</v>
      </c>
      <c r="T5" s="2449">
        <f>C5/C6-1</f>
        <v>0</v>
      </c>
      <c r="U5" s="2449">
        <f>E5/E6-1</f>
        <v>0</v>
      </c>
      <c r="V5" s="2449">
        <f>F5/F6-1</f>
        <v>0</v>
      </c>
      <c r="W5" s="2441"/>
      <c r="X5" s="2441">
        <f>ROUND(IF(项目基本情况!B8="出让",SUMPRODUCT(PRODUCT(1+N5:N$41)),SUMPRODUCT(PRODUCT(1+N5:N$40))),4)</f>
        <v>1.6585000000000001</v>
      </c>
      <c r="Y5" s="2441">
        <f>ROUND(IF(项目基本情况!B8="出让",SUMPRODUCT(PRODUCT(1+O5:O$41)),SUMPRODUCT(PRODUCT(1+O5:O$40))),4)</f>
        <v>1.3676999999999999</v>
      </c>
      <c r="Z5" s="2441">
        <f t="shared" ref="Z5:Z40" si="9">Y5</f>
        <v>1.3676999999999999</v>
      </c>
      <c r="AA5" s="2441">
        <f>ROUND(IF(项目基本情况!B8="出让",SUMPRODUCT(PRODUCT(1+P5:P$41)),SUMPRODUCT(PRODUCT(1+P5:P$40))),4)</f>
        <v>1.7434000000000001</v>
      </c>
      <c r="AB5" s="2441">
        <f>ROUND(IF(项目基本情况!B8="出让",SUMPRODUCT(PRODUCT(1+Q5:Q$41)),SUMPRODUCT(PRODUCT(1+Q5:Q$40))),4)</f>
        <v>1.4609000000000001</v>
      </c>
      <c r="AC5" s="2441"/>
      <c r="AD5" s="2442">
        <f>ROUND(AVERAGE(I5:I$41)/100,4)</f>
        <v>1.47E-2</v>
      </c>
      <c r="AE5" s="2442">
        <f>ROUND(AVERAGE(J5:J$41)/100,4)</f>
        <v>9.1999999999999998E-3</v>
      </c>
      <c r="AF5" s="2442">
        <f t="shared" ref="AF5:AF41" si="10">AE5</f>
        <v>9.1999999999999998E-3</v>
      </c>
      <c r="AG5" s="2442">
        <f>ROUND(AVERAGE(K5:K$41)/100,4)</f>
        <v>1.61E-2</v>
      </c>
      <c r="AH5" s="2442">
        <f>ROUND(AVERAGE(L5:L$41)/100,4)</f>
        <v>1.0699999999999999E-2</v>
      </c>
    </row>
    <row r="6" spans="1:34" s="2450" customFormat="1">
      <c r="A6" s="2443" t="s">
        <v>2449</v>
      </c>
      <c r="B6" s="2444">
        <f t="shared" si="0"/>
        <v>510.07089659554606</v>
      </c>
      <c r="C6" s="2444">
        <f t="shared" si="1"/>
        <v>352.55593185737411</v>
      </c>
      <c r="D6" s="2444">
        <f t="shared" si="2"/>
        <v>352.55593185737411</v>
      </c>
      <c r="E6" s="2444">
        <f t="shared" si="3"/>
        <v>737.27992463403655</v>
      </c>
      <c r="F6" s="2444">
        <f t="shared" si="4"/>
        <v>335.88319198297864</v>
      </c>
      <c r="G6" s="2438">
        <v>2022</v>
      </c>
      <c r="H6" s="2445">
        <v>4</v>
      </c>
      <c r="I6" s="2420">
        <v>0</v>
      </c>
      <c r="J6" s="2420">
        <v>0</v>
      </c>
      <c r="K6" s="2420">
        <v>0</v>
      </c>
      <c r="L6" s="2421">
        <v>0</v>
      </c>
      <c r="M6" s="2441"/>
      <c r="N6" s="2446">
        <f t="shared" si="5"/>
        <v>0</v>
      </c>
      <c r="O6" s="2442">
        <f t="shared" si="6"/>
        <v>0</v>
      </c>
      <c r="P6" s="2442">
        <f t="shared" si="7"/>
        <v>0</v>
      </c>
      <c r="Q6" s="2442">
        <f t="shared" si="8"/>
        <v>0</v>
      </c>
      <c r="R6" s="2447"/>
      <c r="S6" s="2448"/>
      <c r="T6" s="2449"/>
      <c r="U6" s="2449"/>
      <c r="V6" s="2449"/>
      <c r="W6" s="2441"/>
      <c r="X6" s="2441">
        <f>ROUND(IF(项目基本情况!B8="出让",SUMPRODUCT(PRODUCT(1+N6:N$41)),SUMPRODUCT(PRODUCT(1+N6:N$40))),4)</f>
        <v>1.6585000000000001</v>
      </c>
      <c r="Y6" s="2441">
        <f>ROUND(IF(项目基本情况!B8="出让",SUMPRODUCT(PRODUCT(1+O6:O$41)),SUMPRODUCT(PRODUCT(1+O6:O$40))),4)</f>
        <v>1.3676999999999999</v>
      </c>
      <c r="Z6" s="2441">
        <f t="shared" si="9"/>
        <v>1.3676999999999999</v>
      </c>
      <c r="AA6" s="2441">
        <f>ROUND(IF(项目基本情况!B8="出让",SUMPRODUCT(PRODUCT(1+P6:P$41)),SUMPRODUCT(PRODUCT(1+P6:P$40))),4)</f>
        <v>1.7434000000000001</v>
      </c>
      <c r="AB6" s="2441">
        <f>ROUND(IF(项目基本情况!B8="出让",SUMPRODUCT(PRODUCT(1+Q6:Q$41)),SUMPRODUCT(PRODUCT(1+Q6:Q$40))),4)</f>
        <v>1.4609000000000001</v>
      </c>
      <c r="AC6" s="2441"/>
      <c r="AD6" s="2442">
        <f>ROUND(AVERAGE(I6:I$41)/100,4)</f>
        <v>1.5100000000000001E-2</v>
      </c>
      <c r="AE6" s="2442">
        <f>ROUND(AVERAGE(J6:J$41)/100,4)</f>
        <v>9.4000000000000004E-3</v>
      </c>
      <c r="AF6" s="2442">
        <f t="shared" si="10"/>
        <v>9.4000000000000004E-3</v>
      </c>
      <c r="AG6" s="2442">
        <f>ROUND(AVERAGE(K6:K$41)/100,4)</f>
        <v>1.66E-2</v>
      </c>
      <c r="AH6" s="2442">
        <f>ROUND(AVERAGE(L6:L$41)/100,4)</f>
        <v>1.0999999999999999E-2</v>
      </c>
    </row>
    <row r="7" spans="1:34" s="2450" customFormat="1">
      <c r="A7" s="2443" t="s">
        <v>2448</v>
      </c>
      <c r="B7" s="2444">
        <f t="shared" si="0"/>
        <v>510.07089659554606</v>
      </c>
      <c r="C7" s="2444">
        <f t="shared" si="1"/>
        <v>352.55593185737411</v>
      </c>
      <c r="D7" s="2444">
        <f t="shared" si="2"/>
        <v>352.55593185737411</v>
      </c>
      <c r="E7" s="2444">
        <f t="shared" si="3"/>
        <v>737.27992463403655</v>
      </c>
      <c r="F7" s="2444">
        <f t="shared" si="4"/>
        <v>335.88319198297864</v>
      </c>
      <c r="G7" s="2438">
        <v>2022</v>
      </c>
      <c r="H7" s="2445">
        <v>3</v>
      </c>
      <c r="I7" s="2420">
        <v>0</v>
      </c>
      <c r="J7" s="2420">
        <v>0</v>
      </c>
      <c r="K7" s="2420">
        <v>0</v>
      </c>
      <c r="L7" s="2421">
        <v>0</v>
      </c>
      <c r="M7" s="2441"/>
      <c r="N7" s="2446">
        <f t="shared" si="5"/>
        <v>0</v>
      </c>
      <c r="O7" s="2442">
        <f t="shared" si="6"/>
        <v>0</v>
      </c>
      <c r="P7" s="2442">
        <f t="shared" si="7"/>
        <v>0</v>
      </c>
      <c r="Q7" s="2442">
        <f t="shared" si="8"/>
        <v>0</v>
      </c>
      <c r="R7" s="2447"/>
      <c r="S7" s="2448"/>
      <c r="T7" s="2449"/>
      <c r="U7" s="2449"/>
      <c r="V7" s="2449"/>
      <c r="W7" s="2441"/>
      <c r="X7" s="2441">
        <f>ROUND(IF(项目基本情况!B8="出让",SUMPRODUCT(PRODUCT(1+N7:N$41)),SUMPRODUCT(PRODUCT(1+N7:N$40))),4)</f>
        <v>1.6585000000000001</v>
      </c>
      <c r="Y7" s="2441">
        <f>ROUND(IF(项目基本情况!B8="出让",SUMPRODUCT(PRODUCT(1+O7:O$41)),SUMPRODUCT(PRODUCT(1+O7:O$40))),4)</f>
        <v>1.3676999999999999</v>
      </c>
      <c r="Z7" s="2441">
        <f t="shared" si="9"/>
        <v>1.3676999999999999</v>
      </c>
      <c r="AA7" s="2441">
        <f>ROUND(IF(项目基本情况!B8="出让",SUMPRODUCT(PRODUCT(1+P7:P$41)),SUMPRODUCT(PRODUCT(1+P7:P$40))),4)</f>
        <v>1.7434000000000001</v>
      </c>
      <c r="AB7" s="2441">
        <f>ROUND(IF(项目基本情况!B8="出让",SUMPRODUCT(PRODUCT(1+Q7:Q$41)),SUMPRODUCT(PRODUCT(1+Q7:Q$40))),4)</f>
        <v>1.4609000000000001</v>
      </c>
      <c r="AC7" s="2441"/>
      <c r="AD7" s="2442">
        <f>ROUND(AVERAGE(I7:I$41)/100,4)</f>
        <v>1.55E-2</v>
      </c>
      <c r="AE7" s="2442">
        <f>ROUND(AVERAGE(J7:J$41)/100,4)</f>
        <v>9.7000000000000003E-3</v>
      </c>
      <c r="AF7" s="2442">
        <f t="shared" si="10"/>
        <v>9.7000000000000003E-3</v>
      </c>
      <c r="AG7" s="2442">
        <f>ROUND(AVERAGE(K7:K$41)/100,4)</f>
        <v>1.7100000000000001E-2</v>
      </c>
      <c r="AH7" s="2442">
        <f>ROUND(AVERAGE(L7:L$41)/100,4)</f>
        <v>1.1299999999999999E-2</v>
      </c>
    </row>
    <row r="8" spans="1:34" s="2450" customFormat="1">
      <c r="A8" s="2443" t="s">
        <v>2447</v>
      </c>
      <c r="B8" s="2444">
        <f t="shared" si="0"/>
        <v>510.07089659554606</v>
      </c>
      <c r="C8" s="2444">
        <f t="shared" si="1"/>
        <v>352.55593185737411</v>
      </c>
      <c r="D8" s="2444">
        <f t="shared" si="2"/>
        <v>352.55593185737411</v>
      </c>
      <c r="E8" s="2444">
        <f t="shared" si="3"/>
        <v>737.27992463403655</v>
      </c>
      <c r="F8" s="2444">
        <f t="shared" si="4"/>
        <v>335.88319198297864</v>
      </c>
      <c r="G8" s="2438">
        <v>2022</v>
      </c>
      <c r="H8" s="2445">
        <v>2</v>
      </c>
      <c r="I8" s="2420">
        <v>0</v>
      </c>
      <c r="J8" s="2420">
        <v>0</v>
      </c>
      <c r="K8" s="2420">
        <v>0</v>
      </c>
      <c r="L8" s="2421">
        <v>0</v>
      </c>
      <c r="M8" s="2441"/>
      <c r="N8" s="2446">
        <f t="shared" si="5"/>
        <v>0</v>
      </c>
      <c r="O8" s="2442">
        <f t="shared" si="6"/>
        <v>0</v>
      </c>
      <c r="P8" s="2442">
        <f t="shared" si="7"/>
        <v>0</v>
      </c>
      <c r="Q8" s="2442">
        <f t="shared" si="8"/>
        <v>0</v>
      </c>
      <c r="R8" s="2447"/>
      <c r="S8" s="2448"/>
      <c r="T8" s="2449"/>
      <c r="U8" s="2449"/>
      <c r="V8" s="2449"/>
      <c r="W8" s="2441"/>
      <c r="X8" s="2441">
        <f>ROUND(IF(项目基本情况!B8="出让",SUMPRODUCT(PRODUCT(1+N8:N$41)),SUMPRODUCT(PRODUCT(1+N8:N$40))),4)</f>
        <v>1.6585000000000001</v>
      </c>
      <c r="Y8" s="2441">
        <f>ROUND(IF(项目基本情况!B8="出让",SUMPRODUCT(PRODUCT(1+O8:O$41)),SUMPRODUCT(PRODUCT(1+O8:O$40))),4)</f>
        <v>1.3676999999999999</v>
      </c>
      <c r="Z8" s="2441">
        <f t="shared" si="9"/>
        <v>1.3676999999999999</v>
      </c>
      <c r="AA8" s="2441">
        <f>ROUND(IF(项目基本情况!B8="出让",SUMPRODUCT(PRODUCT(1+P8:P$41)),SUMPRODUCT(PRODUCT(1+P8:P$40))),4)</f>
        <v>1.7434000000000001</v>
      </c>
      <c r="AB8" s="2441">
        <f>ROUND(IF(项目基本情况!B8="出让",SUMPRODUCT(PRODUCT(1+Q8:Q$41)),SUMPRODUCT(PRODUCT(1+Q8:Q$40))),4)</f>
        <v>1.4609000000000001</v>
      </c>
      <c r="AC8" s="2441"/>
      <c r="AD8" s="2442">
        <f>ROUND(AVERAGE(I8:I$41)/100,4)</f>
        <v>1.6E-2</v>
      </c>
      <c r="AE8" s="2442">
        <f>ROUND(AVERAGE(J8:J$41)/100,4)</f>
        <v>0.01</v>
      </c>
      <c r="AF8" s="2442">
        <f t="shared" si="10"/>
        <v>0.01</v>
      </c>
      <c r="AG8" s="2442">
        <f>ROUND(AVERAGE(K8:K$41)/100,4)</f>
        <v>1.7600000000000001E-2</v>
      </c>
      <c r="AH8" s="2442">
        <f>ROUND(AVERAGE(L8:L$41)/100,4)</f>
        <v>1.1599999999999999E-2</v>
      </c>
    </row>
    <row r="9" spans="1:34" s="2450" customFormat="1">
      <c r="A9" s="2443" t="s">
        <v>2446</v>
      </c>
      <c r="B9" s="2444">
        <f t="shared" si="0"/>
        <v>510.07089659554606</v>
      </c>
      <c r="C9" s="2444">
        <f t="shared" si="1"/>
        <v>352.55593185737411</v>
      </c>
      <c r="D9" s="2444">
        <f t="shared" si="2"/>
        <v>352.55593185737411</v>
      </c>
      <c r="E9" s="2444">
        <f t="shared" si="3"/>
        <v>737.27992463403655</v>
      </c>
      <c r="F9" s="2444">
        <f t="shared" si="4"/>
        <v>335.88319198297864</v>
      </c>
      <c r="G9" s="2438">
        <v>2022</v>
      </c>
      <c r="H9" s="2445">
        <v>1</v>
      </c>
      <c r="I9" s="2420">
        <v>0</v>
      </c>
      <c r="J9" s="2420">
        <v>0</v>
      </c>
      <c r="K9" s="2420">
        <v>0</v>
      </c>
      <c r="L9" s="2421">
        <v>0</v>
      </c>
      <c r="M9" s="2441"/>
      <c r="N9" s="2446">
        <f t="shared" si="5"/>
        <v>0</v>
      </c>
      <c r="O9" s="2442">
        <f t="shared" si="6"/>
        <v>0</v>
      </c>
      <c r="P9" s="2442">
        <f t="shared" si="7"/>
        <v>0</v>
      </c>
      <c r="Q9" s="2442">
        <f t="shared" si="8"/>
        <v>0</v>
      </c>
      <c r="R9" s="2447"/>
      <c r="S9" s="2448">
        <f>B9/B10-1</f>
        <v>0</v>
      </c>
      <c r="T9" s="2449">
        <f>C9/C10-1</f>
        <v>0</v>
      </c>
      <c r="U9" s="2449">
        <f>E9/E10-1</f>
        <v>0</v>
      </c>
      <c r="V9" s="2449">
        <f>F9/F10-1</f>
        <v>0</v>
      </c>
      <c r="W9" s="2441"/>
      <c r="X9" s="2441">
        <f>ROUND(IF(项目基本情况!B1="出让",SUMPRODUCT(PRODUCT(1+N9:N$41)),SUMPRODUCT(PRODUCT(1+N9:N$40))),4)</f>
        <v>1.6585000000000001</v>
      </c>
      <c r="Y9" s="2441">
        <f>ROUND(IF(项目基本情况!B1="出让",SUMPRODUCT(PRODUCT(1+O9:O$41)),SUMPRODUCT(PRODUCT(1+O9:O$40))),4)</f>
        <v>1.3676999999999999</v>
      </c>
      <c r="Z9" s="2441">
        <f t="shared" si="9"/>
        <v>1.3676999999999999</v>
      </c>
      <c r="AA9" s="2441">
        <f>ROUND(IF(项目基本情况!B1="出让",SUMPRODUCT(PRODUCT(1+P9:P$41)),SUMPRODUCT(PRODUCT(1+P9:P$40))),4)</f>
        <v>1.7434000000000001</v>
      </c>
      <c r="AB9" s="2441">
        <f>ROUND(IF(项目基本情况!B1="出让",SUMPRODUCT(PRODUCT(1+Q9:Q$41)),SUMPRODUCT(PRODUCT(1+Q9:Q$40))),4)</f>
        <v>1.4609000000000001</v>
      </c>
      <c r="AC9" s="2441"/>
      <c r="AD9" s="2442">
        <f>ROUND(AVERAGE(I9:I$41)/100,4)</f>
        <v>1.6400000000000001E-2</v>
      </c>
      <c r="AE9" s="2442">
        <f>ROUND(AVERAGE(J9:J$41)/100,4)</f>
        <v>1.03E-2</v>
      </c>
      <c r="AF9" s="2442">
        <f t="shared" si="10"/>
        <v>1.03E-2</v>
      </c>
      <c r="AG9" s="2442">
        <f>ROUND(AVERAGE(K9:K$41)/100,4)</f>
        <v>1.8100000000000002E-2</v>
      </c>
      <c r="AH9" s="2442">
        <f>ROUND(AVERAGE(L9:L$41)/100,4)</f>
        <v>1.2E-2</v>
      </c>
    </row>
    <row r="10" spans="1:34" s="2450" customFormat="1">
      <c r="A10" s="2443" t="s">
        <v>2295</v>
      </c>
      <c r="B10" s="2444">
        <f t="shared" si="0"/>
        <v>510.07089659554606</v>
      </c>
      <c r="C10" s="2444">
        <f t="shared" si="1"/>
        <v>352.55593185737411</v>
      </c>
      <c r="D10" s="2444">
        <f t="shared" si="2"/>
        <v>352.55593185737411</v>
      </c>
      <c r="E10" s="2444">
        <f t="shared" si="3"/>
        <v>737.27992463403655</v>
      </c>
      <c r="F10" s="2444">
        <f t="shared" si="4"/>
        <v>335.88319198297864</v>
      </c>
      <c r="G10" s="2438">
        <v>2021</v>
      </c>
      <c r="H10" s="2445">
        <v>4</v>
      </c>
      <c r="I10" s="2420">
        <v>1.03</v>
      </c>
      <c r="J10" s="2420">
        <v>0.24</v>
      </c>
      <c r="K10" s="2420">
        <v>1.17</v>
      </c>
      <c r="L10" s="2421">
        <v>0.55000000000000004</v>
      </c>
      <c r="M10" s="2441"/>
      <c r="N10" s="2446">
        <f t="shared" si="5"/>
        <v>1.03E-2</v>
      </c>
      <c r="O10" s="2442">
        <f t="shared" si="6"/>
        <v>2.3999999999999998E-3</v>
      </c>
      <c r="P10" s="2442">
        <f t="shared" si="7"/>
        <v>1.1699999999999999E-2</v>
      </c>
      <c r="Q10" s="2442">
        <f t="shared" si="8"/>
        <v>5.5000000000000005E-3</v>
      </c>
      <c r="R10" s="2447"/>
      <c r="S10" s="2448"/>
      <c r="T10" s="2449"/>
      <c r="U10" s="2449"/>
      <c r="V10" s="2449"/>
      <c r="W10" s="2441"/>
      <c r="X10" s="2441">
        <f>ROUND(IF(项目基本情况!B2="出让",SUMPRODUCT(PRODUCT(1+N10:N$41)),SUMPRODUCT(PRODUCT(1+N10:N$40))),4)</f>
        <v>1.6585000000000001</v>
      </c>
      <c r="Y10" s="2441">
        <f>ROUND(IF(项目基本情况!B2="出让",SUMPRODUCT(PRODUCT(1+O10:O$41)),SUMPRODUCT(PRODUCT(1+O10:O$40))),4)</f>
        <v>1.3676999999999999</v>
      </c>
      <c r="Z10" s="2441">
        <f t="shared" si="9"/>
        <v>1.3676999999999999</v>
      </c>
      <c r="AA10" s="2441">
        <f>ROUND(IF(项目基本情况!B2="出让",SUMPRODUCT(PRODUCT(1+P10:P$41)),SUMPRODUCT(PRODUCT(1+P10:P$40))),4)</f>
        <v>1.7434000000000001</v>
      </c>
      <c r="AB10" s="2441">
        <f>ROUND(IF(项目基本情况!B2="出让",SUMPRODUCT(PRODUCT(1+Q10:Q$41)),SUMPRODUCT(PRODUCT(1+Q10:Q$40))),4)</f>
        <v>1.4609000000000001</v>
      </c>
      <c r="AC10" s="2441"/>
      <c r="AD10" s="2442">
        <f>ROUND(AVERAGE(I10:I$41)/100,4)</f>
        <v>1.6899999999999998E-2</v>
      </c>
      <c r="AE10" s="2442">
        <f>ROUND(AVERAGE(J10:J$41)/100,4)</f>
        <v>1.06E-2</v>
      </c>
      <c r="AF10" s="2442">
        <f t="shared" si="10"/>
        <v>1.06E-2</v>
      </c>
      <c r="AG10" s="2442">
        <f>ROUND(AVERAGE(K10:K$41)/100,4)</f>
        <v>1.8700000000000001E-2</v>
      </c>
      <c r="AH10" s="2442">
        <f>ROUND(AVERAGE(L10:L$41)/100,4)</f>
        <v>1.24E-2</v>
      </c>
    </row>
    <row r="11" spans="1:34" s="2450" customFormat="1">
      <c r="A11" s="2443" t="s">
        <v>2294</v>
      </c>
      <c r="B11" s="2444">
        <f t="shared" si="0"/>
        <v>504.87072809615569</v>
      </c>
      <c r="C11" s="2444">
        <f t="shared" si="1"/>
        <v>351.71182348101968</v>
      </c>
      <c r="D11" s="2444">
        <f t="shared" si="2"/>
        <v>351.71182348101968</v>
      </c>
      <c r="E11" s="2444">
        <f t="shared" si="3"/>
        <v>728.75350858360832</v>
      </c>
      <c r="F11" s="2444">
        <f t="shared" si="4"/>
        <v>334.04593931673656</v>
      </c>
      <c r="G11" s="2438">
        <v>2021</v>
      </c>
      <c r="H11" s="2445">
        <v>3</v>
      </c>
      <c r="I11" s="2420">
        <v>0.47</v>
      </c>
      <c r="J11" s="2420">
        <v>0.41</v>
      </c>
      <c r="K11" s="2420">
        <v>0.48</v>
      </c>
      <c r="L11" s="2421">
        <v>0.48</v>
      </c>
      <c r="M11" s="2441"/>
      <c r="N11" s="2446">
        <f t="shared" si="5"/>
        <v>4.6999999999999993E-3</v>
      </c>
      <c r="O11" s="2442">
        <f t="shared" si="6"/>
        <v>4.0999999999999995E-3</v>
      </c>
      <c r="P11" s="2442">
        <f t="shared" si="7"/>
        <v>4.7999999999999996E-3</v>
      </c>
      <c r="Q11" s="2442">
        <f t="shared" si="8"/>
        <v>4.7999999999999996E-3</v>
      </c>
      <c r="R11" s="2447"/>
      <c r="S11" s="2448"/>
      <c r="T11" s="2449"/>
      <c r="U11" s="2449"/>
      <c r="V11" s="2449"/>
      <c r="W11" s="2441"/>
      <c r="X11" s="2441">
        <f>ROUND(IF(项目基本情况!B3="出让",SUMPRODUCT(PRODUCT(1+N11:N$41)),SUMPRODUCT(PRODUCT(1+N11:N$40))),4)</f>
        <v>1.6415999999999999</v>
      </c>
      <c r="Y11" s="2441">
        <f>ROUND(IF(项目基本情况!B3="出让",SUMPRODUCT(PRODUCT(1+O11:O$41)),SUMPRODUCT(PRODUCT(1+O11:O$40))),4)</f>
        <v>1.3644000000000001</v>
      </c>
      <c r="Z11" s="2441">
        <f t="shared" si="9"/>
        <v>1.3644000000000001</v>
      </c>
      <c r="AA11" s="2441">
        <f>ROUND(IF(项目基本情况!B3="出让",SUMPRODUCT(PRODUCT(1+P11:P$41)),SUMPRODUCT(PRODUCT(1+P11:P$40))),4)</f>
        <v>1.7232000000000001</v>
      </c>
      <c r="AB11" s="2441">
        <f>ROUND(IF(项目基本情况!B3="出让",SUMPRODUCT(PRODUCT(1+Q11:Q$41)),SUMPRODUCT(PRODUCT(1+Q11:Q$40))),4)</f>
        <v>1.4529000000000001</v>
      </c>
      <c r="AC11" s="2441"/>
      <c r="AD11" s="2442">
        <f>ROUND(AVERAGE(I11:I$41)/100,4)</f>
        <v>1.72E-2</v>
      </c>
      <c r="AE11" s="2442">
        <f>ROUND(AVERAGE(J11:J$41)/100,4)</f>
        <v>1.09E-2</v>
      </c>
      <c r="AF11" s="2442">
        <f t="shared" si="10"/>
        <v>1.09E-2</v>
      </c>
      <c r="AG11" s="2442">
        <f>ROUND(AVERAGE(K11:K$41)/100,4)</f>
        <v>1.89E-2</v>
      </c>
      <c r="AH11" s="2442">
        <f>ROUND(AVERAGE(L11:L$41)/100,4)</f>
        <v>1.26E-2</v>
      </c>
    </row>
    <row r="12" spans="1:34" s="2450" customFormat="1">
      <c r="A12" s="2443" t="s">
        <v>2293</v>
      </c>
      <c r="B12" s="2444">
        <f t="shared" si="0"/>
        <v>502.50893609650217</v>
      </c>
      <c r="C12" s="2444">
        <f t="shared" si="1"/>
        <v>350.27569313914915</v>
      </c>
      <c r="D12" s="2444">
        <f t="shared" si="2"/>
        <v>350.27569313914915</v>
      </c>
      <c r="E12" s="2444">
        <f t="shared" si="3"/>
        <v>725.27220201394141</v>
      </c>
      <c r="F12" s="2444">
        <f t="shared" si="4"/>
        <v>332.45017846012797</v>
      </c>
      <c r="G12" s="2438">
        <v>2021</v>
      </c>
      <c r="H12" s="2445">
        <v>2</v>
      </c>
      <c r="I12" s="2420">
        <v>0.92</v>
      </c>
      <c r="J12" s="2420">
        <v>0.72</v>
      </c>
      <c r="K12" s="2420">
        <v>0.95</v>
      </c>
      <c r="L12" s="2421">
        <v>1.01</v>
      </c>
      <c r="M12" s="2441"/>
      <c r="N12" s="2446">
        <f t="shared" si="5"/>
        <v>9.1999999999999998E-3</v>
      </c>
      <c r="O12" s="2442">
        <f t="shared" si="6"/>
        <v>7.1999999999999998E-3</v>
      </c>
      <c r="P12" s="2442">
        <f t="shared" si="7"/>
        <v>9.4999999999999998E-3</v>
      </c>
      <c r="Q12" s="2442">
        <f t="shared" si="8"/>
        <v>1.01E-2</v>
      </c>
      <c r="R12" s="2447"/>
      <c r="S12" s="2448"/>
      <c r="T12" s="2449"/>
      <c r="U12" s="2449"/>
      <c r="V12" s="2449"/>
      <c r="W12" s="2441"/>
      <c r="X12" s="2441">
        <f>ROUND(IF(项目基本情况!B4="出让",SUMPRODUCT(PRODUCT(1+N12:N$41)),SUMPRODUCT(PRODUCT(1+N12:N$40))),4)</f>
        <v>1.6338999999999999</v>
      </c>
      <c r="Y12" s="2441">
        <f>ROUND(IF(项目基本情况!B4="出让",SUMPRODUCT(PRODUCT(1+O12:O$41)),SUMPRODUCT(PRODUCT(1+O12:O$40))),4)</f>
        <v>1.3588</v>
      </c>
      <c r="Z12" s="2441">
        <f t="shared" si="9"/>
        <v>1.3588</v>
      </c>
      <c r="AA12" s="2441">
        <f>ROUND(IF(项目基本情况!B4="出让",SUMPRODUCT(PRODUCT(1+P12:P$41)),SUMPRODUCT(PRODUCT(1+P12:P$40))),4)</f>
        <v>1.7150000000000001</v>
      </c>
      <c r="AB12" s="2441">
        <f>ROUND(IF(项目基本情况!B4="出让",SUMPRODUCT(PRODUCT(1+Q12:Q$41)),SUMPRODUCT(PRODUCT(1+Q12:Q$40))),4)</f>
        <v>1.446</v>
      </c>
      <c r="AC12" s="2441"/>
      <c r="AD12" s="2442">
        <f>ROUND(AVERAGE(I12:I$41)/100,4)</f>
        <v>1.7600000000000001E-2</v>
      </c>
      <c r="AE12" s="2442">
        <f>ROUND(AVERAGE(J12:J$41)/100,4)</f>
        <v>1.11E-2</v>
      </c>
      <c r="AF12" s="2442">
        <f t="shared" si="10"/>
        <v>1.11E-2</v>
      </c>
      <c r="AG12" s="2442">
        <f>ROUND(AVERAGE(K12:K$41)/100,4)</f>
        <v>1.9400000000000001E-2</v>
      </c>
      <c r="AH12" s="2442">
        <f>ROUND(AVERAGE(L12:L$41)/100,4)</f>
        <v>1.2800000000000001E-2</v>
      </c>
    </row>
    <row r="13" spans="1:34" s="2450" customFormat="1">
      <c r="A13" s="2443" t="s">
        <v>2292</v>
      </c>
      <c r="B13" s="2444">
        <f t="shared" si="0"/>
        <v>497.92799851020823</v>
      </c>
      <c r="C13" s="2444">
        <f t="shared" si="1"/>
        <v>347.77173663537445</v>
      </c>
      <c r="D13" s="2444">
        <f t="shared" si="2"/>
        <v>347.77173663537445</v>
      </c>
      <c r="E13" s="2444">
        <f t="shared" si="3"/>
        <v>718.44695593258189</v>
      </c>
      <c r="F13" s="2444">
        <f t="shared" si="4"/>
        <v>329.12600580153247</v>
      </c>
      <c r="G13" s="2438">
        <v>2021</v>
      </c>
      <c r="H13" s="2445">
        <v>1</v>
      </c>
      <c r="I13" s="2420">
        <v>0.97</v>
      </c>
      <c r="J13" s="2420">
        <v>0.16</v>
      </c>
      <c r="K13" s="2420">
        <v>1.1100000000000001</v>
      </c>
      <c r="L13" s="2421">
        <v>0.36</v>
      </c>
      <c r="M13" s="2441"/>
      <c r="N13" s="2446">
        <f t="shared" si="5"/>
        <v>9.7000000000000003E-3</v>
      </c>
      <c r="O13" s="2442">
        <f t="shared" si="6"/>
        <v>1.6000000000000001E-3</v>
      </c>
      <c r="P13" s="2442">
        <f t="shared" si="7"/>
        <v>1.11E-2</v>
      </c>
      <c r="Q13" s="2442">
        <f t="shared" si="8"/>
        <v>3.5999999999999999E-3</v>
      </c>
      <c r="R13" s="2447"/>
      <c r="S13" s="2448">
        <f>B13/B14-1</f>
        <v>9.7000000000000419E-3</v>
      </c>
      <c r="T13" s="2449">
        <f>C13/C14-1</f>
        <v>1.6000000000000458E-3</v>
      </c>
      <c r="U13" s="2449">
        <f>E13/E14-1</f>
        <v>1.110000000000011E-2</v>
      </c>
      <c r="V13" s="2449">
        <f>F13/F14-1</f>
        <v>3.6000000000000476E-3</v>
      </c>
      <c r="W13" s="2441"/>
      <c r="X13" s="2441">
        <f>ROUND(IF(项目基本情况!B5="出让",SUMPRODUCT(PRODUCT(1+N13:N$41)),SUMPRODUCT(PRODUCT(1+N13:N$40))),4)</f>
        <v>1.619</v>
      </c>
      <c r="Y13" s="2441">
        <f>ROUND(IF(项目基本情况!B5="出让",SUMPRODUCT(PRODUCT(1+O13:O$41)),SUMPRODUCT(PRODUCT(1+O13:O$40))),4)</f>
        <v>1.3491</v>
      </c>
      <c r="Z13" s="2441">
        <f t="shared" si="9"/>
        <v>1.3491</v>
      </c>
      <c r="AA13" s="2441">
        <f>ROUND(IF(项目基本情况!B5="出让",SUMPRODUCT(PRODUCT(1+P13:P$41)),SUMPRODUCT(PRODUCT(1+P13:P$40))),4)</f>
        <v>1.6988000000000001</v>
      </c>
      <c r="AB13" s="2441">
        <f>ROUND(IF(项目基本情况!B5="出让",SUMPRODUCT(PRODUCT(1+Q13:Q$41)),SUMPRODUCT(PRODUCT(1+Q13:Q$40))),4)</f>
        <v>1.4315</v>
      </c>
      <c r="AC13" s="2441"/>
      <c r="AD13" s="2442">
        <f>ROUND(AVERAGE(I13:I$41)/100,4)</f>
        <v>1.7899999999999999E-2</v>
      </c>
      <c r="AE13" s="2442">
        <f>ROUND(AVERAGE(J13:J$41)/100,4)</f>
        <v>1.12E-2</v>
      </c>
      <c r="AF13" s="2442">
        <f t="shared" si="10"/>
        <v>1.12E-2</v>
      </c>
      <c r="AG13" s="2442">
        <f>ROUND(AVERAGE(K13:K$41)/100,4)</f>
        <v>1.9699999999999999E-2</v>
      </c>
      <c r="AH13" s="2442">
        <f>ROUND(AVERAGE(L13:L$41)/100,4)</f>
        <v>1.29E-2</v>
      </c>
    </row>
    <row r="14" spans="1:34" s="2450" customFormat="1">
      <c r="A14" s="2443" t="s">
        <v>2289</v>
      </c>
      <c r="B14" s="2444">
        <f t="shared" si="0"/>
        <v>493.14449689037161</v>
      </c>
      <c r="C14" s="2444">
        <f t="shared" si="1"/>
        <v>347.21619073020611</v>
      </c>
      <c r="D14" s="2444">
        <f t="shared" si="2"/>
        <v>347.21619073020611</v>
      </c>
      <c r="E14" s="2444">
        <f t="shared" si="3"/>
        <v>710.55974278763904</v>
      </c>
      <c r="F14" s="2444">
        <f t="shared" si="4"/>
        <v>327.94540235306141</v>
      </c>
      <c r="G14" s="2438">
        <v>2020</v>
      </c>
      <c r="H14" s="2445">
        <v>4</v>
      </c>
      <c r="I14" s="2420">
        <v>2.0699999999999998</v>
      </c>
      <c r="J14" s="2420">
        <v>0.37</v>
      </c>
      <c r="K14" s="2420">
        <v>2.35</v>
      </c>
      <c r="L14" s="2421">
        <v>2.69</v>
      </c>
      <c r="M14" s="2441"/>
      <c r="N14" s="2446">
        <f t="shared" si="5"/>
        <v>2.07E-2</v>
      </c>
      <c r="O14" s="2442">
        <f t="shared" si="6"/>
        <v>3.7000000000000002E-3</v>
      </c>
      <c r="P14" s="2442">
        <f t="shared" si="7"/>
        <v>2.35E-2</v>
      </c>
      <c r="Q14" s="2442">
        <f t="shared" si="8"/>
        <v>2.69E-2</v>
      </c>
      <c r="R14" s="2447"/>
      <c r="S14" s="2448"/>
      <c r="T14" s="2449"/>
      <c r="U14" s="2449"/>
      <c r="V14" s="2449"/>
      <c r="W14" s="2441"/>
      <c r="X14" s="2441">
        <f>ROUND(IF(项目基本情况!B6="出让",SUMPRODUCT(PRODUCT(1+N14:N$41)),SUMPRODUCT(PRODUCT(1+N14:N$40))),4)</f>
        <v>1.6034999999999999</v>
      </c>
      <c r="Y14" s="2441">
        <f>ROUND(IF(项目基本情况!B6="出让",SUMPRODUCT(PRODUCT(1+O14:O$41)),SUMPRODUCT(PRODUCT(1+O14:O$40))),4)</f>
        <v>1.3469</v>
      </c>
      <c r="Z14" s="2441">
        <f t="shared" si="9"/>
        <v>1.3469</v>
      </c>
      <c r="AA14" s="2441">
        <f>ROUND(IF(项目基本情况!B6="出让",SUMPRODUCT(PRODUCT(1+P14:P$41)),SUMPRODUCT(PRODUCT(1+P14:P$40))),4)</f>
        <v>1.6801999999999999</v>
      </c>
      <c r="AB14" s="2441">
        <f>ROUND(IF(项目基本情况!B6="出让",SUMPRODUCT(PRODUCT(1+Q14:Q$41)),SUMPRODUCT(PRODUCT(1+Q14:Q$40))),4)</f>
        <v>1.4263999999999999</v>
      </c>
      <c r="AC14" s="2441"/>
      <c r="AD14" s="2442">
        <f>ROUND(AVERAGE(I14:I$41)/100,4)</f>
        <v>1.8200000000000001E-2</v>
      </c>
      <c r="AE14" s="2442">
        <f>ROUND(AVERAGE(J14:J$41)/100,4)</f>
        <v>1.1599999999999999E-2</v>
      </c>
      <c r="AF14" s="2442">
        <f t="shared" si="10"/>
        <v>1.1599999999999999E-2</v>
      </c>
      <c r="AG14" s="2442">
        <f>ROUND(AVERAGE(K14:K$41)/100,4)</f>
        <v>0.02</v>
      </c>
      <c r="AH14" s="2442">
        <f>ROUND(AVERAGE(L14:L$41)/100,4)</f>
        <v>1.3299999999999999E-2</v>
      </c>
    </row>
    <row r="15" spans="1:34" s="2450" customFormat="1">
      <c r="A15" s="2443" t="s">
        <v>2288</v>
      </c>
      <c r="B15" s="2444">
        <f t="shared" si="0"/>
        <v>483.1434279321756</v>
      </c>
      <c r="C15" s="2444">
        <f t="shared" si="1"/>
        <v>345.93622669144776</v>
      </c>
      <c r="D15" s="2444">
        <f t="shared" si="2"/>
        <v>345.93622669144776</v>
      </c>
      <c r="E15" s="2444">
        <f t="shared" si="3"/>
        <v>694.24498562544113</v>
      </c>
      <c r="F15" s="2444">
        <f t="shared" si="4"/>
        <v>319.35475932716082</v>
      </c>
      <c r="G15" s="2438">
        <v>2020</v>
      </c>
      <c r="H15" s="2445">
        <v>3</v>
      </c>
      <c r="I15" s="2420">
        <v>0.36</v>
      </c>
      <c r="J15" s="2420">
        <v>-0.39</v>
      </c>
      <c r="K15" s="2420">
        <v>0.49</v>
      </c>
      <c r="L15" s="2421">
        <v>7.0000000000000007E-2</v>
      </c>
      <c r="M15" s="2441"/>
      <c r="N15" s="2446">
        <f t="shared" si="5"/>
        <v>3.5999999999999999E-3</v>
      </c>
      <c r="O15" s="2442">
        <f t="shared" si="6"/>
        <v>-3.9000000000000003E-3</v>
      </c>
      <c r="P15" s="2442">
        <f t="shared" si="7"/>
        <v>4.8999999999999998E-3</v>
      </c>
      <c r="Q15" s="2442">
        <f t="shared" si="8"/>
        <v>7.000000000000001E-4</v>
      </c>
      <c r="R15" s="2447"/>
      <c r="S15" s="2448"/>
      <c r="T15" s="2449"/>
      <c r="U15" s="2449"/>
      <c r="V15" s="2449"/>
      <c r="W15" s="2441"/>
      <c r="X15" s="2441">
        <f>ROUND(IF(项目基本情况!B7="出让",SUMPRODUCT(PRODUCT(1+N15:N$41)),SUMPRODUCT(PRODUCT(1+N15:N$40))),4)</f>
        <v>1.571</v>
      </c>
      <c r="Y15" s="2441">
        <f>ROUND(IF(项目基本情况!B7="出让",SUMPRODUCT(PRODUCT(1+O15:O$41)),SUMPRODUCT(PRODUCT(1+O15:O$40))),4)</f>
        <v>1.3420000000000001</v>
      </c>
      <c r="Z15" s="2441">
        <f t="shared" si="9"/>
        <v>1.3420000000000001</v>
      </c>
      <c r="AA15" s="2441">
        <f>ROUND(IF(项目基本情况!B7="出让",SUMPRODUCT(PRODUCT(1+P15:P$41)),SUMPRODUCT(PRODUCT(1+P15:P$40))),4)</f>
        <v>1.6415999999999999</v>
      </c>
      <c r="AB15" s="2441">
        <f>ROUND(IF(项目基本情况!B7="出让",SUMPRODUCT(PRODUCT(1+Q15:Q$41)),SUMPRODUCT(PRODUCT(1+Q15:Q$40))),4)</f>
        <v>1.389</v>
      </c>
      <c r="AC15" s="2441"/>
      <c r="AD15" s="2442">
        <f>ROUND(AVERAGE(I15:I$41)/100,4)</f>
        <v>1.8100000000000002E-2</v>
      </c>
      <c r="AE15" s="2442">
        <f>ROUND(AVERAGE(J15:J$41)/100,4)</f>
        <v>1.1900000000000001E-2</v>
      </c>
      <c r="AF15" s="2442">
        <f t="shared" si="10"/>
        <v>1.1900000000000001E-2</v>
      </c>
      <c r="AG15" s="2442">
        <f>ROUND(AVERAGE(K15:K$41)/100,4)</f>
        <v>1.9900000000000001E-2</v>
      </c>
      <c r="AH15" s="2442">
        <f>ROUND(AVERAGE(L15:L$41)/100,4)</f>
        <v>1.2800000000000001E-2</v>
      </c>
    </row>
    <row r="16" spans="1:34" s="2450" customFormat="1">
      <c r="A16" s="2443" t="s">
        <v>2253</v>
      </c>
      <c r="B16" s="2444">
        <f t="shared" si="0"/>
        <v>481.4103506697644</v>
      </c>
      <c r="C16" s="2444">
        <f t="shared" si="1"/>
        <v>347.29066026648707</v>
      </c>
      <c r="D16" s="2444">
        <f t="shared" si="2"/>
        <v>347.29066026648707</v>
      </c>
      <c r="E16" s="2444">
        <f t="shared" si="3"/>
        <v>690.85977273901995</v>
      </c>
      <c r="F16" s="2444">
        <f t="shared" si="4"/>
        <v>319.13136737000184</v>
      </c>
      <c r="G16" s="2438">
        <v>2020</v>
      </c>
      <c r="H16" s="2445">
        <v>2</v>
      </c>
      <c r="I16" s="2420">
        <v>0.31</v>
      </c>
      <c r="J16" s="2420">
        <v>-0.78</v>
      </c>
      <c r="K16" s="2420">
        <v>0.5</v>
      </c>
      <c r="L16" s="2421">
        <v>0.47</v>
      </c>
      <c r="M16" s="2441"/>
      <c r="N16" s="2446">
        <f t="shared" si="5"/>
        <v>3.0999999999999999E-3</v>
      </c>
      <c r="O16" s="2442">
        <f t="shared" si="6"/>
        <v>-7.8000000000000005E-3</v>
      </c>
      <c r="P16" s="2442">
        <f t="shared" si="7"/>
        <v>5.0000000000000001E-3</v>
      </c>
      <c r="Q16" s="2442">
        <f t="shared" si="8"/>
        <v>4.6999999999999993E-3</v>
      </c>
      <c r="R16" s="2447"/>
      <c r="S16" s="2448"/>
      <c r="T16" s="2449"/>
      <c r="U16" s="2449"/>
      <c r="V16" s="2449"/>
      <c r="W16" s="2441"/>
      <c r="X16" s="2441">
        <f>ROUND(IF(项目基本情况!B8="出让",SUMPRODUCT(PRODUCT(1+N16:N$41)),SUMPRODUCT(PRODUCT(1+N16:N$40))),4)</f>
        <v>1.5652999999999999</v>
      </c>
      <c r="Y16" s="2441">
        <f>ROUND(IF(项目基本情况!B8="出让",SUMPRODUCT(PRODUCT(1+O16:O$41)),SUMPRODUCT(PRODUCT(1+O16:O$40))),4)</f>
        <v>1.3472</v>
      </c>
      <c r="Z16" s="2441">
        <f t="shared" si="9"/>
        <v>1.3472</v>
      </c>
      <c r="AA16" s="2441">
        <f>ROUND(IF(项目基本情况!B8="出让",SUMPRODUCT(PRODUCT(1+P16:P$41)),SUMPRODUCT(PRODUCT(1+P16:P$40))),4)</f>
        <v>1.6335999999999999</v>
      </c>
      <c r="AB16" s="2441">
        <f>ROUND(IF(项目基本情况!B8="出让",SUMPRODUCT(PRODUCT(1+Q16:Q$41)),SUMPRODUCT(PRODUCT(1+Q16:Q$40))),4)</f>
        <v>1.3880999999999999</v>
      </c>
      <c r="AC16" s="2441"/>
      <c r="AD16" s="2442">
        <f>ROUND(AVERAGE(I16:I$41)/100,4)</f>
        <v>1.8599999999999998E-2</v>
      </c>
      <c r="AE16" s="2442">
        <f>ROUND(AVERAGE(J16:J$41)/100,4)</f>
        <v>1.2500000000000001E-2</v>
      </c>
      <c r="AF16" s="2442">
        <f t="shared" si="10"/>
        <v>1.2500000000000001E-2</v>
      </c>
      <c r="AG16" s="2442">
        <f>ROUND(AVERAGE(K16:K$41)/100,4)</f>
        <v>2.0400000000000001E-2</v>
      </c>
      <c r="AH16" s="2442">
        <f>ROUND(AVERAGE(L16:L$41)/100,4)</f>
        <v>1.32E-2</v>
      </c>
    </row>
    <row r="17" spans="1:34" s="2450" customFormat="1">
      <c r="A17" s="2443" t="s">
        <v>2251</v>
      </c>
      <c r="B17" s="2444">
        <f t="shared" si="0"/>
        <v>479.92259063878413</v>
      </c>
      <c r="C17" s="2444">
        <f t="shared" si="1"/>
        <v>350.02082268341775</v>
      </c>
      <c r="D17" s="2444">
        <f t="shared" si="2"/>
        <v>350.02082268341775</v>
      </c>
      <c r="E17" s="2444">
        <f t="shared" si="3"/>
        <v>687.42265944181099</v>
      </c>
      <c r="F17" s="2444">
        <f t="shared" si="4"/>
        <v>317.63846657708956</v>
      </c>
      <c r="G17" s="2438">
        <v>2020</v>
      </c>
      <c r="H17" s="2445">
        <v>1</v>
      </c>
      <c r="I17" s="2420">
        <v>0.12</v>
      </c>
      <c r="J17" s="2420">
        <v>-0.4</v>
      </c>
      <c r="K17" s="2420">
        <v>0.21</v>
      </c>
      <c r="L17" s="2421">
        <v>0.27</v>
      </c>
      <c r="M17" s="2441"/>
      <c r="N17" s="2446">
        <f t="shared" si="5"/>
        <v>1.1999999999999999E-3</v>
      </c>
      <c r="O17" s="2442">
        <f t="shared" si="6"/>
        <v>-4.0000000000000001E-3</v>
      </c>
      <c r="P17" s="2442">
        <f t="shared" si="7"/>
        <v>2.0999999999999999E-3</v>
      </c>
      <c r="Q17" s="2442">
        <f t="shared" si="8"/>
        <v>2.7000000000000001E-3</v>
      </c>
      <c r="R17" s="2447"/>
      <c r="S17" s="2448">
        <f>B17/B18-1</f>
        <v>1.2000000000000899E-3</v>
      </c>
      <c r="T17" s="2449">
        <f>C17/C18-1</f>
        <v>-4.0000000000000036E-3</v>
      </c>
      <c r="U17" s="2449">
        <f>E17/E18-1</f>
        <v>2.0999999999999908E-3</v>
      </c>
      <c r="V17" s="2449">
        <f>F17/F18-1</f>
        <v>2.6999999999999247E-3</v>
      </c>
      <c r="W17" s="2441"/>
      <c r="X17" s="2441">
        <f>ROUND(IF(项目基本情况!B8="出让",SUMPRODUCT(PRODUCT(1+N17:N$41)),SUMPRODUCT(PRODUCT(1+N17:N$40))),4)</f>
        <v>1.5605</v>
      </c>
      <c r="Y17" s="2441">
        <f>ROUND(IF(项目基本情况!B8="出让",SUMPRODUCT(PRODUCT(1+O17:O$41)),SUMPRODUCT(PRODUCT(1+O17:O$40))),4)</f>
        <v>1.3577999999999999</v>
      </c>
      <c r="Z17" s="2441">
        <f t="shared" si="9"/>
        <v>1.3577999999999999</v>
      </c>
      <c r="AA17" s="2441">
        <f>ROUND(IF(项目基本情况!B8="出让",SUMPRODUCT(PRODUCT(1+P17:P$41)),SUMPRODUCT(PRODUCT(1+P17:P$40))),4)</f>
        <v>1.6254999999999999</v>
      </c>
      <c r="AB17" s="2441">
        <f>ROUND(IF(项目基本情况!B8="出让",SUMPRODUCT(PRODUCT(1+Q17:Q$41)),SUMPRODUCT(PRODUCT(1+Q17:Q$40))),4)</f>
        <v>1.3815999999999999</v>
      </c>
      <c r="AC17" s="2441"/>
      <c r="AD17" s="2442">
        <f>ROUND(AVERAGE(I17:I$41)/100,4)</f>
        <v>1.9199999999999998E-2</v>
      </c>
      <c r="AE17" s="2442">
        <f>ROUND(AVERAGE(J17:J$41)/100,4)</f>
        <v>1.3299999999999999E-2</v>
      </c>
      <c r="AF17" s="2442">
        <f t="shared" si="10"/>
        <v>1.3299999999999999E-2</v>
      </c>
      <c r="AG17" s="2442">
        <f>ROUND(AVERAGE(K17:K$41)/100,4)</f>
        <v>2.1100000000000001E-2</v>
      </c>
      <c r="AH17" s="2442">
        <f>ROUND(AVERAGE(L17:L$41)/100,4)</f>
        <v>1.3599999999999999E-2</v>
      </c>
    </row>
    <row r="18" spans="1:34" s="2450" customFormat="1">
      <c r="A18" s="2443" t="s">
        <v>2249</v>
      </c>
      <c r="B18" s="2444">
        <f t="shared" si="0"/>
        <v>479.34737379023579</v>
      </c>
      <c r="C18" s="2444">
        <f t="shared" si="1"/>
        <v>351.4265287986122</v>
      </c>
      <c r="D18" s="2444">
        <f t="shared" si="2"/>
        <v>351.4265287986122</v>
      </c>
      <c r="E18" s="2444">
        <f t="shared" si="3"/>
        <v>685.98209703803116</v>
      </c>
      <c r="F18" s="2444">
        <f t="shared" si="4"/>
        <v>316.78315206651001</v>
      </c>
      <c r="G18" s="2438">
        <v>2019</v>
      </c>
      <c r="H18" s="2445">
        <v>4</v>
      </c>
      <c r="I18" s="2445">
        <v>0.45</v>
      </c>
      <c r="J18" s="2445">
        <v>-0.12</v>
      </c>
      <c r="K18" s="2445">
        <v>0.54</v>
      </c>
      <c r="L18" s="2451">
        <v>0.48</v>
      </c>
      <c r="M18" s="2441"/>
      <c r="N18" s="2446">
        <f t="shared" si="5"/>
        <v>4.5000000000000005E-3</v>
      </c>
      <c r="O18" s="2442">
        <f t="shared" si="6"/>
        <v>-1.1999999999999999E-3</v>
      </c>
      <c r="P18" s="2442">
        <f t="shared" si="7"/>
        <v>5.4000000000000003E-3</v>
      </c>
      <c r="Q18" s="2442">
        <f t="shared" si="8"/>
        <v>4.7999999999999996E-3</v>
      </c>
      <c r="R18" s="2447"/>
      <c r="S18" s="2448"/>
      <c r="T18" s="2449"/>
      <c r="U18" s="2449"/>
      <c r="V18" s="2449"/>
      <c r="W18" s="2441"/>
      <c r="X18" s="2441">
        <f>ROUND(IF(项目基本情况!B8="出让",SUMPRODUCT(PRODUCT(1+N18:N$41)),SUMPRODUCT(PRODUCT(1+N18:N$40))),4)</f>
        <v>1.5586</v>
      </c>
      <c r="Y18" s="2441">
        <f>ROUND(IF(项目基本情况!B8="出让",SUMPRODUCT(PRODUCT(1+O18:O$41)),SUMPRODUCT(PRODUCT(1+O18:O$40))),4)</f>
        <v>1.3633</v>
      </c>
      <c r="Z18" s="2441">
        <f t="shared" si="9"/>
        <v>1.3633</v>
      </c>
      <c r="AA18" s="2441">
        <f>ROUND(IF(项目基本情况!B8="出让",SUMPRODUCT(PRODUCT(1+P18:P$41)),SUMPRODUCT(PRODUCT(1+P18:P$40))),4)</f>
        <v>1.6221000000000001</v>
      </c>
      <c r="AB18" s="2441">
        <f>ROUND(IF(项目基本情况!B8="出让",SUMPRODUCT(PRODUCT(1+Q18:Q$41)),SUMPRODUCT(PRODUCT(1+Q18:Q$40))),4)</f>
        <v>1.3777999999999999</v>
      </c>
      <c r="AC18" s="2441"/>
      <c r="AD18" s="2442">
        <f>ROUND(AVERAGE(I18:I$41)/100,4)</f>
        <v>0.02</v>
      </c>
      <c r="AE18" s="2442">
        <f>ROUND(AVERAGE(J18:J$41)/100,4)</f>
        <v>1.4E-2</v>
      </c>
      <c r="AF18" s="2442">
        <f t="shared" si="10"/>
        <v>1.4E-2</v>
      </c>
      <c r="AG18" s="2442">
        <f>ROUND(AVERAGE(K18:K$41)/100,4)</f>
        <v>2.1899999999999999E-2</v>
      </c>
      <c r="AH18" s="2442">
        <f>ROUND(AVERAGE(L18:L$41)/100,4)</f>
        <v>1.4E-2</v>
      </c>
    </row>
    <row r="19" spans="1:34" s="2450" customFormat="1" ht="13.5" thickBot="1">
      <c r="A19" s="2443" t="s">
        <v>2248</v>
      </c>
      <c r="B19" s="2444">
        <f t="shared" si="0"/>
        <v>477.19997390765138</v>
      </c>
      <c r="C19" s="2444">
        <f t="shared" si="1"/>
        <v>351.84874729536665</v>
      </c>
      <c r="D19" s="2444">
        <f t="shared" si="2"/>
        <v>351.84874729536665</v>
      </c>
      <c r="E19" s="2444">
        <f t="shared" si="3"/>
        <v>682.29768951465201</v>
      </c>
      <c r="F19" s="2444">
        <f t="shared" si="4"/>
        <v>315.26985675409043</v>
      </c>
      <c r="G19" s="2438">
        <v>2019</v>
      </c>
      <c r="H19" s="2445">
        <v>3</v>
      </c>
      <c r="I19" s="2445">
        <v>0.61</v>
      </c>
      <c r="J19" s="2445">
        <v>0.67</v>
      </c>
      <c r="K19" s="2445">
        <v>0.6</v>
      </c>
      <c r="L19" s="2451">
        <v>1.03</v>
      </c>
      <c r="M19" s="2441"/>
      <c r="N19" s="2446">
        <f t="shared" si="5"/>
        <v>6.0999999999999995E-3</v>
      </c>
      <c r="O19" s="2442">
        <f t="shared" si="6"/>
        <v>6.7000000000000002E-3</v>
      </c>
      <c r="P19" s="2442">
        <f t="shared" si="7"/>
        <v>6.0000000000000001E-3</v>
      </c>
      <c r="Q19" s="2442">
        <f t="shared" si="8"/>
        <v>1.03E-2</v>
      </c>
      <c r="R19" s="2447"/>
      <c r="S19" s="2448"/>
      <c r="T19" s="2449"/>
      <c r="U19" s="2449"/>
      <c r="V19" s="2449"/>
      <c r="W19" s="2441"/>
      <c r="X19" s="2441">
        <f>ROUND(IF(项目基本情况!B8="出让",SUMPRODUCT(PRODUCT(1+N19:N$41)),SUMPRODUCT(PRODUCT(1+N19:N$40))),4)</f>
        <v>1.5516000000000001</v>
      </c>
      <c r="Y19" s="2441">
        <f>ROUND(IF(项目基本情况!B8="出让",SUMPRODUCT(PRODUCT(1+O19:O$41)),SUMPRODUCT(PRODUCT(1+O19:O$40))),4)</f>
        <v>1.3649</v>
      </c>
      <c r="Z19" s="2441">
        <f t="shared" si="9"/>
        <v>1.3649</v>
      </c>
      <c r="AA19" s="2441">
        <f>ROUND(IF(项目基本情况!B8="出让",SUMPRODUCT(PRODUCT(1+P19:P$41)),SUMPRODUCT(PRODUCT(1+P19:P$40))),4)</f>
        <v>1.6133999999999999</v>
      </c>
      <c r="AB19" s="2441">
        <f>ROUND(IF(项目基本情况!B8="出让",SUMPRODUCT(PRODUCT(1+Q19:Q$41)),SUMPRODUCT(PRODUCT(1+Q19:Q$40))),4)</f>
        <v>1.3713</v>
      </c>
      <c r="AC19" s="2441"/>
      <c r="AD19" s="2442">
        <f>ROUND(AVERAGE(I19:I$41)/100,4)</f>
        <v>2.07E-2</v>
      </c>
      <c r="AE19" s="2442">
        <f>ROUND(AVERAGE(J19:J$41)/100,4)</f>
        <v>1.47E-2</v>
      </c>
      <c r="AF19" s="2442">
        <f t="shared" si="10"/>
        <v>1.47E-2</v>
      </c>
      <c r="AG19" s="2442">
        <f>ROUND(AVERAGE(K19:K$41)/100,4)</f>
        <v>2.2599999999999999E-2</v>
      </c>
      <c r="AH19" s="2442">
        <f>ROUND(AVERAGE(L19:L$41)/100,4)</f>
        <v>1.44E-2</v>
      </c>
    </row>
    <row r="20" spans="1:34" s="2450" customFormat="1">
      <c r="A20" s="2443" t="s">
        <v>2246</v>
      </c>
      <c r="B20" s="2444">
        <f t="shared" ref="B20:B25" si="11">B21*(1+N20)</f>
        <v>474.30670301923408</v>
      </c>
      <c r="C20" s="2444">
        <f t="shared" ref="C20:C25" si="12">C21*(1+O20)</f>
        <v>349.50705005996491</v>
      </c>
      <c r="D20" s="2444">
        <f t="shared" si="2"/>
        <v>349.50705005996491</v>
      </c>
      <c r="E20" s="2444">
        <f t="shared" si="3"/>
        <v>678.22831959706957</v>
      </c>
      <c r="F20" s="2444">
        <f t="shared" si="4"/>
        <v>312.0556832169558</v>
      </c>
      <c r="G20" s="2438">
        <v>2019</v>
      </c>
      <c r="H20" s="2452">
        <v>2</v>
      </c>
      <c r="I20" s="2452">
        <v>1.53</v>
      </c>
      <c r="J20" s="2452">
        <v>1.01</v>
      </c>
      <c r="K20" s="2452">
        <v>1.62</v>
      </c>
      <c r="L20" s="2453">
        <v>1.25</v>
      </c>
      <c r="M20" s="2441"/>
      <c r="N20" s="2446">
        <f t="shared" si="5"/>
        <v>1.5300000000000001E-2</v>
      </c>
      <c r="O20" s="2442">
        <f t="shared" si="6"/>
        <v>1.01E-2</v>
      </c>
      <c r="P20" s="2442">
        <f t="shared" si="7"/>
        <v>1.6200000000000003E-2</v>
      </c>
      <c r="Q20" s="2442">
        <f t="shared" si="8"/>
        <v>1.2500000000000001E-2</v>
      </c>
      <c r="R20" s="2447"/>
      <c r="S20" s="2448"/>
      <c r="T20" s="2449"/>
      <c r="U20" s="2449"/>
      <c r="V20" s="2449"/>
      <c r="W20" s="2441"/>
      <c r="X20" s="2441">
        <f>ROUND(IF(项目基本情况!B8="出让",SUMPRODUCT(PRODUCT(1+N20:N$41)),SUMPRODUCT(PRODUCT(1+N20:N$40))),4)</f>
        <v>1.5422</v>
      </c>
      <c r="Y20" s="2441">
        <f>ROUND(IF(项目基本情况!B8="出让",SUMPRODUCT(PRODUCT(1+O20:O$41)),SUMPRODUCT(PRODUCT(1+O20:O$40))),4)</f>
        <v>1.3557999999999999</v>
      </c>
      <c r="Z20" s="2441">
        <f t="shared" si="9"/>
        <v>1.3557999999999999</v>
      </c>
      <c r="AA20" s="2441">
        <f>ROUND(IF(项目基本情况!B8="出让",SUMPRODUCT(PRODUCT(1+P20:P$41)),SUMPRODUCT(PRODUCT(1+P20:P$40))),4)</f>
        <v>1.6036999999999999</v>
      </c>
      <c r="AB20" s="2441">
        <f>ROUND(IF(项目基本情况!B8="出让",SUMPRODUCT(PRODUCT(1+Q20:Q$41)),SUMPRODUCT(PRODUCT(1+Q20:Q$40))),4)</f>
        <v>1.3573</v>
      </c>
      <c r="AC20" s="2441"/>
      <c r="AD20" s="2442">
        <f>ROUND(AVERAGE(I20:I$41)/100,4)</f>
        <v>2.1299999999999999E-2</v>
      </c>
      <c r="AE20" s="2442">
        <f>ROUND(AVERAGE(J20:J$41)/100,4)</f>
        <v>1.4999999999999999E-2</v>
      </c>
      <c r="AF20" s="2442">
        <f t="shared" si="10"/>
        <v>1.4999999999999999E-2</v>
      </c>
      <c r="AG20" s="2442">
        <f>ROUND(AVERAGE(K20:K$41)/100,4)</f>
        <v>2.3300000000000001E-2</v>
      </c>
      <c r="AH20" s="2442">
        <f>ROUND(AVERAGE(L20:L$41)/100,4)</f>
        <v>1.46E-2</v>
      </c>
    </row>
    <row r="21" spans="1:34" s="2450" customFormat="1" ht="13.5" thickBot="1">
      <c r="A21" s="2443" t="s">
        <v>2245</v>
      </c>
      <c r="B21" s="2444">
        <f t="shared" si="11"/>
        <v>467.15916775261894</v>
      </c>
      <c r="C21" s="2444">
        <f t="shared" si="12"/>
        <v>346.01232557169084</v>
      </c>
      <c r="D21" s="2444">
        <f t="shared" si="2"/>
        <v>346.01232557169084</v>
      </c>
      <c r="E21" s="2444">
        <f t="shared" si="3"/>
        <v>667.41617752122568</v>
      </c>
      <c r="F21" s="2444">
        <f t="shared" si="4"/>
        <v>308.20314391798104</v>
      </c>
      <c r="G21" s="2438">
        <v>2019</v>
      </c>
      <c r="H21" s="2445">
        <v>1</v>
      </c>
      <c r="I21" s="2445">
        <v>0.6</v>
      </c>
      <c r="J21" s="2445">
        <v>0.37</v>
      </c>
      <c r="K21" s="2445">
        <v>0.63</v>
      </c>
      <c r="L21" s="2451">
        <v>1.1299999999999999</v>
      </c>
      <c r="M21" s="2441"/>
      <c r="N21" s="2446">
        <f t="shared" si="5"/>
        <v>6.0000000000000001E-3</v>
      </c>
      <c r="O21" s="2442">
        <f t="shared" si="6"/>
        <v>3.7000000000000002E-3</v>
      </c>
      <c r="P21" s="2442">
        <f t="shared" si="7"/>
        <v>6.3E-3</v>
      </c>
      <c r="Q21" s="2442">
        <f t="shared" si="8"/>
        <v>1.1299999999999999E-2</v>
      </c>
      <c r="R21" s="2447"/>
      <c r="S21" s="2448">
        <f>B21/B22-1</f>
        <v>6.0000000000000053E-3</v>
      </c>
      <c r="T21" s="2449">
        <f>C21/C22-1</f>
        <v>3.7000000000000366E-3</v>
      </c>
      <c r="U21" s="2449">
        <f>E21/E22-1</f>
        <v>6.2999999999999723E-3</v>
      </c>
      <c r="V21" s="2449">
        <f>F21/F22-1</f>
        <v>1.1300000000000088E-2</v>
      </c>
      <c r="W21" s="2441"/>
      <c r="X21" s="2441">
        <f>ROUND(IF(项目基本情况!B8="出让",SUMPRODUCT(PRODUCT(1+N21:N$41)),SUMPRODUCT(PRODUCT(1+N21:N$40))),4)</f>
        <v>1.5189999999999999</v>
      </c>
      <c r="Y21" s="2441">
        <f>ROUND(IF(项目基本情况!B8="出让",SUMPRODUCT(PRODUCT(1+O21:O$41)),SUMPRODUCT(PRODUCT(1+O21:O$40))),4)</f>
        <v>1.3423</v>
      </c>
      <c r="Z21" s="2441">
        <f t="shared" si="9"/>
        <v>1.3423</v>
      </c>
      <c r="AA21" s="2441">
        <f>ROUND(IF(项目基本情况!B8="出让",SUMPRODUCT(PRODUCT(1+P21:P$41)),SUMPRODUCT(PRODUCT(1+P21:P$40))),4)</f>
        <v>1.5782</v>
      </c>
      <c r="AB21" s="2441">
        <f>ROUND(IF(项目基本情况!B8="出让",SUMPRODUCT(PRODUCT(1+Q21:Q$41)),SUMPRODUCT(PRODUCT(1+Q21:Q$40))),4)</f>
        <v>1.3405</v>
      </c>
      <c r="AC21" s="2441"/>
      <c r="AD21" s="2442">
        <f>ROUND(AVERAGE(I21:I$41)/100,4)</f>
        <v>2.1600000000000001E-2</v>
      </c>
      <c r="AE21" s="2442">
        <f>ROUND(AVERAGE(J21:J$41)/100,4)</f>
        <v>1.5299999999999999E-2</v>
      </c>
      <c r="AF21" s="2442">
        <f t="shared" si="10"/>
        <v>1.5299999999999999E-2</v>
      </c>
      <c r="AG21" s="2442">
        <f>ROUND(AVERAGE(K21:K$41)/100,4)</f>
        <v>2.3699999999999999E-2</v>
      </c>
      <c r="AH21" s="2442">
        <f>ROUND(AVERAGE(L21:L$41)/100,4)</f>
        <v>1.47E-2</v>
      </c>
    </row>
    <row r="22" spans="1:34" s="2450" customFormat="1">
      <c r="A22" s="2443" t="s">
        <v>2244</v>
      </c>
      <c r="B22" s="2454">
        <f t="shared" si="11"/>
        <v>464.37293017158942</v>
      </c>
      <c r="C22" s="2454">
        <f t="shared" si="12"/>
        <v>344.73679941385956</v>
      </c>
      <c r="D22" s="2454">
        <f t="shared" si="2"/>
        <v>344.73679941385956</v>
      </c>
      <c r="E22" s="2454">
        <f t="shared" si="3"/>
        <v>663.2377795103107</v>
      </c>
      <c r="F22" s="2455">
        <f t="shared" si="4"/>
        <v>304.75936311478398</v>
      </c>
      <c r="G22" s="3686">
        <v>2018</v>
      </c>
      <c r="H22" s="2452">
        <v>4</v>
      </c>
      <c r="I22" s="2452">
        <v>0.96</v>
      </c>
      <c r="J22" s="2452">
        <v>1.03</v>
      </c>
      <c r="K22" s="2452">
        <v>0.92</v>
      </c>
      <c r="L22" s="2453">
        <v>1.29</v>
      </c>
      <c r="M22" s="2441"/>
      <c r="N22" s="2446">
        <f t="shared" si="5"/>
        <v>9.5999999999999992E-3</v>
      </c>
      <c r="O22" s="2442">
        <f t="shared" si="6"/>
        <v>1.03E-2</v>
      </c>
      <c r="P22" s="2442">
        <f t="shared" si="7"/>
        <v>9.1999999999999998E-3</v>
      </c>
      <c r="Q22" s="2442">
        <f t="shared" si="8"/>
        <v>1.29E-2</v>
      </c>
      <c r="R22" s="2447"/>
      <c r="S22" s="2456"/>
      <c r="T22" s="2457"/>
      <c r="U22" s="2457"/>
      <c r="V22" s="2457"/>
      <c r="W22" s="2441"/>
      <c r="X22" s="2441">
        <f>ROUND(SUMPRODUCT(PRODUCT(1+N22:N$40)),4)</f>
        <v>1.5099</v>
      </c>
      <c r="Y22" s="2441">
        <f>ROUND(SUMPRODUCT(PRODUCT(1+O22:O$40)),4)</f>
        <v>1.3372999999999999</v>
      </c>
      <c r="Z22" s="2441">
        <f t="shared" si="9"/>
        <v>1.3372999999999999</v>
      </c>
      <c r="AA22" s="2441">
        <f>ROUND(SUMPRODUCT(PRODUCT(1+P22:P$40)),4)</f>
        <v>1.5683</v>
      </c>
      <c r="AB22" s="2441">
        <f>ROUND(SUMPRODUCT(PRODUCT(1+Q22:Q$40)),4)</f>
        <v>1.3255999999999999</v>
      </c>
      <c r="AC22" s="2441"/>
      <c r="AD22" s="2442">
        <f>ROUND(AVERAGE(I22:I$41)/100,4)</f>
        <v>2.24E-2</v>
      </c>
      <c r="AE22" s="2442">
        <f>ROUND(AVERAGE(J22:J$41)/100,4)</f>
        <v>1.5800000000000002E-2</v>
      </c>
      <c r="AF22" s="2442">
        <f t="shared" si="10"/>
        <v>1.5800000000000002E-2</v>
      </c>
      <c r="AG22" s="2442">
        <f>ROUND(AVERAGE(K22:K$41)/100,4)</f>
        <v>2.4500000000000001E-2</v>
      </c>
      <c r="AH22" s="2442">
        <f>ROUND(AVERAGE(L22:L$41)/100,4)</f>
        <v>1.49E-2</v>
      </c>
    </row>
    <row r="23" spans="1:34" s="2450" customFormat="1" ht="14.45" customHeight="1">
      <c r="A23" s="2443" t="s">
        <v>2237</v>
      </c>
      <c r="B23" s="2444">
        <f t="shared" si="11"/>
        <v>459.95733971036987</v>
      </c>
      <c r="C23" s="2444">
        <f t="shared" si="12"/>
        <v>341.22221064422405</v>
      </c>
      <c r="D23" s="2444">
        <f t="shared" si="2"/>
        <v>341.22221064422405</v>
      </c>
      <c r="E23" s="2444">
        <f t="shared" si="3"/>
        <v>657.19161663724799</v>
      </c>
      <c r="F23" s="2444">
        <f t="shared" si="4"/>
        <v>300.87803644464805</v>
      </c>
      <c r="G23" s="3686"/>
      <c r="H23" s="2445">
        <v>3</v>
      </c>
      <c r="I23" s="2445">
        <v>1.51</v>
      </c>
      <c r="J23" s="2445">
        <v>1.41</v>
      </c>
      <c r="K23" s="2445">
        <v>1.52</v>
      </c>
      <c r="L23" s="2451">
        <v>1.74</v>
      </c>
      <c r="M23" s="2441"/>
      <c r="N23" s="2446">
        <f t="shared" si="5"/>
        <v>1.5100000000000001E-2</v>
      </c>
      <c r="O23" s="2442">
        <f t="shared" si="6"/>
        <v>1.41E-2</v>
      </c>
      <c r="P23" s="2442">
        <f t="shared" si="7"/>
        <v>1.52E-2</v>
      </c>
      <c r="Q23" s="2442">
        <f t="shared" si="8"/>
        <v>1.7399999999999999E-2</v>
      </c>
      <c r="R23" s="2447"/>
      <c r="S23" s="2446"/>
      <c r="T23" s="2442"/>
      <c r="U23" s="2442"/>
      <c r="V23" s="2442"/>
      <c r="W23" s="2441"/>
      <c r="X23" s="2441">
        <f>ROUND(SUMPRODUCT(PRODUCT(1+N23:N$40)),4)</f>
        <v>1.4956</v>
      </c>
      <c r="Y23" s="2441">
        <f>ROUND(SUMPRODUCT(PRODUCT(1+O23:O$40)),4)</f>
        <v>1.3237000000000001</v>
      </c>
      <c r="Z23" s="2441">
        <f t="shared" si="9"/>
        <v>1.3237000000000001</v>
      </c>
      <c r="AA23" s="2441">
        <f>ROUND(SUMPRODUCT(PRODUCT(1+P23:P$40)),4)</f>
        <v>1.554</v>
      </c>
      <c r="AB23" s="2441">
        <f>ROUND(SUMPRODUCT(PRODUCT(1+Q23:Q$40)),4)</f>
        <v>1.3087</v>
      </c>
      <c r="AC23" s="2441"/>
      <c r="AD23" s="2442">
        <f>ROUND(AVERAGE(I23:I$41)/100,4)</f>
        <v>2.3099999999999999E-2</v>
      </c>
      <c r="AE23" s="2442">
        <f>ROUND(AVERAGE(J23:J$41)/100,4)</f>
        <v>1.61E-2</v>
      </c>
      <c r="AF23" s="2442">
        <f t="shared" si="10"/>
        <v>1.61E-2</v>
      </c>
      <c r="AG23" s="2442">
        <f>ROUND(AVERAGE(K23:K$41)/100,4)</f>
        <v>2.53E-2</v>
      </c>
      <c r="AH23" s="2442">
        <f>ROUND(AVERAGE(L23:L$41)/100,4)</f>
        <v>1.4999999999999999E-2</v>
      </c>
    </row>
    <row r="24" spans="1:34" s="2450" customFormat="1" ht="14.45" customHeight="1">
      <c r="A24" s="2443" t="s">
        <v>2238</v>
      </c>
      <c r="B24" s="2444">
        <f t="shared" si="11"/>
        <v>453.11529869999993</v>
      </c>
      <c r="C24" s="2444">
        <f t="shared" si="12"/>
        <v>336.47787264000004</v>
      </c>
      <c r="D24" s="2444">
        <f t="shared" si="2"/>
        <v>336.47787264000004</v>
      </c>
      <c r="E24" s="2444">
        <f t="shared" si="3"/>
        <v>647.35186823999993</v>
      </c>
      <c r="F24" s="2444">
        <f t="shared" si="4"/>
        <v>295.73229452000004</v>
      </c>
      <c r="G24" s="3686"/>
      <c r="H24" s="2458">
        <v>2</v>
      </c>
      <c r="I24" s="2458">
        <v>1.49</v>
      </c>
      <c r="J24" s="2458">
        <v>0.96</v>
      </c>
      <c r="K24" s="2458">
        <v>1.58</v>
      </c>
      <c r="L24" s="2459">
        <v>2.44</v>
      </c>
      <c r="M24" s="2441"/>
      <c r="N24" s="2446">
        <f t="shared" si="5"/>
        <v>1.49E-2</v>
      </c>
      <c r="O24" s="2442">
        <f t="shared" si="6"/>
        <v>9.5999999999999992E-3</v>
      </c>
      <c r="P24" s="2442">
        <f t="shared" si="7"/>
        <v>1.5800000000000002E-2</v>
      </c>
      <c r="Q24" s="2442">
        <f t="shared" si="8"/>
        <v>2.4399999999999998E-2</v>
      </c>
      <c r="R24" s="2447"/>
      <c r="S24" s="2446"/>
      <c r="T24" s="2442"/>
      <c r="U24" s="2442"/>
      <c r="V24" s="2442"/>
      <c r="W24" s="2441"/>
      <c r="X24" s="2441">
        <f>ROUND(SUMPRODUCT(PRODUCT(1+N24:N$40)),4)</f>
        <v>1.4733000000000001</v>
      </c>
      <c r="Y24" s="2441">
        <f>ROUND(SUMPRODUCT(PRODUCT(1+O24:O$40)),4)</f>
        <v>1.3052999999999999</v>
      </c>
      <c r="Z24" s="2441">
        <f t="shared" si="9"/>
        <v>1.3052999999999999</v>
      </c>
      <c r="AA24" s="2441">
        <f>ROUND(SUMPRODUCT(PRODUCT(1+P24:P$40)),4)</f>
        <v>1.5306999999999999</v>
      </c>
      <c r="AB24" s="2441">
        <f>ROUND(SUMPRODUCT(PRODUCT(1+Q24:Q$40)),4)</f>
        <v>1.2863</v>
      </c>
      <c r="AC24" s="2441"/>
      <c r="AD24" s="2442">
        <f>ROUND(AVERAGE(I24:I$41)/100,4)</f>
        <v>2.35E-2</v>
      </c>
      <c r="AE24" s="2442">
        <f>ROUND(AVERAGE(J24:J$41)/100,4)</f>
        <v>1.6199999999999999E-2</v>
      </c>
      <c r="AF24" s="2442">
        <f t="shared" si="10"/>
        <v>1.6199999999999999E-2</v>
      </c>
      <c r="AG24" s="2442">
        <f>ROUND(AVERAGE(K24:K$41)/100,4)</f>
        <v>2.5899999999999999E-2</v>
      </c>
      <c r="AH24" s="2442">
        <f>ROUND(AVERAGE(L24:L$41)/100,4)</f>
        <v>1.49E-2</v>
      </c>
    </row>
    <row r="25" spans="1:34" s="2450" customFormat="1" ht="15" customHeight="1" thickBot="1">
      <c r="A25" s="2443" t="s">
        <v>2234</v>
      </c>
      <c r="B25" s="2444">
        <f t="shared" si="11"/>
        <v>446.46299999999997</v>
      </c>
      <c r="C25" s="2444">
        <f t="shared" si="12"/>
        <v>333.27840000000003</v>
      </c>
      <c r="D25" s="2444">
        <f t="shared" ref="D25:D30" si="13">C25</f>
        <v>333.27840000000003</v>
      </c>
      <c r="E25" s="2444">
        <f t="shared" si="3"/>
        <v>637.28279999999995</v>
      </c>
      <c r="F25" s="2444">
        <f t="shared" si="4"/>
        <v>288.68830000000003</v>
      </c>
      <c r="G25" s="3692"/>
      <c r="H25" s="2445">
        <v>1</v>
      </c>
      <c r="I25" s="2445">
        <v>1.7</v>
      </c>
      <c r="J25" s="2445">
        <v>1.92</v>
      </c>
      <c r="K25" s="2445">
        <v>1.64</v>
      </c>
      <c r="L25" s="2451">
        <v>2.0099999999999998</v>
      </c>
      <c r="M25" s="2441"/>
      <c r="N25" s="2446">
        <f t="shared" ref="N25:N30" si="14">I25/100</f>
        <v>1.7000000000000001E-2</v>
      </c>
      <c r="O25" s="2442">
        <f t="shared" ref="O25:Q29" si="15">J25/100</f>
        <v>1.9199999999999998E-2</v>
      </c>
      <c r="P25" s="2442">
        <f t="shared" si="15"/>
        <v>1.6399999999999998E-2</v>
      </c>
      <c r="Q25" s="2442">
        <f t="shared" si="15"/>
        <v>2.0099999999999996E-2</v>
      </c>
      <c r="R25" s="2447"/>
      <c r="S25" s="2448">
        <f>B25/B26-1</f>
        <v>1.6999999999999904E-2</v>
      </c>
      <c r="T25" s="2449">
        <f>C25/C26-1</f>
        <v>1.9200000000000106E-2</v>
      </c>
      <c r="U25" s="2449">
        <f>E25/E26-1</f>
        <v>1.639999999999997E-2</v>
      </c>
      <c r="V25" s="2449">
        <f>F25/F26-1</f>
        <v>2.0100000000000007E-2</v>
      </c>
      <c r="W25" s="2441"/>
      <c r="X25" s="2441">
        <f>ROUND(SUMPRODUCT(PRODUCT(1+N25:N$40)),4)</f>
        <v>1.4517</v>
      </c>
      <c r="Y25" s="2441">
        <f>ROUND(SUMPRODUCT(PRODUCT(1+O25:O$40)),4)</f>
        <v>1.2928999999999999</v>
      </c>
      <c r="Z25" s="2441">
        <f t="shared" si="9"/>
        <v>1.2928999999999999</v>
      </c>
      <c r="AA25" s="2441">
        <f>ROUND(SUMPRODUCT(PRODUCT(1+P25:P$40)),4)</f>
        <v>1.5068999999999999</v>
      </c>
      <c r="AB25" s="2441">
        <f>ROUND(SUMPRODUCT(PRODUCT(1+Q25:Q$40)),4)</f>
        <v>1.2557</v>
      </c>
      <c r="AC25" s="2441"/>
      <c r="AD25" s="2442">
        <f>ROUND(AVERAGE(I25:I$41)/100,4)</f>
        <v>2.4E-2</v>
      </c>
      <c r="AE25" s="2442">
        <f>ROUND(AVERAGE(J25:J$41)/100,4)</f>
        <v>1.66E-2</v>
      </c>
      <c r="AF25" s="2442">
        <f t="shared" si="10"/>
        <v>1.66E-2</v>
      </c>
      <c r="AG25" s="2442">
        <f>ROUND(AVERAGE(K25:K$41)/100,4)</f>
        <v>2.6499999999999999E-2</v>
      </c>
      <c r="AH25" s="2442">
        <f>ROUND(AVERAGE(L25:L$41)/100,4)</f>
        <v>1.43E-2</v>
      </c>
    </row>
    <row r="26" spans="1:34">
      <c r="A26" s="2443" t="s">
        <v>2227</v>
      </c>
      <c r="B26" s="2454">
        <v>439</v>
      </c>
      <c r="C26" s="2454">
        <v>327</v>
      </c>
      <c r="D26" s="2454">
        <f t="shared" si="13"/>
        <v>327</v>
      </c>
      <c r="E26" s="2454">
        <v>627</v>
      </c>
      <c r="F26" s="2455">
        <v>283</v>
      </c>
      <c r="G26" s="3691">
        <v>2017</v>
      </c>
      <c r="H26" s="2452">
        <v>4</v>
      </c>
      <c r="I26" s="2452">
        <v>1.71</v>
      </c>
      <c r="J26" s="2452">
        <v>1.78</v>
      </c>
      <c r="K26" s="2452">
        <v>1.71</v>
      </c>
      <c r="L26" s="2453">
        <v>1.43</v>
      </c>
      <c r="N26" s="2460">
        <f t="shared" si="14"/>
        <v>1.7100000000000001E-2</v>
      </c>
      <c r="O26" s="2461">
        <f t="shared" si="15"/>
        <v>1.78E-2</v>
      </c>
      <c r="P26" s="2461">
        <f t="shared" si="15"/>
        <v>1.7100000000000001E-2</v>
      </c>
      <c r="Q26" s="2461">
        <f t="shared" si="15"/>
        <v>1.43E-2</v>
      </c>
      <c r="R26" s="2447"/>
      <c r="S26" s="2456"/>
      <c r="T26" s="2457"/>
      <c r="U26" s="2457"/>
      <c r="V26" s="2457"/>
      <c r="X26" s="2441">
        <f>ROUND(SUMPRODUCT(PRODUCT(1+N26:N$40)),4)</f>
        <v>1.4274</v>
      </c>
      <c r="Y26" s="2441">
        <f>ROUND(SUMPRODUCT(PRODUCT(1+O26:O$40)),4)</f>
        <v>1.2685</v>
      </c>
      <c r="Z26" s="2441">
        <f t="shared" si="9"/>
        <v>1.2685</v>
      </c>
      <c r="AA26" s="2441">
        <f>ROUND(SUMPRODUCT(PRODUCT(1+P26:P$40)),4)</f>
        <v>1.4825999999999999</v>
      </c>
      <c r="AB26" s="2441">
        <f>ROUND(SUMPRODUCT(PRODUCT(1+Q26:Q$40)),4)</f>
        <v>1.2309000000000001</v>
      </c>
      <c r="AD26" s="2442">
        <f>ROUND(AVERAGE(I26:I$41)/100,4)</f>
        <v>2.4500000000000001E-2</v>
      </c>
      <c r="AE26" s="2442">
        <f>ROUND(AVERAGE(J26:J$41)/100,4)</f>
        <v>1.6500000000000001E-2</v>
      </c>
      <c r="AF26" s="2442">
        <f t="shared" si="10"/>
        <v>1.6500000000000001E-2</v>
      </c>
      <c r="AG26" s="2442">
        <f>ROUND(AVERAGE(K26:K$41)/100,4)</f>
        <v>2.7099999999999999E-2</v>
      </c>
      <c r="AH26" s="2442">
        <f>ROUND(AVERAGE(L26:L$41)/100,4)</f>
        <v>1.3899999999999999E-2</v>
      </c>
    </row>
    <row r="27" spans="1:34" s="2450" customFormat="1" ht="14.45" customHeight="1">
      <c r="A27" s="2443" t="s">
        <v>2229</v>
      </c>
      <c r="B27" s="2444">
        <f t="shared" ref="B27:C29" si="16">B28*(1+N27)</f>
        <v>431.80730811680002</v>
      </c>
      <c r="C27" s="2444">
        <f t="shared" si="16"/>
        <v>320.57880516480003</v>
      </c>
      <c r="D27" s="2444">
        <f t="shared" si="13"/>
        <v>320.57880516480003</v>
      </c>
      <c r="E27" s="2444">
        <f t="shared" ref="E27:F29" si="17">E28*(1+P27)</f>
        <v>615.96110553196797</v>
      </c>
      <c r="F27" s="2444">
        <f t="shared" si="17"/>
        <v>279.46777300108801</v>
      </c>
      <c r="G27" s="3686"/>
      <c r="H27" s="2445">
        <v>3</v>
      </c>
      <c r="I27" s="2445">
        <v>2.98</v>
      </c>
      <c r="J27" s="2445">
        <v>2.11</v>
      </c>
      <c r="K27" s="2445">
        <v>3.24</v>
      </c>
      <c r="L27" s="2451">
        <v>1.72</v>
      </c>
      <c r="M27" s="2441"/>
      <c r="N27" s="2446">
        <f t="shared" si="14"/>
        <v>2.98E-2</v>
      </c>
      <c r="O27" s="2442">
        <f t="shared" si="15"/>
        <v>2.1099999999999997E-2</v>
      </c>
      <c r="P27" s="2442">
        <f t="shared" si="15"/>
        <v>3.2400000000000005E-2</v>
      </c>
      <c r="Q27" s="2442">
        <f t="shared" si="15"/>
        <v>1.72E-2</v>
      </c>
      <c r="R27" s="2447"/>
      <c r="S27" s="2446"/>
      <c r="T27" s="2442"/>
      <c r="U27" s="2442"/>
      <c r="V27" s="2442"/>
      <c r="W27" s="2441"/>
      <c r="X27" s="2441">
        <f>ROUND(SUMPRODUCT(PRODUCT(1+N27:N$40)),4)</f>
        <v>1.4034</v>
      </c>
      <c r="Y27" s="2441">
        <f>ROUND(SUMPRODUCT(PRODUCT(1+O27:O$40)),4)</f>
        <v>1.2463</v>
      </c>
      <c r="Z27" s="2441">
        <f t="shared" si="9"/>
        <v>1.2463</v>
      </c>
      <c r="AA27" s="2441">
        <f>ROUND(SUMPRODUCT(PRODUCT(1+P27:P$40)),4)</f>
        <v>1.4577</v>
      </c>
      <c r="AB27" s="2441">
        <f>ROUND(SUMPRODUCT(PRODUCT(1+Q27:Q$40)),4)</f>
        <v>1.2136</v>
      </c>
      <c r="AC27" s="2441"/>
      <c r="AD27" s="2442">
        <f>ROUND(AVERAGE(I27:I$41)/100,4)</f>
        <v>2.4899999999999999E-2</v>
      </c>
      <c r="AE27" s="2442">
        <f>ROUND(AVERAGE(J27:J$41)/100,4)</f>
        <v>1.6400000000000001E-2</v>
      </c>
      <c r="AF27" s="2442">
        <f t="shared" si="10"/>
        <v>1.6400000000000001E-2</v>
      </c>
      <c r="AG27" s="2442">
        <f>ROUND(AVERAGE(K27:K$41)/100,4)</f>
        <v>2.7799999999999998E-2</v>
      </c>
      <c r="AH27" s="2442">
        <f>ROUND(AVERAGE(L27:L$41)/100,4)</f>
        <v>1.3899999999999999E-2</v>
      </c>
    </row>
    <row r="28" spans="1:34" s="2422" customFormat="1" ht="14.45" customHeight="1">
      <c r="A28" s="2443" t="s">
        <v>1863</v>
      </c>
      <c r="B28" s="2444">
        <f t="shared" si="16"/>
        <v>419.31181600000002</v>
      </c>
      <c r="C28" s="2444">
        <f t="shared" si="16"/>
        <v>313.95436800000004</v>
      </c>
      <c r="D28" s="2444">
        <f t="shared" si="13"/>
        <v>313.95436800000004</v>
      </c>
      <c r="E28" s="2444">
        <f t="shared" si="17"/>
        <v>596.63028431999999</v>
      </c>
      <c r="F28" s="2444">
        <f t="shared" si="17"/>
        <v>274.74220703999998</v>
      </c>
      <c r="G28" s="3686"/>
      <c r="H28" s="2458">
        <v>2</v>
      </c>
      <c r="I28" s="2458">
        <v>3.4</v>
      </c>
      <c r="J28" s="2458">
        <v>2</v>
      </c>
      <c r="K28" s="2458">
        <v>3.82</v>
      </c>
      <c r="L28" s="2459">
        <v>1.68</v>
      </c>
      <c r="N28" s="2446">
        <f t="shared" si="14"/>
        <v>3.4000000000000002E-2</v>
      </c>
      <c r="O28" s="2442">
        <f t="shared" si="15"/>
        <v>0.02</v>
      </c>
      <c r="P28" s="2442">
        <f t="shared" si="15"/>
        <v>3.8199999999999998E-2</v>
      </c>
      <c r="Q28" s="2442">
        <f t="shared" si="15"/>
        <v>1.6799999999999999E-2</v>
      </c>
      <c r="S28" s="2446"/>
      <c r="T28" s="2442"/>
      <c r="U28" s="2442"/>
      <c r="V28" s="2442"/>
      <c r="X28" s="2441">
        <f>ROUND(SUMPRODUCT(PRODUCT(1+N28:N$40)),4)</f>
        <v>1.3628</v>
      </c>
      <c r="Y28" s="2441">
        <f>ROUND(SUMPRODUCT(PRODUCT(1+O28:O$40)),4)</f>
        <v>1.2205999999999999</v>
      </c>
      <c r="Z28" s="2441">
        <f t="shared" si="9"/>
        <v>1.2205999999999999</v>
      </c>
      <c r="AA28" s="2441">
        <f>ROUND(SUMPRODUCT(PRODUCT(1+P28:P$40)),4)</f>
        <v>1.4118999999999999</v>
      </c>
      <c r="AB28" s="2441">
        <f>ROUND(SUMPRODUCT(PRODUCT(1+Q28:Q$40)),4)</f>
        <v>1.1930000000000001</v>
      </c>
      <c r="AD28" s="2442">
        <f>ROUND(AVERAGE(I28:I$41)/100,4)</f>
        <v>2.46E-2</v>
      </c>
      <c r="AE28" s="2442">
        <f>ROUND(AVERAGE(J28:J$41)/100,4)</f>
        <v>1.6E-2</v>
      </c>
      <c r="AF28" s="2442">
        <f t="shared" si="10"/>
        <v>1.6E-2</v>
      </c>
      <c r="AG28" s="2442">
        <f>ROUND(AVERAGE(K28:K$41)/100,4)</f>
        <v>2.75E-2</v>
      </c>
      <c r="AH28" s="2442">
        <f>ROUND(AVERAGE(L28:L$41)/100,4)</f>
        <v>1.37E-2</v>
      </c>
    </row>
    <row r="29" spans="1:34" s="2450" customFormat="1" ht="15" customHeight="1" thickBot="1">
      <c r="A29" s="2443" t="s">
        <v>1864</v>
      </c>
      <c r="B29" s="2444">
        <f t="shared" si="16"/>
        <v>405.524</v>
      </c>
      <c r="C29" s="2444">
        <f t="shared" si="16"/>
        <v>307.79840000000002</v>
      </c>
      <c r="D29" s="2444">
        <f t="shared" si="13"/>
        <v>307.79840000000002</v>
      </c>
      <c r="E29" s="2444">
        <f t="shared" si="17"/>
        <v>574.67759999999998</v>
      </c>
      <c r="F29" s="2444">
        <f t="shared" si="17"/>
        <v>270.20280000000002</v>
      </c>
      <c r="G29" s="3692"/>
      <c r="H29" s="2445">
        <v>1</v>
      </c>
      <c r="I29" s="2445">
        <v>3.45</v>
      </c>
      <c r="J29" s="2445">
        <v>1.92</v>
      </c>
      <c r="K29" s="2445">
        <v>3.92</v>
      </c>
      <c r="L29" s="2451">
        <v>1.58</v>
      </c>
      <c r="M29" s="2441"/>
      <c r="N29" s="2448">
        <f t="shared" si="14"/>
        <v>3.4500000000000003E-2</v>
      </c>
      <c r="O29" s="2449">
        <f t="shared" si="15"/>
        <v>1.9199999999999998E-2</v>
      </c>
      <c r="P29" s="2449">
        <f t="shared" si="15"/>
        <v>3.9199999999999999E-2</v>
      </c>
      <c r="Q29" s="2449">
        <f t="shared" si="15"/>
        <v>1.5800000000000002E-2</v>
      </c>
      <c r="R29" s="2447"/>
      <c r="S29" s="2448">
        <f>B29/B30-1</f>
        <v>3.4499999999999975E-2</v>
      </c>
      <c r="T29" s="2449">
        <f>C29/C30-1</f>
        <v>1.9200000000000106E-2</v>
      </c>
      <c r="U29" s="2449">
        <f>E29/E30-1</f>
        <v>3.9199999999999902E-2</v>
      </c>
      <c r="V29" s="2449">
        <f>F29/F30-1</f>
        <v>1.5800000000000036E-2</v>
      </c>
      <c r="W29" s="2441"/>
      <c r="X29" s="2441">
        <f>ROUND(SUMPRODUCT(PRODUCT(1+N29:N$40)),4)</f>
        <v>1.3180000000000001</v>
      </c>
      <c r="Y29" s="2441">
        <f>ROUND(SUMPRODUCT(PRODUCT(1+O29:O$40)),4)</f>
        <v>1.1966000000000001</v>
      </c>
      <c r="Z29" s="2441">
        <f t="shared" si="9"/>
        <v>1.1966000000000001</v>
      </c>
      <c r="AA29" s="2441">
        <f>ROUND(SUMPRODUCT(PRODUCT(1+P29:P$40)),4)</f>
        <v>1.36</v>
      </c>
      <c r="AB29" s="2441">
        <f>ROUND(SUMPRODUCT(PRODUCT(1+Q29:Q$40)),4)</f>
        <v>1.1733</v>
      </c>
      <c r="AC29" s="2441"/>
      <c r="AD29" s="2442">
        <f>ROUND(AVERAGE(I29:I$41)/100,4)</f>
        <v>2.3900000000000001E-2</v>
      </c>
      <c r="AE29" s="2442">
        <f>ROUND(AVERAGE(J29:J$41)/100,4)</f>
        <v>1.5699999999999999E-2</v>
      </c>
      <c r="AF29" s="2442">
        <f t="shared" si="10"/>
        <v>1.5699999999999999E-2</v>
      </c>
      <c r="AG29" s="2442">
        <f>ROUND(AVERAGE(K29:K$41)/100,4)</f>
        <v>2.6599999999999999E-2</v>
      </c>
      <c r="AH29" s="2442">
        <f>ROUND(AVERAGE(L29:L$41)/100,4)</f>
        <v>1.34E-2</v>
      </c>
    </row>
    <row r="30" spans="1:34">
      <c r="A30" s="2443" t="s">
        <v>895</v>
      </c>
      <c r="B30" s="2462">
        <v>392</v>
      </c>
      <c r="C30" s="2462">
        <v>302</v>
      </c>
      <c r="D30" s="2462">
        <f t="shared" si="13"/>
        <v>302</v>
      </c>
      <c r="E30" s="2462">
        <v>553</v>
      </c>
      <c r="F30" s="2463">
        <v>266</v>
      </c>
      <c r="G30" s="3691">
        <v>2016</v>
      </c>
      <c r="H30" s="2452">
        <v>4</v>
      </c>
      <c r="I30" s="2452">
        <v>4.5599999999999996</v>
      </c>
      <c r="J30" s="2452">
        <v>2.15</v>
      </c>
      <c r="K30" s="2452">
        <v>5.32</v>
      </c>
      <c r="L30" s="2453">
        <v>1.57</v>
      </c>
      <c r="N30" s="2446">
        <f t="shared" si="14"/>
        <v>4.5599999999999995E-2</v>
      </c>
      <c r="O30" s="2442">
        <f t="shared" ref="O30:Q45" si="18">J30/100</f>
        <v>2.1499999999999998E-2</v>
      </c>
      <c r="P30" s="2442">
        <f t="shared" si="18"/>
        <v>5.3200000000000004E-2</v>
      </c>
      <c r="Q30" s="2442">
        <f t="shared" si="18"/>
        <v>1.5700000000000002E-2</v>
      </c>
      <c r="R30" s="2447"/>
      <c r="S30" s="2456"/>
      <c r="T30" s="2457"/>
      <c r="U30" s="2457"/>
      <c r="V30" s="2457"/>
      <c r="X30" s="2441">
        <f>ROUND(SUMPRODUCT(PRODUCT(1+N30:N$40)),4)</f>
        <v>1.274</v>
      </c>
      <c r="Y30" s="2441">
        <f>ROUND(SUMPRODUCT(PRODUCT(1+O30:O$40)),4)</f>
        <v>1.1740999999999999</v>
      </c>
      <c r="Z30" s="2441">
        <f t="shared" si="9"/>
        <v>1.1740999999999999</v>
      </c>
      <c r="AA30" s="2441">
        <f>ROUND(SUMPRODUCT(PRODUCT(1+P30:P$40)),4)</f>
        <v>1.3087</v>
      </c>
      <c r="AB30" s="2441">
        <f>ROUND(SUMPRODUCT(PRODUCT(1+Q30:Q$40)),4)</f>
        <v>1.1551</v>
      </c>
      <c r="AD30" s="2442">
        <f>ROUND(AVERAGE(I30:I$41)/100,4)</f>
        <v>2.3E-2</v>
      </c>
      <c r="AE30" s="2442">
        <f>ROUND(AVERAGE(J30:J$41)/100,4)</f>
        <v>1.55E-2</v>
      </c>
      <c r="AF30" s="2442">
        <f t="shared" si="10"/>
        <v>1.55E-2</v>
      </c>
      <c r="AG30" s="2442">
        <f>ROUND(AVERAGE(K30:K$41)/100,4)</f>
        <v>2.5600000000000001E-2</v>
      </c>
      <c r="AH30" s="2442">
        <f>ROUND(AVERAGE(L30:L$41)/100,4)</f>
        <v>1.32E-2</v>
      </c>
    </row>
    <row r="31" spans="1:34">
      <c r="A31" s="2443" t="s">
        <v>894</v>
      </c>
      <c r="B31" s="2444">
        <f t="shared" ref="B31:C33" si="19">B30/(1+N30)</f>
        <v>374.90436113236416</v>
      </c>
      <c r="C31" s="2444">
        <f t="shared" si="19"/>
        <v>295.64366128242779</v>
      </c>
      <c r="D31" s="2444">
        <f t="shared" ref="D31:D90" si="20">C31</f>
        <v>295.64366128242779</v>
      </c>
      <c r="E31" s="2444">
        <f t="shared" ref="E31:F33" si="21">E30/(1+P30)</f>
        <v>525.06646410938095</v>
      </c>
      <c r="F31" s="2444">
        <f t="shared" si="21"/>
        <v>261.88835286009646</v>
      </c>
      <c r="G31" s="3686"/>
      <c r="H31" s="2445">
        <v>3</v>
      </c>
      <c r="I31" s="2445">
        <v>4.12</v>
      </c>
      <c r="J31" s="2445">
        <v>2</v>
      </c>
      <c r="K31" s="2445">
        <v>4.79</v>
      </c>
      <c r="L31" s="2451">
        <v>1.97</v>
      </c>
      <c r="N31" s="2446">
        <f t="shared" ref="N31:Q65" si="22">I31/100</f>
        <v>4.1200000000000001E-2</v>
      </c>
      <c r="O31" s="2442">
        <f t="shared" si="18"/>
        <v>0.02</v>
      </c>
      <c r="P31" s="2442">
        <f t="shared" si="18"/>
        <v>4.7899999999999998E-2</v>
      </c>
      <c r="Q31" s="2442">
        <f t="shared" si="18"/>
        <v>1.9699999999999999E-2</v>
      </c>
      <c r="R31" s="2447"/>
      <c r="S31" s="2446"/>
      <c r="T31" s="2442"/>
      <c r="U31" s="2442"/>
      <c r="V31" s="2442"/>
      <c r="X31" s="2441">
        <f>ROUND(SUMPRODUCT(PRODUCT(1+N31:N$40)),4)</f>
        <v>1.2184999999999999</v>
      </c>
      <c r="Y31" s="2441">
        <f>ROUND(SUMPRODUCT(PRODUCT(1+O31:O$40)),4)</f>
        <v>1.1494</v>
      </c>
      <c r="Z31" s="2441">
        <f t="shared" si="9"/>
        <v>1.1494</v>
      </c>
      <c r="AA31" s="2441">
        <f>ROUND(SUMPRODUCT(PRODUCT(1+P31:P$40)),4)</f>
        <v>1.2425999999999999</v>
      </c>
      <c r="AB31" s="2441">
        <f>ROUND(SUMPRODUCT(PRODUCT(1+Q31:Q$40)),4)</f>
        <v>1.1372</v>
      </c>
      <c r="AD31" s="2442">
        <f>ROUND(AVERAGE(I31:I$41)/100,4)</f>
        <v>2.0899999999999998E-2</v>
      </c>
      <c r="AE31" s="2442">
        <f>ROUND(AVERAGE(J31:J$41)/100,4)</f>
        <v>1.49E-2</v>
      </c>
      <c r="AF31" s="2442">
        <f t="shared" si="10"/>
        <v>1.49E-2</v>
      </c>
      <c r="AG31" s="2442">
        <f>ROUND(AVERAGE(K31:K$41)/100,4)</f>
        <v>2.3099999999999999E-2</v>
      </c>
      <c r="AH31" s="2442">
        <f>ROUND(AVERAGE(L31:L$41)/100,4)</f>
        <v>1.2999999999999999E-2</v>
      </c>
    </row>
    <row r="32" spans="1:34">
      <c r="A32" s="2443" t="s">
        <v>884</v>
      </c>
      <c r="B32" s="2444">
        <f t="shared" si="19"/>
        <v>360.06949782209392</v>
      </c>
      <c r="C32" s="2444">
        <f t="shared" si="19"/>
        <v>289.84672674747821</v>
      </c>
      <c r="D32" s="2444">
        <f t="shared" si="20"/>
        <v>289.84672674747821</v>
      </c>
      <c r="E32" s="2444">
        <f t="shared" si="21"/>
        <v>501.06543001181495</v>
      </c>
      <c r="F32" s="2444">
        <f t="shared" si="21"/>
        <v>256.82882500744967</v>
      </c>
      <c r="G32" s="3686"/>
      <c r="H32" s="2458">
        <v>2</v>
      </c>
      <c r="I32" s="2458">
        <v>3.85</v>
      </c>
      <c r="J32" s="2458">
        <v>1.95</v>
      </c>
      <c r="K32" s="2458">
        <v>4.4800000000000004</v>
      </c>
      <c r="L32" s="2459">
        <v>1.41</v>
      </c>
      <c r="N32" s="2446">
        <f t="shared" si="22"/>
        <v>3.85E-2</v>
      </c>
      <c r="O32" s="2442">
        <f t="shared" si="18"/>
        <v>1.95E-2</v>
      </c>
      <c r="P32" s="2442">
        <f t="shared" si="18"/>
        <v>4.4800000000000006E-2</v>
      </c>
      <c r="Q32" s="2442">
        <f t="shared" si="18"/>
        <v>1.41E-2</v>
      </c>
      <c r="R32" s="2447"/>
      <c r="S32" s="2446"/>
      <c r="T32" s="2442"/>
      <c r="U32" s="2442"/>
      <c r="V32" s="2442"/>
      <c r="X32" s="2441">
        <f>ROUND(SUMPRODUCT(PRODUCT(1+N32:N$40)),4)</f>
        <v>1.1702999999999999</v>
      </c>
      <c r="Y32" s="2441">
        <f>ROUND(SUMPRODUCT(PRODUCT(1+O32:O$40)),4)</f>
        <v>1.1269</v>
      </c>
      <c r="Z32" s="2441">
        <f t="shared" si="9"/>
        <v>1.1269</v>
      </c>
      <c r="AA32" s="2441">
        <f>ROUND(SUMPRODUCT(PRODUCT(1+P32:P$40)),4)</f>
        <v>1.1858</v>
      </c>
      <c r="AB32" s="2441">
        <f>ROUND(SUMPRODUCT(PRODUCT(1+Q32:Q$40)),4)</f>
        <v>1.1152</v>
      </c>
      <c r="AD32" s="2442">
        <f>ROUND(AVERAGE(I32:I$41)/100,4)</f>
        <v>1.89E-2</v>
      </c>
      <c r="AE32" s="2442">
        <f>ROUND(AVERAGE(J32:J$41)/100,4)</f>
        <v>1.44E-2</v>
      </c>
      <c r="AF32" s="2442">
        <f t="shared" si="10"/>
        <v>1.44E-2</v>
      </c>
      <c r="AG32" s="2442">
        <f>ROUND(AVERAGE(K32:K$41)/100,4)</f>
        <v>2.06E-2</v>
      </c>
      <c r="AH32" s="2442">
        <f>ROUND(AVERAGE(L32:L$41)/100,4)</f>
        <v>1.23E-2</v>
      </c>
    </row>
    <row r="33" spans="1:34" ht="13.5" thickBot="1">
      <c r="A33" s="2443" t="s">
        <v>893</v>
      </c>
      <c r="B33" s="2444">
        <f t="shared" si="19"/>
        <v>346.720748986128</v>
      </c>
      <c r="C33" s="2444">
        <f t="shared" si="19"/>
        <v>284.30282172386285</v>
      </c>
      <c r="D33" s="2444">
        <f t="shared" si="20"/>
        <v>284.30282172386285</v>
      </c>
      <c r="E33" s="2444">
        <f t="shared" si="21"/>
        <v>479.58023546306947</v>
      </c>
      <c r="F33" s="2444">
        <f t="shared" si="21"/>
        <v>253.25788877571213</v>
      </c>
      <c r="G33" s="3687"/>
      <c r="H33" s="2445">
        <v>1</v>
      </c>
      <c r="I33" s="2445">
        <v>4.09</v>
      </c>
      <c r="J33" s="2445">
        <v>2.93</v>
      </c>
      <c r="K33" s="2445">
        <v>4.54</v>
      </c>
      <c r="L33" s="2451">
        <v>1.48</v>
      </c>
      <c r="N33" s="2446">
        <f t="shared" si="22"/>
        <v>4.0899999999999999E-2</v>
      </c>
      <c r="O33" s="2442">
        <f t="shared" si="18"/>
        <v>2.9300000000000003E-2</v>
      </c>
      <c r="P33" s="2442">
        <f t="shared" si="18"/>
        <v>4.5400000000000003E-2</v>
      </c>
      <c r="Q33" s="2442">
        <f t="shared" si="18"/>
        <v>1.4800000000000001E-2</v>
      </c>
      <c r="R33" s="2447"/>
      <c r="S33" s="2448">
        <f>B33/B34-1</f>
        <v>4.1203450408792808E-2</v>
      </c>
      <c r="T33" s="2449">
        <f>C33/C34-1</f>
        <v>2.6363977342465095E-2</v>
      </c>
      <c r="U33" s="2449">
        <f>E33/E34-1</f>
        <v>4.4837114298626357E-2</v>
      </c>
      <c r="V33" s="2449">
        <f>F33/F34-1</f>
        <v>1.7099954922538574E-2</v>
      </c>
      <c r="X33" s="2441">
        <f>ROUND(SUMPRODUCT(PRODUCT(1+N33:N$40)),4)</f>
        <v>1.1269</v>
      </c>
      <c r="Y33" s="2441">
        <f>ROUND(SUMPRODUCT(PRODUCT(1+O33:O$40)),4)</f>
        <v>1.1052999999999999</v>
      </c>
      <c r="Z33" s="2441">
        <f t="shared" si="9"/>
        <v>1.1052999999999999</v>
      </c>
      <c r="AA33" s="2441">
        <f>ROUND(SUMPRODUCT(PRODUCT(1+P33:P$40)),4)</f>
        <v>1.1349</v>
      </c>
      <c r="AB33" s="2441">
        <f>ROUND(SUMPRODUCT(PRODUCT(1+Q33:Q$40)),4)</f>
        <v>1.0996999999999999</v>
      </c>
      <c r="AD33" s="2442">
        <f>ROUND(AVERAGE(I33:I$41)/100,4)</f>
        <v>1.67E-2</v>
      </c>
      <c r="AE33" s="2442">
        <f>ROUND(AVERAGE(J33:J$41)/100,4)</f>
        <v>1.38E-2</v>
      </c>
      <c r="AF33" s="2442">
        <f t="shared" si="10"/>
        <v>1.38E-2</v>
      </c>
      <c r="AG33" s="2442">
        <f>ROUND(AVERAGE(K33:K$41)/100,4)</f>
        <v>1.7899999999999999E-2</v>
      </c>
      <c r="AH33" s="2442">
        <f>ROUND(AVERAGE(L33:L$41)/100,4)</f>
        <v>1.21E-2</v>
      </c>
    </row>
    <row r="34" spans="1:34" ht="13.5" thickBot="1">
      <c r="A34" s="2443" t="s">
        <v>892</v>
      </c>
      <c r="B34" s="2462">
        <v>333</v>
      </c>
      <c r="C34" s="2462">
        <v>277</v>
      </c>
      <c r="D34" s="2462">
        <f t="shared" si="20"/>
        <v>277</v>
      </c>
      <c r="E34" s="2462">
        <v>459</v>
      </c>
      <c r="F34" s="2463">
        <v>249</v>
      </c>
      <c r="G34" s="3685">
        <v>2015</v>
      </c>
      <c r="H34" s="2464">
        <v>4</v>
      </c>
      <c r="I34" s="2464">
        <v>1.63</v>
      </c>
      <c r="J34" s="2464">
        <v>1.1100000000000001</v>
      </c>
      <c r="K34" s="2464">
        <v>1.77</v>
      </c>
      <c r="L34" s="2465">
        <v>1.89</v>
      </c>
      <c r="N34" s="2460">
        <f t="shared" si="22"/>
        <v>1.6299999999999999E-2</v>
      </c>
      <c r="O34" s="2461">
        <f t="shared" si="18"/>
        <v>1.11E-2</v>
      </c>
      <c r="P34" s="2461">
        <f t="shared" si="18"/>
        <v>1.77E-2</v>
      </c>
      <c r="Q34" s="2461">
        <f t="shared" si="18"/>
        <v>1.89E-2</v>
      </c>
      <c r="R34" s="2447"/>
      <c r="X34" s="2441">
        <f>ROUND(SUMPRODUCT(PRODUCT(1+N34:N$40)),4)</f>
        <v>1.0826</v>
      </c>
      <c r="Y34" s="2441">
        <f>ROUND(SUMPRODUCT(PRODUCT(1+O34:O$40)),4)</f>
        <v>1.0738000000000001</v>
      </c>
      <c r="Z34" s="2441">
        <f t="shared" si="9"/>
        <v>1.0738000000000001</v>
      </c>
      <c r="AA34" s="2441">
        <f>ROUND(SUMPRODUCT(PRODUCT(1+P34:P$40)),4)</f>
        <v>1.0855999999999999</v>
      </c>
      <c r="AB34" s="2441">
        <f>ROUND(SUMPRODUCT(PRODUCT(1+Q34:Q$40)),4)</f>
        <v>1.0837000000000001</v>
      </c>
      <c r="AD34" s="2442">
        <f>ROUND(AVERAGE(I34:I$41)/100,4)</f>
        <v>1.37E-2</v>
      </c>
      <c r="AE34" s="2442">
        <f>ROUND(AVERAGE(J34:J$41)/100,4)</f>
        <v>1.1900000000000001E-2</v>
      </c>
      <c r="AF34" s="2442">
        <f t="shared" si="10"/>
        <v>1.1900000000000001E-2</v>
      </c>
      <c r="AG34" s="2442">
        <f>ROUND(AVERAGE(K34:K$41)/100,4)</f>
        <v>1.4500000000000001E-2</v>
      </c>
      <c r="AH34" s="2442">
        <f>ROUND(AVERAGE(L34:L$41)/100,4)</f>
        <v>1.18E-2</v>
      </c>
    </row>
    <row r="35" spans="1:34">
      <c r="A35" s="2443" t="s">
        <v>891</v>
      </c>
      <c r="B35" s="2444">
        <f t="shared" ref="B35:C37" si="23">B34/(1+N34)</f>
        <v>327.65915576109415</v>
      </c>
      <c r="C35" s="2444">
        <f t="shared" si="23"/>
        <v>273.95905449510434</v>
      </c>
      <c r="D35" s="2444">
        <f t="shared" si="20"/>
        <v>273.95905449510434</v>
      </c>
      <c r="E35" s="2444">
        <f t="shared" ref="E35:F37" si="24">E34/(1+P34)</f>
        <v>451.01699911565294</v>
      </c>
      <c r="F35" s="2444">
        <f t="shared" si="24"/>
        <v>244.38119540681129</v>
      </c>
      <c r="G35" s="3686"/>
      <c r="H35" s="2467">
        <v>3</v>
      </c>
      <c r="I35" s="2467">
        <v>1.65</v>
      </c>
      <c r="J35" s="2467">
        <v>0.92</v>
      </c>
      <c r="K35" s="2467">
        <v>1.88</v>
      </c>
      <c r="L35" s="2468">
        <v>1.26</v>
      </c>
      <c r="N35" s="2446">
        <f t="shared" si="22"/>
        <v>1.6500000000000001E-2</v>
      </c>
      <c r="O35" s="2442">
        <f t="shared" si="18"/>
        <v>9.1999999999999998E-3</v>
      </c>
      <c r="P35" s="2442">
        <f t="shared" si="18"/>
        <v>1.8799999999999997E-2</v>
      </c>
      <c r="Q35" s="2442">
        <f t="shared" si="18"/>
        <v>1.26E-2</v>
      </c>
      <c r="R35" s="2447"/>
      <c r="S35" s="2446"/>
      <c r="T35" s="2442"/>
      <c r="U35" s="2442"/>
      <c r="V35" s="2442"/>
      <c r="X35" s="2441">
        <f>ROUND(SUMPRODUCT(PRODUCT(1+N35:N$40)),4)</f>
        <v>1.0651999999999999</v>
      </c>
      <c r="Y35" s="2441">
        <f>ROUND(SUMPRODUCT(PRODUCT(1+O35:O$40)),4)</f>
        <v>1.0621</v>
      </c>
      <c r="Z35" s="2441">
        <f t="shared" si="9"/>
        <v>1.0621</v>
      </c>
      <c r="AA35" s="2441">
        <f>ROUND(SUMPRODUCT(PRODUCT(1+P35:P$40)),4)</f>
        <v>1.0668</v>
      </c>
      <c r="AB35" s="2441">
        <f>ROUND(SUMPRODUCT(PRODUCT(1+Q35:Q$40)),4)</f>
        <v>1.0636000000000001</v>
      </c>
      <c r="AD35" s="2442">
        <f>ROUND(AVERAGE(I35:I$41)/100,4)</f>
        <v>1.3299999999999999E-2</v>
      </c>
      <c r="AE35" s="2442">
        <f>ROUND(AVERAGE(J35:J$41)/100,4)</f>
        <v>1.2E-2</v>
      </c>
      <c r="AF35" s="2442">
        <f t="shared" si="10"/>
        <v>1.2E-2</v>
      </c>
      <c r="AG35" s="2442">
        <f>ROUND(AVERAGE(K35:K$41)/100,4)</f>
        <v>1.4E-2</v>
      </c>
      <c r="AH35" s="2442">
        <f>ROUND(AVERAGE(L35:L$41)/100,4)</f>
        <v>1.0800000000000001E-2</v>
      </c>
    </row>
    <row r="36" spans="1:34">
      <c r="A36" s="2443" t="s">
        <v>890</v>
      </c>
      <c r="B36" s="2444">
        <f t="shared" si="23"/>
        <v>322.34053690220776</v>
      </c>
      <c r="C36" s="2444">
        <f t="shared" si="23"/>
        <v>271.46160770422546</v>
      </c>
      <c r="D36" s="2444">
        <f t="shared" si="20"/>
        <v>271.46160770422546</v>
      </c>
      <c r="E36" s="2444">
        <f t="shared" si="24"/>
        <v>442.69434542172456</v>
      </c>
      <c r="F36" s="2444">
        <f t="shared" si="24"/>
        <v>241.34030753190925</v>
      </c>
      <c r="G36" s="3686"/>
      <c r="H36" s="2458">
        <v>2</v>
      </c>
      <c r="I36" s="2458">
        <v>0.77</v>
      </c>
      <c r="J36" s="2458">
        <v>0.69</v>
      </c>
      <c r="K36" s="2458">
        <v>0.8</v>
      </c>
      <c r="L36" s="2459">
        <v>0.88</v>
      </c>
      <c r="N36" s="2446">
        <f t="shared" si="22"/>
        <v>7.7000000000000002E-3</v>
      </c>
      <c r="O36" s="2442">
        <f t="shared" si="18"/>
        <v>6.8999999999999999E-3</v>
      </c>
      <c r="P36" s="2442">
        <f t="shared" si="18"/>
        <v>8.0000000000000002E-3</v>
      </c>
      <c r="Q36" s="2442">
        <f t="shared" si="18"/>
        <v>8.8000000000000005E-3</v>
      </c>
      <c r="R36" s="2447"/>
      <c r="S36" s="2446"/>
      <c r="T36" s="2442"/>
      <c r="U36" s="2442"/>
      <c r="V36" s="2442"/>
      <c r="X36" s="2441">
        <f>ROUND(SUMPRODUCT(PRODUCT(1+N36:N$40)),4)</f>
        <v>1.048</v>
      </c>
      <c r="Y36" s="2441">
        <f>ROUND(SUMPRODUCT(PRODUCT(1+O36:O$40)),4)</f>
        <v>1.0524</v>
      </c>
      <c r="Z36" s="2441">
        <f t="shared" si="9"/>
        <v>1.0524</v>
      </c>
      <c r="AA36" s="2441">
        <f>ROUND(SUMPRODUCT(PRODUCT(1+P36:P$40)),4)</f>
        <v>1.0470999999999999</v>
      </c>
      <c r="AB36" s="2441">
        <f>ROUND(SUMPRODUCT(PRODUCT(1+Q36:Q$40)),4)</f>
        <v>1.0504</v>
      </c>
      <c r="AD36" s="2442">
        <f>ROUND(AVERAGE(I36:I$41)/100,4)</f>
        <v>1.2800000000000001E-2</v>
      </c>
      <c r="AE36" s="2442">
        <f>ROUND(AVERAGE(J36:J$41)/100,4)</f>
        <v>1.2500000000000001E-2</v>
      </c>
      <c r="AF36" s="2442">
        <f t="shared" si="10"/>
        <v>1.2500000000000001E-2</v>
      </c>
      <c r="AG36" s="2442">
        <f>ROUND(AVERAGE(K36:K$41)/100,4)</f>
        <v>1.32E-2</v>
      </c>
      <c r="AH36" s="2442">
        <f>ROUND(AVERAGE(L36:L$41)/100,4)</f>
        <v>1.0500000000000001E-2</v>
      </c>
    </row>
    <row r="37" spans="1:34">
      <c r="A37" s="2443" t="s">
        <v>889</v>
      </c>
      <c r="B37" s="2444">
        <f t="shared" si="23"/>
        <v>319.87748030386797</v>
      </c>
      <c r="C37" s="2444">
        <f t="shared" si="23"/>
        <v>269.60135833173649</v>
      </c>
      <c r="D37" s="2444">
        <f t="shared" si="20"/>
        <v>269.60135833173649</v>
      </c>
      <c r="E37" s="2444">
        <f t="shared" si="24"/>
        <v>439.18089823583784</v>
      </c>
      <c r="F37" s="2444">
        <f t="shared" si="24"/>
        <v>239.23503918706311</v>
      </c>
      <c r="G37" s="3687"/>
      <c r="H37" s="2445">
        <v>1</v>
      </c>
      <c r="I37" s="2445">
        <v>0.51</v>
      </c>
      <c r="J37" s="2445">
        <v>0.54</v>
      </c>
      <c r="K37" s="2445">
        <v>0.48</v>
      </c>
      <c r="L37" s="2451">
        <v>0.93</v>
      </c>
      <c r="N37" s="2448">
        <f t="shared" si="22"/>
        <v>5.1000000000000004E-3</v>
      </c>
      <c r="O37" s="2449">
        <f t="shared" si="18"/>
        <v>5.4000000000000003E-3</v>
      </c>
      <c r="P37" s="2449">
        <f t="shared" si="18"/>
        <v>4.7999999999999996E-3</v>
      </c>
      <c r="Q37" s="2449">
        <f t="shared" si="18"/>
        <v>9.300000000000001E-3</v>
      </c>
      <c r="R37" s="2447"/>
      <c r="S37" s="2448">
        <f>B37/B38-1</f>
        <v>5.9040261127922822E-3</v>
      </c>
      <c r="T37" s="2449">
        <f>C37/C38-1</f>
        <v>5.9752176557332781E-3</v>
      </c>
      <c r="U37" s="2449">
        <f>E37/E38-1</f>
        <v>4.9906138119859556E-3</v>
      </c>
      <c r="V37" s="2449">
        <f>F37/F38-1</f>
        <v>9.4305450930933787E-3</v>
      </c>
      <c r="X37" s="2441">
        <f>ROUND(SUMPRODUCT(PRODUCT(1+N37:N$40)),4)</f>
        <v>1.0399</v>
      </c>
      <c r="Y37" s="2441">
        <f>ROUND(SUMPRODUCT(PRODUCT(1+O37:O$40)),4)</f>
        <v>1.0451999999999999</v>
      </c>
      <c r="Z37" s="2441">
        <f t="shared" si="9"/>
        <v>1.0451999999999999</v>
      </c>
      <c r="AA37" s="2441">
        <f>ROUND(SUMPRODUCT(PRODUCT(1+P37:P$40)),4)</f>
        <v>1.0387999999999999</v>
      </c>
      <c r="AB37" s="2441">
        <f>ROUND(SUMPRODUCT(PRODUCT(1+Q37:Q$40)),4)</f>
        <v>1.0411999999999999</v>
      </c>
      <c r="AD37" s="2442">
        <f>ROUND(AVERAGE(I37:I$41)/100,4)</f>
        <v>1.38E-2</v>
      </c>
      <c r="AE37" s="2442">
        <f>ROUND(AVERAGE(J37:J$41)/100,4)</f>
        <v>1.3599999999999999E-2</v>
      </c>
      <c r="AF37" s="2442">
        <f t="shared" si="10"/>
        <v>1.3599999999999999E-2</v>
      </c>
      <c r="AG37" s="2442">
        <f>ROUND(AVERAGE(K37:K$41)/100,4)</f>
        <v>1.4200000000000001E-2</v>
      </c>
      <c r="AH37" s="2442">
        <f>ROUND(AVERAGE(L37:L$41)/100,4)</f>
        <v>1.0800000000000001E-2</v>
      </c>
    </row>
    <row r="38" spans="1:34" ht="13.5" thickBot="1">
      <c r="A38" s="2443" t="s">
        <v>888</v>
      </c>
      <c r="B38" s="2469">
        <v>318</v>
      </c>
      <c r="C38" s="2469">
        <v>268</v>
      </c>
      <c r="D38" s="2469">
        <f t="shared" si="20"/>
        <v>268</v>
      </c>
      <c r="E38" s="2469">
        <v>437</v>
      </c>
      <c r="F38" s="2470">
        <v>237</v>
      </c>
      <c r="G38" s="3685">
        <v>2014</v>
      </c>
      <c r="H38" s="2464">
        <v>4</v>
      </c>
      <c r="I38" s="2464">
        <v>0.21</v>
      </c>
      <c r="J38" s="2464">
        <v>0.41</v>
      </c>
      <c r="K38" s="2464">
        <v>0.12</v>
      </c>
      <c r="L38" s="2465">
        <v>0.89</v>
      </c>
      <c r="N38" s="2446">
        <f t="shared" si="22"/>
        <v>2.0999999999999999E-3</v>
      </c>
      <c r="O38" s="2442">
        <f t="shared" si="18"/>
        <v>4.0999999999999995E-3</v>
      </c>
      <c r="P38" s="2442">
        <f t="shared" si="18"/>
        <v>1.1999999999999999E-3</v>
      </c>
      <c r="Q38" s="2442">
        <f t="shared" si="18"/>
        <v>8.8999999999999999E-3</v>
      </c>
      <c r="R38" s="2447"/>
      <c r="S38" s="2456"/>
      <c r="T38" s="2457"/>
      <c r="U38" s="2457"/>
      <c r="V38" s="2457"/>
      <c r="X38" s="2441">
        <f>ROUND(SUMPRODUCT(PRODUCT(1+N38:N$40)),4)</f>
        <v>1.0347</v>
      </c>
      <c r="Y38" s="2441">
        <f>ROUND(SUMPRODUCT(PRODUCT(1+O38:O$40)),4)</f>
        <v>1.0395000000000001</v>
      </c>
      <c r="Z38" s="2441">
        <f t="shared" si="9"/>
        <v>1.0395000000000001</v>
      </c>
      <c r="AA38" s="2441">
        <f>ROUND(SUMPRODUCT(PRODUCT(1+P38:P$40)),4)</f>
        <v>1.0338000000000001</v>
      </c>
      <c r="AB38" s="2441">
        <f>ROUND(SUMPRODUCT(PRODUCT(1+Q38:Q$40)),4)</f>
        <v>1.0316000000000001</v>
      </c>
      <c r="AD38" s="2442">
        <f>ROUND(AVERAGE(I38:I$41)/100,4)</f>
        <v>1.6E-2</v>
      </c>
      <c r="AE38" s="2442">
        <f>ROUND(AVERAGE(J38:J$41)/100,4)</f>
        <v>1.5599999999999999E-2</v>
      </c>
      <c r="AF38" s="2442">
        <f t="shared" si="10"/>
        <v>1.5599999999999999E-2</v>
      </c>
      <c r="AG38" s="2442">
        <f>ROUND(AVERAGE(K38:K$41)/100,4)</f>
        <v>1.66E-2</v>
      </c>
      <c r="AH38" s="2442">
        <f>ROUND(AVERAGE(L38:L$41)/100,4)</f>
        <v>1.12E-2</v>
      </c>
    </row>
    <row r="39" spans="1:34">
      <c r="A39" s="2443" t="s">
        <v>887</v>
      </c>
      <c r="B39" s="2444">
        <f t="shared" ref="B39:C41" si="25">B38/(1+N38)</f>
        <v>317.33359944117353</v>
      </c>
      <c r="C39" s="2444">
        <f t="shared" si="25"/>
        <v>266.90568668459315</v>
      </c>
      <c r="D39" s="2444">
        <f t="shared" si="20"/>
        <v>266.90568668459315</v>
      </c>
      <c r="E39" s="2444">
        <f t="shared" ref="E39:F41" si="26">E38/(1+P38)</f>
        <v>436.47622852576905</v>
      </c>
      <c r="F39" s="2444">
        <f t="shared" si="26"/>
        <v>234.90930716622066</v>
      </c>
      <c r="G39" s="3686"/>
      <c r="H39" s="2471">
        <v>3</v>
      </c>
      <c r="I39" s="2471">
        <v>0.83</v>
      </c>
      <c r="J39" s="2471">
        <v>1.47</v>
      </c>
      <c r="K39" s="2471">
        <v>0.65</v>
      </c>
      <c r="L39" s="2472">
        <v>0.72</v>
      </c>
      <c r="N39" s="2446">
        <f t="shared" si="22"/>
        <v>8.3000000000000001E-3</v>
      </c>
      <c r="O39" s="2442">
        <f t="shared" si="18"/>
        <v>1.47E-2</v>
      </c>
      <c r="P39" s="2442">
        <f t="shared" si="18"/>
        <v>6.5000000000000006E-3</v>
      </c>
      <c r="Q39" s="2442">
        <f t="shared" si="18"/>
        <v>7.1999999999999998E-3</v>
      </c>
      <c r="R39" s="2447"/>
      <c r="S39" s="2446"/>
      <c r="T39" s="2442"/>
      <c r="U39" s="2442"/>
      <c r="V39" s="2442"/>
      <c r="X39" s="2441">
        <f>ROUND(SUMPRODUCT(PRODUCT(1+N39:N$40)),4)</f>
        <v>1.0325</v>
      </c>
      <c r="Y39" s="2441">
        <f>ROUND(SUMPRODUCT(PRODUCT(1+O39:O$40)),4)</f>
        <v>1.0353000000000001</v>
      </c>
      <c r="Z39" s="2441">
        <f t="shared" si="9"/>
        <v>1.0353000000000001</v>
      </c>
      <c r="AA39" s="2441">
        <f>ROUND(SUMPRODUCT(PRODUCT(1+P39:P$40)),4)</f>
        <v>1.0326</v>
      </c>
      <c r="AB39" s="2441">
        <f>ROUND(SUMPRODUCT(PRODUCT(1+Q39:Q$40)),4)</f>
        <v>1.0225</v>
      </c>
      <c r="AD39" s="2442">
        <f>ROUND(AVERAGE(I39:I$41)/100,4)</f>
        <v>2.07E-2</v>
      </c>
      <c r="AE39" s="2442">
        <f>ROUND(AVERAGE(J39:J$41)/100,4)</f>
        <v>1.95E-2</v>
      </c>
      <c r="AF39" s="2442">
        <f t="shared" si="10"/>
        <v>1.95E-2</v>
      </c>
      <c r="AG39" s="2442">
        <f>ROUND(AVERAGE(K39:K$41)/100,4)</f>
        <v>2.1700000000000001E-2</v>
      </c>
      <c r="AH39" s="2442">
        <f>ROUND(AVERAGE(L39:L$41)/100,4)</f>
        <v>1.2E-2</v>
      </c>
    </row>
    <row r="40" spans="1:34" ht="13.5" thickBot="1">
      <c r="A40" s="2443" t="s">
        <v>886</v>
      </c>
      <c r="B40" s="2444">
        <f t="shared" si="25"/>
        <v>314.72141172386546</v>
      </c>
      <c r="C40" s="2444">
        <f t="shared" si="25"/>
        <v>263.03901319069001</v>
      </c>
      <c r="D40" s="2444">
        <f t="shared" si="20"/>
        <v>263.03901319069001</v>
      </c>
      <c r="E40" s="2444">
        <f t="shared" si="26"/>
        <v>433.65745506782821</v>
      </c>
      <c r="F40" s="2444">
        <f t="shared" si="26"/>
        <v>233.23005080045735</v>
      </c>
      <c r="G40" s="3686"/>
      <c r="H40" s="2464">
        <v>2</v>
      </c>
      <c r="I40" s="2464">
        <v>2.4</v>
      </c>
      <c r="J40" s="2464">
        <v>2.0299999999999998</v>
      </c>
      <c r="K40" s="2464">
        <v>2.59</v>
      </c>
      <c r="L40" s="2465">
        <v>1.52</v>
      </c>
      <c r="N40" s="2446">
        <f t="shared" si="22"/>
        <v>2.4E-2</v>
      </c>
      <c r="O40" s="2442">
        <f t="shared" si="18"/>
        <v>2.0299999999999999E-2</v>
      </c>
      <c r="P40" s="2442">
        <f t="shared" si="18"/>
        <v>2.5899999999999999E-2</v>
      </c>
      <c r="Q40" s="2442">
        <f t="shared" si="18"/>
        <v>1.52E-2</v>
      </c>
      <c r="R40" s="2447"/>
      <c r="S40" s="2446"/>
      <c r="T40" s="2442"/>
      <c r="U40" s="2442"/>
      <c r="V40" s="2442"/>
      <c r="X40" s="2441">
        <f>1+N40</f>
        <v>1.024</v>
      </c>
      <c r="Y40" s="2441">
        <f>1+O40</f>
        <v>1.0203</v>
      </c>
      <c r="Z40" s="2441">
        <f t="shared" si="9"/>
        <v>1.0203</v>
      </c>
      <c r="AA40" s="2441">
        <f>1+P40</f>
        <v>1.0259</v>
      </c>
      <c r="AB40" s="2441">
        <f>1+Q40</f>
        <v>1.0152000000000001</v>
      </c>
      <c r="AD40" s="2442">
        <f>ROUND(AVERAGE(I40:I$41)/100,4)</f>
        <v>2.69E-2</v>
      </c>
      <c r="AE40" s="2442">
        <f>ROUND(AVERAGE(J40:J$41)/100,4)</f>
        <v>2.1899999999999999E-2</v>
      </c>
      <c r="AF40" s="2442">
        <f t="shared" si="10"/>
        <v>2.1899999999999999E-2</v>
      </c>
      <c r="AG40" s="2442">
        <f>ROUND(AVERAGE(K40:K$41)/100,4)</f>
        <v>2.9399999999999999E-2</v>
      </c>
      <c r="AH40" s="2442">
        <f>ROUND(AVERAGE(L40:L$41)/100,4)</f>
        <v>1.44E-2</v>
      </c>
    </row>
    <row r="41" spans="1:34" s="2477" customFormat="1" ht="13.5" thickBot="1">
      <c r="A41" s="2473" t="s">
        <v>885</v>
      </c>
      <c r="B41" s="2474">
        <f t="shared" si="25"/>
        <v>307.34512863658733</v>
      </c>
      <c r="C41" s="2474">
        <f t="shared" si="25"/>
        <v>257.80556031626975</v>
      </c>
      <c r="D41" s="2474">
        <f t="shared" si="20"/>
        <v>257.80556031626975</v>
      </c>
      <c r="E41" s="2474">
        <f t="shared" si="26"/>
        <v>422.70928459677179</v>
      </c>
      <c r="F41" s="2474">
        <f t="shared" si="26"/>
        <v>229.73803270336617</v>
      </c>
      <c r="G41" s="3687"/>
      <c r="H41" s="2475">
        <v>1</v>
      </c>
      <c r="I41" s="2475">
        <v>2.97</v>
      </c>
      <c r="J41" s="2475">
        <v>2.34</v>
      </c>
      <c r="K41" s="2475">
        <v>3.28</v>
      </c>
      <c r="L41" s="2476">
        <v>1.36</v>
      </c>
      <c r="N41" s="2478">
        <f t="shared" si="22"/>
        <v>2.9700000000000001E-2</v>
      </c>
      <c r="O41" s="2479">
        <f t="shared" si="18"/>
        <v>2.3399999999999997E-2</v>
      </c>
      <c r="P41" s="2479">
        <f t="shared" si="18"/>
        <v>3.2799999999999996E-2</v>
      </c>
      <c r="Q41" s="2479">
        <f t="shared" si="18"/>
        <v>1.3600000000000001E-2</v>
      </c>
      <c r="R41" s="2480"/>
      <c r="S41" s="2481">
        <f>B41/B42-1</f>
        <v>2.7910129219355539E-2</v>
      </c>
      <c r="T41" s="2482">
        <f>C41/C42-1</f>
        <v>2.3037937762975247E-2</v>
      </c>
      <c r="U41" s="2482">
        <f>E41/E42-1</f>
        <v>3.3519033243940788E-2</v>
      </c>
      <c r="V41" s="2482">
        <f>F41/F42-1</f>
        <v>1.2061818076502862E-2</v>
      </c>
      <c r="W41" s="2483" t="s">
        <v>1922</v>
      </c>
      <c r="X41" s="2477">
        <v>1</v>
      </c>
      <c r="Y41" s="2477">
        <v>1</v>
      </c>
      <c r="Z41" s="2477">
        <v>1</v>
      </c>
      <c r="AA41" s="2477">
        <v>1</v>
      </c>
      <c r="AB41" s="2477">
        <v>1</v>
      </c>
      <c r="AD41" s="2479">
        <f>I41/100</f>
        <v>2.9700000000000001E-2</v>
      </c>
      <c r="AE41" s="2479">
        <f>J41/100</f>
        <v>2.3399999999999997E-2</v>
      </c>
      <c r="AF41" s="2479">
        <f t="shared" si="10"/>
        <v>2.3399999999999997E-2</v>
      </c>
      <c r="AG41" s="2479">
        <f>K41/100</f>
        <v>3.2799999999999996E-2</v>
      </c>
      <c r="AH41" s="2479">
        <f>L41/100</f>
        <v>1.3600000000000001E-2</v>
      </c>
    </row>
    <row r="42" spans="1:34" ht="13.5" thickBot="1">
      <c r="A42" s="2443" t="s">
        <v>1865</v>
      </c>
      <c r="B42" s="2462">
        <v>299</v>
      </c>
      <c r="C42" s="2462">
        <v>252</v>
      </c>
      <c r="D42" s="2462">
        <f t="shared" si="20"/>
        <v>252</v>
      </c>
      <c r="E42" s="2462">
        <v>409</v>
      </c>
      <c r="F42" s="2463">
        <v>227</v>
      </c>
      <c r="G42" s="3688">
        <v>2013</v>
      </c>
      <c r="H42" s="2484">
        <v>4</v>
      </c>
      <c r="I42" s="2484">
        <v>1.83</v>
      </c>
      <c r="J42" s="2484">
        <v>1.68</v>
      </c>
      <c r="K42" s="2484">
        <v>1.97</v>
      </c>
      <c r="L42" s="2485">
        <v>0.87</v>
      </c>
      <c r="N42" s="2460">
        <f t="shared" si="22"/>
        <v>1.83E-2</v>
      </c>
      <c r="O42" s="2461">
        <f t="shared" si="18"/>
        <v>1.6799999999999999E-2</v>
      </c>
      <c r="P42" s="2461">
        <f t="shared" si="18"/>
        <v>1.9699999999999999E-2</v>
      </c>
      <c r="Q42" s="2461">
        <f t="shared" si="18"/>
        <v>8.6999999999999994E-3</v>
      </c>
      <c r="R42" s="2447"/>
      <c r="S42" s="2456"/>
      <c r="T42" s="2457"/>
      <c r="U42" s="2457"/>
      <c r="V42" s="2457"/>
      <c r="X42" s="2457"/>
      <c r="Y42" s="2457"/>
      <c r="Z42" s="2457"/>
    </row>
    <row r="43" spans="1:34">
      <c r="A43" s="2443" t="s">
        <v>1866</v>
      </c>
      <c r="B43" s="2444">
        <f t="shared" ref="B43:C45" si="27">B42/(1+N42)</f>
        <v>293.62663262299913</v>
      </c>
      <c r="C43" s="2444">
        <f t="shared" si="27"/>
        <v>247.83634933123525</v>
      </c>
      <c r="D43" s="2444">
        <f t="shared" si="20"/>
        <v>247.83634933123525</v>
      </c>
      <c r="E43" s="2444">
        <f t="shared" ref="E43:F45" si="28">E42/(1+P42)</f>
        <v>401.09836226341076</v>
      </c>
      <c r="F43" s="2444">
        <f t="shared" si="28"/>
        <v>225.04213343908003</v>
      </c>
      <c r="G43" s="3689"/>
      <c r="H43" s="2467">
        <v>3</v>
      </c>
      <c r="I43" s="2467">
        <v>1.86</v>
      </c>
      <c r="J43" s="2467">
        <v>1.72</v>
      </c>
      <c r="K43" s="2467">
        <v>1.98</v>
      </c>
      <c r="L43" s="2468">
        <v>0.88</v>
      </c>
      <c r="N43" s="2446">
        <f t="shared" si="22"/>
        <v>1.8600000000000002E-2</v>
      </c>
      <c r="O43" s="2442">
        <f t="shared" si="18"/>
        <v>1.72E-2</v>
      </c>
      <c r="P43" s="2442">
        <f t="shared" si="18"/>
        <v>1.9799999999999998E-2</v>
      </c>
      <c r="Q43" s="2442">
        <f t="shared" si="18"/>
        <v>8.8000000000000005E-3</v>
      </c>
      <c r="R43" s="2447"/>
      <c r="S43" s="2446"/>
      <c r="T43" s="2442"/>
      <c r="U43" s="2442"/>
      <c r="V43" s="2442"/>
    </row>
    <row r="44" spans="1:34">
      <c r="A44" s="2443" t="s">
        <v>1867</v>
      </c>
      <c r="B44" s="2444">
        <f t="shared" si="27"/>
        <v>288.2649053828776</v>
      </c>
      <c r="C44" s="2444">
        <f t="shared" si="27"/>
        <v>243.64564425013293</v>
      </c>
      <c r="D44" s="2444">
        <f t="shared" si="20"/>
        <v>243.64564425013293</v>
      </c>
      <c r="E44" s="2444">
        <f t="shared" si="28"/>
        <v>393.31080825986544</v>
      </c>
      <c r="F44" s="2444">
        <f t="shared" si="28"/>
        <v>223.07903790551154</v>
      </c>
      <c r="G44" s="3689"/>
      <c r="H44" s="2458">
        <v>2</v>
      </c>
      <c r="I44" s="2458">
        <v>2.04</v>
      </c>
      <c r="J44" s="2458">
        <v>2.33</v>
      </c>
      <c r="K44" s="2458">
        <v>2.0699999999999998</v>
      </c>
      <c r="L44" s="2459">
        <v>0.69</v>
      </c>
      <c r="N44" s="2446">
        <f t="shared" si="22"/>
        <v>2.0400000000000001E-2</v>
      </c>
      <c r="O44" s="2442">
        <f t="shared" si="18"/>
        <v>2.3300000000000001E-2</v>
      </c>
      <c r="P44" s="2442">
        <f t="shared" si="18"/>
        <v>2.07E-2</v>
      </c>
      <c r="Q44" s="2442">
        <f t="shared" si="18"/>
        <v>6.8999999999999999E-3</v>
      </c>
      <c r="R44" s="2447"/>
      <c r="S44" s="2446"/>
      <c r="T44" s="2442"/>
      <c r="U44" s="2442"/>
      <c r="V44" s="2442"/>
      <c r="X44" s="2486"/>
      <c r="Y44" s="2487"/>
    </row>
    <row r="45" spans="1:34">
      <c r="A45" s="2443" t="s">
        <v>1868</v>
      </c>
      <c r="B45" s="2444">
        <f t="shared" si="27"/>
        <v>282.50186729015837</v>
      </c>
      <c r="C45" s="2444">
        <f t="shared" si="27"/>
        <v>238.09796174155468</v>
      </c>
      <c r="D45" s="2444">
        <f t="shared" si="20"/>
        <v>238.09796174155468</v>
      </c>
      <c r="E45" s="2444">
        <f t="shared" si="28"/>
        <v>385.33438646014054</v>
      </c>
      <c r="F45" s="2444">
        <f t="shared" si="28"/>
        <v>221.55034055567739</v>
      </c>
      <c r="G45" s="3690"/>
      <c r="H45" s="2445">
        <v>1</v>
      </c>
      <c r="I45" s="2445">
        <v>1.67</v>
      </c>
      <c r="J45" s="2445">
        <v>1.31</v>
      </c>
      <c r="K45" s="2445">
        <v>1.85</v>
      </c>
      <c r="L45" s="2451">
        <v>0.96</v>
      </c>
      <c r="N45" s="2448">
        <f t="shared" si="22"/>
        <v>1.67E-2</v>
      </c>
      <c r="O45" s="2449">
        <f t="shared" si="18"/>
        <v>1.3100000000000001E-2</v>
      </c>
      <c r="P45" s="2449">
        <f t="shared" si="18"/>
        <v>1.8500000000000003E-2</v>
      </c>
      <c r="Q45" s="2449">
        <f t="shared" si="18"/>
        <v>9.5999999999999992E-3</v>
      </c>
      <c r="R45" s="2447"/>
      <c r="S45" s="2448">
        <f>B45/B46-1</f>
        <v>1.6193767230785472E-2</v>
      </c>
      <c r="T45" s="2449">
        <f>C45/C46-1</f>
        <v>1.7512657015190891E-2</v>
      </c>
      <c r="U45" s="2449">
        <f>E45/E46-1</f>
        <v>1.6713420739157048E-2</v>
      </c>
      <c r="V45" s="2449">
        <f>F45/F46-1</f>
        <v>7.0470025258062563E-3</v>
      </c>
      <c r="Y45" s="2442"/>
      <c r="Z45" s="2442"/>
    </row>
    <row r="46" spans="1:34" ht="13.5" thickBot="1">
      <c r="A46" s="2443" t="s">
        <v>1869</v>
      </c>
      <c r="B46" s="2488">
        <v>278</v>
      </c>
      <c r="C46" s="2488">
        <v>234</v>
      </c>
      <c r="D46" s="2488">
        <f t="shared" si="20"/>
        <v>234</v>
      </c>
      <c r="E46" s="2488">
        <v>379</v>
      </c>
      <c r="F46" s="2489">
        <v>220</v>
      </c>
      <c r="G46" s="3685">
        <v>2012</v>
      </c>
      <c r="H46" s="2464">
        <v>4</v>
      </c>
      <c r="I46" s="2464">
        <v>0.91</v>
      </c>
      <c r="J46" s="2464">
        <v>0.68</v>
      </c>
      <c r="K46" s="2464">
        <v>0.98</v>
      </c>
      <c r="L46" s="2465">
        <v>0.9</v>
      </c>
      <c r="N46" s="2446">
        <f t="shared" si="22"/>
        <v>9.1000000000000004E-3</v>
      </c>
      <c r="O46" s="2442">
        <f t="shared" si="22"/>
        <v>6.8000000000000005E-3</v>
      </c>
      <c r="P46" s="2442">
        <f t="shared" si="22"/>
        <v>9.7999999999999997E-3</v>
      </c>
      <c r="Q46" s="2442">
        <f t="shared" si="22"/>
        <v>9.0000000000000011E-3</v>
      </c>
      <c r="R46" s="2447"/>
      <c r="S46" s="2456"/>
      <c r="T46" s="2457"/>
      <c r="U46" s="2457"/>
      <c r="V46" s="2457"/>
      <c r="X46" s="2457"/>
      <c r="Y46" s="2457"/>
      <c r="Z46" s="2457"/>
    </row>
    <row r="47" spans="1:34">
      <c r="A47" s="2443" t="s">
        <v>1870</v>
      </c>
      <c r="B47" s="2444">
        <f>B46/(1+N46)</f>
        <v>275.49301357645425</v>
      </c>
      <c r="C47" s="2444">
        <f>C46/(1+O46)</f>
        <v>232.41954707985698</v>
      </c>
      <c r="D47" s="2444">
        <f t="shared" si="20"/>
        <v>232.41954707985698</v>
      </c>
      <c r="E47" s="2444">
        <f t="shared" ref="E47:F49" si="29">E46/(1+P46)</f>
        <v>375.32184591008121</v>
      </c>
      <c r="F47" s="2444">
        <f t="shared" si="29"/>
        <v>218.03766105054513</v>
      </c>
      <c r="G47" s="3686"/>
      <c r="H47" s="2467">
        <v>3</v>
      </c>
      <c r="I47" s="2467">
        <v>0.09</v>
      </c>
      <c r="J47" s="2467">
        <v>0.28999999999999998</v>
      </c>
      <c r="K47" s="2467">
        <v>-0.01</v>
      </c>
      <c r="L47" s="2468">
        <v>0.57999999999999996</v>
      </c>
      <c r="N47" s="2446">
        <f t="shared" si="22"/>
        <v>8.9999999999999998E-4</v>
      </c>
      <c r="O47" s="2442">
        <f t="shared" si="22"/>
        <v>2.8999999999999998E-3</v>
      </c>
      <c r="P47" s="2442">
        <f t="shared" si="22"/>
        <v>-1E-4</v>
      </c>
      <c r="Q47" s="2442">
        <f t="shared" si="22"/>
        <v>5.7999999999999996E-3</v>
      </c>
      <c r="R47" s="2447"/>
      <c r="S47" s="2446"/>
      <c r="T47" s="2442"/>
      <c r="U47" s="2442"/>
      <c r="V47" s="2442"/>
    </row>
    <row r="48" spans="1:34">
      <c r="A48" s="2443" t="s">
        <v>1871</v>
      </c>
      <c r="B48" s="2444">
        <f>B47/(1+N47)</f>
        <v>275.24529281292263</v>
      </c>
      <c r="C48" s="2444">
        <f>C47/(1+O47)</f>
        <v>231.74747938962707</v>
      </c>
      <c r="D48" s="2444">
        <f t="shared" si="20"/>
        <v>231.74747938962707</v>
      </c>
      <c r="E48" s="2444">
        <f t="shared" si="29"/>
        <v>375.35938184826603</v>
      </c>
      <c r="F48" s="2444">
        <f t="shared" si="29"/>
        <v>216.78033510692495</v>
      </c>
      <c r="G48" s="3686"/>
      <c r="H48" s="2458">
        <v>2</v>
      </c>
      <c r="I48" s="2458">
        <v>0.02</v>
      </c>
      <c r="J48" s="2458">
        <v>0.12</v>
      </c>
      <c r="K48" s="2458">
        <v>-0.08</v>
      </c>
      <c r="L48" s="2459">
        <v>1.24</v>
      </c>
      <c r="N48" s="2446">
        <f t="shared" si="22"/>
        <v>2.0000000000000001E-4</v>
      </c>
      <c r="O48" s="2442">
        <f t="shared" si="22"/>
        <v>1.1999999999999999E-3</v>
      </c>
      <c r="P48" s="2442">
        <f t="shared" si="22"/>
        <v>-8.0000000000000004E-4</v>
      </c>
      <c r="Q48" s="2442">
        <f t="shared" si="22"/>
        <v>1.24E-2</v>
      </c>
      <c r="R48" s="2447"/>
      <c r="S48" s="2446"/>
      <c r="T48" s="2442"/>
      <c r="U48" s="2442"/>
      <c r="V48" s="2442"/>
    </row>
    <row r="49" spans="1:26" ht="13.5" thickBot="1">
      <c r="A49" s="2443" t="s">
        <v>1872</v>
      </c>
      <c r="B49" s="2444">
        <f>B48/(1+N48)</f>
        <v>275.19025476197027</v>
      </c>
      <c r="C49" s="2490">
        <v>232</v>
      </c>
      <c r="D49" s="2490">
        <f t="shared" si="20"/>
        <v>232</v>
      </c>
      <c r="E49" s="2444">
        <f t="shared" si="29"/>
        <v>375.65990977608692</v>
      </c>
      <c r="F49" s="2444">
        <f t="shared" si="29"/>
        <v>214.12518283971252</v>
      </c>
      <c r="G49" s="3687"/>
      <c r="H49" s="2445">
        <v>1</v>
      </c>
      <c r="I49" s="2445">
        <v>0.02</v>
      </c>
      <c r="J49" s="2445">
        <v>0.13</v>
      </c>
      <c r="K49" s="2445">
        <v>-0.04</v>
      </c>
      <c r="L49" s="2451">
        <v>0.46</v>
      </c>
      <c r="N49" s="2446">
        <f t="shared" si="22"/>
        <v>2.0000000000000001E-4</v>
      </c>
      <c r="O49" s="2442">
        <f t="shared" si="22"/>
        <v>1.2999999999999999E-3</v>
      </c>
      <c r="P49" s="2442">
        <f t="shared" si="22"/>
        <v>-4.0000000000000002E-4</v>
      </c>
      <c r="Q49" s="2442">
        <f t="shared" si="22"/>
        <v>4.5999999999999999E-3</v>
      </c>
      <c r="R49" s="2447"/>
      <c r="S49" s="2448">
        <f>B49/B50-1</f>
        <v>6.9183549807361189E-4</v>
      </c>
      <c r="T49" s="2449">
        <f>C49/C50-1</f>
        <v>0</v>
      </c>
      <c r="U49" s="2449">
        <f>E49/E50-1</f>
        <v>-9.0449527636460303E-4</v>
      </c>
      <c r="V49" s="2449">
        <f>F49/F50-1</f>
        <v>5.2825485432512753E-3</v>
      </c>
      <c r="X49" s="2442"/>
      <c r="Y49" s="2442"/>
      <c r="Z49" s="2442"/>
    </row>
    <row r="50" spans="1:26" ht="13.5" thickBot="1">
      <c r="A50" s="2443" t="s">
        <v>1873</v>
      </c>
      <c r="B50" s="2462">
        <v>275</v>
      </c>
      <c r="C50" s="2462">
        <v>232</v>
      </c>
      <c r="D50" s="2462">
        <f t="shared" si="20"/>
        <v>232</v>
      </c>
      <c r="E50" s="2462">
        <v>376</v>
      </c>
      <c r="F50" s="2463">
        <v>213</v>
      </c>
      <c r="G50" s="3685">
        <v>2011</v>
      </c>
      <c r="H50" s="2464">
        <v>4</v>
      </c>
      <c r="I50" s="2464">
        <v>-0.2</v>
      </c>
      <c r="J50" s="2464">
        <v>0.04</v>
      </c>
      <c r="K50" s="2464">
        <v>-0.34</v>
      </c>
      <c r="L50" s="2465">
        <v>0.46</v>
      </c>
      <c r="N50" s="2460">
        <f t="shared" si="22"/>
        <v>-2E-3</v>
      </c>
      <c r="O50" s="2461">
        <f t="shared" si="22"/>
        <v>4.0000000000000002E-4</v>
      </c>
      <c r="P50" s="2461">
        <f t="shared" si="22"/>
        <v>-3.4000000000000002E-3</v>
      </c>
      <c r="Q50" s="2461">
        <f t="shared" si="22"/>
        <v>4.5999999999999999E-3</v>
      </c>
      <c r="R50" s="2447"/>
      <c r="S50" s="2456"/>
      <c r="T50" s="2457"/>
      <c r="U50" s="2457"/>
      <c r="V50" s="2457"/>
      <c r="X50" s="2457"/>
      <c r="Y50" s="2457"/>
      <c r="Z50" s="2457"/>
    </row>
    <row r="51" spans="1:26">
      <c r="A51" s="2443" t="s">
        <v>1874</v>
      </c>
      <c r="B51" s="2444">
        <f t="shared" ref="B51:C53" si="30">B50/(1+N50)</f>
        <v>275.55110220440883</v>
      </c>
      <c r="C51" s="2444">
        <f t="shared" si="30"/>
        <v>231.90723710515795</v>
      </c>
      <c r="D51" s="2444">
        <f t="shared" si="20"/>
        <v>231.90723710515795</v>
      </c>
      <c r="E51" s="2444">
        <f t="shared" ref="E51:F53" si="31">E50/(1+P50)</f>
        <v>377.28276138872161</v>
      </c>
      <c r="F51" s="2444">
        <f t="shared" si="31"/>
        <v>212.02468644236512</v>
      </c>
      <c r="G51" s="3686">
        <v>2011</v>
      </c>
      <c r="H51" s="2467">
        <v>3</v>
      </c>
      <c r="I51" s="2467">
        <v>0.13</v>
      </c>
      <c r="J51" s="2467">
        <v>0.75</v>
      </c>
      <c r="K51" s="2467">
        <v>-0.08</v>
      </c>
      <c r="L51" s="2468">
        <v>0.53</v>
      </c>
      <c r="N51" s="2446">
        <f t="shared" si="22"/>
        <v>1.2999999999999999E-3</v>
      </c>
      <c r="O51" s="2442">
        <f t="shared" si="22"/>
        <v>7.4999999999999997E-3</v>
      </c>
      <c r="P51" s="2442">
        <f t="shared" si="22"/>
        <v>-8.0000000000000004E-4</v>
      </c>
      <c r="Q51" s="2442">
        <f t="shared" si="22"/>
        <v>5.3E-3</v>
      </c>
      <c r="R51" s="2447"/>
      <c r="S51" s="2446"/>
      <c r="T51" s="2442"/>
      <c r="U51" s="2442"/>
      <c r="V51" s="2442"/>
    </row>
    <row r="52" spans="1:26">
      <c r="A52" s="2443" t="s">
        <v>1875</v>
      </c>
      <c r="B52" s="2444">
        <f t="shared" si="30"/>
        <v>275.19335084830601</v>
      </c>
      <c r="C52" s="2444">
        <f t="shared" si="30"/>
        <v>230.18088050139744</v>
      </c>
      <c r="D52" s="2444">
        <f t="shared" si="20"/>
        <v>230.18088050139744</v>
      </c>
      <c r="E52" s="2444">
        <f t="shared" si="31"/>
        <v>377.58482925212331</v>
      </c>
      <c r="F52" s="2444">
        <f t="shared" si="31"/>
        <v>210.90687997847917</v>
      </c>
      <c r="G52" s="3686">
        <v>2011</v>
      </c>
      <c r="H52" s="2458">
        <v>2</v>
      </c>
      <c r="I52" s="2458">
        <v>-0.4</v>
      </c>
      <c r="J52" s="2458">
        <v>0.17</v>
      </c>
      <c r="K52" s="2458">
        <v>-0.57999999999999996</v>
      </c>
      <c r="L52" s="2459">
        <v>-0.2</v>
      </c>
      <c r="N52" s="2446">
        <f t="shared" si="22"/>
        <v>-4.0000000000000001E-3</v>
      </c>
      <c r="O52" s="2442">
        <f t="shared" si="22"/>
        <v>1.7000000000000001E-3</v>
      </c>
      <c r="P52" s="2442">
        <f t="shared" si="22"/>
        <v>-5.7999999999999996E-3</v>
      </c>
      <c r="Q52" s="2442">
        <f t="shared" si="22"/>
        <v>-2E-3</v>
      </c>
      <c r="R52" s="2447"/>
      <c r="S52" s="2446"/>
      <c r="T52" s="2442"/>
      <c r="U52" s="2442"/>
      <c r="V52" s="2442"/>
    </row>
    <row r="53" spans="1:26" ht="13.5" thickBot="1">
      <c r="A53" s="2443" t="s">
        <v>1876</v>
      </c>
      <c r="B53" s="2444">
        <f t="shared" si="30"/>
        <v>276.29854502841971</v>
      </c>
      <c r="C53" s="2444">
        <f t="shared" si="30"/>
        <v>229.79023709833027</v>
      </c>
      <c r="D53" s="2444">
        <f t="shared" si="20"/>
        <v>229.79023709833027</v>
      </c>
      <c r="E53" s="2444">
        <f t="shared" si="31"/>
        <v>379.78759731655936</v>
      </c>
      <c r="F53" s="2444">
        <f t="shared" si="31"/>
        <v>211.32953905659235</v>
      </c>
      <c r="G53" s="3687">
        <v>2011</v>
      </c>
      <c r="H53" s="2445">
        <v>1</v>
      </c>
      <c r="I53" s="2445">
        <v>2.65</v>
      </c>
      <c r="J53" s="2445">
        <v>3.76</v>
      </c>
      <c r="K53" s="2445">
        <v>1.89</v>
      </c>
      <c r="L53" s="2451">
        <v>7.95</v>
      </c>
      <c r="N53" s="2448">
        <f t="shared" si="22"/>
        <v>2.6499999999999999E-2</v>
      </c>
      <c r="O53" s="2449">
        <f t="shared" si="22"/>
        <v>3.7599999999999995E-2</v>
      </c>
      <c r="P53" s="2449">
        <f t="shared" si="22"/>
        <v>1.89E-2</v>
      </c>
      <c r="Q53" s="2449">
        <f t="shared" si="22"/>
        <v>7.9500000000000001E-2</v>
      </c>
      <c r="R53" s="2447"/>
      <c r="S53" s="2448">
        <f>B53/B54-1</f>
        <v>2.713213765211786E-2</v>
      </c>
      <c r="T53" s="2449">
        <f>C53/C54-1</f>
        <v>3.9774828499231862E-2</v>
      </c>
      <c r="U53" s="2449">
        <f>E53/E54-1</f>
        <v>1.8197311840641772E-2</v>
      </c>
      <c r="V53" s="2449">
        <f>F53/F54-1</f>
        <v>7.8211933962205826E-2</v>
      </c>
      <c r="X53" s="2442"/>
      <c r="Y53" s="2442"/>
      <c r="Z53" s="2442"/>
    </row>
    <row r="54" spans="1:26" ht="13.5" thickBot="1">
      <c r="A54" s="2443" t="s">
        <v>1877</v>
      </c>
      <c r="B54" s="2462">
        <v>269</v>
      </c>
      <c r="C54" s="2462">
        <v>221</v>
      </c>
      <c r="D54" s="2462">
        <f t="shared" si="20"/>
        <v>221</v>
      </c>
      <c r="E54" s="2462">
        <v>373</v>
      </c>
      <c r="F54" s="2463">
        <v>196</v>
      </c>
      <c r="G54" s="3685">
        <v>2010</v>
      </c>
      <c r="H54" s="2464">
        <v>4</v>
      </c>
      <c r="I54" s="2464">
        <v>5.72</v>
      </c>
      <c r="J54" s="2464">
        <v>6.57</v>
      </c>
      <c r="K54" s="2464">
        <v>5.72</v>
      </c>
      <c r="L54" s="2465">
        <v>2.72</v>
      </c>
      <c r="N54" s="2446">
        <f t="shared" si="22"/>
        <v>5.7200000000000001E-2</v>
      </c>
      <c r="O54" s="2442">
        <f t="shared" si="22"/>
        <v>6.5700000000000008E-2</v>
      </c>
      <c r="P54" s="2442">
        <f t="shared" si="22"/>
        <v>5.7200000000000001E-2</v>
      </c>
      <c r="Q54" s="2442">
        <f t="shared" si="22"/>
        <v>2.7200000000000002E-2</v>
      </c>
      <c r="R54" s="2447"/>
      <c r="S54" s="2456"/>
      <c r="T54" s="2457"/>
      <c r="U54" s="2457"/>
      <c r="V54" s="2457"/>
      <c r="X54" s="2457"/>
      <c r="Y54" s="2457"/>
      <c r="Z54" s="2457"/>
    </row>
    <row r="55" spans="1:26">
      <c r="A55" s="2443" t="s">
        <v>1878</v>
      </c>
      <c r="B55" s="2444">
        <f t="shared" ref="B55:C57" si="32">B54/(1+N54)</f>
        <v>254.44570563753314</v>
      </c>
      <c r="C55" s="2444">
        <f t="shared" si="32"/>
        <v>207.37543398705074</v>
      </c>
      <c r="D55" s="2444">
        <f t="shared" si="20"/>
        <v>207.37543398705074</v>
      </c>
      <c r="E55" s="2444">
        <f t="shared" ref="E55:F57" si="33">E54/(1+P54)</f>
        <v>352.81876655315932</v>
      </c>
      <c r="F55" s="2444">
        <f t="shared" si="33"/>
        <v>190.809968847352</v>
      </c>
      <c r="G55" s="3686">
        <v>2010</v>
      </c>
      <c r="H55" s="2467">
        <v>3</v>
      </c>
      <c r="I55" s="2467">
        <v>4.7300000000000004</v>
      </c>
      <c r="J55" s="2467">
        <v>3.9</v>
      </c>
      <c r="K55" s="2467">
        <v>5.03</v>
      </c>
      <c r="L55" s="2468">
        <v>4.21</v>
      </c>
      <c r="N55" s="2446">
        <f t="shared" si="22"/>
        <v>4.7300000000000002E-2</v>
      </c>
      <c r="O55" s="2442">
        <f t="shared" si="22"/>
        <v>3.9E-2</v>
      </c>
      <c r="P55" s="2442">
        <f t="shared" si="22"/>
        <v>5.0300000000000004E-2</v>
      </c>
      <c r="Q55" s="2442">
        <f t="shared" si="22"/>
        <v>4.2099999999999999E-2</v>
      </c>
      <c r="R55" s="2447"/>
      <c r="S55" s="2446"/>
      <c r="T55" s="2442"/>
      <c r="U55" s="2442"/>
      <c r="V55" s="2442"/>
    </row>
    <row r="56" spans="1:26">
      <c r="A56" s="2443" t="s">
        <v>1879</v>
      </c>
      <c r="B56" s="2444">
        <f t="shared" si="32"/>
        <v>242.95398227588385</v>
      </c>
      <c r="C56" s="2444">
        <f t="shared" si="32"/>
        <v>199.59137053614126</v>
      </c>
      <c r="D56" s="2444">
        <f t="shared" si="20"/>
        <v>199.59137053614126</v>
      </c>
      <c r="E56" s="2444">
        <f t="shared" si="33"/>
        <v>335.92189522342125</v>
      </c>
      <c r="F56" s="2444">
        <f t="shared" si="33"/>
        <v>183.10139991109489</v>
      </c>
      <c r="G56" s="3686">
        <v>2010</v>
      </c>
      <c r="H56" s="2458">
        <v>2</v>
      </c>
      <c r="I56" s="2458">
        <v>4.6900000000000004</v>
      </c>
      <c r="J56" s="2458">
        <v>3.55</v>
      </c>
      <c r="K56" s="2458">
        <v>5.07</v>
      </c>
      <c r="L56" s="2459">
        <v>4.2300000000000004</v>
      </c>
      <c r="N56" s="2446">
        <f t="shared" si="22"/>
        <v>4.6900000000000004E-2</v>
      </c>
      <c r="O56" s="2442">
        <f t="shared" si="22"/>
        <v>3.5499999999999997E-2</v>
      </c>
      <c r="P56" s="2442">
        <f t="shared" si="22"/>
        <v>5.0700000000000002E-2</v>
      </c>
      <c r="Q56" s="2442">
        <f t="shared" si="22"/>
        <v>4.2300000000000004E-2</v>
      </c>
      <c r="R56" s="2447"/>
      <c r="S56" s="2446"/>
      <c r="T56" s="2442"/>
      <c r="U56" s="2442"/>
      <c r="V56" s="2442"/>
    </row>
    <row r="57" spans="1:26" ht="13.5" thickBot="1">
      <c r="A57" s="2443" t="s">
        <v>1880</v>
      </c>
      <c r="B57" s="2444">
        <f t="shared" si="32"/>
        <v>232.06990378821649</v>
      </c>
      <c r="C57" s="2444">
        <f t="shared" si="32"/>
        <v>192.74878854286936</v>
      </c>
      <c r="D57" s="2444">
        <f t="shared" si="20"/>
        <v>192.74878854286936</v>
      </c>
      <c r="E57" s="2444">
        <f t="shared" si="33"/>
        <v>319.71247284992984</v>
      </c>
      <c r="F57" s="2444">
        <f t="shared" si="33"/>
        <v>175.67053622862409</v>
      </c>
      <c r="G57" s="3687">
        <v>2010</v>
      </c>
      <c r="H57" s="2445">
        <v>1</v>
      </c>
      <c r="I57" s="2445">
        <v>5.4</v>
      </c>
      <c r="J57" s="2445">
        <v>3.2</v>
      </c>
      <c r="K57" s="2445">
        <v>6.16</v>
      </c>
      <c r="L57" s="2451">
        <v>4.51</v>
      </c>
      <c r="N57" s="2446">
        <f t="shared" si="22"/>
        <v>5.4000000000000006E-2</v>
      </c>
      <c r="O57" s="2442">
        <f t="shared" si="22"/>
        <v>3.2000000000000001E-2</v>
      </c>
      <c r="P57" s="2442">
        <f t="shared" si="22"/>
        <v>6.1600000000000002E-2</v>
      </c>
      <c r="Q57" s="2442">
        <f t="shared" si="22"/>
        <v>4.5100000000000001E-2</v>
      </c>
      <c r="R57" s="2447"/>
      <c r="S57" s="2448">
        <f>B57/B58-1</f>
        <v>5.4863199037347599E-2</v>
      </c>
      <c r="T57" s="2449">
        <f>C57/C58-1</f>
        <v>3.0742184721226584E-2</v>
      </c>
      <c r="U57" s="2449">
        <f>E57/E58-1</f>
        <v>6.2167683886810154E-2</v>
      </c>
      <c r="V57" s="2449">
        <f>F57/F58-1</f>
        <v>4.5657953741810031E-2</v>
      </c>
      <c r="X57" s="2442"/>
      <c r="Y57" s="2442"/>
      <c r="Z57" s="2442"/>
    </row>
    <row r="58" spans="1:26" ht="13.5" thickBot="1">
      <c r="A58" s="2443" t="s">
        <v>1881</v>
      </c>
      <c r="B58" s="2462">
        <v>220</v>
      </c>
      <c r="C58" s="2462">
        <v>187</v>
      </c>
      <c r="D58" s="2462">
        <f t="shared" si="20"/>
        <v>187</v>
      </c>
      <c r="E58" s="2462">
        <v>301</v>
      </c>
      <c r="F58" s="2463">
        <v>168</v>
      </c>
      <c r="G58" s="3685">
        <v>2009</v>
      </c>
      <c r="H58" s="2464">
        <v>4</v>
      </c>
      <c r="I58" s="2464">
        <v>2.2999999999999998</v>
      </c>
      <c r="J58" s="2464">
        <v>1.04</v>
      </c>
      <c r="K58" s="2464">
        <v>2.84</v>
      </c>
      <c r="L58" s="2465">
        <v>0.67</v>
      </c>
      <c r="N58" s="2460">
        <f t="shared" si="22"/>
        <v>2.3E-2</v>
      </c>
      <c r="O58" s="2461">
        <f t="shared" si="22"/>
        <v>1.04E-2</v>
      </c>
      <c r="P58" s="2461">
        <f t="shared" si="22"/>
        <v>2.8399999999999998E-2</v>
      </c>
      <c r="Q58" s="2461">
        <f t="shared" si="22"/>
        <v>6.7000000000000002E-3</v>
      </c>
      <c r="R58" s="2447"/>
      <c r="S58" s="2456"/>
      <c r="T58" s="2457"/>
      <c r="U58" s="2457"/>
      <c r="V58" s="2457"/>
      <c r="X58" s="2457"/>
      <c r="Y58" s="2457"/>
      <c r="Z58" s="2457"/>
    </row>
    <row r="59" spans="1:26">
      <c r="A59" s="2443" t="s">
        <v>1882</v>
      </c>
      <c r="B59" s="2444">
        <f t="shared" ref="B59:C61" si="34">B58/(1+N58)</f>
        <v>215.05376344086022</v>
      </c>
      <c r="C59" s="2444">
        <f t="shared" si="34"/>
        <v>185.0752177355503</v>
      </c>
      <c r="D59" s="2444">
        <f t="shared" si="20"/>
        <v>185.0752177355503</v>
      </c>
      <c r="E59" s="2444">
        <f t="shared" ref="E59:F61" si="35">E58/(1+P58)</f>
        <v>292.68767016725008</v>
      </c>
      <c r="F59" s="2444">
        <f t="shared" si="35"/>
        <v>166.88189132810174</v>
      </c>
      <c r="G59" s="3686">
        <v>2009</v>
      </c>
      <c r="H59" s="2467">
        <v>3</v>
      </c>
      <c r="I59" s="2467">
        <v>2.1</v>
      </c>
      <c r="J59" s="2467">
        <v>1.86</v>
      </c>
      <c r="K59" s="2467">
        <v>2.29</v>
      </c>
      <c r="L59" s="2468">
        <v>0.85</v>
      </c>
      <c r="N59" s="2446">
        <f t="shared" si="22"/>
        <v>2.1000000000000001E-2</v>
      </c>
      <c r="O59" s="2442">
        <f t="shared" si="22"/>
        <v>1.8600000000000002E-2</v>
      </c>
      <c r="P59" s="2442">
        <f t="shared" si="22"/>
        <v>2.29E-2</v>
      </c>
      <c r="Q59" s="2442">
        <f t="shared" si="22"/>
        <v>8.5000000000000006E-3</v>
      </c>
      <c r="R59" s="2447"/>
      <c r="S59" s="2446"/>
      <c r="T59" s="2442"/>
      <c r="U59" s="2442"/>
      <c r="V59" s="2442"/>
    </row>
    <row r="60" spans="1:26">
      <c r="A60" s="2443" t="s">
        <v>1883</v>
      </c>
      <c r="B60" s="2444">
        <f t="shared" si="34"/>
        <v>210.630522469011</v>
      </c>
      <c r="C60" s="2444">
        <f t="shared" si="34"/>
        <v>181.69567812247232</v>
      </c>
      <c r="D60" s="2444">
        <f t="shared" si="20"/>
        <v>181.69567812247232</v>
      </c>
      <c r="E60" s="2444">
        <f t="shared" si="35"/>
        <v>286.13517466736738</v>
      </c>
      <c r="F60" s="2444">
        <f t="shared" si="35"/>
        <v>165.47535084591149</v>
      </c>
      <c r="G60" s="3686">
        <v>2009</v>
      </c>
      <c r="H60" s="2458">
        <v>2</v>
      </c>
      <c r="I60" s="2458">
        <v>0.86</v>
      </c>
      <c r="J60" s="2458">
        <v>-1.1299999999999999</v>
      </c>
      <c r="K60" s="2458">
        <v>1.79</v>
      </c>
      <c r="L60" s="2459">
        <v>-2.0699999999999998</v>
      </c>
      <c r="N60" s="2446">
        <f t="shared" si="22"/>
        <v>8.6E-3</v>
      </c>
      <c r="O60" s="2442">
        <f t="shared" si="22"/>
        <v>-1.1299999999999999E-2</v>
      </c>
      <c r="P60" s="2442">
        <f t="shared" si="22"/>
        <v>1.7899999999999999E-2</v>
      </c>
      <c r="Q60" s="2442">
        <f t="shared" si="22"/>
        <v>-2.07E-2</v>
      </c>
      <c r="R60" s="2447"/>
      <c r="S60" s="2446"/>
      <c r="T60" s="2442"/>
      <c r="U60" s="2442"/>
      <c r="V60" s="2442"/>
    </row>
    <row r="61" spans="1:26">
      <c r="A61" s="2443" t="s">
        <v>1884</v>
      </c>
      <c r="B61" s="2444">
        <f t="shared" si="34"/>
        <v>208.83454537875372</v>
      </c>
      <c r="C61" s="2444">
        <f t="shared" si="34"/>
        <v>183.77230517090351</v>
      </c>
      <c r="D61" s="2444">
        <f t="shared" si="20"/>
        <v>183.77230517090351</v>
      </c>
      <c r="E61" s="2444">
        <f t="shared" si="35"/>
        <v>281.10342338870947</v>
      </c>
      <c r="F61" s="2444">
        <f t="shared" si="35"/>
        <v>168.97309388942256</v>
      </c>
      <c r="G61" s="3687">
        <v>2009</v>
      </c>
      <c r="H61" s="2445">
        <v>1</v>
      </c>
      <c r="I61" s="2445">
        <v>-2.64</v>
      </c>
      <c r="J61" s="2445">
        <v>-2.5299999999999998</v>
      </c>
      <c r="K61" s="2445">
        <v>-3.02</v>
      </c>
      <c r="L61" s="2451">
        <v>1.52</v>
      </c>
      <c r="N61" s="2448">
        <f t="shared" si="22"/>
        <v>-2.64E-2</v>
      </c>
      <c r="O61" s="2449">
        <f t="shared" si="22"/>
        <v>-2.53E-2</v>
      </c>
      <c r="P61" s="2449">
        <f t="shared" si="22"/>
        <v>-3.0200000000000001E-2</v>
      </c>
      <c r="Q61" s="2449">
        <f t="shared" si="22"/>
        <v>1.52E-2</v>
      </c>
      <c r="R61" s="2447"/>
      <c r="S61" s="2448">
        <f>B61/B62-1</f>
        <v>-2.4137638417038754E-2</v>
      </c>
      <c r="T61" s="2449">
        <f>C61/C62-1</f>
        <v>-2.248773845264096E-2</v>
      </c>
      <c r="U61" s="2449">
        <f>E61/E62-1</f>
        <v>-2.7323794502735366E-2</v>
      </c>
      <c r="V61" s="2449">
        <f>F61/F62-1</f>
        <v>1.7910204153148035E-2</v>
      </c>
      <c r="X61" s="2442"/>
      <c r="Y61" s="2442"/>
      <c r="Z61" s="2442"/>
    </row>
    <row r="62" spans="1:26" ht="13.5" thickBot="1">
      <c r="A62" s="2443" t="s">
        <v>1885</v>
      </c>
      <c r="B62" s="2488">
        <v>214</v>
      </c>
      <c r="C62" s="2488">
        <v>188</v>
      </c>
      <c r="D62" s="2488">
        <f t="shared" si="20"/>
        <v>188</v>
      </c>
      <c r="E62" s="2488">
        <v>289</v>
      </c>
      <c r="F62" s="2489">
        <v>166</v>
      </c>
      <c r="G62" s="3685">
        <v>2008</v>
      </c>
      <c r="H62" s="2464">
        <v>4</v>
      </c>
      <c r="I62" s="2464">
        <v>1.73</v>
      </c>
      <c r="J62" s="2464">
        <v>0.03</v>
      </c>
      <c r="K62" s="2464">
        <v>2.59</v>
      </c>
      <c r="L62" s="2465">
        <v>-1.66</v>
      </c>
      <c r="N62" s="2446">
        <f t="shared" si="22"/>
        <v>1.7299999999999999E-2</v>
      </c>
      <c r="O62" s="2442">
        <f t="shared" si="22"/>
        <v>2.9999999999999997E-4</v>
      </c>
      <c r="P62" s="2442">
        <f t="shared" si="22"/>
        <v>2.5899999999999999E-2</v>
      </c>
      <c r="Q62" s="2442">
        <f t="shared" si="22"/>
        <v>-1.66E-2</v>
      </c>
      <c r="R62" s="2447"/>
      <c r="S62" s="2456"/>
      <c r="T62" s="2457"/>
      <c r="U62" s="2457"/>
      <c r="V62" s="2457"/>
      <c r="X62" s="2457"/>
      <c r="Y62" s="2457"/>
      <c r="Z62" s="2457"/>
    </row>
    <row r="63" spans="1:26">
      <c r="A63" s="2443" t="s">
        <v>1886</v>
      </c>
      <c r="B63" s="2444">
        <f t="shared" ref="B63:C65" si="36">B62/(1+N62)</f>
        <v>210.36075887152265</v>
      </c>
      <c r="C63" s="2444">
        <f t="shared" si="36"/>
        <v>187.94361691492554</v>
      </c>
      <c r="D63" s="2444">
        <f t="shared" si="20"/>
        <v>187.94361691492554</v>
      </c>
      <c r="E63" s="2444">
        <f t="shared" ref="E63:F65" si="37">E62/(1+P62)</f>
        <v>281.70386977288234</v>
      </c>
      <c r="F63" s="2444">
        <f t="shared" si="37"/>
        <v>168.80211511083994</v>
      </c>
      <c r="G63" s="3686">
        <v>2008</v>
      </c>
      <c r="H63" s="2467">
        <v>3</v>
      </c>
      <c r="I63" s="2467">
        <v>1.96</v>
      </c>
      <c r="J63" s="2467">
        <v>2.36</v>
      </c>
      <c r="K63" s="2467">
        <v>1.82</v>
      </c>
      <c r="L63" s="2468">
        <v>2.2200000000000002</v>
      </c>
      <c r="N63" s="2446">
        <f t="shared" si="22"/>
        <v>1.9599999999999999E-2</v>
      </c>
      <c r="O63" s="2442">
        <f t="shared" si="22"/>
        <v>2.3599999999999999E-2</v>
      </c>
      <c r="P63" s="2442">
        <f t="shared" si="22"/>
        <v>1.8200000000000001E-2</v>
      </c>
      <c r="Q63" s="2442">
        <f t="shared" si="22"/>
        <v>2.2200000000000001E-2</v>
      </c>
      <c r="R63" s="2447"/>
      <c r="S63" s="2446"/>
      <c r="T63" s="2442"/>
      <c r="U63" s="2442"/>
      <c r="V63" s="2442"/>
    </row>
    <row r="64" spans="1:26">
      <c r="A64" s="2443" t="s">
        <v>1887</v>
      </c>
      <c r="B64" s="2444">
        <f t="shared" si="36"/>
        <v>206.31694671589116</v>
      </c>
      <c r="C64" s="2444">
        <f t="shared" si="36"/>
        <v>183.61041121036101</v>
      </c>
      <c r="D64" s="2444">
        <f t="shared" si="20"/>
        <v>183.61041121036101</v>
      </c>
      <c r="E64" s="2444">
        <f t="shared" si="37"/>
        <v>276.66850301795557</v>
      </c>
      <c r="F64" s="2444">
        <f t="shared" si="37"/>
        <v>165.1360938278614</v>
      </c>
      <c r="G64" s="3686">
        <v>2008</v>
      </c>
      <c r="H64" s="2458">
        <v>2</v>
      </c>
      <c r="I64" s="2458">
        <v>4.93</v>
      </c>
      <c r="J64" s="2458">
        <v>7.38</v>
      </c>
      <c r="K64" s="2458">
        <v>3.98</v>
      </c>
      <c r="L64" s="2459">
        <v>6.86</v>
      </c>
      <c r="N64" s="2446">
        <f t="shared" si="22"/>
        <v>4.9299999999999997E-2</v>
      </c>
      <c r="O64" s="2442">
        <f t="shared" si="22"/>
        <v>7.3800000000000004E-2</v>
      </c>
      <c r="P64" s="2442">
        <f t="shared" si="22"/>
        <v>3.9800000000000002E-2</v>
      </c>
      <c r="Q64" s="2442">
        <f t="shared" si="22"/>
        <v>6.8600000000000008E-2</v>
      </c>
      <c r="R64" s="2447"/>
      <c r="S64" s="2446"/>
      <c r="T64" s="2442"/>
      <c r="U64" s="2442"/>
      <c r="V64" s="2442"/>
    </row>
    <row r="65" spans="1:26" s="2494" customFormat="1" ht="13.5" thickBot="1">
      <c r="A65" s="2443" t="s">
        <v>1888</v>
      </c>
      <c r="B65" s="2491">
        <f t="shared" si="36"/>
        <v>196.62341248059772</v>
      </c>
      <c r="C65" s="2491">
        <f t="shared" si="36"/>
        <v>170.99125648199012</v>
      </c>
      <c r="D65" s="2491">
        <f t="shared" si="20"/>
        <v>170.99125648199012</v>
      </c>
      <c r="E65" s="2491">
        <f t="shared" si="37"/>
        <v>266.07857570490052</v>
      </c>
      <c r="F65" s="2491">
        <f t="shared" si="37"/>
        <v>154.53499328828505</v>
      </c>
      <c r="G65" s="3687">
        <v>2008</v>
      </c>
      <c r="H65" s="2492">
        <v>1</v>
      </c>
      <c r="I65" s="2492">
        <v>4.1399999999999997</v>
      </c>
      <c r="J65" s="2492">
        <v>3.45</v>
      </c>
      <c r="K65" s="2492">
        <v>4.95</v>
      </c>
      <c r="L65" s="2493">
        <v>4.82</v>
      </c>
      <c r="N65" s="2495">
        <f t="shared" si="22"/>
        <v>4.1399999999999999E-2</v>
      </c>
      <c r="O65" s="2496">
        <f t="shared" si="22"/>
        <v>3.4500000000000003E-2</v>
      </c>
      <c r="P65" s="2496">
        <f t="shared" si="22"/>
        <v>4.9500000000000002E-2</v>
      </c>
      <c r="Q65" s="2496">
        <f t="shared" si="22"/>
        <v>4.82E-2</v>
      </c>
      <c r="R65" s="2497"/>
      <c r="S65" s="2495">
        <f>B65/B66-1</f>
        <v>4.5869215322328349E-2</v>
      </c>
      <c r="T65" s="2496">
        <f>C65/C66-1</f>
        <v>3.6310645345394743E-2</v>
      </c>
      <c r="U65" s="2496">
        <f>E65/E66-1</f>
        <v>4.7553447657088688E-2</v>
      </c>
      <c r="V65" s="2496">
        <f>F65/F66-1</f>
        <v>4.4155360055980086E-2</v>
      </c>
      <c r="X65" s="2496"/>
      <c r="Y65" s="2496"/>
      <c r="Z65" s="2496"/>
    </row>
    <row r="66" spans="1:26" ht="13.5" thickBot="1">
      <c r="A66" s="2443" t="s">
        <v>1889</v>
      </c>
      <c r="B66" s="2462">
        <v>188</v>
      </c>
      <c r="C66" s="2462">
        <v>165</v>
      </c>
      <c r="D66" s="2462">
        <f t="shared" si="20"/>
        <v>165</v>
      </c>
      <c r="E66" s="2462">
        <v>254</v>
      </c>
      <c r="F66" s="2463">
        <v>148</v>
      </c>
      <c r="G66" s="3685">
        <v>2007</v>
      </c>
      <c r="H66" s="2498">
        <v>4</v>
      </c>
      <c r="I66" s="2498">
        <v>5.51</v>
      </c>
      <c r="J66" s="2498">
        <v>4.8899999999999997</v>
      </c>
      <c r="K66" s="2498">
        <v>6.43</v>
      </c>
      <c r="L66" s="2499">
        <v>5.36</v>
      </c>
      <c r="N66" s="2500">
        <f t="shared" ref="N66:O69" si="38">B66/B67-1</f>
        <v>4.1339718365245526E-2</v>
      </c>
      <c r="O66" s="2501">
        <f t="shared" si="38"/>
        <v>4.0324492593776018E-2</v>
      </c>
      <c r="P66" s="2501">
        <f t="shared" ref="P66:Q69" si="39">E66/E67-1</f>
        <v>6.1625555347990968E-2</v>
      </c>
      <c r="Q66" s="2501">
        <f t="shared" si="39"/>
        <v>4.6757569250590603E-2</v>
      </c>
      <c r="R66" s="2447"/>
      <c r="S66" s="2456"/>
      <c r="T66" s="2457"/>
      <c r="U66" s="2457"/>
      <c r="V66" s="2457"/>
      <c r="X66" s="2457"/>
      <c r="Y66" s="2457"/>
      <c r="Z66" s="2457"/>
    </row>
    <row r="67" spans="1:26">
      <c r="A67" s="2443" t="s">
        <v>1890</v>
      </c>
      <c r="B67" s="2444">
        <f t="shared" ref="B67:C69" si="40">B68+(B$66-B$70)*I67/SUM(I$66:I$69)</f>
        <v>180.5366651097618</v>
      </c>
      <c r="C67" s="2444">
        <f t="shared" si="40"/>
        <v>158.60435967302453</v>
      </c>
      <c r="D67" s="2444">
        <f t="shared" si="20"/>
        <v>158.60435967302453</v>
      </c>
      <c r="E67" s="2444">
        <f t="shared" ref="E67:F69" si="41">E68+(E$66-E$70)*K67/SUM(K$66:K$69)</f>
        <v>239.25573260785075</v>
      </c>
      <c r="F67" s="2444">
        <f t="shared" si="41"/>
        <v>141.38899430740037</v>
      </c>
      <c r="G67" s="3686">
        <v>2007</v>
      </c>
      <c r="H67" s="2467">
        <v>3</v>
      </c>
      <c r="I67" s="2467">
        <v>8.65</v>
      </c>
      <c r="J67" s="2467">
        <v>8.06</v>
      </c>
      <c r="K67" s="2467">
        <v>9.94</v>
      </c>
      <c r="L67" s="2468">
        <v>5.8</v>
      </c>
      <c r="N67" s="2500">
        <f t="shared" si="38"/>
        <v>6.940217571740015E-2</v>
      </c>
      <c r="O67" s="2501">
        <f t="shared" si="38"/>
        <v>7.1197482471153428E-2</v>
      </c>
      <c r="P67" s="2501">
        <f t="shared" si="39"/>
        <v>0.10529679922579582</v>
      </c>
      <c r="Q67" s="2501">
        <f t="shared" si="39"/>
        <v>5.3292245059512133E-2</v>
      </c>
      <c r="R67" s="2447"/>
      <c r="S67" s="2446"/>
      <c r="T67" s="2442"/>
      <c r="U67" s="2442"/>
      <c r="V67" s="2442"/>
      <c r="X67" s="2502"/>
      <c r="Y67" s="2502"/>
      <c r="Z67" s="2502"/>
    </row>
    <row r="68" spans="1:26">
      <c r="A68" s="2443" t="s">
        <v>1891</v>
      </c>
      <c r="B68" s="2444">
        <f t="shared" si="40"/>
        <v>168.82017748715555</v>
      </c>
      <c r="C68" s="2444">
        <f t="shared" si="40"/>
        <v>148.06267029972753</v>
      </c>
      <c r="D68" s="2444">
        <f t="shared" si="20"/>
        <v>148.06267029972753</v>
      </c>
      <c r="E68" s="2444">
        <f t="shared" si="41"/>
        <v>216.46288379323747</v>
      </c>
      <c r="F68" s="2444">
        <f t="shared" si="41"/>
        <v>134.23529411764704</v>
      </c>
      <c r="G68" s="3686">
        <v>2007</v>
      </c>
      <c r="H68" s="2458">
        <v>2</v>
      </c>
      <c r="I68" s="2458">
        <v>3.67</v>
      </c>
      <c r="J68" s="2458">
        <v>2.3199999999999998</v>
      </c>
      <c r="K68" s="2458">
        <v>5.0199999999999996</v>
      </c>
      <c r="L68" s="2459">
        <v>6.71</v>
      </c>
      <c r="N68" s="2500">
        <f t="shared" si="38"/>
        <v>3.0339138143848032E-2</v>
      </c>
      <c r="O68" s="2501">
        <f t="shared" si="38"/>
        <v>2.0922341588790472E-2</v>
      </c>
      <c r="P68" s="2501">
        <f t="shared" si="39"/>
        <v>5.6164796592717003E-2</v>
      </c>
      <c r="Q68" s="2501">
        <f t="shared" si="39"/>
        <v>6.5704536723887319E-2</v>
      </c>
      <c r="R68" s="2447"/>
      <c r="S68" s="2446"/>
      <c r="T68" s="2442"/>
      <c r="U68" s="2442"/>
      <c r="V68" s="2442"/>
      <c r="X68" s="2502"/>
      <c r="Y68" s="2502"/>
      <c r="Z68" s="2502"/>
    </row>
    <row r="69" spans="1:26">
      <c r="A69" s="2443" t="s">
        <v>1892</v>
      </c>
      <c r="B69" s="2444">
        <f t="shared" si="40"/>
        <v>163.84913591779542</v>
      </c>
      <c r="C69" s="2444">
        <f t="shared" si="40"/>
        <v>145.0283378746594</v>
      </c>
      <c r="D69" s="2444">
        <f t="shared" si="20"/>
        <v>145.0283378746594</v>
      </c>
      <c r="E69" s="2444">
        <f t="shared" si="41"/>
        <v>204.95180722891567</v>
      </c>
      <c r="F69" s="2444">
        <f t="shared" si="41"/>
        <v>125.95920303605313</v>
      </c>
      <c r="G69" s="3687">
        <v>2007</v>
      </c>
      <c r="H69" s="2445">
        <v>1</v>
      </c>
      <c r="I69" s="2445">
        <v>3.58</v>
      </c>
      <c r="J69" s="2445">
        <v>3.08</v>
      </c>
      <c r="K69" s="2445">
        <v>4.34</v>
      </c>
      <c r="L69" s="2451">
        <v>3.21</v>
      </c>
      <c r="N69" s="2503">
        <f t="shared" si="38"/>
        <v>3.0497710174814063E-2</v>
      </c>
      <c r="O69" s="2504">
        <f t="shared" si="38"/>
        <v>2.8569772160704998E-2</v>
      </c>
      <c r="P69" s="2504">
        <f t="shared" si="39"/>
        <v>5.1034908866234296E-2</v>
      </c>
      <c r="Q69" s="2504">
        <f t="shared" si="39"/>
        <v>3.245248390207478E-2</v>
      </c>
      <c r="R69" s="2447"/>
      <c r="S69" s="2448">
        <f>B69/B70-1</f>
        <v>3.0497710174814063E-2</v>
      </c>
      <c r="T69" s="2449">
        <f>C69/C70-1</f>
        <v>2.8569772160704998E-2</v>
      </c>
      <c r="U69" s="2449">
        <f>E69/E70-1</f>
        <v>5.1034908866234296E-2</v>
      </c>
      <c r="V69" s="2449">
        <f>F69/F70-1</f>
        <v>3.245248390207478E-2</v>
      </c>
      <c r="X69" s="2502"/>
      <c r="Y69" s="2502"/>
      <c r="Z69" s="2502"/>
    </row>
    <row r="70" spans="1:26" ht="13.5" thickBot="1">
      <c r="A70" s="2443" t="s">
        <v>1893</v>
      </c>
      <c r="B70" s="2469">
        <v>159</v>
      </c>
      <c r="C70" s="2469">
        <v>141</v>
      </c>
      <c r="D70" s="2469">
        <f t="shared" si="20"/>
        <v>141</v>
      </c>
      <c r="E70" s="2469">
        <v>195</v>
      </c>
      <c r="F70" s="2470">
        <v>122</v>
      </c>
      <c r="G70" s="3685">
        <v>2006</v>
      </c>
      <c r="H70" s="2464">
        <v>4</v>
      </c>
      <c r="I70" s="2464">
        <v>3.79</v>
      </c>
      <c r="J70" s="2464">
        <v>2.21</v>
      </c>
      <c r="K70" s="2464">
        <v>5.65</v>
      </c>
      <c r="L70" s="2465">
        <v>5.41</v>
      </c>
      <c r="N70" s="2500">
        <f t="shared" ref="N70:O73" si="42">I70/SUM(I$70:I$73)*(B$70/B$74-1)</f>
        <v>7.245466462748526E-2</v>
      </c>
      <c r="O70" s="2501">
        <f t="shared" si="42"/>
        <v>2.3237230038062766E-2</v>
      </c>
      <c r="P70" s="2501">
        <f t="shared" ref="P70:Q73" si="43">K70/SUM(K$70:K$73)*(E$70/E$74-1)</f>
        <v>0.16146893866323722</v>
      </c>
      <c r="Q70" s="2501">
        <f t="shared" si="43"/>
        <v>5.0755230321793784E-2</v>
      </c>
      <c r="R70" s="2447"/>
      <c r="S70" s="2456"/>
      <c r="T70" s="2457"/>
      <c r="U70" s="2457"/>
      <c r="V70" s="2457"/>
      <c r="X70" s="2502"/>
      <c r="Y70" s="2502"/>
      <c r="Z70" s="2502"/>
    </row>
    <row r="71" spans="1:26">
      <c r="A71" s="2443" t="s">
        <v>1894</v>
      </c>
      <c r="B71" s="2444">
        <f t="shared" ref="B71:C73" si="44">B72+(B$70-B$74)*I71/SUM(I$70:I$73)</f>
        <v>149.00125628140702</v>
      </c>
      <c r="C71" s="2444">
        <f t="shared" si="44"/>
        <v>137.95592286501378</v>
      </c>
      <c r="D71" s="2444">
        <f t="shared" si="20"/>
        <v>137.95592286501378</v>
      </c>
      <c r="E71" s="2444">
        <f t="shared" ref="E71:F73" si="45">E72+(E$70-E$74)*K71/SUM(K$70:K$73)</f>
        <v>169.97231450719823</v>
      </c>
      <c r="F71" s="2444">
        <f t="shared" si="45"/>
        <v>116.21390374331551</v>
      </c>
      <c r="G71" s="3686">
        <v>2006</v>
      </c>
      <c r="H71" s="2467">
        <v>3</v>
      </c>
      <c r="I71" s="2467">
        <v>0.92</v>
      </c>
      <c r="J71" s="2467">
        <v>1.08</v>
      </c>
      <c r="K71" s="2467">
        <v>0.73</v>
      </c>
      <c r="L71" s="2468">
        <v>1.08</v>
      </c>
      <c r="N71" s="2500">
        <f t="shared" si="42"/>
        <v>1.7587939698492462E-2</v>
      </c>
      <c r="O71" s="2501">
        <f t="shared" si="42"/>
        <v>1.1355750425840628E-2</v>
      </c>
      <c r="P71" s="2501">
        <f t="shared" si="43"/>
        <v>2.0862358446754544E-2</v>
      </c>
      <c r="Q71" s="2501">
        <f t="shared" si="43"/>
        <v>1.0132282578103011E-2</v>
      </c>
      <c r="R71" s="2447"/>
      <c r="S71" s="2446"/>
      <c r="T71" s="2442"/>
      <c r="U71" s="2442"/>
      <c r="V71" s="2442"/>
      <c r="X71" s="2502"/>
      <c r="Y71" s="2502"/>
      <c r="Z71" s="2502"/>
    </row>
    <row r="72" spans="1:26">
      <c r="A72" s="2443" t="s">
        <v>1895</v>
      </c>
      <c r="B72" s="2444">
        <f t="shared" si="44"/>
        <v>146.57412060301507</v>
      </c>
      <c r="C72" s="2444">
        <f t="shared" si="44"/>
        <v>136.46831955922866</v>
      </c>
      <c r="D72" s="2444">
        <f t="shared" si="20"/>
        <v>136.46831955922866</v>
      </c>
      <c r="E72" s="2444">
        <f t="shared" si="45"/>
        <v>166.73864894795128</v>
      </c>
      <c r="F72" s="2444">
        <f t="shared" si="45"/>
        <v>115.05882352941177</v>
      </c>
      <c r="G72" s="3686">
        <v>2006</v>
      </c>
      <c r="H72" s="2458">
        <v>2</v>
      </c>
      <c r="I72" s="2458">
        <v>0.96</v>
      </c>
      <c r="J72" s="2458">
        <v>0.25</v>
      </c>
      <c r="K72" s="2458">
        <v>1.9</v>
      </c>
      <c r="L72" s="2459">
        <v>0.95</v>
      </c>
      <c r="N72" s="2500">
        <f t="shared" si="42"/>
        <v>1.8352632728861701E-2</v>
      </c>
      <c r="O72" s="2501">
        <f t="shared" si="42"/>
        <v>2.6286459319075526E-3</v>
      </c>
      <c r="P72" s="2501">
        <f t="shared" si="43"/>
        <v>5.4299289107991269E-2</v>
      </c>
      <c r="Q72" s="2501">
        <f t="shared" si="43"/>
        <v>8.9126559714794995E-3</v>
      </c>
      <c r="R72" s="2447"/>
      <c r="S72" s="2446"/>
      <c r="T72" s="2442"/>
      <c r="U72" s="2442"/>
      <c r="V72" s="2442"/>
      <c r="X72" s="2502"/>
      <c r="Y72" s="2502"/>
      <c r="Z72" s="2502"/>
    </row>
    <row r="73" spans="1:26">
      <c r="A73" s="2443" t="s">
        <v>1896</v>
      </c>
      <c r="B73" s="2444">
        <f t="shared" si="44"/>
        <v>144.04145728643215</v>
      </c>
      <c r="C73" s="2444">
        <f t="shared" si="44"/>
        <v>136.12396694214877</v>
      </c>
      <c r="D73" s="2444">
        <f t="shared" si="20"/>
        <v>136.12396694214877</v>
      </c>
      <c r="E73" s="2444">
        <f t="shared" si="45"/>
        <v>158.32225913621264</v>
      </c>
      <c r="F73" s="2444">
        <f t="shared" si="45"/>
        <v>114.04278074866311</v>
      </c>
      <c r="G73" s="3687">
        <v>2006</v>
      </c>
      <c r="H73" s="2445">
        <v>1</v>
      </c>
      <c r="I73" s="2445">
        <v>2.29</v>
      </c>
      <c r="J73" s="2445">
        <v>3.72</v>
      </c>
      <c r="K73" s="2445">
        <v>0.75</v>
      </c>
      <c r="L73" s="2451">
        <v>0.04</v>
      </c>
      <c r="N73" s="2503">
        <f t="shared" si="42"/>
        <v>4.3778675988638847E-2</v>
      </c>
      <c r="O73" s="2504">
        <f t="shared" si="42"/>
        <v>3.9114251466784385E-2</v>
      </c>
      <c r="P73" s="2504">
        <f t="shared" si="43"/>
        <v>2.1433929911049188E-2</v>
      </c>
      <c r="Q73" s="2504">
        <f t="shared" si="43"/>
        <v>3.7526972511492629E-4</v>
      </c>
      <c r="R73" s="2447"/>
      <c r="S73" s="2448">
        <f>B73/B74-1</f>
        <v>4.3778675988638716E-2</v>
      </c>
      <c r="T73" s="2449">
        <f>C73/C74-1</f>
        <v>3.91142514667846E-2</v>
      </c>
      <c r="U73" s="2449">
        <f>E73/E74-1</f>
        <v>2.143392991104931E-2</v>
      </c>
      <c r="V73" s="2449">
        <f>F73/F74-1</f>
        <v>3.7526972511492396E-4</v>
      </c>
      <c r="X73" s="2502"/>
      <c r="Y73" s="2502"/>
      <c r="Z73" s="2502"/>
    </row>
    <row r="74" spans="1:26" ht="13.5" thickBot="1">
      <c r="A74" s="2443" t="s">
        <v>1897</v>
      </c>
      <c r="B74" s="2469">
        <v>138</v>
      </c>
      <c r="C74" s="2469">
        <v>131</v>
      </c>
      <c r="D74" s="2469">
        <f t="shared" si="20"/>
        <v>131</v>
      </c>
      <c r="E74" s="2469">
        <v>155</v>
      </c>
      <c r="F74" s="2470">
        <v>114</v>
      </c>
      <c r="G74" s="3685">
        <v>2005</v>
      </c>
      <c r="H74" s="2464">
        <v>4</v>
      </c>
      <c r="I74" s="2464">
        <v>3.29</v>
      </c>
      <c r="J74" s="2464">
        <v>1.44</v>
      </c>
      <c r="K74" s="2464">
        <v>0.66</v>
      </c>
      <c r="L74" s="2465">
        <v>7.78</v>
      </c>
      <c r="N74" s="2500">
        <f t="shared" ref="N74:O77" si="46">I74/SUM(I$74:I$77)*(B$74/B$78-1)</f>
        <v>9.9404603216919935E-2</v>
      </c>
      <c r="O74" s="2501">
        <f t="shared" si="46"/>
        <v>4.7636550760861554E-2</v>
      </c>
      <c r="P74" s="2501">
        <f t="shared" ref="P74:Q77" si="47">K74/SUM(K$74:K$77)*(E$74/E$78-1)</f>
        <v>8.3756345177664976E-2</v>
      </c>
      <c r="Q74" s="2501">
        <f t="shared" si="47"/>
        <v>5.2148766661559584E-2</v>
      </c>
      <c r="R74" s="2447"/>
      <c r="S74" s="2456"/>
      <c r="T74" s="2457"/>
      <c r="U74" s="2457"/>
      <c r="V74" s="2457"/>
      <c r="X74" s="2502"/>
      <c r="Y74" s="2502"/>
      <c r="Z74" s="2502"/>
    </row>
    <row r="75" spans="1:26">
      <c r="A75" s="2443" t="s">
        <v>1898</v>
      </c>
      <c r="B75" s="2444">
        <f t="shared" ref="B75:C77" si="48">B76+(B$74-B$78)*I75/SUM(I$74:I$77)</f>
        <v>125.9720430107527</v>
      </c>
      <c r="C75" s="2444">
        <f t="shared" si="48"/>
        <v>125.1883408071749</v>
      </c>
      <c r="D75" s="2444">
        <f t="shared" si="20"/>
        <v>125.1883408071749</v>
      </c>
      <c r="E75" s="2444">
        <f t="shared" ref="E75:F77" si="49">E76+(E$74-E$78)*K75/SUM(K$74:K$77)</f>
        <v>144.61421319796952</v>
      </c>
      <c r="F75" s="2444">
        <f t="shared" si="49"/>
        <v>108.42008196721311</v>
      </c>
      <c r="G75" s="3686">
        <v>2005</v>
      </c>
      <c r="H75" s="2467">
        <v>3</v>
      </c>
      <c r="I75" s="2467">
        <v>0.46</v>
      </c>
      <c r="J75" s="2467">
        <v>0.32</v>
      </c>
      <c r="K75" s="2467">
        <v>0.42</v>
      </c>
      <c r="L75" s="2468">
        <v>0.64</v>
      </c>
      <c r="N75" s="2500">
        <f t="shared" si="46"/>
        <v>1.3898515951301874E-2</v>
      </c>
      <c r="O75" s="2501">
        <f t="shared" si="46"/>
        <v>1.0585900169080346E-2</v>
      </c>
      <c r="P75" s="2501">
        <f t="shared" si="47"/>
        <v>5.3299492385786795E-2</v>
      </c>
      <c r="Q75" s="2501">
        <f t="shared" si="47"/>
        <v>4.2898728359123568E-3</v>
      </c>
      <c r="R75" s="2447"/>
      <c r="S75" s="2446"/>
      <c r="T75" s="2442"/>
      <c r="U75" s="2442"/>
      <c r="V75" s="2442"/>
      <c r="X75" s="2502"/>
      <c r="Y75" s="2502"/>
      <c r="Z75" s="2502"/>
    </row>
    <row r="76" spans="1:26">
      <c r="A76" s="2443" t="s">
        <v>1899</v>
      </c>
      <c r="B76" s="2444">
        <f t="shared" si="48"/>
        <v>124.29032258064517</v>
      </c>
      <c r="C76" s="2444">
        <f t="shared" si="48"/>
        <v>123.8968609865471</v>
      </c>
      <c r="D76" s="2444">
        <f t="shared" si="20"/>
        <v>123.8968609865471</v>
      </c>
      <c r="E76" s="2444">
        <f t="shared" si="49"/>
        <v>138.00507614213197</v>
      </c>
      <c r="F76" s="2444">
        <f t="shared" si="49"/>
        <v>107.96106557377048</v>
      </c>
      <c r="G76" s="3686">
        <v>2005</v>
      </c>
      <c r="H76" s="2458">
        <v>2</v>
      </c>
      <c r="I76" s="2458">
        <v>0.47</v>
      </c>
      <c r="J76" s="2458">
        <v>0.1</v>
      </c>
      <c r="K76" s="2458">
        <v>0.52</v>
      </c>
      <c r="L76" s="2459">
        <v>0.79</v>
      </c>
      <c r="N76" s="2500">
        <f t="shared" si="46"/>
        <v>1.420065760241713E-2</v>
      </c>
      <c r="O76" s="2501">
        <f t="shared" si="46"/>
        <v>3.3080938028376083E-3</v>
      </c>
      <c r="P76" s="2501">
        <f t="shared" si="47"/>
        <v>6.598984771573603E-2</v>
      </c>
      <c r="Q76" s="2501">
        <f t="shared" si="47"/>
        <v>5.2953117818293153E-3</v>
      </c>
      <c r="R76" s="2447"/>
      <c r="S76" s="2446"/>
      <c r="T76" s="2442"/>
      <c r="U76" s="2442"/>
      <c r="V76" s="2442"/>
      <c r="X76" s="2502"/>
      <c r="Y76" s="2502"/>
      <c r="Z76" s="2502"/>
    </row>
    <row r="77" spans="1:26">
      <c r="A77" s="2443" t="s">
        <v>1900</v>
      </c>
      <c r="B77" s="2444">
        <f t="shared" si="48"/>
        <v>122.57204301075269</v>
      </c>
      <c r="C77" s="2444">
        <f t="shared" si="48"/>
        <v>123.4932735426009</v>
      </c>
      <c r="D77" s="2444">
        <f t="shared" si="20"/>
        <v>123.4932735426009</v>
      </c>
      <c r="E77" s="2444">
        <f t="shared" si="49"/>
        <v>129.82233502538071</v>
      </c>
      <c r="F77" s="2444">
        <f t="shared" si="49"/>
        <v>107.39446721311475</v>
      </c>
      <c r="G77" s="3687">
        <v>2005</v>
      </c>
      <c r="H77" s="2445">
        <v>1</v>
      </c>
      <c r="I77" s="2445">
        <v>0.43</v>
      </c>
      <c r="J77" s="2445">
        <v>0.37</v>
      </c>
      <c r="K77" s="2445">
        <v>0.37</v>
      </c>
      <c r="L77" s="2451">
        <v>0.55000000000000004</v>
      </c>
      <c r="N77" s="2503">
        <f t="shared" si="46"/>
        <v>1.2992090997956099E-2</v>
      </c>
      <c r="O77" s="2504">
        <f t="shared" si="46"/>
        <v>1.2239947070499151E-2</v>
      </c>
      <c r="P77" s="2504">
        <f t="shared" si="47"/>
        <v>4.6954314720812178E-2</v>
      </c>
      <c r="Q77" s="2504">
        <f t="shared" si="47"/>
        <v>3.6866094683621815E-3</v>
      </c>
      <c r="R77" s="2447"/>
      <c r="S77" s="2448">
        <f>B77/B78-1</f>
        <v>1.2992090997956174E-2</v>
      </c>
      <c r="T77" s="2449">
        <f>C77/C78-1</f>
        <v>1.2239947070499246E-2</v>
      </c>
      <c r="U77" s="2449">
        <f>E77/E78-1</f>
        <v>4.695431472081224E-2</v>
      </c>
      <c r="V77" s="2449">
        <f>F77/F78-1</f>
        <v>3.6866094683620787E-3</v>
      </c>
      <c r="X77" s="2502"/>
      <c r="Y77" s="2502"/>
      <c r="Z77" s="2502"/>
    </row>
    <row r="78" spans="1:26" ht="13.5" thickBot="1">
      <c r="A78" s="2443" t="s">
        <v>1901</v>
      </c>
      <c r="B78" s="2488">
        <v>121</v>
      </c>
      <c r="C78" s="2488">
        <v>122</v>
      </c>
      <c r="D78" s="2488">
        <f t="shared" si="20"/>
        <v>122</v>
      </c>
      <c r="E78" s="2488">
        <v>124</v>
      </c>
      <c r="F78" s="2489">
        <v>107</v>
      </c>
      <c r="G78" s="3685">
        <v>2004</v>
      </c>
      <c r="H78" s="2464">
        <v>4</v>
      </c>
      <c r="I78" s="2464">
        <v>0.33</v>
      </c>
      <c r="J78" s="2464">
        <v>0.5</v>
      </c>
      <c r="K78" s="2464">
        <v>0.5</v>
      </c>
      <c r="L78" s="2465">
        <v>0</v>
      </c>
      <c r="N78" s="2500">
        <f t="shared" ref="N78:O81" si="50">I78/SUM(I$78:I$81)*(B$78/B$82-1)</f>
        <v>1.3391770148526898E-2</v>
      </c>
      <c r="O78" s="2501">
        <f t="shared" si="50"/>
        <v>1.063264221158958E-2</v>
      </c>
      <c r="P78" s="2501">
        <f t="shared" ref="P78:Q81" si="51">K78/SUM(K$78:K$81)*(E$78/E$82-1)</f>
        <v>2.2244466688911134E-2</v>
      </c>
      <c r="Q78" s="2501">
        <f t="shared" si="51"/>
        <v>0</v>
      </c>
      <c r="R78" s="2447"/>
      <c r="S78" s="2456"/>
      <c r="T78" s="2457"/>
      <c r="U78" s="2457"/>
      <c r="V78" s="2457"/>
      <c r="X78" s="2502"/>
      <c r="Y78" s="2502"/>
      <c r="Z78" s="2502"/>
    </row>
    <row r="79" spans="1:26">
      <c r="A79" s="2443" t="s">
        <v>1902</v>
      </c>
      <c r="B79" s="2444">
        <f t="shared" ref="B79:C81" si="52">B80+(B$78-B$82)*I79/SUM(I$78:I$81)</f>
        <v>119.51351351351352</v>
      </c>
      <c r="C79" s="2444">
        <f t="shared" si="52"/>
        <v>120.7878787878788</v>
      </c>
      <c r="D79" s="2444">
        <f t="shared" si="20"/>
        <v>120.7878787878788</v>
      </c>
      <c r="E79" s="2444">
        <f t="shared" ref="E79:F81" si="53">E80+(E$78-E$82)*K79/SUM(K$78:K$81)</f>
        <v>121.5975975975976</v>
      </c>
      <c r="F79" s="2444">
        <f t="shared" si="53"/>
        <v>107</v>
      </c>
      <c r="G79" s="3686">
        <v>2004</v>
      </c>
      <c r="H79" s="2467">
        <v>3</v>
      </c>
      <c r="I79" s="2467">
        <v>0.56000000000000005</v>
      </c>
      <c r="J79" s="2467">
        <v>0.8</v>
      </c>
      <c r="K79" s="2467">
        <v>0.83</v>
      </c>
      <c r="L79" s="2468">
        <v>0.06</v>
      </c>
      <c r="N79" s="2500">
        <f t="shared" si="50"/>
        <v>2.2725428130833527E-2</v>
      </c>
      <c r="O79" s="2501">
        <f t="shared" si="50"/>
        <v>1.7012227538543329E-2</v>
      </c>
      <c r="P79" s="2501">
        <f t="shared" si="51"/>
        <v>3.6925814703592477E-2</v>
      </c>
      <c r="Q79" s="2501">
        <f t="shared" si="51"/>
        <v>2.8846153846153744E-2</v>
      </c>
      <c r="R79" s="2447"/>
      <c r="S79" s="2446"/>
      <c r="T79" s="2442"/>
      <c r="U79" s="2442"/>
      <c r="V79" s="2442"/>
      <c r="X79" s="2502"/>
      <c r="Y79" s="2502"/>
      <c r="Z79" s="2502"/>
    </row>
    <row r="80" spans="1:26">
      <c r="A80" s="2443" t="s">
        <v>1903</v>
      </c>
      <c r="B80" s="2444">
        <f t="shared" si="52"/>
        <v>116.99099099099099</v>
      </c>
      <c r="C80" s="2444">
        <f t="shared" si="52"/>
        <v>118.84848484848486</v>
      </c>
      <c r="D80" s="2444">
        <f t="shared" si="20"/>
        <v>118.84848484848486</v>
      </c>
      <c r="E80" s="2444">
        <f t="shared" si="53"/>
        <v>117.60960960960961</v>
      </c>
      <c r="F80" s="2444">
        <f t="shared" si="53"/>
        <v>104</v>
      </c>
      <c r="G80" s="3686">
        <v>2004</v>
      </c>
      <c r="H80" s="2458">
        <v>2</v>
      </c>
      <c r="I80" s="2458">
        <v>1</v>
      </c>
      <c r="J80" s="2458">
        <v>1.5</v>
      </c>
      <c r="K80" s="2458">
        <v>1.5</v>
      </c>
      <c r="L80" s="2459">
        <v>0</v>
      </c>
      <c r="N80" s="2500">
        <f t="shared" si="50"/>
        <v>4.0581121662202721E-2</v>
      </c>
      <c r="O80" s="2501">
        <f t="shared" si="50"/>
        <v>3.1897926634768738E-2</v>
      </c>
      <c r="P80" s="2501">
        <f t="shared" si="51"/>
        <v>6.6733400066733395E-2</v>
      </c>
      <c r="Q80" s="2501">
        <f t="shared" si="51"/>
        <v>0</v>
      </c>
      <c r="R80" s="2447"/>
      <c r="S80" s="2446"/>
      <c r="T80" s="2442"/>
      <c r="U80" s="2442"/>
      <c r="V80" s="2442"/>
      <c r="X80" s="2502"/>
      <c r="Y80" s="2502"/>
      <c r="Z80" s="2502"/>
    </row>
    <row r="81" spans="1:26" s="2494" customFormat="1" ht="13.5" thickBot="1">
      <c r="A81" s="2443" t="s">
        <v>1904</v>
      </c>
      <c r="B81" s="2491">
        <f t="shared" si="52"/>
        <v>112.48648648648648</v>
      </c>
      <c r="C81" s="2491">
        <f t="shared" si="52"/>
        <v>115.21212121212122</v>
      </c>
      <c r="D81" s="2491">
        <f t="shared" si="20"/>
        <v>115.21212121212122</v>
      </c>
      <c r="E81" s="2491">
        <f t="shared" si="53"/>
        <v>110.4024024024024</v>
      </c>
      <c r="F81" s="2491">
        <f t="shared" si="53"/>
        <v>104</v>
      </c>
      <c r="G81" s="3687">
        <v>2004</v>
      </c>
      <c r="H81" s="2492">
        <v>1</v>
      </c>
      <c r="I81" s="2492">
        <v>0.33</v>
      </c>
      <c r="J81" s="2492">
        <v>0.5</v>
      </c>
      <c r="K81" s="2492">
        <v>0.5</v>
      </c>
      <c r="L81" s="2493">
        <v>0</v>
      </c>
      <c r="N81" s="2505">
        <f t="shared" si="50"/>
        <v>1.3391770148526898E-2</v>
      </c>
      <c r="O81" s="2506">
        <f t="shared" si="50"/>
        <v>1.063264221158958E-2</v>
      </c>
      <c r="P81" s="2506">
        <f t="shared" si="51"/>
        <v>2.2244466688911134E-2</v>
      </c>
      <c r="Q81" s="2506">
        <f t="shared" si="51"/>
        <v>0</v>
      </c>
      <c r="R81" s="2497"/>
      <c r="S81" s="2495">
        <f>B81/B82-1</f>
        <v>1.3391770148526883E-2</v>
      </c>
      <c r="T81" s="2496">
        <f>C81/C82-1</f>
        <v>1.063264221158966E-2</v>
      </c>
      <c r="U81" s="2496">
        <f>E81/E82-1</f>
        <v>2.2244466688911224E-2</v>
      </c>
      <c r="V81" s="2496">
        <f>F81/F82-1</f>
        <v>0</v>
      </c>
      <c r="X81" s="2507"/>
      <c r="Y81" s="2507"/>
      <c r="Z81" s="2507"/>
    </row>
    <row r="82" spans="1:26" ht="13.5" thickBot="1">
      <c r="A82" s="2443" t="s">
        <v>1905</v>
      </c>
      <c r="B82" s="2508">
        <v>111</v>
      </c>
      <c r="C82" s="2508">
        <v>114</v>
      </c>
      <c r="D82" s="2508">
        <f t="shared" si="20"/>
        <v>114</v>
      </c>
      <c r="E82" s="2508">
        <v>108</v>
      </c>
      <c r="F82" s="2509">
        <v>104</v>
      </c>
      <c r="G82" s="3685">
        <v>2003</v>
      </c>
      <c r="H82" s="2498">
        <v>4</v>
      </c>
      <c r="I82" s="2510"/>
      <c r="J82" s="2510"/>
      <c r="K82" s="2510"/>
      <c r="L82" s="2510"/>
      <c r="N82" s="2511"/>
      <c r="O82" s="2510"/>
      <c r="P82" s="2510"/>
      <c r="Q82" s="2510"/>
      <c r="S82" s="2511"/>
      <c r="T82" s="2510"/>
      <c r="U82" s="2510"/>
      <c r="V82" s="2510"/>
      <c r="X82" s="2502"/>
      <c r="Y82" s="2502"/>
      <c r="Z82" s="2502"/>
    </row>
    <row r="83" spans="1:26">
      <c r="A83" s="2443" t="s">
        <v>1906</v>
      </c>
      <c r="B83" s="2512">
        <f t="shared" ref="B83:C85" si="54">B84+(B$82-B$86)/4</f>
        <v>109.75</v>
      </c>
      <c r="C83" s="2512">
        <f t="shared" si="54"/>
        <v>112.25</v>
      </c>
      <c r="D83" s="2512">
        <f t="shared" si="20"/>
        <v>112.25</v>
      </c>
      <c r="E83" s="2512">
        <f t="shared" ref="E83:F85" si="55">E84+(E$82-E$86)/4</f>
        <v>107.25</v>
      </c>
      <c r="F83" s="2512">
        <f t="shared" si="55"/>
        <v>103.5</v>
      </c>
      <c r="G83" s="3686">
        <v>2003</v>
      </c>
      <c r="H83" s="2467">
        <v>3</v>
      </c>
      <c r="I83" s="2510"/>
      <c r="J83" s="2510"/>
      <c r="K83" s="2510"/>
      <c r="L83" s="2510"/>
      <c r="X83" s="2502"/>
      <c r="Y83" s="2502"/>
      <c r="Z83" s="2502"/>
    </row>
    <row r="84" spans="1:26">
      <c r="A84" s="2443" t="s">
        <v>1907</v>
      </c>
      <c r="B84" s="2512">
        <f t="shared" si="54"/>
        <v>108.5</v>
      </c>
      <c r="C84" s="2512">
        <f t="shared" si="54"/>
        <v>110.5</v>
      </c>
      <c r="D84" s="2512">
        <f t="shared" si="20"/>
        <v>110.5</v>
      </c>
      <c r="E84" s="2512">
        <f t="shared" si="55"/>
        <v>106.5</v>
      </c>
      <c r="F84" s="2512">
        <f t="shared" si="55"/>
        <v>103</v>
      </c>
      <c r="G84" s="3686">
        <v>2003</v>
      </c>
      <c r="H84" s="2458">
        <v>2</v>
      </c>
      <c r="I84" s="2510"/>
      <c r="J84" s="2510"/>
      <c r="K84" s="2510"/>
      <c r="L84" s="2510"/>
      <c r="X84" s="2502"/>
      <c r="Y84" s="2502"/>
      <c r="Z84" s="2502"/>
    </row>
    <row r="85" spans="1:26" ht="13.5" thickBot="1">
      <c r="A85" s="2443" t="s">
        <v>1908</v>
      </c>
      <c r="B85" s="2512">
        <f t="shared" si="54"/>
        <v>107.25</v>
      </c>
      <c r="C85" s="2512">
        <f t="shared" si="54"/>
        <v>108.75</v>
      </c>
      <c r="D85" s="2512">
        <f t="shared" si="20"/>
        <v>108.75</v>
      </c>
      <c r="E85" s="2512">
        <f t="shared" si="55"/>
        <v>105.75</v>
      </c>
      <c r="F85" s="2512">
        <f t="shared" si="55"/>
        <v>102.5</v>
      </c>
      <c r="G85" s="3687">
        <v>2003</v>
      </c>
      <c r="H85" s="2513">
        <v>1</v>
      </c>
      <c r="I85" s="2510"/>
      <c r="J85" s="2510"/>
      <c r="K85" s="2510"/>
      <c r="L85" s="2510"/>
      <c r="S85" s="2446"/>
      <c r="T85" s="2442"/>
      <c r="U85" s="2442"/>
      <c r="X85" s="2502"/>
      <c r="Y85" s="2502"/>
      <c r="Z85" s="2502"/>
    </row>
    <row r="86" spans="1:26" ht="13.5" thickBot="1">
      <c r="A86" s="2443" t="s">
        <v>1909</v>
      </c>
      <c r="B86" s="2514">
        <v>106</v>
      </c>
      <c r="C86" s="2514">
        <v>107</v>
      </c>
      <c r="D86" s="2514">
        <f t="shared" si="20"/>
        <v>107</v>
      </c>
      <c r="E86" s="2514">
        <v>105</v>
      </c>
      <c r="F86" s="2515">
        <v>102</v>
      </c>
      <c r="G86" s="3685">
        <v>2002</v>
      </c>
      <c r="H86" s="2464">
        <v>4</v>
      </c>
      <c r="I86" s="2510"/>
      <c r="J86" s="2510"/>
      <c r="K86" s="2510"/>
      <c r="L86" s="2510"/>
      <c r="N86" s="2511"/>
      <c r="O86" s="2510"/>
      <c r="P86" s="2510"/>
      <c r="Q86" s="2510"/>
      <c r="S86" s="2511"/>
      <c r="T86" s="2510"/>
      <c r="U86" s="2510"/>
      <c r="V86" s="2510"/>
      <c r="X86" s="2502"/>
      <c r="Y86" s="2502"/>
      <c r="Z86" s="2502"/>
    </row>
    <row r="87" spans="1:26">
      <c r="A87" s="2443" t="s">
        <v>1910</v>
      </c>
      <c r="B87" s="2512">
        <f t="shared" ref="B87:C89" si="56">B88+(B$86-B$90)/4</f>
        <v>105</v>
      </c>
      <c r="C87" s="2512">
        <f t="shared" si="56"/>
        <v>106</v>
      </c>
      <c r="D87" s="2512">
        <f t="shared" si="20"/>
        <v>106</v>
      </c>
      <c r="E87" s="2512">
        <f t="shared" ref="E87:F89" si="57">E88+(E$86-E$90)/4</f>
        <v>104.5</v>
      </c>
      <c r="F87" s="2512">
        <f t="shared" si="57"/>
        <v>101.5</v>
      </c>
      <c r="G87" s="3686">
        <v>2002</v>
      </c>
      <c r="H87" s="2467">
        <v>3</v>
      </c>
      <c r="I87" s="2510"/>
      <c r="J87" s="2510"/>
      <c r="K87" s="2510"/>
      <c r="L87" s="2510"/>
      <c r="X87" s="2502"/>
      <c r="Y87" s="2502"/>
      <c r="Z87" s="2502"/>
    </row>
    <row r="88" spans="1:26">
      <c r="A88" s="2443" t="s">
        <v>1911</v>
      </c>
      <c r="B88" s="2512">
        <f t="shared" si="56"/>
        <v>104</v>
      </c>
      <c r="C88" s="2512">
        <f t="shared" si="56"/>
        <v>105</v>
      </c>
      <c r="D88" s="2512">
        <f t="shared" si="20"/>
        <v>105</v>
      </c>
      <c r="E88" s="2512">
        <f t="shared" si="57"/>
        <v>104</v>
      </c>
      <c r="F88" s="2512">
        <f t="shared" si="57"/>
        <v>101</v>
      </c>
      <c r="G88" s="3686">
        <v>2002</v>
      </c>
      <c r="H88" s="2458">
        <v>2</v>
      </c>
      <c r="I88" s="2510"/>
      <c r="J88" s="2510"/>
      <c r="K88" s="2510"/>
      <c r="L88" s="2510"/>
      <c r="X88" s="2502"/>
      <c r="Y88" s="2502"/>
      <c r="Z88" s="2502"/>
    </row>
    <row r="89" spans="1:26" s="2477" customFormat="1" ht="13.5" thickBot="1">
      <c r="A89" s="2473" t="s">
        <v>1912</v>
      </c>
      <c r="B89" s="2480">
        <f t="shared" si="56"/>
        <v>103</v>
      </c>
      <c r="C89" s="2480">
        <f t="shared" si="56"/>
        <v>104</v>
      </c>
      <c r="D89" s="2480">
        <f t="shared" si="20"/>
        <v>104</v>
      </c>
      <c r="E89" s="2480">
        <f t="shared" si="57"/>
        <v>103.5</v>
      </c>
      <c r="F89" s="2480">
        <f t="shared" si="57"/>
        <v>100.5</v>
      </c>
      <c r="G89" s="3687">
        <v>2002</v>
      </c>
      <c r="H89" s="2516">
        <v>1</v>
      </c>
      <c r="I89" s="2517"/>
      <c r="J89" s="2517"/>
      <c r="K89" s="2517"/>
      <c r="L89" s="2517"/>
      <c r="N89" s="2518"/>
      <c r="S89" s="2518"/>
      <c r="X89" s="2519"/>
      <c r="Y89" s="2519"/>
      <c r="Z89" s="2519"/>
    </row>
    <row r="90" spans="1:26" ht="13.5" thickBot="1">
      <c r="B90" s="2520">
        <v>102</v>
      </c>
      <c r="C90" s="2521">
        <v>103</v>
      </c>
      <c r="D90" s="2521">
        <f t="shared" si="20"/>
        <v>103</v>
      </c>
      <c r="E90" s="2521">
        <v>103</v>
      </c>
      <c r="F90" s="2522">
        <v>100</v>
      </c>
      <c r="I90" s="2510"/>
      <c r="J90" s="2510"/>
      <c r="K90" s="2510"/>
      <c r="L90" s="2510"/>
      <c r="N90" s="2511"/>
      <c r="O90" s="2510"/>
      <c r="P90" s="2510"/>
      <c r="Q90" s="2510"/>
      <c r="S90" s="2511"/>
      <c r="T90" s="2510"/>
      <c r="U90" s="2510"/>
      <c r="V90" s="2510"/>
      <c r="X90" s="2457"/>
      <c r="Y90" s="2457"/>
      <c r="Z90" s="2457"/>
    </row>
    <row r="92" spans="1:26" s="2524" customFormat="1">
      <c r="A92" s="2523" t="s">
        <v>1913</v>
      </c>
      <c r="G92" s="2525"/>
      <c r="N92" s="2525"/>
      <c r="S92" s="2525"/>
    </row>
    <row r="93" spans="1:26" s="2524" customFormat="1">
      <c r="A93" s="2524" t="s">
        <v>1914</v>
      </c>
      <c r="G93" s="2525"/>
      <c r="N93" s="2525"/>
      <c r="S93" s="2525"/>
    </row>
    <row r="94" spans="1:26" s="2524" customFormat="1">
      <c r="A94" s="2524" t="s">
        <v>1915</v>
      </c>
      <c r="G94" s="2525"/>
      <c r="I94" s="2526"/>
      <c r="J94" s="2526"/>
      <c r="K94" s="2526"/>
      <c r="L94" s="2526"/>
      <c r="N94" s="2527"/>
      <c r="O94" s="2526"/>
      <c r="P94" s="2526"/>
      <c r="Q94" s="2526"/>
      <c r="S94" s="2527"/>
      <c r="T94" s="2526"/>
      <c r="U94" s="2526"/>
      <c r="V94" s="2526"/>
    </row>
    <row r="95" spans="1:26" s="2524" customFormat="1">
      <c r="A95" s="2524" t="s">
        <v>1916</v>
      </c>
      <c r="G95" s="2525"/>
      <c r="N95" s="2525"/>
      <c r="S95" s="2525"/>
    </row>
    <row r="102" spans="7:22" ht="13.5" thickBot="1"/>
    <row r="103" spans="7:22">
      <c r="G103" s="2441"/>
      <c r="S103" s="2528" t="s">
        <v>1917</v>
      </c>
      <c r="T103" s="2467" t="s">
        <v>1918</v>
      </c>
      <c r="U103" s="2467" t="s">
        <v>1919</v>
      </c>
      <c r="V103" s="2467" t="s">
        <v>1920</v>
      </c>
    </row>
    <row r="104" spans="7:22">
      <c r="G104" s="2441"/>
      <c r="N104" s="2456"/>
      <c r="O104" s="2457"/>
      <c r="P104" s="2457"/>
      <c r="Q104" s="2457"/>
      <c r="S104" s="2529">
        <v>2006</v>
      </c>
      <c r="T104" s="2458">
        <v>15.1</v>
      </c>
      <c r="U104" s="2458">
        <v>7.43</v>
      </c>
      <c r="V104" s="2458">
        <v>26.26</v>
      </c>
    </row>
    <row r="105" spans="7:22">
      <c r="G105" s="2441"/>
      <c r="N105" s="2456"/>
      <c r="O105" s="2457"/>
      <c r="P105" s="2457"/>
      <c r="Q105" s="2457"/>
      <c r="S105" s="2530">
        <v>2005</v>
      </c>
      <c r="T105" s="2445">
        <v>13.9</v>
      </c>
      <c r="U105" s="2445">
        <v>7.49</v>
      </c>
      <c r="V105" s="2445">
        <v>24.92</v>
      </c>
    </row>
    <row r="106" spans="7:22">
      <c r="G106" s="2441"/>
      <c r="N106" s="2456"/>
      <c r="O106" s="2457"/>
      <c r="P106" s="2457"/>
      <c r="Q106" s="2457"/>
      <c r="S106" s="2529">
        <v>2004</v>
      </c>
      <c r="T106" s="2458">
        <v>9.48</v>
      </c>
      <c r="U106" s="2458">
        <v>7.2</v>
      </c>
      <c r="V106" s="2458">
        <v>14.68</v>
      </c>
    </row>
    <row r="107" spans="7:22">
      <c r="G107" s="2441"/>
      <c r="N107" s="2456"/>
      <c r="O107" s="2457"/>
      <c r="P107" s="2457"/>
      <c r="Q107" s="2457"/>
      <c r="S107" s="2530">
        <v>2003</v>
      </c>
      <c r="T107" s="2445">
        <v>4.5</v>
      </c>
      <c r="U107" s="2445">
        <v>6.12</v>
      </c>
      <c r="V107" s="2445">
        <v>2.34</v>
      </c>
    </row>
    <row r="108" spans="7:22" ht="13.5" thickBot="1">
      <c r="G108" s="2441"/>
      <c r="N108" s="2456"/>
      <c r="O108" s="2457"/>
      <c r="P108" s="2457"/>
      <c r="Q108" s="2457"/>
      <c r="S108" s="2531">
        <v>2002</v>
      </c>
      <c r="T108" s="2464">
        <v>3.59</v>
      </c>
      <c r="U108" s="2464">
        <v>4.54</v>
      </c>
      <c r="V108" s="2464">
        <v>2.5499999999999998</v>
      </c>
    </row>
    <row r="109" spans="7:22">
      <c r="G109" s="2441"/>
      <c r="N109" s="2456"/>
      <c r="O109" s="2457"/>
      <c r="P109" s="2457"/>
      <c r="Q109" s="2457"/>
    </row>
    <row r="110" spans="7:22">
      <c r="G110" s="2441"/>
      <c r="N110" s="2456"/>
      <c r="O110" s="2457"/>
      <c r="P110" s="2457"/>
      <c r="Q110" s="2457"/>
    </row>
    <row r="111" spans="7:22">
      <c r="G111" s="2441"/>
      <c r="N111" s="2456"/>
      <c r="O111" s="2457"/>
      <c r="P111" s="2457"/>
      <c r="Q111" s="2457"/>
    </row>
    <row r="112" spans="7:22">
      <c r="G112" s="2441"/>
      <c r="N112" s="2456"/>
      <c r="O112" s="2457"/>
      <c r="P112" s="2457"/>
      <c r="Q112" s="2457"/>
    </row>
    <row r="113" spans="7:19">
      <c r="G113" s="2441"/>
      <c r="N113" s="2456"/>
      <c r="O113" s="2457"/>
      <c r="P113" s="2457"/>
      <c r="Q113" s="2457"/>
    </row>
    <row r="114" spans="7:19">
      <c r="G114" s="2441"/>
      <c r="N114" s="2456"/>
      <c r="O114" s="2457"/>
      <c r="P114" s="2457"/>
      <c r="Q114" s="2457"/>
    </row>
    <row r="115" spans="7:19">
      <c r="G115" s="2441"/>
      <c r="N115" s="2456"/>
      <c r="O115" s="2457"/>
      <c r="P115" s="2457"/>
      <c r="Q115" s="2457"/>
    </row>
    <row r="116" spans="7:19">
      <c r="G116" s="2441"/>
      <c r="N116" s="2456"/>
      <c r="O116" s="2457"/>
      <c r="P116" s="2457"/>
      <c r="Q116" s="2457"/>
    </row>
    <row r="117" spans="7:19">
      <c r="G117" s="2441"/>
      <c r="N117" s="2456"/>
      <c r="O117" s="2457"/>
      <c r="P117" s="2457"/>
      <c r="Q117" s="2457"/>
    </row>
    <row r="118" spans="7:19">
      <c r="G118" s="2441"/>
      <c r="N118" s="2456"/>
      <c r="O118" s="2457"/>
      <c r="P118" s="2457"/>
      <c r="Q118" s="2457"/>
    </row>
    <row r="119" spans="7:19">
      <c r="G119" s="2441"/>
      <c r="N119" s="2456"/>
      <c r="O119" s="2457"/>
      <c r="P119" s="2457"/>
      <c r="Q119" s="2457"/>
      <c r="S119" s="2441"/>
    </row>
    <row r="120" spans="7:19">
      <c r="G120" s="2441"/>
      <c r="N120" s="2456"/>
      <c r="O120" s="2457"/>
      <c r="P120" s="2457"/>
      <c r="Q120" s="2457"/>
      <c r="S120" s="2441"/>
    </row>
    <row r="121" spans="7:19">
      <c r="G121" s="2441"/>
      <c r="N121" s="2456"/>
      <c r="O121" s="2457"/>
      <c r="P121" s="2457"/>
      <c r="Q121" s="2457"/>
      <c r="S121" s="2441"/>
    </row>
    <row r="122" spans="7:19">
      <c r="G122" s="2441"/>
      <c r="N122" s="2456"/>
      <c r="O122" s="2457"/>
      <c r="P122" s="2457"/>
      <c r="Q122" s="2457"/>
      <c r="S122" s="2441"/>
    </row>
    <row r="123" spans="7:19">
      <c r="G123" s="2441"/>
      <c r="N123" s="2456"/>
      <c r="O123" s="2457"/>
      <c r="P123" s="2457"/>
      <c r="Q123" s="2457"/>
      <c r="S123" s="2441"/>
    </row>
    <row r="124" spans="7:19">
      <c r="G124" s="2441"/>
      <c r="N124" s="2456"/>
      <c r="O124" s="2457"/>
      <c r="P124" s="2457"/>
      <c r="Q124" s="2457"/>
      <c r="S124" s="2441"/>
    </row>
  </sheetData>
  <sheetProtection formatCells="0" formatColumns="0" formatRows="0"/>
  <mergeCells count="23">
    <mergeCell ref="G26:G29"/>
    <mergeCell ref="G22:G25"/>
    <mergeCell ref="G50:G53"/>
    <mergeCell ref="G54:G57"/>
    <mergeCell ref="G58:G61"/>
    <mergeCell ref="G30:G33"/>
    <mergeCell ref="G34:G37"/>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s>
  <phoneticPr fontId="224"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A1:AD44"/>
  <sheetViews>
    <sheetView zoomScale="90" zoomScaleNormal="90" workbookViewId="0">
      <selection activeCell="H3" sqref="H3"/>
    </sheetView>
  </sheetViews>
  <sheetFormatPr defaultRowHeight="13.5"/>
  <cols>
    <col min="1" max="1" width="12.375" customWidth="1"/>
    <col min="11" max="17" width="0" hidden="1" customWidth="1"/>
    <col min="24" max="30" width="0" hidden="1" customWidth="1"/>
  </cols>
  <sheetData>
    <row r="1" spans="1:30">
      <c r="A1" s="3133">
        <f>基准地价!G23</f>
        <v>45483</v>
      </c>
      <c r="B1" s="3090" t="s">
        <v>2793</v>
      </c>
      <c r="C1" s="3091"/>
      <c r="D1" s="3091"/>
      <c r="E1" s="3091"/>
      <c r="F1" s="3091"/>
      <c r="G1" s="3091"/>
      <c r="H1" s="3091"/>
      <c r="I1" s="3091"/>
      <c r="J1" s="3092"/>
      <c r="K1" s="3091" t="s">
        <v>2794</v>
      </c>
      <c r="L1" s="3091"/>
      <c r="M1" s="3091"/>
      <c r="N1" s="3091"/>
      <c r="O1" s="3091"/>
      <c r="P1" s="3091"/>
      <c r="Q1" s="3092"/>
      <c r="R1" s="3693" t="s">
        <v>2803</v>
      </c>
      <c r="S1" s="3694"/>
      <c r="T1" s="3694"/>
      <c r="U1" s="3694"/>
      <c r="V1" s="3694"/>
      <c r="W1" s="3694"/>
      <c r="X1" s="3092"/>
      <c r="Y1" s="3693" t="s">
        <v>2814</v>
      </c>
      <c r="Z1" s="3694"/>
      <c r="AA1" s="3694"/>
      <c r="AB1" s="3694"/>
      <c r="AC1" s="3694"/>
      <c r="AD1" s="3694"/>
    </row>
    <row r="2" spans="1:30" ht="14.25" thickBot="1">
      <c r="A2" s="3085"/>
      <c r="B2" s="3093"/>
      <c r="C2" s="3094"/>
      <c r="D2" s="2424" t="s">
        <v>2796</v>
      </c>
      <c r="E2" s="2425" t="s">
        <v>2797</v>
      </c>
      <c r="F2" s="2425" t="s">
        <v>2798</v>
      </c>
      <c r="G2" s="2425" t="s">
        <v>2799</v>
      </c>
      <c r="H2" s="2425" t="s">
        <v>2800</v>
      </c>
      <c r="I2" s="2425" t="s">
        <v>2741</v>
      </c>
      <c r="J2" s="3095"/>
      <c r="K2" s="2424" t="s">
        <v>2796</v>
      </c>
      <c r="L2" s="2425" t="s">
        <v>2797</v>
      </c>
      <c r="M2" s="2425" t="s">
        <v>2798</v>
      </c>
      <c r="N2" s="2425" t="s">
        <v>2799</v>
      </c>
      <c r="O2" s="2425" t="s">
        <v>2800</v>
      </c>
      <c r="P2" s="2425" t="s">
        <v>2741</v>
      </c>
      <c r="Q2" s="3095"/>
      <c r="R2" s="2424" t="s">
        <v>2804</v>
      </c>
      <c r="S2" s="2425" t="s">
        <v>2805</v>
      </c>
      <c r="T2" s="2425" t="s">
        <v>2806</v>
      </c>
      <c r="U2" s="2425" t="s">
        <v>2807</v>
      </c>
      <c r="V2" s="2425" t="s">
        <v>2808</v>
      </c>
      <c r="W2" s="2425" t="s">
        <v>2809</v>
      </c>
      <c r="X2" s="3095"/>
      <c r="Y2" s="2424" t="s">
        <v>2796</v>
      </c>
      <c r="Z2" s="2425" t="s">
        <v>1470</v>
      </c>
      <c r="AA2" s="2425" t="s">
        <v>2815</v>
      </c>
      <c r="AB2" s="2425" t="s">
        <v>1469</v>
      </c>
      <c r="AC2" s="2425" t="s">
        <v>2800</v>
      </c>
      <c r="AD2" s="2425" t="s">
        <v>2458</v>
      </c>
    </row>
    <row r="3" spans="1:30">
      <c r="A3" s="3086" t="s">
        <v>2784</v>
      </c>
      <c r="B3" s="3096"/>
      <c r="C3" s="3097"/>
      <c r="D3" s="3097">
        <f>ROUND(AVERAGEIF(D4:D19,"&lt;&gt;0"),2)</f>
        <v>0.68</v>
      </c>
      <c r="E3" s="3097">
        <f>ROUND(AVERAGEIF(E4:E19,"&lt;&gt;0"),2)</f>
        <v>0.4</v>
      </c>
      <c r="F3" s="3097">
        <f>ROUND(AVERAGEIF(F4:F19,"&lt;&gt;0"),2)</f>
        <v>0.17</v>
      </c>
      <c r="G3" s="3097">
        <f>ROUND(AVERAGEIF(G4:G19,"&lt;&gt;0"),2)</f>
        <v>0.74</v>
      </c>
      <c r="H3" s="3097">
        <f>ROUND(AVERAGEIF(H4:H19,"&lt;&gt;0"),2)</f>
        <v>0.62</v>
      </c>
      <c r="I3" s="3097">
        <f>F3</f>
        <v>0.17</v>
      </c>
      <c r="J3" s="3098"/>
      <c r="K3" s="3099">
        <f>ROUND(AVERAGEIF(K4:K19,"&lt;&gt;0"),4)</f>
        <v>6.7999999999999996E-3</v>
      </c>
      <c r="L3" s="3100">
        <f>ROUND(AVERAGEIF(L4:L19,"&lt;&gt;0"),4)</f>
        <v>4.0000000000000001E-3</v>
      </c>
      <c r="M3" s="3100">
        <f>ROUND(AVERAGEIF(M4:M19,"&lt;&gt;0"),4)</f>
        <v>1.6999999999999999E-3</v>
      </c>
      <c r="N3" s="3100">
        <f>ROUND(AVERAGEIF(N4:N19,"&lt;&gt;0"),4)</f>
        <v>7.4000000000000003E-3</v>
      </c>
      <c r="O3" s="3100">
        <f>ROUND(AVERAGEIF(O4:O19,"&lt;&gt;0"),4)</f>
        <v>6.1999999999999998E-3</v>
      </c>
      <c r="P3" s="3100">
        <f>M3</f>
        <v>1.6999999999999999E-3</v>
      </c>
      <c r="Q3" s="3098"/>
      <c r="R3" s="3113">
        <f>ROUND(SUMPRODUCT(PRODUCT(1+K4:K19)),4)</f>
        <v>1.0916999999999999</v>
      </c>
      <c r="S3" s="3114">
        <f>ROUND(SUMPRODUCT(PRODUCT(1+L4:L19)),4)</f>
        <v>1.0537000000000001</v>
      </c>
      <c r="T3" s="3114">
        <f>ROUND(SUMPRODUCT(PRODUCT(1+M4:M19)),4)</f>
        <v>1.0224</v>
      </c>
      <c r="U3" s="3114">
        <f>ROUND(SUMPRODUCT(PRODUCT(1+N4:N19)),4)</f>
        <v>1.1008</v>
      </c>
      <c r="V3" s="3114">
        <f>ROUND(SUMPRODUCT(PRODUCT(1+O4:O19)),4)</f>
        <v>1.0843</v>
      </c>
      <c r="W3" s="3113">
        <f>T3</f>
        <v>1.0224</v>
      </c>
      <c r="X3" s="3098"/>
      <c r="Y3" s="3120">
        <f>ROUND(AVERAGEIF(Y6:Y19,"&lt;&gt;0"),4)</f>
        <v>8.3000000000000001E-3</v>
      </c>
      <c r="Z3" s="3121">
        <f>ROUND(AVERAGEIF(Z6:Z19,"&lt;&gt;0"),4)</f>
        <v>3.7000000000000002E-3</v>
      </c>
      <c r="AA3" s="3122">
        <f>ROUND(AVERAGEIF(AA6:AA19,"&lt;&gt;0"),4)</f>
        <v>1.2999999999999999E-3</v>
      </c>
      <c r="AB3" s="3120">
        <f>ROUND(AVERAGEIF(AB6:AB19,"&lt;&gt;0"),4)</f>
        <v>8.9999999999999993E-3</v>
      </c>
      <c r="AC3" s="3123">
        <f>ROUND(AVERAGEIF(AC6:AC19,"&lt;&gt;0"),4)</f>
        <v>6.1999999999999998E-3</v>
      </c>
      <c r="AD3" s="3120">
        <f>AA3</f>
        <v>1.2999999999999999E-3</v>
      </c>
    </row>
    <row r="4" spans="1:30">
      <c r="A4" s="2440"/>
      <c r="B4" s="3134"/>
      <c r="C4" s="3135"/>
      <c r="D4" s="3135"/>
      <c r="E4" s="3135"/>
      <c r="F4" s="3135"/>
      <c r="G4" s="3135"/>
      <c r="H4" s="3135"/>
      <c r="I4" s="3135"/>
      <c r="J4" s="3092"/>
      <c r="K4" s="3102"/>
      <c r="L4" s="3103"/>
      <c r="M4" s="3103"/>
      <c r="N4" s="3103"/>
      <c r="O4" s="3103"/>
      <c r="P4" s="3103"/>
      <c r="Q4" s="3092"/>
      <c r="R4" s="3115"/>
      <c r="S4" s="3116"/>
      <c r="T4" s="3117"/>
      <c r="U4" s="3115"/>
      <c r="V4" s="3118"/>
      <c r="W4" s="3115"/>
      <c r="X4" s="3092"/>
      <c r="Y4" s="3106"/>
      <c r="Z4" s="3124"/>
      <c r="AA4" s="3125"/>
      <c r="AB4" s="3106"/>
      <c r="AC4" s="3126"/>
      <c r="AD4" s="3106"/>
    </row>
    <row r="5" spans="1:30">
      <c r="A5" s="3389" t="s">
        <v>3266</v>
      </c>
      <c r="B5" s="3136">
        <v>2024</v>
      </c>
      <c r="C5" s="3137">
        <v>3</v>
      </c>
      <c r="D5" s="3137">
        <v>0</v>
      </c>
      <c r="E5" s="3137">
        <v>0</v>
      </c>
      <c r="F5" s="3137">
        <v>0</v>
      </c>
      <c r="G5" s="3137">
        <v>0</v>
      </c>
      <c r="H5" s="3137">
        <v>0</v>
      </c>
      <c r="I5" s="3138">
        <f t="shared" ref="I5" si="0">F5</f>
        <v>0</v>
      </c>
      <c r="J5" s="3104"/>
      <c r="K5" s="3105">
        <f t="shared" ref="K5" si="1">D5/100</f>
        <v>0</v>
      </c>
      <c r="L5" s="3106">
        <f t="shared" ref="L5" si="2">E5/100</f>
        <v>0</v>
      </c>
      <c r="M5" s="3106">
        <f t="shared" ref="M5" si="3">F5/100</f>
        <v>0</v>
      </c>
      <c r="N5" s="3106">
        <f t="shared" ref="N5" si="4">G5/100</f>
        <v>0</v>
      </c>
      <c r="O5" s="3106">
        <f t="shared" ref="O5" si="5">H5/100</f>
        <v>0</v>
      </c>
      <c r="P5" s="3106">
        <f>M5</f>
        <v>0</v>
      </c>
      <c r="Q5" s="3104"/>
      <c r="R5" s="3115">
        <f>ROUND(IF(项目基本情况!$B$8="出让",SUMPRODUCT(PRODUCT(1+K5:$K$19)),SUMPRODUCT(PRODUCT(1+K5:$K$18))),4)</f>
        <v>1.0811999999999999</v>
      </c>
      <c r="S5" s="3115">
        <f>ROUND(IF(项目基本情况!$B$8="出让",SUMPRODUCT(PRODUCT(1+L5:$L$19)),SUMPRODUCT(PRODUCT(1+L5:$L$18))),4)</f>
        <v>1.052</v>
      </c>
      <c r="T5" s="3115">
        <f>ROUND(IF(项目基本情况!$B$8="出让",SUMPRODUCT(PRODUCT(1+M5:$M$19)),SUMPRODUCT(PRODUCT(1+M5:$M$18))),4)</f>
        <v>1.0249999999999999</v>
      </c>
      <c r="U5" s="3115">
        <f>ROUND(IF(项目基本情况!$B$8="出让",SUMPRODUCT(PRODUCT(1+N5:$N$19)),SUMPRODUCT(PRODUCT(1+N5:$N$18))),4)</f>
        <v>1.0888</v>
      </c>
      <c r="V5" s="3115">
        <f>ROUND(IF(项目基本情况!$B$8="出让",SUMPRODUCT(PRODUCT(1+O5:$O$19)),SUMPRODUCT(PRODUCT(1+O5:$O$18))),4)</f>
        <v>1.0804</v>
      </c>
      <c r="W5" s="3115">
        <f>T5</f>
        <v>1.0249999999999999</v>
      </c>
      <c r="X5" s="3104"/>
      <c r="Y5" s="3106">
        <f t="shared" ref="Y5:AC6" si="6">IF(D5=0,0,ROUND(AVERAGE(D5:D18)/100,4))</f>
        <v>0</v>
      </c>
      <c r="Z5" s="3106">
        <f t="shared" si="6"/>
        <v>0</v>
      </c>
      <c r="AA5" s="3106">
        <f t="shared" si="6"/>
        <v>0</v>
      </c>
      <c r="AB5" s="3106">
        <f t="shared" si="6"/>
        <v>0</v>
      </c>
      <c r="AC5" s="3106">
        <f t="shared" si="6"/>
        <v>0</v>
      </c>
      <c r="AD5" s="3106">
        <f t="shared" ref="AD5" si="7">AA5</f>
        <v>0</v>
      </c>
    </row>
    <row r="6" spans="1:30">
      <c r="A6" s="3389" t="s">
        <v>3260</v>
      </c>
      <c r="B6" s="3136">
        <v>2024</v>
      </c>
      <c r="C6" s="3137">
        <v>2</v>
      </c>
      <c r="D6" s="3137">
        <v>0</v>
      </c>
      <c r="E6" s="3137">
        <v>0</v>
      </c>
      <c r="F6" s="3137">
        <v>0</v>
      </c>
      <c r="G6" s="3137">
        <v>0</v>
      </c>
      <c r="H6" s="3137">
        <v>0</v>
      </c>
      <c r="I6" s="3138">
        <f t="shared" ref="I6:I19" si="8">F6</f>
        <v>0</v>
      </c>
      <c r="J6" s="3104"/>
      <c r="K6" s="3105">
        <f t="shared" ref="K6:O19" si="9">D6/100</f>
        <v>0</v>
      </c>
      <c r="L6" s="3106">
        <f t="shared" si="9"/>
        <v>0</v>
      </c>
      <c r="M6" s="3106">
        <f t="shared" si="9"/>
        <v>0</v>
      </c>
      <c r="N6" s="3106">
        <f t="shared" si="9"/>
        <v>0</v>
      </c>
      <c r="O6" s="3106">
        <f t="shared" si="9"/>
        <v>0</v>
      </c>
      <c r="P6" s="3106">
        <f>M6</f>
        <v>0</v>
      </c>
      <c r="Q6" s="3104"/>
      <c r="R6" s="3115">
        <f>ROUND(IF(项目基本情况!$B$8="出让",SUMPRODUCT(PRODUCT(1+K6:$K$19)),SUMPRODUCT(PRODUCT(1+K6:$K$18))),4)</f>
        <v>1.0811999999999999</v>
      </c>
      <c r="S6" s="3115">
        <f>ROUND(IF(项目基本情况!$B$8="出让",SUMPRODUCT(PRODUCT(1+L6:$L$19)),SUMPRODUCT(PRODUCT(1+L6:$L$18))),4)</f>
        <v>1.052</v>
      </c>
      <c r="T6" s="3115">
        <f>ROUND(IF(项目基本情况!$B$8="出让",SUMPRODUCT(PRODUCT(1+M6:$M$19)),SUMPRODUCT(PRODUCT(1+M6:$M$18))),4)</f>
        <v>1.0249999999999999</v>
      </c>
      <c r="U6" s="3115">
        <f>ROUND(IF(项目基本情况!$B$8="出让",SUMPRODUCT(PRODUCT(1+N6:$N$19)),SUMPRODUCT(PRODUCT(1+N6:$N$18))),4)</f>
        <v>1.0888</v>
      </c>
      <c r="V6" s="3115">
        <f>ROUND(IF(项目基本情况!$B$8="出让",SUMPRODUCT(PRODUCT(1+O6:$O$19)),SUMPRODUCT(PRODUCT(1+O6:$O$18))),4)</f>
        <v>1.0804</v>
      </c>
      <c r="W6" s="3115">
        <f>T6</f>
        <v>1.0249999999999999</v>
      </c>
      <c r="X6" s="3104"/>
      <c r="Y6" s="3106">
        <f t="shared" si="6"/>
        <v>0</v>
      </c>
      <c r="Z6" s="3106">
        <f t="shared" si="6"/>
        <v>0</v>
      </c>
      <c r="AA6" s="3106">
        <f t="shared" si="6"/>
        <v>0</v>
      </c>
      <c r="AB6" s="3106">
        <f t="shared" si="6"/>
        <v>0</v>
      </c>
      <c r="AC6" s="3106">
        <f t="shared" si="6"/>
        <v>0</v>
      </c>
      <c r="AD6" s="3106">
        <f t="shared" ref="AD6:AD18" si="10">AA6</f>
        <v>0</v>
      </c>
    </row>
    <row r="7" spans="1:30">
      <c r="A7" s="3088" t="s">
        <v>3262</v>
      </c>
      <c r="B7" s="3139">
        <v>2024</v>
      </c>
      <c r="C7" s="3140">
        <v>1</v>
      </c>
      <c r="D7" s="3140">
        <v>0.08</v>
      </c>
      <c r="E7" s="3140">
        <v>0.46</v>
      </c>
      <c r="F7" s="3140">
        <v>-0.16</v>
      </c>
      <c r="G7" s="3140">
        <v>0.26</v>
      </c>
      <c r="H7" s="3141">
        <v>0.59</v>
      </c>
      <c r="I7" s="3142">
        <f t="shared" si="8"/>
        <v>-0.16</v>
      </c>
      <c r="J7" s="3107"/>
      <c r="K7" s="3108">
        <f t="shared" ref="K7" si="11">D7/100</f>
        <v>8.0000000000000004E-4</v>
      </c>
      <c r="L7" s="3109">
        <f t="shared" ref="L7" si="12">E7/100</f>
        <v>4.5999999999999999E-3</v>
      </c>
      <c r="M7" s="3109">
        <f t="shared" ref="M7" si="13">F7/100</f>
        <v>-1.6000000000000001E-3</v>
      </c>
      <c r="N7" s="3109">
        <f t="shared" ref="N7" si="14">G7/100</f>
        <v>2.5999999999999999E-3</v>
      </c>
      <c r="O7" s="3109">
        <f t="shared" ref="O7" si="15">H7/100</f>
        <v>5.8999999999999999E-3</v>
      </c>
      <c r="P7" s="3109">
        <f t="shared" ref="P7" si="16">M7</f>
        <v>-1.6000000000000001E-3</v>
      </c>
      <c r="Q7" s="3107"/>
      <c r="R7" s="3107">
        <f>ROUND(IF(项目基本情况!$B$8="出让",SUMPRODUCT(PRODUCT(1+K7:$K$19)),SUMPRODUCT(PRODUCT(1+K7:$K$18))),4)</f>
        <v>1.0811999999999999</v>
      </c>
      <c r="S7" s="3107">
        <f>ROUND(IF(项目基本情况!$B$8="出让",SUMPRODUCT(PRODUCT(1+L7:$L$19)),SUMPRODUCT(PRODUCT(1+L7:$L$18))),4)</f>
        <v>1.052</v>
      </c>
      <c r="T7" s="3107">
        <f>ROUND(IF(项目基本情况!$B$8="出让",SUMPRODUCT(PRODUCT(1+M7:$M$19)),SUMPRODUCT(PRODUCT(1+M7:$M$18))),4)</f>
        <v>1.0249999999999999</v>
      </c>
      <c r="U7" s="3107">
        <f>ROUND(IF(项目基本情况!$B$8="出让",SUMPRODUCT(PRODUCT(1+N7:$N$19)),SUMPRODUCT(PRODUCT(1+N7:$N$18))),4)</f>
        <v>1.0888</v>
      </c>
      <c r="V7" s="3107">
        <f>ROUND(IF(项目基本情况!$B$8="出让",SUMPRODUCT(PRODUCT(1+O7:$O$19)),SUMPRODUCT(PRODUCT(1+O7:$O$18))),4)</f>
        <v>1.0804</v>
      </c>
      <c r="W7" s="3107">
        <f t="shared" ref="W7" si="17">T7</f>
        <v>1.0249999999999999</v>
      </c>
      <c r="X7" s="3107"/>
      <c r="Y7" s="3109">
        <f t="shared" ref="Y7" si="18">IF(D7=0,0,ROUND(AVERAGE(D7:D18)/100,4))</f>
        <v>6.4999999999999997E-3</v>
      </c>
      <c r="Z7" s="3109">
        <f t="shared" ref="Z7" si="19">IF(E7=0,0,ROUND(AVERAGE(E7:E18)/100,4))</f>
        <v>4.1999999999999997E-3</v>
      </c>
      <c r="AA7" s="3109">
        <f t="shared" ref="AA7" si="20">IF(F7=0,0,ROUND(AVERAGE(F7:F18)/100,4))</f>
        <v>2.0999999999999999E-3</v>
      </c>
      <c r="AB7" s="3109">
        <f t="shared" ref="AB7" si="21">IF(G7=0,0,ROUND(AVERAGE(G7:G18)/100,4))</f>
        <v>7.1000000000000004E-3</v>
      </c>
      <c r="AC7" s="3109">
        <f t="shared" ref="AC7" si="22">IF(H7=0,0,ROUND(AVERAGE(H7:H18)/100,4))</f>
        <v>6.4999999999999997E-3</v>
      </c>
      <c r="AD7" s="3109">
        <f t="shared" ref="AD7" si="23">AA7</f>
        <v>2.0999999999999999E-3</v>
      </c>
    </row>
    <row r="8" spans="1:30">
      <c r="A8" s="3087" t="s">
        <v>3263</v>
      </c>
      <c r="B8" s="3136">
        <v>2023</v>
      </c>
      <c r="C8" s="3137">
        <v>4</v>
      </c>
      <c r="D8" s="3137">
        <v>0.19</v>
      </c>
      <c r="E8" s="3137">
        <v>0.24</v>
      </c>
      <c r="F8" s="3137">
        <v>-0.16</v>
      </c>
      <c r="G8" s="3137">
        <v>0.17</v>
      </c>
      <c r="H8" s="3143">
        <v>0.61</v>
      </c>
      <c r="I8" s="3138">
        <f t="shared" ref="I8" si="24">F8</f>
        <v>-0.16</v>
      </c>
      <c r="J8" s="3104"/>
      <c r="K8" s="3105">
        <f t="shared" si="9"/>
        <v>1.9E-3</v>
      </c>
      <c r="L8" s="3106">
        <f t="shared" si="9"/>
        <v>2.3999999999999998E-3</v>
      </c>
      <c r="M8" s="3106">
        <f t="shared" si="9"/>
        <v>-1.6000000000000001E-3</v>
      </c>
      <c r="N8" s="3106">
        <f t="shared" si="9"/>
        <v>1.7000000000000001E-3</v>
      </c>
      <c r="O8" s="3106">
        <f t="shared" si="9"/>
        <v>6.0999999999999995E-3</v>
      </c>
      <c r="P8" s="3106">
        <f t="shared" ref="P8" si="25">M8</f>
        <v>-1.6000000000000001E-3</v>
      </c>
      <c r="Q8" s="3104"/>
      <c r="R8" s="3115">
        <f>ROUND(IF(项目基本情况!$B$8="出让",SUMPRODUCT(PRODUCT(1+K8:$K$19)),SUMPRODUCT(PRODUCT(1+K8:$K$18))),4)</f>
        <v>1.0804</v>
      </c>
      <c r="S8" s="3115">
        <f>ROUND(IF(项目基本情况!$B$8="出让",SUMPRODUCT(PRODUCT(1+L8:$L$19)),SUMPRODUCT(PRODUCT(1+L8:$L$18))),4)</f>
        <v>1.0471999999999999</v>
      </c>
      <c r="T8" s="3115">
        <f>ROUND(IF(项目基本情况!$B$8="出让",SUMPRODUCT(PRODUCT(1+M8:$M$19)),SUMPRODUCT(PRODUCT(1+M8:$M$18))),4)</f>
        <v>1.0266</v>
      </c>
      <c r="U8" s="3115">
        <f>ROUND(IF(项目基本情况!$B$8="出让",SUMPRODUCT(PRODUCT(1+N8:$N$19)),SUMPRODUCT(PRODUCT(1+N8:$N$18))),4)</f>
        <v>1.0859000000000001</v>
      </c>
      <c r="V8" s="3115">
        <f>ROUND(IF(项目基本情况!$B$8="出让",SUMPRODUCT(PRODUCT(1+O8:$O$19)),SUMPRODUCT(PRODUCT(1+O8:$O$18))),4)</f>
        <v>1.0741000000000001</v>
      </c>
      <c r="W8" s="3115">
        <f t="shared" ref="W8" si="26">T8</f>
        <v>1.0266</v>
      </c>
      <c r="X8" s="3104"/>
      <c r="Y8" s="3106">
        <f t="shared" ref="Y8" si="27">IF(D8=0,0,ROUND(AVERAGE(D8:D19)/100,4))</f>
        <v>7.3000000000000001E-3</v>
      </c>
      <c r="Z8" s="3106">
        <f t="shared" ref="Z8" si="28">IF(E8=0,0,ROUND(AVERAGE(E8:E19)/100,4))</f>
        <v>4.0000000000000001E-3</v>
      </c>
      <c r="AA8" s="3106">
        <f t="shared" ref="AA8" si="29">IF(F8=0,0,ROUND(AVERAGE(F8:F19)/100,4))</f>
        <v>2E-3</v>
      </c>
      <c r="AB8" s="3106">
        <f t="shared" ref="AB8" si="30">IF(G8=0,0,ROUND(AVERAGE(G8:G19)/100,4))</f>
        <v>7.7999999999999996E-3</v>
      </c>
      <c r="AC8" s="3106">
        <f t="shared" ref="AC8" si="31">IF(H8=0,0,ROUND(AVERAGE(H8:H19)/100,4))</f>
        <v>6.3E-3</v>
      </c>
      <c r="AD8" s="3106">
        <f t="shared" si="10"/>
        <v>2E-3</v>
      </c>
    </row>
    <row r="9" spans="1:30">
      <c r="A9" s="3087" t="s">
        <v>3261</v>
      </c>
      <c r="B9" s="3136">
        <v>2023</v>
      </c>
      <c r="C9" s="3137">
        <v>3</v>
      </c>
      <c r="D9" s="3137">
        <v>0.25</v>
      </c>
      <c r="E9" s="3137">
        <v>0.5</v>
      </c>
      <c r="F9" s="3137">
        <v>0.31</v>
      </c>
      <c r="G9" s="3137">
        <v>0.21</v>
      </c>
      <c r="H9" s="3143">
        <v>0.43</v>
      </c>
      <c r="I9" s="3138">
        <f t="shared" si="8"/>
        <v>0.31</v>
      </c>
      <c r="J9" s="3104"/>
      <c r="K9" s="3105">
        <f t="shared" ref="K9:K11" si="32">D9/100</f>
        <v>2.5000000000000001E-3</v>
      </c>
      <c r="L9" s="3106">
        <f t="shared" ref="L9:L11" si="33">E9/100</f>
        <v>5.0000000000000001E-3</v>
      </c>
      <c r="M9" s="3106">
        <f t="shared" ref="M9:M11" si="34">F9/100</f>
        <v>3.0999999999999999E-3</v>
      </c>
      <c r="N9" s="3106">
        <f t="shared" ref="N9:N11" si="35">G9/100</f>
        <v>2.0999999999999999E-3</v>
      </c>
      <c r="O9" s="3106">
        <f t="shared" ref="O9:O11" si="36">H9/100</f>
        <v>4.3E-3</v>
      </c>
      <c r="P9" s="3106">
        <f t="shared" ref="P9:P11" si="37">M9</f>
        <v>3.0999999999999999E-3</v>
      </c>
      <c r="Q9" s="3104"/>
      <c r="R9" s="3115">
        <f>ROUND(IF(项目基本情况!$B$8="出让",SUMPRODUCT(PRODUCT(1+K9:$K$19)),SUMPRODUCT(PRODUCT(1+K9:$K$18))),4)</f>
        <v>1.0783</v>
      </c>
      <c r="S9" s="3115">
        <f>ROUND(IF(项目基本情况!$B$8="出让",SUMPRODUCT(PRODUCT(1+L9:$L$19)),SUMPRODUCT(PRODUCT(1+L9:$L$18))),4)</f>
        <v>1.0447</v>
      </c>
      <c r="T9" s="3115">
        <f>ROUND(IF(项目基本情况!$B$8="出让",SUMPRODUCT(PRODUCT(1+M9:$M$19)),SUMPRODUCT(PRODUCT(1+M9:$M$18))),4)</f>
        <v>1.0282</v>
      </c>
      <c r="U9" s="3115">
        <f>ROUND(IF(项目基本情况!$B$8="出让",SUMPRODUCT(PRODUCT(1+N9:$N$19)),SUMPRODUCT(PRODUCT(1+N9:$N$18))),4)</f>
        <v>1.0841000000000001</v>
      </c>
      <c r="V9" s="3115">
        <f>ROUND(IF(项目基本情况!$B$8="出让",SUMPRODUCT(PRODUCT(1+O9:$O$19)),SUMPRODUCT(PRODUCT(1+O9:$O$18))),4)</f>
        <v>1.0674999999999999</v>
      </c>
      <c r="W9" s="3115">
        <f t="shared" ref="W9:W11" si="38">T9</f>
        <v>1.0282</v>
      </c>
      <c r="X9" s="3104"/>
      <c r="Y9" s="3106">
        <f t="shared" ref="Y9:AC9" si="39">IF(D9=0,0,ROUND(AVERAGE(D9:D20)/100,4))</f>
        <v>7.7999999999999996E-3</v>
      </c>
      <c r="Z9" s="3106">
        <f t="shared" si="39"/>
        <v>4.1000000000000003E-3</v>
      </c>
      <c r="AA9" s="3106">
        <f t="shared" si="39"/>
        <v>2.3E-3</v>
      </c>
      <c r="AB9" s="3106">
        <f t="shared" si="39"/>
        <v>8.3999999999999995E-3</v>
      </c>
      <c r="AC9" s="3106">
        <f t="shared" si="39"/>
        <v>6.3E-3</v>
      </c>
      <c r="AD9" s="3106">
        <f t="shared" ref="AD9:AD11" si="40">AA9</f>
        <v>2.3E-3</v>
      </c>
    </row>
    <row r="10" spans="1:30">
      <c r="A10" s="3087" t="s">
        <v>3258</v>
      </c>
      <c r="B10" s="3136">
        <v>2023</v>
      </c>
      <c r="C10" s="3137">
        <v>2</v>
      </c>
      <c r="D10" s="3137">
        <v>0.91</v>
      </c>
      <c r="E10" s="3137">
        <v>0.66</v>
      </c>
      <c r="F10" s="3137">
        <v>0.47</v>
      </c>
      <c r="G10" s="3137">
        <v>0.96</v>
      </c>
      <c r="H10" s="3143">
        <v>0.71</v>
      </c>
      <c r="I10" s="3138">
        <f t="shared" si="8"/>
        <v>0.47</v>
      </c>
      <c r="J10" s="3104"/>
      <c r="K10" s="3105">
        <f t="shared" si="32"/>
        <v>9.1000000000000004E-3</v>
      </c>
      <c r="L10" s="3106">
        <f t="shared" si="33"/>
        <v>6.6E-3</v>
      </c>
      <c r="M10" s="3106">
        <f t="shared" si="34"/>
        <v>4.6999999999999993E-3</v>
      </c>
      <c r="N10" s="3106">
        <f t="shared" si="35"/>
        <v>9.5999999999999992E-3</v>
      </c>
      <c r="O10" s="3106">
        <f t="shared" si="36"/>
        <v>7.0999999999999995E-3</v>
      </c>
      <c r="P10" s="3106">
        <f t="shared" si="37"/>
        <v>4.6999999999999993E-3</v>
      </c>
      <c r="Q10" s="3104"/>
      <c r="R10" s="3115">
        <f>ROUND(IF(项目基本情况!$B$8="出让",SUMPRODUCT(PRODUCT(1+K10:$K$19)),SUMPRODUCT(PRODUCT(1+K10:$K$18))),4)</f>
        <v>1.0755999999999999</v>
      </c>
      <c r="S10" s="3115">
        <f>ROUND(IF(项目基本情况!$B$8="出让",SUMPRODUCT(PRODUCT(1+L10:$L$19)),SUMPRODUCT(PRODUCT(1+L10:$L$18))),4)</f>
        <v>1.0395000000000001</v>
      </c>
      <c r="T10" s="3115">
        <f>ROUND(IF(项目基本情况!$B$8="出让",SUMPRODUCT(PRODUCT(1+M10:$M$19)),SUMPRODUCT(PRODUCT(1+M10:$M$18))),4)</f>
        <v>1.0250999999999999</v>
      </c>
      <c r="U10" s="3115">
        <f>ROUND(IF(项目基本情况!$B$8="出让",SUMPRODUCT(PRODUCT(1+N10:$N$19)),SUMPRODUCT(PRODUCT(1+N10:$N$18))),4)</f>
        <v>1.0818000000000001</v>
      </c>
      <c r="V10" s="3115">
        <f>ROUND(IF(项目基本情况!$B$8="出让",SUMPRODUCT(PRODUCT(1+O10:$O$19)),SUMPRODUCT(PRODUCT(1+O10:$O$18))),4)</f>
        <v>1.0629999999999999</v>
      </c>
      <c r="W10" s="3115">
        <f t="shared" si="38"/>
        <v>1.0250999999999999</v>
      </c>
      <c r="X10" s="3104"/>
      <c r="Y10" s="3106">
        <f t="shared" ref="Y10:AC10" si="41">IF(D10=0,0,ROUND(AVERAGE(D10:D21)/100,4))</f>
        <v>8.3000000000000001E-3</v>
      </c>
      <c r="Z10" s="3106">
        <f t="shared" si="41"/>
        <v>4.0000000000000001E-3</v>
      </c>
      <c r="AA10" s="3106">
        <f t="shared" si="41"/>
        <v>2.2000000000000001E-3</v>
      </c>
      <c r="AB10" s="3106">
        <f t="shared" si="41"/>
        <v>8.9999999999999993E-3</v>
      </c>
      <c r="AC10" s="3106">
        <f t="shared" si="41"/>
        <v>6.4999999999999997E-3</v>
      </c>
      <c r="AD10" s="3106">
        <f t="shared" si="40"/>
        <v>2.2000000000000001E-3</v>
      </c>
    </row>
    <row r="11" spans="1:30">
      <c r="A11" s="3087" t="s">
        <v>3256</v>
      </c>
      <c r="B11" s="3136">
        <v>2023</v>
      </c>
      <c r="C11" s="3137">
        <v>1</v>
      </c>
      <c r="D11" s="3137">
        <v>0.89</v>
      </c>
      <c r="E11" s="3137">
        <v>0.74</v>
      </c>
      <c r="F11" s="3137">
        <v>0.56999999999999995</v>
      </c>
      <c r="G11" s="3137">
        <v>0.92</v>
      </c>
      <c r="H11" s="3143">
        <v>0.5</v>
      </c>
      <c r="I11" s="3138">
        <f t="shared" si="8"/>
        <v>0.56999999999999995</v>
      </c>
      <c r="J11" s="3104"/>
      <c r="K11" s="3105">
        <f t="shared" si="32"/>
        <v>8.8999999999999999E-3</v>
      </c>
      <c r="L11" s="3106">
        <f t="shared" si="33"/>
        <v>7.4000000000000003E-3</v>
      </c>
      <c r="M11" s="3106">
        <f t="shared" si="34"/>
        <v>5.6999999999999993E-3</v>
      </c>
      <c r="N11" s="3106">
        <f t="shared" si="35"/>
        <v>9.1999999999999998E-3</v>
      </c>
      <c r="O11" s="3106">
        <f t="shared" si="36"/>
        <v>5.0000000000000001E-3</v>
      </c>
      <c r="P11" s="3106">
        <f t="shared" si="37"/>
        <v>5.6999999999999993E-3</v>
      </c>
      <c r="Q11" s="3104"/>
      <c r="R11" s="3115">
        <f>ROUND(IF(项目基本情况!$B$8="出让",SUMPRODUCT(PRODUCT(1+K11:$K$19)),SUMPRODUCT(PRODUCT(1+K11:$K$18))),4)</f>
        <v>1.0659000000000001</v>
      </c>
      <c r="S11" s="3115">
        <f>ROUND(IF(项目基本情况!$B$8="出让",SUMPRODUCT(PRODUCT(1+L11:$L$19)),SUMPRODUCT(PRODUCT(1+L11:$L$18))),4)</f>
        <v>1.0326</v>
      </c>
      <c r="T11" s="3115">
        <f>ROUND(IF(项目基本情况!$B$8="出让",SUMPRODUCT(PRODUCT(1+M11:$M$19)),SUMPRODUCT(PRODUCT(1+M11:$M$18))),4)</f>
        <v>1.0203</v>
      </c>
      <c r="U11" s="3115">
        <f>ROUND(IF(项目基本情况!$B$8="出让",SUMPRODUCT(PRODUCT(1+N11:$N$19)),SUMPRODUCT(PRODUCT(1+N11:$N$18))),4)</f>
        <v>1.0714999999999999</v>
      </c>
      <c r="V11" s="3115">
        <f>ROUND(IF(项目基本情况!$B$8="出让",SUMPRODUCT(PRODUCT(1+O11:$O$19)),SUMPRODUCT(PRODUCT(1+O11:$O$18))),4)</f>
        <v>1.0555000000000001</v>
      </c>
      <c r="W11" s="3115">
        <f t="shared" si="38"/>
        <v>1.0203</v>
      </c>
      <c r="X11" s="3104"/>
      <c r="Y11" s="3106">
        <f t="shared" ref="Y11:AC11" si="42">IF(D11=0,0,ROUND(AVERAGE(D11:D22)/100,4))</f>
        <v>8.2000000000000007E-3</v>
      </c>
      <c r="Z11" s="3106">
        <f t="shared" si="42"/>
        <v>3.8E-3</v>
      </c>
      <c r="AA11" s="3106">
        <f t="shared" si="42"/>
        <v>2E-3</v>
      </c>
      <c r="AB11" s="3106">
        <f t="shared" si="42"/>
        <v>8.8999999999999999E-3</v>
      </c>
      <c r="AC11" s="3106">
        <f t="shared" si="42"/>
        <v>6.4000000000000003E-3</v>
      </c>
      <c r="AD11" s="3106">
        <f t="shared" si="40"/>
        <v>2E-3</v>
      </c>
    </row>
    <row r="12" spans="1:30">
      <c r="A12" s="3087" t="s">
        <v>3254</v>
      </c>
      <c r="B12" s="3136">
        <v>2022</v>
      </c>
      <c r="C12" s="3137">
        <v>4</v>
      </c>
      <c r="D12" s="3137">
        <v>0.62</v>
      </c>
      <c r="E12" s="3137">
        <v>0.2</v>
      </c>
      <c r="F12" s="3137">
        <v>0.11</v>
      </c>
      <c r="G12" s="3137">
        <v>0.69</v>
      </c>
      <c r="H12" s="3143">
        <v>0.53</v>
      </c>
      <c r="I12" s="3138">
        <f t="shared" si="8"/>
        <v>0.11</v>
      </c>
      <c r="J12" s="3104"/>
      <c r="K12" s="3105">
        <f t="shared" si="9"/>
        <v>6.1999999999999998E-3</v>
      </c>
      <c r="L12" s="3106">
        <f t="shared" si="9"/>
        <v>2E-3</v>
      </c>
      <c r="M12" s="3106">
        <f t="shared" si="9"/>
        <v>1.1000000000000001E-3</v>
      </c>
      <c r="N12" s="3106">
        <f t="shared" si="9"/>
        <v>6.8999999999999999E-3</v>
      </c>
      <c r="O12" s="3106">
        <f t="shared" si="9"/>
        <v>5.3E-3</v>
      </c>
      <c r="P12" s="3106">
        <f t="shared" ref="P12:P19" si="43">M12</f>
        <v>1.1000000000000001E-3</v>
      </c>
      <c r="Q12" s="3104"/>
      <c r="R12" s="3115">
        <f>ROUND(IF(项目基本情况!B8="出让",SUMPRODUCT(PRODUCT(1+K12:K19)),SUMPRODUCT(PRODUCT(1+K12:K18))),4)</f>
        <v>1.0565</v>
      </c>
      <c r="S12" s="3115">
        <f>ROUND(IF(项目基本情况!B8="出让",SUMPRODUCT(PRODUCT(1+L12:L19)),SUMPRODUCT(PRODUCT(1+L12:L18))),4)</f>
        <v>1.0250999999999999</v>
      </c>
      <c r="T12" s="3115">
        <f>ROUND(IF(项目基本情况!B8="出让",SUMPRODUCT(PRODUCT(1+M12:M19)),SUMPRODUCT(PRODUCT(1+M12:M18))),4)</f>
        <v>1.0145</v>
      </c>
      <c r="U12" s="3115">
        <f>ROUND(IF(项目基本情况!B8="出让",SUMPRODUCT(PRODUCT(1+N12:N19)),SUMPRODUCT(PRODUCT(1+N12:N18))),4)</f>
        <v>1.0618000000000001</v>
      </c>
      <c r="V12" s="3115">
        <f>ROUND(IF(项目基本情况!B8="出让",SUMPRODUCT(PRODUCT(1+O12:O19)),SUMPRODUCT(PRODUCT(1+O12:O18))),4)</f>
        <v>1.0502</v>
      </c>
      <c r="W12" s="3115">
        <f t="shared" ref="W12:W19" si="44">T12</f>
        <v>1.0145</v>
      </c>
      <c r="X12" s="3104"/>
      <c r="Y12" s="3106">
        <f>IF(D12=0,0,ROUND(AVERAGE(D12:D20)/100,4))</f>
        <v>8.0999999999999996E-3</v>
      </c>
      <c r="Z12" s="3106">
        <f>IF(E12=0,0,ROUND(AVERAGE(E12:E19)/100,4))</f>
        <v>3.3E-3</v>
      </c>
      <c r="AA12" s="3106">
        <f>IF(F12=0,0,ROUND(AVERAGE(F12:F19)/100,4))</f>
        <v>1.5E-3</v>
      </c>
      <c r="AB12" s="3106">
        <f>IF(G12=0,0,ROUND(AVERAGE(G12:G19)/100,4))</f>
        <v>8.8999999999999999E-3</v>
      </c>
      <c r="AC12" s="3106">
        <f>IF(H12=0,0,ROUND(AVERAGE(H12:H19)/100,4))</f>
        <v>6.6E-3</v>
      </c>
      <c r="AD12" s="3106">
        <f t="shared" si="10"/>
        <v>1.5E-3</v>
      </c>
    </row>
    <row r="13" spans="1:30">
      <c r="A13" s="3087" t="s">
        <v>3249</v>
      </c>
      <c r="B13" s="3136">
        <v>2022</v>
      </c>
      <c r="C13" s="3137">
        <v>3</v>
      </c>
      <c r="D13" s="3137">
        <v>0.66</v>
      </c>
      <c r="E13" s="3137">
        <v>0.32</v>
      </c>
      <c r="F13" s="3137">
        <v>0.23</v>
      </c>
      <c r="G13" s="3137">
        <v>0.72</v>
      </c>
      <c r="H13" s="3143">
        <v>0.63</v>
      </c>
      <c r="I13" s="3138">
        <f t="shared" si="8"/>
        <v>0.23</v>
      </c>
      <c r="J13" s="3104"/>
      <c r="K13" s="3105">
        <f t="shared" si="9"/>
        <v>6.6E-3</v>
      </c>
      <c r="L13" s="3106">
        <f t="shared" si="9"/>
        <v>3.2000000000000002E-3</v>
      </c>
      <c r="M13" s="3106">
        <f t="shared" si="9"/>
        <v>2.3E-3</v>
      </c>
      <c r="N13" s="3106">
        <f t="shared" si="9"/>
        <v>7.1999999999999998E-3</v>
      </c>
      <c r="O13" s="3106">
        <f t="shared" si="9"/>
        <v>6.3E-3</v>
      </c>
      <c r="P13" s="3106">
        <f t="shared" si="43"/>
        <v>2.3E-3</v>
      </c>
      <c r="Q13" s="3104"/>
      <c r="R13" s="3115">
        <f>ROUND(IF(项目基本情况!B8="出让",SUMPRODUCT(PRODUCT(1+K13:K19)),SUMPRODUCT(PRODUCT(1+K13:K18))),4)</f>
        <v>1.05</v>
      </c>
      <c r="S13" s="3115">
        <f>ROUND(IF(项目基本情况!B8="出让",SUMPRODUCT(PRODUCT(1+L13:L19)),SUMPRODUCT(PRODUCT(1+L13:L18))),4)</f>
        <v>1.0229999999999999</v>
      </c>
      <c r="T13" s="3115">
        <f>ROUND(IF(项目基本情况!B8="出让",SUMPRODUCT(PRODUCT(1+M13:M19)),SUMPRODUCT(PRODUCT(1+M13:M18))),4)</f>
        <v>1.0134000000000001</v>
      </c>
      <c r="U13" s="3115">
        <f>ROUND(IF(项目基本情况!B8="出让",SUMPRODUCT(PRODUCT(1+N13:N19)),SUMPRODUCT(PRODUCT(1+N13:N18))),4)</f>
        <v>1.0545</v>
      </c>
      <c r="V13" s="3115">
        <f>ROUND(IF(项目基本情况!B8="出让",SUMPRODUCT(PRODUCT(1+O13:O19)),SUMPRODUCT(PRODUCT(1+O13:O18))),4)</f>
        <v>1.0447</v>
      </c>
      <c r="W13" s="3115">
        <f t="shared" si="44"/>
        <v>1.0134000000000001</v>
      </c>
      <c r="X13" s="3104"/>
      <c r="Y13" s="3106">
        <f>IF(D13=0,0,ROUND(AVERAGE(D13:D19)/100,4))</f>
        <v>8.3999999999999995E-3</v>
      </c>
      <c r="Z13" s="3106">
        <f>IF(E13=0,0,ROUND(AVERAGE(E13:E19)/100,4))</f>
        <v>3.5000000000000001E-3</v>
      </c>
      <c r="AA13" s="3106">
        <f>IF(F13=0,0,ROUND(AVERAGE(F13:F19)/100,4))</f>
        <v>1.5E-3</v>
      </c>
      <c r="AB13" s="3106">
        <f>IF(G13=0,0,ROUND(AVERAGE(G13:G19)/100,4))</f>
        <v>9.1999999999999998E-3</v>
      </c>
      <c r="AC13" s="3106">
        <f>IF(H13=0,0,ROUND(AVERAGE(H13:H19)/100,4))</f>
        <v>6.7999999999999996E-3</v>
      </c>
      <c r="AD13" s="3106">
        <f t="shared" si="10"/>
        <v>1.5E-3</v>
      </c>
    </row>
    <row r="14" spans="1:30">
      <c r="A14" s="3087" t="s">
        <v>3250</v>
      </c>
      <c r="B14" s="3136">
        <v>2022</v>
      </c>
      <c r="C14" s="3137">
        <v>2</v>
      </c>
      <c r="D14" s="3137">
        <v>0.93</v>
      </c>
      <c r="E14" s="3137">
        <v>0.15</v>
      </c>
      <c r="F14" s="3137">
        <v>0.01</v>
      </c>
      <c r="G14" s="3137">
        <v>1.05</v>
      </c>
      <c r="H14" s="3143">
        <v>1.08</v>
      </c>
      <c r="I14" s="3138">
        <f t="shared" si="8"/>
        <v>0.01</v>
      </c>
      <c r="J14" s="3104"/>
      <c r="K14" s="3105">
        <f t="shared" si="9"/>
        <v>9.300000000000001E-3</v>
      </c>
      <c r="L14" s="3106">
        <f t="shared" si="9"/>
        <v>1.5E-3</v>
      </c>
      <c r="M14" s="3106">
        <f t="shared" si="9"/>
        <v>1E-4</v>
      </c>
      <c r="N14" s="3106">
        <f t="shared" si="9"/>
        <v>1.0500000000000001E-2</v>
      </c>
      <c r="O14" s="3106">
        <f t="shared" si="9"/>
        <v>1.0800000000000001E-2</v>
      </c>
      <c r="P14" s="3106">
        <f t="shared" si="43"/>
        <v>1E-4</v>
      </c>
      <c r="Q14" s="3104"/>
      <c r="R14" s="3115">
        <f>ROUND(IF(项目基本情况!B8="出让",SUMPRODUCT(PRODUCT(1+K14:K19)),SUMPRODUCT(PRODUCT(1+K14:K18))),4)</f>
        <v>1.0430999999999999</v>
      </c>
      <c r="S14" s="3115">
        <f>ROUND(IF(项目基本情况!B8="出让",SUMPRODUCT(PRODUCT(1+L14:L19)),SUMPRODUCT(PRODUCT(1+L14:L18))),4)</f>
        <v>1.0197000000000001</v>
      </c>
      <c r="T14" s="3115">
        <f>ROUND(IF(项目基本情况!B8="出让",SUMPRODUCT(PRODUCT(1+M14:M19)),SUMPRODUCT(PRODUCT(1+M14:M18))),4)</f>
        <v>1.0109999999999999</v>
      </c>
      <c r="U14" s="3115">
        <f>ROUND(IF(项目基本情况!B8="出让",SUMPRODUCT(PRODUCT(1+N14:N19)),SUMPRODUCT(PRODUCT(1+N14:N18))),4)</f>
        <v>1.0468999999999999</v>
      </c>
      <c r="V14" s="3115">
        <f>ROUND(IF(项目基本情况!B8="出让",SUMPRODUCT(PRODUCT(1+O14:O19)),SUMPRODUCT(PRODUCT(1+O14:O18))),4)</f>
        <v>1.0382</v>
      </c>
      <c r="W14" s="3115">
        <f t="shared" si="44"/>
        <v>1.0109999999999999</v>
      </c>
      <c r="X14" s="3104"/>
      <c r="Y14" s="3106">
        <f>IF(D14=0,0,ROUND(AVERAGE(D14:D19)/100,4))</f>
        <v>8.6999999999999994E-3</v>
      </c>
      <c r="Z14" s="3106">
        <f>IF(E14=0,0,ROUND(AVERAGE(E14:E19)/100,4))</f>
        <v>3.5000000000000001E-3</v>
      </c>
      <c r="AA14" s="3106">
        <f>IF(F14=0,0,ROUND(AVERAGE(F14:F19)/100,4))</f>
        <v>1.4E-3</v>
      </c>
      <c r="AB14" s="3106">
        <f>IF(G14=0,0,ROUND(AVERAGE(G14:G19)/100,4))</f>
        <v>9.4999999999999998E-3</v>
      </c>
      <c r="AC14" s="3106">
        <f>IF(H14=0,0,ROUND(AVERAGE(H14:H19)/100,4))</f>
        <v>6.8999999999999999E-3</v>
      </c>
      <c r="AD14" s="3106">
        <f t="shared" si="10"/>
        <v>1.4E-3</v>
      </c>
    </row>
    <row r="15" spans="1:30">
      <c r="A15" s="3087" t="s">
        <v>2785</v>
      </c>
      <c r="B15" s="3136">
        <v>2022</v>
      </c>
      <c r="C15" s="3137">
        <v>1</v>
      </c>
      <c r="D15" s="3137">
        <v>0.89</v>
      </c>
      <c r="E15" s="3137">
        <v>0.44</v>
      </c>
      <c r="F15" s="3137">
        <v>0.37</v>
      </c>
      <c r="G15" s="3137">
        <v>0.96</v>
      </c>
      <c r="H15" s="3143">
        <v>0.64</v>
      </c>
      <c r="I15" s="3138">
        <f t="shared" si="8"/>
        <v>0.37</v>
      </c>
      <c r="J15" s="3104"/>
      <c r="K15" s="3105">
        <f t="shared" si="9"/>
        <v>8.8999999999999999E-3</v>
      </c>
      <c r="L15" s="3106">
        <f t="shared" si="9"/>
        <v>4.4000000000000003E-3</v>
      </c>
      <c r="M15" s="3106">
        <f t="shared" si="9"/>
        <v>3.7000000000000002E-3</v>
      </c>
      <c r="N15" s="3106">
        <f t="shared" si="9"/>
        <v>9.5999999999999992E-3</v>
      </c>
      <c r="O15" s="3106">
        <f t="shared" si="9"/>
        <v>6.4000000000000003E-3</v>
      </c>
      <c r="P15" s="3106">
        <f t="shared" si="43"/>
        <v>3.7000000000000002E-3</v>
      </c>
      <c r="Q15" s="3104"/>
      <c r="R15" s="3115">
        <f>ROUND(IF(项目基本情况!B8="出让",SUMPRODUCT(PRODUCT(1+K15:K19)),SUMPRODUCT(PRODUCT(1+K15:K18))),4)</f>
        <v>1.0335000000000001</v>
      </c>
      <c r="S15" s="3115">
        <f>ROUND(IF(项目基本情况!B8="出让",SUMPRODUCT(PRODUCT(1+L15:L19)),SUMPRODUCT(PRODUCT(1+L15:L18))),4)</f>
        <v>1.0182</v>
      </c>
      <c r="T15" s="3115">
        <f>ROUND(IF(项目基本情况!B8="出让",SUMPRODUCT(PRODUCT(1+M15:M19)),SUMPRODUCT(PRODUCT(1+M15:M18))),4)</f>
        <v>1.0108999999999999</v>
      </c>
      <c r="U15" s="3115">
        <f>ROUND(IF(项目基本情况!B8="出让",SUMPRODUCT(PRODUCT(1+N15:N19)),SUMPRODUCT(PRODUCT(1+N15:N18))),4)</f>
        <v>1.0361</v>
      </c>
      <c r="V15" s="3115">
        <f>ROUND(IF(项目基本情况!B8="出让",SUMPRODUCT(PRODUCT(1+O15:O19)),SUMPRODUCT(PRODUCT(1+O15:O18))),4)</f>
        <v>1.0270999999999999</v>
      </c>
      <c r="W15" s="3115">
        <f t="shared" si="44"/>
        <v>1.0108999999999999</v>
      </c>
      <c r="X15" s="3104"/>
      <c r="Y15" s="3106">
        <f>IF(D15=0,0,ROUND(AVERAGE(D15:D19)/100,4))</f>
        <v>8.6E-3</v>
      </c>
      <c r="Z15" s="3106">
        <f>IF(E15=0,0,ROUND(AVERAGE(E15:E19)/100,4))</f>
        <v>3.8999999999999998E-3</v>
      </c>
      <c r="AA15" s="3106">
        <f>IF(F15=0,0,ROUND(AVERAGE(F15:F19)/100,4))</f>
        <v>1.6999999999999999E-3</v>
      </c>
      <c r="AB15" s="3106">
        <f>IF(G15=0,0,ROUND(AVERAGE(G15:G19)/100,4))</f>
        <v>9.2999999999999992E-3</v>
      </c>
      <c r="AC15" s="3106">
        <f>IF(H15=0,0,ROUND(AVERAGE(H15:H19)/100,4))</f>
        <v>6.1000000000000004E-3</v>
      </c>
      <c r="AD15" s="3106">
        <f t="shared" si="10"/>
        <v>1.6999999999999999E-3</v>
      </c>
    </row>
    <row r="16" spans="1:30">
      <c r="A16" s="3087" t="s">
        <v>2786</v>
      </c>
      <c r="B16" s="3136">
        <v>2021</v>
      </c>
      <c r="C16" s="3137">
        <v>4</v>
      </c>
      <c r="D16" s="3137">
        <v>1.03</v>
      </c>
      <c r="E16" s="3137">
        <v>0.24</v>
      </c>
      <c r="F16" s="3137">
        <v>7.0000000000000007E-2</v>
      </c>
      <c r="G16" s="3137">
        <v>1.17</v>
      </c>
      <c r="H16" s="3143">
        <v>0.55000000000000004</v>
      </c>
      <c r="I16" s="3138">
        <f t="shared" si="8"/>
        <v>7.0000000000000007E-2</v>
      </c>
      <c r="J16" s="3104"/>
      <c r="K16" s="3105">
        <f t="shared" si="9"/>
        <v>1.03E-2</v>
      </c>
      <c r="L16" s="3106">
        <f t="shared" si="9"/>
        <v>2.3999999999999998E-3</v>
      </c>
      <c r="M16" s="3106">
        <f t="shared" si="9"/>
        <v>7.000000000000001E-4</v>
      </c>
      <c r="N16" s="3106">
        <f t="shared" si="9"/>
        <v>1.1699999999999999E-2</v>
      </c>
      <c r="O16" s="3106">
        <f t="shared" si="9"/>
        <v>5.5000000000000005E-3</v>
      </c>
      <c r="P16" s="3106">
        <f t="shared" si="43"/>
        <v>7.000000000000001E-4</v>
      </c>
      <c r="Q16" s="3104"/>
      <c r="R16" s="3115">
        <f>ROUND(IF(项目基本情况!B8="出让",SUMPRODUCT(PRODUCT(1+K16:K19)),SUMPRODUCT(PRODUCT(1+K16:K18))),4)</f>
        <v>1.0244</v>
      </c>
      <c r="S16" s="3115">
        <f>ROUND(IF(项目基本情况!B8="出让",SUMPRODUCT(PRODUCT(1+L16:L19)),SUMPRODUCT(PRODUCT(1+L16:L18))),4)</f>
        <v>1.0138</v>
      </c>
      <c r="T16" s="3115">
        <f>ROUND(IF(项目基本情况!B8="出让",SUMPRODUCT(PRODUCT(1+M16:M19)),SUMPRODUCT(PRODUCT(1+M16:M18))),4)</f>
        <v>1.0072000000000001</v>
      </c>
      <c r="U16" s="3115">
        <f>ROUND(IF(项目基本情况!B8="出让",SUMPRODUCT(PRODUCT(1+N16:N19)),SUMPRODUCT(PRODUCT(1+N16:N18))),4)</f>
        <v>1.0262</v>
      </c>
      <c r="V16" s="3115">
        <f>ROUND(IF(项目基本情况!B8="出让",SUMPRODUCT(PRODUCT(1+O16:O19)),SUMPRODUCT(PRODUCT(1+O16:O18))),4)</f>
        <v>1.0205</v>
      </c>
      <c r="W16" s="3115">
        <f t="shared" si="44"/>
        <v>1.0072000000000001</v>
      </c>
      <c r="X16" s="3104"/>
      <c r="Y16" s="3106">
        <f>IF(D16=0,0,ROUND(AVERAGE(D16:D19)/100,4))</f>
        <v>8.5000000000000006E-3</v>
      </c>
      <c r="Z16" s="3106">
        <f>IF(E16=0,0,ROUND(AVERAGE(E16:E19)/100,4))</f>
        <v>3.8E-3</v>
      </c>
      <c r="AA16" s="3106">
        <f>IF(F16=0,0,ROUND(AVERAGE(F16:F19)/100,4))</f>
        <v>1.1999999999999999E-3</v>
      </c>
      <c r="AB16" s="3106">
        <f>IF(G16=0,0,ROUND(AVERAGE(G16:G19)/100,4))</f>
        <v>9.2999999999999992E-3</v>
      </c>
      <c r="AC16" s="3106">
        <f>IF(H16=0,0,ROUND(AVERAGE(H16:H19)/100,4))</f>
        <v>6.0000000000000001E-3</v>
      </c>
      <c r="AD16" s="3106">
        <f t="shared" si="10"/>
        <v>1.1999999999999999E-3</v>
      </c>
    </row>
    <row r="17" spans="1:30">
      <c r="A17" s="3087" t="s">
        <v>2787</v>
      </c>
      <c r="B17" s="3136">
        <v>2021</v>
      </c>
      <c r="C17" s="3137">
        <v>3</v>
      </c>
      <c r="D17" s="3137">
        <v>0.47</v>
      </c>
      <c r="E17" s="3137">
        <v>0.41</v>
      </c>
      <c r="F17" s="3137">
        <v>0.24</v>
      </c>
      <c r="G17" s="3137">
        <v>0.48</v>
      </c>
      <c r="H17" s="3143">
        <v>0.48</v>
      </c>
      <c r="I17" s="3138">
        <f t="shared" si="8"/>
        <v>0.24</v>
      </c>
      <c r="J17" s="3104"/>
      <c r="K17" s="3105">
        <f t="shared" si="9"/>
        <v>4.6999999999999993E-3</v>
      </c>
      <c r="L17" s="3106">
        <f t="shared" si="9"/>
        <v>4.0999999999999995E-3</v>
      </c>
      <c r="M17" s="3106">
        <f t="shared" si="9"/>
        <v>2.3999999999999998E-3</v>
      </c>
      <c r="N17" s="3106">
        <f t="shared" si="9"/>
        <v>4.7999999999999996E-3</v>
      </c>
      <c r="O17" s="3106">
        <f t="shared" si="9"/>
        <v>4.7999999999999996E-3</v>
      </c>
      <c r="P17" s="3106">
        <f t="shared" si="43"/>
        <v>2.3999999999999998E-3</v>
      </c>
      <c r="Q17" s="3104"/>
      <c r="R17" s="3115">
        <f>ROUND(IF(项目基本情况!B8="出让",SUMPRODUCT(PRODUCT(1+K17:K19)),SUMPRODUCT(PRODUCT(1+K17:K18))),4)</f>
        <v>1.0139</v>
      </c>
      <c r="S17" s="3115">
        <f>ROUND(IF(项目基本情况!B8="出让",SUMPRODUCT(PRODUCT(1+L17:L19)),SUMPRODUCT(PRODUCT(1+L17:L18))),4)</f>
        <v>1.0113000000000001</v>
      </c>
      <c r="T17" s="3115">
        <f>ROUND(IF(项目基本情况!B8="出让",SUMPRODUCT(PRODUCT(1+M17:M19)),SUMPRODUCT(PRODUCT(1+M17:M18))),4)</f>
        <v>1.0065</v>
      </c>
      <c r="U17" s="3115">
        <f>ROUND(IF(项目基本情况!B8="出让",SUMPRODUCT(PRODUCT(1+N17:N19)),SUMPRODUCT(PRODUCT(1+N17:N18))),4)</f>
        <v>1.0143</v>
      </c>
      <c r="V17" s="3115">
        <f>ROUND(IF(项目基本情况!B8="出让",SUMPRODUCT(PRODUCT(1+O17:O19)),SUMPRODUCT(PRODUCT(1+O17:O18))),4)</f>
        <v>1.0148999999999999</v>
      </c>
      <c r="W17" s="3115">
        <f t="shared" si="44"/>
        <v>1.0065</v>
      </c>
      <c r="X17" s="3104"/>
      <c r="Y17" s="3106">
        <f>IF(D17=0,0,ROUND(AVERAGE(D17:D19)/100,4))</f>
        <v>7.9000000000000008E-3</v>
      </c>
      <c r="Z17" s="3106">
        <f>IF(E17=0,0,ROUND(AVERAGE(E17:E19)/100,4))</f>
        <v>4.3E-3</v>
      </c>
      <c r="AA17" s="3106">
        <f>IF(F17=0,0,ROUND(AVERAGE(F17:F19)/100,4))</f>
        <v>1.2999999999999999E-3</v>
      </c>
      <c r="AB17" s="3106">
        <f>IF(G17=0,0,ROUND(AVERAGE(G17:G19)/100,4))</f>
        <v>8.5000000000000006E-3</v>
      </c>
      <c r="AC17" s="3106">
        <f>IF(H17=0,0,ROUND(AVERAGE(H17:H19)/100,4))</f>
        <v>6.1999999999999998E-3</v>
      </c>
      <c r="AD17" s="3106">
        <f t="shared" si="10"/>
        <v>1.2999999999999999E-3</v>
      </c>
    </row>
    <row r="18" spans="1:30">
      <c r="A18" s="3087" t="s">
        <v>2788</v>
      </c>
      <c r="B18" s="3136">
        <v>2021</v>
      </c>
      <c r="C18" s="3137">
        <v>2</v>
      </c>
      <c r="D18" s="3137">
        <v>0.92</v>
      </c>
      <c r="E18" s="3137">
        <v>0.72</v>
      </c>
      <c r="F18" s="3137">
        <v>0.41</v>
      </c>
      <c r="G18" s="3137">
        <v>0.95</v>
      </c>
      <c r="H18" s="3143">
        <v>1.01</v>
      </c>
      <c r="I18" s="3138">
        <f t="shared" si="8"/>
        <v>0.41</v>
      </c>
      <c r="J18" s="3104"/>
      <c r="K18" s="3105">
        <f t="shared" si="9"/>
        <v>9.1999999999999998E-3</v>
      </c>
      <c r="L18" s="3106">
        <f t="shared" si="9"/>
        <v>7.1999999999999998E-3</v>
      </c>
      <c r="M18" s="3106">
        <f t="shared" si="9"/>
        <v>4.0999999999999995E-3</v>
      </c>
      <c r="N18" s="3106">
        <f t="shared" si="9"/>
        <v>9.4999999999999998E-3</v>
      </c>
      <c r="O18" s="3106">
        <f t="shared" si="9"/>
        <v>1.01E-2</v>
      </c>
      <c r="P18" s="3106">
        <f t="shared" si="43"/>
        <v>4.0999999999999995E-3</v>
      </c>
      <c r="Q18" s="3104"/>
      <c r="R18" s="3115">
        <f>ROUND(IF(项目基本情况!B8="出让",SUMPRODUCT(PRODUCT(1+K18:K19)),SUMPRODUCT(PRODUCT(1+K18:K18))),4)</f>
        <v>1.0092000000000001</v>
      </c>
      <c r="S18" s="3115">
        <f>ROUND(IF(项目基本情况!B8="出让",SUMPRODUCT(PRODUCT(1+L18:L19)),SUMPRODUCT(PRODUCT(1+L18:L18))),4)</f>
        <v>1.0072000000000001</v>
      </c>
      <c r="T18" s="3115">
        <f>ROUND(IF(项目基本情况!B8="出让",SUMPRODUCT(PRODUCT(1+M18:M19)),SUMPRODUCT(PRODUCT(1+M18:M18))),4)</f>
        <v>1.0041</v>
      </c>
      <c r="U18" s="3115">
        <f>ROUND(IF(项目基本情况!B8="出让",SUMPRODUCT(PRODUCT(1+N18:N19)),SUMPRODUCT(PRODUCT(1+N18:N18))),4)</f>
        <v>1.0095000000000001</v>
      </c>
      <c r="V18" s="3115">
        <f>ROUND(IF(项目基本情况!B8="出让",SUMPRODUCT(PRODUCT(1+O18:O19)),SUMPRODUCT(PRODUCT(1+O18:O18))),4)</f>
        <v>1.0101</v>
      </c>
      <c r="W18" s="3115">
        <f t="shared" si="44"/>
        <v>1.0041</v>
      </c>
      <c r="X18" s="3104"/>
      <c r="Y18" s="3106">
        <f>IF(D18=0,0,ROUND(AVERAGE(D18:D19)/100,4))</f>
        <v>9.4999999999999998E-3</v>
      </c>
      <c r="Z18" s="3106">
        <f>IF(E18=0,0,ROUND(AVERAGE(E18:E19)/100,4))</f>
        <v>4.4000000000000003E-3</v>
      </c>
      <c r="AA18" s="3106">
        <f>IF(F18=0,0,ROUND(AVERAGE(F18:F19)/100,4))</f>
        <v>8.0000000000000004E-4</v>
      </c>
      <c r="AB18" s="3106">
        <f>IF(G18=0,0,ROUND(AVERAGE(G18:G19)/100,4))</f>
        <v>1.03E-2</v>
      </c>
      <c r="AC18" s="3106">
        <f>IF(H18=0,0,ROUND(AVERAGE(H18:H19)/100,4))</f>
        <v>6.8999999999999999E-3</v>
      </c>
      <c r="AD18" s="3106">
        <f t="shared" si="10"/>
        <v>8.0000000000000004E-4</v>
      </c>
    </row>
    <row r="19" spans="1:30" ht="14.25" thickBot="1">
      <c r="A19" s="3089" t="s">
        <v>2789</v>
      </c>
      <c r="B19" s="3144">
        <v>2021</v>
      </c>
      <c r="C19" s="3145">
        <v>1</v>
      </c>
      <c r="D19" s="3145">
        <v>0.97</v>
      </c>
      <c r="E19" s="3145">
        <v>0.16</v>
      </c>
      <c r="F19" s="3145">
        <v>-0.25</v>
      </c>
      <c r="G19" s="3145">
        <v>1.1100000000000001</v>
      </c>
      <c r="H19" s="3146">
        <v>0.36</v>
      </c>
      <c r="I19" s="3147">
        <f t="shared" si="8"/>
        <v>-0.25</v>
      </c>
      <c r="J19" s="3110"/>
      <c r="K19" s="3111">
        <f t="shared" si="9"/>
        <v>9.7000000000000003E-3</v>
      </c>
      <c r="L19" s="3112">
        <f t="shared" si="9"/>
        <v>1.6000000000000001E-3</v>
      </c>
      <c r="M19" s="3112">
        <f>F19/100</f>
        <v>-2.5000000000000001E-3</v>
      </c>
      <c r="N19" s="3112">
        <f t="shared" si="9"/>
        <v>1.11E-2</v>
      </c>
      <c r="O19" s="3112">
        <f t="shared" si="9"/>
        <v>3.5999999999999999E-3</v>
      </c>
      <c r="P19" s="3112">
        <f t="shared" si="43"/>
        <v>-2.5000000000000001E-3</v>
      </c>
      <c r="Q19" s="3110"/>
      <c r="R19" s="3119">
        <v>1</v>
      </c>
      <c r="S19" s="3119">
        <v>1</v>
      </c>
      <c r="T19" s="3119">
        <v>1</v>
      </c>
      <c r="U19" s="3119">
        <v>1</v>
      </c>
      <c r="V19" s="3119">
        <v>1</v>
      </c>
      <c r="W19" s="3119">
        <f t="shared" si="44"/>
        <v>1</v>
      </c>
      <c r="X19" s="3110"/>
      <c r="Y19" s="3112">
        <f>IF(D19=0,0,ROUND(AVERAGE(D19:D19)/100,4))</f>
        <v>9.7000000000000003E-3</v>
      </c>
      <c r="Z19" s="3112">
        <f>IF(E19=0,0,ROUND(AVERAGE(E19:E19)/100,4))</f>
        <v>1.6000000000000001E-3</v>
      </c>
      <c r="AA19" s="3112">
        <f>IF(F19=0,0,ROUND(AVERAGE(F19:F19)/100,4))</f>
        <v>-2.5000000000000001E-3</v>
      </c>
      <c r="AB19" s="3112">
        <f>IF(G19=0,0,ROUND(AVERAGE(G19:G19)/100,4))</f>
        <v>1.11E-2</v>
      </c>
      <c r="AC19" s="3112">
        <f>IF(H19=0,0,ROUND(AVERAGE(H19:H19)/100,4))</f>
        <v>3.5999999999999999E-3</v>
      </c>
      <c r="AD19" s="3112">
        <f>AA19</f>
        <v>-2.5000000000000001E-3</v>
      </c>
    </row>
    <row r="20" spans="1:30" ht="14.25" thickTop="1"/>
    <row r="21" spans="1:30">
      <c r="A21" s="3388" t="s">
        <v>3252</v>
      </c>
    </row>
    <row r="22" spans="1:30">
      <c r="I22" s="2748" t="s">
        <v>2801</v>
      </c>
    </row>
    <row r="24" spans="1:30">
      <c r="A24" s="2440"/>
      <c r="B24" s="3090" t="s">
        <v>2802</v>
      </c>
      <c r="C24" s="3091"/>
      <c r="D24" s="3091"/>
      <c r="E24" s="3091"/>
      <c r="F24" s="3091"/>
      <c r="G24" s="3091"/>
      <c r="H24" s="3091"/>
      <c r="I24" s="3091"/>
      <c r="J24" s="3092"/>
      <c r="K24" s="3091" t="s">
        <v>2794</v>
      </c>
      <c r="L24" s="3091"/>
      <c r="M24" s="3091"/>
      <c r="N24" s="3091"/>
      <c r="O24" s="3091"/>
      <c r="P24" s="3091"/>
      <c r="Q24" s="3092"/>
      <c r="R24" s="3693" t="s">
        <v>2810</v>
      </c>
      <c r="S24" s="3694"/>
      <c r="T24" s="3694"/>
      <c r="U24" s="3694"/>
      <c r="V24" s="3694"/>
      <c r="W24" s="3694"/>
      <c r="X24" s="3092"/>
      <c r="Y24" s="3693" t="s">
        <v>1925</v>
      </c>
      <c r="Z24" s="3694"/>
      <c r="AA24" s="3694"/>
      <c r="AB24" s="3694"/>
      <c r="AC24" s="3694"/>
      <c r="AD24" s="3694"/>
    </row>
    <row r="25" spans="1:30" ht="14.25" thickBot="1">
      <c r="A25" s="3085"/>
      <c r="B25" s="3093"/>
      <c r="C25" s="3094"/>
      <c r="D25" s="2424" t="s">
        <v>2796</v>
      </c>
      <c r="E25" s="2425" t="s">
        <v>2797</v>
      </c>
      <c r="F25" s="2425" t="s">
        <v>2798</v>
      </c>
      <c r="G25" s="2425" t="s">
        <v>1469</v>
      </c>
      <c r="H25" s="2425"/>
      <c r="I25" s="2425" t="s">
        <v>2741</v>
      </c>
      <c r="J25" s="3095"/>
      <c r="K25" s="2424" t="s">
        <v>2796</v>
      </c>
      <c r="L25" s="2425" t="s">
        <v>2797</v>
      </c>
      <c r="M25" s="2425" t="s">
        <v>2798</v>
      </c>
      <c r="N25" s="2425" t="s">
        <v>2799</v>
      </c>
      <c r="O25" s="2425"/>
      <c r="P25" s="2425" t="s">
        <v>2741</v>
      </c>
      <c r="Q25" s="3095"/>
      <c r="R25" s="2424" t="s">
        <v>2811</v>
      </c>
      <c r="S25" s="2425" t="s">
        <v>2812</v>
      </c>
      <c r="T25" s="2425" t="s">
        <v>2798</v>
      </c>
      <c r="U25" s="2425" t="s">
        <v>1469</v>
      </c>
      <c r="V25" s="2425"/>
      <c r="W25" s="2425" t="s">
        <v>2813</v>
      </c>
      <c r="X25" s="3095"/>
      <c r="Y25" s="2424" t="s">
        <v>2795</v>
      </c>
      <c r="Z25" s="2425" t="s">
        <v>2797</v>
      </c>
      <c r="AA25" s="2425" t="s">
        <v>2798</v>
      </c>
      <c r="AB25" s="2425" t="s">
        <v>1469</v>
      </c>
      <c r="AC25" s="2425"/>
      <c r="AD25" s="2425" t="s">
        <v>2816</v>
      </c>
    </row>
    <row r="26" spans="1:30">
      <c r="A26" s="3086" t="s">
        <v>2790</v>
      </c>
      <c r="B26" s="3096"/>
      <c r="C26" s="3097"/>
      <c r="D26" s="3097"/>
      <c r="E26" s="3097">
        <f>ROUND(AVERAGEIF(E27:E42,"&lt;&gt;0"),2)</f>
        <v>0.38</v>
      </c>
      <c r="F26" s="3097">
        <f>ROUND(AVERAGEIF(F27:F42,"&lt;&gt;0"),2)</f>
        <v>0.28999999999999998</v>
      </c>
      <c r="G26" s="3097">
        <f>ROUND(AVERAGEIF(G27:G42,"&lt;&gt;0"),2)</f>
        <v>0.56999999999999995</v>
      </c>
      <c r="H26" s="3097"/>
      <c r="I26" s="3097">
        <f>F26</f>
        <v>0.28999999999999998</v>
      </c>
      <c r="J26" s="3098"/>
      <c r="K26" s="3099"/>
      <c r="L26" s="3100">
        <f>ROUND(AVERAGEIF(L27:L42,"&lt;&gt;0"),4)</f>
        <v>3.8E-3</v>
      </c>
      <c r="M26" s="3100">
        <f>ROUND(AVERAGEIF(M27:M42,"&lt;&gt;0"),4)</f>
        <v>2.8999999999999998E-3</v>
      </c>
      <c r="N26" s="3100">
        <f>ROUND(AVERAGEIF(N27:N42,"&lt;&gt;0"),4)</f>
        <v>5.7000000000000002E-3</v>
      </c>
      <c r="O26" s="3100"/>
      <c r="P26" s="3100">
        <f>M26</f>
        <v>2.8999999999999998E-3</v>
      </c>
      <c r="Q26" s="3098"/>
      <c r="R26" s="3113"/>
      <c r="S26" s="3114">
        <f>ROUND(SUMPRODUCT(PRODUCT(1+L27:L42)),4)</f>
        <v>1.0502</v>
      </c>
      <c r="T26" s="3114">
        <f>ROUND(SUMPRODUCT(PRODUCT(1+M27:M42)),4)</f>
        <v>1.0387999999999999</v>
      </c>
      <c r="U26" s="3114">
        <f>ROUND(SUMPRODUCT(PRODUCT(1+N27:N42)),4)</f>
        <v>1.0763</v>
      </c>
      <c r="V26" s="3114"/>
      <c r="W26" s="3113">
        <f>T26</f>
        <v>1.0387999999999999</v>
      </c>
      <c r="X26" s="3098"/>
      <c r="Y26" s="3120"/>
      <c r="Z26" s="3121">
        <f>ROUND(AVERAGEIF(Z27:Z42,"&lt;&gt;0"),4)</f>
        <v>4.1999999999999997E-3</v>
      </c>
      <c r="AA26" s="3122">
        <f>ROUND(AVERAGEIF(AA27:AA42,"&lt;&gt;0"),4)</f>
        <v>3.3E-3</v>
      </c>
      <c r="AB26" s="3120">
        <f>ROUND(AVERAGEIF(AB27:AB42,"&lt;&gt;0"),4)</f>
        <v>8.0999999999999996E-3</v>
      </c>
      <c r="AC26" s="3123"/>
      <c r="AD26" s="3120">
        <f>AA26</f>
        <v>3.3E-3</v>
      </c>
    </row>
    <row r="27" spans="1:30">
      <c r="A27" s="2440"/>
      <c r="B27" s="3101"/>
      <c r="C27" s="2440"/>
      <c r="D27" s="2440"/>
      <c r="E27" s="2440"/>
      <c r="F27" s="2440"/>
      <c r="G27" s="2440"/>
      <c r="H27" s="2440"/>
      <c r="I27" s="2440"/>
      <c r="J27" s="3092"/>
      <c r="K27" s="3102"/>
      <c r="L27" s="3103"/>
      <c r="M27" s="3103"/>
      <c r="N27" s="3103"/>
      <c r="O27" s="3103"/>
      <c r="P27" s="3103"/>
      <c r="Q27" s="3092"/>
      <c r="R27" s="3115"/>
      <c r="S27" s="3116"/>
      <c r="T27" s="3117"/>
      <c r="U27" s="3115"/>
      <c r="V27" s="3118"/>
      <c r="W27" s="3115"/>
      <c r="X27" s="3092"/>
      <c r="Y27" s="3106"/>
      <c r="Z27" s="3124"/>
      <c r="AA27" s="3125"/>
      <c r="AB27" s="3106"/>
      <c r="AC27" s="3126"/>
      <c r="AD27" s="3106"/>
    </row>
    <row r="28" spans="1:30">
      <c r="A28" s="3389" t="s">
        <v>3267</v>
      </c>
      <c r="B28" s="3136">
        <v>2024</v>
      </c>
      <c r="C28" s="3137">
        <v>3</v>
      </c>
      <c r="D28" s="3137"/>
      <c r="E28" s="3137">
        <v>0</v>
      </c>
      <c r="F28" s="3137">
        <v>0</v>
      </c>
      <c r="G28" s="3137">
        <v>0</v>
      </c>
      <c r="H28" s="3137"/>
      <c r="I28" s="3138">
        <f t="shared" ref="I28" si="45">F28</f>
        <v>0</v>
      </c>
      <c r="J28" s="3104"/>
      <c r="K28" s="3105"/>
      <c r="L28" s="3106">
        <f t="shared" ref="L28" si="46">E28/100</f>
        <v>0</v>
      </c>
      <c r="M28" s="3106">
        <f t="shared" ref="M28" si="47">F28/100</f>
        <v>0</v>
      </c>
      <c r="N28" s="3106">
        <f t="shared" ref="N28" si="48">G28/100</f>
        <v>0</v>
      </c>
      <c r="O28" s="3106"/>
      <c r="P28" s="3106">
        <f>M28</f>
        <v>0</v>
      </c>
      <c r="Q28" s="3104"/>
      <c r="R28" s="3115"/>
      <c r="S28" s="3115">
        <f>ROUND(IF(项目基本情况!$B$8="出让",SUMPRODUCT(PRODUCT(1+L28:L$42)),SUMPRODUCT(PRODUCT(1+L28:L$41))),4)</f>
        <v>1.0465</v>
      </c>
      <c r="T28" s="3115">
        <f>ROUND(IF(项目基本情况!$B$8="出让",SUMPRODUCT(PRODUCT(1+M28:M$42)),SUMPRODUCT(PRODUCT(1+M28:M$41))),4)</f>
        <v>1.0338000000000001</v>
      </c>
      <c r="U28" s="3115">
        <f>ROUND(IF(项目基本情况!$B$8="出让",SUMPRODUCT(PRODUCT(1+N28:N$42)),SUMPRODUCT(PRODUCT(1+N28:N$41))),4)</f>
        <v>1.0659000000000001</v>
      </c>
      <c r="V28" s="3115"/>
      <c r="W28" s="3115">
        <f>T28</f>
        <v>1.0338000000000001</v>
      </c>
      <c r="X28" s="3104"/>
      <c r="Y28" s="3106"/>
      <c r="Z28" s="3124">
        <f t="shared" ref="Z28:AB29" si="49">IF(E28=0,0,ROUND(AVERAGE(E28:E41)/100,4))</f>
        <v>0</v>
      </c>
      <c r="AA28" s="3124">
        <f t="shared" si="49"/>
        <v>0</v>
      </c>
      <c r="AB28" s="3124">
        <f t="shared" si="49"/>
        <v>0</v>
      </c>
      <c r="AC28" s="3126"/>
      <c r="AD28" s="3106">
        <f>IF(I28=0,0,ROUND(AVERAGE(I28:I41)/100,4))</f>
        <v>0</v>
      </c>
    </row>
    <row r="29" spans="1:30">
      <c r="A29" s="3389" t="s">
        <v>3260</v>
      </c>
      <c r="B29" s="3136">
        <v>2024</v>
      </c>
      <c r="C29" s="3137">
        <v>2</v>
      </c>
      <c r="D29" s="3137"/>
      <c r="E29" s="3137">
        <v>0</v>
      </c>
      <c r="F29" s="3137">
        <v>0</v>
      </c>
      <c r="G29" s="3137">
        <v>0</v>
      </c>
      <c r="H29" s="3137"/>
      <c r="I29" s="3138">
        <f t="shared" ref="I29:I42" si="50">F29</f>
        <v>0</v>
      </c>
      <c r="J29" s="3104"/>
      <c r="K29" s="3105"/>
      <c r="L29" s="3106">
        <f t="shared" ref="L29:N42" si="51">E29/100</f>
        <v>0</v>
      </c>
      <c r="M29" s="3106">
        <f t="shared" si="51"/>
        <v>0</v>
      </c>
      <c r="N29" s="3106">
        <f t="shared" si="51"/>
        <v>0</v>
      </c>
      <c r="O29" s="3106"/>
      <c r="P29" s="3106">
        <f>M29</f>
        <v>0</v>
      </c>
      <c r="Q29" s="3104"/>
      <c r="R29" s="3115"/>
      <c r="S29" s="3115">
        <f>ROUND(IF(项目基本情况!$B$8="出让",SUMPRODUCT(PRODUCT(1+L29:L$42)),SUMPRODUCT(PRODUCT(1+L29:L$41))),4)</f>
        <v>1.0465</v>
      </c>
      <c r="T29" s="3115">
        <f>ROUND(IF(项目基本情况!$B$8="出让",SUMPRODUCT(PRODUCT(1+M29:M$42)),SUMPRODUCT(PRODUCT(1+M29:M$41))),4)</f>
        <v>1.0338000000000001</v>
      </c>
      <c r="U29" s="3115">
        <f>ROUND(IF(项目基本情况!$B$8="出让",SUMPRODUCT(PRODUCT(1+N29:N$42)),SUMPRODUCT(PRODUCT(1+N29:N$41))),4)</f>
        <v>1.0659000000000001</v>
      </c>
      <c r="V29" s="3115"/>
      <c r="W29" s="3115">
        <f>T29</f>
        <v>1.0338000000000001</v>
      </c>
      <c r="X29" s="3104"/>
      <c r="Y29" s="3106"/>
      <c r="Z29" s="3124">
        <f t="shared" si="49"/>
        <v>0</v>
      </c>
      <c r="AA29" s="3124">
        <f t="shared" si="49"/>
        <v>0</v>
      </c>
      <c r="AB29" s="3124">
        <f t="shared" si="49"/>
        <v>0</v>
      </c>
      <c r="AC29" s="3126"/>
      <c r="AD29" s="3106">
        <f>IF(I29=0,0,ROUND(AVERAGE(I29:I42)/100,4))</f>
        <v>0</v>
      </c>
    </row>
    <row r="30" spans="1:30">
      <c r="A30" s="3088" t="s">
        <v>3264</v>
      </c>
      <c r="B30" s="3139">
        <v>2024</v>
      </c>
      <c r="C30" s="3140">
        <v>1</v>
      </c>
      <c r="D30" s="3140"/>
      <c r="E30" s="3140">
        <v>0.25</v>
      </c>
      <c r="F30" s="3140">
        <v>0.4</v>
      </c>
      <c r="G30" s="3140">
        <v>-0.63</v>
      </c>
      <c r="H30" s="3141"/>
      <c r="I30" s="3142">
        <f t="shared" si="50"/>
        <v>0.4</v>
      </c>
      <c r="J30" s="3107"/>
      <c r="K30" s="3108"/>
      <c r="L30" s="3109">
        <f t="shared" ref="L30" si="52">E30/100</f>
        <v>2.5000000000000001E-3</v>
      </c>
      <c r="M30" s="3109">
        <f t="shared" ref="M30" si="53">F30/100</f>
        <v>4.0000000000000001E-3</v>
      </c>
      <c r="N30" s="3109">
        <f t="shared" ref="N30" si="54">G30/100</f>
        <v>-6.3E-3</v>
      </c>
      <c r="O30" s="3109"/>
      <c r="P30" s="3109">
        <f t="shared" ref="P30" si="55">M30</f>
        <v>4.0000000000000001E-3</v>
      </c>
      <c r="Q30" s="3107"/>
      <c r="R30" s="3107"/>
      <c r="S30" s="3107">
        <f>ROUND(IF(项目基本情况!$B$8="出让",SUMPRODUCT(PRODUCT(1+L30:L$42)),SUMPRODUCT(PRODUCT(1+L30:L$41))),4)</f>
        <v>1.0465</v>
      </c>
      <c r="T30" s="3107">
        <f>ROUND(IF(项目基本情况!$B$8="出让",SUMPRODUCT(PRODUCT(1+M30:M$42)),SUMPRODUCT(PRODUCT(1+M30:M$41))),4)</f>
        <v>1.0338000000000001</v>
      </c>
      <c r="U30" s="3107">
        <f>ROUND(IF(项目基本情况!$B$8="出让",SUMPRODUCT(PRODUCT(1+N30:N$42)),SUMPRODUCT(PRODUCT(1+N30:N$41))),4)</f>
        <v>1.0659000000000001</v>
      </c>
      <c r="V30" s="3107"/>
      <c r="W30" s="3107">
        <f t="shared" ref="W30" si="56">T30</f>
        <v>1.0338000000000001</v>
      </c>
      <c r="X30" s="3107"/>
      <c r="Y30" s="3109"/>
      <c r="Z30" s="3127">
        <f t="shared" ref="Z30" si="57">IF(E30=0,0,ROUND(AVERAGE(E30:E41)/100,4))</f>
        <v>3.8E-3</v>
      </c>
      <c r="AA30" s="3128">
        <f t="shared" ref="AA30" si="58">IF(F30=0,0,ROUND(AVERAGE(F30:F41)/100,4))</f>
        <v>2.8E-3</v>
      </c>
      <c r="AB30" s="3109">
        <f t="shared" ref="AB30" si="59">IF(G30=0,0,ROUND(AVERAGE(G30:G41)/100,4))</f>
        <v>5.3E-3</v>
      </c>
      <c r="AC30" s="3129"/>
      <c r="AD30" s="3109">
        <f t="shared" ref="AD30" si="60">IF(I30=0,0,ROUND(AVERAGE(I30:I41)/100,4))</f>
        <v>2.8E-3</v>
      </c>
    </row>
    <row r="31" spans="1:30">
      <c r="A31" s="3087" t="s">
        <v>3265</v>
      </c>
      <c r="B31" s="3136">
        <v>2023</v>
      </c>
      <c r="C31" s="3137">
        <v>4</v>
      </c>
      <c r="D31" s="3137"/>
      <c r="E31" s="3137">
        <v>7.0000000000000007E-2</v>
      </c>
      <c r="F31" s="3137">
        <v>0.09</v>
      </c>
      <c r="G31" s="3137">
        <v>0.03</v>
      </c>
      <c r="H31" s="3143"/>
      <c r="I31" s="3138">
        <f t="shared" ref="I31" si="61">F31</f>
        <v>0.09</v>
      </c>
      <c r="J31" s="3104"/>
      <c r="K31" s="3105"/>
      <c r="L31" s="3106">
        <f t="shared" si="51"/>
        <v>7.000000000000001E-4</v>
      </c>
      <c r="M31" s="3106">
        <f t="shared" si="51"/>
        <v>8.9999999999999998E-4</v>
      </c>
      <c r="N31" s="3106">
        <f t="shared" si="51"/>
        <v>2.9999999999999997E-4</v>
      </c>
      <c r="O31" s="3106"/>
      <c r="P31" s="3106">
        <f t="shared" ref="P31" si="62">M31</f>
        <v>8.9999999999999998E-4</v>
      </c>
      <c r="Q31" s="3104"/>
      <c r="R31" s="3115"/>
      <c r="S31" s="3115">
        <f>ROUND(IF(项目基本情况!$B$8="出让",SUMPRODUCT(PRODUCT(1+L31:L$42)),SUMPRODUCT(PRODUCT(1+L31:L$41))),4)</f>
        <v>1.0439000000000001</v>
      </c>
      <c r="T31" s="3115">
        <f>ROUND(IF(项目基本情况!$B$8="出让",SUMPRODUCT(PRODUCT(1+M31:M$42)),SUMPRODUCT(PRODUCT(1+M31:M$41))),4)</f>
        <v>1.0297000000000001</v>
      </c>
      <c r="U31" s="3115">
        <f>ROUND(IF(项目基本情况!$B$8="出让",SUMPRODUCT(PRODUCT(1+N31:N$42)),SUMPRODUCT(PRODUCT(1+N31:N$41))),4)</f>
        <v>1.0727</v>
      </c>
      <c r="V31" s="3115"/>
      <c r="W31" s="3115">
        <f t="shared" ref="W31" si="63">T31</f>
        <v>1.0297000000000001</v>
      </c>
      <c r="X31" s="3104"/>
      <c r="Y31" s="3106"/>
      <c r="Z31" s="3124">
        <f t="shared" ref="Z31" si="64">IF(E31=0,0,ROUND(AVERAGE(E31:E42)/100,4))</f>
        <v>3.8999999999999998E-3</v>
      </c>
      <c r="AA31" s="3125">
        <f t="shared" ref="AA31" si="65">IF(F31=0,0,ROUND(AVERAGE(F31:F42)/100,4))</f>
        <v>2.8E-3</v>
      </c>
      <c r="AB31" s="3106">
        <f t="shared" ref="AB31" si="66">IF(G31=0,0,ROUND(AVERAGE(G31:G42)/100,4))</f>
        <v>6.7000000000000002E-3</v>
      </c>
      <c r="AC31" s="3126"/>
      <c r="AD31" s="3106">
        <f t="shared" ref="AD31" si="67">IF(I31=0,0,ROUND(AVERAGE(I31:I42)/100,4))</f>
        <v>2.8E-3</v>
      </c>
    </row>
    <row r="32" spans="1:30">
      <c r="A32" s="3087" t="s">
        <v>3261</v>
      </c>
      <c r="B32" s="3136">
        <v>2023</v>
      </c>
      <c r="C32" s="3137">
        <v>3</v>
      </c>
      <c r="D32" s="3137"/>
      <c r="E32" s="3137">
        <v>0.35</v>
      </c>
      <c r="F32" s="3137">
        <v>0.17</v>
      </c>
      <c r="G32" s="3137">
        <v>0.52</v>
      </c>
      <c r="H32" s="3143"/>
      <c r="I32" s="3138">
        <f t="shared" si="50"/>
        <v>0.17</v>
      </c>
      <c r="J32" s="3104"/>
      <c r="K32" s="3105"/>
      <c r="L32" s="3106">
        <f t="shared" ref="L32:L34" si="68">E32/100</f>
        <v>3.4999999999999996E-3</v>
      </c>
      <c r="M32" s="3106">
        <f t="shared" ref="M32:M34" si="69">F32/100</f>
        <v>1.7000000000000001E-3</v>
      </c>
      <c r="N32" s="3106">
        <f t="shared" ref="N32:N34" si="70">G32/100</f>
        <v>5.1999999999999998E-3</v>
      </c>
      <c r="O32" s="3106"/>
      <c r="P32" s="3106">
        <f t="shared" ref="P32:P34" si="71">M32</f>
        <v>1.7000000000000001E-3</v>
      </c>
      <c r="Q32" s="3104"/>
      <c r="R32" s="3115"/>
      <c r="S32" s="3115">
        <f>ROUND(IF(项目基本情况!$B$8="出让",SUMPRODUCT(PRODUCT(1+L32:L$42)),SUMPRODUCT(PRODUCT(1+L32:L$41))),4)</f>
        <v>1.0431999999999999</v>
      </c>
      <c r="T32" s="3115">
        <f>ROUND(IF(项目基本情况!$B$8="出让",SUMPRODUCT(PRODUCT(1+M32:M$42)),SUMPRODUCT(PRODUCT(1+M32:M$41))),4)</f>
        <v>1.0286999999999999</v>
      </c>
      <c r="U32" s="3115">
        <f>ROUND(IF(项目基本情况!$B$8="出让",SUMPRODUCT(PRODUCT(1+N32:N$42)),SUMPRODUCT(PRODUCT(1+N32:N$41))),4)</f>
        <v>1.0723</v>
      </c>
      <c r="V32" s="3115"/>
      <c r="W32" s="3115">
        <f t="shared" ref="W32:W34" si="72">T32</f>
        <v>1.0286999999999999</v>
      </c>
      <c r="X32" s="3104"/>
      <c r="Y32" s="3106"/>
      <c r="Z32" s="3124">
        <f t="shared" ref="Z32:AB32" si="73">IF(E32=0,0,ROUND(AVERAGE(E32:E43)/100,4))</f>
        <v>4.1999999999999997E-3</v>
      </c>
      <c r="AA32" s="3125">
        <f t="shared" si="73"/>
        <v>3.0000000000000001E-3</v>
      </c>
      <c r="AB32" s="3106">
        <f t="shared" si="73"/>
        <v>7.3000000000000001E-3</v>
      </c>
      <c r="AC32" s="3126"/>
      <c r="AD32" s="3106">
        <f t="shared" ref="AD32:AD34" si="74">IF(I32=0,0,ROUND(AVERAGE(I32:I43)/100,4))</f>
        <v>3.0000000000000001E-3</v>
      </c>
    </row>
    <row r="33" spans="1:30">
      <c r="A33" s="3087" t="s">
        <v>3259</v>
      </c>
      <c r="B33" s="3136">
        <v>2023</v>
      </c>
      <c r="C33" s="3137">
        <v>2</v>
      </c>
      <c r="D33" s="3137"/>
      <c r="E33" s="3137">
        <v>0.5</v>
      </c>
      <c r="F33" s="3137">
        <v>0.45</v>
      </c>
      <c r="G33" s="3137">
        <v>0.89</v>
      </c>
      <c r="H33" s="3143"/>
      <c r="I33" s="3138">
        <f t="shared" si="50"/>
        <v>0.45</v>
      </c>
      <c r="J33" s="3104"/>
      <c r="K33" s="3105"/>
      <c r="L33" s="3106">
        <f t="shared" si="68"/>
        <v>5.0000000000000001E-3</v>
      </c>
      <c r="M33" s="3106">
        <f t="shared" si="69"/>
        <v>4.5000000000000005E-3</v>
      </c>
      <c r="N33" s="3106">
        <f t="shared" si="70"/>
        <v>8.8999999999999999E-3</v>
      </c>
      <c r="O33" s="3106"/>
      <c r="P33" s="3106">
        <f t="shared" si="71"/>
        <v>4.5000000000000005E-3</v>
      </c>
      <c r="Q33" s="3104"/>
      <c r="R33" s="3115"/>
      <c r="S33" s="3115">
        <f>ROUND(IF(项目基本情况!$B$8="出让",SUMPRODUCT(PRODUCT(1+L33:L$42)),SUMPRODUCT(PRODUCT(1+L33:L$41))),4)</f>
        <v>1.0396000000000001</v>
      </c>
      <c r="T33" s="3115">
        <f>ROUND(IF(项目基本情况!$B$8="出让",SUMPRODUCT(PRODUCT(1+M33:M$42)),SUMPRODUCT(PRODUCT(1+M33:M$41))),4)</f>
        <v>1.0269999999999999</v>
      </c>
      <c r="U33" s="3115">
        <f>ROUND(IF(项目基本情况!$B$8="出让",SUMPRODUCT(PRODUCT(1+N33:N$42)),SUMPRODUCT(PRODUCT(1+N33:N$41))),4)</f>
        <v>1.0668</v>
      </c>
      <c r="V33" s="3115"/>
      <c r="W33" s="3115">
        <f t="shared" si="72"/>
        <v>1.0269999999999999</v>
      </c>
      <c r="X33" s="3104"/>
      <c r="Y33" s="3106"/>
      <c r="Z33" s="3124">
        <f t="shared" ref="Z33:AB33" si="75">IF(E33=0,0,ROUND(AVERAGE(E33:E44)/100,4))</f>
        <v>4.1999999999999997E-3</v>
      </c>
      <c r="AA33" s="3125">
        <f t="shared" si="75"/>
        <v>3.2000000000000002E-3</v>
      </c>
      <c r="AB33" s="3106">
        <f t="shared" si="75"/>
        <v>7.4999999999999997E-3</v>
      </c>
      <c r="AC33" s="3126"/>
      <c r="AD33" s="3106">
        <f t="shared" si="74"/>
        <v>3.2000000000000002E-3</v>
      </c>
    </row>
    <row r="34" spans="1:30">
      <c r="A34" s="3087" t="s">
        <v>3257</v>
      </c>
      <c r="B34" s="3136">
        <v>2023</v>
      </c>
      <c r="C34" s="3137">
        <v>1</v>
      </c>
      <c r="D34" s="3137"/>
      <c r="E34" s="3137">
        <v>0.55000000000000004</v>
      </c>
      <c r="F34" s="3137">
        <v>0.59</v>
      </c>
      <c r="G34" s="3137">
        <v>0.64</v>
      </c>
      <c r="H34" s="3143"/>
      <c r="I34" s="3138">
        <f t="shared" si="50"/>
        <v>0.59</v>
      </c>
      <c r="J34" s="3104"/>
      <c r="K34" s="3105"/>
      <c r="L34" s="3106">
        <f t="shared" si="68"/>
        <v>5.5000000000000005E-3</v>
      </c>
      <c r="M34" s="3106">
        <f t="shared" si="69"/>
        <v>5.8999999999999999E-3</v>
      </c>
      <c r="N34" s="3106">
        <f t="shared" si="70"/>
        <v>6.4000000000000003E-3</v>
      </c>
      <c r="O34" s="3106"/>
      <c r="P34" s="3106">
        <f t="shared" si="71"/>
        <v>5.8999999999999999E-3</v>
      </c>
      <c r="Q34" s="3104"/>
      <c r="R34" s="3115"/>
      <c r="S34" s="3115">
        <f>ROUND(IF(项目基本情况!$B$8="出让",SUMPRODUCT(PRODUCT(1+L34:L$42)),SUMPRODUCT(PRODUCT(1+L34:L$41))),4)</f>
        <v>1.0344</v>
      </c>
      <c r="T34" s="3115">
        <f>ROUND(IF(项目基本情况!$B$8="出让",SUMPRODUCT(PRODUCT(1+M34:M$42)),SUMPRODUCT(PRODUCT(1+M34:M$41))),4)</f>
        <v>1.0224</v>
      </c>
      <c r="U34" s="3115">
        <f>ROUND(IF(项目基本情况!$B$8="出让",SUMPRODUCT(PRODUCT(1+N34:N$42)),SUMPRODUCT(PRODUCT(1+N34:N$41))),4)</f>
        <v>1.0573999999999999</v>
      </c>
      <c r="V34" s="3115"/>
      <c r="W34" s="3115">
        <f t="shared" si="72"/>
        <v>1.0224</v>
      </c>
      <c r="X34" s="3104"/>
      <c r="Y34" s="3106"/>
      <c r="Z34" s="3124">
        <f t="shared" ref="Z34:AB34" si="76">IF(E34=0,0,ROUND(AVERAGE(E34:E45)/100,4))</f>
        <v>4.1999999999999997E-3</v>
      </c>
      <c r="AA34" s="3125">
        <f t="shared" si="76"/>
        <v>3.0000000000000001E-3</v>
      </c>
      <c r="AB34" s="3106">
        <f t="shared" si="76"/>
        <v>7.3000000000000001E-3</v>
      </c>
      <c r="AC34" s="3126"/>
      <c r="AD34" s="3106">
        <f t="shared" si="74"/>
        <v>3.0000000000000001E-3</v>
      </c>
    </row>
    <row r="35" spans="1:30">
      <c r="A35" s="3087" t="s">
        <v>3255</v>
      </c>
      <c r="B35" s="3136">
        <v>2022</v>
      </c>
      <c r="C35" s="3137">
        <v>4</v>
      </c>
      <c r="D35" s="3137"/>
      <c r="E35" s="3137">
        <v>0.45</v>
      </c>
      <c r="F35" s="3137">
        <v>0.2</v>
      </c>
      <c r="G35" s="3137">
        <v>0.38</v>
      </c>
      <c r="H35" s="3143"/>
      <c r="I35" s="3138">
        <f t="shared" si="50"/>
        <v>0.2</v>
      </c>
      <c r="J35" s="3104"/>
      <c r="K35" s="3105"/>
      <c r="L35" s="3106">
        <f t="shared" si="51"/>
        <v>4.5000000000000005E-3</v>
      </c>
      <c r="M35" s="3106">
        <f t="shared" si="51"/>
        <v>2E-3</v>
      </c>
      <c r="N35" s="3106">
        <f t="shared" si="51"/>
        <v>3.8E-3</v>
      </c>
      <c r="O35" s="3106"/>
      <c r="P35" s="3106">
        <f t="shared" ref="P35:P42" si="77">M35</f>
        <v>2E-3</v>
      </c>
      <c r="Q35" s="3104"/>
      <c r="R35" s="3115"/>
      <c r="S35" s="3115">
        <f>ROUND(IF(项目基本情况!$B$8="出让",SUMPRODUCT(PRODUCT(1+L35:L$42)),SUMPRODUCT(PRODUCT(1+L35:L$41))),4)</f>
        <v>1.0286999999999999</v>
      </c>
      <c r="T35" s="3115">
        <f>ROUND(IF(项目基本情况!$B$8="出让",SUMPRODUCT(PRODUCT(1+M35:M$42)),SUMPRODUCT(PRODUCT(1+M35:M$41))),4)</f>
        <v>1.0164</v>
      </c>
      <c r="U35" s="3115">
        <f>ROUND(IF(项目基本情况!$B$8="出让",SUMPRODUCT(PRODUCT(1+N35:N$42)),SUMPRODUCT(PRODUCT(1+N35:N$41))),4)</f>
        <v>1.0506</v>
      </c>
      <c r="V35" s="3115"/>
      <c r="W35" s="3115">
        <f t="shared" ref="W35:W42" si="78">T35</f>
        <v>1.0164</v>
      </c>
      <c r="X35" s="3104"/>
      <c r="Y35" s="3106"/>
      <c r="Z35" s="3124">
        <f t="shared" ref="Z35:AD42" si="79">IF(E35=0,0,ROUND(AVERAGE(E35:E43)/100,4))</f>
        <v>4.0000000000000001E-3</v>
      </c>
      <c r="AA35" s="3125">
        <f t="shared" si="79"/>
        <v>2.5999999999999999E-3</v>
      </c>
      <c r="AB35" s="3106">
        <f t="shared" si="79"/>
        <v>7.4000000000000003E-3</v>
      </c>
      <c r="AC35" s="3126"/>
      <c r="AD35" s="3106">
        <f t="shared" si="79"/>
        <v>2.5999999999999999E-3</v>
      </c>
    </row>
    <row r="36" spans="1:30">
      <c r="A36" s="3087" t="s">
        <v>3251</v>
      </c>
      <c r="B36" s="3136">
        <v>2022</v>
      </c>
      <c r="C36" s="3137">
        <v>3</v>
      </c>
      <c r="D36" s="3137"/>
      <c r="E36" s="3137">
        <v>0.3</v>
      </c>
      <c r="F36" s="3137">
        <v>0.28999999999999998</v>
      </c>
      <c r="G36" s="3137">
        <v>0.83</v>
      </c>
      <c r="H36" s="3143"/>
      <c r="I36" s="3138">
        <f t="shared" si="50"/>
        <v>0.28999999999999998</v>
      </c>
      <c r="J36" s="3104"/>
      <c r="K36" s="3105"/>
      <c r="L36" s="3106">
        <f t="shared" si="51"/>
        <v>3.0000000000000001E-3</v>
      </c>
      <c r="M36" s="3106">
        <f t="shared" si="51"/>
        <v>2.8999999999999998E-3</v>
      </c>
      <c r="N36" s="3106">
        <f t="shared" si="51"/>
        <v>8.3000000000000001E-3</v>
      </c>
      <c r="O36" s="3106"/>
      <c r="P36" s="3106">
        <f t="shared" si="77"/>
        <v>2.8999999999999998E-3</v>
      </c>
      <c r="Q36" s="3104"/>
      <c r="R36" s="3115"/>
      <c r="S36" s="3115">
        <f>ROUND(IF(项目基本情况!$B$8="出让",SUMPRODUCT(PRODUCT(1+L36:L$42)),SUMPRODUCT(PRODUCT(1+L36:L$41))),4)</f>
        <v>1.0241</v>
      </c>
      <c r="T36" s="3115">
        <f>ROUND(IF(项目基本情况!$B$8="出让",SUMPRODUCT(PRODUCT(1+M36:M$42)),SUMPRODUCT(PRODUCT(1+M36:M$41))),4)</f>
        <v>1.0144</v>
      </c>
      <c r="U36" s="3115">
        <f>ROUND(IF(项目基本情况!$B$8="出让",SUMPRODUCT(PRODUCT(1+N36:N$42)),SUMPRODUCT(PRODUCT(1+N36:N$41))),4)</f>
        <v>1.0467</v>
      </c>
      <c r="V36" s="3115"/>
      <c r="W36" s="3115">
        <f t="shared" si="78"/>
        <v>1.0144</v>
      </c>
      <c r="X36" s="3104"/>
      <c r="Y36" s="3106"/>
      <c r="Z36" s="3124">
        <f t="shared" si="79"/>
        <v>3.8999999999999998E-3</v>
      </c>
      <c r="AA36" s="3125">
        <f t="shared" si="79"/>
        <v>2.7000000000000001E-3</v>
      </c>
      <c r="AB36" s="3106">
        <f t="shared" si="79"/>
        <v>7.9000000000000008E-3</v>
      </c>
      <c r="AC36" s="3126"/>
      <c r="AD36" s="3106">
        <f t="shared" si="79"/>
        <v>2.7000000000000001E-3</v>
      </c>
    </row>
    <row r="37" spans="1:30">
      <c r="A37" s="3087" t="s">
        <v>3250</v>
      </c>
      <c r="B37" s="3136">
        <v>2022</v>
      </c>
      <c r="C37" s="3137">
        <v>2</v>
      </c>
      <c r="D37" s="3137"/>
      <c r="E37" s="3137">
        <v>-0.11</v>
      </c>
      <c r="F37" s="3137">
        <v>-0.13</v>
      </c>
      <c r="G37" s="3137">
        <v>0.53</v>
      </c>
      <c r="H37" s="3143"/>
      <c r="I37" s="3138">
        <f t="shared" si="50"/>
        <v>-0.13</v>
      </c>
      <c r="J37" s="3104"/>
      <c r="K37" s="3105"/>
      <c r="L37" s="3106">
        <f t="shared" si="51"/>
        <v>-1.1000000000000001E-3</v>
      </c>
      <c r="M37" s="3106">
        <f t="shared" si="51"/>
        <v>-1.2999999999999999E-3</v>
      </c>
      <c r="N37" s="3106">
        <f t="shared" si="51"/>
        <v>5.3E-3</v>
      </c>
      <c r="O37" s="3106"/>
      <c r="P37" s="3106">
        <f t="shared" si="77"/>
        <v>-1.2999999999999999E-3</v>
      </c>
      <c r="Q37" s="3104"/>
      <c r="R37" s="3115"/>
      <c r="S37" s="3115">
        <f>ROUND(IF(项目基本情况!$B$8="出让",SUMPRODUCT(PRODUCT(1+L37:L$42)),SUMPRODUCT(PRODUCT(1+L37:L$41))),4)</f>
        <v>1.0210999999999999</v>
      </c>
      <c r="T37" s="3115">
        <f>ROUND(IF(项目基本情况!$B$8="出让",SUMPRODUCT(PRODUCT(1+M37:M$42)),SUMPRODUCT(PRODUCT(1+M37:M$41))),4)</f>
        <v>1.0114000000000001</v>
      </c>
      <c r="U37" s="3115">
        <f>ROUND(IF(项目基本情况!$B$8="出让",SUMPRODUCT(PRODUCT(1+N37:N$42)),SUMPRODUCT(PRODUCT(1+N37:N$41))),4)</f>
        <v>1.0381</v>
      </c>
      <c r="V37" s="3115"/>
      <c r="W37" s="3115">
        <f t="shared" si="78"/>
        <v>1.0114000000000001</v>
      </c>
      <c r="X37" s="3104"/>
      <c r="Y37" s="3106"/>
      <c r="Z37" s="3124">
        <f t="shared" si="79"/>
        <v>4.1000000000000003E-3</v>
      </c>
      <c r="AA37" s="3125">
        <f t="shared" si="79"/>
        <v>2.7000000000000001E-3</v>
      </c>
      <c r="AB37" s="3106">
        <f t="shared" si="79"/>
        <v>7.9000000000000008E-3</v>
      </c>
      <c r="AC37" s="3126"/>
      <c r="AD37" s="3106">
        <f t="shared" si="79"/>
        <v>2.7000000000000001E-3</v>
      </c>
    </row>
    <row r="38" spans="1:30">
      <c r="A38" s="3087" t="s">
        <v>2785</v>
      </c>
      <c r="B38" s="3136">
        <v>2022</v>
      </c>
      <c r="C38" s="3137">
        <v>1</v>
      </c>
      <c r="D38" s="3137"/>
      <c r="E38" s="3137">
        <v>0.6</v>
      </c>
      <c r="F38" s="3137">
        <v>0.45</v>
      </c>
      <c r="G38" s="3137">
        <v>0.53</v>
      </c>
      <c r="H38" s="3143"/>
      <c r="I38" s="3138">
        <f t="shared" si="50"/>
        <v>0.45</v>
      </c>
      <c r="J38" s="3104"/>
      <c r="K38" s="3105"/>
      <c r="L38" s="3106">
        <f t="shared" si="51"/>
        <v>6.0000000000000001E-3</v>
      </c>
      <c r="M38" s="3106">
        <f t="shared" si="51"/>
        <v>4.5000000000000005E-3</v>
      </c>
      <c r="N38" s="3106">
        <f t="shared" si="51"/>
        <v>5.3E-3</v>
      </c>
      <c r="O38" s="3106"/>
      <c r="P38" s="3106">
        <f t="shared" si="77"/>
        <v>4.5000000000000005E-3</v>
      </c>
      <c r="Q38" s="3104"/>
      <c r="R38" s="3115"/>
      <c r="S38" s="3115">
        <f>ROUND(IF(项目基本情况!$B$8="出让",SUMPRODUCT(PRODUCT(1+L38:L$42)),SUMPRODUCT(PRODUCT(1+L38:L$41))),4)</f>
        <v>1.0222</v>
      </c>
      <c r="T38" s="3115">
        <f>ROUND(IF(项目基本情况!$B$8="出让",SUMPRODUCT(PRODUCT(1+M38:M$42)),SUMPRODUCT(PRODUCT(1+M38:M$41))),4)</f>
        <v>1.0127999999999999</v>
      </c>
      <c r="U38" s="3115">
        <f>ROUND(IF(项目基本情况!$B$8="出让",SUMPRODUCT(PRODUCT(1+N38:N$42)),SUMPRODUCT(PRODUCT(1+N38:N$41))),4)</f>
        <v>1.0326</v>
      </c>
      <c r="V38" s="3115"/>
      <c r="W38" s="3115">
        <f t="shared" si="78"/>
        <v>1.0127999999999999</v>
      </c>
      <c r="X38" s="3104"/>
      <c r="Y38" s="3106"/>
      <c r="Z38" s="3124">
        <f t="shared" si="79"/>
        <v>5.1000000000000004E-3</v>
      </c>
      <c r="AA38" s="3125">
        <f t="shared" si="79"/>
        <v>3.5000000000000001E-3</v>
      </c>
      <c r="AB38" s="3106">
        <f t="shared" si="79"/>
        <v>8.3999999999999995E-3</v>
      </c>
      <c r="AC38" s="3126"/>
      <c r="AD38" s="3106">
        <f t="shared" si="79"/>
        <v>3.5000000000000001E-3</v>
      </c>
    </row>
    <row r="39" spans="1:30">
      <c r="A39" s="3087" t="s">
        <v>2786</v>
      </c>
      <c r="B39" s="3136">
        <v>2021</v>
      </c>
      <c r="C39" s="3137">
        <v>4</v>
      </c>
      <c r="D39" s="3137"/>
      <c r="E39" s="3137">
        <v>0.57999999999999996</v>
      </c>
      <c r="F39" s="3137">
        <v>0.08</v>
      </c>
      <c r="G39" s="3137">
        <v>0.68</v>
      </c>
      <c r="H39" s="3143"/>
      <c r="I39" s="3138">
        <f t="shared" si="50"/>
        <v>0.08</v>
      </c>
      <c r="J39" s="3104"/>
      <c r="K39" s="3105"/>
      <c r="L39" s="3106">
        <f t="shared" si="51"/>
        <v>5.7999999999999996E-3</v>
      </c>
      <c r="M39" s="3106">
        <f t="shared" si="51"/>
        <v>8.0000000000000004E-4</v>
      </c>
      <c r="N39" s="3106">
        <f t="shared" si="51"/>
        <v>6.8000000000000005E-3</v>
      </c>
      <c r="O39" s="3106"/>
      <c r="P39" s="3106">
        <f t="shared" si="77"/>
        <v>8.0000000000000004E-4</v>
      </c>
      <c r="Q39" s="3104"/>
      <c r="R39" s="3115"/>
      <c r="S39" s="3115">
        <f>ROUND(IF(项目基本情况!$B$8="出让",SUMPRODUCT(PRODUCT(1+L39:L$42)),SUMPRODUCT(PRODUCT(1+L39:L$41))),4)</f>
        <v>1.0161</v>
      </c>
      <c r="T39" s="3115">
        <f>ROUND(IF(项目基本情况!$B$8="出让",SUMPRODUCT(PRODUCT(1+M39:M$42)),SUMPRODUCT(PRODUCT(1+M39:M$41))),4)</f>
        <v>1.0082</v>
      </c>
      <c r="U39" s="3115">
        <f>ROUND(IF(项目基本情况!$B$8="出让",SUMPRODUCT(PRODUCT(1+N39:N$42)),SUMPRODUCT(PRODUCT(1+N39:N$41))),4)</f>
        <v>1.0270999999999999</v>
      </c>
      <c r="V39" s="3115"/>
      <c r="W39" s="3115">
        <f t="shared" si="78"/>
        <v>1.0082</v>
      </c>
      <c r="X39" s="3104"/>
      <c r="Y39" s="3106"/>
      <c r="Z39" s="3124">
        <f t="shared" si="79"/>
        <v>4.8999999999999998E-3</v>
      </c>
      <c r="AA39" s="3125">
        <f t="shared" si="79"/>
        <v>3.3E-3</v>
      </c>
      <c r="AB39" s="3106">
        <f t="shared" si="79"/>
        <v>9.1999999999999998E-3</v>
      </c>
      <c r="AC39" s="3126"/>
      <c r="AD39" s="3106">
        <f t="shared" si="79"/>
        <v>3.3E-3</v>
      </c>
    </row>
    <row r="40" spans="1:30">
      <c r="A40" s="3087" t="s">
        <v>2787</v>
      </c>
      <c r="B40" s="3136">
        <v>2021</v>
      </c>
      <c r="C40" s="3137">
        <v>3</v>
      </c>
      <c r="D40" s="3137"/>
      <c r="E40" s="3137">
        <v>0.47</v>
      </c>
      <c r="F40" s="3137">
        <v>0.28000000000000003</v>
      </c>
      <c r="G40" s="3137">
        <v>0.91</v>
      </c>
      <c r="H40" s="3143"/>
      <c r="I40" s="3138">
        <f t="shared" si="50"/>
        <v>0.28000000000000003</v>
      </c>
      <c r="J40" s="3104"/>
      <c r="K40" s="3105"/>
      <c r="L40" s="3106">
        <f t="shared" si="51"/>
        <v>4.6999999999999993E-3</v>
      </c>
      <c r="M40" s="3106">
        <f t="shared" si="51"/>
        <v>2.8000000000000004E-3</v>
      </c>
      <c r="N40" s="3106">
        <f t="shared" si="51"/>
        <v>9.1000000000000004E-3</v>
      </c>
      <c r="O40" s="3106"/>
      <c r="P40" s="3106">
        <f t="shared" si="77"/>
        <v>2.8000000000000004E-3</v>
      </c>
      <c r="Q40" s="3104"/>
      <c r="R40" s="3115"/>
      <c r="S40" s="3115">
        <f>ROUND(IF(项目基本情况!$B$8="出让",SUMPRODUCT(PRODUCT(1+L40:L$42)),SUMPRODUCT(PRODUCT(1+L40:L$41))),4)</f>
        <v>1.0102</v>
      </c>
      <c r="T40" s="3115">
        <f>ROUND(IF(项目基本情况!$B$8="出让",SUMPRODUCT(PRODUCT(1+M40:M$42)),SUMPRODUCT(PRODUCT(1+M40:M$41))),4)</f>
        <v>1.0074000000000001</v>
      </c>
      <c r="U40" s="3115">
        <f>ROUND(IF(项目基本情况!$B$8="出让",SUMPRODUCT(PRODUCT(1+N40:N$42)),SUMPRODUCT(PRODUCT(1+N40:N$41))),4)</f>
        <v>1.0202</v>
      </c>
      <c r="V40" s="3115"/>
      <c r="W40" s="3115">
        <f t="shared" si="78"/>
        <v>1.0074000000000001</v>
      </c>
      <c r="X40" s="3104"/>
      <c r="Y40" s="3106"/>
      <c r="Z40" s="3124">
        <f t="shared" si="79"/>
        <v>4.5999999999999999E-3</v>
      </c>
      <c r="AA40" s="3125">
        <f t="shared" si="79"/>
        <v>4.1000000000000003E-3</v>
      </c>
      <c r="AB40" s="3106">
        <f t="shared" si="79"/>
        <v>0.01</v>
      </c>
      <c r="AC40" s="3126"/>
      <c r="AD40" s="3106">
        <f t="shared" si="79"/>
        <v>4.1000000000000003E-3</v>
      </c>
    </row>
    <row r="41" spans="1:30">
      <c r="A41" s="3087" t="s">
        <v>2791</v>
      </c>
      <c r="B41" s="3136">
        <v>2021</v>
      </c>
      <c r="C41" s="3137">
        <v>2</v>
      </c>
      <c r="D41" s="3137"/>
      <c r="E41" s="3137">
        <v>0.55000000000000004</v>
      </c>
      <c r="F41" s="3137">
        <v>0.46</v>
      </c>
      <c r="G41" s="3137">
        <v>1.1000000000000001</v>
      </c>
      <c r="H41" s="3143"/>
      <c r="I41" s="3138">
        <f t="shared" si="50"/>
        <v>0.46</v>
      </c>
      <c r="J41" s="3104"/>
      <c r="K41" s="3105"/>
      <c r="L41" s="3106">
        <f t="shared" si="51"/>
        <v>5.5000000000000005E-3</v>
      </c>
      <c r="M41" s="3106">
        <f t="shared" si="51"/>
        <v>4.5999999999999999E-3</v>
      </c>
      <c r="N41" s="3106">
        <f t="shared" si="51"/>
        <v>1.1000000000000001E-2</v>
      </c>
      <c r="O41" s="3106"/>
      <c r="P41" s="3106">
        <f t="shared" si="77"/>
        <v>4.5999999999999999E-3</v>
      </c>
      <c r="Q41" s="3104"/>
      <c r="R41" s="3115"/>
      <c r="S41" s="3115">
        <f>ROUND(IF(项目基本情况!$B$8="出让",SUMPRODUCT(PRODUCT(1+L41:L$42)),SUMPRODUCT(PRODUCT(1+L41:L$41))),4)</f>
        <v>1.0055000000000001</v>
      </c>
      <c r="T41" s="3115">
        <f>ROUND(IF(项目基本情况!$B$8="出让",SUMPRODUCT(PRODUCT(1+M41:M$42)),SUMPRODUCT(PRODUCT(1+M41:M$41))),4)</f>
        <v>1.0045999999999999</v>
      </c>
      <c r="U41" s="3115">
        <f>ROUND(IF(项目基本情况!$B$8="出让",SUMPRODUCT(PRODUCT(1+N41:N$42)),SUMPRODUCT(PRODUCT(1+N41:N$41))),4)</f>
        <v>1.0109999999999999</v>
      </c>
      <c r="V41" s="3115"/>
      <c r="W41" s="3115">
        <f t="shared" si="78"/>
        <v>1.0045999999999999</v>
      </c>
      <c r="X41" s="3104"/>
      <c r="Y41" s="3106"/>
      <c r="Z41" s="3124">
        <f t="shared" si="79"/>
        <v>4.4999999999999997E-3</v>
      </c>
      <c r="AA41" s="3125">
        <f t="shared" si="79"/>
        <v>4.7000000000000002E-3</v>
      </c>
      <c r="AB41" s="3106">
        <f t="shared" si="79"/>
        <v>1.04E-2</v>
      </c>
      <c r="AC41" s="3126"/>
      <c r="AD41" s="3106">
        <f t="shared" si="79"/>
        <v>4.7000000000000002E-3</v>
      </c>
    </row>
    <row r="42" spans="1:30" ht="14.25" thickBot="1">
      <c r="A42" s="3089" t="s">
        <v>2792</v>
      </c>
      <c r="B42" s="3144">
        <v>2021</v>
      </c>
      <c r="C42" s="3145">
        <v>1</v>
      </c>
      <c r="D42" s="3145"/>
      <c r="E42" s="3145">
        <v>0.35</v>
      </c>
      <c r="F42" s="3145">
        <v>0.48</v>
      </c>
      <c r="G42" s="3145">
        <v>0.98</v>
      </c>
      <c r="H42" s="3146"/>
      <c r="I42" s="3147">
        <f t="shared" si="50"/>
        <v>0.48</v>
      </c>
      <c r="J42" s="3110"/>
      <c r="K42" s="3111"/>
      <c r="L42" s="3112">
        <f t="shared" si="51"/>
        <v>3.4999999999999996E-3</v>
      </c>
      <c r="M42" s="3112">
        <f>F42/100</f>
        <v>4.7999999999999996E-3</v>
      </c>
      <c r="N42" s="3112">
        <f t="shared" si="51"/>
        <v>9.7999999999999997E-3</v>
      </c>
      <c r="O42" s="3112"/>
      <c r="P42" s="3112">
        <f t="shared" si="77"/>
        <v>4.7999999999999996E-3</v>
      </c>
      <c r="Q42" s="3110"/>
      <c r="R42" s="3119"/>
      <c r="S42" s="3119">
        <v>1</v>
      </c>
      <c r="T42" s="3119">
        <v>1</v>
      </c>
      <c r="U42" s="3119">
        <v>1</v>
      </c>
      <c r="V42" s="3119"/>
      <c r="W42" s="3119">
        <f t="shared" si="78"/>
        <v>1</v>
      </c>
      <c r="X42" s="3110"/>
      <c r="Y42" s="3112"/>
      <c r="Z42" s="3130">
        <f t="shared" si="79"/>
        <v>3.5000000000000001E-3</v>
      </c>
      <c r="AA42" s="3131">
        <f t="shared" si="79"/>
        <v>4.7999999999999996E-3</v>
      </c>
      <c r="AB42" s="3112">
        <f t="shared" si="79"/>
        <v>9.7999999999999997E-3</v>
      </c>
      <c r="AC42" s="3132"/>
      <c r="AD42" s="3112">
        <f t="shared" si="79"/>
        <v>4.7999999999999996E-3</v>
      </c>
    </row>
    <row r="43" spans="1:30" ht="14.25" thickTop="1"/>
    <row r="44" spans="1:30">
      <c r="A44" s="3388" t="s">
        <v>3253</v>
      </c>
    </row>
  </sheetData>
  <sheetProtection password="CEE9" sheet="1" objects="1" scenarios="1"/>
  <mergeCells count="4">
    <mergeCell ref="R1:W1"/>
    <mergeCell ref="R24:W24"/>
    <mergeCell ref="Y1:AD1"/>
    <mergeCell ref="Y24:AD24"/>
  </mergeCells>
  <phoneticPr fontId="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N29"/>
  <sheetViews>
    <sheetView view="pageBreakPreview" zoomScale="90" zoomScaleNormal="100" zoomScaleSheetLayoutView="90" workbookViewId="0">
      <selection activeCell="A7" sqref="A7"/>
    </sheetView>
  </sheetViews>
  <sheetFormatPr defaultColWidth="8.875" defaultRowHeight="13.5"/>
  <cols>
    <col min="1" max="1" width="22.75" style="2748" customWidth="1"/>
    <col min="2" max="2" width="12.5" style="2748" customWidth="1"/>
    <col min="3" max="3" width="12.125" style="2748" customWidth="1"/>
    <col min="4" max="4" width="16.625" style="2748" customWidth="1"/>
    <col min="5" max="5" width="12.5" style="2748" customWidth="1"/>
    <col min="6" max="6" width="12.75" style="2748" customWidth="1"/>
    <col min="7" max="16384" width="8.875" style="2748"/>
  </cols>
  <sheetData>
    <row r="1" spans="1:14" ht="20.25">
      <c r="A1" s="2751" t="s">
        <v>2211</v>
      </c>
      <c r="B1" s="2746"/>
      <c r="C1" s="2746"/>
      <c r="D1" s="2746"/>
      <c r="E1" s="2746"/>
      <c r="F1" s="2746"/>
      <c r="G1" s="2747"/>
      <c r="H1" s="2747"/>
      <c r="I1" s="2747"/>
      <c r="J1" s="2747"/>
      <c r="K1" s="2747"/>
      <c r="L1" s="2747"/>
      <c r="M1" s="2747"/>
      <c r="N1" s="2747"/>
    </row>
    <row r="2" spans="1:14" ht="14.25">
      <c r="A2" s="2752" t="s">
        <v>2206</v>
      </c>
      <c r="B2" s="2757">
        <f ca="1">SUMIF(B7:B14,"&lt;&gt;#ref!",B7:B14)</f>
        <v>0</v>
      </c>
      <c r="C2" s="2752" t="s">
        <v>2207</v>
      </c>
      <c r="D2" s="2749"/>
      <c r="E2" s="2749"/>
      <c r="F2" s="2749"/>
      <c r="G2" s="2747"/>
      <c r="H2" s="2747"/>
      <c r="I2" s="2747"/>
      <c r="J2" s="2747"/>
      <c r="K2" s="2747"/>
      <c r="L2" s="2747"/>
      <c r="M2" s="2747"/>
      <c r="N2" s="2747"/>
    </row>
    <row r="3" spans="1:14" ht="14.25">
      <c r="A3" s="2752" t="s">
        <v>2235</v>
      </c>
      <c r="B3" s="2757" t="e">
        <f ca="1">ROUND(B2*10000/E3,0)</f>
        <v>#DIV/0!</v>
      </c>
      <c r="C3" s="2752" t="s">
        <v>1596</v>
      </c>
      <c r="D3" s="2752" t="s">
        <v>2208</v>
      </c>
      <c r="E3" s="2750">
        <f ca="1">SUMIF(E7:E14,"&lt;&gt;#ref!",E7:E14)</f>
        <v>0</v>
      </c>
      <c r="F3" s="2749"/>
      <c r="G3" s="2747"/>
      <c r="H3" s="2747"/>
      <c r="I3" s="2747"/>
      <c r="J3" s="2747"/>
      <c r="K3" s="2747"/>
      <c r="L3" s="2747"/>
      <c r="M3" s="2747"/>
      <c r="N3" s="2747"/>
    </row>
    <row r="4" spans="1:14" ht="14.25">
      <c r="A4" s="2752" t="s">
        <v>2214</v>
      </c>
      <c r="B4" s="2757" t="e">
        <f ca="1">ROUND(B2*10000/E4,0)</f>
        <v>#DIV/0!</v>
      </c>
      <c r="C4" s="2752" t="s">
        <v>1596</v>
      </c>
      <c r="D4" s="2752" t="s">
        <v>2215</v>
      </c>
      <c r="E4" s="2750">
        <f ca="1">SUMIF(F7:F14,"&lt;&gt;#ref!",F7:F14)</f>
        <v>0</v>
      </c>
      <c r="F4" s="2749"/>
      <c r="G4" s="2747"/>
      <c r="H4" s="2747"/>
      <c r="I4" s="2747"/>
      <c r="J4" s="2747"/>
      <c r="K4" s="2747"/>
      <c r="L4" s="2747"/>
      <c r="M4" s="2747"/>
      <c r="N4" s="2747"/>
    </row>
    <row r="5" spans="1:14" ht="14.25">
      <c r="A5" s="2753"/>
      <c r="B5" s="2749"/>
      <c r="C5" s="2749"/>
      <c r="D5" s="2749"/>
      <c r="E5" s="2749"/>
      <c r="F5" s="2749"/>
      <c r="G5" s="2747"/>
      <c r="H5" s="2747"/>
      <c r="I5" s="2747"/>
      <c r="J5" s="2747"/>
      <c r="K5" s="2747"/>
      <c r="L5" s="2747"/>
      <c r="M5" s="2747"/>
      <c r="N5" s="2747"/>
    </row>
    <row r="6" spans="1:14" ht="28.5">
      <c r="A6" s="2754" t="s">
        <v>2212</v>
      </c>
      <c r="B6" s="2752" t="s">
        <v>2209</v>
      </c>
      <c r="C6" s="2355"/>
      <c r="D6" s="2749"/>
      <c r="E6" s="2752" t="s">
        <v>2210</v>
      </c>
      <c r="F6" s="2752" t="s">
        <v>2213</v>
      </c>
      <c r="G6" s="2747"/>
      <c r="H6" s="2747"/>
      <c r="I6" s="2747"/>
      <c r="J6" s="2747"/>
      <c r="K6" s="2747"/>
      <c r="L6" s="2747"/>
      <c r="M6" s="2747"/>
      <c r="N6" s="2747"/>
    </row>
    <row r="7" spans="1:14" ht="14.25">
      <c r="A7" s="2755"/>
      <c r="B7" s="2757" t="e">
        <f ca="1">SUMIF(INDIRECT("'"&amp;A7&amp;"'"&amp;"!A:A"),"总价",INDIRECT("'"&amp;A7&amp;"'"&amp;"!B:B"))</f>
        <v>#REF!</v>
      </c>
      <c r="C7" s="2752" t="s">
        <v>2207</v>
      </c>
      <c r="D7" s="2749"/>
      <c r="E7" s="2750" t="e">
        <f ca="1">SUMIF(INDIRECT("'"&amp;A7&amp;"'"&amp;"!C:C"),"建筑面积",INDIRECT("'"&amp;A7&amp;"'"&amp;"!D:D"))</f>
        <v>#REF!</v>
      </c>
      <c r="F7" s="2750" t="e">
        <f ca="1">SUMIF(INDIRECT("'"&amp;A7&amp;"'"&amp;"!E:E"),"土地面积",INDIRECT("'"&amp;A7&amp;"'"&amp;"!F:F"))</f>
        <v>#REF!</v>
      </c>
      <c r="G7" s="2747"/>
      <c r="H7" s="2747"/>
      <c r="I7" s="2747"/>
      <c r="J7" s="2747"/>
      <c r="K7" s="2747"/>
      <c r="L7" s="2747"/>
      <c r="M7" s="2747"/>
      <c r="N7" s="2747"/>
    </row>
    <row r="8" spans="1:14" ht="14.25">
      <c r="A8" s="2755"/>
      <c r="B8" s="2757" t="e">
        <f t="shared" ref="B8:B14" ca="1" si="0">SUMIF(INDIRECT("'"&amp;A8&amp;"'"&amp;"!A:A"),"总价",INDIRECT("'"&amp;A8&amp;"'"&amp;"!B:B"))</f>
        <v>#REF!</v>
      </c>
      <c r="C8" s="2752" t="s">
        <v>2207</v>
      </c>
      <c r="D8" s="2749"/>
      <c r="E8" s="2750" t="e">
        <f t="shared" ref="E8:E14" ca="1" si="1">SUMIF(INDIRECT("'"&amp;A8&amp;"'"&amp;"!C:C"),"建筑面积",INDIRECT("'"&amp;A8&amp;"'"&amp;"!D:D"))</f>
        <v>#REF!</v>
      </c>
      <c r="F8" s="2750" t="e">
        <f t="shared" ref="F8:F14" ca="1" si="2">SUMIF(INDIRECT("'"&amp;A8&amp;"'"&amp;"!E:E"),"土地面积",INDIRECT("'"&amp;A8&amp;"'"&amp;"!F:F"))</f>
        <v>#REF!</v>
      </c>
      <c r="G8" s="2747"/>
      <c r="H8" s="2747"/>
      <c r="I8" s="2747"/>
      <c r="J8" s="2747"/>
      <c r="K8" s="2747"/>
      <c r="L8" s="2747"/>
      <c r="M8" s="2747"/>
      <c r="N8" s="2747"/>
    </row>
    <row r="9" spans="1:14" ht="14.25">
      <c r="A9" s="2755"/>
      <c r="B9" s="2757" t="e">
        <f t="shared" ca="1" si="0"/>
        <v>#REF!</v>
      </c>
      <c r="C9" s="2752" t="s">
        <v>2207</v>
      </c>
      <c r="D9" s="2749"/>
      <c r="E9" s="2750" t="e">
        <f t="shared" ca="1" si="1"/>
        <v>#REF!</v>
      </c>
      <c r="F9" s="2750" t="e">
        <f t="shared" ca="1" si="2"/>
        <v>#REF!</v>
      </c>
      <c r="G9" s="2747"/>
      <c r="H9" s="2747"/>
      <c r="I9" s="2747"/>
      <c r="J9" s="2747"/>
      <c r="K9" s="2747"/>
      <c r="L9" s="2747"/>
      <c r="M9" s="2747"/>
      <c r="N9" s="2747"/>
    </row>
    <row r="10" spans="1:14" ht="14.25">
      <c r="A10" s="2755"/>
      <c r="B10" s="2757" t="e">
        <f t="shared" ca="1" si="0"/>
        <v>#REF!</v>
      </c>
      <c r="C10" s="2752" t="s">
        <v>2207</v>
      </c>
      <c r="D10" s="2749"/>
      <c r="E10" s="2750" t="e">
        <f t="shared" ca="1" si="1"/>
        <v>#REF!</v>
      </c>
      <c r="F10" s="2750" t="e">
        <f t="shared" ca="1" si="2"/>
        <v>#REF!</v>
      </c>
      <c r="G10" s="2747"/>
      <c r="H10" s="2747"/>
      <c r="I10" s="2747"/>
      <c r="J10" s="2747"/>
      <c r="K10" s="2747"/>
      <c r="L10" s="2747"/>
      <c r="M10" s="2747"/>
      <c r="N10" s="2747"/>
    </row>
    <row r="11" spans="1:14" ht="14.25">
      <c r="A11" s="2755"/>
      <c r="B11" s="2757" t="e">
        <f t="shared" ca="1" si="0"/>
        <v>#REF!</v>
      </c>
      <c r="C11" s="2752" t="s">
        <v>2207</v>
      </c>
      <c r="D11" s="2749"/>
      <c r="E11" s="2750" t="e">
        <f t="shared" ca="1" si="1"/>
        <v>#REF!</v>
      </c>
      <c r="F11" s="2750" t="e">
        <f t="shared" ca="1" si="2"/>
        <v>#REF!</v>
      </c>
      <c r="G11" s="2747"/>
      <c r="H11" s="2747"/>
      <c r="I11" s="2747"/>
      <c r="J11" s="2747"/>
      <c r="K11" s="2747"/>
      <c r="L11" s="2747"/>
      <c r="M11" s="2747"/>
      <c r="N11" s="2747"/>
    </row>
    <row r="12" spans="1:14" ht="14.25">
      <c r="A12" s="2755"/>
      <c r="B12" s="2757" t="e">
        <f t="shared" ca="1" si="0"/>
        <v>#REF!</v>
      </c>
      <c r="C12" s="2752" t="s">
        <v>2207</v>
      </c>
      <c r="D12" s="2749"/>
      <c r="E12" s="2750" t="e">
        <f t="shared" ca="1" si="1"/>
        <v>#REF!</v>
      </c>
      <c r="F12" s="2750" t="e">
        <f t="shared" ca="1" si="2"/>
        <v>#REF!</v>
      </c>
      <c r="G12" s="2747"/>
      <c r="H12" s="2747"/>
      <c r="I12" s="2747"/>
      <c r="J12" s="2747"/>
      <c r="K12" s="2747"/>
      <c r="L12" s="2747"/>
      <c r="M12" s="2747"/>
      <c r="N12" s="2747"/>
    </row>
    <row r="13" spans="1:14" ht="14.25">
      <c r="A13" s="2755"/>
      <c r="B13" s="2757" t="e">
        <f t="shared" ca="1" si="0"/>
        <v>#REF!</v>
      </c>
      <c r="C13" s="2752" t="s">
        <v>2207</v>
      </c>
      <c r="D13" s="2749"/>
      <c r="E13" s="2750" t="e">
        <f t="shared" ca="1" si="1"/>
        <v>#REF!</v>
      </c>
      <c r="F13" s="2750" t="e">
        <f t="shared" ca="1" si="2"/>
        <v>#REF!</v>
      </c>
      <c r="G13" s="2747"/>
      <c r="H13" s="2747"/>
      <c r="I13" s="2747"/>
      <c r="J13" s="2747"/>
      <c r="K13" s="2747"/>
      <c r="L13" s="2747"/>
      <c r="M13" s="2747"/>
      <c r="N13" s="2747"/>
    </row>
    <row r="14" spans="1:14" ht="14.25">
      <c r="A14" s="2756"/>
      <c r="B14" s="2757" t="e">
        <f t="shared" ca="1" si="0"/>
        <v>#REF!</v>
      </c>
      <c r="C14" s="2752" t="s">
        <v>2207</v>
      </c>
      <c r="D14" s="2749"/>
      <c r="E14" s="2750" t="e">
        <f t="shared" ca="1" si="1"/>
        <v>#REF!</v>
      </c>
      <c r="F14" s="2750" t="e">
        <f t="shared" ca="1" si="2"/>
        <v>#REF!</v>
      </c>
      <c r="G14" s="2747"/>
      <c r="H14" s="2747"/>
      <c r="I14" s="2747"/>
      <c r="J14" s="2747"/>
      <c r="K14" s="2747"/>
      <c r="L14" s="2747"/>
      <c r="M14" s="2747"/>
      <c r="N14" s="2747"/>
    </row>
    <row r="15" spans="1:14">
      <c r="A15" s="2747"/>
      <c r="B15" s="2747"/>
      <c r="C15" s="2747"/>
      <c r="D15" s="2747"/>
      <c r="E15" s="2747"/>
      <c r="F15" s="2747"/>
      <c r="G15" s="2747"/>
      <c r="H15" s="2747"/>
      <c r="I15" s="2747"/>
      <c r="J15" s="2747"/>
      <c r="K15" s="2747"/>
      <c r="L15" s="2747"/>
      <c r="M15" s="2747"/>
      <c r="N15" s="2747"/>
    </row>
    <row r="16" spans="1:14">
      <c r="A16" s="2747"/>
      <c r="B16" s="2747"/>
      <c r="C16" s="2747"/>
      <c r="D16" s="2747"/>
      <c r="E16" s="2747"/>
      <c r="F16" s="2747"/>
      <c r="G16" s="2747"/>
      <c r="H16" s="2747"/>
      <c r="I16" s="2747"/>
      <c r="J16" s="2747"/>
      <c r="K16" s="2747"/>
      <c r="L16" s="2747"/>
      <c r="M16" s="2747"/>
      <c r="N16" s="2747"/>
    </row>
    <row r="17" spans="1:14">
      <c r="A17" s="2747"/>
      <c r="B17" s="2747"/>
      <c r="C17" s="2747"/>
      <c r="D17" s="2747"/>
      <c r="E17" s="2747"/>
      <c r="F17" s="2747"/>
      <c r="G17" s="2747"/>
      <c r="H17" s="2747"/>
      <c r="I17" s="2747"/>
      <c r="J17" s="2747"/>
      <c r="K17" s="2747"/>
      <c r="L17" s="2747"/>
      <c r="M17" s="2747"/>
      <c r="N17" s="2747"/>
    </row>
    <row r="18" spans="1:14">
      <c r="A18" s="2747"/>
      <c r="B18" s="2747"/>
      <c r="C18" s="2747"/>
      <c r="D18" s="2747"/>
      <c r="E18" s="2747"/>
      <c r="F18" s="2747"/>
      <c r="G18" s="2747"/>
      <c r="H18" s="2747"/>
      <c r="I18" s="2747"/>
      <c r="J18" s="2747"/>
      <c r="K18" s="2747"/>
      <c r="L18" s="2747"/>
      <c r="M18" s="2747"/>
      <c r="N18" s="2747"/>
    </row>
    <row r="19" spans="1:14">
      <c r="A19" s="2747"/>
      <c r="B19" s="2747"/>
      <c r="C19" s="2747"/>
      <c r="D19" s="2747"/>
      <c r="E19" s="2747"/>
      <c r="F19" s="2747"/>
      <c r="G19" s="2747"/>
      <c r="H19" s="2747"/>
      <c r="I19" s="2747"/>
      <c r="J19" s="2747"/>
      <c r="K19" s="2747"/>
      <c r="L19" s="2747"/>
      <c r="M19" s="2747"/>
      <c r="N19" s="2747"/>
    </row>
    <row r="20" spans="1:14">
      <c r="A20" s="2747"/>
      <c r="B20" s="2747"/>
      <c r="C20" s="2747"/>
      <c r="D20" s="2747"/>
      <c r="E20" s="2747"/>
      <c r="F20" s="2747"/>
      <c r="G20" s="2747"/>
      <c r="H20" s="2747"/>
      <c r="I20" s="2747"/>
      <c r="J20" s="2747"/>
      <c r="K20" s="2747"/>
      <c r="L20" s="2747"/>
      <c r="M20" s="2747"/>
      <c r="N20" s="2747"/>
    </row>
    <row r="21" spans="1:14">
      <c r="A21" s="2747"/>
      <c r="B21" s="2747"/>
      <c r="C21" s="2747"/>
      <c r="D21" s="2747"/>
      <c r="E21" s="2747"/>
      <c r="F21" s="2747"/>
      <c r="G21" s="2747"/>
      <c r="H21" s="2747"/>
      <c r="I21" s="2747"/>
      <c r="J21" s="2747"/>
      <c r="K21" s="2747"/>
      <c r="L21" s="2747"/>
      <c r="M21" s="2747"/>
      <c r="N21" s="2747"/>
    </row>
    <row r="22" spans="1:14">
      <c r="A22" s="2747"/>
      <c r="B22" s="2747"/>
      <c r="C22" s="2747"/>
      <c r="D22" s="2747"/>
      <c r="E22" s="2747"/>
      <c r="F22" s="2747"/>
      <c r="G22" s="2747"/>
      <c r="H22" s="2747"/>
      <c r="I22" s="2747"/>
      <c r="J22" s="2747"/>
      <c r="K22" s="2747"/>
      <c r="L22" s="2747"/>
      <c r="M22" s="2747"/>
      <c r="N22" s="2747"/>
    </row>
    <row r="23" spans="1:14">
      <c r="A23" s="2747"/>
      <c r="B23" s="2747"/>
      <c r="C23" s="2747"/>
      <c r="D23" s="2747"/>
      <c r="E23" s="2747"/>
      <c r="F23" s="2747"/>
      <c r="G23" s="2747"/>
      <c r="H23" s="2747"/>
      <c r="I23" s="2747"/>
      <c r="J23" s="2747"/>
      <c r="K23" s="2747"/>
      <c r="L23" s="2747"/>
      <c r="M23" s="2747"/>
      <c r="N23" s="2747"/>
    </row>
    <row r="24" spans="1:14">
      <c r="A24" s="2747"/>
      <c r="B24" s="2747"/>
      <c r="C24" s="2747"/>
      <c r="D24" s="2747"/>
      <c r="E24" s="2747"/>
      <c r="F24" s="2747"/>
      <c r="G24" s="2747"/>
      <c r="H24" s="2747"/>
      <c r="I24" s="2747"/>
      <c r="J24" s="2747"/>
      <c r="K24" s="2747"/>
      <c r="L24" s="2747"/>
      <c r="M24" s="2747"/>
      <c r="N24" s="2747"/>
    </row>
    <row r="25" spans="1:14">
      <c r="A25" s="2747"/>
      <c r="B25" s="2747"/>
      <c r="C25" s="2747"/>
      <c r="D25" s="2747"/>
      <c r="E25" s="2747"/>
      <c r="F25" s="2747"/>
      <c r="G25" s="2747"/>
      <c r="H25" s="2747"/>
      <c r="I25" s="2747"/>
      <c r="J25" s="2747"/>
      <c r="K25" s="2747"/>
      <c r="L25" s="2747"/>
      <c r="M25" s="2747"/>
      <c r="N25" s="2747"/>
    </row>
    <row r="26" spans="1:14">
      <c r="A26" s="2747"/>
      <c r="B26" s="2747"/>
      <c r="C26" s="2747"/>
      <c r="D26" s="2747"/>
      <c r="E26" s="2747"/>
      <c r="F26" s="2747"/>
      <c r="G26" s="2747"/>
      <c r="H26" s="2747"/>
      <c r="I26" s="2747"/>
      <c r="J26" s="2747"/>
      <c r="K26" s="2747"/>
      <c r="L26" s="2747"/>
      <c r="M26" s="2747"/>
      <c r="N26" s="2747"/>
    </row>
    <row r="27" spans="1:14">
      <c r="A27" s="2747"/>
      <c r="B27" s="2747"/>
      <c r="C27" s="2747"/>
      <c r="D27" s="2747"/>
      <c r="E27" s="2747"/>
      <c r="F27" s="2747"/>
      <c r="G27" s="2747"/>
      <c r="H27" s="2747"/>
      <c r="I27" s="2747"/>
      <c r="J27" s="2747"/>
      <c r="K27" s="2747"/>
      <c r="L27" s="2747"/>
      <c r="M27" s="2747"/>
      <c r="N27" s="2747"/>
    </row>
    <row r="28" spans="1:14">
      <c r="A28" s="2747"/>
      <c r="B28" s="2747"/>
      <c r="C28" s="2747"/>
      <c r="D28" s="2747"/>
      <c r="E28" s="2747"/>
      <c r="F28" s="2747"/>
      <c r="G28" s="2747"/>
      <c r="H28" s="2747"/>
      <c r="I28" s="2747"/>
      <c r="J28" s="2747"/>
      <c r="K28" s="2747"/>
      <c r="L28" s="2747"/>
      <c r="M28" s="2747"/>
      <c r="N28" s="2747"/>
    </row>
    <row r="29" spans="1:14">
      <c r="A29" s="2747"/>
      <c r="B29" s="2747"/>
      <c r="C29" s="2747"/>
      <c r="D29" s="2747"/>
      <c r="E29" s="2747"/>
      <c r="F29" s="2747"/>
      <c r="G29" s="2747"/>
      <c r="H29" s="2747"/>
      <c r="I29" s="2747"/>
      <c r="J29" s="2747"/>
      <c r="K29" s="2747"/>
      <c r="L29" s="2747"/>
      <c r="M29" s="2747"/>
      <c r="N29" s="2747"/>
    </row>
  </sheetData>
  <sheetProtection password="CEE9" sheet="1" objects="1" scenarios="1" formatCells="0" formatColumns="0" formatRows="0"/>
  <phoneticPr fontId="224" type="noConversion"/>
  <dataValidations count="1">
    <dataValidation type="list" allowBlank="1" showInputMessage="1" showErrorMessage="1" sqref="A7:A14" xr:uid="{00000000-0002-0000-1D00-000000000000}">
      <formula1>估价方法</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1">
    <tabColor rgb="FF92D050"/>
    <pageSetUpPr fitToPage="1"/>
  </sheetPr>
  <dimension ref="A1:Y94"/>
  <sheetViews>
    <sheetView view="pageBreakPreview" zoomScale="106" zoomScaleNormal="60" zoomScaleSheetLayoutView="106" workbookViewId="0">
      <selection activeCell="D3" sqref="D3"/>
    </sheetView>
  </sheetViews>
  <sheetFormatPr defaultColWidth="9" defaultRowHeight="15"/>
  <cols>
    <col min="1" max="1" width="9" style="1706" customWidth="1"/>
    <col min="2" max="2" width="20.625" style="1707" customWidth="1"/>
    <col min="3" max="3" width="11.875" style="1707" customWidth="1"/>
    <col min="4" max="4" width="40.5" style="1673" customWidth="1"/>
    <col min="5" max="5" width="15.75" style="1673" customWidth="1"/>
    <col min="6" max="6" width="10.625" style="1673" customWidth="1"/>
    <col min="7" max="7" width="4.875" style="1673" customWidth="1"/>
    <col min="8" max="8" width="8.5" style="1673" customWidth="1"/>
    <col min="9" max="9" width="21.25" style="1673" customWidth="1"/>
    <col min="10" max="10" width="12.25" style="1673" customWidth="1"/>
    <col min="11" max="11" width="40.125" style="1708" customWidth="1"/>
    <col min="12" max="12" width="18.375" style="1673" customWidth="1"/>
    <col min="13" max="13" width="13" style="1673" customWidth="1"/>
    <col min="14" max="14" width="9.5" style="1672" bestFit="1" customWidth="1"/>
    <col min="15" max="15" width="8.375" style="1672" customWidth="1"/>
    <col min="16" max="16" width="30.25" style="1672" customWidth="1"/>
    <col min="17" max="17" width="13.75" style="1672" customWidth="1"/>
    <col min="18" max="18" width="22.25" style="1672" customWidth="1"/>
    <col min="19" max="19" width="1.5" style="1672" customWidth="1"/>
    <col min="20" max="25" width="9" style="1672"/>
    <col min="26" max="16384" width="9" style="1673"/>
  </cols>
  <sheetData>
    <row r="1" spans="1:25" s="1667" customFormat="1" ht="21">
      <c r="A1" s="707" t="s">
        <v>576</v>
      </c>
      <c r="B1" s="675"/>
      <c r="C1" s="708" t="s">
        <v>905</v>
      </c>
      <c r="D1" s="1663"/>
      <c r="E1" s="1947" t="s">
        <v>1728</v>
      </c>
      <c r="F1" s="1948">
        <f ca="1">J54</f>
        <v>0</v>
      </c>
      <c r="G1" s="709">
        <f>MATCH(C1,'数据-取费表'!A6:A16,0)+5</f>
        <v>6</v>
      </c>
      <c r="H1" s="1144"/>
      <c r="I1" s="1664"/>
      <c r="J1" s="1664"/>
      <c r="K1" s="1665"/>
      <c r="L1" s="1664"/>
      <c r="M1" s="1664"/>
      <c r="N1" s="1666"/>
      <c r="O1" s="1666"/>
      <c r="P1" s="1666"/>
      <c r="Q1" s="1666"/>
      <c r="R1" s="1666"/>
      <c r="S1" s="1666"/>
      <c r="T1" s="1666"/>
      <c r="U1" s="1666"/>
      <c r="V1" s="1666"/>
      <c r="W1" s="1666"/>
      <c r="X1" s="1666"/>
      <c r="Y1" s="1666"/>
    </row>
    <row r="2" spans="1:25" ht="18" customHeight="1">
      <c r="A2" s="1364" t="s">
        <v>577</v>
      </c>
      <c r="B2" s="710">
        <f ca="1">IF(ISERROR(C45+J31),0,C45+J31)</f>
        <v>15756</v>
      </c>
      <c r="C2" s="1145"/>
      <c r="D2" s="1668"/>
      <c r="E2" s="1669"/>
      <c r="F2" s="1669"/>
      <c r="G2" s="1323"/>
      <c r="H2" s="1157"/>
      <c r="I2" s="1670"/>
      <c r="J2" s="1670"/>
      <c r="K2" s="1671"/>
      <c r="L2" s="1670"/>
      <c r="M2" s="1670"/>
    </row>
    <row r="3" spans="1:25" ht="18" customHeight="1">
      <c r="A3" s="1365" t="s">
        <v>1219</v>
      </c>
      <c r="B3" s="1177">
        <f ca="1">ROUND(B2*10000/'数据-汇总表'!E3,0)</f>
        <v>1899</v>
      </c>
      <c r="C3" s="1145"/>
      <c r="D3" s="1668"/>
      <c r="E3" s="1669"/>
      <c r="F3" s="1669"/>
      <c r="G3" s="1323"/>
      <c r="H3" s="711" t="s">
        <v>642</v>
      </c>
      <c r="I3" s="1670"/>
      <c r="J3" s="1670"/>
      <c r="K3" s="1671"/>
      <c r="L3" s="1670"/>
      <c r="M3" s="1670"/>
    </row>
    <row r="4" spans="1:25" ht="18" customHeight="1">
      <c r="A4" s="1366" t="s">
        <v>643</v>
      </c>
      <c r="B4" s="1146">
        <f ca="1">ROUND(B2*10000/'数据-汇总表'!D3,0)</f>
        <v>1899</v>
      </c>
      <c r="C4" s="398"/>
      <c r="D4" s="1668"/>
      <c r="E4" s="1669"/>
      <c r="F4" s="1669"/>
      <c r="G4" s="1323"/>
      <c r="H4" s="711"/>
      <c r="I4" s="1670"/>
      <c r="J4" s="1670"/>
      <c r="K4" s="1671"/>
      <c r="L4" s="1670"/>
      <c r="M4" s="1670"/>
    </row>
    <row r="5" spans="1:25" ht="18" customHeight="1" thickBot="1">
      <c r="A5" s="1367"/>
      <c r="B5" s="400">
        <f ca="1">ROUND(B2/('数据-汇总表'!D3/666.67),0)</f>
        <v>127</v>
      </c>
      <c r="C5" s="401" t="s">
        <v>644</v>
      </c>
      <c r="D5" s="1668"/>
      <c r="E5" s="1669"/>
      <c r="F5" s="1669"/>
      <c r="G5" s="1323"/>
      <c r="H5" s="711"/>
      <c r="I5" s="1670"/>
      <c r="J5" s="1670"/>
      <c r="K5" s="1671"/>
      <c r="L5" s="1670"/>
      <c r="M5" s="1670"/>
    </row>
    <row r="6" spans="1:25" ht="18" customHeight="1">
      <c r="A6" s="1519" t="s">
        <v>645</v>
      </c>
      <c r="B6" s="1513" t="s">
        <v>646</v>
      </c>
      <c r="C6" s="1513" t="s">
        <v>580</v>
      </c>
      <c r="D6" s="1513" t="s">
        <v>581</v>
      </c>
      <c r="E6" s="714" t="s">
        <v>582</v>
      </c>
      <c r="F6" s="715"/>
      <c r="G6" s="1145"/>
      <c r="H6" s="1519" t="s">
        <v>578</v>
      </c>
      <c r="I6" s="1513" t="s">
        <v>579</v>
      </c>
      <c r="J6" s="1513" t="s">
        <v>580</v>
      </c>
      <c r="K6" s="1513" t="s">
        <v>581</v>
      </c>
      <c r="L6" s="714" t="s">
        <v>582</v>
      </c>
      <c r="M6" s="715"/>
    </row>
    <row r="7" spans="1:25" ht="18" customHeight="1">
      <c r="A7" s="716">
        <v>1</v>
      </c>
      <c r="B7" s="717" t="s">
        <v>1802</v>
      </c>
      <c r="C7" s="49">
        <f ca="1">C8+C12+C14</f>
        <v>3270</v>
      </c>
      <c r="D7" s="2001" t="s">
        <v>1805</v>
      </c>
      <c r="E7" s="1995"/>
      <c r="F7" s="1996"/>
      <c r="G7" s="1145"/>
      <c r="H7" s="716">
        <v>1</v>
      </c>
      <c r="I7" s="717" t="s">
        <v>1802</v>
      </c>
      <c r="J7" s="49">
        <f ca="1">J8+J12+J14</f>
        <v>0</v>
      </c>
      <c r="K7" s="2001" t="s">
        <v>1805</v>
      </c>
      <c r="L7" s="1995"/>
      <c r="M7" s="1996"/>
    </row>
    <row r="8" spans="1:25" ht="18" customHeight="1">
      <c r="A8" s="1521" t="s">
        <v>1353</v>
      </c>
      <c r="B8" s="3696" t="s">
        <v>1807</v>
      </c>
      <c r="C8" s="1516">
        <f ca="1">ROUND(F8*F10*F9*(1-F11)/10000,0)</f>
        <v>3270</v>
      </c>
      <c r="D8" s="317" t="s">
        <v>1817</v>
      </c>
      <c r="E8" s="57" t="s">
        <v>585</v>
      </c>
      <c r="F8" s="720">
        <f ca="1">INDIRECT("'数据-取费表'!u"&amp;$G$1)</f>
        <v>1.2</v>
      </c>
      <c r="G8" s="1145"/>
      <c r="H8" s="2009" t="s">
        <v>1353</v>
      </c>
      <c r="I8" s="3696" t="s">
        <v>1807</v>
      </c>
      <c r="J8" s="718">
        <f ca="1">ROUND(M8*M10*M9*(1-M11)/10000,0)</f>
        <v>0</v>
      </c>
      <c r="K8" s="315" t="s">
        <v>1817</v>
      </c>
      <c r="L8" s="719" t="s">
        <v>1267</v>
      </c>
      <c r="M8" s="720">
        <f ca="1">INDIRECT("'数据-取费表'!z"&amp;$G$1)</f>
        <v>0</v>
      </c>
    </row>
    <row r="9" spans="1:25" ht="18" customHeight="1">
      <c r="A9" s="2005"/>
      <c r="B9" s="3697"/>
      <c r="C9" s="1517"/>
      <c r="D9" s="330"/>
      <c r="E9" s="57" t="s">
        <v>586</v>
      </c>
      <c r="F9" s="720">
        <f ca="1">IF(INDIRECT("'数据-取费表'!ah"&amp;$G$1)="",INDIRECT("'数据-取费表'!k"&amp;$G$1),INDIRECT("'数据-取费表'!ah"&amp;$G$1))</f>
        <v>82949.97</v>
      </c>
      <c r="G9" s="1145"/>
      <c r="H9" s="1994"/>
      <c r="I9" s="3697"/>
      <c r="J9" s="723"/>
      <c r="K9" s="724"/>
      <c r="L9" s="719" t="s">
        <v>1268</v>
      </c>
      <c r="M9" s="720">
        <f ca="1">F9</f>
        <v>82949.97</v>
      </c>
    </row>
    <row r="10" spans="1:25" ht="18" customHeight="1">
      <c r="A10" s="1998"/>
      <c r="B10" s="3698"/>
      <c r="C10" s="1517"/>
      <c r="D10" s="330"/>
      <c r="E10" s="57" t="s">
        <v>587</v>
      </c>
      <c r="F10" s="720">
        <f ca="1">INDIRECT("'数据-取费表'!ai"&amp;$G$1)</f>
        <v>365</v>
      </c>
      <c r="G10" s="1145"/>
      <c r="H10" s="1994"/>
      <c r="I10" s="3698"/>
      <c r="J10" s="723"/>
      <c r="K10" s="724"/>
      <c r="L10" s="719" t="s">
        <v>1269</v>
      </c>
      <c r="M10" s="720">
        <f ca="1">INDIRECT("'数据-取费表'!ai"&amp;$G$1)</f>
        <v>365</v>
      </c>
    </row>
    <row r="11" spans="1:25" ht="18" customHeight="1">
      <c r="A11" s="721"/>
      <c r="B11" s="3699"/>
      <c r="C11" s="1517"/>
      <c r="D11" s="330"/>
      <c r="E11" s="57" t="s">
        <v>588</v>
      </c>
      <c r="F11" s="729">
        <f ca="1">INDIRECT("'数据-取费表'!w"&amp;$G$1)</f>
        <v>0.1</v>
      </c>
      <c r="G11" s="1145"/>
      <c r="H11" s="2010"/>
      <c r="I11" s="3698"/>
      <c r="J11" s="723"/>
      <c r="K11" s="724"/>
      <c r="L11" s="730" t="s">
        <v>1270</v>
      </c>
      <c r="M11" s="731">
        <f ca="1">INDIRECT("'数据-取费表'!ab"&amp;$G$1)</f>
        <v>0</v>
      </c>
    </row>
    <row r="12" spans="1:25" ht="18" customHeight="1">
      <c r="A12" s="1521" t="s">
        <v>1354</v>
      </c>
      <c r="B12" s="1999" t="s">
        <v>1803</v>
      </c>
      <c r="C12" s="734">
        <f ca="1">ROUND(IF(F12="押一",C8/12*F13,IF(F12="押二",C8/12*2*F13,IF(F12="押三",C8/12*3*F13,C13*F13))),0)</f>
        <v>0</v>
      </c>
      <c r="D12" s="2006" t="s">
        <v>2232</v>
      </c>
      <c r="E12" s="2003" t="s">
        <v>1808</v>
      </c>
      <c r="F12" s="2076"/>
      <c r="G12" s="1145"/>
      <c r="H12" s="2037" t="s">
        <v>1354</v>
      </c>
      <c r="I12" s="2041" t="s">
        <v>1803</v>
      </c>
      <c r="J12" s="718">
        <f ca="1">ROUND(IF(M12="押一",J8/12*M13,IF(M12="押二",J8/12*2*M13,IF(M12="押三",J8/12*3*M13,J13*M13))),0)</f>
        <v>0</v>
      </c>
      <c r="K12" s="2006" t="s">
        <v>2232</v>
      </c>
      <c r="L12" s="2003" t="s">
        <v>1808</v>
      </c>
      <c r="M12" s="2076"/>
    </row>
    <row r="13" spans="1:25" ht="18" customHeight="1">
      <c r="A13" s="725"/>
      <c r="B13" s="2000" t="s">
        <v>1856</v>
      </c>
      <c r="C13" s="2004"/>
      <c r="D13" s="724"/>
      <c r="E13" s="2003" t="s">
        <v>1801</v>
      </c>
      <c r="F13" s="731">
        <f ca="1">'数据-取费表'!B39</f>
        <v>1.4999999999999999E-2</v>
      </c>
      <c r="G13" s="1145"/>
      <c r="H13" s="2038"/>
      <c r="I13" s="2000" t="s">
        <v>1856</v>
      </c>
      <c r="J13" s="2004"/>
      <c r="K13" s="287"/>
      <c r="L13" s="2003" t="s">
        <v>1801</v>
      </c>
      <c r="M13" s="1997">
        <f ca="1">'数据-取费表'!B39</f>
        <v>1.4999999999999999E-2</v>
      </c>
    </row>
    <row r="14" spans="1:25" ht="18" customHeight="1" thickBot="1">
      <c r="A14" s="2013" t="s">
        <v>1811</v>
      </c>
      <c r="B14" s="2014" t="s">
        <v>1804</v>
      </c>
      <c r="C14" s="2015"/>
      <c r="D14" s="2016"/>
      <c r="E14" s="2017"/>
      <c r="F14" s="2018"/>
      <c r="G14" s="1145"/>
      <c r="H14" s="2027" t="s">
        <v>1811</v>
      </c>
      <c r="I14" s="2039" t="s">
        <v>1804</v>
      </c>
      <c r="J14" s="2040"/>
      <c r="K14" s="2016"/>
      <c r="L14" s="2017"/>
      <c r="M14" s="2030"/>
    </row>
    <row r="15" spans="1:25" ht="18" customHeight="1" thickTop="1">
      <c r="A15" s="1520" t="s">
        <v>1399</v>
      </c>
      <c r="B15" s="1518" t="s">
        <v>589</v>
      </c>
      <c r="C15" s="727">
        <f ca="1">ROUND(C31*F15,0)</f>
        <v>21643</v>
      </c>
      <c r="D15" s="1525" t="s">
        <v>590</v>
      </c>
      <c r="E15" s="730" t="s">
        <v>591</v>
      </c>
      <c r="F15" s="735">
        <f ca="1">INDIRECT("'数据-取费表'!y"&amp;$G$1)</f>
        <v>0.75</v>
      </c>
      <c r="G15" s="1145"/>
      <c r="H15" s="1520" t="s">
        <v>1355</v>
      </c>
      <c r="I15" s="1518" t="s">
        <v>592</v>
      </c>
      <c r="J15" s="1512">
        <f ca="1">ROUND(J16*J17,0)</f>
        <v>0</v>
      </c>
      <c r="K15" s="1514" t="s">
        <v>590</v>
      </c>
      <c r="L15" s="736"/>
      <c r="M15" s="737"/>
    </row>
    <row r="16" spans="1:25" ht="18" customHeight="1">
      <c r="A16" s="738" t="s">
        <v>1400</v>
      </c>
      <c r="B16" s="719" t="s">
        <v>593</v>
      </c>
      <c r="C16" s="739">
        <f ca="1">INDIRECT("'数据-取费表'!m"&amp;$G$1)+INDIRECT("'数据-取费表'!t"&amp;$G$1)</f>
        <v>20737</v>
      </c>
      <c r="D16" s="906" t="s">
        <v>594</v>
      </c>
      <c r="E16" s="905"/>
      <c r="F16" s="740"/>
      <c r="G16" s="1145"/>
      <c r="H16" s="738" t="s">
        <v>1587</v>
      </c>
      <c r="I16" s="1825" t="s">
        <v>2102</v>
      </c>
      <c r="J16" s="49">
        <f ca="1">C31</f>
        <v>28857</v>
      </c>
      <c r="K16" s="22"/>
      <c r="L16" s="736"/>
      <c r="M16" s="737"/>
    </row>
    <row r="17" spans="1:25" s="1676" customFormat="1" ht="18" customHeight="1">
      <c r="A17" s="738" t="s">
        <v>1378</v>
      </c>
      <c r="B17" s="719" t="s">
        <v>595</v>
      </c>
      <c r="C17" s="49">
        <f ca="1">ROUND(C16*F17,0)</f>
        <v>622</v>
      </c>
      <c r="D17" s="741" t="s">
        <v>596</v>
      </c>
      <c r="E17" s="741" t="s">
        <v>597</v>
      </c>
      <c r="F17" s="742">
        <f>'数据-取费表'!B33</f>
        <v>0.03</v>
      </c>
      <c r="G17" s="1325"/>
      <c r="H17" s="738" t="s">
        <v>1588</v>
      </c>
      <c r="I17" s="719" t="s">
        <v>591</v>
      </c>
      <c r="J17" s="743">
        <f ca="1">INDIRECT("'数据-取费表'!ad"&amp;$G$1)</f>
        <v>0</v>
      </c>
      <c r="K17" s="22"/>
      <c r="L17" s="736"/>
      <c r="M17" s="737"/>
      <c r="N17" s="1675"/>
      <c r="O17" s="1675"/>
      <c r="P17" s="1675"/>
      <c r="Q17" s="1675"/>
      <c r="R17" s="1675"/>
      <c r="S17" s="1675"/>
      <c r="T17" s="1675"/>
      <c r="U17" s="1675"/>
      <c r="V17" s="1675"/>
      <c r="W17" s="1675"/>
      <c r="X17" s="1675"/>
      <c r="Y17" s="1675"/>
    </row>
    <row r="18" spans="1:25" ht="18" customHeight="1">
      <c r="A18" s="738" t="s">
        <v>1379</v>
      </c>
      <c r="B18" s="719" t="s">
        <v>598</v>
      </c>
      <c r="C18" s="49">
        <f ca="1">ROUND(INDIRECT("'数据-取费表'!m"&amp;$G$1)*F18,0)</f>
        <v>0</v>
      </c>
      <c r="D18" s="719" t="s">
        <v>596</v>
      </c>
      <c r="E18" s="719" t="s">
        <v>597</v>
      </c>
      <c r="F18" s="744">
        <f ca="1">IF(INDIRECT("'数据-取费表'!c"&amp;$G$1)="住宅",'数据-取费表'!B34,0)</f>
        <v>0</v>
      </c>
      <c r="G18" s="1145"/>
      <c r="H18" s="732" t="s">
        <v>1356</v>
      </c>
      <c r="I18" s="733" t="s">
        <v>599</v>
      </c>
      <c r="J18" s="734">
        <f ca="1">ROUND(J19+J24+J25+J26,0)</f>
        <v>156</v>
      </c>
      <c r="K18" s="22" t="s">
        <v>600</v>
      </c>
      <c r="L18" s="915"/>
      <c r="M18" s="52"/>
    </row>
    <row r="19" spans="1:25" s="1676" customFormat="1" ht="18" customHeight="1">
      <c r="A19" s="738" t="s">
        <v>1380</v>
      </c>
      <c r="B19" s="719" t="s">
        <v>601</v>
      </c>
      <c r="C19" s="49">
        <f ca="1">ROUND(F19*(INDIRECT("'数据-取费表'!k"&amp;$G$1)+INDIRECT("'数据-取费表'!S"&amp;$G$1))/10000,0)</f>
        <v>1659</v>
      </c>
      <c r="D19" s="719" t="s">
        <v>602</v>
      </c>
      <c r="E19" s="719" t="s">
        <v>603</v>
      </c>
      <c r="F19" s="52">
        <f>'数据-取费表'!B35</f>
        <v>200</v>
      </c>
      <c r="G19" s="1325"/>
      <c r="H19" s="738" t="s">
        <v>1587</v>
      </c>
      <c r="I19" s="719" t="s">
        <v>604</v>
      </c>
      <c r="J19" s="2555">
        <f ca="1">ROUND(IF(AND(项目基本情况!B11="自然人",项目基本情况!B10="北京市"),J8*M19/(1+'数据-取费表'!C42),J20+J21+J22),0)</f>
        <v>12</v>
      </c>
      <c r="K19" s="906" t="s">
        <v>605</v>
      </c>
      <c r="L19" s="907" t="s">
        <v>606</v>
      </c>
      <c r="M19" s="2554">
        <f ca="1">IF(项目基本情况!B11="企业","——",IF('数据-取费表'!B10="住宅",IF(M8*M9*M10/12/(1+'数据-取费表'!F30)&gt;100000,4%,2.5%),IF(M8*M9*M10/12/(1+'数据-取费表'!F30)&gt;100000,12%,7%)))</f>
        <v>7.0000000000000007E-2</v>
      </c>
      <c r="N19" s="1675"/>
      <c r="O19" s="1675"/>
      <c r="P19" s="1675"/>
      <c r="Q19" s="1675"/>
      <c r="R19" s="1675"/>
      <c r="S19" s="1675"/>
      <c r="T19" s="1675"/>
      <c r="U19" s="1675"/>
      <c r="V19" s="1675"/>
      <c r="W19" s="1675"/>
      <c r="X19" s="1675"/>
      <c r="Y19" s="1675"/>
    </row>
    <row r="20" spans="1:25" s="1676" customFormat="1" ht="18" customHeight="1">
      <c r="A20" s="738" t="s">
        <v>1381</v>
      </c>
      <c r="B20" s="719" t="s">
        <v>607</v>
      </c>
      <c r="C20" s="49">
        <f ca="1">ROUND(C16*F20,0)</f>
        <v>415</v>
      </c>
      <c r="D20" s="719" t="s">
        <v>596</v>
      </c>
      <c r="E20" s="719" t="s">
        <v>597</v>
      </c>
      <c r="F20" s="744">
        <f>'数据-取费表'!B36</f>
        <v>0.02</v>
      </c>
      <c r="G20" s="1325"/>
      <c r="H20" s="738" t="s">
        <v>1360</v>
      </c>
      <c r="I20" s="719" t="s">
        <v>608</v>
      </c>
      <c r="J20" s="49">
        <f ca="1">ROUND(J8*M20/(1+'数据-取费表'!C42),1)</f>
        <v>0</v>
      </c>
      <c r="K20" s="907" t="s">
        <v>609</v>
      </c>
      <c r="L20" s="719" t="s">
        <v>597</v>
      </c>
      <c r="M20" s="744">
        <f>'数据-取费表'!B41</f>
        <v>5.5000000000000007E-2</v>
      </c>
      <c r="N20" s="1675"/>
      <c r="O20" s="1675"/>
      <c r="P20" s="1675"/>
      <c r="Q20" s="1675"/>
      <c r="R20" s="1675"/>
      <c r="S20" s="1675"/>
      <c r="T20" s="1675"/>
      <c r="U20" s="1675"/>
      <c r="V20" s="1675"/>
      <c r="W20" s="1675"/>
      <c r="X20" s="1675"/>
      <c r="Y20" s="1675"/>
    </row>
    <row r="21" spans="1:25" ht="18" customHeight="1">
      <c r="A21" s="738" t="s">
        <v>1401</v>
      </c>
      <c r="B21" s="719" t="s">
        <v>610</v>
      </c>
      <c r="C21" s="49">
        <f ca="1">SUM(C16:C20)</f>
        <v>23433</v>
      </c>
      <c r="D21" s="241" t="s">
        <v>611</v>
      </c>
      <c r="E21" s="915"/>
      <c r="F21" s="52"/>
      <c r="G21" s="1145"/>
      <c r="H21" s="1521" t="s">
        <v>1378</v>
      </c>
      <c r="I21" s="719" t="s">
        <v>612</v>
      </c>
      <c r="J21" s="49">
        <f ca="1">IF(K21="按租金收入计税",ROUND(J8*M21/(1+'数据-取费表'!C42),1),ROUND(C31*F35*0.7,1))</f>
        <v>0</v>
      </c>
      <c r="K21" s="745" t="s">
        <v>3248</v>
      </c>
      <c r="L21" s="719" t="s">
        <v>597</v>
      </c>
      <c r="M21" s="744">
        <f>IF(K21="按租金收入计税",'数据-取费表'!B51,'数据-取费表'!B50)</f>
        <v>0.12</v>
      </c>
    </row>
    <row r="22" spans="1:25" s="1676" customFormat="1" ht="18" customHeight="1">
      <c r="A22" s="738" t="s">
        <v>1402</v>
      </c>
      <c r="B22" s="719" t="s">
        <v>613</v>
      </c>
      <c r="C22" s="49">
        <f ca="1">ROUND(C21*F22,0)</f>
        <v>469</v>
      </c>
      <c r="D22" s="746" t="s">
        <v>614</v>
      </c>
      <c r="E22" s="719" t="s">
        <v>597</v>
      </c>
      <c r="F22" s="744">
        <f>'数据-取费表'!B37</f>
        <v>0.02</v>
      </c>
      <c r="G22" s="1325"/>
      <c r="H22" s="1523" t="s">
        <v>1379</v>
      </c>
      <c r="I22" s="317" t="s">
        <v>615</v>
      </c>
      <c r="J22" s="50">
        <f ca="1">ROUND(M22*M23/10000,0)</f>
        <v>12</v>
      </c>
      <c r="K22" s="748" t="s">
        <v>616</v>
      </c>
      <c r="L22" s="719" t="s">
        <v>617</v>
      </c>
      <c r="M22" s="587">
        <f>'数据-取费表'!B52</f>
        <v>1.5</v>
      </c>
      <c r="N22" s="1675"/>
      <c r="O22" s="1675"/>
      <c r="P22" s="1675"/>
      <c r="Q22" s="1675"/>
      <c r="R22" s="1675"/>
      <c r="S22" s="1675"/>
      <c r="T22" s="1675"/>
      <c r="U22" s="1675"/>
      <c r="V22" s="1675"/>
      <c r="W22" s="1675"/>
      <c r="X22" s="1675"/>
      <c r="Y22" s="1675"/>
    </row>
    <row r="23" spans="1:25" s="1676" customFormat="1" ht="18" customHeight="1">
      <c r="A23" s="738" t="s">
        <v>1403</v>
      </c>
      <c r="B23" s="719" t="s">
        <v>618</v>
      </c>
      <c r="C23" s="49" t="s">
        <v>0</v>
      </c>
      <c r="D23" s="746" t="s">
        <v>619</v>
      </c>
      <c r="E23" s="719" t="s">
        <v>620</v>
      </c>
      <c r="F23" s="744">
        <f>'数据-取费表'!B38</f>
        <v>0.02</v>
      </c>
      <c r="G23" s="1325"/>
      <c r="H23" s="1524"/>
      <c r="I23" s="1515"/>
      <c r="J23" s="65"/>
      <c r="K23" s="750"/>
      <c r="L23" s="719" t="s">
        <v>621</v>
      </c>
      <c r="M23" s="720">
        <f ca="1">INDIRECT("'数据-取费表'!r"&amp;$G$1)</f>
        <v>82949.97</v>
      </c>
      <c r="N23" s="1675"/>
      <c r="O23" s="1675"/>
      <c r="P23" s="1675"/>
      <c r="Q23" s="1675"/>
      <c r="R23" s="1675"/>
      <c r="S23" s="1675"/>
      <c r="T23" s="1675"/>
      <c r="U23" s="1675"/>
      <c r="V23" s="1675"/>
      <c r="W23" s="1675"/>
      <c r="X23" s="1675"/>
      <c r="Y23" s="1675"/>
    </row>
    <row r="24" spans="1:25" ht="18" customHeight="1">
      <c r="A24" s="738" t="s">
        <v>1404</v>
      </c>
      <c r="B24" s="719" t="s">
        <v>622</v>
      </c>
      <c r="C24" s="49"/>
      <c r="D24" s="2045" t="str">
        <f>IF(F25&lt;=1,"单利计息。","复利计息。")&amp;"建造成本、管理费用、销售费用产生的利息。"</f>
        <v>单利计息。建造成本、管理费用、销售费用产生的利息。</v>
      </c>
      <c r="E24" s="915"/>
      <c r="F24" s="52"/>
      <c r="G24" s="1145"/>
      <c r="H24" s="1522" t="s">
        <v>1588</v>
      </c>
      <c r="I24" s="719" t="s">
        <v>623</v>
      </c>
      <c r="J24" s="49">
        <f ca="1">ROUND(J16*M24,0)</f>
        <v>144</v>
      </c>
      <c r="K24" s="907" t="s">
        <v>624</v>
      </c>
      <c r="L24" s="719" t="s">
        <v>597</v>
      </c>
      <c r="M24" s="751">
        <f ca="1">INDIRECT("'数据-取费表'!Ak"&amp;$G$1)</f>
        <v>5.0000000000000001E-3</v>
      </c>
    </row>
    <row r="25" spans="1:25" s="1676" customFormat="1" ht="18" customHeight="1">
      <c r="A25" s="738" t="s">
        <v>1400</v>
      </c>
      <c r="B25" s="719" t="s">
        <v>1784</v>
      </c>
      <c r="C25" s="49">
        <f ca="1">ROUND(IF('数据-取费表'!B22&lt;=1,(C21+C22)*F26*F25/2,(C21+C22)*(POWER((1+F26),F25/2)-1)),0)</f>
        <v>409</v>
      </c>
      <c r="D25" s="2044" t="str">
        <f>IF(F25&lt;=1,"(建造成本+管理费用)×利率×(建设周期÷2)","(建造成本+管理费用)×((1+利率)^(建设周期÷2)-1)")</f>
        <v>(建造成本+管理费用)×利率×(建设周期÷2)</v>
      </c>
      <c r="E25" s="719" t="s">
        <v>625</v>
      </c>
      <c r="F25" s="587">
        <f>'数据-取费表'!B20</f>
        <v>1</v>
      </c>
      <c r="G25" s="1325"/>
      <c r="H25" s="738" t="s">
        <v>1403</v>
      </c>
      <c r="I25" s="719" t="s">
        <v>626</v>
      </c>
      <c r="J25" s="49">
        <f ca="1">ROUND(J15*M25,0)</f>
        <v>0</v>
      </c>
      <c r="K25" s="907" t="s">
        <v>627</v>
      </c>
      <c r="L25" s="719" t="s">
        <v>597</v>
      </c>
      <c r="M25" s="752">
        <f ca="1">INDIRECT("'数据-取费表'!Al"&amp;$G$1)</f>
        <v>1E-3</v>
      </c>
      <c r="N25" s="1675"/>
      <c r="O25" s="1675"/>
      <c r="P25" s="1675"/>
      <c r="Q25" s="1675"/>
      <c r="R25" s="1675"/>
      <c r="S25" s="1675"/>
      <c r="T25" s="1675"/>
      <c r="U25" s="1675"/>
      <c r="V25" s="1675"/>
      <c r="W25" s="1675"/>
      <c r="X25" s="1675"/>
      <c r="Y25" s="1675"/>
    </row>
    <row r="26" spans="1:25" s="1676" customFormat="1" ht="18" customHeight="1">
      <c r="A26" s="738" t="s">
        <v>1378</v>
      </c>
      <c r="B26" s="719" t="s">
        <v>628</v>
      </c>
      <c r="C26" s="49">
        <f ca="1">ROUND(IF('数据-取费表'!B22&lt;=1,F23*F26*F25/2,F23*(POWER((1+F26),F25/2)-1)),4)</f>
        <v>2.9999999999999997E-4</v>
      </c>
      <c r="D26" s="2044" t="str">
        <f>IF(F25&lt;=1,"销售费用×利率×(建设周期÷2)","销售费用×((1+利率)^(建设周期÷2)-1)")</f>
        <v>销售费用×利率×(建设周期÷2)</v>
      </c>
      <c r="E26" s="719" t="s">
        <v>629</v>
      </c>
      <c r="F26" s="753">
        <f ca="1">'数据-取费表'!B40</f>
        <v>3.4500000000000003E-2</v>
      </c>
      <c r="G26" s="1325"/>
      <c r="H26" s="738" t="s">
        <v>1404</v>
      </c>
      <c r="I26" s="719" t="s">
        <v>613</v>
      </c>
      <c r="J26" s="49">
        <f ca="1">ROUND(J7*M26,0)</f>
        <v>0</v>
      </c>
      <c r="K26" s="907" t="s">
        <v>630</v>
      </c>
      <c r="L26" s="719" t="s">
        <v>597</v>
      </c>
      <c r="M26" s="729">
        <f ca="1">INDIRECT("'数据-取费表'!Am"&amp;$G$1)</f>
        <v>0.01</v>
      </c>
      <c r="N26" s="1675"/>
      <c r="O26" s="1675"/>
      <c r="P26" s="1675"/>
      <c r="Q26" s="1675"/>
      <c r="R26" s="1675"/>
      <c r="S26" s="1675"/>
      <c r="T26" s="1675"/>
      <c r="U26" s="1675"/>
      <c r="V26" s="1675"/>
      <c r="W26" s="1675"/>
      <c r="X26" s="1675"/>
      <c r="Y26" s="1675"/>
    </row>
    <row r="27" spans="1:25" ht="18" customHeight="1">
      <c r="A27" s="738" t="s">
        <v>1406</v>
      </c>
      <c r="B27" s="719" t="s">
        <v>631</v>
      </c>
      <c r="C27" s="49"/>
      <c r="D27" s="241" t="s">
        <v>632</v>
      </c>
      <c r="E27" s="915"/>
      <c r="F27" s="52"/>
      <c r="G27" s="1145"/>
      <c r="H27" s="732" t="s">
        <v>1357</v>
      </c>
      <c r="I27" s="2298" t="s">
        <v>2099</v>
      </c>
      <c r="J27" s="734">
        <f ca="1">J7-J18</f>
        <v>-156</v>
      </c>
      <c r="K27" s="906" t="s">
        <v>647</v>
      </c>
      <c r="L27" s="904"/>
      <c r="M27" s="754"/>
    </row>
    <row r="28" spans="1:25" ht="18" customHeight="1">
      <c r="A28" s="738" t="s">
        <v>1400</v>
      </c>
      <c r="B28" s="719" t="s">
        <v>1785</v>
      </c>
      <c r="C28" s="49">
        <f ca="1">ROUND((C21+C22)*F28,0)</f>
        <v>2390</v>
      </c>
      <c r="D28" s="746" t="s">
        <v>648</v>
      </c>
      <c r="E28" s="730" t="s">
        <v>649</v>
      </c>
      <c r="F28" s="729">
        <f ca="1">INDIRECT("'数据-取费表'!q"&amp;$G$1)</f>
        <v>0.1</v>
      </c>
      <c r="G28" s="1145"/>
      <c r="H28" s="716" t="s">
        <v>1366</v>
      </c>
      <c r="I28" s="717" t="s">
        <v>650</v>
      </c>
      <c r="J28" s="718">
        <f ca="1">IF(J7&lt;&gt;0,ROUND(J27*(1-((1+M30)/(1+M28))^M29)/(M28-M30),0),0)</f>
        <v>0</v>
      </c>
      <c r="K28" s="748" t="s">
        <v>651</v>
      </c>
      <c r="L28" s="719" t="s">
        <v>652</v>
      </c>
      <c r="M28" s="729">
        <f ca="1">INDIRECT("'数据-取费表'!I"&amp;$G$1)</f>
        <v>0.06</v>
      </c>
    </row>
    <row r="29" spans="1:25" ht="18" customHeight="1">
      <c r="A29" s="738" t="s">
        <v>1378</v>
      </c>
      <c r="B29" s="719" t="s">
        <v>633</v>
      </c>
      <c r="C29" s="49">
        <f ca="1">ROUND(F23*F28,4)</f>
        <v>2E-3</v>
      </c>
      <c r="D29" s="746" t="s">
        <v>653</v>
      </c>
      <c r="E29" s="741"/>
      <c r="F29" s="742"/>
      <c r="G29" s="1145"/>
      <c r="H29" s="721"/>
      <c r="I29" s="722"/>
      <c r="J29" s="723"/>
      <c r="K29" s="755" t="s">
        <v>654</v>
      </c>
      <c r="L29" s="719" t="s">
        <v>655</v>
      </c>
      <c r="M29" s="756">
        <f ca="1">INDIRECT("'数据-取费表'!ag"&amp;$G$1)</f>
        <v>0</v>
      </c>
    </row>
    <row r="30" spans="1:25" s="1676" customFormat="1" ht="18" customHeight="1">
      <c r="A30" s="738" t="s">
        <v>1407</v>
      </c>
      <c r="B30" s="719" t="s">
        <v>634</v>
      </c>
      <c r="C30" s="49">
        <f>ROUND(F30/(1+'数据-取费表'!C42),4)</f>
        <v>5.2400000000000002E-2</v>
      </c>
      <c r="D30" s="746" t="s">
        <v>656</v>
      </c>
      <c r="E30" s="719" t="s">
        <v>597</v>
      </c>
      <c r="F30" s="744">
        <f>'数据-取费表'!B41</f>
        <v>5.5000000000000007E-2</v>
      </c>
      <c r="G30" s="1325"/>
      <c r="H30" s="725"/>
      <c r="I30" s="726"/>
      <c r="J30" s="727"/>
      <c r="K30" s="750"/>
      <c r="L30" s="719" t="s">
        <v>657</v>
      </c>
      <c r="M30" s="729">
        <f ca="1">INDIRECT("'数据-取费表'!aa"&amp;$G$1)</f>
        <v>0</v>
      </c>
      <c r="N30" s="1675"/>
      <c r="O30" s="1675"/>
      <c r="P30" s="1675"/>
      <c r="Q30" s="1675"/>
      <c r="R30" s="1675"/>
      <c r="S30" s="1675"/>
      <c r="T30" s="1675"/>
      <c r="U30" s="1675"/>
      <c r="V30" s="1675"/>
      <c r="W30" s="1675"/>
      <c r="X30" s="1675"/>
      <c r="Y30" s="1675"/>
    </row>
    <row r="31" spans="1:25" s="1676" customFormat="1" ht="18" customHeight="1" thickBot="1">
      <c r="A31" s="2036" t="s">
        <v>1408</v>
      </c>
      <c r="B31" s="2017" t="s">
        <v>2100</v>
      </c>
      <c r="C31" s="2020">
        <f ca="1">ROUND((C21+C22+C25+C28)/(1-F23-C26-C29-C30),0)</f>
        <v>28857</v>
      </c>
      <c r="D31" s="2021"/>
      <c r="E31" s="2022"/>
      <c r="F31" s="2023"/>
      <c r="G31" s="1325"/>
      <c r="H31" s="757" t="s">
        <v>1397</v>
      </c>
      <c r="I31" s="2299" t="s">
        <v>2101</v>
      </c>
      <c r="J31" s="759">
        <f ca="1">ROUND(J28/(1+F45)^F46,0)</f>
        <v>0</v>
      </c>
      <c r="K31" s="760" t="s">
        <v>635</v>
      </c>
      <c r="L31" s="761"/>
      <c r="M31" s="762">
        <f ca="1">INDIRECT("'数据-取费表'!k"&amp;$G$1)</f>
        <v>82949.97</v>
      </c>
      <c r="N31" s="1675"/>
      <c r="O31" s="1675"/>
      <c r="P31" s="1675"/>
      <c r="Q31" s="1675"/>
      <c r="R31" s="1675"/>
      <c r="S31" s="1675"/>
      <c r="T31" s="1675"/>
      <c r="U31" s="1675"/>
      <c r="V31" s="1675"/>
      <c r="W31" s="1675"/>
      <c r="X31" s="1675"/>
      <c r="Y31" s="1675"/>
    </row>
    <row r="32" spans="1:25" ht="18" customHeight="1" thickTop="1">
      <c r="A32" s="1520" t="s">
        <v>4</v>
      </c>
      <c r="B32" s="1518" t="s">
        <v>636</v>
      </c>
      <c r="C32" s="727">
        <f ca="1">ROUND(C33+C38+C39+C40,0)</f>
        <v>756</v>
      </c>
      <c r="D32" s="1514" t="s">
        <v>600</v>
      </c>
      <c r="E32" s="909"/>
      <c r="F32" s="1996"/>
      <c r="G32" s="1668"/>
      <c r="H32" s="1677"/>
      <c r="I32" s="1678"/>
      <c r="J32" s="1679"/>
      <c r="K32" s="1636"/>
      <c r="L32" s="1680"/>
      <c r="M32" s="1681"/>
    </row>
    <row r="33" spans="1:18" ht="18" customHeight="1">
      <c r="A33" s="738" t="s">
        <v>1401</v>
      </c>
      <c r="B33" s="719" t="s">
        <v>604</v>
      </c>
      <c r="C33" s="2555">
        <f ca="1">ROUND(IF(AND(项目基本情况!B11="自然人",项目基本情况!B10="北京市"),C8*F33/(1+'数据-取费表'!C42),C34+C35+C36),2)</f>
        <v>557.44000000000005</v>
      </c>
      <c r="D33" s="906" t="s">
        <v>605</v>
      </c>
      <c r="E33" s="907" t="s">
        <v>637</v>
      </c>
      <c r="F33" s="2554">
        <f ca="1">IF(项目基本情况!B11="企业","——",IF(M48="住宅",IF(F8*F9*F10/12/(1+'数据-取费表'!F30)&gt;100000,4%,2.5%),IF(F8*F9*F10/12/(1+'数据-取费表'!F30)&gt;100000,12%,7%)))</f>
        <v>0.12</v>
      </c>
      <c r="G33" s="1668"/>
      <c r="H33" s="2758" t="s">
        <v>2283</v>
      </c>
      <c r="I33" s="1678"/>
      <c r="J33" s="1679"/>
      <c r="K33" s="1636"/>
      <c r="L33" s="1680"/>
      <c r="M33" s="1681"/>
    </row>
    <row r="34" spans="1:18" ht="18" customHeight="1">
      <c r="A34" s="738" t="s">
        <v>1400</v>
      </c>
      <c r="B34" s="719" t="s">
        <v>608</v>
      </c>
      <c r="C34" s="49">
        <f ca="1">ROUND(C8*F34/(1+'数据-取费表'!C42),2)</f>
        <v>171.29</v>
      </c>
      <c r="D34" s="907" t="s">
        <v>609</v>
      </c>
      <c r="E34" s="719" t="s">
        <v>597</v>
      </c>
      <c r="F34" s="744">
        <f>'数据-取费表'!B41</f>
        <v>5.5000000000000007E-2</v>
      </c>
      <c r="G34" s="1668"/>
      <c r="H34" s="1682"/>
      <c r="I34" s="1683"/>
      <c r="J34" s="1684"/>
      <c r="K34" s="1685"/>
      <c r="L34" s="1686"/>
      <c r="M34" s="1687"/>
    </row>
    <row r="35" spans="1:18" ht="18" customHeight="1">
      <c r="A35" s="738" t="s">
        <v>1378</v>
      </c>
      <c r="B35" s="719" t="s">
        <v>612</v>
      </c>
      <c r="C35" s="49">
        <f ca="1">IF(D35="按租金收入计税",ROUND(C8*F35/(1+'数据-取费表'!C42),2),IF(D35="按房产原值计税",ROUND(C31*F35*0.7,2),INDIRECT("'数据-取费表'!Aj"&amp;$G$1)))</f>
        <v>373.71</v>
      </c>
      <c r="D35" s="745" t="s">
        <v>3248</v>
      </c>
      <c r="E35" s="719" t="s">
        <v>597</v>
      </c>
      <c r="F35" s="744">
        <f>IF(D35="按租金收入计税",'数据-取费表'!B51,'数据-取费表'!B50)</f>
        <v>0.12</v>
      </c>
      <c r="G35" s="1668"/>
      <c r="H35" s="1688"/>
      <c r="I35" s="1688"/>
      <c r="J35" s="1688"/>
      <c r="K35" s="1689"/>
      <c r="L35" s="1688"/>
      <c r="M35" s="1688"/>
    </row>
    <row r="36" spans="1:18" ht="18" customHeight="1">
      <c r="A36" s="747" t="s">
        <v>1405</v>
      </c>
      <c r="B36" s="315" t="s">
        <v>615</v>
      </c>
      <c r="C36" s="50">
        <f ca="1">ROUND(F36*F37/10000,2)</f>
        <v>12.44</v>
      </c>
      <c r="D36" s="748" t="s">
        <v>616</v>
      </c>
      <c r="E36" s="719" t="s">
        <v>617</v>
      </c>
      <c r="F36" s="587">
        <f>'数据-取费表'!B52</f>
        <v>1.5</v>
      </c>
      <c r="G36" s="1668"/>
      <c r="H36" s="1677"/>
      <c r="I36" s="3695"/>
      <c r="J36" s="1690"/>
      <c r="K36" s="1691"/>
      <c r="L36" s="1690"/>
      <c r="M36" s="1690"/>
    </row>
    <row r="37" spans="1:18" ht="18" customHeight="1">
      <c r="A37" s="749"/>
      <c r="B37" s="728"/>
      <c r="C37" s="65"/>
      <c r="D37" s="750"/>
      <c r="E37" s="719" t="s">
        <v>621</v>
      </c>
      <c r="F37" s="720">
        <f ca="1">INDIRECT("'数据-取费表'!r"&amp;$G$1)</f>
        <v>82949.97</v>
      </c>
      <c r="G37" s="1668"/>
      <c r="H37" s="1677"/>
      <c r="I37" s="3695"/>
      <c r="J37" s="1688"/>
      <c r="K37" s="1689"/>
      <c r="L37" s="1688"/>
      <c r="M37" s="1688"/>
    </row>
    <row r="38" spans="1:18" ht="18" customHeight="1">
      <c r="A38" s="738" t="s">
        <v>1402</v>
      </c>
      <c r="B38" s="719" t="s">
        <v>623</v>
      </c>
      <c r="C38" s="49">
        <f ca="1">ROUND(C31*F38,2)</f>
        <v>144.29</v>
      </c>
      <c r="D38" s="907" t="s">
        <v>638</v>
      </c>
      <c r="E38" s="719" t="s">
        <v>597</v>
      </c>
      <c r="F38" s="751">
        <f ca="1">INDIRECT("'数据-取费表'!Ak"&amp;$G$1)</f>
        <v>5.0000000000000001E-3</v>
      </c>
      <c r="G38" s="1668"/>
      <c r="H38" s="1688"/>
      <c r="I38" s="2557"/>
      <c r="J38" s="1636"/>
      <c r="K38" s="1692"/>
      <c r="L38" s="1688"/>
      <c r="M38" s="1688"/>
    </row>
    <row r="39" spans="1:18" ht="18" customHeight="1">
      <c r="A39" s="738" t="s">
        <v>1403</v>
      </c>
      <c r="B39" s="719" t="s">
        <v>626</v>
      </c>
      <c r="C39" s="49">
        <f ca="1">ROUND(C15*F39,2)</f>
        <v>21.64</v>
      </c>
      <c r="D39" s="907" t="s">
        <v>627</v>
      </c>
      <c r="E39" s="719" t="s">
        <v>597</v>
      </c>
      <c r="F39" s="752">
        <f ca="1">INDIRECT("'数据-取费表'!Al"&amp;$G$1)</f>
        <v>1E-3</v>
      </c>
      <c r="G39" s="1668"/>
      <c r="H39" s="1688"/>
      <c r="I39" s="2557"/>
      <c r="J39" s="1636"/>
      <c r="K39" s="1692"/>
      <c r="L39" s="1688"/>
      <c r="M39" s="1688"/>
    </row>
    <row r="40" spans="1:18" ht="18" customHeight="1" thickBot="1">
      <c r="A40" s="2036" t="s">
        <v>1404</v>
      </c>
      <c r="B40" s="2022" t="s">
        <v>613</v>
      </c>
      <c r="C40" s="2020">
        <f ca="1">ROUND(C7*F40,2)</f>
        <v>32.700000000000003</v>
      </c>
      <c r="D40" s="2021" t="s">
        <v>630</v>
      </c>
      <c r="E40" s="2022" t="s">
        <v>597</v>
      </c>
      <c r="F40" s="2018">
        <f ca="1">INDIRECT("'数据-取费表'!Am"&amp;$G$1)</f>
        <v>0.01</v>
      </c>
      <c r="G40" s="1668"/>
      <c r="H40" s="1688"/>
      <c r="I40" s="2557"/>
      <c r="J40" s="1636"/>
      <c r="K40" s="1693"/>
      <c r="L40" s="1688"/>
      <c r="M40" s="1688"/>
    </row>
    <row r="41" spans="1:18" ht="18" customHeight="1" thickTop="1">
      <c r="A41" s="1520">
        <v>4</v>
      </c>
      <c r="B41" s="1518" t="s">
        <v>639</v>
      </c>
      <c r="C41" s="1147"/>
      <c r="D41" s="1148"/>
      <c r="E41" s="1148"/>
      <c r="F41" s="1149"/>
      <c r="G41" s="1668"/>
      <c r="H41" s="1668"/>
      <c r="I41" s="1668"/>
      <c r="J41" s="1668"/>
      <c r="K41" s="1693"/>
      <c r="L41" s="1668"/>
      <c r="M41" s="1668"/>
    </row>
    <row r="42" spans="1:18" ht="18" customHeight="1">
      <c r="A42" s="738" t="s">
        <v>1401</v>
      </c>
      <c r="B42" s="769" t="s">
        <v>640</v>
      </c>
      <c r="C42" s="763">
        <f ca="1">C7-C32</f>
        <v>2514</v>
      </c>
      <c r="D42" s="906" t="s">
        <v>641</v>
      </c>
      <c r="E42" s="904"/>
      <c r="F42" s="754"/>
      <c r="G42" s="1668"/>
      <c r="H42" s="1668"/>
      <c r="I42" s="1668"/>
      <c r="J42" s="1668"/>
      <c r="K42" s="1693"/>
      <c r="L42" s="1668"/>
      <c r="M42" s="1668"/>
    </row>
    <row r="43" spans="1:18" ht="18" customHeight="1">
      <c r="A43" s="738" t="s">
        <v>1402</v>
      </c>
      <c r="B43" s="769" t="s">
        <v>658</v>
      </c>
      <c r="C43" s="770">
        <f ca="1">ROUND(C15*F43,0)</f>
        <v>1515</v>
      </c>
      <c r="D43" s="1150" t="s">
        <v>659</v>
      </c>
      <c r="E43" s="2360" t="s">
        <v>2222</v>
      </c>
      <c r="F43" s="2361">
        <f ca="1">INDIRECT("'数据-取费表'!j"&amp;$G$1)</f>
        <v>7.0000000000000007E-2</v>
      </c>
      <c r="G43" s="1668"/>
      <c r="H43" s="1668"/>
      <c r="I43" s="1668"/>
      <c r="J43" s="1668"/>
      <c r="K43" s="1693"/>
      <c r="L43" s="1668"/>
      <c r="M43" s="1668"/>
    </row>
    <row r="44" spans="1:18" ht="18" customHeight="1">
      <c r="A44" s="738" t="s">
        <v>1403</v>
      </c>
      <c r="B44" s="769" t="s">
        <v>660</v>
      </c>
      <c r="C44" s="1151">
        <f ca="1">C42-C43</f>
        <v>999</v>
      </c>
      <c r="D44" s="432" t="s">
        <v>661</v>
      </c>
      <c r="E44" s="433"/>
      <c r="F44" s="434"/>
      <c r="G44" s="1668"/>
      <c r="H44" s="1668"/>
      <c r="I44" s="1668"/>
      <c r="J44" s="1668"/>
      <c r="K44" s="1693"/>
      <c r="L44" s="1668"/>
      <c r="M44" s="1668"/>
    </row>
    <row r="45" spans="1:18" ht="18" customHeight="1">
      <c r="A45" s="738" t="s">
        <v>1404</v>
      </c>
      <c r="B45" s="1150" t="s">
        <v>662</v>
      </c>
      <c r="C45" s="718">
        <f ca="1">ROUND(-PV(F45,F46,C44,0),0)</f>
        <v>15756</v>
      </c>
      <c r="D45" s="1152" t="s">
        <v>663</v>
      </c>
      <c r="E45" s="741" t="s">
        <v>664</v>
      </c>
      <c r="F45" s="764">
        <f ca="1">INDIRECT("'数据-取费表'!h"&amp;$G$1)</f>
        <v>0.05</v>
      </c>
      <c r="G45" s="1668"/>
      <c r="H45" s="1668"/>
      <c r="I45" s="1668"/>
      <c r="J45" s="1668"/>
      <c r="K45" s="1693"/>
      <c r="L45" s="1668"/>
      <c r="M45" s="1668"/>
    </row>
    <row r="46" spans="1:18" ht="18" customHeight="1" thickBot="1">
      <c r="A46" s="765"/>
      <c r="B46" s="1153"/>
      <c r="C46" s="1154"/>
      <c r="D46" s="1155"/>
      <c r="E46" s="2362" t="s">
        <v>2225</v>
      </c>
      <c r="F46" s="762">
        <f ca="1">IF(INDIRECT("'数据-取费表'!af"&amp;$G$1)=0,INDIRECT("'数据-取费表'!ae"&amp;$G$1),INDIRECT("'数据-取费表'!af"&amp;$G$1))</f>
        <v>31.85</v>
      </c>
      <c r="G46" s="1668"/>
      <c r="H46" s="1668"/>
      <c r="I46" s="1668"/>
      <c r="J46" s="1668"/>
      <c r="K46" s="1693"/>
      <c r="L46" s="1668"/>
      <c r="M46" s="1668"/>
    </row>
    <row r="47" spans="1:18" s="1672" customFormat="1" ht="18" customHeight="1" thickBot="1">
      <c r="A47" s="1694"/>
      <c r="D47" s="1695"/>
      <c r="E47" s="1695"/>
      <c r="F47" s="1695"/>
      <c r="I47" s="1939" t="s">
        <v>1697</v>
      </c>
      <c r="J47" s="1940"/>
      <c r="K47" s="1941"/>
      <c r="L47" s="2375" t="e">
        <f ca="1">IF(M48="住宅",0,IF(L49&gt;J52,L61,J61))</f>
        <v>#DIV/0!</v>
      </c>
      <c r="O47" s="1953" t="s">
        <v>1764</v>
      </c>
      <c r="P47" s="1145"/>
      <c r="Q47" s="1330"/>
      <c r="R47" s="1145"/>
    </row>
    <row r="48" spans="1:18" s="1672" customFormat="1" ht="18" customHeight="1" thickBot="1">
      <c r="A48" s="1694"/>
      <c r="C48" s="1697"/>
      <c r="D48" s="1695"/>
      <c r="E48" s="1695"/>
      <c r="F48" s="1698"/>
      <c r="G48" s="1699"/>
      <c r="I48" s="2367" t="s">
        <v>1698</v>
      </c>
      <c r="J48" s="1942"/>
      <c r="K48" s="2372" t="s">
        <v>1703</v>
      </c>
      <c r="L48" s="2376">
        <f ca="1">INDIRECT("'数据-取费表'!d"&amp;$G$1)</f>
        <v>50</v>
      </c>
      <c r="M48" s="2359" t="str">
        <f>IF(ISNUMBER(FIND("住宅",C1)),"住宅","非住宅")</f>
        <v>非住宅</v>
      </c>
      <c r="O48" s="1954" t="s">
        <v>1729</v>
      </c>
      <c r="P48" s="1955" t="s">
        <v>1730</v>
      </c>
      <c r="Q48" s="1956" t="s">
        <v>1731</v>
      </c>
      <c r="R48" s="1955" t="s">
        <v>1732</v>
      </c>
    </row>
    <row r="49" spans="1:18" s="1672" customFormat="1" ht="18" customHeight="1" thickBot="1">
      <c r="A49" s="1694"/>
      <c r="D49" s="1700"/>
      <c r="E49" s="1701"/>
      <c r="F49" s="1698"/>
      <c r="G49" s="1699"/>
      <c r="H49" s="1702"/>
      <c r="I49" s="2364" t="s">
        <v>1699</v>
      </c>
      <c r="J49" s="1943"/>
      <c r="K49" s="2373" t="s">
        <v>1705</v>
      </c>
      <c r="L49" s="1567">
        <f ca="1">INDIRECT("'数据-取费表'!f"&amp;$G$1)</f>
        <v>31.85</v>
      </c>
      <c r="O49" s="1957" t="s">
        <v>1733</v>
      </c>
      <c r="P49" s="1958" t="s">
        <v>1759</v>
      </c>
      <c r="Q49" s="1959">
        <f ca="1">C41+J31</f>
        <v>0</v>
      </c>
      <c r="R49" s="1958" t="s">
        <v>1734</v>
      </c>
    </row>
    <row r="50" spans="1:18" s="1672" customFormat="1" ht="18" customHeight="1" thickBot="1">
      <c r="A50" s="1694"/>
      <c r="D50" s="1703"/>
      <c r="E50" s="1703"/>
      <c r="F50" s="1695"/>
      <c r="H50" s="1702"/>
      <c r="I50" s="2364" t="s">
        <v>1700</v>
      </c>
      <c r="J50" s="1944"/>
      <c r="K50" s="2374" t="s">
        <v>1706</v>
      </c>
      <c r="L50" s="1566"/>
      <c r="O50" s="1957" t="s">
        <v>1735</v>
      </c>
      <c r="P50" s="1958" t="s">
        <v>1760</v>
      </c>
      <c r="Q50" s="1959" t="str">
        <f ca="1">J61</f>
        <v>0</v>
      </c>
      <c r="R50" s="1958" t="s">
        <v>1736</v>
      </c>
    </row>
    <row r="51" spans="1:18" s="1672" customFormat="1" ht="18" customHeight="1" thickBot="1">
      <c r="A51" s="1704"/>
      <c r="D51" s="1703"/>
      <c r="E51" s="1703"/>
      <c r="F51" s="1695"/>
      <c r="H51" s="1702"/>
      <c r="I51" s="2364" t="s">
        <v>1701</v>
      </c>
      <c r="J51" s="2371">
        <f>SUMPRODUCT((I64:I66=J48)*(J63:L63=J49)*(J64:L66))</f>
        <v>0</v>
      </c>
      <c r="K51" s="2374" t="s">
        <v>1707</v>
      </c>
      <c r="L51" s="1566"/>
      <c r="O51" s="1960" t="s">
        <v>1737</v>
      </c>
      <c r="P51" s="1958" t="s">
        <v>1761</v>
      </c>
      <c r="Q51" s="1959">
        <f ca="1">C31</f>
        <v>28857</v>
      </c>
      <c r="R51" s="1958" t="s">
        <v>1734</v>
      </c>
    </row>
    <row r="52" spans="1:18" s="1672" customFormat="1" ht="18" customHeight="1" thickBot="1">
      <c r="A52" s="1704"/>
      <c r="F52" s="1695"/>
      <c r="I52" s="2368" t="s">
        <v>1702</v>
      </c>
      <c r="J52" s="1567">
        <f>IF(J50="",J51,J50+J51-YEAR('数据-取费表'!B3))</f>
        <v>0</v>
      </c>
      <c r="K52" s="2364" t="s">
        <v>1708</v>
      </c>
      <c r="L52" s="2377">
        <f ca="1">C45</f>
        <v>15756</v>
      </c>
      <c r="O52" s="1960" t="s">
        <v>1738</v>
      </c>
      <c r="P52" s="1958" t="s">
        <v>1739</v>
      </c>
      <c r="Q52" s="1961" t="e">
        <f ca="1">J59</f>
        <v>#VALUE!</v>
      </c>
      <c r="R52" s="1962"/>
    </row>
    <row r="53" spans="1:18" s="1672" customFormat="1" ht="18" customHeight="1" thickBot="1">
      <c r="A53" s="1704"/>
      <c r="F53" s="1695"/>
      <c r="I53" s="2369" t="s">
        <v>1775</v>
      </c>
      <c r="J53" s="1945"/>
      <c r="K53" s="2369" t="s">
        <v>1774</v>
      </c>
      <c r="L53" s="1945"/>
      <c r="O53" s="1960" t="s">
        <v>1740</v>
      </c>
      <c r="P53" s="1958" t="s">
        <v>1741</v>
      </c>
      <c r="Q53" s="1961">
        <f>J53</f>
        <v>0</v>
      </c>
      <c r="R53" s="1962"/>
    </row>
    <row r="54" spans="1:18" s="1672" customFormat="1" ht="29.25" thickBot="1">
      <c r="A54" s="1704"/>
      <c r="I54" s="2370" t="s">
        <v>2236</v>
      </c>
      <c r="J54" s="2416">
        <f ca="1">IF(M48="住宅",MAX(J52,L49-'数据-取费表'!B20),MIN(J52,L49-'数据-取费表'!B20))</f>
        <v>0</v>
      </c>
      <c r="K54" s="3700"/>
      <c r="L54" s="3701"/>
      <c r="O54" s="1960" t="s">
        <v>1742</v>
      </c>
      <c r="P54" s="1958" t="s">
        <v>1743</v>
      </c>
      <c r="Q54" s="1959">
        <f ca="1">J54</f>
        <v>0</v>
      </c>
      <c r="R54" s="1958" t="s">
        <v>1744</v>
      </c>
    </row>
    <row r="55" spans="1:18" s="1672" customFormat="1" ht="18" customHeight="1" thickBot="1">
      <c r="A55" s="1704"/>
      <c r="I55" s="2378"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378"/>
      <c r="K55" s="2379"/>
      <c r="O55" s="1957" t="s">
        <v>1745</v>
      </c>
      <c r="P55" s="1958" t="s">
        <v>1762</v>
      </c>
      <c r="Q55" s="1959">
        <f ca="1">Q49+Q50</f>
        <v>0</v>
      </c>
      <c r="R55" s="1962" t="s">
        <v>1746</v>
      </c>
    </row>
    <row r="56" spans="1:18" s="1672" customFormat="1" ht="16.5" thickBot="1">
      <c r="A56" s="1704"/>
      <c r="B56" s="1705"/>
      <c r="C56" s="1705"/>
      <c r="I56" s="2380" t="s">
        <v>1709</v>
      </c>
      <c r="J56" s="2353" t="e">
        <f ca="1">ROUND(IF(J48="钢混",J58/J51,1-(1-2%)*(J51-J58)/J51),3)</f>
        <v>#VALUE!</v>
      </c>
      <c r="K56" s="2381" t="s">
        <v>1710</v>
      </c>
      <c r="L56" s="1946"/>
      <c r="O56" s="1963" t="s">
        <v>1765</v>
      </c>
      <c r="P56" s="1145"/>
      <c r="Q56" s="1330"/>
      <c r="R56" s="1145"/>
    </row>
    <row r="57" spans="1:18" s="1672" customFormat="1" ht="43.5" thickBot="1">
      <c r="A57" s="1704"/>
      <c r="B57" s="1705"/>
      <c r="C57" s="1705"/>
      <c r="I57" s="2382" t="s">
        <v>1711</v>
      </c>
      <c r="J57" s="2392"/>
      <c r="K57" s="2364" t="s">
        <v>1716</v>
      </c>
      <c r="L57" s="1567">
        <f ca="1">IF(L49&lt;J52,"——",L49-J52)</f>
        <v>31.85</v>
      </c>
      <c r="O57" s="1954" t="s">
        <v>1729</v>
      </c>
      <c r="P57" s="1955" t="s">
        <v>1730</v>
      </c>
      <c r="Q57" s="1956" t="s">
        <v>1731</v>
      </c>
      <c r="R57" s="1955" t="s">
        <v>1732</v>
      </c>
    </row>
    <row r="58" spans="1:18" s="1672" customFormat="1" ht="29.25" thickBot="1">
      <c r="A58" s="1704"/>
      <c r="B58" s="1705"/>
      <c r="C58" s="1705"/>
      <c r="I58" s="2383" t="s">
        <v>1712</v>
      </c>
      <c r="J58" s="2384" t="str">
        <f ca="1">IF(OR(M48="住宅",J52&lt;L49,J57="是"),"——",J52-L49)</f>
        <v>——</v>
      </c>
      <c r="K58" s="2364" t="s">
        <v>1717</v>
      </c>
      <c r="L58" s="1567">
        <f ca="1">IF(L49&lt;J52,"——",IF(L56="比较法",L50,IF(L56="基准地价",L51,L52)))</f>
        <v>15756</v>
      </c>
      <c r="O58" s="1957" t="s">
        <v>1733</v>
      </c>
      <c r="P58" s="1958" t="s">
        <v>1759</v>
      </c>
      <c r="Q58" s="1959">
        <f ca="1">C41+J31</f>
        <v>0</v>
      </c>
      <c r="R58" s="1958" t="s">
        <v>1734</v>
      </c>
    </row>
    <row r="59" spans="1:18" s="1672" customFormat="1" ht="29.25" thickBot="1">
      <c r="A59" s="1704"/>
      <c r="B59" s="1705"/>
      <c r="C59" s="1705"/>
      <c r="I59" s="2383" t="s">
        <v>1713</v>
      </c>
      <c r="J59" s="2354" t="e">
        <f ca="1">IF(J56&lt;0.4,0.4,J56)</f>
        <v>#VALUE!</v>
      </c>
      <c r="K59" s="2364" t="s">
        <v>1718</v>
      </c>
      <c r="L59" s="1567">
        <f ca="1">IF(ISERROR(POWER(1+L53,L48-L49)*(POWER(1+L53,L49)-1)/(POWER(1+L53,L48)-1)),0,POWER(1+L53,L48-L49)*(POWER(1+L53,L49)-1)/(POWER(1+L53,L48)-1))</f>
        <v>0</v>
      </c>
      <c r="O59" s="1957" t="s">
        <v>1735</v>
      </c>
      <c r="P59" s="1958" t="s">
        <v>1766</v>
      </c>
      <c r="Q59" s="1959" t="e">
        <f ca="1">L61</f>
        <v>#DIV/0!</v>
      </c>
      <c r="R59" s="1962" t="s">
        <v>1768</v>
      </c>
    </row>
    <row r="60" spans="1:18" s="1672" customFormat="1" ht="29.25" thickBot="1">
      <c r="A60" s="1704"/>
      <c r="B60" s="1705"/>
      <c r="C60" s="1705"/>
      <c r="I60" s="2383" t="s">
        <v>1714</v>
      </c>
      <c r="J60" s="2384" t="str">
        <f ca="1">IF(OR(M48="住宅",J52&lt;L49,J57="是"),"——",ROUND(C30*J59,0))</f>
        <v>——</v>
      </c>
      <c r="K60" s="2364" t="s">
        <v>1719</v>
      </c>
      <c r="L60" s="1567">
        <f ca="1">IF(ISERROR(POWER(1+L53,L48-J52)*(POWER(1+L53,J52)-1)/(POWER(1+L53,L48)-1)),0,POWER(1+L53,L48-J52)*(POWER(1+L53,J52)-1)/(POWER(1+L53,L48)-1))</f>
        <v>0</v>
      </c>
      <c r="O60" s="1960" t="s">
        <v>1737</v>
      </c>
      <c r="P60" s="1958" t="s">
        <v>1767</v>
      </c>
      <c r="Q60" s="1959">
        <f>IF(L56="比较法",L50,IF(L56="基准地价",L51,0))</f>
        <v>0</v>
      </c>
      <c r="R60" s="1958" t="s">
        <v>1734</v>
      </c>
    </row>
    <row r="61" spans="1:18" s="1672" customFormat="1" ht="15.75" thickBot="1">
      <c r="A61" s="1704"/>
      <c r="B61" s="1705"/>
      <c r="C61" s="1705"/>
      <c r="I61" s="2385" t="s">
        <v>1715</v>
      </c>
      <c r="J61" s="2386" t="str">
        <f ca="1">IF(OR(M48="住宅",J52&lt;L49,J57="是"),"0",ROUND(J60/(1+J53)^J54,0))</f>
        <v>0</v>
      </c>
      <c r="K61" s="2387" t="s">
        <v>1720</v>
      </c>
      <c r="L61" s="2386" t="e">
        <f ca="1">IF(OR(M48="住宅",L49&lt;J52),0,ROUND(L58*(L59/L60-1),0))</f>
        <v>#DIV/0!</v>
      </c>
      <c r="O61" s="1960" t="s">
        <v>1738</v>
      </c>
      <c r="P61" s="1958" t="s">
        <v>1747</v>
      </c>
      <c r="Q61" s="1961">
        <f>L53</f>
        <v>0</v>
      </c>
      <c r="R61" s="1962"/>
    </row>
    <row r="62" spans="1:18" s="1672" customFormat="1" ht="20.25" thickBot="1">
      <c r="A62" s="1704"/>
      <c r="B62" s="1705"/>
      <c r="C62" s="1705"/>
      <c r="K62" s="1696"/>
      <c r="O62" s="1960" t="s">
        <v>1740</v>
      </c>
      <c r="P62" s="1958" t="s">
        <v>1748</v>
      </c>
      <c r="Q62" s="1959">
        <f ca="1">L59</f>
        <v>0</v>
      </c>
      <c r="R62" s="1962" t="s">
        <v>1749</v>
      </c>
    </row>
    <row r="63" spans="1:18" s="1672" customFormat="1" ht="20.25" thickBot="1">
      <c r="A63" s="1704"/>
      <c r="B63" s="1705"/>
      <c r="C63" s="1705"/>
      <c r="I63" s="2388" t="s">
        <v>1721</v>
      </c>
      <c r="J63" s="2389" t="s">
        <v>1722</v>
      </c>
      <c r="K63" s="2389" t="s">
        <v>1723</v>
      </c>
      <c r="L63" s="2389" t="s">
        <v>1704</v>
      </c>
      <c r="M63" s="2390" t="s">
        <v>2205</v>
      </c>
      <c r="O63" s="1960" t="s">
        <v>1742</v>
      </c>
      <c r="P63" s="1958" t="s">
        <v>1750</v>
      </c>
      <c r="Q63" s="1959">
        <f ca="1">L60</f>
        <v>0</v>
      </c>
      <c r="R63" s="1962" t="s">
        <v>1751</v>
      </c>
    </row>
    <row r="64" spans="1:18" s="1672" customFormat="1" ht="15.75" thickBot="1">
      <c r="A64" s="1704"/>
      <c r="B64" s="1705"/>
      <c r="C64" s="1705"/>
      <c r="I64" s="2388" t="s">
        <v>1724</v>
      </c>
      <c r="J64" s="2389">
        <v>70</v>
      </c>
      <c r="K64" s="2389">
        <v>50</v>
      </c>
      <c r="L64" s="2389">
        <v>80</v>
      </c>
      <c r="M64" s="2391">
        <v>0.02</v>
      </c>
      <c r="O64" s="1957" t="s">
        <v>1745</v>
      </c>
      <c r="P64" s="1958" t="s">
        <v>1762</v>
      </c>
      <c r="Q64" s="1959" t="e">
        <f ca="1">Q58+Q59</f>
        <v>#DIV/0!</v>
      </c>
      <c r="R64" s="1962" t="s">
        <v>1746</v>
      </c>
    </row>
    <row r="65" spans="1:18" s="1672" customFormat="1" ht="16.5" thickBot="1">
      <c r="A65" s="1704"/>
      <c r="B65" s="1705"/>
      <c r="C65" s="1705"/>
      <c r="I65" s="2388" t="s">
        <v>1725</v>
      </c>
      <c r="J65" s="2389">
        <v>50</v>
      </c>
      <c r="K65" s="2389">
        <v>35</v>
      </c>
      <c r="L65" s="2389">
        <v>60</v>
      </c>
      <c r="M65" s="780">
        <v>0</v>
      </c>
      <c r="O65" s="1963" t="s">
        <v>1769</v>
      </c>
      <c r="P65" s="1145"/>
      <c r="Q65" s="1330"/>
      <c r="R65" s="1145"/>
    </row>
    <row r="66" spans="1:18" s="1672" customFormat="1" ht="15.75" thickBot="1">
      <c r="A66" s="1704"/>
      <c r="B66" s="1705"/>
      <c r="C66" s="1705"/>
      <c r="I66" s="2388" t="s">
        <v>1726</v>
      </c>
      <c r="J66" s="2389">
        <v>40</v>
      </c>
      <c r="K66" s="2389">
        <v>30</v>
      </c>
      <c r="L66" s="2389">
        <v>50</v>
      </c>
      <c r="M66" s="2391">
        <v>0.02</v>
      </c>
      <c r="O66" s="1954" t="s">
        <v>1729</v>
      </c>
      <c r="P66" s="1955" t="s">
        <v>1730</v>
      </c>
      <c r="Q66" s="1956" t="s">
        <v>1731</v>
      </c>
      <c r="R66" s="1955" t="s">
        <v>1732</v>
      </c>
    </row>
    <row r="67" spans="1:18" s="1672" customFormat="1" ht="15.75" thickBot="1">
      <c r="A67" s="1704"/>
      <c r="B67" s="1705"/>
      <c r="C67" s="1705"/>
      <c r="K67" s="1696"/>
      <c r="O67" s="1957" t="s">
        <v>1733</v>
      </c>
      <c r="P67" s="1958" t="s">
        <v>1759</v>
      </c>
      <c r="Q67" s="1959">
        <f ca="1">C41+J31</f>
        <v>0</v>
      </c>
      <c r="R67" s="1958" t="s">
        <v>1734</v>
      </c>
    </row>
    <row r="68" spans="1:18" s="1672" customFormat="1" ht="20.25" thickBot="1">
      <c r="A68" s="1704"/>
      <c r="B68" s="1705"/>
      <c r="C68" s="1705"/>
      <c r="K68" s="1696"/>
      <c r="O68" s="1957" t="s">
        <v>1735</v>
      </c>
      <c r="P68" s="1958" t="s">
        <v>1766</v>
      </c>
      <c r="Q68" s="1959" t="e">
        <f ca="1">L61</f>
        <v>#DIV/0!</v>
      </c>
      <c r="R68" s="1962" t="s">
        <v>1768</v>
      </c>
    </row>
    <row r="69" spans="1:18" s="1672" customFormat="1" ht="21.75" thickBot="1">
      <c r="A69" s="1704"/>
      <c r="B69" s="1705"/>
      <c r="C69" s="1705"/>
      <c r="K69" s="1696"/>
      <c r="O69" s="1960" t="s">
        <v>1737</v>
      </c>
      <c r="P69" s="1958" t="s">
        <v>1767</v>
      </c>
      <c r="Q69" s="1964">
        <f ca="1">L52</f>
        <v>15756</v>
      </c>
      <c r="R69" s="1965" t="s">
        <v>1770</v>
      </c>
    </row>
    <row r="70" spans="1:18" s="1672" customFormat="1" ht="20.25" thickBot="1">
      <c r="A70" s="1704"/>
      <c r="B70" s="1705"/>
      <c r="C70" s="1705"/>
      <c r="K70" s="1696"/>
      <c r="O70" s="1960" t="s">
        <v>1738</v>
      </c>
      <c r="P70" s="1966" t="s">
        <v>1752</v>
      </c>
      <c r="Q70" s="1959">
        <f ca="1">ROUND(Q71-Q72*Q73,0)</f>
        <v>999</v>
      </c>
      <c r="R70" s="1962"/>
    </row>
    <row r="71" spans="1:18" s="1672" customFormat="1" ht="15.75" thickBot="1">
      <c r="A71" s="1704"/>
      <c r="B71" s="1705"/>
      <c r="C71" s="1705"/>
      <c r="K71" s="1696"/>
      <c r="O71" s="1960" t="s">
        <v>1753</v>
      </c>
      <c r="P71" s="1966" t="s">
        <v>1754</v>
      </c>
      <c r="Q71" s="1959">
        <f ca="1">C42</f>
        <v>2514</v>
      </c>
      <c r="R71" s="1958" t="s">
        <v>1734</v>
      </c>
    </row>
    <row r="72" spans="1:18" s="1672" customFormat="1" ht="15.75" thickBot="1">
      <c r="A72" s="1704"/>
      <c r="B72" s="1705"/>
      <c r="C72" s="1705"/>
      <c r="K72" s="1696"/>
      <c r="O72" s="1960" t="s">
        <v>1755</v>
      </c>
      <c r="P72" s="1966" t="s">
        <v>1756</v>
      </c>
      <c r="Q72" s="1959">
        <f ca="1">C15</f>
        <v>21643</v>
      </c>
      <c r="R72" s="1958" t="s">
        <v>1734</v>
      </c>
    </row>
    <row r="73" spans="1:18" s="1672" customFormat="1" ht="15.75" thickBot="1">
      <c r="A73" s="1704"/>
      <c r="B73" s="1705"/>
      <c r="C73" s="1705"/>
      <c r="K73" s="1696"/>
      <c r="O73" s="1960" t="s">
        <v>1757</v>
      </c>
      <c r="P73" s="1966" t="s">
        <v>1758</v>
      </c>
      <c r="Q73" s="1961">
        <f ca="1">F43</f>
        <v>7.0000000000000007E-2</v>
      </c>
      <c r="R73" s="1962"/>
    </row>
    <row r="74" spans="1:18" s="1672" customFormat="1" ht="15.75" thickBot="1">
      <c r="A74" s="1704"/>
      <c r="B74" s="1705"/>
      <c r="C74" s="1705"/>
      <c r="K74" s="1696"/>
      <c r="O74" s="1960" t="s">
        <v>1740</v>
      </c>
      <c r="P74" s="1958" t="s">
        <v>1747</v>
      </c>
      <c r="Q74" s="1961">
        <f>L53</f>
        <v>0</v>
      </c>
      <c r="R74" s="1962"/>
    </row>
    <row r="75" spans="1:18" s="1672" customFormat="1" ht="20.25" thickBot="1">
      <c r="A75" s="1704"/>
      <c r="B75" s="1705"/>
      <c r="C75" s="1705"/>
      <c r="K75" s="1696"/>
      <c r="O75" s="1960" t="s">
        <v>1742</v>
      </c>
      <c r="P75" s="1958" t="s">
        <v>1748</v>
      </c>
      <c r="Q75" s="1959">
        <f ca="1">L59</f>
        <v>0</v>
      </c>
      <c r="R75" s="1962" t="s">
        <v>1749</v>
      </c>
    </row>
    <row r="76" spans="1:18" s="1672" customFormat="1" ht="20.25" thickBot="1">
      <c r="A76" s="1704"/>
      <c r="B76" s="1705"/>
      <c r="C76" s="1705"/>
      <c r="K76" s="1696"/>
      <c r="O76" s="1960" t="s">
        <v>1771</v>
      </c>
      <c r="P76" s="1958" t="s">
        <v>1750</v>
      </c>
      <c r="Q76" s="1959">
        <f ca="1">L60</f>
        <v>0</v>
      </c>
      <c r="R76" s="1962" t="s">
        <v>1751</v>
      </c>
    </row>
    <row r="77" spans="1:18" s="1672" customFormat="1" ht="15.75" thickBot="1">
      <c r="A77" s="1704"/>
      <c r="B77" s="1705"/>
      <c r="C77" s="1705"/>
      <c r="K77" s="1696"/>
      <c r="O77" s="1957" t="s">
        <v>1745</v>
      </c>
      <c r="P77" s="1958" t="s">
        <v>1762</v>
      </c>
      <c r="Q77" s="1959" t="e">
        <f ca="1">Q67+Q68</f>
        <v>#DIV/0!</v>
      </c>
      <c r="R77" s="1962" t="s">
        <v>1746</v>
      </c>
    </row>
    <row r="78" spans="1:18" s="1672" customFormat="1">
      <c r="A78" s="1704"/>
      <c r="B78" s="1705"/>
      <c r="C78" s="1705"/>
      <c r="K78" s="1696"/>
    </row>
    <row r="79" spans="1:18" s="1672" customFormat="1">
      <c r="A79" s="1704"/>
      <c r="B79" s="1705"/>
      <c r="C79" s="1705"/>
      <c r="K79" s="1696"/>
    </row>
    <row r="80" spans="1:18" s="1672" customFormat="1">
      <c r="A80" s="1704"/>
      <c r="B80" s="1705"/>
      <c r="C80" s="1705"/>
      <c r="K80" s="1696"/>
    </row>
    <row r="81" spans="1:11" s="1672" customFormat="1">
      <c r="A81" s="1704"/>
      <c r="B81" s="1705"/>
      <c r="C81" s="1705"/>
      <c r="K81" s="1696"/>
    </row>
    <row r="82" spans="1:11" s="1672" customFormat="1">
      <c r="A82" s="1704"/>
      <c r="B82" s="1705"/>
      <c r="C82" s="1705"/>
      <c r="K82" s="1696"/>
    </row>
    <row r="83" spans="1:11" s="1672" customFormat="1">
      <c r="A83" s="1704"/>
      <c r="B83" s="1705"/>
      <c r="C83" s="1705"/>
      <c r="K83" s="1696"/>
    </row>
    <row r="84" spans="1:11" s="1672" customFormat="1">
      <c r="A84" s="1704"/>
      <c r="B84" s="1705"/>
      <c r="C84" s="1705"/>
      <c r="K84" s="1696"/>
    </row>
    <row r="85" spans="1:11" s="1672" customFormat="1">
      <c r="A85" s="1704"/>
      <c r="B85" s="1705"/>
      <c r="C85" s="1705"/>
      <c r="K85" s="1696"/>
    </row>
    <row r="86" spans="1:11" s="1672" customFormat="1">
      <c r="A86" s="1704"/>
      <c r="B86" s="1705"/>
      <c r="C86" s="1705"/>
      <c r="K86" s="1696"/>
    </row>
    <row r="87" spans="1:11" s="1672" customFormat="1">
      <c r="A87" s="1704"/>
      <c r="B87" s="1705"/>
      <c r="C87" s="1705"/>
      <c r="K87" s="1696"/>
    </row>
    <row r="88" spans="1:11" s="1672" customFormat="1">
      <c r="A88" s="1704"/>
      <c r="B88" s="1705"/>
      <c r="C88" s="1705"/>
      <c r="K88" s="1696"/>
    </row>
    <row r="89" spans="1:11" s="1672" customFormat="1">
      <c r="A89" s="1704"/>
      <c r="B89" s="1705"/>
      <c r="C89" s="1705"/>
      <c r="K89" s="1696"/>
    </row>
    <row r="90" spans="1:11" s="1672" customFormat="1">
      <c r="A90" s="1704"/>
      <c r="B90" s="1705"/>
      <c r="C90" s="1705"/>
      <c r="K90" s="1696"/>
    </row>
    <row r="91" spans="1:11" s="1672" customFormat="1">
      <c r="A91" s="1704"/>
      <c r="B91" s="1705"/>
      <c r="C91" s="1705"/>
      <c r="K91" s="1696"/>
    </row>
    <row r="92" spans="1:11" s="1672" customFormat="1">
      <c r="A92" s="1704"/>
      <c r="B92" s="1705"/>
      <c r="C92" s="1705"/>
      <c r="K92" s="1696"/>
    </row>
    <row r="93" spans="1:11" s="1672" customFormat="1">
      <c r="A93" s="1704"/>
      <c r="B93" s="1705"/>
      <c r="C93" s="1705"/>
      <c r="K93" s="1696"/>
    </row>
    <row r="94" spans="1:11" s="1672" customFormat="1">
      <c r="A94" s="1704"/>
      <c r="B94" s="1705"/>
      <c r="C94" s="1705"/>
      <c r="K94" s="1696"/>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14" priority="6">
      <formula>$F$12="自定义"</formula>
    </cfRule>
  </conditionalFormatting>
  <conditionalFormatting sqref="I56">
    <cfRule type="expression" dxfId="113" priority="4">
      <formula>$J$51&gt;$L$48</formula>
    </cfRule>
  </conditionalFormatting>
  <conditionalFormatting sqref="I61">
    <cfRule type="expression" dxfId="112" priority="2">
      <formula>$J$51&gt;$L$48</formula>
    </cfRule>
  </conditionalFormatting>
  <conditionalFormatting sqref="J13">
    <cfRule type="expression" dxfId="111" priority="5">
      <formula>$M$10="自定义"</formula>
    </cfRule>
  </conditionalFormatting>
  <conditionalFormatting sqref="K56">
    <cfRule type="expression" dxfId="110" priority="3">
      <formula>$L$48&gt;$J$51</formula>
    </cfRule>
  </conditionalFormatting>
  <conditionalFormatting sqref="K61">
    <cfRule type="expression" dxfId="109" priority="1">
      <formula>$L$48&gt;$J$51</formula>
    </cfRule>
  </conditionalFormatting>
  <dataValidations count="5">
    <dataValidation type="list" allowBlank="1" showInputMessage="1" showErrorMessage="1" sqref="C1" xr:uid="{00000000-0002-0000-1E00-000000000000}">
      <formula1>项目类型</formula1>
    </dataValidation>
    <dataValidation type="list" allowBlank="1" showInputMessage="1" showErrorMessage="1" sqref="D35" xr:uid="{00000000-0002-0000-1E00-000001000000}">
      <formula1>"按租金收入计税,按房产原值计税,按票据"</formula1>
    </dataValidation>
    <dataValidation type="list" allowBlank="1" showInputMessage="1" showErrorMessage="1" sqref="K21" xr:uid="{00000000-0002-0000-1E00-000002000000}">
      <formula1>"按租金收入计税,按房产原值计税"</formula1>
    </dataValidation>
    <dataValidation type="list" allowBlank="1" showInputMessage="1" showErrorMessage="1" sqref="F12 M12" xr:uid="{00000000-0002-0000-1E00-000003000000}">
      <formula1>"押一,押二,押三,自定义"</formula1>
    </dataValidation>
    <dataValidation type="list" allowBlank="1" showInputMessage="1" showErrorMessage="1" sqref="J57" xr:uid="{00000000-0002-0000-1E00-000004000000}">
      <formula1>估价范围判定</formula1>
    </dataValidation>
  </dataValidations>
  <pageMargins left="0.7" right="0.7" top="0.75" bottom="0.75" header="0.3" footer="0.3"/>
  <pageSetup paperSize="9" scale="78" orientation="portrait"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5">
    <tabColor rgb="FF92D050"/>
    <pageSetUpPr fitToPage="1"/>
  </sheetPr>
  <dimension ref="A1:Y63"/>
  <sheetViews>
    <sheetView view="pageBreakPreview" zoomScale="90" zoomScaleNormal="80" zoomScaleSheetLayoutView="90" workbookViewId="0">
      <selection activeCell="J15" sqref="J15"/>
    </sheetView>
  </sheetViews>
  <sheetFormatPr defaultColWidth="8.375" defaultRowHeight="12.75"/>
  <cols>
    <col min="1" max="1" width="9.375" style="1785" customWidth="1"/>
    <col min="2" max="2" width="26.625" style="1786" customWidth="1"/>
    <col min="3" max="3" width="11.125" style="1786" customWidth="1"/>
    <col min="4" max="5" width="11.125" style="1787" customWidth="1"/>
    <col min="6" max="6" width="9.5" style="1786" customWidth="1"/>
    <col min="7" max="7" width="31.875" style="1786" customWidth="1"/>
    <col min="8" max="25" width="9" style="1788" customWidth="1"/>
    <col min="26" max="254" width="9" style="1786" customWidth="1"/>
    <col min="255" max="16384" width="8.375" style="1786"/>
  </cols>
  <sheetData>
    <row r="1" spans="1:25" s="1672" customFormat="1" ht="20.25">
      <c r="A1" s="391" t="s">
        <v>551</v>
      </c>
      <c r="B1" s="679"/>
      <c r="C1" s="1782"/>
      <c r="D1" s="1782"/>
      <c r="E1" s="1782"/>
      <c r="F1" s="1782"/>
      <c r="G1" s="1716"/>
    </row>
    <row r="2" spans="1:25" s="1672" customFormat="1" ht="18" customHeight="1">
      <c r="A2" s="393" t="s">
        <v>427</v>
      </c>
      <c r="B2" s="395">
        <f ca="1">C23</f>
        <v>12354</v>
      </c>
      <c r="C2" s="2767"/>
      <c r="D2" s="2767"/>
      <c r="E2" s="2767"/>
      <c r="F2" s="2767"/>
      <c r="G2" s="2767"/>
    </row>
    <row r="3" spans="1:25" s="1672" customFormat="1" ht="18" customHeight="1">
      <c r="A3" s="1170" t="s">
        <v>1218</v>
      </c>
      <c r="B3" s="395">
        <f ca="1">ROUND(B2*10000/'数据-汇总表'!E3,0)</f>
        <v>1489</v>
      </c>
      <c r="C3" s="2767"/>
      <c r="D3" s="2767"/>
      <c r="E3" s="2767"/>
      <c r="F3" s="2767"/>
      <c r="G3" s="2767"/>
    </row>
    <row r="4" spans="1:25" s="1672" customFormat="1" ht="18" customHeight="1">
      <c r="A4" s="396" t="s">
        <v>428</v>
      </c>
      <c r="B4" s="397">
        <f ca="1">ROUND(B2*10000/'数据-汇总表'!D3,0)</f>
        <v>1489</v>
      </c>
      <c r="C4" s="2727"/>
      <c r="D4" s="2767"/>
      <c r="E4" s="2767"/>
      <c r="F4" s="2767"/>
      <c r="G4" s="2767"/>
    </row>
    <row r="5" spans="1:25" s="1672" customFormat="1" ht="18" customHeight="1" thickBot="1">
      <c r="A5" s="399"/>
      <c r="B5" s="400">
        <f ca="1">ROUND(B2/('数据-汇总表'!D3/666.67),0)</f>
        <v>99</v>
      </c>
      <c r="C5" s="401" t="s">
        <v>429</v>
      </c>
      <c r="D5" s="2767"/>
      <c r="E5" s="2767"/>
      <c r="F5" s="2767"/>
      <c r="G5" s="2767"/>
    </row>
    <row r="6" spans="1:25" s="1783" customFormat="1" ht="13.5" customHeight="1">
      <c r="A6" s="680"/>
      <c r="B6" s="681" t="s">
        <v>552</v>
      </c>
      <c r="C6" s="682" t="s">
        <v>553</v>
      </c>
      <c r="D6" s="682" t="s">
        <v>554</v>
      </c>
      <c r="E6" s="683" t="s">
        <v>555</v>
      </c>
      <c r="F6" s="683" t="s">
        <v>556</v>
      </c>
      <c r="G6" s="2766" t="s">
        <v>2285</v>
      </c>
    </row>
    <row r="7" spans="1:25" s="1783" customFormat="1" ht="13.5" customHeight="1">
      <c r="A7" s="1981">
        <v>1</v>
      </c>
      <c r="B7" s="684" t="s">
        <v>557</v>
      </c>
      <c r="C7" s="685">
        <f>C8+C9</f>
        <v>9913</v>
      </c>
      <c r="D7" s="685"/>
      <c r="E7" s="686"/>
      <c r="F7" s="686"/>
      <c r="G7" s="1990"/>
    </row>
    <row r="8" spans="1:25" s="1783" customFormat="1" ht="13.5" customHeight="1">
      <c r="A8" s="1981" t="s">
        <v>1786</v>
      </c>
      <c r="B8" s="1984" t="s">
        <v>1788</v>
      </c>
      <c r="C8" s="2770">
        <f>ROUND(D8*E8/10000,0)</f>
        <v>9913</v>
      </c>
      <c r="D8" s="3435">
        <f>'数据-基础表'!A3</f>
        <v>82949.97</v>
      </c>
      <c r="E8" s="2771">
        <f>'比较法-工业'!C44</f>
        <v>1195</v>
      </c>
      <c r="F8" s="686"/>
      <c r="G8" s="687"/>
    </row>
    <row r="9" spans="1:25" s="1783" customFormat="1" ht="13.5" customHeight="1">
      <c r="A9" s="1981" t="s">
        <v>1787</v>
      </c>
      <c r="B9" s="1984" t="s">
        <v>1789</v>
      </c>
      <c r="C9" s="2770">
        <f>ROUND(D9*E9/10000,0)</f>
        <v>0</v>
      </c>
      <c r="D9" s="2770">
        <v>0</v>
      </c>
      <c r="E9" s="2771">
        <v>0</v>
      </c>
      <c r="F9" s="686"/>
      <c r="G9" s="687"/>
    </row>
    <row r="10" spans="1:25" s="1783" customFormat="1" ht="36">
      <c r="A10" s="1981">
        <v>2</v>
      </c>
      <c r="B10" s="684" t="s">
        <v>561</v>
      </c>
      <c r="C10" s="685">
        <f ca="1">C11+C14+C15</f>
        <v>1410</v>
      </c>
      <c r="D10" s="695"/>
      <c r="E10" s="685"/>
      <c r="F10" s="696"/>
      <c r="G10" s="694" t="s">
        <v>562</v>
      </c>
    </row>
    <row r="11" spans="1:25" s="1783" customFormat="1" ht="13.5" customHeight="1">
      <c r="A11" s="1981" t="s">
        <v>1786</v>
      </c>
      <c r="B11" s="688" t="s">
        <v>558</v>
      </c>
      <c r="C11" s="689">
        <f ca="1">'数据-取费表'!B29</f>
        <v>1410</v>
      </c>
      <c r="D11" s="690"/>
      <c r="E11" s="689"/>
      <c r="F11" s="691"/>
      <c r="G11" s="1989" t="s">
        <v>1797</v>
      </c>
    </row>
    <row r="12" spans="1:25" s="1783" customFormat="1" ht="13.5" customHeight="1">
      <c r="A12" s="1987" t="s">
        <v>1794</v>
      </c>
      <c r="B12" s="692" t="s">
        <v>559</v>
      </c>
      <c r="C12" s="693">
        <f>ROUND(D12*E12/10000,0)</f>
        <v>0</v>
      </c>
      <c r="D12" s="2770">
        <f>'数据-汇总表'!E5</f>
        <v>0</v>
      </c>
      <c r="E12" s="2770">
        <f>'数据-取费表'!B27</f>
        <v>0</v>
      </c>
      <c r="F12" s="691"/>
      <c r="G12" s="694"/>
    </row>
    <row r="13" spans="1:25" s="1783" customFormat="1" ht="13.5" customHeight="1">
      <c r="A13" s="1987" t="s">
        <v>1793</v>
      </c>
      <c r="B13" s="692" t="s">
        <v>560</v>
      </c>
      <c r="C13" s="693">
        <f>ROUND(D13*E13/10000,0)</f>
        <v>1410</v>
      </c>
      <c r="D13" s="3435">
        <f>'数据-汇总表'!E6</f>
        <v>82949.97</v>
      </c>
      <c r="E13" s="2770">
        <f>'数据-取费表'!B28</f>
        <v>170</v>
      </c>
      <c r="F13" s="691"/>
      <c r="G13" s="694"/>
    </row>
    <row r="14" spans="1:25" s="1783" customFormat="1" ht="13.5" customHeight="1">
      <c r="A14" s="1981" t="s">
        <v>1787</v>
      </c>
      <c r="B14" s="1986" t="s">
        <v>1790</v>
      </c>
      <c r="C14" s="2772">
        <f>ROUND(D14*E14/10000,0)</f>
        <v>0</v>
      </c>
      <c r="D14" s="2770">
        <v>0</v>
      </c>
      <c r="E14" s="2771">
        <v>0</v>
      </c>
      <c r="F14" s="1985"/>
      <c r="G14" s="1988" t="s">
        <v>1795</v>
      </c>
    </row>
    <row r="15" spans="1:25" s="1783" customFormat="1" ht="13.5" customHeight="1">
      <c r="A15" s="1981" t="s">
        <v>1792</v>
      </c>
      <c r="B15" s="1986" t="s">
        <v>1791</v>
      </c>
      <c r="C15" s="2772">
        <f>ROUND(D15*E15/10000,0)</f>
        <v>0</v>
      </c>
      <c r="D15" s="2770">
        <v>0</v>
      </c>
      <c r="E15" s="2771">
        <v>0</v>
      </c>
      <c r="F15" s="1985"/>
      <c r="G15" s="1988" t="s">
        <v>1796</v>
      </c>
    </row>
    <row r="16" spans="1:25" s="1784" customFormat="1" ht="48">
      <c r="A16" s="1981">
        <v>3</v>
      </c>
      <c r="B16" s="684" t="s">
        <v>563</v>
      </c>
      <c r="C16" s="2772">
        <f>ROUND(D16*E16/10000,0)</f>
        <v>0</v>
      </c>
      <c r="D16" s="2770">
        <v>0</v>
      </c>
      <c r="E16" s="2771">
        <v>0</v>
      </c>
      <c r="F16" s="696"/>
      <c r="G16" s="694" t="s">
        <v>1798</v>
      </c>
      <c r="H16" s="1783"/>
      <c r="I16" s="1783"/>
      <c r="J16" s="1783"/>
      <c r="K16" s="1783"/>
      <c r="L16" s="1783"/>
      <c r="M16" s="1783"/>
      <c r="N16" s="1783"/>
      <c r="O16" s="1783"/>
      <c r="P16" s="1783"/>
      <c r="Q16" s="1783"/>
      <c r="R16" s="1783"/>
      <c r="S16" s="1783"/>
      <c r="T16" s="1783"/>
      <c r="U16" s="1783"/>
      <c r="V16" s="1783"/>
      <c r="W16" s="1783"/>
      <c r="X16" s="1783"/>
      <c r="Y16" s="1783"/>
    </row>
    <row r="17" spans="1:25" s="1784" customFormat="1" ht="25.5">
      <c r="A17" s="1982">
        <v>4</v>
      </c>
      <c r="B17" s="684" t="s">
        <v>564</v>
      </c>
      <c r="C17" s="2046">
        <f ca="1">ROUND(IF('数据-取费表'!B19&lt;=1,((C7+C16)*'数据-取费表'!B19+C10*'数据-取费表'!B19/2)*F17,((C7+C16)*(POWER((1+F17),'数据-取费表'!B19)-1)+C10*(POWER((1+F17),'数据-取费表'!B19/2)-1))),0)</f>
        <v>366</v>
      </c>
      <c r="D17" s="697"/>
      <c r="E17" s="698"/>
      <c r="F17" s="699">
        <f ca="1">存贷款利率!E3</f>
        <v>3.4500000000000003E-2</v>
      </c>
      <c r="G17" s="700" t="str">
        <f>IF('数据-取费表'!B19&lt;=1,"((１＋３)×土地开发期+２×(土地开发期÷２))×利率","((１＋３)×((1+利率)^土地开发期-1)+２×((1+利率)^(土地开发期÷２)-1)")</f>
        <v>((１＋３)×土地开发期+２×(土地开发期÷２))×利率</v>
      </c>
      <c r="H17" s="1992"/>
      <c r="I17" s="1783"/>
      <c r="J17" s="1783"/>
      <c r="K17" s="1783"/>
      <c r="L17" s="1783"/>
      <c r="M17" s="1783"/>
      <c r="N17" s="1783"/>
      <c r="O17" s="1783"/>
      <c r="P17" s="1783"/>
      <c r="Q17" s="1783"/>
      <c r="R17" s="1783"/>
      <c r="S17" s="1783"/>
      <c r="T17" s="1783"/>
      <c r="U17" s="1783"/>
      <c r="V17" s="1783"/>
      <c r="W17" s="1783"/>
      <c r="X17" s="1783"/>
      <c r="Y17" s="1783"/>
    </row>
    <row r="18" spans="1:25" s="1784" customFormat="1" ht="13.5" customHeight="1">
      <c r="A18" s="1982">
        <v>5</v>
      </c>
      <c r="B18" s="684" t="s">
        <v>565</v>
      </c>
      <c r="C18" s="685">
        <f ca="1">ROUND((C7+C10+C16)*F18,0)</f>
        <v>1359</v>
      </c>
      <c r="D18" s="697"/>
      <c r="E18" s="698"/>
      <c r="F18" s="1143">
        <v>0.12</v>
      </c>
      <c r="G18" s="700" t="s">
        <v>566</v>
      </c>
      <c r="H18" s="1783"/>
      <c r="I18" s="1783"/>
      <c r="J18" s="1783"/>
      <c r="K18" s="1783"/>
      <c r="L18" s="1783"/>
      <c r="M18" s="1783"/>
      <c r="N18" s="1783"/>
      <c r="O18" s="1783"/>
      <c r="P18" s="1783"/>
      <c r="Q18" s="1783"/>
      <c r="R18" s="1783"/>
      <c r="S18" s="1783"/>
      <c r="T18" s="1783"/>
      <c r="U18" s="1783"/>
      <c r="V18" s="1783"/>
      <c r="W18" s="1783"/>
      <c r="X18" s="1783"/>
      <c r="Y18" s="1783"/>
    </row>
    <row r="19" spans="1:25" s="1784" customFormat="1" ht="13.5" customHeight="1">
      <c r="A19" s="1981">
        <v>6</v>
      </c>
      <c r="B19" s="684" t="s">
        <v>567</v>
      </c>
      <c r="C19" s="685">
        <f ca="1">C7+C10+C16+C17+C18</f>
        <v>13048</v>
      </c>
      <c r="D19" s="695"/>
      <c r="E19" s="685"/>
      <c r="F19" s="696"/>
      <c r="G19" s="700" t="s">
        <v>568</v>
      </c>
      <c r="H19" s="1783"/>
      <c r="I19" s="1783"/>
      <c r="J19" s="1783"/>
      <c r="K19" s="1783"/>
      <c r="L19" s="1783"/>
      <c r="M19" s="1783"/>
      <c r="N19" s="1783"/>
      <c r="O19" s="1783"/>
      <c r="P19" s="1783"/>
      <c r="Q19" s="1783"/>
      <c r="R19" s="1783"/>
      <c r="S19" s="1783"/>
      <c r="T19" s="1783"/>
      <c r="U19" s="1783"/>
      <c r="V19" s="1783"/>
      <c r="W19" s="1783"/>
      <c r="X19" s="1783"/>
      <c r="Y19" s="1783"/>
    </row>
    <row r="20" spans="1:25" s="1784" customFormat="1" ht="24.75">
      <c r="A20" s="1981">
        <v>7</v>
      </c>
      <c r="B20" s="684" t="s">
        <v>569</v>
      </c>
      <c r="C20" s="685">
        <f ca="1">ROUND(C19*F20,0)</f>
        <v>2610</v>
      </c>
      <c r="D20" s="695"/>
      <c r="E20" s="685"/>
      <c r="F20" s="1143">
        <v>0.2</v>
      </c>
      <c r="G20" s="700" t="s">
        <v>570</v>
      </c>
      <c r="H20" s="1783"/>
      <c r="I20" s="1783"/>
      <c r="J20" s="1783"/>
      <c r="K20" s="1783"/>
      <c r="L20" s="1783"/>
      <c r="M20" s="1783"/>
      <c r="N20" s="1783"/>
      <c r="O20" s="1783"/>
      <c r="P20" s="1783"/>
      <c r="Q20" s="1783"/>
      <c r="R20" s="1783"/>
      <c r="S20" s="1783"/>
      <c r="T20" s="1783"/>
      <c r="U20" s="1783"/>
      <c r="V20" s="1783"/>
      <c r="W20" s="1783"/>
      <c r="X20" s="1783"/>
      <c r="Y20" s="1783"/>
    </row>
    <row r="21" spans="1:25" s="1784" customFormat="1">
      <c r="A21" s="1981">
        <v>8</v>
      </c>
      <c r="B21" s="684" t="s">
        <v>571</v>
      </c>
      <c r="C21" s="685">
        <f ca="1">C19+C20</f>
        <v>15658</v>
      </c>
      <c r="D21" s="695"/>
      <c r="E21" s="685"/>
      <c r="F21" s="696"/>
      <c r="G21" s="700" t="s">
        <v>572</v>
      </c>
      <c r="H21" s="1783"/>
      <c r="I21" s="1783"/>
      <c r="J21" s="1783"/>
      <c r="K21" s="1783"/>
      <c r="L21" s="1783"/>
      <c r="M21" s="1783"/>
      <c r="N21" s="1783"/>
      <c r="O21" s="1783"/>
      <c r="P21" s="1783"/>
      <c r="Q21" s="1783"/>
      <c r="R21" s="1783"/>
      <c r="S21" s="1783"/>
      <c r="T21" s="1783"/>
      <c r="U21" s="1783"/>
      <c r="V21" s="1783"/>
      <c r="W21" s="1783"/>
      <c r="X21" s="1783"/>
      <c r="Y21" s="1783"/>
    </row>
    <row r="22" spans="1:25" s="1784" customFormat="1" ht="13.5" customHeight="1">
      <c r="A22" s="1981">
        <v>9</v>
      </c>
      <c r="B22" s="684" t="s">
        <v>573</v>
      </c>
      <c r="C22" s="685">
        <f ca="1">ROUND(C21*F22,0)</f>
        <v>12354</v>
      </c>
      <c r="D22" s="695"/>
      <c r="E22" s="685"/>
      <c r="F22" s="701">
        <f>'数据-取费表'!AP16</f>
        <v>0.78900000000000003</v>
      </c>
      <c r="G22" s="700" t="s">
        <v>574</v>
      </c>
      <c r="H22" s="1783"/>
      <c r="I22" s="1783"/>
      <c r="J22" s="1783"/>
      <c r="K22" s="1783"/>
      <c r="L22" s="1783"/>
      <c r="M22" s="1783"/>
      <c r="N22" s="1783"/>
      <c r="O22" s="1783"/>
      <c r="P22" s="1783"/>
      <c r="Q22" s="1783"/>
      <c r="R22" s="1783"/>
      <c r="S22" s="1783"/>
      <c r="T22" s="1783"/>
      <c r="U22" s="1783"/>
      <c r="V22" s="1783"/>
      <c r="W22" s="1783"/>
      <c r="X22" s="1783"/>
      <c r="Y22" s="1783"/>
    </row>
    <row r="23" spans="1:25" s="1784" customFormat="1" ht="13.15" customHeight="1" thickBot="1">
      <c r="A23" s="1983">
        <v>10</v>
      </c>
      <c r="B23" s="702" t="s">
        <v>575</v>
      </c>
      <c r="C23" s="703">
        <f ca="1">C22</f>
        <v>12354</v>
      </c>
      <c r="D23" s="704"/>
      <c r="E23" s="703"/>
      <c r="F23" s="705"/>
      <c r="G23" s="706"/>
      <c r="H23" s="1783"/>
      <c r="I23" s="1783"/>
      <c r="J23" s="1783"/>
      <c r="K23" s="1783"/>
      <c r="L23" s="1783"/>
      <c r="M23" s="1783"/>
      <c r="N23" s="1783"/>
      <c r="O23" s="1783"/>
      <c r="P23" s="1783"/>
      <c r="Q23" s="1783"/>
      <c r="R23" s="1783"/>
      <c r="S23" s="1783"/>
      <c r="T23" s="1783"/>
      <c r="U23" s="1783"/>
      <c r="V23" s="1783"/>
      <c r="W23" s="1783"/>
      <c r="X23" s="1783"/>
      <c r="Y23" s="1783"/>
    </row>
    <row r="24" spans="1:25" s="2769" customFormat="1">
      <c r="A24" s="2768"/>
      <c r="D24" s="1628"/>
      <c r="E24" s="1628"/>
    </row>
    <row r="25" spans="1:25" s="2769" customFormat="1">
      <c r="A25" s="2768"/>
      <c r="D25" s="1628"/>
      <c r="E25" s="1628"/>
    </row>
    <row r="26" spans="1:25" s="2769" customFormat="1">
      <c r="A26" s="2768"/>
      <c r="D26" s="1628"/>
      <c r="E26" s="1628"/>
    </row>
    <row r="27" spans="1:25" s="2769" customFormat="1">
      <c r="A27" s="2768"/>
      <c r="D27" s="1628"/>
      <c r="E27" s="1628"/>
    </row>
    <row r="28" spans="1:25" s="2769" customFormat="1">
      <c r="A28" s="2768"/>
      <c r="D28" s="1628"/>
      <c r="E28" s="1628"/>
    </row>
    <row r="29" spans="1:25" s="2769" customFormat="1">
      <c r="A29" s="2768"/>
      <c r="D29" s="1628"/>
      <c r="E29" s="1628"/>
    </row>
    <row r="30" spans="1:25" s="2769" customFormat="1">
      <c r="A30" s="2768"/>
      <c r="D30" s="1628"/>
      <c r="E30" s="1628"/>
    </row>
    <row r="31" spans="1:25" s="2769" customFormat="1">
      <c r="A31" s="2768"/>
      <c r="D31" s="1628"/>
      <c r="E31" s="1628"/>
    </row>
    <row r="32" spans="1:25" s="2769" customFormat="1">
      <c r="A32" s="2768"/>
      <c r="D32" s="1628"/>
      <c r="E32" s="1628"/>
    </row>
    <row r="33" spans="1:5" s="2769" customFormat="1">
      <c r="A33" s="2768"/>
      <c r="D33" s="1628"/>
      <c r="E33" s="1628"/>
    </row>
    <row r="34" spans="1:5" s="2769" customFormat="1">
      <c r="A34" s="2768"/>
      <c r="D34" s="1628"/>
      <c r="E34" s="1628"/>
    </row>
    <row r="35" spans="1:5" s="2769" customFormat="1">
      <c r="A35" s="2768"/>
      <c r="D35" s="1628"/>
      <c r="E35" s="1628"/>
    </row>
    <row r="36" spans="1:5" s="2769" customFormat="1">
      <c r="A36" s="2768"/>
      <c r="D36" s="1628"/>
      <c r="E36" s="1628"/>
    </row>
    <row r="37" spans="1:5" s="2769" customFormat="1">
      <c r="A37" s="2768"/>
      <c r="D37" s="1628"/>
      <c r="E37" s="1628"/>
    </row>
    <row r="38" spans="1:5" s="2769" customFormat="1">
      <c r="A38" s="2768"/>
      <c r="D38" s="1628"/>
      <c r="E38" s="1628"/>
    </row>
    <row r="39" spans="1:5" s="2769" customFormat="1">
      <c r="A39" s="2768"/>
      <c r="D39" s="1628"/>
      <c r="E39" s="1628"/>
    </row>
    <row r="40" spans="1:5" s="2769" customFormat="1">
      <c r="A40" s="2768"/>
      <c r="D40" s="1628"/>
      <c r="E40" s="1628"/>
    </row>
    <row r="41" spans="1:5" s="2769" customFormat="1">
      <c r="A41" s="2768"/>
      <c r="D41" s="1628"/>
      <c r="E41" s="1628"/>
    </row>
    <row r="42" spans="1:5" s="2769" customFormat="1">
      <c r="A42" s="2768"/>
      <c r="D42" s="1628"/>
      <c r="E42" s="1628"/>
    </row>
    <row r="43" spans="1:5" s="2769" customFormat="1">
      <c r="A43" s="2768"/>
      <c r="D43" s="1628"/>
      <c r="E43" s="1628"/>
    </row>
    <row r="44" spans="1:5" s="2769" customFormat="1">
      <c r="A44" s="2768"/>
      <c r="D44" s="1628"/>
      <c r="E44" s="1628"/>
    </row>
    <row r="45" spans="1:5" s="2769" customFormat="1">
      <c r="A45" s="2768"/>
      <c r="D45" s="1628"/>
      <c r="E45" s="1628"/>
    </row>
    <row r="46" spans="1:5" s="2769" customFormat="1">
      <c r="A46" s="2768"/>
      <c r="D46" s="1628"/>
      <c r="E46" s="1628"/>
    </row>
    <row r="47" spans="1:5" s="2769" customFormat="1">
      <c r="A47" s="2768"/>
      <c r="D47" s="1628"/>
      <c r="E47" s="1628"/>
    </row>
    <row r="48" spans="1:5" s="2769" customFormat="1">
      <c r="A48" s="2768"/>
      <c r="D48" s="1628"/>
      <c r="E48" s="1628"/>
    </row>
    <row r="49" spans="1:5" s="2769" customFormat="1">
      <c r="A49" s="2768"/>
      <c r="D49" s="1628"/>
      <c r="E49" s="1628"/>
    </row>
    <row r="50" spans="1:5" s="2769" customFormat="1">
      <c r="A50" s="2768"/>
      <c r="D50" s="1628"/>
      <c r="E50" s="1628"/>
    </row>
    <row r="51" spans="1:5" s="2769" customFormat="1">
      <c r="A51" s="2768"/>
      <c r="D51" s="1628"/>
      <c r="E51" s="1628"/>
    </row>
    <row r="52" spans="1:5" s="2769" customFormat="1">
      <c r="A52" s="2768"/>
      <c r="D52" s="1628"/>
      <c r="E52" s="1628"/>
    </row>
    <row r="53" spans="1:5" s="2769" customFormat="1">
      <c r="A53" s="2768"/>
      <c r="D53" s="1628"/>
      <c r="E53" s="1628"/>
    </row>
    <row r="54" spans="1:5" s="2769" customFormat="1">
      <c r="A54" s="2768"/>
      <c r="D54" s="1628"/>
      <c r="E54" s="1628"/>
    </row>
    <row r="55" spans="1:5" s="2769" customFormat="1">
      <c r="A55" s="2768"/>
      <c r="D55" s="1628"/>
      <c r="E55" s="1628"/>
    </row>
    <row r="56" spans="1:5" s="2769" customFormat="1">
      <c r="A56" s="2768"/>
      <c r="D56" s="1628"/>
      <c r="E56" s="1628"/>
    </row>
    <row r="57" spans="1:5" s="2769" customFormat="1">
      <c r="A57" s="2768"/>
      <c r="D57" s="1628"/>
      <c r="E57" s="1628"/>
    </row>
    <row r="58" spans="1:5" s="2769" customFormat="1">
      <c r="A58" s="2768"/>
      <c r="D58" s="1628"/>
      <c r="E58" s="1628"/>
    </row>
    <row r="59" spans="1:5" s="2769" customFormat="1">
      <c r="A59" s="2768"/>
      <c r="D59" s="1628"/>
      <c r="E59" s="1628"/>
    </row>
    <row r="60" spans="1:5" s="2769" customFormat="1">
      <c r="A60" s="2768"/>
      <c r="D60" s="1628"/>
      <c r="E60" s="1628"/>
    </row>
    <row r="61" spans="1:5" s="2769" customFormat="1">
      <c r="A61" s="2768"/>
      <c r="D61" s="1628"/>
      <c r="E61" s="1628"/>
    </row>
    <row r="62" spans="1:5" s="2769" customFormat="1">
      <c r="A62" s="2768"/>
      <c r="D62" s="1628"/>
      <c r="E62" s="1628"/>
    </row>
    <row r="63" spans="1:5" s="2769" customFormat="1">
      <c r="A63" s="2768"/>
      <c r="D63" s="1628"/>
      <c r="E63" s="1628"/>
    </row>
  </sheetData>
  <sheetProtection formatCells="0" formatColumns="0" formatRows="0"/>
  <phoneticPr fontId="15" type="noConversion"/>
  <dataValidations count="1">
    <dataValidation type="list" allowBlank="1" showInputMessage="1" showErrorMessage="1" sqref="G7" xr:uid="{00000000-0002-0000-2100-000000000000}">
      <formula1>"土地开发补偿费,征收补偿安置费"</formula1>
    </dataValidation>
  </dataValidations>
  <pageMargins left="0.7" right="0.7" top="0.75" bottom="0.75" header="0.3" footer="0.3"/>
  <pageSetup paperSize="9" scale="8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476" customWidth="1"/>
    <col min="2" max="2" width="9" style="1476"/>
    <col min="3" max="4" width="9.625" style="1476" customWidth="1"/>
    <col min="5" max="16384" width="9" style="1476"/>
  </cols>
  <sheetData>
    <row r="1" spans="1:4" ht="22.5">
      <c r="A1" s="1475" t="s">
        <v>1428</v>
      </c>
    </row>
    <row r="3" spans="1:4" ht="18.75">
      <c r="A3" s="1493" t="str">
        <f>项目基本情况!B5&amp;"："</f>
        <v>：</v>
      </c>
    </row>
    <row r="4" spans="1:4" ht="18.75">
      <c r="A4" s="1488" t="str">
        <f>"受贵公司委托，我公司对"&amp;项目基本情况!K2&amp;项目基本情况!B9&amp;"进行了预评估。"</f>
        <v>受贵公司委托，我公司对出让国有建设用地使用权进行了预评估。</v>
      </c>
    </row>
    <row r="5" spans="1:4" ht="18.75">
      <c r="A5" s="1491" t="s">
        <v>1429</v>
      </c>
    </row>
    <row r="6" spans="1:4" ht="75">
      <c r="A6" s="1488"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82949.97平方米。根据《建设工程规划许可证》[]、《出让合同》[]，估价对象规划建筑面积为82949.97平方米。</v>
      </c>
    </row>
    <row r="7" spans="1:4" ht="56.25">
      <c r="A7" s="1492" t="s">
        <v>2029</v>
      </c>
    </row>
    <row r="8" spans="1:4" ht="18.75">
      <c r="A8" s="1491" t="s">
        <v>1430</v>
      </c>
    </row>
    <row r="9" spans="1:4" ht="37.5">
      <c r="A9" s="1488" t="str">
        <f>IF(项目基本情况!B8="抵押",IF(项目基本情况!B5=项目基本情况!B6,定义!C51,定义!B51),定义!D51)</f>
        <v>本次评估为委托估价方了解标的物之市场价格提供参考依据而评估出让国有建设用地使用权市场价格。</v>
      </c>
    </row>
    <row r="10" spans="1:4" ht="18.75">
      <c r="A10" s="1493" t="s">
        <v>1544</v>
      </c>
    </row>
    <row r="11" spans="1:4" ht="18.75">
      <c r="A11" s="1477" t="str">
        <f>TEXT(项目基本情况!D3,"yyyy年m月d日;;")&amp;IF(项目基本情况!B3=项目基本情况!D3,"（评估专业人员勘察现场之日）","")</f>
        <v>2024年7月10日（评估专业人员勘察现场之日）</v>
      </c>
    </row>
    <row r="12" spans="1:4" ht="18.75">
      <c r="A12" s="1493" t="s">
        <v>1543</v>
      </c>
    </row>
    <row r="13" spans="1:4" ht="18.75">
      <c r="A13" s="1488" t="s">
        <v>2204</v>
      </c>
    </row>
    <row r="14" spans="1:4" ht="18.75">
      <c r="A14" s="1488" t="str">
        <f>"根据"&amp;项目基本情况!F12&amp;"，本次评估估价对象证载（地类）用途为"&amp;项目基本情况!B12&amp;"。"</f>
        <v>根据《国有土地使用证》[]，本次评估估价对象证载（地类）用途为。</v>
      </c>
      <c r="C14" s="1478"/>
      <c r="D14" s="1479"/>
    </row>
    <row r="15" spans="1:4" ht="18.75">
      <c r="A15" s="148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478"/>
      <c r="D15" s="1479"/>
    </row>
    <row r="16" spans="1:4" ht="18.75">
      <c r="A16" s="1488" t="s">
        <v>1590</v>
      </c>
    </row>
    <row r="17" spans="1:1" ht="56.25">
      <c r="A17" s="148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488"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488" t="s">
        <v>1591</v>
      </c>
    </row>
    <row r="20" spans="1:1" ht="56.25">
      <c r="A20" s="203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根据《国有土地使用证》[]，估价对象（分摊）出让国有建设用地使用权面积为82949.97平方米。根据《建设工程规划许可证》[]、《出让合同》[]，估价对象规划建筑面积为82949.97平方米。</v>
      </c>
    </row>
    <row r="21" spans="1:1" ht="18.75">
      <c r="A21" s="1488" t="s">
        <v>1592</v>
      </c>
    </row>
    <row r="22" spans="1:1" ht="93.75">
      <c r="A22" s="1488"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工业2056年5月11日。截至估价期日，出让国有建设用地使用权剩余土地使用年限为。</v>
      </c>
    </row>
    <row r="23" spans="1:1" ht="18.75">
      <c r="A23" s="1488" t="str">
        <f>IF(项目基本情况!A17="出让","本次评估设定估价对象剩余土地使用年限为"&amp;项目基本情况!D20&amp;"。","")</f>
        <v>本次评估设定估价对象剩余土地使用年限为。</v>
      </c>
    </row>
    <row r="24" spans="1:1" ht="18.75">
      <c r="A24" s="1488" t="s">
        <v>1593</v>
      </c>
    </row>
    <row r="25" spans="1:1" ht="75">
      <c r="A25" s="1488" t="str">
        <f>定义!C53</f>
        <v>本次估价的“出让国有建设用地使用权价格”是指在估价对象土地所有权为国家所有，使用权性质为出让，在公开市场条件下、于估价期日2024年7月10日，在规划利用条件下、设定土地开发程度为红线外“七通”、宗地内场地，设定用途为，剩余土地使用年限为的出让国有建设用地使用权价格。</v>
      </c>
    </row>
    <row r="26" spans="1:1" ht="93.75">
      <c r="A26" s="1488"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488"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56.25">
      <c r="A28" s="1488"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493" t="s">
        <v>1545</v>
      </c>
    </row>
    <row r="30" spans="1:1" ht="75">
      <c r="A30" s="148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1494"/>
    </row>
    <row r="32" spans="1:1" ht="18.75">
      <c r="A32" s="1495" t="s">
        <v>1546</v>
      </c>
    </row>
  </sheetData>
  <sheetProtection formatCells="0" formatRows="0" insertRows="0" deleteRows="0"/>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6">
    <tabColor rgb="FF92D050"/>
    <pageSetUpPr fitToPage="1"/>
  </sheetPr>
  <dimension ref="A1:BF261"/>
  <sheetViews>
    <sheetView tabSelected="1" view="pageBreakPreview" topLeftCell="A25" zoomScale="87" zoomScaleNormal="50" zoomScaleSheetLayoutView="87" workbookViewId="0">
      <selection activeCell="J37" sqref="J37"/>
    </sheetView>
  </sheetViews>
  <sheetFormatPr defaultColWidth="9" defaultRowHeight="14.25"/>
  <cols>
    <col min="1" max="1" width="13.375" style="1132" customWidth="1"/>
    <col min="2" max="2" width="15.75" style="1132" customWidth="1"/>
    <col min="3" max="3" width="14.375" style="1132" customWidth="1"/>
    <col min="4" max="4" width="12.25" style="1132" customWidth="1"/>
    <col min="5" max="5" width="14.375" style="1132" customWidth="1"/>
    <col min="6" max="6" width="12.25" style="1132" customWidth="1"/>
    <col min="7" max="7" width="14.5" style="1132" customWidth="1"/>
    <col min="8" max="8" width="12.25" style="1132" customWidth="1"/>
    <col min="9" max="9" width="14.5" style="1132" customWidth="1"/>
    <col min="10" max="10" width="12.25" style="1132" customWidth="1"/>
    <col min="11" max="11" width="12.25" style="1137" customWidth="1"/>
    <col min="12" max="12" width="12.25" style="1138" customWidth="1"/>
    <col min="13" max="15" width="12.25" style="1132" customWidth="1"/>
    <col min="16" max="16" width="4.75" style="1132" customWidth="1"/>
    <col min="17" max="17" width="19.5" style="1132" customWidth="1"/>
    <col min="18" max="22" width="6.125" style="1132" customWidth="1"/>
    <col min="23" max="23" width="5.75" style="1132" customWidth="1"/>
    <col min="24" max="24" width="4.25" style="1132" customWidth="1"/>
    <col min="25" max="25" width="3.5" style="1132" customWidth="1"/>
    <col min="26" max="26" width="19.75" style="1132" customWidth="1"/>
    <col min="27" max="28" width="9.375" style="1132" customWidth="1"/>
    <col min="29" max="16384" width="9" style="1132"/>
  </cols>
  <sheetData>
    <row r="1" spans="1:29" s="1131" customFormat="1" ht="28.5" customHeight="1">
      <c r="A1" s="453" t="s">
        <v>465</v>
      </c>
      <c r="B1" s="454"/>
      <c r="C1" s="455" t="s">
        <v>545</v>
      </c>
      <c r="D1" s="456" t="s">
        <v>467</v>
      </c>
      <c r="E1" s="674"/>
      <c r="F1" s="675"/>
      <c r="G1" s="674"/>
      <c r="H1" s="674"/>
      <c r="I1" s="674"/>
      <c r="J1" s="674"/>
      <c r="K1" s="676"/>
      <c r="L1" s="2717"/>
      <c r="M1" s="2718"/>
      <c r="N1" s="2718"/>
      <c r="O1" s="2718"/>
      <c r="P1" s="1740"/>
      <c r="Q1" s="1740"/>
      <c r="R1" s="1740"/>
      <c r="S1" s="1740"/>
      <c r="T1" s="1740"/>
      <c r="U1" s="1740"/>
      <c r="V1" s="1740"/>
      <c r="W1" s="1740"/>
      <c r="X1" s="1740"/>
      <c r="Y1" s="1740"/>
      <c r="Z1" s="1740"/>
      <c r="AA1" s="1740"/>
      <c r="AB1" s="1740"/>
      <c r="AC1" s="1674"/>
    </row>
    <row r="2" spans="1:29" s="1131" customFormat="1" ht="28.5" customHeight="1">
      <c r="A2" s="393" t="s">
        <v>427</v>
      </c>
      <c r="B2" s="459">
        <f>F62</f>
        <v>9913</v>
      </c>
      <c r="C2" s="2728"/>
      <c r="D2" s="2728"/>
      <c r="E2" s="2728"/>
      <c r="F2" s="2729"/>
      <c r="G2" s="2728"/>
      <c r="H2" s="2728"/>
      <c r="I2" s="2728"/>
      <c r="J2" s="2728"/>
      <c r="K2" s="2730"/>
      <c r="L2" s="1739"/>
      <c r="M2" s="1740"/>
      <c r="N2" s="1740"/>
      <c r="O2" s="1740"/>
      <c r="P2" s="1740"/>
      <c r="Q2" s="1740"/>
      <c r="R2" s="1740"/>
      <c r="S2" s="1740"/>
      <c r="T2" s="1740"/>
      <c r="U2" s="1740"/>
      <c r="V2" s="1740"/>
      <c r="W2" s="1740"/>
      <c r="X2" s="1740"/>
      <c r="Y2" s="1740"/>
      <c r="Z2" s="1740"/>
      <c r="AA2" s="1740"/>
      <c r="AB2" s="1740"/>
      <c r="AC2" s="1674"/>
    </row>
    <row r="3" spans="1:29" s="1131" customFormat="1" ht="28.5" customHeight="1">
      <c r="A3" s="1171" t="s">
        <v>1218</v>
      </c>
      <c r="B3" s="461">
        <f>ROUND(B2*10000/'数据-汇总表'!E3,0)</f>
        <v>1195</v>
      </c>
      <c r="C3" s="2727"/>
      <c r="D3" s="2727"/>
      <c r="E3" s="2727"/>
      <c r="F3" s="2727"/>
      <c r="G3" s="2728"/>
      <c r="H3" s="2728"/>
      <c r="I3" s="2728"/>
      <c r="J3" s="2728"/>
      <c r="K3" s="2730"/>
      <c r="L3" s="1739"/>
      <c r="M3" s="1740"/>
      <c r="N3" s="1740"/>
      <c r="O3" s="1740"/>
      <c r="P3" s="1740"/>
      <c r="Q3" s="1740"/>
      <c r="R3" s="1740"/>
      <c r="S3" s="1740"/>
      <c r="T3" s="1740"/>
      <c r="U3" s="1740"/>
      <c r="V3" s="1740"/>
      <c r="W3" s="1740"/>
      <c r="X3" s="1740"/>
      <c r="Y3" s="1740"/>
      <c r="Z3" s="1740"/>
      <c r="AA3" s="1740"/>
      <c r="AB3" s="1674"/>
      <c r="AC3" s="1674"/>
    </row>
    <row r="4" spans="1:29" s="1131" customFormat="1" ht="28.5" customHeight="1">
      <c r="A4" s="462" t="s">
        <v>469</v>
      </c>
      <c r="B4" s="397">
        <f>IF(B43="单位面积地价",C45,ROUND(B2*10000/'数据-汇总表'!D3,0))</f>
        <v>1195</v>
      </c>
      <c r="C4" s="2727"/>
      <c r="D4" s="2727"/>
      <c r="E4" s="2727"/>
      <c r="F4" s="2727"/>
      <c r="G4" s="2728"/>
      <c r="H4" s="2728"/>
      <c r="I4" s="2728"/>
      <c r="J4" s="2728"/>
      <c r="K4" s="2730"/>
      <c r="L4" s="1739"/>
      <c r="M4" s="1740"/>
      <c r="N4" s="1740"/>
      <c r="O4" s="1740"/>
      <c r="P4" s="1740"/>
      <c r="Q4" s="1740"/>
      <c r="R4" s="1740"/>
      <c r="S4" s="1740"/>
      <c r="T4" s="1740"/>
      <c r="U4" s="1740"/>
      <c r="V4" s="1740"/>
      <c r="W4" s="1740"/>
      <c r="X4" s="1740"/>
      <c r="Y4" s="1740"/>
      <c r="Z4" s="1740"/>
      <c r="AA4" s="1740"/>
      <c r="AB4" s="1740"/>
      <c r="AC4" s="1674"/>
    </row>
    <row r="5" spans="1:29" s="1131" customFormat="1" ht="28.5" customHeight="1" thickBot="1">
      <c r="A5" s="399"/>
      <c r="B5" s="400">
        <f>ROUND(B2/('数据-汇总表'!D3/666.67),0)</f>
        <v>80</v>
      </c>
      <c r="C5" s="401" t="s">
        <v>429</v>
      </c>
      <c r="D5" s="2727"/>
      <c r="E5" s="2727"/>
      <c r="F5" s="2727"/>
      <c r="G5" s="2728"/>
      <c r="H5" s="2728"/>
      <c r="I5" s="2728"/>
      <c r="J5" s="2728"/>
      <c r="K5" s="2730"/>
      <c r="L5" s="1739"/>
      <c r="M5" s="1740"/>
      <c r="N5" s="1740"/>
      <c r="O5" s="1740"/>
      <c r="P5" s="1740"/>
      <c r="Q5" s="1740"/>
      <c r="R5" s="1740"/>
      <c r="S5" s="1740"/>
      <c r="T5" s="1740"/>
      <c r="U5" s="1740"/>
      <c r="V5" s="1740"/>
      <c r="W5" s="1740"/>
      <c r="X5" s="1740"/>
      <c r="Y5" s="1740"/>
      <c r="Z5" s="1740"/>
      <c r="AA5" s="1740"/>
      <c r="AB5" s="2719"/>
      <c r="AC5" s="1674"/>
    </row>
    <row r="6" spans="1:29" ht="15">
      <c r="A6" s="463" t="s">
        <v>470</v>
      </c>
      <c r="B6" s="464"/>
      <c r="C6" s="3631" t="s">
        <v>471</v>
      </c>
      <c r="D6" s="3632"/>
      <c r="E6" s="3707" t="s">
        <v>472</v>
      </c>
      <c r="F6" s="3708"/>
      <c r="G6" s="3631" t="s">
        <v>473</v>
      </c>
      <c r="H6" s="3632"/>
      <c r="I6" s="3631" t="s">
        <v>474</v>
      </c>
      <c r="J6" s="3632"/>
      <c r="K6" s="465" t="s">
        <v>475</v>
      </c>
      <c r="L6" s="1741"/>
      <c r="M6" s="1742"/>
      <c r="N6" s="1742"/>
      <c r="O6" s="1742"/>
      <c r="P6" s="3633" t="s">
        <v>476</v>
      </c>
      <c r="Q6" s="3634"/>
      <c r="R6" s="3617" t="s">
        <v>472</v>
      </c>
      <c r="S6" s="3618"/>
      <c r="T6" s="3617" t="s">
        <v>473</v>
      </c>
      <c r="U6" s="3618"/>
      <c r="V6" s="3639" t="s">
        <v>474</v>
      </c>
      <c r="W6" s="3639"/>
      <c r="X6" s="1302"/>
      <c r="Y6" s="3617" t="s">
        <v>476</v>
      </c>
      <c r="Z6" s="3618"/>
      <c r="AA6" s="3612" t="s">
        <v>472</v>
      </c>
      <c r="AB6" s="3613" t="s">
        <v>473</v>
      </c>
      <c r="AC6" s="3612" t="s">
        <v>474</v>
      </c>
    </row>
    <row r="7" spans="1:29" ht="15">
      <c r="A7" s="466"/>
      <c r="B7" s="467"/>
      <c r="C7" s="3642" t="s">
        <v>2192</v>
      </c>
      <c r="D7" s="3643"/>
      <c r="E7" s="3709" t="str">
        <f>土地成本!G3</f>
        <v>通州区彩虹之门土地一级开发项目</v>
      </c>
      <c r="F7" s="3710"/>
      <c r="G7" s="3642" t="str">
        <f>土地成本!B17</f>
        <v>顺义区M15号线后沙峪站ABC地块</v>
      </c>
      <c r="H7" s="3643"/>
      <c r="I7" s="3642" t="str">
        <f>土地成本!B18</f>
        <v>顺义区薛大人庄村剩余1、2号地块</v>
      </c>
      <c r="J7" s="3643"/>
      <c r="K7" s="465"/>
      <c r="L7" s="1741"/>
      <c r="M7" s="1742"/>
      <c r="N7" s="1742"/>
      <c r="O7" s="1742"/>
      <c r="P7" s="3635"/>
      <c r="Q7" s="3636"/>
      <c r="R7" s="3619"/>
      <c r="S7" s="3620"/>
      <c r="T7" s="3619"/>
      <c r="U7" s="3620"/>
      <c r="V7" s="3639"/>
      <c r="W7" s="3639"/>
      <c r="X7" s="1302"/>
      <c r="Y7" s="3619"/>
      <c r="Z7" s="3620"/>
      <c r="AA7" s="3613"/>
      <c r="AB7" s="3613"/>
      <c r="AC7" s="3613"/>
    </row>
    <row r="8" spans="1:29" ht="15.75" thickBot="1">
      <c r="A8" s="468"/>
      <c r="B8" s="469"/>
      <c r="C8" s="3640" t="s">
        <v>2196</v>
      </c>
      <c r="D8" s="3641"/>
      <c r="E8" s="3711" t="s">
        <v>2196</v>
      </c>
      <c r="F8" s="3712"/>
      <c r="G8" s="3640" t="s">
        <v>2196</v>
      </c>
      <c r="H8" s="3641"/>
      <c r="I8" s="3640" t="s">
        <v>2196</v>
      </c>
      <c r="J8" s="3641"/>
      <c r="K8" s="465" t="s">
        <v>477</v>
      </c>
      <c r="L8" s="1741"/>
      <c r="M8" s="1742"/>
      <c r="N8" s="1742"/>
      <c r="O8" s="1742"/>
      <c r="P8" s="3637"/>
      <c r="Q8" s="3638"/>
      <c r="R8" s="3619"/>
      <c r="S8" s="3620"/>
      <c r="T8" s="3621"/>
      <c r="U8" s="3622"/>
      <c r="V8" s="3639"/>
      <c r="W8" s="3639"/>
      <c r="X8" s="1302"/>
      <c r="Y8" s="3621"/>
      <c r="Z8" s="3622"/>
      <c r="AA8" s="3614"/>
      <c r="AB8" s="3614"/>
      <c r="AC8" s="3614"/>
    </row>
    <row r="9" spans="1:29" s="1060" customFormat="1" ht="15.75" thickBot="1">
      <c r="A9" s="2209"/>
      <c r="B9" s="2216" t="s">
        <v>478</v>
      </c>
      <c r="C9" s="470">
        <f>'数据-取费表'!B2</f>
        <v>45483</v>
      </c>
      <c r="D9" s="471">
        <v>100</v>
      </c>
      <c r="E9" s="472">
        <v>41548</v>
      </c>
      <c r="F9" s="473">
        <f>SUMIF(66:66,YEAR(E9)&amp;"-"&amp;INT((MONTH(E9)+2)/3),67:67)</f>
        <v>95.700000000000244</v>
      </c>
      <c r="G9" s="474">
        <f>土地成本!I17</f>
        <v>44986</v>
      </c>
      <c r="H9" s="471">
        <f>SUMIF(66:66,YEAR(G9)&amp;"-"&amp;INT((MONTH(G9)+2)/3),67:67)</f>
        <v>99.400000000000034</v>
      </c>
      <c r="I9" s="474">
        <f>土地成本!I18</f>
        <v>44621</v>
      </c>
      <c r="J9" s="471">
        <f>SUMIF(66:66,YEAR(I9)&amp;"-"&amp;INT((MONTH(I9)+2)/3),67:67)</f>
        <v>99.000000000000057</v>
      </c>
      <c r="K9" s="88"/>
      <c r="L9" s="1743"/>
      <c r="M9" s="1640"/>
      <c r="N9" s="1640"/>
      <c r="O9" s="1640"/>
      <c r="P9" s="3615" t="s">
        <v>479</v>
      </c>
      <c r="Q9" s="3624"/>
      <c r="R9" s="1303" t="s">
        <v>5</v>
      </c>
      <c r="S9" s="1304">
        <f t="shared" ref="S9:S17" si="0">F9</f>
        <v>95.700000000000244</v>
      </c>
      <c r="T9" s="1303" t="s">
        <v>5</v>
      </c>
      <c r="U9" s="1304">
        <f t="shared" ref="U9:U17" si="1">H9</f>
        <v>99.400000000000034</v>
      </c>
      <c r="V9" s="1303" t="s">
        <v>5</v>
      </c>
      <c r="W9" s="1304">
        <f t="shared" ref="W9:W17" si="2">J9</f>
        <v>99.000000000000057</v>
      </c>
      <c r="X9" s="1305"/>
      <c r="Y9" s="3615" t="s">
        <v>479</v>
      </c>
      <c r="Z9" s="3616"/>
      <c r="AA9" s="997">
        <f>D9/F9</f>
        <v>1.0449320794148353</v>
      </c>
      <c r="AB9" s="997">
        <f>D9/H9</f>
        <v>1.0060362173038226</v>
      </c>
      <c r="AC9" s="997">
        <f>D9/J9</f>
        <v>1.0101010101010095</v>
      </c>
    </row>
    <row r="10" spans="1:29" s="1060" customFormat="1" ht="15.75" thickBot="1">
      <c r="A10" s="2210"/>
      <c r="B10" s="2217" t="s">
        <v>480</v>
      </c>
      <c r="C10" s="475" t="s">
        <v>481</v>
      </c>
      <c r="D10" s="471">
        <v>100</v>
      </c>
      <c r="E10" s="475" t="s">
        <v>3347</v>
      </c>
      <c r="F10" s="473">
        <f>SUMIF(69:69,E10,70:70)-SUMIF(69:69,C10,70:70)+100</f>
        <v>100</v>
      </c>
      <c r="G10" s="475" t="s">
        <v>3347</v>
      </c>
      <c r="H10" s="471">
        <f>SUMIF(69:69,G10,70:70)-SUMIF(69:69,C10,70:70)+100</f>
        <v>100</v>
      </c>
      <c r="I10" s="475" t="s">
        <v>3347</v>
      </c>
      <c r="J10" s="471">
        <f>SUMIF(69:69,I10,70:70)-SUMIF(69:69,C10,70:70)+100</f>
        <v>100</v>
      </c>
      <c r="K10" s="88"/>
      <c r="L10" s="1743"/>
      <c r="M10" s="1640"/>
      <c r="N10" s="1640"/>
      <c r="O10" s="1640"/>
      <c r="P10" s="3615" t="s">
        <v>482</v>
      </c>
      <c r="Q10" s="3616"/>
      <c r="R10" s="1303" t="s">
        <v>5</v>
      </c>
      <c r="S10" s="1304">
        <f t="shared" si="0"/>
        <v>100</v>
      </c>
      <c r="T10" s="1303" t="s">
        <v>5</v>
      </c>
      <c r="U10" s="1304">
        <f t="shared" si="1"/>
        <v>100</v>
      </c>
      <c r="V10" s="1303" t="s">
        <v>5</v>
      </c>
      <c r="W10" s="1304">
        <f t="shared" si="2"/>
        <v>100</v>
      </c>
      <c r="X10" s="1305"/>
      <c r="Y10" s="3615" t="s">
        <v>482</v>
      </c>
      <c r="Z10" s="3616"/>
      <c r="AA10" s="997">
        <f t="shared" ref="AA10:AA42" si="3">D10/F10</f>
        <v>1</v>
      </c>
      <c r="AB10" s="997">
        <f t="shared" ref="AB10:AB42" si="4">D10/H10</f>
        <v>1</v>
      </c>
      <c r="AC10" s="997">
        <f t="shared" ref="AC10:AC42" si="5">D10/J10</f>
        <v>1</v>
      </c>
    </row>
    <row r="11" spans="1:29" s="1060" customFormat="1" ht="15">
      <c r="A11" s="2211"/>
      <c r="B11" s="2218" t="s">
        <v>2038</v>
      </c>
      <c r="C11" s="476"/>
      <c r="D11" s="154">
        <v>100</v>
      </c>
      <c r="E11" s="476"/>
      <c r="F11" s="154">
        <f>SUMIF(71:71,E11,72:72)-SUMIF(71:71,C11,72:72)+100</f>
        <v>100</v>
      </c>
      <c r="G11" s="476"/>
      <c r="H11" s="154">
        <f>SUMIF(71:71,G11,72:72)-SUMIF(71:71,C11,72:72)+100</f>
        <v>100</v>
      </c>
      <c r="I11" s="476"/>
      <c r="J11" s="154">
        <f>SUMIF(71:71,I11,72:72)-SUMIF(71:71,C11,72:72)+100</f>
        <v>100</v>
      </c>
      <c r="K11" s="88"/>
      <c r="L11" s="1743"/>
      <c r="M11" s="1640"/>
      <c r="N11" s="1640"/>
      <c r="O11" s="1744"/>
      <c r="P11" s="3623" t="s">
        <v>484</v>
      </c>
      <c r="Q11" s="818" t="str">
        <f t="shared" ref="Q11:Q17" si="6">B11</f>
        <v>用途</v>
      </c>
      <c r="R11" s="1303" t="s">
        <v>5</v>
      </c>
      <c r="S11" s="1304">
        <f t="shared" si="0"/>
        <v>100</v>
      </c>
      <c r="T11" s="1303" t="s">
        <v>5</v>
      </c>
      <c r="U11" s="1304">
        <f t="shared" si="1"/>
        <v>100</v>
      </c>
      <c r="V11" s="1303" t="s">
        <v>5</v>
      </c>
      <c r="W11" s="1304">
        <f t="shared" si="2"/>
        <v>100</v>
      </c>
      <c r="X11" s="1305"/>
      <c r="Y11" s="3575" t="s">
        <v>485</v>
      </c>
      <c r="Z11" s="997" t="str">
        <f t="shared" ref="Z11:Z17" si="7">Q11</f>
        <v>用途</v>
      </c>
      <c r="AA11" s="997">
        <f t="shared" si="3"/>
        <v>1</v>
      </c>
      <c r="AB11" s="997">
        <f t="shared" si="4"/>
        <v>1</v>
      </c>
      <c r="AC11" s="997">
        <f t="shared" si="5"/>
        <v>1</v>
      </c>
    </row>
    <row r="12" spans="1:29" s="1133" customFormat="1" ht="27">
      <c r="A12" s="2212"/>
      <c r="B12" s="2217" t="s">
        <v>2039</v>
      </c>
      <c r="C12" s="478">
        <v>50</v>
      </c>
      <c r="D12" s="235">
        <v>100</v>
      </c>
      <c r="E12" s="478">
        <v>50</v>
      </c>
      <c r="F12" s="235">
        <v>100</v>
      </c>
      <c r="G12" s="478">
        <v>50</v>
      </c>
      <c r="H12" s="235">
        <f>F12</f>
        <v>100</v>
      </c>
      <c r="I12" s="478">
        <v>50</v>
      </c>
      <c r="J12" s="235">
        <f>F12</f>
        <v>100</v>
      </c>
      <c r="K12" s="481"/>
      <c r="L12" s="1745"/>
      <c r="M12" s="1778"/>
      <c r="N12" s="1778"/>
      <c r="O12" s="1746"/>
      <c r="P12" s="3623"/>
      <c r="Q12" s="818" t="str">
        <f t="shared" si="6"/>
        <v>土地使用年限（年）</v>
      </c>
      <c r="R12" s="1303" t="s">
        <v>5</v>
      </c>
      <c r="S12" s="1304">
        <f t="shared" si="0"/>
        <v>100</v>
      </c>
      <c r="T12" s="1303" t="s">
        <v>5</v>
      </c>
      <c r="U12" s="1304">
        <f t="shared" si="1"/>
        <v>100</v>
      </c>
      <c r="V12" s="1303" t="s">
        <v>5</v>
      </c>
      <c r="W12" s="1304">
        <f t="shared" si="2"/>
        <v>100</v>
      </c>
      <c r="X12" s="1305"/>
      <c r="Y12" s="3575"/>
      <c r="Z12" s="997" t="str">
        <f t="shared" si="7"/>
        <v>土地使用年限（年）</v>
      </c>
      <c r="AA12" s="997">
        <f t="shared" si="3"/>
        <v>1</v>
      </c>
      <c r="AB12" s="997">
        <f t="shared" si="4"/>
        <v>1</v>
      </c>
      <c r="AC12" s="997">
        <f t="shared" si="5"/>
        <v>1</v>
      </c>
    </row>
    <row r="13" spans="1:29" ht="15">
      <c r="A13" s="2213"/>
      <c r="B13" s="2217" t="s">
        <v>2040</v>
      </c>
      <c r="C13" s="483">
        <v>1</v>
      </c>
      <c r="D13" s="235">
        <v>100</v>
      </c>
      <c r="E13" s="483">
        <v>1</v>
      </c>
      <c r="F13" s="235">
        <f>LOOKUP(E13,76:76,77:77)-LOOKUP(C13,76:76,77:77)+100</f>
        <v>100</v>
      </c>
      <c r="G13" s="484">
        <v>1</v>
      </c>
      <c r="H13" s="235">
        <f>LOOKUP(G13,76:76,77:77)-LOOKUP(C13,76:76,77:77)+100</f>
        <v>100</v>
      </c>
      <c r="I13" s="483">
        <v>1</v>
      </c>
      <c r="J13" s="235">
        <f>LOOKUP(I13,76:76,77:77)-LOOKUP(C13,76:76,77:77)+100</f>
        <v>100</v>
      </c>
      <c r="K13" s="485">
        <v>3</v>
      </c>
      <c r="L13" s="1747"/>
      <c r="M13" s="1742"/>
      <c r="N13" s="1742"/>
      <c r="O13" s="1748"/>
      <c r="P13" s="3623"/>
      <c r="Q13" s="818" t="str">
        <f t="shared" si="6"/>
        <v>容积率</v>
      </c>
      <c r="R13" s="1303" t="s">
        <v>5</v>
      </c>
      <c r="S13" s="1304">
        <f t="shared" si="0"/>
        <v>100</v>
      </c>
      <c r="T13" s="1303" t="s">
        <v>5</v>
      </c>
      <c r="U13" s="1304">
        <f t="shared" si="1"/>
        <v>100</v>
      </c>
      <c r="V13" s="1303" t="s">
        <v>5</v>
      </c>
      <c r="W13" s="1304">
        <f t="shared" si="2"/>
        <v>100</v>
      </c>
      <c r="X13" s="1305"/>
      <c r="Y13" s="3575"/>
      <c r="Z13" s="997" t="str">
        <f t="shared" si="7"/>
        <v>容积率</v>
      </c>
      <c r="AA13" s="997">
        <f t="shared" si="3"/>
        <v>1</v>
      </c>
      <c r="AB13" s="997">
        <f t="shared" si="4"/>
        <v>1</v>
      </c>
      <c r="AC13" s="997">
        <f t="shared" si="5"/>
        <v>1</v>
      </c>
    </row>
    <row r="14" spans="1:29" s="1060" customFormat="1" ht="15">
      <c r="A14" s="2214"/>
      <c r="B14" s="2220">
        <v>111</v>
      </c>
      <c r="C14" s="478"/>
      <c r="D14" s="488">
        <v>100</v>
      </c>
      <c r="E14" s="491"/>
      <c r="F14" s="235">
        <f>SUMIF(78:78,E14,79:79)-SUMIF(78:78,C14,79:79)+100</f>
        <v>100</v>
      </c>
      <c r="G14" s="492"/>
      <c r="H14" s="235">
        <f>SUMIF(78:78,G14,79:79)-SUMIF(78:78,C14,79:79)+100</f>
        <v>100</v>
      </c>
      <c r="I14" s="491"/>
      <c r="J14" s="235">
        <f>SUMIF(78:78,I14,79:79)-SUMIF(78:78,C14,79:79)+100</f>
        <v>100</v>
      </c>
      <c r="K14" s="481"/>
      <c r="L14" s="1743"/>
      <c r="M14" s="1640"/>
      <c r="N14" s="1640"/>
      <c r="O14" s="1744"/>
      <c r="P14" s="3623"/>
      <c r="Q14" s="818">
        <f t="shared" si="6"/>
        <v>111</v>
      </c>
      <c r="R14" s="1303" t="s">
        <v>5</v>
      </c>
      <c r="S14" s="1304">
        <f t="shared" si="0"/>
        <v>100</v>
      </c>
      <c r="T14" s="1303" t="s">
        <v>5</v>
      </c>
      <c r="U14" s="1304">
        <f t="shared" si="1"/>
        <v>100</v>
      </c>
      <c r="V14" s="1303" t="s">
        <v>5</v>
      </c>
      <c r="W14" s="1304">
        <f t="shared" si="2"/>
        <v>100</v>
      </c>
      <c r="X14" s="1305"/>
      <c r="Y14" s="3575"/>
      <c r="Z14" s="997">
        <f t="shared" si="7"/>
        <v>111</v>
      </c>
      <c r="AA14" s="997">
        <f>D14/F14</f>
        <v>1</v>
      </c>
      <c r="AB14" s="997">
        <f>D14/H14</f>
        <v>1</v>
      </c>
      <c r="AC14" s="997">
        <f>D14/J14</f>
        <v>1</v>
      </c>
    </row>
    <row r="15" spans="1:29" ht="15">
      <c r="A15" s="2214"/>
      <c r="B15" s="2220">
        <v>111</v>
      </c>
      <c r="C15" s="489"/>
      <c r="D15" s="490">
        <v>100</v>
      </c>
      <c r="E15" s="491"/>
      <c r="F15" s="235">
        <f>SUMIF(80:80,E15,81:81)-SUMIF(80:80,C15,81:81)+100</f>
        <v>100</v>
      </c>
      <c r="G15" s="492"/>
      <c r="H15" s="490">
        <f>SUMIF(80:80,G15,81:81)-SUMIF(80:80,C15,81:81)+100</f>
        <v>100</v>
      </c>
      <c r="I15" s="491"/>
      <c r="J15" s="490">
        <f>SUMIF(80:80,I15,81:81)-SUMIF(80:80,C15,81:81)+100</f>
        <v>100</v>
      </c>
      <c r="K15" s="481"/>
      <c r="L15" s="1749"/>
      <c r="M15" s="1742"/>
      <c r="N15" s="1742"/>
      <c r="O15" s="1748"/>
      <c r="P15" s="3623"/>
      <c r="Q15" s="818">
        <f t="shared" si="6"/>
        <v>111</v>
      </c>
      <c r="R15" s="1303" t="s">
        <v>5</v>
      </c>
      <c r="S15" s="1304">
        <f t="shared" si="0"/>
        <v>100</v>
      </c>
      <c r="T15" s="1303" t="s">
        <v>5</v>
      </c>
      <c r="U15" s="1304">
        <f t="shared" si="1"/>
        <v>100</v>
      </c>
      <c r="V15" s="1303" t="s">
        <v>5</v>
      </c>
      <c r="W15" s="1304">
        <f t="shared" si="2"/>
        <v>100</v>
      </c>
      <c r="X15" s="1305"/>
      <c r="Y15" s="3575"/>
      <c r="Z15" s="997">
        <f t="shared" si="7"/>
        <v>111</v>
      </c>
      <c r="AA15" s="997">
        <f t="shared" si="3"/>
        <v>1</v>
      </c>
      <c r="AB15" s="997">
        <f t="shared" si="4"/>
        <v>1</v>
      </c>
      <c r="AC15" s="997">
        <f t="shared" si="5"/>
        <v>1</v>
      </c>
    </row>
    <row r="16" spans="1:29" ht="15.75" thickBot="1">
      <c r="A16" s="2215"/>
      <c r="B16" s="2221">
        <v>111</v>
      </c>
      <c r="C16" s="495"/>
      <c r="D16" s="496">
        <v>100</v>
      </c>
      <c r="E16" s="491"/>
      <c r="F16" s="496">
        <f>SUMIF(82:82,E16,83:83)-SUMIF(82:82,C16,83:83)+100</f>
        <v>100</v>
      </c>
      <c r="G16" s="492"/>
      <c r="H16" s="496">
        <f>SUMIF(82:82,G16,83:83)-SUMIF(82:82,C16,83:83)+100</f>
        <v>100</v>
      </c>
      <c r="I16" s="491"/>
      <c r="J16" s="496">
        <f>SUMIF(82:82,I16,83:83)-SUMIF(82:82,C16,83:83)+100</f>
        <v>100</v>
      </c>
      <c r="K16" s="481"/>
      <c r="L16" s="1749"/>
      <c r="M16" s="1742"/>
      <c r="N16" s="1742"/>
      <c r="O16" s="1748"/>
      <c r="P16" s="3623"/>
      <c r="Q16" s="818">
        <f t="shared" si="6"/>
        <v>111</v>
      </c>
      <c r="R16" s="1303" t="s">
        <v>5</v>
      </c>
      <c r="S16" s="1304">
        <f t="shared" si="0"/>
        <v>100</v>
      </c>
      <c r="T16" s="1303" t="s">
        <v>5</v>
      </c>
      <c r="U16" s="1304">
        <f t="shared" si="1"/>
        <v>100</v>
      </c>
      <c r="V16" s="1303" t="s">
        <v>5</v>
      </c>
      <c r="W16" s="1304">
        <f t="shared" si="2"/>
        <v>100</v>
      </c>
      <c r="X16" s="1305"/>
      <c r="Y16" s="3575"/>
      <c r="Z16" s="997">
        <f t="shared" si="7"/>
        <v>111</v>
      </c>
      <c r="AA16" s="997">
        <f t="shared" si="3"/>
        <v>1</v>
      </c>
      <c r="AB16" s="997">
        <f t="shared" si="4"/>
        <v>1</v>
      </c>
      <c r="AC16" s="997">
        <f t="shared" si="5"/>
        <v>1</v>
      </c>
    </row>
    <row r="17" spans="1:29" ht="57">
      <c r="A17" s="2207" t="s">
        <v>2036</v>
      </c>
      <c r="B17" s="150" t="s">
        <v>546</v>
      </c>
      <c r="C17" s="843" t="str">
        <f>估价对象房地状况!G15</f>
        <v>估价对象位于XX开发区，园区建设成熟度XX，产业集聚程度XX</v>
      </c>
      <c r="D17" s="499">
        <v>100</v>
      </c>
      <c r="E17" s="500"/>
      <c r="F17" s="499">
        <f>SUMIF(84:84,E18,85:85)-SUMIF(84:84,C18,85:85)+100</f>
        <v>96</v>
      </c>
      <c r="G17" s="500"/>
      <c r="H17" s="499">
        <f>SUMIF(84:84,G18,85:85)-SUMIF(84:84,C18,85:85)+100</f>
        <v>96</v>
      </c>
      <c r="I17" s="502"/>
      <c r="J17" s="499">
        <f>SUMIF(84:84,I18,85:85)-SUMIF(84:84,C18,85:85)+100</f>
        <v>96</v>
      </c>
      <c r="K17" s="485">
        <v>2</v>
      </c>
      <c r="L17" s="1749"/>
      <c r="M17" s="1742"/>
      <c r="N17" s="1742"/>
      <c r="O17" s="1748"/>
      <c r="P17" s="3625" t="s">
        <v>489</v>
      </c>
      <c r="Q17" s="1306" t="str">
        <f t="shared" si="6"/>
        <v>产业集聚程度</v>
      </c>
      <c r="R17" s="1307" t="s">
        <v>5</v>
      </c>
      <c r="S17" s="1308">
        <f t="shared" si="0"/>
        <v>96</v>
      </c>
      <c r="T17" s="1307" t="s">
        <v>5</v>
      </c>
      <c r="U17" s="1308">
        <f t="shared" si="1"/>
        <v>96</v>
      </c>
      <c r="V17" s="1307" t="s">
        <v>5</v>
      </c>
      <c r="W17" s="1308">
        <f t="shared" si="2"/>
        <v>96</v>
      </c>
      <c r="X17" s="1302"/>
      <c r="Y17" s="3625" t="s">
        <v>489</v>
      </c>
      <c r="Z17" s="1309" t="str">
        <f t="shared" si="7"/>
        <v>产业集聚程度</v>
      </c>
      <c r="AA17" s="1309">
        <f t="shared" si="3"/>
        <v>1.0416666666666667</v>
      </c>
      <c r="AB17" s="1309">
        <f t="shared" si="4"/>
        <v>1.0416666666666667</v>
      </c>
      <c r="AC17" s="1309">
        <f t="shared" si="5"/>
        <v>1.0416666666666667</v>
      </c>
    </row>
    <row r="18" spans="1:29" ht="15">
      <c r="A18" s="482"/>
      <c r="B18" s="799"/>
      <c r="C18" s="526" t="s">
        <v>3279</v>
      </c>
      <c r="D18" s="505"/>
      <c r="E18" s="504" t="s">
        <v>3278</v>
      </c>
      <c r="F18" s="505"/>
      <c r="G18" s="504" t="s">
        <v>3278</v>
      </c>
      <c r="H18" s="509"/>
      <c r="I18" s="504" t="s">
        <v>3278</v>
      </c>
      <c r="J18" s="505"/>
      <c r="K18" s="481"/>
      <c r="L18" s="1749"/>
      <c r="M18" s="1742"/>
      <c r="N18" s="1742"/>
      <c r="O18" s="1748"/>
      <c r="P18" s="3626"/>
      <c r="Q18" s="1306"/>
      <c r="R18" s="1307"/>
      <c r="S18" s="1308"/>
      <c r="T18" s="1307"/>
      <c r="U18" s="1308"/>
      <c r="V18" s="1307"/>
      <c r="W18" s="1308"/>
      <c r="X18" s="1302"/>
      <c r="Y18" s="3626"/>
      <c r="Z18" s="1309"/>
      <c r="AA18" s="1309">
        <v>1</v>
      </c>
      <c r="AB18" s="1309">
        <v>1</v>
      </c>
      <c r="AC18" s="1309">
        <v>1</v>
      </c>
    </row>
    <row r="19" spans="1:29" ht="85.5">
      <c r="A19" s="482"/>
      <c r="B19" s="677" t="s">
        <v>492</v>
      </c>
      <c r="C19" s="801" t="str">
        <f>估价对象房地状况!G16</f>
        <v>估价对象周边道路状况、公共交通通达情况、停车便捷程度，综合评价交通便捷度较好</v>
      </c>
      <c r="D19" s="509">
        <v>100</v>
      </c>
      <c r="E19" s="512"/>
      <c r="F19" s="515">
        <f>SUMIF(86:86,E20,87:87)-SUMIF(86:86,C20,87:87)+100</f>
        <v>102</v>
      </c>
      <c r="G19" s="512"/>
      <c r="H19" s="515">
        <f>SUMIF(86:86,G20,87:87)-SUMIF(86:86,C20,87:87)+100</f>
        <v>102</v>
      </c>
      <c r="I19" s="514"/>
      <c r="J19" s="509">
        <f>SUMIF(86:86,I20,87:87)-SUMIF(86:86,C20,87:87)+100</f>
        <v>100</v>
      </c>
      <c r="K19" s="485">
        <v>2</v>
      </c>
      <c r="L19" s="1749"/>
      <c r="M19" s="1742"/>
      <c r="N19" s="1742"/>
      <c r="O19" s="1748"/>
      <c r="P19" s="3626"/>
      <c r="Q19" s="1306" t="str">
        <f>B19</f>
        <v>交通便捷度</v>
      </c>
      <c r="R19" s="1307" t="s">
        <v>5</v>
      </c>
      <c r="S19" s="1308">
        <f>F19</f>
        <v>102</v>
      </c>
      <c r="T19" s="1307" t="s">
        <v>5</v>
      </c>
      <c r="U19" s="1308">
        <f>H19</f>
        <v>102</v>
      </c>
      <c r="V19" s="1307" t="s">
        <v>5</v>
      </c>
      <c r="W19" s="1308">
        <f>J19</f>
        <v>100</v>
      </c>
      <c r="X19" s="1302"/>
      <c r="Y19" s="3626"/>
      <c r="Z19" s="1309" t="str">
        <f>Q19</f>
        <v>交通便捷度</v>
      </c>
      <c r="AA19" s="1309">
        <f t="shared" si="3"/>
        <v>0.98039215686274506</v>
      </c>
      <c r="AB19" s="1309">
        <f t="shared" si="4"/>
        <v>0.98039215686274506</v>
      </c>
      <c r="AC19" s="1309">
        <f t="shared" si="5"/>
        <v>1</v>
      </c>
    </row>
    <row r="20" spans="1:29" ht="15">
      <c r="A20" s="482"/>
      <c r="B20" s="844"/>
      <c r="C20" s="526" t="s">
        <v>3277</v>
      </c>
      <c r="D20" s="505"/>
      <c r="E20" s="506" t="s">
        <v>3279</v>
      </c>
      <c r="F20" s="505"/>
      <c r="G20" s="506" t="s">
        <v>3279</v>
      </c>
      <c r="H20" s="505"/>
      <c r="I20" s="506" t="s">
        <v>3277</v>
      </c>
      <c r="J20" s="505"/>
      <c r="K20" s="481"/>
      <c r="L20" s="1749"/>
      <c r="M20" s="1742"/>
      <c r="N20" s="1742"/>
      <c r="O20" s="1748"/>
      <c r="P20" s="3626"/>
      <c r="Q20" s="1306"/>
      <c r="R20" s="1307"/>
      <c r="S20" s="1308"/>
      <c r="T20" s="1307"/>
      <c r="U20" s="1308"/>
      <c r="V20" s="1307"/>
      <c r="W20" s="1308"/>
      <c r="X20" s="1302"/>
      <c r="Y20" s="3626"/>
      <c r="Z20" s="1309"/>
      <c r="AA20" s="1309">
        <v>1</v>
      </c>
      <c r="AB20" s="1309">
        <v>1</v>
      </c>
      <c r="AC20" s="1309">
        <v>1</v>
      </c>
    </row>
    <row r="21" spans="1:29" ht="27">
      <c r="A21" s="466"/>
      <c r="B21" s="677" t="s">
        <v>493</v>
      </c>
      <c r="C21" s="801">
        <f>估价对象房地状况!G17</f>
        <v>0</v>
      </c>
      <c r="D21" s="509">
        <v>100</v>
      </c>
      <c r="E21" s="512"/>
      <c r="F21" s="513">
        <f>SUMIF(88:88,E22,89:89)-SUMIF(88:88,C22,89:89)+100</f>
        <v>100</v>
      </c>
      <c r="G21" s="514"/>
      <c r="H21" s="513">
        <f>SUMIF(88:88,G22,89:89)-SUMIF(88:88,C22,89:89)+100</f>
        <v>100</v>
      </c>
      <c r="I21" s="514"/>
      <c r="J21" s="513">
        <f>SUMIF(88:88,I22,89:89)-SUMIF(88:88,C22,89:89)+100</f>
        <v>100</v>
      </c>
      <c r="K21" s="920">
        <v>1</v>
      </c>
      <c r="L21" s="1749"/>
      <c r="M21" s="1742"/>
      <c r="N21" s="1742"/>
      <c r="O21" s="1748"/>
      <c r="P21" s="3626"/>
      <c r="Q21" s="1306" t="str">
        <f t="shared" ref="Q21:Q35" si="8">B21</f>
        <v>区域土地利用方向</v>
      </c>
      <c r="R21" s="1307" t="s">
        <v>5</v>
      </c>
      <c r="S21" s="1308">
        <f>F21</f>
        <v>100</v>
      </c>
      <c r="T21" s="1307" t="s">
        <v>5</v>
      </c>
      <c r="U21" s="1308">
        <f>H21</f>
        <v>100</v>
      </c>
      <c r="V21" s="1307" t="s">
        <v>5</v>
      </c>
      <c r="W21" s="1308">
        <f>J21</f>
        <v>100</v>
      </c>
      <c r="X21" s="1302"/>
      <c r="Y21" s="3626"/>
      <c r="Z21" s="1309" t="str">
        <f>Q21</f>
        <v>区域土地利用方向</v>
      </c>
      <c r="AA21" s="1309">
        <f t="shared" si="3"/>
        <v>1</v>
      </c>
      <c r="AB21" s="1309">
        <f t="shared" si="4"/>
        <v>1</v>
      </c>
      <c r="AC21" s="1309">
        <f t="shared" si="5"/>
        <v>1</v>
      </c>
    </row>
    <row r="22" spans="1:29" ht="15">
      <c r="A22" s="466"/>
      <c r="B22" s="544"/>
      <c r="C22" s="526" t="s">
        <v>3276</v>
      </c>
      <c r="D22" s="505"/>
      <c r="E22" s="526" t="s">
        <v>3276</v>
      </c>
      <c r="F22" s="507"/>
      <c r="G22" s="526" t="s">
        <v>3276</v>
      </c>
      <c r="H22" s="507"/>
      <c r="I22" s="526" t="s">
        <v>3276</v>
      </c>
      <c r="J22" s="507"/>
      <c r="K22" s="1142"/>
      <c r="L22" s="1749"/>
      <c r="M22" s="1742"/>
      <c r="N22" s="1742"/>
      <c r="O22" s="1748"/>
      <c r="P22" s="3626"/>
      <c r="Q22" s="1306"/>
      <c r="R22" s="1307"/>
      <c r="S22" s="1308"/>
      <c r="T22" s="1307"/>
      <c r="U22" s="1308"/>
      <c r="V22" s="1307"/>
      <c r="W22" s="1308"/>
      <c r="X22" s="1302"/>
      <c r="Y22" s="3626"/>
      <c r="Z22" s="1309"/>
      <c r="AA22" s="1309"/>
      <c r="AB22" s="1309"/>
      <c r="AC22" s="1309"/>
    </row>
    <row r="23" spans="1:29" ht="71.25">
      <c r="A23" s="466"/>
      <c r="B23" s="844" t="s">
        <v>547</v>
      </c>
      <c r="C23" s="801" t="str">
        <f>估价对象房地状况!G18</f>
        <v>该园区内是否有污染型企业，绿化情况，卫生条件，整体环境状况判断</v>
      </c>
      <c r="D23" s="509">
        <v>100</v>
      </c>
      <c r="E23" s="512"/>
      <c r="F23" s="509">
        <f>SUMIF(90:90,E24,91:91)-SUMIF(90:90,C24,91:91)+100</f>
        <v>100</v>
      </c>
      <c r="G23" s="512"/>
      <c r="H23" s="509">
        <f>SUMIF(90:90,G24,91:91)-SUMIF(90:90,C24,91:91)+100</f>
        <v>100</v>
      </c>
      <c r="I23" s="514"/>
      <c r="J23" s="509">
        <f>SUMIF(90:90,I24,91:91)-SUMIF(90:90,C24,91:91)+100</f>
        <v>100</v>
      </c>
      <c r="K23" s="485">
        <v>1</v>
      </c>
      <c r="L23" s="1749"/>
      <c r="M23" s="1742"/>
      <c r="N23" s="1742"/>
      <c r="O23" s="1748"/>
      <c r="P23" s="3626"/>
      <c r="Q23" s="1306" t="str">
        <f t="shared" si="8"/>
        <v>环境状况</v>
      </c>
      <c r="R23" s="1307" t="s">
        <v>5</v>
      </c>
      <c r="S23" s="1308">
        <f>F23</f>
        <v>100</v>
      </c>
      <c r="T23" s="1307" t="s">
        <v>5</v>
      </c>
      <c r="U23" s="1308">
        <f>H23</f>
        <v>100</v>
      </c>
      <c r="V23" s="1307" t="s">
        <v>5</v>
      </c>
      <c r="W23" s="1308">
        <f>J23</f>
        <v>100</v>
      </c>
      <c r="X23" s="1302"/>
      <c r="Y23" s="3626"/>
      <c r="Z23" s="1309" t="str">
        <f>Q23</f>
        <v>环境状况</v>
      </c>
      <c r="AA23" s="1309">
        <f t="shared" si="3"/>
        <v>1</v>
      </c>
      <c r="AB23" s="1309">
        <f t="shared" si="4"/>
        <v>1</v>
      </c>
      <c r="AC23" s="1309">
        <f t="shared" si="5"/>
        <v>1</v>
      </c>
    </row>
    <row r="24" spans="1:29" ht="15">
      <c r="A24" s="466"/>
      <c r="B24" s="544"/>
      <c r="C24" s="526" t="s">
        <v>3279</v>
      </c>
      <c r="D24" s="505"/>
      <c r="E24" s="504" t="s">
        <v>3279</v>
      </c>
      <c r="F24" s="505"/>
      <c r="G24" s="504" t="s">
        <v>3279</v>
      </c>
      <c r="H24" s="505"/>
      <c r="I24" s="504" t="s">
        <v>3279</v>
      </c>
      <c r="J24" s="505"/>
      <c r="K24" s="481"/>
      <c r="L24" s="1749"/>
      <c r="M24" s="1742"/>
      <c r="N24" s="1742"/>
      <c r="O24" s="1748"/>
      <c r="P24" s="3626"/>
      <c r="Q24" s="1306"/>
      <c r="R24" s="1307"/>
      <c r="S24" s="1308"/>
      <c r="T24" s="1307"/>
      <c r="U24" s="1308"/>
      <c r="V24" s="1307"/>
      <c r="W24" s="1308"/>
      <c r="X24" s="1302"/>
      <c r="Y24" s="3626"/>
      <c r="Z24" s="1309"/>
      <c r="AA24" s="1309">
        <v>1</v>
      </c>
      <c r="AB24" s="1309">
        <v>1</v>
      </c>
      <c r="AC24" s="1309">
        <v>1</v>
      </c>
    </row>
    <row r="25" spans="1:29" s="1060" customFormat="1" ht="42.75">
      <c r="A25" s="527"/>
      <c r="B25" s="2052" t="s">
        <v>1831</v>
      </c>
      <c r="C25" s="801" t="str">
        <f>估价对象房地状况!G19</f>
        <v>估价对象所在区域公共配套设施齐备情况</v>
      </c>
      <c r="D25" s="509">
        <v>100</v>
      </c>
      <c r="E25" s="512"/>
      <c r="F25" s="509">
        <f>SUMIF(92:92,E26,93:93)-SUMIF(92:92,C26,93:93)+100</f>
        <v>100</v>
      </c>
      <c r="G25" s="512"/>
      <c r="H25" s="509">
        <f>SUMIF(92:92,G26,93:93)-SUMIF(92:92,C26,93:93)+100</f>
        <v>100</v>
      </c>
      <c r="I25" s="514"/>
      <c r="J25" s="509">
        <f>SUMIF(92:92,I26,93:93)-SUMIF(92:92,C26,93:93)+100</f>
        <v>100</v>
      </c>
      <c r="K25" s="485"/>
      <c r="L25" s="1743"/>
      <c r="M25" s="1640"/>
      <c r="N25" s="1640"/>
      <c r="O25" s="1744"/>
      <c r="P25" s="3626"/>
      <c r="Q25" s="818" t="str">
        <f t="shared" si="8"/>
        <v>公共配套设施</v>
      </c>
      <c r="R25" s="1303" t="s">
        <v>5</v>
      </c>
      <c r="S25" s="1304">
        <f>F25</f>
        <v>100</v>
      </c>
      <c r="T25" s="1303" t="s">
        <v>5</v>
      </c>
      <c r="U25" s="1304">
        <f>H25</f>
        <v>100</v>
      </c>
      <c r="V25" s="1303" t="s">
        <v>5</v>
      </c>
      <c r="W25" s="1304">
        <f>J25</f>
        <v>100</v>
      </c>
      <c r="X25" s="1305"/>
      <c r="Y25" s="3626"/>
      <c r="Z25" s="997" t="str">
        <f>Q25</f>
        <v>公共配套设施</v>
      </c>
      <c r="AA25" s="1309">
        <f>D25/F25</f>
        <v>1</v>
      </c>
      <c r="AB25" s="1309">
        <f>D25/H25</f>
        <v>1</v>
      </c>
      <c r="AC25" s="1309">
        <f>D25/J25</f>
        <v>1</v>
      </c>
    </row>
    <row r="26" spans="1:29" s="1060" customFormat="1" ht="15">
      <c r="A26" s="527"/>
      <c r="B26" s="544"/>
      <c r="C26" s="2051" t="s">
        <v>3277</v>
      </c>
      <c r="D26" s="505"/>
      <c r="E26" s="2051" t="s">
        <v>3279</v>
      </c>
      <c r="F26" s="505"/>
      <c r="G26" s="2051" t="s">
        <v>3279</v>
      </c>
      <c r="H26" s="505"/>
      <c r="I26" s="2051" t="s">
        <v>3279</v>
      </c>
      <c r="J26" s="505"/>
      <c r="K26" s="481"/>
      <c r="L26" s="1743"/>
      <c r="M26" s="1640"/>
      <c r="N26" s="1640"/>
      <c r="O26" s="1744"/>
      <c r="P26" s="3626"/>
      <c r="Q26" s="818"/>
      <c r="R26" s="1303"/>
      <c r="S26" s="1304"/>
      <c r="T26" s="1303"/>
      <c r="U26" s="1304"/>
      <c r="V26" s="1303"/>
      <c r="W26" s="1304"/>
      <c r="X26" s="1305"/>
      <c r="Y26" s="3626"/>
      <c r="Z26" s="997"/>
      <c r="AA26" s="997">
        <v>1</v>
      </c>
      <c r="AB26" s="997">
        <v>1</v>
      </c>
      <c r="AC26" s="997">
        <v>1</v>
      </c>
    </row>
    <row r="27" spans="1:29" s="1060" customFormat="1" ht="28.5">
      <c r="A27" s="527"/>
      <c r="B27" s="2052" t="s">
        <v>1832</v>
      </c>
      <c r="C27" s="801" t="str">
        <f>估价对象房地状况!G20</f>
        <v>估价对象所在区域基础设施水平</v>
      </c>
      <c r="D27" s="509">
        <v>100</v>
      </c>
      <c r="E27" s="512"/>
      <c r="F27" s="509">
        <f>SUMIF(94:94,E28,95:95)-SUMIF(94:94,C28,95:95)+100</f>
        <v>96</v>
      </c>
      <c r="G27" s="512"/>
      <c r="H27" s="509">
        <f>SUMIF(94:94,G28,95:95)-SUMIF(94:94,C28,95:95)+100</f>
        <v>99</v>
      </c>
      <c r="I27" s="514"/>
      <c r="J27" s="509">
        <f>SUMIF(94:94,I28,95:95)-SUMIF(94:94,C28,95:95)+100</f>
        <v>97</v>
      </c>
      <c r="K27" s="485">
        <v>1</v>
      </c>
      <c r="L27" s="1743"/>
      <c r="M27" s="1640"/>
      <c r="N27" s="1640"/>
      <c r="O27" s="1744"/>
      <c r="P27" s="3626"/>
      <c r="Q27" s="818" t="str">
        <f>B27</f>
        <v>基础设施水平</v>
      </c>
      <c r="R27" s="1303" t="s">
        <v>5</v>
      </c>
      <c r="S27" s="1304">
        <f>F27</f>
        <v>96</v>
      </c>
      <c r="T27" s="1303" t="s">
        <v>5</v>
      </c>
      <c r="U27" s="1304">
        <f>H27</f>
        <v>99</v>
      </c>
      <c r="V27" s="1303" t="s">
        <v>5</v>
      </c>
      <c r="W27" s="1304">
        <f>J27</f>
        <v>97</v>
      </c>
      <c r="X27" s="1305"/>
      <c r="Y27" s="3626"/>
      <c r="Z27" s="997" t="str">
        <f>Q27</f>
        <v>基础设施水平</v>
      </c>
      <c r="AA27" s="1309">
        <f>D27/F27</f>
        <v>1.0416666666666667</v>
      </c>
      <c r="AB27" s="1309">
        <f>D27/H27</f>
        <v>1.0101010101010102</v>
      </c>
      <c r="AC27" s="1309">
        <f>D27/J27</f>
        <v>1.0309278350515463</v>
      </c>
    </row>
    <row r="28" spans="1:29" s="1060" customFormat="1" ht="15">
      <c r="A28" s="527"/>
      <c r="B28" s="544"/>
      <c r="C28" s="2051" t="s">
        <v>3348</v>
      </c>
      <c r="D28" s="505"/>
      <c r="E28" s="529" t="s">
        <v>3465</v>
      </c>
      <c r="F28" s="505"/>
      <c r="G28" s="529" t="s">
        <v>3351</v>
      </c>
      <c r="H28" s="505"/>
      <c r="I28" s="529" t="s">
        <v>3482</v>
      </c>
      <c r="J28" s="505"/>
      <c r="K28" s="481"/>
      <c r="L28" s="1743"/>
      <c r="M28" s="1640"/>
      <c r="N28" s="1640"/>
      <c r="O28" s="1744"/>
      <c r="P28" s="3626"/>
      <c r="Q28" s="818"/>
      <c r="R28" s="1303"/>
      <c r="S28" s="1304"/>
      <c r="T28" s="1303"/>
      <c r="U28" s="1304"/>
      <c r="V28" s="1303"/>
      <c r="W28" s="1304"/>
      <c r="X28" s="1305"/>
      <c r="Y28" s="3626"/>
      <c r="Z28" s="997"/>
      <c r="AA28" s="997">
        <v>1</v>
      </c>
      <c r="AB28" s="997">
        <v>1</v>
      </c>
      <c r="AC28" s="997">
        <v>1</v>
      </c>
    </row>
    <row r="29" spans="1:29" ht="15">
      <c r="A29" s="482"/>
      <c r="B29" s="544" t="s">
        <v>496</v>
      </c>
      <c r="C29" s="532"/>
      <c r="D29" s="490">
        <v>100</v>
      </c>
      <c r="E29" s="530"/>
      <c r="F29" s="490">
        <f>SUMIF(96:96,E29,97:97)-SUMIF(96:96,C29,97:97)+100</f>
        <v>100</v>
      </c>
      <c r="G29" s="530"/>
      <c r="H29" s="490">
        <f>SUMIF(96:96,G29,97:97)-SUMIF(96:96,C29,97:97)+100</f>
        <v>100</v>
      </c>
      <c r="I29" s="530"/>
      <c r="J29" s="490">
        <f>SUMIF(96:96,I29,97:97)-SUMIF(96:96,C29,97:97)+100</f>
        <v>100</v>
      </c>
      <c r="K29" s="485"/>
      <c r="L29" s="1749"/>
      <c r="M29" s="1742"/>
      <c r="N29" s="1742"/>
      <c r="O29" s="1748"/>
      <c r="P29" s="3626"/>
      <c r="Q29" s="1306" t="str">
        <f t="shared" si="8"/>
        <v>临街状况</v>
      </c>
      <c r="R29" s="1307" t="s">
        <v>5</v>
      </c>
      <c r="S29" s="1308">
        <f t="shared" ref="S29:S42" si="9">F29</f>
        <v>100</v>
      </c>
      <c r="T29" s="1307" t="s">
        <v>5</v>
      </c>
      <c r="U29" s="1308">
        <f t="shared" ref="U29:U42" si="10">H29</f>
        <v>100</v>
      </c>
      <c r="V29" s="1307" t="s">
        <v>5</v>
      </c>
      <c r="W29" s="1308">
        <f t="shared" ref="W29:W42" si="11">J29</f>
        <v>100</v>
      </c>
      <c r="X29" s="1302"/>
      <c r="Y29" s="3626"/>
      <c r="Z29" s="1309" t="str">
        <f t="shared" ref="Z29:Z42" si="12">Q29</f>
        <v>临街状况</v>
      </c>
      <c r="AA29" s="1309">
        <f t="shared" si="3"/>
        <v>1</v>
      </c>
      <c r="AB29" s="1309">
        <f t="shared" si="4"/>
        <v>1</v>
      </c>
      <c r="AC29" s="1309">
        <f t="shared" si="5"/>
        <v>1</v>
      </c>
    </row>
    <row r="30" spans="1:29" ht="27">
      <c r="A30" s="482"/>
      <c r="B30" s="844" t="s">
        <v>497</v>
      </c>
      <c r="C30" s="2054">
        <f>估价对象房地状况!G22</f>
        <v>0</v>
      </c>
      <c r="D30" s="509">
        <v>100</v>
      </c>
      <c r="E30" s="512"/>
      <c r="F30" s="509">
        <f>SUMIF(98:98,E31,99:99)-SUMIF(98:98,C31,99:99)+100</f>
        <v>100</v>
      </c>
      <c r="G30" s="512"/>
      <c r="H30" s="509">
        <f>SUMIF(98:98,G31,99:99)-SUMIF(98:98,C31,99:99)+100</f>
        <v>100</v>
      </c>
      <c r="I30" s="514"/>
      <c r="J30" s="509">
        <f>SUMIF(98:98,I31,99:99)-SUMIF(98:98,C31,99:99)+100</f>
        <v>100</v>
      </c>
      <c r="K30" s="485"/>
      <c r="L30" s="1749"/>
      <c r="M30" s="1742"/>
      <c r="N30" s="1742"/>
      <c r="O30" s="1748"/>
      <c r="P30" s="3626"/>
      <c r="Q30" s="1306" t="str">
        <f t="shared" si="8"/>
        <v>毗邻道路的类型与等级</v>
      </c>
      <c r="R30" s="1307" t="s">
        <v>5</v>
      </c>
      <c r="S30" s="1308">
        <f t="shared" si="9"/>
        <v>100</v>
      </c>
      <c r="T30" s="1307" t="s">
        <v>5</v>
      </c>
      <c r="U30" s="1308">
        <f t="shared" si="10"/>
        <v>100</v>
      </c>
      <c r="V30" s="1307" t="s">
        <v>5</v>
      </c>
      <c r="W30" s="1308">
        <f t="shared" si="11"/>
        <v>100</v>
      </c>
      <c r="X30" s="1302"/>
      <c r="Y30" s="3626"/>
      <c r="Z30" s="1309" t="str">
        <f t="shared" si="12"/>
        <v>毗邻道路的类型与等级</v>
      </c>
      <c r="AA30" s="1309">
        <f t="shared" si="3"/>
        <v>1</v>
      </c>
      <c r="AB30" s="1309">
        <f t="shared" si="4"/>
        <v>1</v>
      </c>
      <c r="AC30" s="1309">
        <f t="shared" si="5"/>
        <v>1</v>
      </c>
    </row>
    <row r="31" spans="1:29" ht="15">
      <c r="A31" s="482"/>
      <c r="B31" s="544"/>
      <c r="C31" s="526"/>
      <c r="D31" s="505"/>
      <c r="E31" s="526"/>
      <c r="F31" s="505"/>
      <c r="G31" s="526"/>
      <c r="H31" s="505"/>
      <c r="I31" s="526"/>
      <c r="J31" s="505"/>
      <c r="K31" s="531"/>
      <c r="L31" s="1749"/>
      <c r="M31" s="1742"/>
      <c r="N31" s="1742"/>
      <c r="O31" s="1748"/>
      <c r="P31" s="3626"/>
      <c r="Q31" s="1306"/>
      <c r="R31" s="1307"/>
      <c r="S31" s="1308"/>
      <c r="T31" s="1307"/>
      <c r="U31" s="1308"/>
      <c r="V31" s="1307"/>
      <c r="W31" s="1308"/>
      <c r="X31" s="1302"/>
      <c r="Y31" s="3626"/>
      <c r="Z31" s="1309"/>
      <c r="AA31" s="1309">
        <v>1</v>
      </c>
      <c r="AB31" s="1309">
        <v>1</v>
      </c>
      <c r="AC31" s="1309">
        <v>1</v>
      </c>
    </row>
    <row r="32" spans="1:29" ht="15">
      <c r="A32" s="482"/>
      <c r="B32" s="477" t="s">
        <v>498</v>
      </c>
      <c r="C32" s="2055" t="str">
        <f>估价对象房地状况!G23</f>
        <v>六级</v>
      </c>
      <c r="D32" s="490">
        <v>100</v>
      </c>
      <c r="E32" s="530" t="s">
        <v>1152</v>
      </c>
      <c r="F32" s="490">
        <f>SUMIF(100:100,E32,101:101)-SUMIF(100:100,C32,101:101)+100</f>
        <v>102</v>
      </c>
      <c r="G32" s="530" t="s">
        <v>1153</v>
      </c>
      <c r="H32" s="490">
        <f>SUMIF(100:100,G32,101:101)-SUMIF(100:100,C32,101:101)+100</f>
        <v>100</v>
      </c>
      <c r="I32" s="530" t="s">
        <v>1153</v>
      </c>
      <c r="J32" s="490">
        <f>SUMIF(100:100,I32,101:101)-SUMIF(100:100,C32,101:101)+100</f>
        <v>100</v>
      </c>
      <c r="K32" s="533">
        <v>2</v>
      </c>
      <c r="L32" s="1749"/>
      <c r="M32" s="1742"/>
      <c r="N32" s="1742"/>
      <c r="O32" s="1748"/>
      <c r="P32" s="3626"/>
      <c r="Q32" s="1306" t="str">
        <f t="shared" si="8"/>
        <v>土地级别</v>
      </c>
      <c r="R32" s="1307" t="s">
        <v>5</v>
      </c>
      <c r="S32" s="1308">
        <f t="shared" si="9"/>
        <v>102</v>
      </c>
      <c r="T32" s="1307" t="s">
        <v>5</v>
      </c>
      <c r="U32" s="1308">
        <f t="shared" si="10"/>
        <v>100</v>
      </c>
      <c r="V32" s="1307" t="s">
        <v>5</v>
      </c>
      <c r="W32" s="1308">
        <f t="shared" si="11"/>
        <v>100</v>
      </c>
      <c r="X32" s="1302"/>
      <c r="Y32" s="3626"/>
      <c r="Z32" s="1309" t="str">
        <f t="shared" si="12"/>
        <v>土地级别</v>
      </c>
      <c r="AA32" s="1309">
        <f t="shared" si="3"/>
        <v>0.98039215686274506</v>
      </c>
      <c r="AB32" s="1309">
        <f t="shared" si="4"/>
        <v>1</v>
      </c>
      <c r="AC32" s="1309">
        <f t="shared" si="5"/>
        <v>1</v>
      </c>
    </row>
    <row r="33" spans="1:29" ht="15">
      <c r="A33" s="466"/>
      <c r="B33" s="91">
        <v>111</v>
      </c>
      <c r="C33" s="492"/>
      <c r="D33" s="490">
        <v>100</v>
      </c>
      <c r="E33" s="535"/>
      <c r="F33" s="490">
        <f>SUMIF(102:102,E33,103:103)-SUMIF(102:102,C33,103:103)+100</f>
        <v>100</v>
      </c>
      <c r="G33" s="535"/>
      <c r="H33" s="490">
        <f>SUMIF(102:102,G33,103:103)-SUMIF(102:102,C33,103:103)+100</f>
        <v>100</v>
      </c>
      <c r="I33" s="491"/>
      <c r="J33" s="490">
        <f>SUMIF(102:102,I33,103:103)-SUMIF(102:102,C33,103:103)+100</f>
        <v>100</v>
      </c>
      <c r="K33" s="531"/>
      <c r="L33" s="1749"/>
      <c r="M33" s="1742"/>
      <c r="N33" s="1742"/>
      <c r="O33" s="1748"/>
      <c r="P33" s="3626"/>
      <c r="Q33" s="1306">
        <f t="shared" si="8"/>
        <v>111</v>
      </c>
      <c r="R33" s="1307" t="s">
        <v>5</v>
      </c>
      <c r="S33" s="1308">
        <f t="shared" si="9"/>
        <v>100</v>
      </c>
      <c r="T33" s="1307" t="s">
        <v>5</v>
      </c>
      <c r="U33" s="1308">
        <f t="shared" si="10"/>
        <v>100</v>
      </c>
      <c r="V33" s="1307" t="s">
        <v>5</v>
      </c>
      <c r="W33" s="1308">
        <f t="shared" si="11"/>
        <v>100</v>
      </c>
      <c r="X33" s="1302"/>
      <c r="Y33" s="3626"/>
      <c r="Z33" s="1309">
        <f t="shared" si="12"/>
        <v>111</v>
      </c>
      <c r="AA33" s="1309">
        <f t="shared" si="3"/>
        <v>1</v>
      </c>
      <c r="AB33" s="1309">
        <f t="shared" si="4"/>
        <v>1</v>
      </c>
      <c r="AC33" s="1309">
        <f t="shared" si="5"/>
        <v>1</v>
      </c>
    </row>
    <row r="34" spans="1:29" ht="15">
      <c r="A34" s="536"/>
      <c r="B34" s="551">
        <v>111</v>
      </c>
      <c r="C34" s="492"/>
      <c r="D34" s="490">
        <v>100</v>
      </c>
      <c r="E34" s="535"/>
      <c r="F34" s="490">
        <f>SUMIF(104:104,E35,105:105)-SUMIF(104:104,C35,105:105)+100</f>
        <v>100</v>
      </c>
      <c r="G34" s="535"/>
      <c r="H34" s="490">
        <f>SUMIF(104:104,G34,105:105)-SUMIF(104:104,C34,105:105)+100</f>
        <v>100</v>
      </c>
      <c r="I34" s="492"/>
      <c r="J34" s="490">
        <f>SUMIF(104:104,I34,105:105)-SUMIF(104:104,C34,105:105)+100</f>
        <v>100</v>
      </c>
      <c r="K34" s="531"/>
      <c r="L34" s="1749"/>
      <c r="M34" s="1742"/>
      <c r="N34" s="1742"/>
      <c r="O34" s="1748"/>
      <c r="P34" s="3627" t="s">
        <v>499</v>
      </c>
      <c r="Q34" s="1306">
        <f t="shared" si="8"/>
        <v>111</v>
      </c>
      <c r="R34" s="1307" t="s">
        <v>5</v>
      </c>
      <c r="S34" s="1308">
        <f t="shared" si="9"/>
        <v>100</v>
      </c>
      <c r="T34" s="1307" t="s">
        <v>5</v>
      </c>
      <c r="U34" s="1308">
        <f t="shared" si="10"/>
        <v>100</v>
      </c>
      <c r="V34" s="1307" t="s">
        <v>5</v>
      </c>
      <c r="W34" s="1308">
        <f t="shared" si="11"/>
        <v>100</v>
      </c>
      <c r="X34" s="1302"/>
      <c r="Y34" s="3628" t="s">
        <v>499</v>
      </c>
      <c r="Z34" s="1309">
        <f t="shared" si="12"/>
        <v>111</v>
      </c>
      <c r="AA34" s="1309">
        <f t="shared" si="3"/>
        <v>1</v>
      </c>
      <c r="AB34" s="1309">
        <f t="shared" si="4"/>
        <v>1</v>
      </c>
      <c r="AC34" s="1309">
        <f t="shared" si="5"/>
        <v>1</v>
      </c>
    </row>
    <row r="35" spans="1:29" s="1134" customFormat="1" ht="15.75" thickBot="1">
      <c r="A35" s="538"/>
      <c r="B35" s="2053">
        <v>111</v>
      </c>
      <c r="C35" s="542"/>
      <c r="D35" s="236">
        <v>100</v>
      </c>
      <c r="E35" s="678"/>
      <c r="F35" s="496">
        <f>SUMIF(106:106,E35,107:107)-SUMIF(106:106,C35,107:107)+100</f>
        <v>100</v>
      </c>
      <c r="G35" s="678"/>
      <c r="H35" s="496">
        <f>SUMIF(106:106,G35,107:107)-SUMIF(106:106,C35,107:107)+100</f>
        <v>100</v>
      </c>
      <c r="I35" s="542"/>
      <c r="J35" s="496">
        <f>SUMIF(106:106,I35,107:107)-SUMIF(106:106,C35,107:107)+100</f>
        <v>100</v>
      </c>
      <c r="K35" s="531"/>
      <c r="L35" s="1747"/>
      <c r="M35" s="1771"/>
      <c r="N35" s="1771"/>
      <c r="O35" s="1750"/>
      <c r="P35" s="3628"/>
      <c r="Q35" s="1306">
        <f t="shared" si="8"/>
        <v>111</v>
      </c>
      <c r="R35" s="1310" t="s">
        <v>5</v>
      </c>
      <c r="S35" s="1311">
        <f t="shared" si="9"/>
        <v>100</v>
      </c>
      <c r="T35" s="1310" t="s">
        <v>5</v>
      </c>
      <c r="U35" s="1311">
        <f t="shared" si="10"/>
        <v>100</v>
      </c>
      <c r="V35" s="1310" t="s">
        <v>5</v>
      </c>
      <c r="W35" s="1311">
        <f t="shared" si="11"/>
        <v>100</v>
      </c>
      <c r="X35" s="1312"/>
      <c r="Y35" s="3628"/>
      <c r="Z35" s="1313">
        <f t="shared" si="12"/>
        <v>111</v>
      </c>
      <c r="AA35" s="1309">
        <f t="shared" si="3"/>
        <v>1</v>
      </c>
      <c r="AB35" s="1309">
        <f t="shared" si="4"/>
        <v>1</v>
      </c>
      <c r="AC35" s="1309">
        <f t="shared" si="5"/>
        <v>1</v>
      </c>
    </row>
    <row r="36" spans="1:29" ht="15">
      <c r="A36" s="2204" t="s">
        <v>2037</v>
      </c>
      <c r="B36" s="544" t="s">
        <v>501</v>
      </c>
      <c r="C36" s="545">
        <f>'数据-基础表'!A3</f>
        <v>82949.97</v>
      </c>
      <c r="D36" s="546">
        <v>100</v>
      </c>
      <c r="E36" s="545">
        <f>土地成本!L3*10000</f>
        <v>318300</v>
      </c>
      <c r="F36" s="546">
        <f>F110</f>
        <v>103</v>
      </c>
      <c r="G36" s="545">
        <f>土地成本!D17*10000</f>
        <v>847200</v>
      </c>
      <c r="H36" s="546">
        <f>I110</f>
        <v>106</v>
      </c>
      <c r="I36" s="547">
        <f>土地成本!D18*10000</f>
        <v>242500</v>
      </c>
      <c r="J36" s="546">
        <f>E110</f>
        <v>102</v>
      </c>
      <c r="K36" s="531"/>
      <c r="L36" s="1749"/>
      <c r="M36" s="1742"/>
      <c r="N36" s="1742"/>
      <c r="O36" s="1748"/>
      <c r="P36" s="3628"/>
      <c r="Q36" s="1306" t="str">
        <f>B36</f>
        <v>宗地面积</v>
      </c>
      <c r="R36" s="1307" t="s">
        <v>5</v>
      </c>
      <c r="S36" s="1308">
        <f t="shared" si="9"/>
        <v>103</v>
      </c>
      <c r="T36" s="1307" t="s">
        <v>5</v>
      </c>
      <c r="U36" s="1308">
        <f t="shared" si="10"/>
        <v>106</v>
      </c>
      <c r="V36" s="1307" t="s">
        <v>5</v>
      </c>
      <c r="W36" s="1308">
        <f t="shared" si="11"/>
        <v>102</v>
      </c>
      <c r="X36" s="1302"/>
      <c r="Y36" s="3628"/>
      <c r="Z36" s="1309" t="str">
        <f t="shared" si="12"/>
        <v>宗地面积</v>
      </c>
      <c r="AA36" s="1309">
        <f t="shared" si="3"/>
        <v>0.970873786407767</v>
      </c>
      <c r="AB36" s="1309">
        <f t="shared" si="4"/>
        <v>0.94339622641509435</v>
      </c>
      <c r="AC36" s="1309">
        <f t="shared" si="5"/>
        <v>0.98039215686274506</v>
      </c>
    </row>
    <row r="37" spans="1:29" ht="15">
      <c r="A37" s="543"/>
      <c r="B37" s="477" t="s">
        <v>502</v>
      </c>
      <c r="C37" s="548" t="s">
        <v>3467</v>
      </c>
      <c r="D37" s="490">
        <v>100</v>
      </c>
      <c r="E37" s="548" t="s">
        <v>3467</v>
      </c>
      <c r="F37" s="490">
        <f>SUMIF(111:111,E37,112:112)-SUMIF(111:111,C37,112:112)+100</f>
        <v>100</v>
      </c>
      <c r="G37" s="548" t="s">
        <v>3467</v>
      </c>
      <c r="H37" s="490">
        <f>SUMIF(111:111,G37,112:112)-SUMIF(111:111,C37,112:112)+100</f>
        <v>100</v>
      </c>
      <c r="I37" s="548" t="s">
        <v>3467</v>
      </c>
      <c r="J37" s="490">
        <f>SUMIF(111:111,I37,112:112)-SUMIF(111:111,C37,112:112)+100</f>
        <v>100</v>
      </c>
      <c r="K37" s="533"/>
      <c r="L37" s="1749"/>
      <c r="M37" s="1742"/>
      <c r="N37" s="1742"/>
      <c r="O37" s="1748"/>
      <c r="P37" s="3628"/>
      <c r="Q37" s="1306" t="str">
        <f t="shared" ref="Q37:Q42" si="13">B37</f>
        <v>宗地形状</v>
      </c>
      <c r="R37" s="1307" t="s">
        <v>5</v>
      </c>
      <c r="S37" s="1308">
        <f t="shared" si="9"/>
        <v>100</v>
      </c>
      <c r="T37" s="1307" t="s">
        <v>5</v>
      </c>
      <c r="U37" s="1308">
        <f t="shared" si="10"/>
        <v>100</v>
      </c>
      <c r="V37" s="1307" t="s">
        <v>5</v>
      </c>
      <c r="W37" s="1308">
        <f t="shared" si="11"/>
        <v>100</v>
      </c>
      <c r="X37" s="1302"/>
      <c r="Y37" s="3628"/>
      <c r="Z37" s="1309" t="str">
        <f t="shared" si="12"/>
        <v>宗地形状</v>
      </c>
      <c r="AA37" s="1309">
        <f t="shared" si="3"/>
        <v>1</v>
      </c>
      <c r="AB37" s="1309">
        <f t="shared" si="4"/>
        <v>1</v>
      </c>
      <c r="AC37" s="1309">
        <f t="shared" si="5"/>
        <v>1</v>
      </c>
    </row>
    <row r="38" spans="1:29" s="1060" customFormat="1" ht="15">
      <c r="A38" s="549"/>
      <c r="B38" s="1554" t="s">
        <v>1776</v>
      </c>
      <c r="C38" s="550"/>
      <c r="D38" s="235">
        <v>100</v>
      </c>
      <c r="E38" s="550"/>
      <c r="F38" s="490">
        <f>SUMIF(113:113,E38,114:114)-SUMIF(113:113,C38,114:114)+100</f>
        <v>100</v>
      </c>
      <c r="G38" s="550"/>
      <c r="H38" s="490">
        <f>SUMIF(113:113,G38,114:114)-SUMIF(113:113,C38,114:114)+100</f>
        <v>100</v>
      </c>
      <c r="I38" s="550"/>
      <c r="J38" s="490">
        <f>SUMIF(113:113,I38,114:114)-SUMIF(113:113,C38,114:114)+100</f>
        <v>100</v>
      </c>
      <c r="K38" s="533"/>
      <c r="L38" s="1743"/>
      <c r="M38" s="1640"/>
      <c r="N38" s="1640"/>
      <c r="O38" s="1744"/>
      <c r="P38" s="3628"/>
      <c r="Q38" s="1306" t="str">
        <f t="shared" si="13"/>
        <v>宗地开发程度</v>
      </c>
      <c r="R38" s="1303" t="s">
        <v>5</v>
      </c>
      <c r="S38" s="1304">
        <f t="shared" si="9"/>
        <v>100</v>
      </c>
      <c r="T38" s="1303" t="s">
        <v>5</v>
      </c>
      <c r="U38" s="1304">
        <f t="shared" si="10"/>
        <v>100</v>
      </c>
      <c r="V38" s="1303" t="s">
        <v>5</v>
      </c>
      <c r="W38" s="1304">
        <f t="shared" si="11"/>
        <v>100</v>
      </c>
      <c r="X38" s="1305"/>
      <c r="Y38" s="3628"/>
      <c r="Z38" s="997" t="str">
        <f t="shared" si="12"/>
        <v>宗地开发程度</v>
      </c>
      <c r="AA38" s="997">
        <f t="shared" si="3"/>
        <v>1</v>
      </c>
      <c r="AB38" s="997">
        <f t="shared" si="4"/>
        <v>1</v>
      </c>
      <c r="AC38" s="997">
        <f t="shared" si="5"/>
        <v>1</v>
      </c>
    </row>
    <row r="39" spans="1:29" ht="15">
      <c r="A39" s="543"/>
      <c r="B39" s="477" t="s">
        <v>504</v>
      </c>
      <c r="C39" s="548"/>
      <c r="D39" s="490">
        <v>100</v>
      </c>
      <c r="E39" s="548"/>
      <c r="F39" s="490">
        <f>SUMIF(115:115,E39,116:116)-SUMIF(115:115,C39,116:116)+100</f>
        <v>100</v>
      </c>
      <c r="G39" s="548"/>
      <c r="H39" s="490">
        <f>SUMIF(115:115,G39,116:116)-SUMIF(115:115,C39,116:116)+100</f>
        <v>100</v>
      </c>
      <c r="I39" s="548"/>
      <c r="J39" s="490">
        <f>SUMIF(115:115,I39,116:116)-SUMIF(115:115,C39,116:116)+100</f>
        <v>100</v>
      </c>
      <c r="K39" s="533"/>
      <c r="L39" s="1749"/>
      <c r="M39" s="1742"/>
      <c r="N39" s="1742"/>
      <c r="O39" s="1748"/>
      <c r="P39" s="3628" t="s">
        <v>549</v>
      </c>
      <c r="Q39" s="1306" t="str">
        <f t="shared" si="13"/>
        <v>工程地质条件</v>
      </c>
      <c r="R39" s="1307" t="s">
        <v>5</v>
      </c>
      <c r="S39" s="1308">
        <f t="shared" si="9"/>
        <v>100</v>
      </c>
      <c r="T39" s="1307" t="s">
        <v>5</v>
      </c>
      <c r="U39" s="1308">
        <f t="shared" si="10"/>
        <v>100</v>
      </c>
      <c r="V39" s="1307" t="s">
        <v>5</v>
      </c>
      <c r="W39" s="1308">
        <f t="shared" si="11"/>
        <v>100</v>
      </c>
      <c r="X39" s="1302"/>
      <c r="Y39" s="3628" t="s">
        <v>549</v>
      </c>
      <c r="Z39" s="1309" t="str">
        <f t="shared" si="12"/>
        <v>工程地质条件</v>
      </c>
      <c r="AA39" s="1309">
        <f t="shared" si="3"/>
        <v>1</v>
      </c>
      <c r="AB39" s="1309">
        <f t="shared" si="4"/>
        <v>1</v>
      </c>
      <c r="AC39" s="1309">
        <f t="shared" si="5"/>
        <v>1</v>
      </c>
    </row>
    <row r="40" spans="1:29" ht="15">
      <c r="A40" s="543"/>
      <c r="B40" s="551">
        <v>111</v>
      </c>
      <c r="C40" s="492"/>
      <c r="D40" s="490">
        <v>100</v>
      </c>
      <c r="E40" s="492"/>
      <c r="F40" s="490">
        <f>SUMIF(117:117,E40,118:118)-SUMIF(117:117,C40,118:118)+100</f>
        <v>100</v>
      </c>
      <c r="G40" s="492"/>
      <c r="H40" s="490">
        <f>SUMIF(117:117,G40,118:118)-SUMIF(117:117,C40,118:118)+100</f>
        <v>100</v>
      </c>
      <c r="I40" s="491"/>
      <c r="J40" s="490">
        <f>SUMIF(117:117,I40,118:118)-SUMIF(117:117,C40,118:118)+100</f>
        <v>100</v>
      </c>
      <c r="K40" s="531"/>
      <c r="L40" s="1749"/>
      <c r="M40" s="1742"/>
      <c r="N40" s="1742"/>
      <c r="O40" s="1748"/>
      <c r="P40" s="3628"/>
      <c r="Q40" s="1306">
        <f t="shared" si="13"/>
        <v>111</v>
      </c>
      <c r="R40" s="1307" t="s">
        <v>5</v>
      </c>
      <c r="S40" s="1308">
        <f t="shared" si="9"/>
        <v>100</v>
      </c>
      <c r="T40" s="1307" t="s">
        <v>5</v>
      </c>
      <c r="U40" s="1308">
        <f t="shared" si="10"/>
        <v>100</v>
      </c>
      <c r="V40" s="1307" t="s">
        <v>5</v>
      </c>
      <c r="W40" s="1308">
        <f t="shared" si="11"/>
        <v>100</v>
      </c>
      <c r="X40" s="1302"/>
      <c r="Y40" s="3628"/>
      <c r="Z40" s="1309">
        <f t="shared" si="12"/>
        <v>111</v>
      </c>
      <c r="AA40" s="1309">
        <f t="shared" si="3"/>
        <v>1</v>
      </c>
      <c r="AB40" s="1309">
        <f t="shared" si="4"/>
        <v>1</v>
      </c>
      <c r="AC40" s="1309">
        <f t="shared" si="5"/>
        <v>1</v>
      </c>
    </row>
    <row r="41" spans="1:29" ht="15">
      <c r="A41" s="543"/>
      <c r="B41" s="551">
        <v>111</v>
      </c>
      <c r="C41" s="492"/>
      <c r="D41" s="490">
        <v>100</v>
      </c>
      <c r="E41" s="492"/>
      <c r="F41" s="490">
        <f>SUMIF(119:119,E41,120:120)-SUMIF(119:119,C41,120:120)+100</f>
        <v>100</v>
      </c>
      <c r="G41" s="492"/>
      <c r="H41" s="490">
        <f>SUMIF(119:119,G41,120:120)-SUMIF(119:119,C41,120:120)+100</f>
        <v>100</v>
      </c>
      <c r="I41" s="491"/>
      <c r="J41" s="490">
        <f>SUMIF(119:119,I41,120:120)-SUMIF(119:119,C41,120:120)+100</f>
        <v>100</v>
      </c>
      <c r="K41" s="531"/>
      <c r="L41" s="1749"/>
      <c r="M41" s="1742"/>
      <c r="N41" s="1742"/>
      <c r="O41" s="1748"/>
      <c r="P41" s="3628"/>
      <c r="Q41" s="1306">
        <f t="shared" si="13"/>
        <v>111</v>
      </c>
      <c r="R41" s="1307" t="s">
        <v>5</v>
      </c>
      <c r="S41" s="1308">
        <f t="shared" si="9"/>
        <v>100</v>
      </c>
      <c r="T41" s="1307" t="s">
        <v>5</v>
      </c>
      <c r="U41" s="1308">
        <f t="shared" si="10"/>
        <v>100</v>
      </c>
      <c r="V41" s="1307" t="s">
        <v>5</v>
      </c>
      <c r="W41" s="1308">
        <f t="shared" si="11"/>
        <v>100</v>
      </c>
      <c r="X41" s="1302"/>
      <c r="Y41" s="3628"/>
      <c r="Z41" s="1309">
        <f t="shared" si="12"/>
        <v>111</v>
      </c>
      <c r="AA41" s="1309">
        <f t="shared" si="3"/>
        <v>1</v>
      </c>
      <c r="AB41" s="1309">
        <f t="shared" si="4"/>
        <v>1</v>
      </c>
      <c r="AC41" s="1309">
        <f t="shared" si="5"/>
        <v>1</v>
      </c>
    </row>
    <row r="42" spans="1:29" s="1134" customFormat="1" ht="15.75" thickBot="1">
      <c r="A42" s="552"/>
      <c r="B42" s="551">
        <v>111</v>
      </c>
      <c r="C42" s="553"/>
      <c r="D42" s="236">
        <v>100</v>
      </c>
      <c r="E42" s="492"/>
      <c r="F42" s="496">
        <f>SUMIF(121:121,E42,122:122)-SUMIF(121:121,C42,122:122)+100</f>
        <v>100</v>
      </c>
      <c r="G42" s="492"/>
      <c r="H42" s="496">
        <f>SUMIF(121:121,G42,122:122)-SUMIF(121:121,C42,122:122)+100</f>
        <v>100</v>
      </c>
      <c r="I42" s="491"/>
      <c r="J42" s="496">
        <f>SUMIF(121:121,I42,122:122)-SUMIF(121:121,C42,122:122)+100</f>
        <v>100</v>
      </c>
      <c r="K42" s="555"/>
      <c r="L42" s="1747"/>
      <c r="M42" s="1771"/>
      <c r="N42" s="1771"/>
      <c r="O42" s="1750"/>
      <c r="P42" s="3628"/>
      <c r="Q42" s="1306">
        <f t="shared" si="13"/>
        <v>111</v>
      </c>
      <c r="R42" s="1310" t="s">
        <v>5</v>
      </c>
      <c r="S42" s="1311">
        <f t="shared" si="9"/>
        <v>100</v>
      </c>
      <c r="T42" s="1310" t="s">
        <v>5</v>
      </c>
      <c r="U42" s="1311">
        <f t="shared" si="10"/>
        <v>100</v>
      </c>
      <c r="V42" s="1310" t="s">
        <v>5</v>
      </c>
      <c r="W42" s="1311">
        <f t="shared" si="11"/>
        <v>100</v>
      </c>
      <c r="X42" s="1312"/>
      <c r="Y42" s="3628"/>
      <c r="Z42" s="1313">
        <f t="shared" si="12"/>
        <v>111</v>
      </c>
      <c r="AA42" s="1309">
        <f t="shared" si="3"/>
        <v>1</v>
      </c>
      <c r="AB42" s="1309">
        <f t="shared" si="4"/>
        <v>1</v>
      </c>
      <c r="AC42" s="1309">
        <f t="shared" si="5"/>
        <v>1</v>
      </c>
    </row>
    <row r="43" spans="1:29" ht="15">
      <c r="A43" s="556" t="s">
        <v>505</v>
      </c>
      <c r="B43" s="557" t="s">
        <v>2197</v>
      </c>
      <c r="C43" s="558" t="s">
        <v>0</v>
      </c>
      <c r="D43" s="559"/>
      <c r="E43" s="560">
        <f>土地成本!T3</f>
        <v>904</v>
      </c>
      <c r="F43" s="561"/>
      <c r="G43" s="562">
        <f>土地成本!J17</f>
        <v>1590</v>
      </c>
      <c r="H43" s="563"/>
      <c r="I43" s="560">
        <f>土地成本!J18</f>
        <v>1008</v>
      </c>
      <c r="J43" s="563"/>
      <c r="K43" s="1135"/>
      <c r="L43" s="1751"/>
      <c r="M43" s="1742"/>
      <c r="N43" s="1742"/>
      <c r="O43" s="1742"/>
      <c r="P43" s="3623" t="str">
        <f>A43</f>
        <v>成交单价</v>
      </c>
      <c r="Q43" s="3623"/>
      <c r="R43" s="3639">
        <f>E43</f>
        <v>904</v>
      </c>
      <c r="S43" s="3639"/>
      <c r="T43" s="3639">
        <f>G43</f>
        <v>1590</v>
      </c>
      <c r="U43" s="3639"/>
      <c r="V43" s="3639">
        <f>I43</f>
        <v>1008</v>
      </c>
      <c r="W43" s="3639"/>
      <c r="X43" s="799"/>
      <c r="Y43" s="1314"/>
      <c r="Z43" s="799"/>
      <c r="AA43" s="799"/>
      <c r="AB43" s="799"/>
      <c r="AC43" s="799"/>
    </row>
    <row r="44" spans="1:29" ht="15.75" thickBot="1">
      <c r="A44" s="564" t="s">
        <v>1975</v>
      </c>
      <c r="B44" s="565"/>
      <c r="C44" s="566">
        <f>R45</f>
        <v>1195</v>
      </c>
      <c r="D44" s="2550" t="s">
        <v>2261</v>
      </c>
      <c r="E44" s="566">
        <f>R44</f>
        <v>956</v>
      </c>
      <c r="F44" s="2551"/>
      <c r="G44" s="567">
        <f>T44</f>
        <v>1557</v>
      </c>
      <c r="H44" s="2551"/>
      <c r="I44" s="566">
        <f>V44</f>
        <v>1072</v>
      </c>
      <c r="J44" s="2551"/>
      <c r="K44" s="2552">
        <f>F44+H44+J44</f>
        <v>0</v>
      </c>
      <c r="L44" s="1751"/>
      <c r="M44" s="1742"/>
      <c r="N44" s="1742"/>
      <c r="O44" s="1742"/>
      <c r="P44" s="3623" t="str">
        <f>A44</f>
        <v>比较价格（元/平方米）</v>
      </c>
      <c r="Q44" s="3623"/>
      <c r="R44" s="3647">
        <f>ROUND(PRODUCT(R43,AA9:AA42),0)</f>
        <v>956</v>
      </c>
      <c r="S44" s="3647"/>
      <c r="T44" s="3647">
        <f>ROUND(PRODUCT(T43,AB9:AB42),0)</f>
        <v>1557</v>
      </c>
      <c r="U44" s="3647"/>
      <c r="V44" s="3647">
        <f>ROUND(PRODUCT(V43,AC9:AC42),0)</f>
        <v>1072</v>
      </c>
      <c r="W44" s="3647"/>
      <c r="X44" s="799"/>
      <c r="Y44" s="799"/>
      <c r="Z44" s="799"/>
      <c r="AA44" s="799"/>
      <c r="AB44" s="799"/>
      <c r="AC44" s="799"/>
    </row>
    <row r="45" spans="1:29" ht="15.75" thickBot="1">
      <c r="A45" s="568" t="s">
        <v>2198</v>
      </c>
      <c r="B45" s="569"/>
      <c r="C45" s="570">
        <f>R45</f>
        <v>1195</v>
      </c>
      <c r="D45" s="570"/>
      <c r="E45" s="570"/>
      <c r="F45" s="570"/>
      <c r="G45" s="570"/>
      <c r="H45" s="570"/>
      <c r="I45" s="570"/>
      <c r="J45" s="570"/>
      <c r="K45" s="1136"/>
      <c r="L45" s="1751"/>
      <c r="M45" s="1742"/>
      <c r="N45" s="1742"/>
      <c r="O45" s="1742"/>
      <c r="P45" s="3629" t="str">
        <f>A45</f>
        <v>估价对象XX用房的比较价格（楼面单价，元/平方米）</v>
      </c>
      <c r="Q45" s="3630"/>
      <c r="R45" s="3706">
        <f>ROUND(IF(D44="简单平均",AVERAGE(R44:W44),R44*F44+T44*H44+V44*J44),0)</f>
        <v>1195</v>
      </c>
      <c r="S45" s="3706"/>
      <c r="T45" s="3706"/>
      <c r="U45" s="3706"/>
      <c r="V45" s="3706"/>
      <c r="W45" s="3706"/>
      <c r="X45" s="799"/>
      <c r="Y45" s="799"/>
      <c r="Z45" s="799"/>
      <c r="AA45" s="799"/>
      <c r="AB45" s="799"/>
      <c r="AC45" s="799"/>
    </row>
    <row r="46" spans="1:29">
      <c r="A46" s="2720"/>
      <c r="B46" s="2720"/>
      <c r="C46" s="2720"/>
      <c r="D46" s="2720"/>
      <c r="E46" s="2720"/>
      <c r="F46" s="2720"/>
      <c r="G46" s="2722"/>
      <c r="H46" s="2720"/>
      <c r="I46" s="2720"/>
      <c r="J46" s="2720"/>
      <c r="K46" s="2723"/>
      <c r="L46" s="1755"/>
      <c r="M46" s="1742"/>
      <c r="N46" s="1742"/>
      <c r="O46" s="1742"/>
      <c r="P46" s="1742"/>
      <c r="Q46" s="1742"/>
      <c r="R46" s="1742"/>
      <c r="S46" s="1742"/>
      <c r="T46" s="1742"/>
      <c r="U46" s="1742"/>
      <c r="V46" s="1742"/>
      <c r="W46" s="1742"/>
      <c r="X46" s="1742"/>
      <c r="Y46" s="1742"/>
      <c r="Z46" s="1742"/>
      <c r="AA46" s="1742"/>
      <c r="AB46" s="1742"/>
      <c r="AC46" s="1742"/>
    </row>
    <row r="47" spans="1:29">
      <c r="A47" s="2720"/>
      <c r="B47" s="2720"/>
      <c r="C47" s="2720"/>
      <c r="D47" s="2720"/>
      <c r="E47" s="2720"/>
      <c r="F47" s="2720"/>
      <c r="G47" s="2720"/>
      <c r="H47" s="2720"/>
      <c r="I47" s="2720"/>
      <c r="J47" s="2720"/>
      <c r="K47" s="2723"/>
      <c r="L47" s="1755"/>
      <c r="M47" s="1742"/>
      <c r="N47" s="1742"/>
      <c r="O47" s="1742"/>
      <c r="P47" s="1742"/>
      <c r="Q47" s="1742"/>
      <c r="R47" s="1742"/>
      <c r="S47" s="1742"/>
      <c r="T47" s="1742"/>
      <c r="U47" s="1742"/>
      <c r="V47" s="1742"/>
      <c r="W47" s="1742"/>
      <c r="X47" s="1742"/>
      <c r="Y47" s="1742"/>
      <c r="Z47" s="1742"/>
      <c r="AA47" s="1742"/>
      <c r="AB47" s="1742"/>
      <c r="AC47" s="1742"/>
    </row>
    <row r="48" spans="1:29" ht="13.5" customHeight="1">
      <c r="A48" s="2720"/>
      <c r="B48" s="2720"/>
      <c r="C48" s="571" t="s">
        <v>506</v>
      </c>
      <c r="D48" s="572"/>
      <c r="E48" s="573">
        <f>IF(E43&lt;E44,E44/E43-1,E43/E44-1)</f>
        <v>5.7522123893805288E-2</v>
      </c>
      <c r="F48" s="574" t="str">
        <f>IF(OR(E48&gt;=0.3,E48&lt;=-0.3),"超过30%","")</f>
        <v/>
      </c>
      <c r="G48" s="573">
        <f>IF(G43&lt;G44,G44/G43-1,G43/G44-1)</f>
        <v>2.1194605009633882E-2</v>
      </c>
      <c r="H48" s="574" t="str">
        <f>IF(OR(G48&gt;=0.3,G48&lt;=-0.3),"超过30%","")</f>
        <v/>
      </c>
      <c r="I48" s="573">
        <f>IF(I43&lt;I44,I44/I43-1,I43/I44-1)</f>
        <v>6.3492063492063489E-2</v>
      </c>
      <c r="J48" s="574" t="str">
        <f>IF(OR(I48&gt;=0.3,I48&lt;=-0.3),"超过30%","")</f>
        <v/>
      </c>
      <c r="K48" s="2723"/>
      <c r="L48" s="1755"/>
      <c r="M48" s="1742"/>
      <c r="N48" s="1742"/>
      <c r="O48" s="1742"/>
      <c r="P48" s="1742"/>
      <c r="Q48" s="1742"/>
      <c r="R48" s="1742"/>
      <c r="S48" s="1742"/>
      <c r="T48" s="1742"/>
      <c r="U48" s="1742"/>
      <c r="V48" s="1742"/>
      <c r="W48" s="1742"/>
      <c r="X48" s="1742"/>
      <c r="Y48" s="1742"/>
      <c r="Z48" s="1742"/>
      <c r="AA48" s="1742"/>
      <c r="AB48" s="1742"/>
      <c r="AC48" s="1742"/>
    </row>
    <row r="49" spans="1:58" ht="13.5" customHeight="1">
      <c r="A49" s="2720"/>
      <c r="B49" s="2720"/>
      <c r="C49" s="571" t="s">
        <v>507</v>
      </c>
      <c r="D49" s="575"/>
      <c r="E49" s="573">
        <f>IF(E44&lt;G44,G44/E44-1,E44/G44-1)</f>
        <v>0.62866108786610875</v>
      </c>
      <c r="F49" s="574" t="str">
        <f>IF(OR(E49&gt;=0.2,E49&lt;=-0.2),"超过20%","")</f>
        <v>超过20%</v>
      </c>
      <c r="G49" s="573">
        <f>IF(G44&lt;I44,I44/G44-1,G44/I44-1)</f>
        <v>0.4524253731343284</v>
      </c>
      <c r="H49" s="574" t="str">
        <f>IF(OR(G49&gt;=0.2,G49&lt;=-0.2),"超过20%","")</f>
        <v>超过20%</v>
      </c>
      <c r="I49" s="573">
        <f>IF(I44&lt;E44,E44/I44-1,I44/E44-1)</f>
        <v>0.12133891213389125</v>
      </c>
      <c r="J49" s="574" t="str">
        <f>IF(OR(I49&gt;=0.2,I49&lt;=-0.2),"超过20%","")</f>
        <v/>
      </c>
      <c r="K49" s="2723"/>
      <c r="L49" s="1755"/>
      <c r="M49" s="1742"/>
      <c r="N49" s="1742"/>
      <c r="O49" s="1742"/>
      <c r="P49" s="1742"/>
      <c r="Q49" s="1742"/>
      <c r="R49" s="1742"/>
      <c r="S49" s="1742"/>
      <c r="T49" s="1742"/>
      <c r="U49" s="1742"/>
      <c r="V49" s="1742"/>
      <c r="W49" s="1742"/>
      <c r="X49" s="1742"/>
      <c r="Y49" s="1742"/>
      <c r="Z49" s="1742"/>
      <c r="AA49" s="1742"/>
      <c r="AB49" s="1742"/>
      <c r="AC49" s="1742"/>
    </row>
    <row r="50" spans="1:58" s="1139" customFormat="1" ht="13.5" customHeight="1">
      <c r="A50" s="2721"/>
      <c r="B50" s="2721"/>
      <c r="C50" s="571" t="s">
        <v>508</v>
      </c>
      <c r="D50" s="575"/>
      <c r="E50" s="573">
        <f>IF(E43&lt;G43,G43/E43-1,E43/G43-1)</f>
        <v>0.75884955752212391</v>
      </c>
      <c r="F50" s="574" t="str">
        <f>IF(OR(E50&gt;=0.3,E50&lt;=-0.3),"超过30%","")</f>
        <v>超过30%</v>
      </c>
      <c r="G50" s="573">
        <f>IF(G43&lt;I43,I43/G43-1,G43/I43-1)</f>
        <v>0.57738095238095233</v>
      </c>
      <c r="H50" s="574" t="str">
        <f>IF(OR(G50&gt;=0.3,G50&lt;=-0.3),"超过30%","")</f>
        <v>超过30%</v>
      </c>
      <c r="I50" s="573">
        <f>IF(I43&lt;E43,E43/I43-1,I43/E43-1)</f>
        <v>0.11504424778761058</v>
      </c>
      <c r="J50" s="574" t="str">
        <f>IF(OR(I50&gt;=0.3,I50&lt;=-0.3),"超过30%","")</f>
        <v/>
      </c>
      <c r="K50" s="2724"/>
      <c r="L50" s="1758"/>
      <c r="M50" s="1752"/>
      <c r="N50" s="1752"/>
      <c r="O50" s="1752"/>
      <c r="P50" s="1752"/>
      <c r="Q50" s="1752"/>
      <c r="R50" s="1752"/>
      <c r="S50" s="1752"/>
      <c r="T50" s="1752"/>
      <c r="U50" s="1752"/>
      <c r="V50" s="1752"/>
      <c r="W50" s="1752"/>
      <c r="X50" s="1752"/>
      <c r="Y50" s="1752"/>
      <c r="Z50" s="1752"/>
      <c r="AA50" s="1752"/>
      <c r="AB50" s="1752"/>
      <c r="AC50" s="1752"/>
    </row>
    <row r="51" spans="1:58" s="1139" customFormat="1" ht="15" thickBot="1">
      <c r="A51" s="2721"/>
      <c r="B51" s="2732"/>
      <c r="C51" s="1756"/>
      <c r="D51" s="1752"/>
      <c r="E51" s="1752"/>
      <c r="F51" s="1752"/>
      <c r="G51" s="1752"/>
      <c r="H51" s="1752"/>
      <c r="I51" s="1752"/>
      <c r="J51" s="1752"/>
      <c r="K51" s="2724"/>
      <c r="L51" s="1758"/>
      <c r="M51" s="1752"/>
      <c r="N51" s="1752"/>
      <c r="O51" s="1752"/>
      <c r="P51" s="1752"/>
      <c r="Q51" s="1752"/>
      <c r="R51" s="1752"/>
      <c r="S51" s="1752"/>
      <c r="T51" s="1752"/>
      <c r="U51" s="1752"/>
      <c r="V51" s="1752"/>
      <c r="W51" s="1752"/>
      <c r="X51" s="1752"/>
      <c r="Y51" s="1752"/>
      <c r="Z51" s="1752"/>
      <c r="AA51" s="1752"/>
      <c r="AB51" s="1752"/>
      <c r="AC51" s="1752"/>
    </row>
    <row r="52" spans="1:58" ht="27">
      <c r="A52" s="576" t="s">
        <v>509</v>
      </c>
      <c r="B52" s="577" t="s">
        <v>510</v>
      </c>
      <c r="C52" s="1300" t="s">
        <v>1253</v>
      </c>
      <c r="D52" s="1821" t="s">
        <v>1650</v>
      </c>
      <c r="E52" s="578" t="s">
        <v>511</v>
      </c>
      <c r="F52" s="1610" t="s">
        <v>512</v>
      </c>
      <c r="G52" s="3702" t="s">
        <v>1642</v>
      </c>
      <c r="H52" s="3703"/>
      <c r="I52" s="1611" t="s">
        <v>1465</v>
      </c>
      <c r="J52" s="1297">
        <f>项目基本情况!F41</f>
        <v>0</v>
      </c>
      <c r="K52" s="1759" t="s">
        <v>1252</v>
      </c>
      <c r="L52" s="1755"/>
      <c r="M52" s="1742"/>
      <c r="N52" s="1742"/>
      <c r="O52" s="1742"/>
      <c r="P52" s="1742"/>
      <c r="Q52" s="1742"/>
      <c r="R52" s="1742"/>
      <c r="S52" s="1742"/>
      <c r="T52" s="1742"/>
      <c r="U52" s="1742"/>
      <c r="V52" s="1742"/>
      <c r="W52" s="1742"/>
      <c r="X52" s="1742"/>
      <c r="Y52" s="1742"/>
      <c r="Z52" s="1742"/>
      <c r="AA52" s="1742"/>
      <c r="AB52" s="1742"/>
      <c r="AC52" s="1742"/>
    </row>
    <row r="53" spans="1:58" s="1140" customFormat="1" ht="12.75">
      <c r="A53" s="580" t="s">
        <v>513</v>
      </c>
      <c r="B53" s="581">
        <f>C45</f>
        <v>1195</v>
      </c>
      <c r="C53" s="582">
        <v>1</v>
      </c>
      <c r="D53" s="1822">
        <v>1</v>
      </c>
      <c r="E53" s="582">
        <f>'数据-汇总表'!E8+'数据-汇总表'!E9</f>
        <v>82949.97</v>
      </c>
      <c r="F53" s="1609">
        <f t="shared" ref="F53:F61" si="14">ROUND(B53*E53/10000,0)</f>
        <v>9913</v>
      </c>
      <c r="G53" s="3704"/>
      <c r="H53" s="3705"/>
      <c r="I53" s="1612">
        <v>1</v>
      </c>
      <c r="J53" s="1298">
        <v>1</v>
      </c>
      <c r="K53" s="2725"/>
      <c r="L53" s="1760"/>
      <c r="M53" s="1760"/>
      <c r="N53" s="1760"/>
      <c r="O53" s="1760"/>
      <c r="P53" s="1760"/>
      <c r="Q53" s="1760"/>
      <c r="R53" s="1760"/>
      <c r="S53" s="1760"/>
      <c r="T53" s="1760"/>
      <c r="U53" s="1760"/>
      <c r="V53" s="1760"/>
      <c r="W53" s="1760"/>
      <c r="X53" s="1760"/>
      <c r="Y53" s="1760"/>
      <c r="Z53" s="1760"/>
      <c r="AA53" s="1760"/>
      <c r="AB53" s="1760"/>
      <c r="AC53" s="1760"/>
    </row>
    <row r="54" spans="1:58" s="1140" customFormat="1" ht="12.75">
      <c r="A54" s="584" t="s">
        <v>514</v>
      </c>
      <c r="B54" s="585">
        <f>ROUND($C$45*C54*D54,0)</f>
        <v>0</v>
      </c>
      <c r="C54" s="348">
        <f t="shared" ref="C54:C61" si="15">IF($C$52="北京市系数",I54,J54)</f>
        <v>0</v>
      </c>
      <c r="D54" s="1823">
        <v>0.25</v>
      </c>
      <c r="E54" s="586"/>
      <c r="F54" s="1609">
        <f t="shared" si="14"/>
        <v>0</v>
      </c>
      <c r="G54" s="3029" t="s">
        <v>1643</v>
      </c>
      <c r="H54" s="1613">
        <f>项目基本情况!B43</f>
        <v>0</v>
      </c>
      <c r="I54" s="1612">
        <f>SUMIF(修正!$A$57:$A$68,H54,修正!B57:B68)</f>
        <v>0</v>
      </c>
      <c r="J54" s="1299"/>
      <c r="K54" s="2725"/>
      <c r="L54" s="1760"/>
      <c r="M54" s="1760"/>
      <c r="N54" s="1760"/>
      <c r="O54" s="1760"/>
      <c r="P54" s="1760"/>
      <c r="Q54" s="1760"/>
      <c r="R54" s="1760"/>
      <c r="S54" s="1760"/>
      <c r="T54" s="1760"/>
      <c r="U54" s="1760"/>
      <c r="V54" s="1760"/>
      <c r="W54" s="1760"/>
      <c r="X54" s="1760"/>
      <c r="Y54" s="1760"/>
      <c r="Z54" s="1760"/>
      <c r="AA54" s="1760"/>
      <c r="AB54" s="1760"/>
      <c r="AC54" s="1760"/>
    </row>
    <row r="55" spans="1:58" s="1140" customFormat="1" ht="12.75">
      <c r="A55" s="584" t="s">
        <v>515</v>
      </c>
      <c r="B55" s="585">
        <f t="shared" ref="B55:B61" si="16">ROUND($C$45*C55*D55,0)</f>
        <v>0</v>
      </c>
      <c r="C55" s="348">
        <f t="shared" si="15"/>
        <v>0</v>
      </c>
      <c r="D55" s="1823">
        <v>0.25</v>
      </c>
      <c r="E55" s="586"/>
      <c r="F55" s="1609">
        <f t="shared" si="14"/>
        <v>0</v>
      </c>
      <c r="G55" s="3030"/>
      <c r="H55" s="1614">
        <f>项目基本情况!B43</f>
        <v>0</v>
      </c>
      <c r="I55" s="1612">
        <f>SUMIF(修正!$A$57:$A$68,H55,修正!C57:C68)</f>
        <v>0</v>
      </c>
      <c r="J55" s="1299"/>
      <c r="K55" s="2725"/>
      <c r="L55" s="1760"/>
      <c r="M55" s="1760"/>
      <c r="N55" s="1760"/>
      <c r="O55" s="1760"/>
      <c r="P55" s="1760"/>
      <c r="Q55" s="1760"/>
      <c r="R55" s="1760"/>
      <c r="S55" s="1760"/>
      <c r="T55" s="1760"/>
      <c r="U55" s="1760"/>
      <c r="V55" s="1760"/>
      <c r="W55" s="1760"/>
      <c r="X55" s="1760"/>
      <c r="Y55" s="1760"/>
      <c r="Z55" s="1760"/>
      <c r="AA55" s="1760"/>
      <c r="AB55" s="1760"/>
      <c r="AC55" s="1760"/>
    </row>
    <row r="56" spans="1:58" s="1140" customFormat="1" ht="12.75">
      <c r="A56" s="584" t="s">
        <v>516</v>
      </c>
      <c r="B56" s="585">
        <f t="shared" si="16"/>
        <v>0</v>
      </c>
      <c r="C56" s="348">
        <f t="shared" si="15"/>
        <v>0</v>
      </c>
      <c r="D56" s="1823">
        <v>0.25</v>
      </c>
      <c r="E56" s="586"/>
      <c r="F56" s="1609">
        <f t="shared" si="14"/>
        <v>0</v>
      </c>
      <c r="G56" s="3030"/>
      <c r="H56" s="1614">
        <f>项目基本情况!B43</f>
        <v>0</v>
      </c>
      <c r="I56" s="1612">
        <f>SUMIF(修正!$A$57:$A$68,H56,修正!D57:D68)</f>
        <v>0</v>
      </c>
      <c r="J56" s="1299"/>
      <c r="K56" s="2725"/>
      <c r="L56" s="1760"/>
      <c r="M56" s="1760"/>
      <c r="N56" s="1760"/>
      <c r="O56" s="1760"/>
      <c r="P56" s="1760"/>
      <c r="Q56" s="1760"/>
      <c r="R56" s="1760"/>
      <c r="S56" s="1760"/>
      <c r="T56" s="1760"/>
      <c r="U56" s="1760"/>
      <c r="V56" s="1760"/>
      <c r="W56" s="1760"/>
      <c r="X56" s="1760"/>
      <c r="Y56" s="1760"/>
      <c r="Z56" s="1760"/>
      <c r="AA56" s="1760"/>
      <c r="AB56" s="1760"/>
      <c r="AC56" s="1760"/>
    </row>
    <row r="57" spans="1:58" s="1140" customFormat="1" ht="12.75">
      <c r="A57" s="1919" t="s">
        <v>1685</v>
      </c>
      <c r="B57" s="585">
        <f t="shared" si="16"/>
        <v>0</v>
      </c>
      <c r="C57" s="348">
        <f t="shared" si="15"/>
        <v>0</v>
      </c>
      <c r="D57" s="1823">
        <v>0.25</v>
      </c>
      <c r="E57" s="588">
        <f>'数据-汇总表'!E11</f>
        <v>0</v>
      </c>
      <c r="F57" s="1609">
        <f t="shared" si="14"/>
        <v>0</v>
      </c>
      <c r="G57" s="1615" t="s">
        <v>1644</v>
      </c>
      <c r="H57" s="1614">
        <f>项目基本情况!C43</f>
        <v>0</v>
      </c>
      <c r="I57" s="1612">
        <f>SUMIF(修正!$A$57:$A$68,H57,修正!E57:E68)</f>
        <v>0</v>
      </c>
      <c r="J57" s="1299"/>
      <c r="K57" s="2725"/>
      <c r="L57" s="1760"/>
      <c r="M57" s="1760"/>
      <c r="N57" s="1760"/>
      <c r="O57" s="1760"/>
      <c r="P57" s="1760"/>
      <c r="Q57" s="1760"/>
      <c r="R57" s="1760"/>
      <c r="S57" s="1760"/>
      <c r="T57" s="1760"/>
      <c r="U57" s="1760"/>
      <c r="V57" s="1760"/>
      <c r="W57" s="1760"/>
      <c r="X57" s="1760"/>
      <c r="Y57" s="1760"/>
      <c r="Z57" s="1760"/>
      <c r="AA57" s="1760"/>
      <c r="AB57" s="1760"/>
      <c r="AC57" s="1760"/>
    </row>
    <row r="58" spans="1:58" s="1140" customFormat="1" ht="12.75">
      <c r="A58" s="584" t="s">
        <v>517</v>
      </c>
      <c r="B58" s="585">
        <f t="shared" si="16"/>
        <v>0</v>
      </c>
      <c r="C58" s="348">
        <f t="shared" si="15"/>
        <v>0</v>
      </c>
      <c r="D58" s="1823">
        <v>0.25</v>
      </c>
      <c r="E58" s="588">
        <f>'数据-汇总表'!E12</f>
        <v>0</v>
      </c>
      <c r="F58" s="1609">
        <f t="shared" si="14"/>
        <v>0</v>
      </c>
      <c r="G58" s="1605" t="s">
        <v>1212</v>
      </c>
      <c r="H58" s="1613">
        <f>IF(G58="商业",项目基本情况!B43,IF(G58="办公",项目基本情况!C43,IF(G58="住宅",项目基本情况!D43,项目基本情况!E43)))</f>
        <v>0</v>
      </c>
      <c r="I58" s="1612">
        <f>SUMIF(修正!$A$57:$A$68,H58,修正!F57:F68)</f>
        <v>0</v>
      </c>
      <c r="J58" s="1299"/>
      <c r="K58" s="2725"/>
      <c r="L58" s="1760"/>
      <c r="M58" s="1760"/>
      <c r="N58" s="1760"/>
      <c r="O58" s="1760"/>
      <c r="P58" s="1760"/>
      <c r="Q58" s="1760"/>
      <c r="R58" s="1760"/>
      <c r="S58" s="1760"/>
      <c r="T58" s="1760"/>
      <c r="U58" s="1760"/>
      <c r="V58" s="1760"/>
      <c r="W58" s="1760"/>
      <c r="X58" s="1760"/>
      <c r="Y58" s="1760"/>
      <c r="Z58" s="1760"/>
      <c r="AA58" s="1760"/>
      <c r="AB58" s="1760"/>
      <c r="AC58" s="1760"/>
    </row>
    <row r="59" spans="1:58" s="1140" customFormat="1" ht="12.75">
      <c r="A59" s="584" t="s">
        <v>518</v>
      </c>
      <c r="B59" s="585">
        <f t="shared" si="16"/>
        <v>0</v>
      </c>
      <c r="C59" s="348">
        <f t="shared" si="15"/>
        <v>0</v>
      </c>
      <c r="D59" s="1823">
        <v>0.25</v>
      </c>
      <c r="E59" s="588">
        <f>'数据-汇总表'!E13</f>
        <v>0</v>
      </c>
      <c r="F59" s="1609">
        <f t="shared" si="14"/>
        <v>0</v>
      </c>
      <c r="G59" s="1605" t="s">
        <v>851</v>
      </c>
      <c r="H59" s="1613">
        <f>IF(G59="商业",项目基本情况!B43,IF(G59="办公",项目基本情况!C43,IF(G59="住宅",项目基本情况!D43,项目基本情况!E43)))</f>
        <v>0</v>
      </c>
      <c r="I59" s="1612">
        <f>SUMIF(修正!$A$57:$A$68,H59,修正!G57:G68)</f>
        <v>0</v>
      </c>
      <c r="J59" s="1299"/>
      <c r="K59" s="2725"/>
      <c r="L59" s="1760"/>
      <c r="M59" s="1760"/>
      <c r="N59" s="1760"/>
      <c r="O59" s="1760"/>
      <c r="P59" s="1760"/>
      <c r="Q59" s="1760"/>
      <c r="R59" s="1760"/>
      <c r="S59" s="1760"/>
      <c r="T59" s="1760"/>
      <c r="U59" s="1760"/>
      <c r="V59" s="1760"/>
      <c r="W59" s="1760"/>
      <c r="X59" s="1760"/>
      <c r="Y59" s="1760"/>
      <c r="Z59" s="1760"/>
      <c r="AA59" s="1760"/>
      <c r="AB59" s="1760"/>
      <c r="AC59" s="1760"/>
    </row>
    <row r="60" spans="1:58" s="1140" customFormat="1" ht="12.75">
      <c r="A60" s="584" t="s">
        <v>519</v>
      </c>
      <c r="B60" s="585">
        <f t="shared" si="16"/>
        <v>0</v>
      </c>
      <c r="C60" s="348">
        <f t="shared" si="15"/>
        <v>0</v>
      </c>
      <c r="D60" s="1823">
        <v>0.25</v>
      </c>
      <c r="E60" s="588">
        <f>'数据-汇总表'!E14</f>
        <v>0</v>
      </c>
      <c r="F60" s="1609">
        <f t="shared" si="14"/>
        <v>0</v>
      </c>
      <c r="G60" s="1615" t="s">
        <v>1643</v>
      </c>
      <c r="H60" s="1614">
        <f>项目基本情况!B43</f>
        <v>0</v>
      </c>
      <c r="I60" s="1612">
        <f>SUMIF(修正!$A$57:$A$68,H60,修正!G57:G68)</f>
        <v>0</v>
      </c>
      <c r="J60" s="1299"/>
      <c r="K60" s="2725"/>
      <c r="L60" s="1760"/>
      <c r="M60" s="1760"/>
      <c r="N60" s="1760"/>
      <c r="O60" s="1760"/>
      <c r="P60" s="1760"/>
      <c r="Q60" s="1760"/>
      <c r="R60" s="1760"/>
      <c r="S60" s="1760"/>
      <c r="T60" s="1760"/>
      <c r="U60" s="1760"/>
      <c r="V60" s="1760"/>
      <c r="W60" s="1760"/>
      <c r="X60" s="1760"/>
      <c r="Y60" s="1760"/>
      <c r="Z60" s="1760"/>
      <c r="AA60" s="1760"/>
      <c r="AB60" s="1760"/>
      <c r="AC60" s="1760"/>
    </row>
    <row r="61" spans="1:58" s="1140" customFormat="1" ht="13.5" thickBot="1">
      <c r="A61" s="584" t="s">
        <v>520</v>
      </c>
      <c r="B61" s="585">
        <f t="shared" si="16"/>
        <v>0</v>
      </c>
      <c r="C61" s="348">
        <f t="shared" si="15"/>
        <v>0</v>
      </c>
      <c r="D61" s="1823">
        <v>0.25</v>
      </c>
      <c r="E61" s="588">
        <f>'数据-汇总表'!E15</f>
        <v>0</v>
      </c>
      <c r="F61" s="1609">
        <f t="shared" si="14"/>
        <v>0</v>
      </c>
      <c r="G61" s="1616" t="s">
        <v>1644</v>
      </c>
      <c r="H61" s="1617">
        <f>项目基本情况!C43</f>
        <v>0</v>
      </c>
      <c r="I61" s="1612">
        <f>SUMIF(修正!$A$57:$A$68,H61,修正!G57:G68)</f>
        <v>0</v>
      </c>
      <c r="J61" s="1299"/>
      <c r="K61" s="2725"/>
      <c r="L61" s="1760"/>
      <c r="M61" s="1760"/>
      <c r="N61" s="1760"/>
      <c r="O61" s="1760"/>
      <c r="P61" s="1760"/>
      <c r="Q61" s="1760"/>
      <c r="R61" s="1760"/>
      <c r="S61" s="1760"/>
      <c r="T61" s="1760"/>
      <c r="U61" s="1760"/>
      <c r="V61" s="1760"/>
      <c r="W61" s="1760"/>
      <c r="X61" s="1760"/>
      <c r="Y61" s="1760"/>
      <c r="Z61" s="1760"/>
      <c r="AA61" s="1760"/>
      <c r="AB61" s="1760"/>
      <c r="AC61" s="1760"/>
    </row>
    <row r="62" spans="1:58" s="1140" customFormat="1" ht="13.5" thickBot="1">
      <c r="A62" s="589" t="s">
        <v>521</v>
      </c>
      <c r="B62" s="590" t="s">
        <v>11</v>
      </c>
      <c r="C62" s="590" t="s">
        <v>12</v>
      </c>
      <c r="D62" s="590" t="s">
        <v>1651</v>
      </c>
      <c r="E62" s="590">
        <f>IF(B43="楼面地价",SUM(E53:E61),'数据-汇总表'!D3)</f>
        <v>82949.97</v>
      </c>
      <c r="F62" s="591">
        <f>IF(B43="楼面地价",SUM(F53:F61),ROUND(C45*E62/10000,0))</f>
        <v>9913</v>
      </c>
      <c r="G62" s="1761"/>
      <c r="H62" s="1761"/>
      <c r="I62" s="1761"/>
      <c r="J62" s="1761"/>
      <c r="K62" s="2733"/>
      <c r="L62" s="1760"/>
      <c r="M62" s="1760"/>
      <c r="N62" s="1760"/>
      <c r="O62" s="1760"/>
      <c r="P62" s="1760"/>
      <c r="Q62" s="1760"/>
      <c r="R62" s="1760"/>
      <c r="S62" s="1760"/>
      <c r="T62" s="1760"/>
      <c r="U62" s="1760"/>
      <c r="V62" s="1760"/>
      <c r="W62" s="1760"/>
      <c r="X62" s="1760"/>
      <c r="Y62" s="1760"/>
      <c r="Z62" s="1760"/>
      <c r="AA62" s="1760"/>
      <c r="AB62" s="1760"/>
      <c r="AC62" s="1760"/>
    </row>
    <row r="63" spans="1:58">
      <c r="A63" s="1742"/>
      <c r="B63" s="1753"/>
      <c r="C63" s="1756"/>
      <c r="D63" s="1742"/>
      <c r="E63" s="1742"/>
      <c r="F63" s="1742"/>
      <c r="G63" s="1742"/>
      <c r="H63" s="1742"/>
      <c r="I63" s="1742"/>
      <c r="J63" s="1742"/>
      <c r="K63" s="1754"/>
      <c r="L63" s="1755"/>
      <c r="M63" s="1742"/>
      <c r="N63" s="1742"/>
      <c r="O63" s="1742"/>
      <c r="P63" s="1742"/>
      <c r="Q63" s="1742"/>
      <c r="R63" s="1742"/>
      <c r="S63" s="1742"/>
      <c r="T63" s="1742"/>
      <c r="U63" s="1742"/>
      <c r="V63" s="1742"/>
      <c r="W63" s="1742"/>
      <c r="X63" s="1742"/>
      <c r="Y63" s="1742"/>
      <c r="Z63" s="1742"/>
      <c r="AA63" s="1742"/>
      <c r="AB63" s="1742"/>
      <c r="AC63" s="1742"/>
    </row>
    <row r="64" spans="1:58">
      <c r="A64" s="1742"/>
      <c r="B64" s="1753"/>
      <c r="C64" s="2112" t="str">
        <f>YEAR(C9)&amp;"-"&amp;MONTH(C9)&amp;"-1"</f>
        <v>2024-7-1</v>
      </c>
      <c r="D64" s="2111">
        <f>EDATE(C64,-3)</f>
        <v>45383</v>
      </c>
      <c r="E64" s="2111">
        <f t="shared" ref="E64:N64" si="17">EDATE(D64,-3)</f>
        <v>45292</v>
      </c>
      <c r="F64" s="2111">
        <f t="shared" si="17"/>
        <v>45200</v>
      </c>
      <c r="G64" s="2111">
        <f t="shared" si="17"/>
        <v>45108</v>
      </c>
      <c r="H64" s="2111">
        <f t="shared" si="17"/>
        <v>45017</v>
      </c>
      <c r="I64" s="2111">
        <f t="shared" si="17"/>
        <v>44927</v>
      </c>
      <c r="J64" s="2111">
        <f t="shared" si="17"/>
        <v>44835</v>
      </c>
      <c r="K64" s="2111">
        <f t="shared" si="17"/>
        <v>44743</v>
      </c>
      <c r="L64" s="2111">
        <f t="shared" si="17"/>
        <v>44652</v>
      </c>
      <c r="M64" s="2111">
        <f t="shared" si="17"/>
        <v>44562</v>
      </c>
      <c r="N64" s="2111">
        <f t="shared" si="17"/>
        <v>44470</v>
      </c>
      <c r="O64" s="2111">
        <f t="shared" ref="O64" si="18">EDATE(N64,-3)</f>
        <v>44378</v>
      </c>
      <c r="P64" s="2111">
        <f t="shared" ref="P64" si="19">EDATE(O64,-3)</f>
        <v>44287</v>
      </c>
      <c r="Q64" s="2111">
        <f t="shared" ref="Q64" si="20">EDATE(P64,-3)</f>
        <v>44197</v>
      </c>
      <c r="R64" s="2111">
        <f t="shared" ref="R64" si="21">EDATE(Q64,-3)</f>
        <v>44105</v>
      </c>
      <c r="S64" s="2111">
        <f t="shared" ref="S64" si="22">EDATE(R64,-3)</f>
        <v>44013</v>
      </c>
      <c r="T64" s="2111">
        <f t="shared" ref="T64" si="23">EDATE(S64,-3)</f>
        <v>43922</v>
      </c>
      <c r="U64" s="2111">
        <f t="shared" ref="U64" si="24">EDATE(T64,-3)</f>
        <v>43831</v>
      </c>
      <c r="V64" s="2111">
        <f t="shared" ref="V64" si="25">EDATE(U64,-3)</f>
        <v>43739</v>
      </c>
      <c r="W64" s="2111">
        <f t="shared" ref="W64" si="26">EDATE(V64,-3)</f>
        <v>43647</v>
      </c>
      <c r="X64" s="2111">
        <f t="shared" ref="X64" si="27">EDATE(W64,-3)</f>
        <v>43556</v>
      </c>
      <c r="Y64" s="2111">
        <f t="shared" ref="Y64" si="28">EDATE(X64,-3)</f>
        <v>43466</v>
      </c>
      <c r="Z64" s="2111">
        <f t="shared" ref="Z64" si="29">EDATE(Y64,-3)</f>
        <v>43374</v>
      </c>
      <c r="AA64" s="2111">
        <f t="shared" ref="AA64" si="30">EDATE(Z64,-3)</f>
        <v>43282</v>
      </c>
      <c r="AB64" s="2111">
        <f t="shared" ref="AB64" si="31">EDATE(AA64,-3)</f>
        <v>43191</v>
      </c>
      <c r="AC64" s="2111">
        <f t="shared" ref="AC64" si="32">EDATE(AB64,-3)</f>
        <v>43101</v>
      </c>
      <c r="AD64" s="2111">
        <f t="shared" ref="AD64" si="33">EDATE(AC64,-3)</f>
        <v>43009</v>
      </c>
      <c r="AE64" s="2111">
        <f t="shared" ref="AE64" si="34">EDATE(AD64,-3)</f>
        <v>42917</v>
      </c>
      <c r="AF64" s="2111">
        <f t="shared" ref="AF64" si="35">EDATE(AE64,-3)</f>
        <v>42826</v>
      </c>
      <c r="AG64" s="2111">
        <f t="shared" ref="AG64" si="36">EDATE(AF64,-3)</f>
        <v>42736</v>
      </c>
      <c r="AH64" s="2111">
        <f t="shared" ref="AH64" si="37">EDATE(AG64,-3)</f>
        <v>42644</v>
      </c>
      <c r="AI64" s="2111">
        <f t="shared" ref="AI64" si="38">EDATE(AH64,-3)</f>
        <v>42552</v>
      </c>
      <c r="AJ64" s="2111">
        <f t="shared" ref="AJ64" si="39">EDATE(AI64,-3)</f>
        <v>42461</v>
      </c>
      <c r="AK64" s="2111">
        <f t="shared" ref="AK64" si="40">EDATE(AJ64,-3)</f>
        <v>42370</v>
      </c>
      <c r="AL64" s="2111">
        <f t="shared" ref="AL64" si="41">EDATE(AK64,-3)</f>
        <v>42278</v>
      </c>
      <c r="AM64" s="2111">
        <f t="shared" ref="AM64" si="42">EDATE(AL64,-3)</f>
        <v>42186</v>
      </c>
      <c r="AN64" s="2111">
        <f t="shared" ref="AN64" si="43">EDATE(AM64,-3)</f>
        <v>42095</v>
      </c>
      <c r="AO64" s="2111">
        <f t="shared" ref="AO64" si="44">EDATE(AN64,-3)</f>
        <v>42005</v>
      </c>
      <c r="AP64" s="2111">
        <f t="shared" ref="AP64" si="45">EDATE(AO64,-3)</f>
        <v>41913</v>
      </c>
      <c r="AQ64" s="2111">
        <f t="shared" ref="AQ64" si="46">EDATE(AP64,-3)</f>
        <v>41821</v>
      </c>
      <c r="AR64" s="2111">
        <f t="shared" ref="AR64" si="47">EDATE(AQ64,-3)</f>
        <v>41730</v>
      </c>
      <c r="AS64" s="2111">
        <f t="shared" ref="AS64" si="48">EDATE(AR64,-3)</f>
        <v>41640</v>
      </c>
      <c r="AT64" s="2111">
        <f t="shared" ref="AT64" si="49">EDATE(AS64,-3)</f>
        <v>41548</v>
      </c>
      <c r="AU64" s="2111">
        <f t="shared" ref="AU64" si="50">EDATE(AT64,-3)</f>
        <v>41456</v>
      </c>
      <c r="AV64" s="2111">
        <f t="shared" ref="AV64" si="51">EDATE(AU64,-3)</f>
        <v>41365</v>
      </c>
      <c r="AW64" s="2111">
        <f t="shared" ref="AW64" si="52">EDATE(AV64,-3)</f>
        <v>41275</v>
      </c>
      <c r="AX64" s="2111">
        <f t="shared" ref="AX64" si="53">EDATE(AW64,-3)</f>
        <v>41183</v>
      </c>
      <c r="AY64" s="2111">
        <f t="shared" ref="AY64" si="54">EDATE(AX64,-3)</f>
        <v>41091</v>
      </c>
      <c r="AZ64" s="2111">
        <f t="shared" ref="AZ64" si="55">EDATE(AY64,-3)</f>
        <v>41000</v>
      </c>
      <c r="BA64" s="2111">
        <f t="shared" ref="BA64" si="56">EDATE(AZ64,-3)</f>
        <v>40909</v>
      </c>
      <c r="BB64" s="2111">
        <f t="shared" ref="BB64" si="57">EDATE(BA64,-3)</f>
        <v>40817</v>
      </c>
      <c r="BC64" s="2111">
        <f t="shared" ref="BC64" si="58">EDATE(BB64,-3)</f>
        <v>40725</v>
      </c>
      <c r="BD64" s="2111">
        <f t="shared" ref="BD64" si="59">EDATE(BC64,-3)</f>
        <v>40634</v>
      </c>
      <c r="BE64" s="2111">
        <f t="shared" ref="BE64" si="60">EDATE(BD64,-3)</f>
        <v>40544</v>
      </c>
      <c r="BF64" s="2111">
        <f t="shared" ref="BF64" si="61">EDATE(BE64,-3)</f>
        <v>40452</v>
      </c>
    </row>
    <row r="65" spans="1:58" ht="21.75" thickBot="1">
      <c r="A65" s="1317" t="s">
        <v>522</v>
      </c>
      <c r="B65" s="799"/>
      <c r="C65" s="1316"/>
      <c r="D65" s="1316"/>
      <c r="E65" s="1316"/>
      <c r="F65" s="1318"/>
      <c r="G65" s="1318"/>
      <c r="H65" s="1316"/>
      <c r="I65" s="1316"/>
      <c r="J65" s="1316"/>
      <c r="K65" s="1319"/>
      <c r="L65" s="1315"/>
      <c r="M65" s="1316"/>
      <c r="N65" s="1316"/>
      <c r="O65" s="1762"/>
      <c r="P65" s="1762"/>
      <c r="Q65" s="1763"/>
      <c r="R65" s="1742"/>
      <c r="S65" s="1742"/>
      <c r="T65" s="1742"/>
      <c r="U65" s="1742"/>
      <c r="V65" s="1742"/>
      <c r="W65" s="1742"/>
      <c r="X65" s="1742"/>
      <c r="Y65" s="1742"/>
      <c r="Z65" s="1742"/>
      <c r="AA65" s="1742"/>
      <c r="AB65" s="1742"/>
      <c r="AC65" s="1742"/>
    </row>
    <row r="66" spans="1:58" s="1141" customFormat="1" ht="42.75">
      <c r="A66" s="2042" t="s">
        <v>1816</v>
      </c>
      <c r="B66" s="593"/>
      <c r="C66" s="155" t="str">
        <f>YEAR(C64)&amp;"-"&amp;ROUNDUP(MONTH(C64)/3,0)</f>
        <v>2024-3</v>
      </c>
      <c r="D66" s="155" t="str">
        <f t="shared" ref="D66:V66" si="62">YEAR(D64)&amp;"-"&amp;ROUNDUP(MONTH(D64)/3,0)</f>
        <v>2024-2</v>
      </c>
      <c r="E66" s="155" t="str">
        <f t="shared" si="62"/>
        <v>2024-1</v>
      </c>
      <c r="F66" s="155" t="str">
        <f t="shared" si="62"/>
        <v>2023-4</v>
      </c>
      <c r="G66" s="155" t="str">
        <f t="shared" si="62"/>
        <v>2023-3</v>
      </c>
      <c r="H66" s="155" t="str">
        <f t="shared" si="62"/>
        <v>2023-2</v>
      </c>
      <c r="I66" s="155" t="str">
        <f t="shared" si="62"/>
        <v>2023-1</v>
      </c>
      <c r="J66" s="155" t="str">
        <f t="shared" si="62"/>
        <v>2022-4</v>
      </c>
      <c r="K66" s="155" t="str">
        <f t="shared" si="62"/>
        <v>2022-3</v>
      </c>
      <c r="L66" s="155" t="str">
        <f t="shared" si="62"/>
        <v>2022-2</v>
      </c>
      <c r="M66" s="155" t="str">
        <f t="shared" si="62"/>
        <v>2022-1</v>
      </c>
      <c r="N66" s="155" t="str">
        <f t="shared" si="62"/>
        <v>2021-4</v>
      </c>
      <c r="O66" s="155" t="str">
        <f t="shared" si="62"/>
        <v>2021-3</v>
      </c>
      <c r="P66" s="155" t="str">
        <f t="shared" si="62"/>
        <v>2021-2</v>
      </c>
      <c r="Q66" s="155" t="str">
        <f t="shared" si="62"/>
        <v>2021-1</v>
      </c>
      <c r="R66" s="155" t="str">
        <f t="shared" si="62"/>
        <v>2020-4</v>
      </c>
      <c r="S66" s="155" t="str">
        <f t="shared" si="62"/>
        <v>2020-3</v>
      </c>
      <c r="T66" s="155" t="str">
        <f t="shared" si="62"/>
        <v>2020-2</v>
      </c>
      <c r="U66" s="155" t="str">
        <f t="shared" si="62"/>
        <v>2020-1</v>
      </c>
      <c r="V66" s="155" t="str">
        <f t="shared" si="62"/>
        <v>2019-4</v>
      </c>
      <c r="W66" s="155" t="str">
        <f t="shared" ref="W66:BF66" si="63">YEAR(W64)&amp;"-"&amp;ROUNDUP(MONTH(W64)/3,0)</f>
        <v>2019-3</v>
      </c>
      <c r="X66" s="155" t="str">
        <f t="shared" si="63"/>
        <v>2019-2</v>
      </c>
      <c r="Y66" s="155" t="str">
        <f t="shared" si="63"/>
        <v>2019-1</v>
      </c>
      <c r="Z66" s="155" t="str">
        <f t="shared" si="63"/>
        <v>2018-4</v>
      </c>
      <c r="AA66" s="155" t="str">
        <f t="shared" si="63"/>
        <v>2018-3</v>
      </c>
      <c r="AB66" s="155" t="str">
        <f t="shared" si="63"/>
        <v>2018-2</v>
      </c>
      <c r="AC66" s="155" t="str">
        <f t="shared" si="63"/>
        <v>2018-1</v>
      </c>
      <c r="AD66" s="155" t="str">
        <f t="shared" si="63"/>
        <v>2017-4</v>
      </c>
      <c r="AE66" s="155" t="str">
        <f t="shared" si="63"/>
        <v>2017-3</v>
      </c>
      <c r="AF66" s="155" t="str">
        <f t="shared" si="63"/>
        <v>2017-2</v>
      </c>
      <c r="AG66" s="155" t="str">
        <f t="shared" si="63"/>
        <v>2017-1</v>
      </c>
      <c r="AH66" s="155" t="str">
        <f t="shared" si="63"/>
        <v>2016-4</v>
      </c>
      <c r="AI66" s="155" t="str">
        <f t="shared" si="63"/>
        <v>2016-3</v>
      </c>
      <c r="AJ66" s="155" t="str">
        <f t="shared" si="63"/>
        <v>2016-2</v>
      </c>
      <c r="AK66" s="155" t="str">
        <f t="shared" si="63"/>
        <v>2016-1</v>
      </c>
      <c r="AL66" s="155" t="str">
        <f t="shared" si="63"/>
        <v>2015-4</v>
      </c>
      <c r="AM66" s="155" t="str">
        <f t="shared" si="63"/>
        <v>2015-3</v>
      </c>
      <c r="AN66" s="155" t="str">
        <f t="shared" si="63"/>
        <v>2015-2</v>
      </c>
      <c r="AO66" s="155" t="str">
        <f t="shared" si="63"/>
        <v>2015-1</v>
      </c>
      <c r="AP66" s="155" t="str">
        <f t="shared" si="63"/>
        <v>2014-4</v>
      </c>
      <c r="AQ66" s="155" t="str">
        <f t="shared" si="63"/>
        <v>2014-3</v>
      </c>
      <c r="AR66" s="155" t="str">
        <f t="shared" si="63"/>
        <v>2014-2</v>
      </c>
      <c r="AS66" s="155" t="str">
        <f t="shared" si="63"/>
        <v>2014-1</v>
      </c>
      <c r="AT66" s="155" t="str">
        <f t="shared" si="63"/>
        <v>2013-4</v>
      </c>
      <c r="AU66" s="155" t="str">
        <f t="shared" si="63"/>
        <v>2013-3</v>
      </c>
      <c r="AV66" s="155" t="str">
        <f t="shared" si="63"/>
        <v>2013-2</v>
      </c>
      <c r="AW66" s="155" t="str">
        <f t="shared" si="63"/>
        <v>2013-1</v>
      </c>
      <c r="AX66" s="155" t="str">
        <f t="shared" si="63"/>
        <v>2012-4</v>
      </c>
      <c r="AY66" s="155" t="str">
        <f t="shared" si="63"/>
        <v>2012-3</v>
      </c>
      <c r="AZ66" s="155" t="str">
        <f t="shared" si="63"/>
        <v>2012-2</v>
      </c>
      <c r="BA66" s="155" t="str">
        <f t="shared" si="63"/>
        <v>2012-1</v>
      </c>
      <c r="BB66" s="155" t="str">
        <f t="shared" si="63"/>
        <v>2011-4</v>
      </c>
      <c r="BC66" s="155" t="str">
        <f t="shared" si="63"/>
        <v>2011-3</v>
      </c>
      <c r="BD66" s="155" t="str">
        <f t="shared" si="63"/>
        <v>2011-2</v>
      </c>
      <c r="BE66" s="155" t="str">
        <f t="shared" si="63"/>
        <v>2011-1</v>
      </c>
      <c r="BF66" s="155" t="str">
        <f t="shared" si="63"/>
        <v>2010-4</v>
      </c>
    </row>
    <row r="67" spans="1:58" s="1060" customFormat="1" ht="27.75" customHeight="1">
      <c r="A67" s="2110" t="s">
        <v>1931</v>
      </c>
      <c r="B67" s="448" t="str">
        <f>"北京市平均增长率"&amp;TEXT(基准地价!P28,"0.00%")</f>
        <v>北京市平均增长率0.00%</v>
      </c>
      <c r="C67" s="818">
        <v>100</v>
      </c>
      <c r="D67" s="3400">
        <f>C67-$C$68</f>
        <v>99.9</v>
      </c>
      <c r="E67" s="3400">
        <f t="shared" ref="E67:M67" si="64">D67-$C$68</f>
        <v>99.800000000000011</v>
      </c>
      <c r="F67" s="3400">
        <f t="shared" si="64"/>
        <v>99.700000000000017</v>
      </c>
      <c r="G67" s="3400">
        <f t="shared" si="64"/>
        <v>99.600000000000023</v>
      </c>
      <c r="H67" s="3400">
        <f t="shared" si="64"/>
        <v>99.500000000000028</v>
      </c>
      <c r="I67" s="3400">
        <f t="shared" si="64"/>
        <v>99.400000000000034</v>
      </c>
      <c r="J67" s="3400">
        <f t="shared" si="64"/>
        <v>99.30000000000004</v>
      </c>
      <c r="K67" s="3400">
        <f t="shared" si="64"/>
        <v>99.200000000000045</v>
      </c>
      <c r="L67" s="3400">
        <f t="shared" si="64"/>
        <v>99.100000000000051</v>
      </c>
      <c r="M67" s="3400">
        <f t="shared" si="64"/>
        <v>99.000000000000057</v>
      </c>
      <c r="N67" s="3400">
        <f t="shared" ref="N67" si="65">M67-$C$68</f>
        <v>98.900000000000063</v>
      </c>
      <c r="O67" s="3400">
        <f t="shared" ref="O67" si="66">N67-$C$68</f>
        <v>98.800000000000068</v>
      </c>
      <c r="P67" s="3400">
        <f t="shared" ref="P67" si="67">O67-$C$68</f>
        <v>98.700000000000074</v>
      </c>
      <c r="Q67" s="3400">
        <f t="shared" ref="Q67" si="68">P67-$C$68</f>
        <v>98.60000000000008</v>
      </c>
      <c r="R67" s="3400">
        <f t="shared" ref="R67" si="69">Q67-$C$68</f>
        <v>98.500000000000085</v>
      </c>
      <c r="S67" s="3400">
        <f t="shared" ref="S67" si="70">R67-$C$68</f>
        <v>98.400000000000091</v>
      </c>
      <c r="T67" s="3400">
        <f t="shared" ref="T67" si="71">S67-$C$68</f>
        <v>98.300000000000097</v>
      </c>
      <c r="U67" s="3400">
        <f t="shared" ref="U67" si="72">T67-$C$68</f>
        <v>98.200000000000102</v>
      </c>
      <c r="V67" s="3400">
        <f t="shared" ref="V67" si="73">U67-$C$68</f>
        <v>98.100000000000108</v>
      </c>
      <c r="W67" s="3400">
        <f t="shared" ref="W67" si="74">V67-$C$68</f>
        <v>98.000000000000114</v>
      </c>
      <c r="X67" s="3400">
        <f t="shared" ref="X67" si="75">W67-$C$68</f>
        <v>97.900000000000119</v>
      </c>
      <c r="Y67" s="3400">
        <f t="shared" ref="Y67" si="76">X67-$C$68</f>
        <v>97.800000000000125</v>
      </c>
      <c r="Z67" s="3400">
        <f t="shared" ref="Z67" si="77">Y67-$C$68</f>
        <v>97.700000000000131</v>
      </c>
      <c r="AA67" s="3400">
        <f t="shared" ref="AA67" si="78">Z67-$C$68</f>
        <v>97.600000000000136</v>
      </c>
      <c r="AB67" s="3400">
        <f t="shared" ref="AB67" si="79">AA67-$C$68</f>
        <v>97.500000000000142</v>
      </c>
      <c r="AC67" s="3400">
        <f t="shared" ref="AC67" si="80">AB67-$C$68</f>
        <v>97.400000000000148</v>
      </c>
      <c r="AD67" s="3400">
        <f t="shared" ref="AD67" si="81">AC67-$C$68</f>
        <v>97.300000000000153</v>
      </c>
      <c r="AE67" s="3400">
        <f t="shared" ref="AE67" si="82">AD67-$C$68</f>
        <v>97.200000000000159</v>
      </c>
      <c r="AF67" s="3400">
        <f t="shared" ref="AF67" si="83">AE67-$C$68</f>
        <v>97.100000000000165</v>
      </c>
      <c r="AG67" s="3400">
        <f t="shared" ref="AG67" si="84">AF67-$C$68</f>
        <v>97.000000000000171</v>
      </c>
      <c r="AH67" s="3400">
        <f t="shared" ref="AH67" si="85">AG67-$C$68</f>
        <v>96.900000000000176</v>
      </c>
      <c r="AI67" s="3400">
        <f t="shared" ref="AI67" si="86">AH67-$C$68</f>
        <v>96.800000000000182</v>
      </c>
      <c r="AJ67" s="3400">
        <f t="shared" ref="AJ67" si="87">AI67-$C$68</f>
        <v>96.700000000000188</v>
      </c>
      <c r="AK67" s="3400">
        <f t="shared" ref="AK67" si="88">AJ67-$C$68</f>
        <v>96.600000000000193</v>
      </c>
      <c r="AL67" s="3400">
        <f t="shared" ref="AL67" si="89">AK67-$C$68</f>
        <v>96.500000000000199</v>
      </c>
      <c r="AM67" s="3400">
        <f t="shared" ref="AM67" si="90">AL67-$C$68</f>
        <v>96.400000000000205</v>
      </c>
      <c r="AN67" s="3400">
        <f t="shared" ref="AN67" si="91">AM67-$C$68</f>
        <v>96.30000000000021</v>
      </c>
      <c r="AO67" s="3400">
        <f t="shared" ref="AO67" si="92">AN67-$C$68</f>
        <v>96.200000000000216</v>
      </c>
      <c r="AP67" s="3400">
        <f t="shared" ref="AP67" si="93">AO67-$C$68</f>
        <v>96.100000000000222</v>
      </c>
      <c r="AQ67" s="3400">
        <f t="shared" ref="AQ67" si="94">AP67-$C$68</f>
        <v>96.000000000000227</v>
      </c>
      <c r="AR67" s="3400">
        <f t="shared" ref="AR67" si="95">AQ67-$C$68</f>
        <v>95.900000000000233</v>
      </c>
      <c r="AS67" s="3400">
        <f t="shared" ref="AS67" si="96">AR67-$C$68</f>
        <v>95.800000000000239</v>
      </c>
      <c r="AT67" s="3400">
        <f t="shared" ref="AT67" si="97">AS67-$C$68</f>
        <v>95.700000000000244</v>
      </c>
      <c r="AU67" s="3400">
        <f t="shared" ref="AU67" si="98">AT67-$C$68</f>
        <v>95.60000000000025</v>
      </c>
      <c r="AV67" s="3400">
        <f t="shared" ref="AV67" si="99">AU67-$C$68</f>
        <v>95.500000000000256</v>
      </c>
      <c r="AW67" s="3400">
        <f t="shared" ref="AW67" si="100">AV67-$C$68</f>
        <v>95.400000000000261</v>
      </c>
      <c r="AX67" s="3400">
        <f t="shared" ref="AX67" si="101">AW67-$C$68</f>
        <v>95.300000000000267</v>
      </c>
      <c r="AY67" s="3400">
        <f t="shared" ref="AY67" si="102">AX67-$C$68</f>
        <v>95.200000000000273</v>
      </c>
      <c r="AZ67" s="3400">
        <f t="shared" ref="AZ67" si="103">AY67-$C$68</f>
        <v>95.100000000000279</v>
      </c>
      <c r="BA67" s="3400">
        <f t="shared" ref="BA67" si="104">AZ67-$C$68</f>
        <v>95.000000000000284</v>
      </c>
      <c r="BB67" s="3400">
        <f t="shared" ref="BB67" si="105">BA67-$C$68</f>
        <v>94.90000000000029</v>
      </c>
      <c r="BC67" s="3400">
        <f t="shared" ref="BC67" si="106">BB67-$C$68</f>
        <v>94.800000000000296</v>
      </c>
      <c r="BD67" s="3400">
        <f t="shared" ref="BD67" si="107">BC67-$C$68</f>
        <v>94.700000000000301</v>
      </c>
      <c r="BE67" s="3400">
        <f t="shared" ref="BE67" si="108">BD67-$C$68</f>
        <v>94.600000000000307</v>
      </c>
      <c r="BF67" s="3400">
        <f t="shared" ref="BF67" si="109">BE67-$C$68</f>
        <v>94.500000000000313</v>
      </c>
    </row>
    <row r="68" spans="1:58" s="1060" customFormat="1" ht="15.75" thickBot="1">
      <c r="A68" s="262" t="s">
        <v>523</v>
      </c>
      <c r="B68" s="598"/>
      <c r="C68" s="3399">
        <v>0.1</v>
      </c>
      <c r="D68" s="2108"/>
      <c r="E68" s="2108"/>
      <c r="F68" s="2108"/>
      <c r="G68" s="2108"/>
      <c r="H68" s="2108"/>
      <c r="I68" s="2108"/>
      <c r="J68" s="2108"/>
      <c r="K68" s="2108"/>
      <c r="L68" s="2108"/>
      <c r="M68" s="2108"/>
      <c r="N68" s="2108"/>
      <c r="O68" s="1766"/>
      <c r="P68" s="1763"/>
      <c r="Q68" s="1763"/>
      <c r="R68" s="1640"/>
      <c r="S68" s="1640"/>
      <c r="T68" s="1640"/>
      <c r="U68" s="1640"/>
      <c r="V68" s="1640"/>
      <c r="W68" s="1640"/>
      <c r="X68" s="1640"/>
      <c r="Y68" s="1640"/>
      <c r="Z68" s="1640"/>
      <c r="AA68" s="1640"/>
      <c r="AB68" s="1640"/>
      <c r="AC68" s="1640"/>
    </row>
    <row r="69" spans="1:58" s="1060" customFormat="1" ht="15">
      <c r="A69" s="603" t="s">
        <v>480</v>
      </c>
      <c r="B69" s="594"/>
      <c r="C69" s="604" t="s">
        <v>524</v>
      </c>
      <c r="D69" s="80"/>
      <c r="E69" s="80"/>
      <c r="F69" s="80"/>
      <c r="G69" s="80"/>
      <c r="H69" s="80"/>
      <c r="I69" s="80"/>
      <c r="J69" s="80"/>
      <c r="K69" s="80"/>
      <c r="L69" s="605"/>
      <c r="M69" s="606"/>
      <c r="N69" s="2734"/>
      <c r="O69" s="1766"/>
      <c r="P69" s="1647"/>
      <c r="Q69" s="1763"/>
      <c r="R69" s="1640"/>
      <c r="S69" s="1640"/>
      <c r="T69" s="1640"/>
      <c r="U69" s="1640"/>
      <c r="V69" s="1640"/>
      <c r="W69" s="1640"/>
      <c r="X69" s="1640"/>
      <c r="Y69" s="1640"/>
      <c r="Z69" s="1640"/>
      <c r="AA69" s="1640"/>
      <c r="AB69" s="1640"/>
      <c r="AC69" s="1640"/>
    </row>
    <row r="70" spans="1:58" s="1060" customFormat="1" ht="15.75" thickBot="1">
      <c r="A70" s="603"/>
      <c r="B70" s="594"/>
      <c r="C70" s="595">
        <v>100</v>
      </c>
      <c r="D70" s="596"/>
      <c r="E70" s="596"/>
      <c r="F70" s="596"/>
      <c r="G70" s="596"/>
      <c r="H70" s="596"/>
      <c r="I70" s="596"/>
      <c r="J70" s="596"/>
      <c r="K70" s="596"/>
      <c r="L70" s="596"/>
      <c r="M70" s="597"/>
      <c r="N70" s="2734"/>
      <c r="O70" s="1766"/>
      <c r="P70" s="1763"/>
      <c r="Q70" s="1763"/>
      <c r="R70" s="1640"/>
      <c r="S70" s="1640"/>
      <c r="T70" s="1640"/>
      <c r="U70" s="1640"/>
      <c r="V70" s="1640"/>
      <c r="W70" s="1640"/>
      <c r="X70" s="1640"/>
      <c r="Y70" s="1640"/>
      <c r="Z70" s="1640"/>
      <c r="AA70" s="1640"/>
      <c r="AB70" s="1640"/>
      <c r="AC70" s="1640"/>
    </row>
    <row r="71" spans="1:58">
      <c r="A71" s="607" t="s">
        <v>525</v>
      </c>
      <c r="B71" s="608" t="s">
        <v>483</v>
      </c>
      <c r="C71" s="3396" t="s">
        <v>1931</v>
      </c>
      <c r="D71" s="547"/>
      <c r="E71" s="547"/>
      <c r="F71" s="547"/>
      <c r="G71" s="547"/>
      <c r="H71" s="547"/>
      <c r="I71" s="547"/>
      <c r="J71" s="547"/>
      <c r="K71" s="609"/>
      <c r="L71" s="610"/>
      <c r="M71" s="611"/>
      <c r="N71" s="2735"/>
      <c r="O71" s="1767"/>
      <c r="P71" s="1766"/>
      <c r="Q71" s="1763"/>
      <c r="R71" s="1742"/>
      <c r="S71" s="1742"/>
      <c r="T71" s="1742"/>
      <c r="U71" s="1742"/>
      <c r="V71" s="1742"/>
      <c r="W71" s="1742"/>
      <c r="X71" s="1742"/>
      <c r="Y71" s="1742"/>
      <c r="Z71" s="1742"/>
      <c r="AA71" s="1742"/>
      <c r="AB71" s="1742"/>
      <c r="AC71" s="1742"/>
    </row>
    <row r="72" spans="1:58" ht="15.75" thickBot="1">
      <c r="A72" s="482"/>
      <c r="B72" s="612"/>
      <c r="C72" s="613">
        <v>100</v>
      </c>
      <c r="D72" s="613"/>
      <c r="E72" s="613"/>
      <c r="F72" s="613"/>
      <c r="G72" s="613"/>
      <c r="H72" s="613"/>
      <c r="I72" s="613"/>
      <c r="J72" s="613"/>
      <c r="K72" s="613"/>
      <c r="L72" s="613"/>
      <c r="M72" s="614"/>
      <c r="N72" s="2736"/>
      <c r="O72" s="1768"/>
      <c r="P72" s="1766"/>
      <c r="Q72" s="1763"/>
      <c r="R72" s="1742"/>
      <c r="S72" s="1742"/>
      <c r="T72" s="1742"/>
      <c r="U72" s="1742"/>
      <c r="V72" s="1742"/>
      <c r="W72" s="1742"/>
      <c r="X72" s="1742"/>
      <c r="Y72" s="1742"/>
      <c r="Z72" s="1742"/>
      <c r="AA72" s="1742"/>
      <c r="AB72" s="1742"/>
      <c r="AC72" s="1742"/>
    </row>
    <row r="73" spans="1:58" ht="27.75" thickTop="1">
      <c r="A73" s="482"/>
      <c r="B73" s="615" t="s">
        <v>486</v>
      </c>
      <c r="C73" s="616"/>
      <c r="D73" s="616"/>
      <c r="E73" s="616"/>
      <c r="F73" s="616"/>
      <c r="G73" s="616"/>
      <c r="H73" s="616"/>
      <c r="I73" s="616"/>
      <c r="J73" s="616"/>
      <c r="K73" s="617"/>
      <c r="L73" s="618"/>
      <c r="M73" s="619"/>
      <c r="N73" s="2735"/>
      <c r="O73" s="1767"/>
      <c r="P73" s="1766"/>
      <c r="Q73" s="1763"/>
      <c r="R73" s="1742"/>
      <c r="S73" s="1742"/>
      <c r="T73" s="1742"/>
      <c r="U73" s="1742"/>
      <c r="V73" s="1742"/>
      <c r="W73" s="1742"/>
      <c r="X73" s="1742"/>
      <c r="Y73" s="1742"/>
      <c r="Z73" s="1742"/>
      <c r="AA73" s="1742"/>
      <c r="AB73" s="1742"/>
      <c r="AC73" s="1742"/>
    </row>
    <row r="74" spans="1:58" ht="15.75" thickBot="1">
      <c r="A74" s="482"/>
      <c r="B74" s="620"/>
      <c r="C74" s="621"/>
      <c r="D74" s="621"/>
      <c r="E74" s="621"/>
      <c r="F74" s="621"/>
      <c r="G74" s="621"/>
      <c r="H74" s="621"/>
      <c r="I74" s="621"/>
      <c r="J74" s="621"/>
      <c r="K74" s="621"/>
      <c r="L74" s="621"/>
      <c r="M74" s="622"/>
      <c r="N74" s="2736"/>
      <c r="O74" s="1768"/>
      <c r="P74" s="1766"/>
      <c r="Q74" s="1763"/>
      <c r="R74" s="1742"/>
      <c r="S74" s="1742"/>
      <c r="T74" s="1742"/>
      <c r="U74" s="1742"/>
      <c r="V74" s="1742"/>
      <c r="W74" s="1742"/>
      <c r="X74" s="1742"/>
      <c r="Y74" s="1742"/>
      <c r="Z74" s="1742"/>
      <c r="AA74" s="1742"/>
      <c r="AB74" s="1742"/>
      <c r="AC74" s="1742"/>
    </row>
    <row r="75" spans="1:58" ht="15.75" thickTop="1">
      <c r="A75" s="482"/>
      <c r="B75" s="623" t="s">
        <v>487</v>
      </c>
      <c r="C75" s="624" t="str">
        <f>C76&amp;"（含）"&amp;"-"&amp;D76</f>
        <v>0（含）-0.5</v>
      </c>
      <c r="D75" s="624" t="str">
        <f t="shared" ref="D75:L75" si="110">D76&amp;"（含）"&amp;"-"&amp;E76</f>
        <v>0.5（含）-1</v>
      </c>
      <c r="E75" s="624" t="str">
        <f t="shared" si="110"/>
        <v>1（含）-1.5</v>
      </c>
      <c r="F75" s="624" t="str">
        <f t="shared" si="110"/>
        <v>1.5（含）-2</v>
      </c>
      <c r="G75" s="624" t="str">
        <f t="shared" si="110"/>
        <v>2（含）-2.5</v>
      </c>
      <c r="H75" s="624" t="str">
        <f t="shared" si="110"/>
        <v>2.5（含）-</v>
      </c>
      <c r="I75" s="624" t="str">
        <f t="shared" si="110"/>
        <v>（含）-</v>
      </c>
      <c r="J75" s="624" t="str">
        <f t="shared" si="110"/>
        <v>（含）-</v>
      </c>
      <c r="K75" s="624" t="str">
        <f t="shared" si="110"/>
        <v>（含）-</v>
      </c>
      <c r="L75" s="624" t="str">
        <f t="shared" si="110"/>
        <v>（含）-</v>
      </c>
      <c r="M75" s="505" t="str">
        <f>M76&amp;"（含）"&amp;"-"&amp;P76</f>
        <v>（含）-</v>
      </c>
      <c r="N75" s="2736"/>
      <c r="O75" s="1768"/>
      <c r="P75" s="1766"/>
      <c r="Q75" s="1763"/>
      <c r="R75" s="1742"/>
      <c r="S75" s="1742"/>
      <c r="T75" s="1742"/>
      <c r="U75" s="1742"/>
      <c r="V75" s="1742"/>
      <c r="W75" s="1742"/>
      <c r="X75" s="1742"/>
      <c r="Y75" s="1742"/>
      <c r="Z75" s="1742"/>
      <c r="AA75" s="1742"/>
      <c r="AB75" s="1742"/>
      <c r="AC75" s="1742"/>
    </row>
    <row r="76" spans="1:58" ht="15">
      <c r="A76" s="482"/>
      <c r="B76" s="625"/>
      <c r="C76" s="491">
        <v>0</v>
      </c>
      <c r="D76" s="491">
        <v>0.5</v>
      </c>
      <c r="E76" s="491">
        <v>1</v>
      </c>
      <c r="F76" s="491">
        <v>1.5</v>
      </c>
      <c r="G76" s="491">
        <v>2</v>
      </c>
      <c r="H76" s="491">
        <v>2.5</v>
      </c>
      <c r="I76" s="491"/>
      <c r="J76" s="491"/>
      <c r="K76" s="626"/>
      <c r="L76" s="627"/>
      <c r="M76" s="628"/>
      <c r="N76" s="2735"/>
      <c r="O76" s="1767"/>
      <c r="P76" s="1766"/>
      <c r="Q76" s="1763"/>
      <c r="R76" s="1742"/>
      <c r="S76" s="1742"/>
      <c r="T76" s="1742"/>
      <c r="U76" s="1742"/>
      <c r="V76" s="1742"/>
      <c r="W76" s="1742"/>
      <c r="X76" s="1742"/>
      <c r="Y76" s="1742"/>
      <c r="Z76" s="1742"/>
      <c r="AA76" s="1742"/>
      <c r="AB76" s="1742"/>
      <c r="AC76" s="1742"/>
    </row>
    <row r="77" spans="1:58" ht="15.75" thickBot="1">
      <c r="A77" s="482"/>
      <c r="B77" s="612"/>
      <c r="C77" s="621">
        <v>100</v>
      </c>
      <c r="D77" s="621">
        <f t="shared" ref="D77:M77" si="111">IF($B$43="单位面积地价",C77+$K13,C77-$K13)</f>
        <v>97</v>
      </c>
      <c r="E77" s="621">
        <f t="shared" si="111"/>
        <v>94</v>
      </c>
      <c r="F77" s="621">
        <f t="shared" si="111"/>
        <v>91</v>
      </c>
      <c r="G77" s="621">
        <f t="shared" si="111"/>
        <v>88</v>
      </c>
      <c r="H77" s="621">
        <f t="shared" si="111"/>
        <v>85</v>
      </c>
      <c r="I77" s="621">
        <f t="shared" si="111"/>
        <v>82</v>
      </c>
      <c r="J77" s="621">
        <f t="shared" si="111"/>
        <v>79</v>
      </c>
      <c r="K77" s="621">
        <f t="shared" si="111"/>
        <v>76</v>
      </c>
      <c r="L77" s="621">
        <f t="shared" si="111"/>
        <v>73</v>
      </c>
      <c r="M77" s="621">
        <f t="shared" si="111"/>
        <v>70</v>
      </c>
      <c r="N77" s="2736"/>
      <c r="O77" s="1768"/>
      <c r="P77" s="1766"/>
      <c r="Q77" s="1763"/>
      <c r="R77" s="1742"/>
      <c r="S77" s="1742"/>
      <c r="T77" s="1742"/>
      <c r="U77" s="1742"/>
      <c r="V77" s="1742"/>
      <c r="W77" s="1742"/>
      <c r="X77" s="1742"/>
      <c r="Y77" s="1742"/>
      <c r="Z77" s="1742"/>
      <c r="AA77" s="1742"/>
      <c r="AB77" s="1742"/>
      <c r="AC77" s="1742"/>
    </row>
    <row r="78" spans="1:58" s="1134" customFormat="1" ht="15.75" thickTop="1">
      <c r="A78" s="629"/>
      <c r="B78" s="615">
        <f>B14</f>
        <v>111</v>
      </c>
      <c r="C78" s="630"/>
      <c r="D78" s="630"/>
      <c r="E78" s="630"/>
      <c r="F78" s="630"/>
      <c r="G78" s="630"/>
      <c r="H78" s="631"/>
      <c r="I78" s="631"/>
      <c r="J78" s="631"/>
      <c r="K78" s="631"/>
      <c r="L78" s="632"/>
      <c r="M78" s="633"/>
      <c r="N78" s="2737"/>
      <c r="O78" s="1769"/>
      <c r="P78" s="1769"/>
      <c r="Q78" s="1770"/>
      <c r="R78" s="1771"/>
      <c r="S78" s="1771"/>
      <c r="T78" s="1771"/>
      <c r="U78" s="1771"/>
      <c r="V78" s="1771"/>
      <c r="W78" s="1771"/>
      <c r="X78" s="1771"/>
      <c r="Y78" s="1771"/>
      <c r="Z78" s="1771"/>
      <c r="AA78" s="1771"/>
      <c r="AB78" s="1771"/>
      <c r="AC78" s="1771"/>
    </row>
    <row r="79" spans="1:58" s="1134" customFormat="1" ht="15.75" thickBot="1">
      <c r="A79" s="629"/>
      <c r="B79" s="620"/>
      <c r="C79" s="634"/>
      <c r="D79" s="613"/>
      <c r="E79" s="613"/>
      <c r="F79" s="613"/>
      <c r="G79" s="613"/>
      <c r="H79" s="613"/>
      <c r="I79" s="613"/>
      <c r="J79" s="613"/>
      <c r="K79" s="613"/>
      <c r="L79" s="613"/>
      <c r="M79" s="614"/>
      <c r="N79" s="2736"/>
      <c r="O79" s="1768"/>
      <c r="P79" s="1769"/>
      <c r="Q79" s="1770"/>
      <c r="R79" s="1771"/>
      <c r="S79" s="1771"/>
      <c r="T79" s="1771"/>
      <c r="U79" s="1771"/>
      <c r="V79" s="1771"/>
      <c r="W79" s="1771"/>
      <c r="X79" s="1771"/>
      <c r="Y79" s="1771"/>
      <c r="Z79" s="1771"/>
      <c r="AA79" s="1771"/>
      <c r="AB79" s="1771"/>
      <c r="AC79" s="1771"/>
    </row>
    <row r="80" spans="1:58" s="1134" customFormat="1" ht="15.75" thickTop="1">
      <c r="A80" s="629"/>
      <c r="B80" s="615">
        <f>B15</f>
        <v>111</v>
      </c>
      <c r="C80" s="630"/>
      <c r="D80" s="630"/>
      <c r="E80" s="630"/>
      <c r="F80" s="630"/>
      <c r="G80" s="630"/>
      <c r="H80" s="631"/>
      <c r="I80" s="631"/>
      <c r="J80" s="631"/>
      <c r="K80" s="631"/>
      <c r="L80" s="632"/>
      <c r="M80" s="633"/>
      <c r="N80" s="2737"/>
      <c r="O80" s="1769"/>
      <c r="P80" s="1771"/>
      <c r="Q80" s="1772"/>
      <c r="R80" s="1771"/>
      <c r="S80" s="1771"/>
      <c r="T80" s="1771"/>
      <c r="U80" s="1771"/>
      <c r="V80" s="1771"/>
      <c r="W80" s="1771"/>
      <c r="X80" s="1771"/>
      <c r="Y80" s="1771"/>
      <c r="Z80" s="1771"/>
      <c r="AA80" s="1771"/>
      <c r="AB80" s="1771"/>
      <c r="AC80" s="1771"/>
    </row>
    <row r="81" spans="1:29" s="1134" customFormat="1" ht="15.75" thickBot="1">
      <c r="A81" s="629"/>
      <c r="B81" s="620"/>
      <c r="C81" s="634"/>
      <c r="D81" s="634"/>
      <c r="E81" s="634"/>
      <c r="F81" s="634"/>
      <c r="G81" s="634"/>
      <c r="H81" s="635"/>
      <c r="I81" s="635"/>
      <c r="J81" s="635"/>
      <c r="K81" s="635"/>
      <c r="L81" s="635"/>
      <c r="M81" s="636"/>
      <c r="N81" s="2737"/>
      <c r="O81" s="1769"/>
      <c r="P81" s="1769"/>
      <c r="Q81" s="1770"/>
      <c r="R81" s="1771"/>
      <c r="S81" s="1771"/>
      <c r="T81" s="1771"/>
      <c r="U81" s="1771"/>
      <c r="V81" s="1771"/>
      <c r="W81" s="1771"/>
      <c r="X81" s="1771"/>
      <c r="Y81" s="1771"/>
      <c r="Z81" s="1771"/>
      <c r="AA81" s="1771"/>
      <c r="AB81" s="1771"/>
      <c r="AC81" s="1771"/>
    </row>
    <row r="82" spans="1:29" s="1134" customFormat="1" ht="15.75" thickTop="1">
      <c r="A82" s="629"/>
      <c r="B82" s="623">
        <f>B16</f>
        <v>111</v>
      </c>
      <c r="C82" s="80"/>
      <c r="D82" s="80"/>
      <c r="E82" s="80"/>
      <c r="F82" s="80"/>
      <c r="G82" s="80"/>
      <c r="H82" s="637"/>
      <c r="I82" s="637"/>
      <c r="J82" s="637"/>
      <c r="K82" s="637"/>
      <c r="L82" s="638"/>
      <c r="M82" s="639"/>
      <c r="N82" s="2737"/>
      <c r="O82" s="1769"/>
      <c r="P82" s="1773"/>
      <c r="Q82" s="1770"/>
      <c r="R82" s="1771"/>
      <c r="S82" s="1771"/>
      <c r="T82" s="1771"/>
      <c r="U82" s="1771"/>
      <c r="V82" s="1771"/>
      <c r="W82" s="1771"/>
      <c r="X82" s="1771"/>
      <c r="Y82" s="1771"/>
      <c r="Z82" s="1771"/>
      <c r="AA82" s="1771"/>
      <c r="AB82" s="1771"/>
      <c r="AC82" s="1771"/>
    </row>
    <row r="83" spans="1:29" s="1134" customFormat="1" ht="15.75" thickBot="1">
      <c r="A83" s="640"/>
      <c r="B83" s="641"/>
      <c r="C83" s="642"/>
      <c r="D83" s="642"/>
      <c r="E83" s="642"/>
      <c r="F83" s="642"/>
      <c r="G83" s="642"/>
      <c r="H83" s="643"/>
      <c r="I83" s="643"/>
      <c r="J83" s="643"/>
      <c r="K83" s="643"/>
      <c r="L83" s="643"/>
      <c r="M83" s="644"/>
      <c r="N83" s="2737"/>
      <c r="O83" s="1769"/>
      <c r="P83" s="1769"/>
      <c r="Q83" s="1770"/>
      <c r="R83" s="1771"/>
      <c r="S83" s="1771"/>
      <c r="T83" s="1771"/>
      <c r="U83" s="1771"/>
      <c r="V83" s="1771"/>
      <c r="W83" s="1771"/>
      <c r="X83" s="1771"/>
      <c r="Y83" s="1771"/>
      <c r="Z83" s="1771"/>
      <c r="AA83" s="1771"/>
      <c r="AB83" s="1771"/>
      <c r="AC83" s="1771"/>
    </row>
    <row r="84" spans="1:29">
      <c r="A84" s="607" t="s">
        <v>488</v>
      </c>
      <c r="B84" s="608" t="s">
        <v>550</v>
      </c>
      <c r="C84" s="143" t="s">
        <v>527</v>
      </c>
      <c r="D84" s="143" t="s">
        <v>528</v>
      </c>
      <c r="E84" s="143" t="s">
        <v>529</v>
      </c>
      <c r="F84" s="143" t="s">
        <v>530</v>
      </c>
      <c r="G84" s="143" t="s">
        <v>531</v>
      </c>
      <c r="H84" s="645"/>
      <c r="I84" s="645"/>
      <c r="J84" s="645"/>
      <c r="K84" s="646"/>
      <c r="L84" s="647"/>
      <c r="M84" s="648"/>
      <c r="N84" s="2735"/>
      <c r="O84" s="1767"/>
      <c r="P84" s="1774"/>
      <c r="Q84" s="1763"/>
      <c r="R84" s="1742"/>
      <c r="S84" s="1742"/>
      <c r="T84" s="1742"/>
      <c r="U84" s="1742"/>
      <c r="V84" s="1742"/>
      <c r="W84" s="1742"/>
      <c r="X84" s="1742"/>
      <c r="Y84" s="1742"/>
      <c r="Z84" s="1742"/>
      <c r="AA84" s="1742"/>
      <c r="AB84" s="1742"/>
      <c r="AC84" s="1742"/>
    </row>
    <row r="85" spans="1:29" ht="15.75" thickBot="1">
      <c r="A85" s="482"/>
      <c r="B85" s="620"/>
      <c r="C85" s="621">
        <v>100</v>
      </c>
      <c r="D85" s="621">
        <f>C85-$K17</f>
        <v>98</v>
      </c>
      <c r="E85" s="621">
        <f>D85-$K17</f>
        <v>96</v>
      </c>
      <c r="F85" s="621">
        <f>E85-$K17</f>
        <v>94</v>
      </c>
      <c r="G85" s="621">
        <f>F85-$K17</f>
        <v>92</v>
      </c>
      <c r="H85" s="621"/>
      <c r="I85" s="621"/>
      <c r="J85" s="621"/>
      <c r="K85" s="621"/>
      <c r="L85" s="621"/>
      <c r="M85" s="622"/>
      <c r="N85" s="2736"/>
      <c r="O85" s="1768"/>
      <c r="P85" s="1766"/>
      <c r="Q85" s="1763"/>
      <c r="R85" s="1742"/>
      <c r="S85" s="1742"/>
      <c r="T85" s="1742"/>
      <c r="U85" s="1742"/>
      <c r="V85" s="1742"/>
      <c r="W85" s="1742"/>
      <c r="X85" s="1742"/>
      <c r="Y85" s="1742"/>
      <c r="Z85" s="1742"/>
      <c r="AA85" s="1742"/>
      <c r="AB85" s="1742"/>
      <c r="AC85" s="1742"/>
    </row>
    <row r="86" spans="1:29" ht="15.75" thickTop="1">
      <c r="A86" s="482"/>
      <c r="B86" s="615" t="s">
        <v>534</v>
      </c>
      <c r="C86" s="649" t="s">
        <v>527</v>
      </c>
      <c r="D86" s="649" t="s">
        <v>528</v>
      </c>
      <c r="E86" s="649" t="s">
        <v>529</v>
      </c>
      <c r="F86" s="649" t="s">
        <v>530</v>
      </c>
      <c r="G86" s="649" t="s">
        <v>531</v>
      </c>
      <c r="H86" s="616"/>
      <c r="I86" s="616"/>
      <c r="J86" s="616"/>
      <c r="K86" s="617"/>
      <c r="L86" s="618"/>
      <c r="M86" s="619"/>
      <c r="N86" s="2735"/>
      <c r="O86" s="1767"/>
      <c r="P86" s="1766"/>
      <c r="Q86" s="1763"/>
      <c r="R86" s="1742"/>
      <c r="S86" s="1742"/>
      <c r="T86" s="1742"/>
      <c r="U86" s="1742"/>
      <c r="V86" s="1742"/>
      <c r="W86" s="1742"/>
      <c r="X86" s="1742"/>
      <c r="Y86" s="1742"/>
      <c r="Z86" s="1742"/>
      <c r="AA86" s="1742"/>
      <c r="AB86" s="1742"/>
      <c r="AC86" s="1742"/>
    </row>
    <row r="87" spans="1:29" ht="15.75" thickBot="1">
      <c r="A87" s="482"/>
      <c r="B87" s="620"/>
      <c r="C87" s="621">
        <v>100</v>
      </c>
      <c r="D87" s="621">
        <f>C87-$K19</f>
        <v>98</v>
      </c>
      <c r="E87" s="621">
        <f>D87-$K19</f>
        <v>96</v>
      </c>
      <c r="F87" s="621">
        <f>E87-$K19</f>
        <v>94</v>
      </c>
      <c r="G87" s="621">
        <f>F87-$K19</f>
        <v>92</v>
      </c>
      <c r="H87" s="621"/>
      <c r="I87" s="621"/>
      <c r="J87" s="621"/>
      <c r="K87" s="621"/>
      <c r="L87" s="621"/>
      <c r="M87" s="622"/>
      <c r="N87" s="2736"/>
      <c r="O87" s="1768"/>
      <c r="P87" s="1766"/>
      <c r="Q87" s="1763"/>
      <c r="R87" s="1742"/>
      <c r="S87" s="1742"/>
      <c r="T87" s="1742"/>
      <c r="U87" s="1742"/>
      <c r="V87" s="1742"/>
      <c r="W87" s="1742"/>
      <c r="X87" s="1742"/>
      <c r="Y87" s="1742"/>
      <c r="Z87" s="1742"/>
      <c r="AA87" s="1742"/>
      <c r="AB87" s="1742"/>
      <c r="AC87" s="1742"/>
    </row>
    <row r="88" spans="1:29" s="1060" customFormat="1" ht="27.75" thickTop="1">
      <c r="A88" s="486"/>
      <c r="B88" s="615" t="s">
        <v>535</v>
      </c>
      <c r="C88" s="649" t="s">
        <v>527</v>
      </c>
      <c r="D88" s="649" t="s">
        <v>528</v>
      </c>
      <c r="E88" s="649" t="s">
        <v>529</v>
      </c>
      <c r="F88" s="649" t="s">
        <v>530</v>
      </c>
      <c r="G88" s="649" t="s">
        <v>531</v>
      </c>
      <c r="H88" s="649"/>
      <c r="I88" s="649"/>
      <c r="J88" s="649"/>
      <c r="K88" s="649"/>
      <c r="L88" s="650"/>
      <c r="M88" s="651"/>
      <c r="N88" s="2734"/>
      <c r="O88" s="1766"/>
      <c r="P88" s="1766"/>
      <c r="Q88" s="1763"/>
      <c r="R88" s="1640"/>
      <c r="S88" s="1640"/>
      <c r="T88" s="1640"/>
      <c r="U88" s="1640"/>
      <c r="V88" s="1640"/>
      <c r="W88" s="1640"/>
      <c r="X88" s="1640"/>
      <c r="Y88" s="1640"/>
      <c r="Z88" s="1640"/>
      <c r="AA88" s="1640"/>
      <c r="AB88" s="1640"/>
      <c r="AC88" s="1640"/>
    </row>
    <row r="89" spans="1:29" s="1060" customFormat="1" ht="15.75" thickBot="1">
      <c r="A89" s="486"/>
      <c r="B89" s="620"/>
      <c r="C89" s="652">
        <v>100</v>
      </c>
      <c r="D89" s="621">
        <f>C89-$K21</f>
        <v>99</v>
      </c>
      <c r="E89" s="621">
        <f>D89-$K21</f>
        <v>98</v>
      </c>
      <c r="F89" s="621">
        <f>E89-$K21</f>
        <v>97</v>
      </c>
      <c r="G89" s="621">
        <f>F89-$K21</f>
        <v>96</v>
      </c>
      <c r="H89" s="621"/>
      <c r="I89" s="621"/>
      <c r="J89" s="621"/>
      <c r="K89" s="621"/>
      <c r="L89" s="621"/>
      <c r="M89" s="622"/>
      <c r="N89" s="2736"/>
      <c r="O89" s="1768"/>
      <c r="P89" s="1766"/>
      <c r="Q89" s="1763"/>
      <c r="R89" s="1640"/>
      <c r="S89" s="1640"/>
      <c r="T89" s="1640"/>
      <c r="U89" s="1640"/>
      <c r="V89" s="1640"/>
      <c r="W89" s="1640"/>
      <c r="X89" s="1640"/>
      <c r="Y89" s="1640"/>
      <c r="Z89" s="1640"/>
      <c r="AA89" s="1640"/>
      <c r="AB89" s="1640"/>
      <c r="AC89" s="1640"/>
    </row>
    <row r="90" spans="1:29" s="1060" customFormat="1" ht="27.75" thickTop="1">
      <c r="A90" s="486"/>
      <c r="B90" s="615" t="s">
        <v>536</v>
      </c>
      <c r="C90" s="143" t="s">
        <v>527</v>
      </c>
      <c r="D90" s="143" t="s">
        <v>528</v>
      </c>
      <c r="E90" s="143" t="s">
        <v>529</v>
      </c>
      <c r="F90" s="143" t="s">
        <v>530</v>
      </c>
      <c r="G90" s="143" t="s">
        <v>531</v>
      </c>
      <c r="H90" s="649"/>
      <c r="I90" s="649"/>
      <c r="J90" s="649"/>
      <c r="K90" s="649"/>
      <c r="L90" s="649"/>
      <c r="M90" s="651"/>
      <c r="N90" s="2734"/>
      <c r="O90" s="1766"/>
      <c r="P90" s="1766"/>
      <c r="Q90" s="1763"/>
      <c r="R90" s="1640"/>
      <c r="S90" s="1640"/>
      <c r="T90" s="1640"/>
      <c r="U90" s="1640"/>
      <c r="V90" s="1640"/>
      <c r="W90" s="1640"/>
      <c r="X90" s="1640"/>
      <c r="Y90" s="1640"/>
      <c r="Z90" s="1640"/>
      <c r="AA90" s="1640"/>
      <c r="AB90" s="1640"/>
      <c r="AC90" s="1640"/>
    </row>
    <row r="91" spans="1:29" s="1060" customFormat="1" ht="15.75" thickBot="1">
      <c r="A91" s="486"/>
      <c r="B91" s="620"/>
      <c r="C91" s="621">
        <v>100</v>
      </c>
      <c r="D91" s="621">
        <f>C91-$K23</f>
        <v>99</v>
      </c>
      <c r="E91" s="621">
        <f>D91-$K23</f>
        <v>98</v>
      </c>
      <c r="F91" s="621">
        <f>E91-$K23</f>
        <v>97</v>
      </c>
      <c r="G91" s="621">
        <f>F91-$K23</f>
        <v>96</v>
      </c>
      <c r="H91" s="621"/>
      <c r="I91" s="621"/>
      <c r="J91" s="621"/>
      <c r="K91" s="621"/>
      <c r="L91" s="621"/>
      <c r="M91" s="622"/>
      <c r="N91" s="2736"/>
      <c r="O91" s="1768"/>
      <c r="P91" s="1766"/>
      <c r="Q91" s="1763"/>
      <c r="R91" s="1640"/>
      <c r="S91" s="1640"/>
      <c r="T91" s="1640"/>
      <c r="U91" s="1640"/>
      <c r="V91" s="1640"/>
      <c r="W91" s="1640"/>
      <c r="X91" s="1640"/>
      <c r="Y91" s="1640"/>
      <c r="Z91" s="1640"/>
      <c r="AA91" s="1640"/>
      <c r="AB91" s="1640"/>
      <c r="AC91" s="1640"/>
    </row>
    <row r="92" spans="1:29" s="1134" customFormat="1" ht="15.75" thickTop="1">
      <c r="A92" s="629"/>
      <c r="B92" s="1555" t="s">
        <v>1831</v>
      </c>
      <c r="C92" s="143" t="s">
        <v>527</v>
      </c>
      <c r="D92" s="143" t="s">
        <v>528</v>
      </c>
      <c r="E92" s="143" t="s">
        <v>529</v>
      </c>
      <c r="F92" s="143" t="s">
        <v>530</v>
      </c>
      <c r="G92" s="143" t="s">
        <v>531</v>
      </c>
      <c r="H92" s="653"/>
      <c r="I92" s="653"/>
      <c r="J92" s="653"/>
      <c r="K92" s="653"/>
      <c r="L92" s="654"/>
      <c r="M92" s="655"/>
      <c r="N92" s="2737"/>
      <c r="O92" s="1769"/>
      <c r="P92" s="1769"/>
      <c r="Q92" s="1770"/>
      <c r="R92" s="1771"/>
      <c r="S92" s="1771"/>
      <c r="T92" s="1771"/>
      <c r="U92" s="1771"/>
      <c r="V92" s="1771"/>
      <c r="W92" s="1771"/>
      <c r="X92" s="1771"/>
      <c r="Y92" s="1771"/>
      <c r="Z92" s="1771"/>
      <c r="AA92" s="1771"/>
      <c r="AB92" s="1771"/>
      <c r="AC92" s="1771"/>
    </row>
    <row r="93" spans="1:29" s="1134" customFormat="1" ht="15.75" thickBot="1">
      <c r="A93" s="629"/>
      <c r="B93" s="620"/>
      <c r="C93" s="621">
        <v>100</v>
      </c>
      <c r="D93" s="621">
        <f>C93-$K25</f>
        <v>100</v>
      </c>
      <c r="E93" s="621">
        <f>D93-$K25</f>
        <v>100</v>
      </c>
      <c r="F93" s="621">
        <f>E93-$K25</f>
        <v>100</v>
      </c>
      <c r="G93" s="621">
        <f>F93-$K25</f>
        <v>100</v>
      </c>
      <c r="H93" s="656"/>
      <c r="I93" s="656"/>
      <c r="J93" s="656"/>
      <c r="K93" s="656"/>
      <c r="L93" s="656"/>
      <c r="M93" s="657"/>
      <c r="N93" s="2737"/>
      <c r="O93" s="1769"/>
      <c r="P93" s="1769"/>
      <c r="Q93" s="1770"/>
      <c r="R93" s="1771"/>
      <c r="S93" s="1771"/>
      <c r="T93" s="1771"/>
      <c r="U93" s="1771"/>
      <c r="V93" s="1771"/>
      <c r="W93" s="1771"/>
      <c r="X93" s="1771"/>
      <c r="Y93" s="1771"/>
      <c r="Z93" s="1771"/>
      <c r="AA93" s="1771"/>
      <c r="AB93" s="1771"/>
      <c r="AC93" s="1771"/>
    </row>
    <row r="94" spans="1:29" s="1134" customFormat="1" ht="15.75" thickTop="1">
      <c r="A94" s="629"/>
      <c r="B94" s="2056" t="s">
        <v>1833</v>
      </c>
      <c r="C94" s="2057" t="s">
        <v>1834</v>
      </c>
      <c r="D94" s="2057" t="s">
        <v>1835</v>
      </c>
      <c r="E94" s="2057" t="s">
        <v>1836</v>
      </c>
      <c r="F94" s="2057" t="s">
        <v>1837</v>
      </c>
      <c r="G94" s="2057" t="s">
        <v>1838</v>
      </c>
      <c r="H94" s="653"/>
      <c r="I94" s="653"/>
      <c r="J94" s="653"/>
      <c r="K94" s="653"/>
      <c r="L94" s="653"/>
      <c r="M94" s="655"/>
      <c r="N94" s="2737"/>
      <c r="O94" s="1769"/>
      <c r="P94" s="1769"/>
      <c r="Q94" s="1770"/>
      <c r="R94" s="1771"/>
      <c r="S94" s="1771"/>
      <c r="T94" s="1771"/>
      <c r="U94" s="1771"/>
      <c r="V94" s="1771"/>
      <c r="W94" s="1771"/>
      <c r="X94" s="1771"/>
      <c r="Y94" s="1771"/>
      <c r="Z94" s="1771"/>
      <c r="AA94" s="1771"/>
      <c r="AB94" s="1771"/>
      <c r="AC94" s="1771"/>
    </row>
    <row r="95" spans="1:29" s="1134" customFormat="1" ht="15.75" thickBot="1">
      <c r="A95" s="629"/>
      <c r="B95" s="623"/>
      <c r="C95" s="621">
        <v>100</v>
      </c>
      <c r="D95" s="621">
        <f>C95-$K27</f>
        <v>99</v>
      </c>
      <c r="E95" s="621">
        <f>D95-$K27</f>
        <v>98</v>
      </c>
      <c r="F95" s="621">
        <f>E95-$K27</f>
        <v>97</v>
      </c>
      <c r="G95" s="621">
        <f>F95-$K27</f>
        <v>96</v>
      </c>
      <c r="H95" s="625"/>
      <c r="I95" s="625"/>
      <c r="J95" s="625"/>
      <c r="K95" s="625"/>
      <c r="L95" s="625"/>
      <c r="M95" s="2049"/>
      <c r="N95" s="2737"/>
      <c r="O95" s="1769"/>
      <c r="P95" s="1769"/>
      <c r="Q95" s="1770"/>
      <c r="R95" s="1771"/>
      <c r="S95" s="1771"/>
      <c r="T95" s="1771"/>
      <c r="U95" s="1771"/>
      <c r="V95" s="1771"/>
      <c r="W95" s="1771"/>
      <c r="X95" s="1771"/>
      <c r="Y95" s="1771"/>
      <c r="Z95" s="1771"/>
      <c r="AA95" s="1771"/>
      <c r="AB95" s="1771"/>
      <c r="AC95" s="1771"/>
    </row>
    <row r="96" spans="1:29" ht="15.75" thickTop="1">
      <c r="A96" s="482"/>
      <c r="B96" s="615" t="str">
        <f>B29</f>
        <v>临街状况</v>
      </c>
      <c r="C96" s="616" t="s">
        <v>537</v>
      </c>
      <c r="D96" s="616" t="s">
        <v>538</v>
      </c>
      <c r="E96" s="616" t="s">
        <v>539</v>
      </c>
      <c r="F96" s="616" t="s">
        <v>540</v>
      </c>
      <c r="G96" s="616"/>
      <c r="H96" s="616"/>
      <c r="I96" s="616"/>
      <c r="J96" s="616"/>
      <c r="K96" s="617"/>
      <c r="L96" s="618"/>
      <c r="M96" s="619"/>
      <c r="N96" s="2735"/>
      <c r="O96" s="1767"/>
      <c r="P96" s="1766"/>
      <c r="Q96" s="1763"/>
      <c r="R96" s="1742"/>
      <c r="S96" s="1742"/>
      <c r="T96" s="1742"/>
      <c r="U96" s="1742"/>
      <c r="V96" s="1742"/>
      <c r="W96" s="1742"/>
      <c r="X96" s="1742"/>
      <c r="Y96" s="1742"/>
      <c r="Z96" s="1742"/>
      <c r="AA96" s="1742"/>
      <c r="AB96" s="1742"/>
      <c r="AC96" s="1742"/>
    </row>
    <row r="97" spans="1:29" ht="15.75" thickBot="1">
      <c r="A97" s="482"/>
      <c r="B97" s="620"/>
      <c r="C97" s="621">
        <v>100</v>
      </c>
      <c r="D97" s="621">
        <f t="shared" ref="D97:M97" si="112">C97-$K29</f>
        <v>100</v>
      </c>
      <c r="E97" s="621">
        <f t="shared" si="112"/>
        <v>100</v>
      </c>
      <c r="F97" s="621">
        <f t="shared" si="112"/>
        <v>100</v>
      </c>
      <c r="G97" s="621">
        <f t="shared" si="112"/>
        <v>100</v>
      </c>
      <c r="H97" s="621">
        <f t="shared" si="112"/>
        <v>100</v>
      </c>
      <c r="I97" s="621">
        <f t="shared" si="112"/>
        <v>100</v>
      </c>
      <c r="J97" s="621">
        <f t="shared" si="112"/>
        <v>100</v>
      </c>
      <c r="K97" s="621">
        <f t="shared" si="112"/>
        <v>100</v>
      </c>
      <c r="L97" s="621">
        <f t="shared" si="112"/>
        <v>100</v>
      </c>
      <c r="M97" s="621">
        <f t="shared" si="112"/>
        <v>100</v>
      </c>
      <c r="N97" s="2736"/>
      <c r="O97" s="1768"/>
      <c r="P97" s="1766"/>
      <c r="Q97" s="1763"/>
      <c r="R97" s="1742"/>
      <c r="S97" s="1742"/>
      <c r="T97" s="1742"/>
      <c r="U97" s="1742"/>
      <c r="V97" s="1742"/>
      <c r="W97" s="1742"/>
      <c r="X97" s="1742"/>
      <c r="Y97" s="1742"/>
      <c r="Z97" s="1742"/>
      <c r="AA97" s="1742"/>
      <c r="AB97" s="1742"/>
      <c r="AC97" s="1742"/>
    </row>
    <row r="98" spans="1:29" ht="27.75" thickTop="1">
      <c r="A98" s="482"/>
      <c r="B98" s="615" t="s">
        <v>497</v>
      </c>
      <c r="C98" s="630"/>
      <c r="D98" s="630"/>
      <c r="E98" s="630"/>
      <c r="F98" s="630"/>
      <c r="G98" s="630"/>
      <c r="H98" s="658"/>
      <c r="I98" s="658"/>
      <c r="J98" s="658"/>
      <c r="K98" s="659"/>
      <c r="L98" s="660"/>
      <c r="M98" s="661"/>
      <c r="N98" s="2735"/>
      <c r="O98" s="1767"/>
      <c r="P98" s="1766"/>
      <c r="Q98" s="1763"/>
      <c r="R98" s="1742"/>
      <c r="S98" s="1742"/>
      <c r="T98" s="1742"/>
      <c r="U98" s="1742"/>
      <c r="V98" s="1742"/>
      <c r="W98" s="1742"/>
      <c r="X98" s="1742"/>
      <c r="Y98" s="1742"/>
      <c r="Z98" s="1742"/>
      <c r="AA98" s="1742"/>
      <c r="AB98" s="1742"/>
      <c r="AC98" s="1742"/>
    </row>
    <row r="99" spans="1:29" ht="15.75" thickBot="1">
      <c r="A99" s="482"/>
      <c r="B99" s="620"/>
      <c r="C99" s="621">
        <v>100</v>
      </c>
      <c r="D99" s="621">
        <f t="shared" ref="D99:M99" si="113">C99-$K30</f>
        <v>100</v>
      </c>
      <c r="E99" s="621">
        <f t="shared" si="113"/>
        <v>100</v>
      </c>
      <c r="F99" s="621">
        <f t="shared" si="113"/>
        <v>100</v>
      </c>
      <c r="G99" s="621">
        <f t="shared" si="113"/>
        <v>100</v>
      </c>
      <c r="H99" s="621">
        <f t="shared" si="113"/>
        <v>100</v>
      </c>
      <c r="I99" s="621">
        <f t="shared" si="113"/>
        <v>100</v>
      </c>
      <c r="J99" s="621">
        <f t="shared" si="113"/>
        <v>100</v>
      </c>
      <c r="K99" s="621">
        <f t="shared" si="113"/>
        <v>100</v>
      </c>
      <c r="L99" s="621">
        <f t="shared" si="113"/>
        <v>100</v>
      </c>
      <c r="M99" s="621">
        <f t="shared" si="113"/>
        <v>100</v>
      </c>
      <c r="N99" s="2736"/>
      <c r="O99" s="1768"/>
      <c r="P99" s="1766"/>
      <c r="Q99" s="1763"/>
      <c r="R99" s="1742"/>
      <c r="S99" s="1742"/>
      <c r="T99" s="1742"/>
      <c r="U99" s="1742"/>
      <c r="V99" s="1742"/>
      <c r="W99" s="1742"/>
      <c r="X99" s="1742"/>
      <c r="Y99" s="1742"/>
      <c r="Z99" s="1742"/>
      <c r="AA99" s="1742"/>
      <c r="AB99" s="1742"/>
      <c r="AC99" s="1742"/>
    </row>
    <row r="100" spans="1:29" ht="15.75" thickTop="1">
      <c r="A100" s="482"/>
      <c r="B100" s="615" t="s">
        <v>498</v>
      </c>
      <c r="C100" s="3397" t="s">
        <v>3463</v>
      </c>
      <c r="D100" s="3397" t="s">
        <v>3464</v>
      </c>
      <c r="E100" s="3397" t="s">
        <v>3352</v>
      </c>
      <c r="F100" s="3397" t="s">
        <v>3353</v>
      </c>
      <c r="G100" s="3397" t="s">
        <v>3354</v>
      </c>
      <c r="H100" s="658"/>
      <c r="I100" s="658"/>
      <c r="J100" s="658"/>
      <c r="K100" s="659"/>
      <c r="L100" s="660"/>
      <c r="M100" s="661"/>
      <c r="N100" s="2735"/>
      <c r="O100" s="1767"/>
      <c r="P100" s="1766"/>
      <c r="Q100" s="1763"/>
      <c r="R100" s="1742"/>
      <c r="S100" s="1742"/>
      <c r="T100" s="1742"/>
      <c r="U100" s="1742"/>
      <c r="V100" s="1742"/>
      <c r="W100" s="1742"/>
      <c r="X100" s="1742"/>
      <c r="Y100" s="1742"/>
      <c r="Z100" s="1742"/>
      <c r="AA100" s="1742"/>
      <c r="AB100" s="1742"/>
      <c r="AC100" s="1742"/>
    </row>
    <row r="101" spans="1:29" ht="15.75" thickBot="1">
      <c r="A101" s="482"/>
      <c r="B101" s="620"/>
      <c r="C101" s="621">
        <v>100</v>
      </c>
      <c r="D101" s="621">
        <f t="shared" ref="D101:M101" si="114">C101-$K32</f>
        <v>98</v>
      </c>
      <c r="E101" s="621">
        <f t="shared" si="114"/>
        <v>96</v>
      </c>
      <c r="F101" s="621">
        <f t="shared" si="114"/>
        <v>94</v>
      </c>
      <c r="G101" s="621">
        <f t="shared" si="114"/>
        <v>92</v>
      </c>
      <c r="H101" s="621">
        <f t="shared" si="114"/>
        <v>90</v>
      </c>
      <c r="I101" s="621">
        <f t="shared" si="114"/>
        <v>88</v>
      </c>
      <c r="J101" s="621">
        <f t="shared" si="114"/>
        <v>86</v>
      </c>
      <c r="K101" s="621">
        <f t="shared" si="114"/>
        <v>84</v>
      </c>
      <c r="L101" s="621">
        <f t="shared" si="114"/>
        <v>82</v>
      </c>
      <c r="M101" s="621">
        <f t="shared" si="114"/>
        <v>80</v>
      </c>
      <c r="N101" s="2736"/>
      <c r="O101" s="1768"/>
      <c r="P101" s="1766"/>
      <c r="Q101" s="1763"/>
      <c r="R101" s="1742"/>
      <c r="S101" s="1742"/>
      <c r="T101" s="1742"/>
      <c r="U101" s="1742"/>
      <c r="V101" s="1742"/>
      <c r="W101" s="1742"/>
      <c r="X101" s="1742"/>
      <c r="Y101" s="1742"/>
      <c r="Z101" s="1742"/>
      <c r="AA101" s="1742"/>
      <c r="AB101" s="1742"/>
      <c r="AC101" s="1742"/>
    </row>
    <row r="102" spans="1:29" ht="15.75" thickTop="1">
      <c r="A102" s="482"/>
      <c r="B102" s="623">
        <f>B33</f>
        <v>111</v>
      </c>
      <c r="C102" s="630"/>
      <c r="D102" s="630"/>
      <c r="E102" s="630"/>
      <c r="F102" s="630"/>
      <c r="G102" s="662"/>
      <c r="H102" s="662"/>
      <c r="I102" s="662"/>
      <c r="J102" s="662"/>
      <c r="K102" s="663"/>
      <c r="L102" s="664"/>
      <c r="M102" s="665"/>
      <c r="N102" s="2735"/>
      <c r="O102" s="1767"/>
      <c r="P102" s="1766"/>
      <c r="Q102" s="1763"/>
      <c r="R102" s="1742"/>
      <c r="S102" s="1742"/>
      <c r="T102" s="1742"/>
      <c r="U102" s="1742"/>
      <c r="V102" s="1742"/>
      <c r="W102" s="1742"/>
      <c r="X102" s="1742"/>
      <c r="Y102" s="1742"/>
      <c r="Z102" s="1742"/>
      <c r="AA102" s="1742"/>
      <c r="AB102" s="1742"/>
      <c r="AC102" s="1742"/>
    </row>
    <row r="103" spans="1:29" ht="15.75" thickBot="1">
      <c r="A103" s="482"/>
      <c r="B103" s="641"/>
      <c r="C103" s="634"/>
      <c r="D103" s="613"/>
      <c r="E103" s="613"/>
      <c r="F103" s="613"/>
      <c r="G103" s="666"/>
      <c r="H103" s="666"/>
      <c r="I103" s="666"/>
      <c r="J103" s="666"/>
      <c r="K103" s="666"/>
      <c r="L103" s="666"/>
      <c r="M103" s="667"/>
      <c r="N103" s="2736"/>
      <c r="O103" s="1768"/>
      <c r="P103" s="1766"/>
      <c r="Q103" s="1763"/>
      <c r="R103" s="1742"/>
      <c r="S103" s="1742"/>
      <c r="T103" s="1742"/>
      <c r="U103" s="1742"/>
      <c r="V103" s="1742"/>
      <c r="W103" s="1742"/>
      <c r="X103" s="1742"/>
      <c r="Y103" s="1742"/>
      <c r="Z103" s="1742"/>
      <c r="AA103" s="1742"/>
      <c r="AB103" s="1742"/>
      <c r="AC103" s="1742"/>
    </row>
    <row r="104" spans="1:29" ht="15" thickTop="1">
      <c r="A104" s="536"/>
      <c r="B104" s="615">
        <f>B34</f>
        <v>111</v>
      </c>
      <c r="C104" s="630"/>
      <c r="D104" s="630"/>
      <c r="E104" s="630"/>
      <c r="F104" s="630"/>
      <c r="G104" s="658"/>
      <c r="H104" s="658"/>
      <c r="I104" s="658"/>
      <c r="J104" s="658"/>
      <c r="K104" s="659"/>
      <c r="L104" s="660"/>
      <c r="M104" s="661"/>
      <c r="N104" s="2735"/>
      <c r="O104" s="1767"/>
      <c r="P104" s="1766"/>
      <c r="Q104" s="1763"/>
      <c r="R104" s="1742"/>
      <c r="S104" s="1742"/>
      <c r="T104" s="1742"/>
      <c r="U104" s="1742"/>
      <c r="V104" s="1742"/>
      <c r="W104" s="1742"/>
      <c r="X104" s="1742"/>
      <c r="Y104" s="1742"/>
      <c r="Z104" s="1742"/>
      <c r="AA104" s="1742"/>
      <c r="AB104" s="1742"/>
      <c r="AC104" s="1742"/>
    </row>
    <row r="105" spans="1:29" ht="15.75" thickBot="1">
      <c r="A105" s="482"/>
      <c r="B105" s="620"/>
      <c r="C105" s="634"/>
      <c r="D105" s="634"/>
      <c r="E105" s="634"/>
      <c r="F105" s="634"/>
      <c r="G105" s="613"/>
      <c r="H105" s="613"/>
      <c r="I105" s="613"/>
      <c r="J105" s="613"/>
      <c r="K105" s="613"/>
      <c r="L105" s="613"/>
      <c r="M105" s="614"/>
      <c r="N105" s="2736"/>
      <c r="O105" s="1768"/>
      <c r="P105" s="1766"/>
      <c r="Q105" s="1763"/>
      <c r="R105" s="1742"/>
      <c r="S105" s="1742"/>
      <c r="T105" s="1742"/>
      <c r="U105" s="1742"/>
      <c r="V105" s="1742"/>
      <c r="W105" s="1742"/>
      <c r="X105" s="1742"/>
      <c r="Y105" s="1742"/>
      <c r="Z105" s="1742"/>
      <c r="AA105" s="1742"/>
      <c r="AB105" s="1742"/>
      <c r="AC105" s="1742"/>
    </row>
    <row r="106" spans="1:29" s="1134" customFormat="1" ht="15" thickTop="1">
      <c r="A106" s="552"/>
      <c r="B106" s="668">
        <f>B35</f>
        <v>111</v>
      </c>
      <c r="C106" s="80"/>
      <c r="D106" s="80"/>
      <c r="E106" s="80"/>
      <c r="F106" s="80"/>
      <c r="G106" s="79"/>
      <c r="H106" s="79"/>
      <c r="I106" s="79"/>
      <c r="J106" s="669"/>
      <c r="K106" s="669"/>
      <c r="L106" s="670"/>
      <c r="M106" s="671"/>
      <c r="N106" s="2737"/>
      <c r="O106" s="1769"/>
      <c r="P106" s="1769"/>
      <c r="Q106" s="1770"/>
      <c r="R106" s="1771"/>
      <c r="S106" s="1771"/>
      <c r="T106" s="1771"/>
      <c r="U106" s="1771"/>
      <c r="V106" s="1771"/>
      <c r="W106" s="1771"/>
      <c r="X106" s="1771"/>
      <c r="Y106" s="1771"/>
      <c r="Z106" s="1771"/>
      <c r="AA106" s="1771"/>
      <c r="AB106" s="1771"/>
      <c r="AC106" s="1771"/>
    </row>
    <row r="107" spans="1:29" s="1134" customFormat="1" ht="15.75" thickBot="1">
      <c r="A107" s="629"/>
      <c r="B107" s="623"/>
      <c r="C107" s="642"/>
      <c r="D107" s="642"/>
      <c r="E107" s="642"/>
      <c r="F107" s="642"/>
      <c r="G107" s="541"/>
      <c r="H107" s="541"/>
      <c r="I107" s="541"/>
      <c r="J107" s="541"/>
      <c r="K107" s="541"/>
      <c r="L107" s="541"/>
      <c r="M107" s="672"/>
      <c r="N107" s="2736"/>
      <c r="O107" s="1768"/>
      <c r="P107" s="1769"/>
      <c r="Q107" s="1770"/>
      <c r="R107" s="1771"/>
      <c r="S107" s="1771"/>
      <c r="T107" s="1771"/>
      <c r="U107" s="1771"/>
      <c r="V107" s="1771"/>
      <c r="W107" s="1771"/>
      <c r="X107" s="1771"/>
      <c r="Y107" s="1771"/>
      <c r="Z107" s="1771"/>
      <c r="AA107" s="1771"/>
      <c r="AB107" s="1771"/>
      <c r="AC107" s="1771"/>
    </row>
    <row r="108" spans="1:29" ht="28.5">
      <c r="A108" s="607" t="s">
        <v>500</v>
      </c>
      <c r="B108" s="608" t="s">
        <v>541</v>
      </c>
      <c r="C108" s="645" t="str">
        <f t="shared" ref="C108:L108" si="115">C109&amp;"(含)"&amp;"-"&amp;D109</f>
        <v>0(含)-100000</v>
      </c>
      <c r="D108" s="645" t="str">
        <f t="shared" si="115"/>
        <v>100000(含)-200000</v>
      </c>
      <c r="E108" s="645" t="str">
        <f t="shared" si="115"/>
        <v>200000(含)-300000</v>
      </c>
      <c r="F108" s="645" t="str">
        <f t="shared" si="115"/>
        <v>300000(含)-400000</v>
      </c>
      <c r="G108" s="645" t="str">
        <f t="shared" si="115"/>
        <v>400000(含)-500000</v>
      </c>
      <c r="H108" s="645" t="str">
        <f t="shared" si="115"/>
        <v>500000(含)-600000</v>
      </c>
      <c r="I108" s="645" t="str">
        <f t="shared" si="115"/>
        <v>600000(含)-</v>
      </c>
      <c r="J108" s="645" t="str">
        <f t="shared" si="115"/>
        <v>(含)-</v>
      </c>
      <c r="K108" s="2348" t="str">
        <f t="shared" si="115"/>
        <v>(含)-</v>
      </c>
      <c r="L108" s="2349" t="str">
        <f t="shared" si="115"/>
        <v>(含)-</v>
      </c>
      <c r="M108" s="145" t="str">
        <f>M109&amp;"(含)"&amp;"-"&amp;P109</f>
        <v>(含)-</v>
      </c>
      <c r="N108" s="2735"/>
      <c r="O108" s="1767"/>
      <c r="P108" s="1766"/>
      <c r="Q108" s="1763"/>
      <c r="R108" s="1742"/>
      <c r="S108" s="1742"/>
      <c r="T108" s="1742"/>
      <c r="U108" s="1742"/>
      <c r="V108" s="1742"/>
      <c r="W108" s="1742"/>
      <c r="X108" s="1742"/>
      <c r="Y108" s="1742"/>
      <c r="Z108" s="1742"/>
      <c r="AA108" s="1742"/>
      <c r="AB108" s="1742"/>
      <c r="AC108" s="1742"/>
    </row>
    <row r="109" spans="1:29" ht="15">
      <c r="A109" s="482"/>
      <c r="B109" s="623"/>
      <c r="C109" s="79">
        <v>0</v>
      </c>
      <c r="D109" s="79">
        <v>100000</v>
      </c>
      <c r="E109" s="79">
        <v>200000</v>
      </c>
      <c r="F109" s="79">
        <v>300000</v>
      </c>
      <c r="G109" s="79">
        <v>400000</v>
      </c>
      <c r="H109" s="79">
        <v>500000</v>
      </c>
      <c r="I109" s="79">
        <v>600000</v>
      </c>
      <c r="J109" s="669"/>
      <c r="K109" s="669"/>
      <c r="L109" s="670"/>
      <c r="M109" s="671"/>
      <c r="N109" s="2735">
        <v>1</v>
      </c>
      <c r="O109" s="1767"/>
      <c r="P109" s="1766"/>
      <c r="Q109" s="1763"/>
      <c r="R109" s="1742"/>
      <c r="S109" s="1742"/>
      <c r="T109" s="1742"/>
      <c r="U109" s="1742"/>
      <c r="V109" s="1742"/>
      <c r="W109" s="1742"/>
      <c r="X109" s="1742"/>
      <c r="Y109" s="1742"/>
      <c r="Z109" s="1742"/>
      <c r="AA109" s="1742"/>
      <c r="AB109" s="1742"/>
      <c r="AC109" s="1742"/>
    </row>
    <row r="110" spans="1:29" ht="15.75" thickBot="1">
      <c r="A110" s="482"/>
      <c r="B110" s="620"/>
      <c r="C110" s="666">
        <v>100</v>
      </c>
      <c r="D110" s="666">
        <f t="shared" ref="D110" si="116">C110+$N$109</f>
        <v>101</v>
      </c>
      <c r="E110" s="666">
        <f t="shared" ref="E110" si="117">D110+$N$109</f>
        <v>102</v>
      </c>
      <c r="F110" s="666">
        <f t="shared" ref="F110" si="118">E110+$N$109</f>
        <v>103</v>
      </c>
      <c r="G110" s="666">
        <f t="shared" ref="G110" si="119">F110+$N$109</f>
        <v>104</v>
      </c>
      <c r="H110" s="666">
        <f t="shared" ref="H110" si="120">G110+$N$109</f>
        <v>105</v>
      </c>
      <c r="I110" s="666">
        <f t="shared" ref="I110" si="121">H110+$N$109</f>
        <v>106</v>
      </c>
      <c r="J110" s="666"/>
      <c r="K110" s="666"/>
      <c r="L110" s="666"/>
      <c r="M110" s="667"/>
      <c r="N110" s="2736"/>
      <c r="O110" s="1768"/>
      <c r="P110" s="1766"/>
      <c r="Q110" s="1763"/>
      <c r="R110" s="1742"/>
      <c r="S110" s="1742"/>
      <c r="T110" s="1742"/>
      <c r="U110" s="1742"/>
      <c r="V110" s="1742"/>
      <c r="W110" s="1742"/>
      <c r="X110" s="1742"/>
      <c r="Y110" s="1742"/>
      <c r="Z110" s="1742"/>
      <c r="AA110" s="1742"/>
      <c r="AB110" s="1742"/>
      <c r="AC110" s="1742"/>
    </row>
    <row r="111" spans="1:29" ht="15" thickTop="1">
      <c r="A111" s="543"/>
      <c r="B111" s="615" t="s">
        <v>542</v>
      </c>
      <c r="C111" s="3397" t="s">
        <v>3466</v>
      </c>
      <c r="D111" s="3397" t="s">
        <v>3468</v>
      </c>
      <c r="E111" s="658"/>
      <c r="F111" s="658"/>
      <c r="G111" s="658"/>
      <c r="H111" s="658"/>
      <c r="I111" s="658"/>
      <c r="J111" s="658"/>
      <c r="K111" s="659"/>
      <c r="L111" s="660"/>
      <c r="M111" s="661"/>
      <c r="N111" s="2735"/>
      <c r="O111" s="1767"/>
      <c r="P111" s="1766"/>
      <c r="Q111" s="1763"/>
      <c r="R111" s="1742"/>
      <c r="S111" s="1742"/>
      <c r="T111" s="1742"/>
      <c r="U111" s="1742"/>
      <c r="V111" s="1742"/>
      <c r="W111" s="1742"/>
      <c r="X111" s="1742"/>
      <c r="Y111" s="1742"/>
      <c r="Z111" s="1742"/>
      <c r="AA111" s="1742"/>
      <c r="AB111" s="1742"/>
      <c r="AC111" s="1742"/>
    </row>
    <row r="112" spans="1:29" ht="15.75" thickBot="1">
      <c r="A112" s="482"/>
      <c r="B112" s="620"/>
      <c r="C112" s="621">
        <v>100</v>
      </c>
      <c r="D112" s="621">
        <f t="shared" ref="D112:M112" si="122">C112-$K37</f>
        <v>100</v>
      </c>
      <c r="E112" s="621">
        <f t="shared" si="122"/>
        <v>100</v>
      </c>
      <c r="F112" s="621">
        <f t="shared" si="122"/>
        <v>100</v>
      </c>
      <c r="G112" s="621">
        <f t="shared" si="122"/>
        <v>100</v>
      </c>
      <c r="H112" s="621">
        <f t="shared" si="122"/>
        <v>100</v>
      </c>
      <c r="I112" s="621">
        <f t="shared" si="122"/>
        <v>100</v>
      </c>
      <c r="J112" s="621">
        <f t="shared" si="122"/>
        <v>100</v>
      </c>
      <c r="K112" s="621">
        <f t="shared" si="122"/>
        <v>100</v>
      </c>
      <c r="L112" s="621">
        <f t="shared" si="122"/>
        <v>100</v>
      </c>
      <c r="M112" s="622">
        <f t="shared" si="122"/>
        <v>100</v>
      </c>
      <c r="N112" s="2736"/>
      <c r="O112" s="1768"/>
      <c r="P112" s="1766"/>
      <c r="Q112" s="1763"/>
      <c r="R112" s="1742"/>
      <c r="S112" s="1742"/>
      <c r="T112" s="1742"/>
      <c r="U112" s="1742"/>
      <c r="V112" s="1742"/>
      <c r="W112" s="1742"/>
      <c r="X112" s="1742"/>
      <c r="Y112" s="1742"/>
      <c r="Z112" s="1742"/>
      <c r="AA112" s="1742"/>
      <c r="AB112" s="1742"/>
      <c r="AC112" s="1742"/>
    </row>
    <row r="113" spans="1:29" s="1134" customFormat="1" ht="15" thickTop="1">
      <c r="A113" s="552"/>
      <c r="B113" s="1555" t="s">
        <v>1777</v>
      </c>
      <c r="C113" s="1167"/>
      <c r="D113" s="1167"/>
      <c r="E113" s="1167"/>
      <c r="F113" s="1167"/>
      <c r="G113" s="1167"/>
      <c r="H113" s="658"/>
      <c r="I113" s="658"/>
      <c r="J113" s="658"/>
      <c r="K113" s="659"/>
      <c r="L113" s="660"/>
      <c r="M113" s="661"/>
      <c r="N113" s="2737"/>
      <c r="O113" s="1769"/>
      <c r="P113" s="1769"/>
      <c r="Q113" s="1770"/>
      <c r="R113" s="1771"/>
      <c r="S113" s="1771"/>
      <c r="T113" s="1771"/>
      <c r="U113" s="1771"/>
      <c r="V113" s="1771"/>
      <c r="W113" s="1771"/>
      <c r="X113" s="1771"/>
      <c r="Y113" s="1771"/>
      <c r="Z113" s="1771"/>
      <c r="AA113" s="1771"/>
      <c r="AB113" s="1771"/>
      <c r="AC113" s="1771"/>
    </row>
    <row r="114" spans="1:29" s="1134" customFormat="1" ht="15.75" thickBot="1">
      <c r="A114" s="629"/>
      <c r="B114" s="620"/>
      <c r="C114" s="621">
        <v>100</v>
      </c>
      <c r="D114" s="621">
        <f t="shared" ref="D114:M114" si="123">C114-$K38</f>
        <v>100</v>
      </c>
      <c r="E114" s="621">
        <f t="shared" si="123"/>
        <v>100</v>
      </c>
      <c r="F114" s="621">
        <f t="shared" si="123"/>
        <v>100</v>
      </c>
      <c r="G114" s="621">
        <f t="shared" si="123"/>
        <v>100</v>
      </c>
      <c r="H114" s="621">
        <f t="shared" si="123"/>
        <v>100</v>
      </c>
      <c r="I114" s="621">
        <f t="shared" si="123"/>
        <v>100</v>
      </c>
      <c r="J114" s="621">
        <f t="shared" si="123"/>
        <v>100</v>
      </c>
      <c r="K114" s="621">
        <f t="shared" si="123"/>
        <v>100</v>
      </c>
      <c r="L114" s="621">
        <f t="shared" si="123"/>
        <v>100</v>
      </c>
      <c r="M114" s="622">
        <f t="shared" si="123"/>
        <v>100</v>
      </c>
      <c r="N114" s="2737"/>
      <c r="O114" s="1769"/>
      <c r="P114" s="1769"/>
      <c r="Q114" s="1770"/>
      <c r="R114" s="1771"/>
      <c r="S114" s="1771"/>
      <c r="T114" s="1771"/>
      <c r="U114" s="1771"/>
      <c r="V114" s="1771"/>
      <c r="W114" s="1771"/>
      <c r="X114" s="1771"/>
      <c r="Y114" s="1771"/>
      <c r="Z114" s="1771"/>
      <c r="AA114" s="1771"/>
      <c r="AB114" s="1771"/>
      <c r="AC114" s="1771"/>
    </row>
    <row r="115" spans="1:29" ht="15" thickTop="1">
      <c r="A115" s="543"/>
      <c r="B115" s="615" t="s">
        <v>544</v>
      </c>
      <c r="C115" s="630"/>
      <c r="D115" s="630"/>
      <c r="E115" s="658"/>
      <c r="F115" s="658"/>
      <c r="G115" s="658"/>
      <c r="H115" s="658"/>
      <c r="I115" s="658"/>
      <c r="J115" s="658"/>
      <c r="K115" s="659"/>
      <c r="L115" s="660"/>
      <c r="M115" s="661"/>
      <c r="N115" s="2735"/>
      <c r="O115" s="1767"/>
      <c r="P115" s="1766"/>
      <c r="Q115" s="1763"/>
      <c r="R115" s="1742"/>
      <c r="S115" s="1742"/>
      <c r="T115" s="1742"/>
      <c r="U115" s="1742"/>
      <c r="V115" s="1742"/>
      <c r="W115" s="1742"/>
      <c r="X115" s="1742"/>
      <c r="Y115" s="1742"/>
      <c r="Z115" s="1742"/>
      <c r="AA115" s="1742"/>
      <c r="AB115" s="1742"/>
      <c r="AC115" s="1742"/>
    </row>
    <row r="116" spans="1:29" ht="15.75" thickBot="1">
      <c r="A116" s="482"/>
      <c r="B116" s="620"/>
      <c r="C116" s="621">
        <v>100</v>
      </c>
      <c r="D116" s="621">
        <f t="shared" ref="D116:M116" si="124">C116-$K39</f>
        <v>100</v>
      </c>
      <c r="E116" s="621">
        <f t="shared" si="124"/>
        <v>100</v>
      </c>
      <c r="F116" s="621">
        <f t="shared" si="124"/>
        <v>100</v>
      </c>
      <c r="G116" s="621">
        <f t="shared" si="124"/>
        <v>100</v>
      </c>
      <c r="H116" s="621">
        <f t="shared" si="124"/>
        <v>100</v>
      </c>
      <c r="I116" s="621">
        <f t="shared" si="124"/>
        <v>100</v>
      </c>
      <c r="J116" s="621">
        <f t="shared" si="124"/>
        <v>100</v>
      </c>
      <c r="K116" s="621">
        <f t="shared" si="124"/>
        <v>100</v>
      </c>
      <c r="L116" s="621">
        <f t="shared" si="124"/>
        <v>100</v>
      </c>
      <c r="M116" s="622">
        <f t="shared" si="124"/>
        <v>100</v>
      </c>
      <c r="N116" s="2736"/>
      <c r="O116" s="1768"/>
      <c r="P116" s="1766"/>
      <c r="Q116" s="1763"/>
      <c r="R116" s="1742"/>
      <c r="S116" s="1742"/>
      <c r="T116" s="1742"/>
      <c r="U116" s="1742"/>
      <c r="V116" s="1742"/>
      <c r="W116" s="1742"/>
      <c r="X116" s="1742"/>
      <c r="Y116" s="1742"/>
      <c r="Z116" s="1742"/>
      <c r="AA116" s="1742"/>
      <c r="AB116" s="1742"/>
      <c r="AC116" s="1742"/>
    </row>
    <row r="117" spans="1:29" ht="15" thickTop="1">
      <c r="A117" s="543"/>
      <c r="B117" s="615">
        <f>B40</f>
        <v>111</v>
      </c>
      <c r="C117" s="630"/>
      <c r="D117" s="630"/>
      <c r="E117" s="630"/>
      <c r="F117" s="630"/>
      <c r="G117" s="630"/>
      <c r="H117" s="658"/>
      <c r="I117" s="658"/>
      <c r="J117" s="658"/>
      <c r="K117" s="659"/>
      <c r="L117" s="660"/>
      <c r="M117" s="661"/>
      <c r="N117" s="2735"/>
      <c r="O117" s="1767"/>
      <c r="P117" s="1766"/>
      <c r="Q117" s="1763"/>
      <c r="R117" s="1742"/>
      <c r="S117" s="1742"/>
      <c r="T117" s="1742"/>
      <c r="U117" s="1742"/>
      <c r="V117" s="1742"/>
      <c r="W117" s="1742"/>
      <c r="X117" s="1742"/>
      <c r="Y117" s="1742"/>
      <c r="Z117" s="1742"/>
      <c r="AA117" s="1742"/>
      <c r="AB117" s="1742"/>
      <c r="AC117" s="1742"/>
    </row>
    <row r="118" spans="1:29" ht="15.75" thickBot="1">
      <c r="A118" s="482"/>
      <c r="B118" s="620"/>
      <c r="C118" s="634"/>
      <c r="D118" s="613"/>
      <c r="E118" s="613"/>
      <c r="F118" s="613"/>
      <c r="G118" s="613"/>
      <c r="H118" s="613"/>
      <c r="I118" s="613"/>
      <c r="J118" s="613"/>
      <c r="K118" s="613"/>
      <c r="L118" s="613"/>
      <c r="M118" s="614"/>
      <c r="N118" s="2736"/>
      <c r="O118" s="1768"/>
      <c r="P118" s="1766"/>
      <c r="Q118" s="1763"/>
      <c r="R118" s="1742"/>
      <c r="S118" s="1742"/>
      <c r="T118" s="1742"/>
      <c r="U118" s="1742"/>
      <c r="V118" s="1742"/>
      <c r="W118" s="1742"/>
      <c r="X118" s="1742"/>
      <c r="Y118" s="1742"/>
      <c r="Z118" s="1742"/>
      <c r="AA118" s="1742"/>
      <c r="AB118" s="1742"/>
      <c r="AC118" s="1742"/>
    </row>
    <row r="119" spans="1:29" ht="15" thickTop="1">
      <c r="A119" s="543"/>
      <c r="B119" s="615">
        <f>B41</f>
        <v>111</v>
      </c>
      <c r="C119" s="630"/>
      <c r="D119" s="630"/>
      <c r="E119" s="630"/>
      <c r="F119" s="630"/>
      <c r="G119" s="658"/>
      <c r="H119" s="658"/>
      <c r="I119" s="658"/>
      <c r="J119" s="658"/>
      <c r="K119" s="659"/>
      <c r="L119" s="660"/>
      <c r="M119" s="661"/>
      <c r="N119" s="2735"/>
      <c r="O119" s="1767"/>
      <c r="P119" s="1766"/>
      <c r="Q119" s="1763"/>
      <c r="R119" s="1742"/>
      <c r="S119" s="1742"/>
      <c r="T119" s="1742"/>
      <c r="U119" s="1742"/>
      <c r="V119" s="1742"/>
      <c r="W119" s="1742"/>
      <c r="X119" s="1742"/>
      <c r="Y119" s="1742"/>
      <c r="Z119" s="1742"/>
      <c r="AA119" s="1742"/>
      <c r="AB119" s="1742"/>
      <c r="AC119" s="1742"/>
    </row>
    <row r="120" spans="1:29" ht="15.75" thickBot="1">
      <c r="A120" s="482"/>
      <c r="B120" s="620"/>
      <c r="C120" s="634"/>
      <c r="D120" s="634"/>
      <c r="E120" s="634"/>
      <c r="F120" s="634"/>
      <c r="G120" s="613"/>
      <c r="H120" s="613"/>
      <c r="I120" s="613"/>
      <c r="J120" s="613"/>
      <c r="K120" s="613"/>
      <c r="L120" s="613"/>
      <c r="M120" s="614"/>
      <c r="N120" s="2736"/>
      <c r="O120" s="1768"/>
      <c r="P120" s="1766"/>
      <c r="Q120" s="1763"/>
      <c r="R120" s="1742"/>
      <c r="S120" s="1742"/>
      <c r="T120" s="1742"/>
      <c r="U120" s="1742"/>
      <c r="V120" s="1742"/>
      <c r="W120" s="1742"/>
      <c r="X120" s="1742"/>
      <c r="Y120" s="1742"/>
      <c r="Z120" s="1742"/>
      <c r="AA120" s="1742"/>
      <c r="AB120" s="1742"/>
      <c r="AC120" s="1742"/>
    </row>
    <row r="121" spans="1:29" s="1134" customFormat="1" ht="15" thickTop="1">
      <c r="A121" s="552"/>
      <c r="B121" s="615">
        <f>B42</f>
        <v>111</v>
      </c>
      <c r="C121" s="80"/>
      <c r="D121" s="80"/>
      <c r="E121" s="80"/>
      <c r="F121" s="80"/>
      <c r="G121" s="631"/>
      <c r="H121" s="631"/>
      <c r="I121" s="631"/>
      <c r="J121" s="631"/>
      <c r="K121" s="631"/>
      <c r="L121" s="632"/>
      <c r="M121" s="633"/>
      <c r="N121" s="2737"/>
      <c r="O121" s="1769"/>
      <c r="P121" s="1769"/>
      <c r="Q121" s="1770"/>
      <c r="R121" s="1771"/>
      <c r="S121" s="1771"/>
      <c r="T121" s="1771"/>
      <c r="U121" s="1771"/>
      <c r="V121" s="1771"/>
      <c r="W121" s="1771"/>
      <c r="X121" s="1771"/>
      <c r="Y121" s="1771"/>
      <c r="Z121" s="1771"/>
      <c r="AA121" s="1771"/>
      <c r="AB121" s="1771"/>
      <c r="AC121" s="1771"/>
    </row>
    <row r="122" spans="1:29" s="1134" customFormat="1" ht="15.75" thickBot="1">
      <c r="A122" s="640"/>
      <c r="B122" s="673"/>
      <c r="C122" s="642"/>
      <c r="D122" s="642"/>
      <c r="E122" s="642"/>
      <c r="F122" s="642"/>
      <c r="G122" s="666"/>
      <c r="H122" s="666"/>
      <c r="I122" s="666"/>
      <c r="J122" s="666"/>
      <c r="K122" s="666"/>
      <c r="L122" s="666"/>
      <c r="M122" s="667"/>
      <c r="N122" s="2737"/>
      <c r="O122" s="1769"/>
      <c r="P122" s="1769"/>
      <c r="Q122" s="1770"/>
      <c r="R122" s="1771"/>
      <c r="S122" s="1771"/>
      <c r="T122" s="1771"/>
      <c r="U122" s="1771"/>
      <c r="V122" s="1771"/>
      <c r="W122" s="1771"/>
      <c r="X122" s="1771"/>
      <c r="Y122" s="1771"/>
      <c r="Z122" s="1771"/>
      <c r="AA122" s="1771"/>
      <c r="AB122" s="1771"/>
      <c r="AC122" s="1771"/>
    </row>
    <row r="123" spans="1:29">
      <c r="A123" s="1779"/>
      <c r="B123" s="1779"/>
      <c r="C123" s="1779"/>
      <c r="D123" s="1779"/>
      <c r="E123" s="1779"/>
      <c r="F123" s="1779"/>
      <c r="G123" s="1779"/>
      <c r="H123" s="1779"/>
      <c r="I123" s="1779"/>
      <c r="J123" s="1779"/>
      <c r="K123" s="1780"/>
      <c r="L123" s="1781"/>
      <c r="M123" s="1779"/>
      <c r="N123" s="1779"/>
      <c r="O123" s="1779"/>
      <c r="P123" s="1779"/>
      <c r="Q123" s="1779"/>
      <c r="R123" s="1779"/>
      <c r="S123" s="1779"/>
      <c r="T123" s="1779"/>
      <c r="U123" s="1779"/>
      <c r="V123" s="1779"/>
      <c r="W123" s="1779"/>
      <c r="X123" s="1779"/>
      <c r="Y123" s="1779"/>
      <c r="Z123" s="1779"/>
      <c r="AA123" s="1779"/>
      <c r="AB123" s="1779"/>
      <c r="AC123" s="1779"/>
    </row>
    <row r="124" spans="1:29">
      <c r="A124" s="1779"/>
      <c r="B124" s="1779"/>
      <c r="C124" s="1779"/>
      <c r="D124" s="1779"/>
      <c r="E124" s="1779"/>
      <c r="F124" s="1779"/>
      <c r="G124" s="1779"/>
      <c r="H124" s="1779"/>
      <c r="I124" s="1779"/>
      <c r="J124" s="1779"/>
      <c r="K124" s="1780"/>
      <c r="L124" s="1781"/>
      <c r="M124" s="1779"/>
      <c r="N124" s="1779"/>
      <c r="O124" s="1779"/>
      <c r="P124" s="1779"/>
      <c r="Q124" s="1779"/>
      <c r="R124" s="1779"/>
      <c r="S124" s="1779"/>
      <c r="T124" s="1779"/>
      <c r="U124" s="1779"/>
      <c r="V124" s="1779"/>
      <c r="W124" s="1779"/>
      <c r="X124" s="1779"/>
      <c r="Y124" s="1779"/>
      <c r="Z124" s="1779"/>
      <c r="AA124" s="1779"/>
      <c r="AB124" s="1779"/>
      <c r="AC124" s="1779"/>
    </row>
    <row r="125" spans="1:29">
      <c r="A125" s="1779"/>
      <c r="B125" s="1779"/>
      <c r="C125" s="1779"/>
      <c r="D125" s="1779"/>
      <c r="E125" s="1779"/>
      <c r="F125" s="1779"/>
      <c r="G125" s="1779"/>
      <c r="H125" s="1779"/>
      <c r="I125" s="1779"/>
      <c r="J125" s="1779"/>
      <c r="K125" s="1780"/>
      <c r="L125" s="1781"/>
      <c r="M125" s="1779"/>
      <c r="N125" s="1779"/>
      <c r="O125" s="1779"/>
      <c r="P125" s="1779"/>
      <c r="Q125" s="1779"/>
      <c r="R125" s="1779"/>
      <c r="S125" s="1779"/>
      <c r="T125" s="1779"/>
      <c r="U125" s="1779"/>
      <c r="V125" s="1779"/>
      <c r="W125" s="1779"/>
      <c r="X125" s="1779"/>
      <c r="Y125" s="1779"/>
      <c r="Z125" s="1779"/>
      <c r="AA125" s="1779"/>
      <c r="AB125" s="1779"/>
      <c r="AC125" s="1779"/>
    </row>
    <row r="126" spans="1:29">
      <c r="A126" s="1779"/>
      <c r="B126" s="1779"/>
      <c r="C126" s="1779"/>
      <c r="D126" s="1779"/>
      <c r="E126" s="1779"/>
      <c r="F126" s="1779"/>
      <c r="G126" s="1779"/>
      <c r="H126" s="1779"/>
      <c r="I126" s="1779"/>
      <c r="J126" s="1779"/>
      <c r="K126" s="1780"/>
      <c r="L126" s="1781"/>
      <c r="M126" s="1779"/>
      <c r="N126" s="1779"/>
      <c r="O126" s="1779"/>
      <c r="P126" s="1779"/>
      <c r="Q126" s="1779"/>
      <c r="R126" s="1779"/>
      <c r="S126" s="1779"/>
      <c r="T126" s="1779"/>
      <c r="U126" s="1779"/>
      <c r="V126" s="1779"/>
      <c r="W126" s="1779"/>
      <c r="X126" s="1779"/>
      <c r="Y126" s="1779"/>
      <c r="Z126" s="1779"/>
      <c r="AA126" s="1779"/>
      <c r="AB126" s="1779"/>
      <c r="AC126" s="1779"/>
    </row>
    <row r="127" spans="1:29">
      <c r="A127" s="1779"/>
      <c r="B127" s="1779"/>
      <c r="C127" s="1779"/>
      <c r="D127" s="1779"/>
      <c r="E127" s="1779"/>
      <c r="F127" s="1779"/>
      <c r="G127" s="1779"/>
      <c r="H127" s="1779"/>
      <c r="I127" s="1779"/>
      <c r="J127" s="1779"/>
      <c r="K127" s="1780"/>
      <c r="L127" s="1781"/>
      <c r="M127" s="1779"/>
      <c r="N127" s="1779"/>
      <c r="O127" s="1779"/>
      <c r="P127" s="1779"/>
      <c r="Q127" s="1779"/>
      <c r="R127" s="1779"/>
      <c r="S127" s="1779"/>
      <c r="T127" s="1779"/>
      <c r="U127" s="1779"/>
      <c r="V127" s="1779"/>
      <c r="W127" s="1779"/>
      <c r="X127" s="1779"/>
      <c r="Y127" s="1779"/>
      <c r="Z127" s="1779"/>
      <c r="AA127" s="1779"/>
      <c r="AB127" s="1779"/>
      <c r="AC127" s="1779"/>
    </row>
    <row r="128" spans="1:29">
      <c r="A128" s="1779"/>
      <c r="B128" s="1779"/>
      <c r="C128" s="1779"/>
      <c r="D128" s="1779"/>
      <c r="E128" s="1779"/>
      <c r="F128" s="1779"/>
      <c r="G128" s="1779"/>
      <c r="H128" s="1779"/>
      <c r="I128" s="1779"/>
      <c r="J128" s="1779"/>
      <c r="K128" s="1780"/>
      <c r="L128" s="1781"/>
      <c r="M128" s="1779"/>
      <c r="N128" s="1779"/>
      <c r="O128" s="1779"/>
      <c r="P128" s="1779"/>
      <c r="Q128" s="1779"/>
      <c r="R128" s="1779"/>
      <c r="S128" s="1779"/>
      <c r="T128" s="1779"/>
      <c r="U128" s="1779"/>
      <c r="V128" s="1779"/>
      <c r="W128" s="1779"/>
      <c r="X128" s="1779"/>
      <c r="Y128" s="1779"/>
      <c r="Z128" s="1779"/>
      <c r="AA128" s="1779"/>
      <c r="AB128" s="1779"/>
      <c r="AC128" s="1779"/>
    </row>
    <row r="129" spans="1:29">
      <c r="A129" s="1779"/>
      <c r="B129" s="1779"/>
      <c r="C129" s="1779"/>
      <c r="D129" s="1779"/>
      <c r="E129" s="1779"/>
      <c r="F129" s="1779"/>
      <c r="G129" s="1779"/>
      <c r="H129" s="1779"/>
      <c r="I129" s="1779"/>
      <c r="J129" s="1779"/>
      <c r="K129" s="1780"/>
      <c r="L129" s="1781"/>
      <c r="M129" s="1779"/>
      <c r="N129" s="1779"/>
      <c r="O129" s="1779"/>
      <c r="P129" s="1779"/>
      <c r="Q129" s="1779"/>
      <c r="R129" s="1779"/>
      <c r="S129" s="1779"/>
      <c r="T129" s="1779"/>
      <c r="U129" s="1779"/>
      <c r="V129" s="1779"/>
      <c r="W129" s="1779"/>
      <c r="X129" s="1779"/>
      <c r="Y129" s="1779"/>
      <c r="Z129" s="1779"/>
      <c r="AA129" s="1779"/>
      <c r="AB129" s="1779"/>
      <c r="AC129" s="1779"/>
    </row>
    <row r="130" spans="1:29">
      <c r="A130" s="1779"/>
      <c r="B130" s="1779"/>
      <c r="C130" s="1779"/>
      <c r="D130" s="1779"/>
      <c r="E130" s="1779"/>
      <c r="F130" s="1779"/>
      <c r="G130" s="1779"/>
      <c r="H130" s="1779"/>
      <c r="I130" s="1779"/>
      <c r="J130" s="1779"/>
      <c r="K130" s="1780"/>
      <c r="L130" s="1781"/>
      <c r="M130" s="1779"/>
      <c r="N130" s="1779"/>
      <c r="O130" s="1779"/>
      <c r="P130" s="1779"/>
      <c r="Q130" s="1779"/>
      <c r="R130" s="1779"/>
      <c r="S130" s="1779"/>
      <c r="T130" s="1779"/>
      <c r="U130" s="1779"/>
      <c r="V130" s="1779"/>
      <c r="W130" s="1779"/>
      <c r="X130" s="1779"/>
      <c r="Y130" s="1779"/>
      <c r="Z130" s="1779"/>
      <c r="AA130" s="1779"/>
      <c r="AB130" s="1779"/>
      <c r="AC130" s="1779"/>
    </row>
    <row r="131" spans="1:29">
      <c r="A131" s="1779"/>
      <c r="B131" s="1779"/>
      <c r="C131" s="1779"/>
      <c r="D131" s="1779"/>
      <c r="E131" s="1779"/>
      <c r="F131" s="1779"/>
      <c r="G131" s="1779"/>
      <c r="H131" s="1779"/>
      <c r="I131" s="1779"/>
      <c r="J131" s="1779"/>
      <c r="K131" s="1780"/>
      <c r="L131" s="1781"/>
      <c r="M131" s="1779"/>
      <c r="N131" s="1779"/>
      <c r="O131" s="1779"/>
      <c r="P131" s="1779"/>
      <c r="Q131" s="1779"/>
      <c r="R131" s="1779"/>
      <c r="S131" s="1779"/>
      <c r="T131" s="1779"/>
      <c r="U131" s="1779"/>
      <c r="V131" s="1779"/>
      <c r="W131" s="1779"/>
      <c r="X131" s="1779"/>
      <c r="Y131" s="1779"/>
      <c r="Z131" s="1779"/>
      <c r="AA131" s="1779"/>
      <c r="AB131" s="1779"/>
      <c r="AC131" s="1779"/>
    </row>
    <row r="132" spans="1:29">
      <c r="A132" s="1779"/>
      <c r="B132" s="1779"/>
      <c r="C132" s="1779"/>
      <c r="D132" s="1779"/>
      <c r="E132" s="1779"/>
      <c r="F132" s="1779"/>
      <c r="G132" s="1779"/>
      <c r="H132" s="1779"/>
      <c r="I132" s="1779"/>
      <c r="J132" s="1779"/>
      <c r="K132" s="1780"/>
      <c r="L132" s="1781"/>
      <c r="M132" s="1779"/>
      <c r="N132" s="1779"/>
      <c r="O132" s="1779"/>
      <c r="P132" s="1779"/>
      <c r="Q132" s="1779"/>
      <c r="R132" s="1779"/>
      <c r="S132" s="1779"/>
      <c r="T132" s="1779"/>
      <c r="U132" s="1779"/>
      <c r="V132" s="1779"/>
      <c r="W132" s="1779"/>
      <c r="X132" s="1779"/>
      <c r="Y132" s="1779"/>
      <c r="Z132" s="1779"/>
      <c r="AA132" s="1779"/>
      <c r="AB132" s="1779"/>
      <c r="AC132" s="1779"/>
    </row>
    <row r="133" spans="1:29">
      <c r="A133" s="1779"/>
      <c r="B133" s="1779"/>
      <c r="C133" s="1779"/>
      <c r="D133" s="1779"/>
      <c r="E133" s="1779"/>
      <c r="F133" s="1779"/>
      <c r="G133" s="1779"/>
      <c r="H133" s="1779"/>
      <c r="I133" s="1779"/>
      <c r="J133" s="1779"/>
      <c r="K133" s="1780"/>
      <c r="L133" s="1781"/>
      <c r="M133" s="1779"/>
      <c r="N133" s="1779"/>
      <c r="O133" s="1779"/>
      <c r="P133" s="1779"/>
      <c r="Q133" s="1779"/>
      <c r="R133" s="1779"/>
      <c r="S133" s="1779"/>
      <c r="T133" s="1779"/>
      <c r="U133" s="1779"/>
      <c r="V133" s="1779"/>
      <c r="W133" s="1779"/>
      <c r="X133" s="1779"/>
      <c r="Y133" s="1779"/>
      <c r="Z133" s="1779"/>
      <c r="AA133" s="1779"/>
      <c r="AB133" s="1779"/>
      <c r="AC133" s="1779"/>
    </row>
    <row r="134" spans="1:29">
      <c r="A134" s="1779"/>
      <c r="B134" s="1779"/>
      <c r="C134" s="1779"/>
      <c r="D134" s="1779"/>
      <c r="E134" s="1779"/>
      <c r="F134" s="1779"/>
      <c r="G134" s="1779"/>
      <c r="H134" s="1779"/>
      <c r="I134" s="1779"/>
      <c r="J134" s="1779"/>
      <c r="K134" s="1780"/>
      <c r="L134" s="1781"/>
      <c r="M134" s="1779"/>
      <c r="N134" s="1779"/>
      <c r="O134" s="1779"/>
      <c r="P134" s="1779"/>
      <c r="Q134" s="1779"/>
      <c r="R134" s="1779"/>
      <c r="S134" s="1779"/>
      <c r="T134" s="1779"/>
      <c r="U134" s="1779"/>
      <c r="V134" s="1779"/>
      <c r="W134" s="1779"/>
      <c r="X134" s="1779"/>
      <c r="Y134" s="1779"/>
      <c r="Z134" s="1779"/>
      <c r="AA134" s="1779"/>
      <c r="AB134" s="1779"/>
      <c r="AC134" s="1779"/>
    </row>
    <row r="135" spans="1:29">
      <c r="A135" s="1779"/>
      <c r="B135" s="1779"/>
      <c r="C135" s="1779"/>
      <c r="D135" s="1779"/>
      <c r="E135" s="1779"/>
      <c r="F135" s="1779"/>
      <c r="G135" s="1779"/>
      <c r="H135" s="1779"/>
      <c r="I135" s="1779"/>
      <c r="J135" s="1779"/>
      <c r="K135" s="1780"/>
      <c r="L135" s="1781"/>
      <c r="M135" s="1779"/>
      <c r="N135" s="1779"/>
      <c r="O135" s="1779"/>
      <c r="P135" s="1779"/>
      <c r="Q135" s="1779"/>
      <c r="R135" s="1779"/>
      <c r="S135" s="1779"/>
      <c r="T135" s="1779"/>
      <c r="U135" s="1779"/>
      <c r="V135" s="1779"/>
      <c r="W135" s="1779"/>
      <c r="X135" s="1779"/>
      <c r="Y135" s="1779"/>
      <c r="Z135" s="1779"/>
      <c r="AA135" s="1779"/>
      <c r="AB135" s="1779"/>
      <c r="AC135" s="1779"/>
    </row>
    <row r="136" spans="1:29">
      <c r="A136" s="1779"/>
      <c r="B136" s="1779"/>
      <c r="C136" s="1779"/>
      <c r="D136" s="1779"/>
      <c r="E136" s="1779"/>
      <c r="F136" s="1779"/>
      <c r="G136" s="1779"/>
      <c r="H136" s="1779"/>
      <c r="I136" s="1779"/>
      <c r="J136" s="1779"/>
      <c r="K136" s="1780"/>
      <c r="L136" s="1781"/>
      <c r="M136" s="1779"/>
      <c r="N136" s="1779"/>
      <c r="O136" s="1779"/>
      <c r="P136" s="1779"/>
      <c r="Q136" s="1779"/>
      <c r="R136" s="1779"/>
      <c r="S136" s="1779"/>
      <c r="T136" s="1779"/>
      <c r="U136" s="1779"/>
      <c r="V136" s="1779"/>
      <c r="W136" s="1779"/>
      <c r="X136" s="1779"/>
      <c r="Y136" s="1779"/>
      <c r="Z136" s="1779"/>
      <c r="AA136" s="1779"/>
      <c r="AB136" s="1779"/>
      <c r="AC136" s="1779"/>
    </row>
    <row r="137" spans="1:29">
      <c r="A137" s="1779"/>
      <c r="B137" s="1779"/>
      <c r="C137" s="1779"/>
      <c r="D137" s="1779"/>
      <c r="E137" s="1779"/>
      <c r="F137" s="1779"/>
      <c r="G137" s="1779"/>
      <c r="H137" s="1779"/>
      <c r="I137" s="1779"/>
      <c r="J137" s="1779"/>
      <c r="K137" s="1780"/>
      <c r="L137" s="1781"/>
      <c r="M137" s="1779"/>
      <c r="N137" s="1779"/>
      <c r="O137" s="1779"/>
      <c r="P137" s="1779"/>
      <c r="Q137" s="1779"/>
      <c r="R137" s="1779"/>
      <c r="S137" s="1779"/>
      <c r="T137" s="1779"/>
      <c r="U137" s="1779"/>
      <c r="V137" s="1779"/>
      <c r="W137" s="1779"/>
      <c r="X137" s="1779"/>
      <c r="Y137" s="1779"/>
      <c r="Z137" s="1779"/>
      <c r="AA137" s="1779"/>
      <c r="AB137" s="1779"/>
      <c r="AC137" s="1779"/>
    </row>
    <row r="138" spans="1:29">
      <c r="A138" s="1779"/>
      <c r="B138" s="1779"/>
      <c r="C138" s="1779"/>
      <c r="D138" s="1779"/>
      <c r="E138" s="1779"/>
      <c r="F138" s="1779"/>
      <c r="G138" s="1779"/>
      <c r="H138" s="1779"/>
      <c r="I138" s="1779"/>
      <c r="J138" s="1779"/>
      <c r="K138" s="1780"/>
      <c r="L138" s="1781"/>
      <c r="M138" s="1779"/>
      <c r="N138" s="1779"/>
      <c r="O138" s="1779"/>
      <c r="P138" s="1779"/>
      <c r="Q138" s="1779"/>
      <c r="R138" s="1779"/>
      <c r="S138" s="1779"/>
      <c r="T138" s="1779"/>
      <c r="U138" s="1779"/>
      <c r="V138" s="1779"/>
      <c r="W138" s="1779"/>
      <c r="X138" s="1779"/>
      <c r="Y138" s="1779"/>
      <c r="Z138" s="1779"/>
      <c r="AA138" s="1779"/>
      <c r="AB138" s="1779"/>
      <c r="AC138" s="1779"/>
    </row>
    <row r="139" spans="1:29">
      <c r="A139" s="1779"/>
      <c r="B139" s="1779"/>
      <c r="C139" s="1779"/>
      <c r="D139" s="1779"/>
      <c r="E139" s="1779"/>
      <c r="F139" s="1779"/>
      <c r="G139" s="1779"/>
      <c r="H139" s="1779"/>
      <c r="I139" s="1779"/>
      <c r="J139" s="1779"/>
      <c r="K139" s="1780"/>
      <c r="L139" s="1781"/>
      <c r="M139" s="1779"/>
      <c r="N139" s="1779"/>
      <c r="O139" s="1779"/>
      <c r="P139" s="1779"/>
      <c r="Q139" s="1779"/>
      <c r="R139" s="1779"/>
      <c r="S139" s="1779"/>
      <c r="T139" s="1779"/>
      <c r="U139" s="1779"/>
      <c r="V139" s="1779"/>
      <c r="W139" s="1779"/>
      <c r="X139" s="1779"/>
      <c r="Y139" s="1779"/>
      <c r="Z139" s="1779"/>
      <c r="AA139" s="1779"/>
      <c r="AB139" s="1779"/>
      <c r="AC139" s="1779"/>
    </row>
    <row r="140" spans="1:29">
      <c r="A140" s="1779"/>
      <c r="B140" s="1779"/>
      <c r="C140" s="1779"/>
      <c r="D140" s="1779"/>
      <c r="E140" s="1779"/>
      <c r="F140" s="1779"/>
      <c r="G140" s="1779"/>
      <c r="H140" s="1779"/>
      <c r="I140" s="1779"/>
      <c r="J140" s="1779"/>
      <c r="K140" s="1780"/>
      <c r="L140" s="1781"/>
      <c r="M140" s="1779"/>
      <c r="N140" s="1779"/>
      <c r="O140" s="1779"/>
      <c r="P140" s="1779"/>
      <c r="Q140" s="1779"/>
      <c r="R140" s="1779"/>
      <c r="S140" s="1779"/>
      <c r="T140" s="1779"/>
      <c r="U140" s="1779"/>
      <c r="V140" s="1779"/>
      <c r="W140" s="1779"/>
      <c r="X140" s="1779"/>
      <c r="Y140" s="1779"/>
      <c r="Z140" s="1779"/>
      <c r="AA140" s="1779"/>
      <c r="AB140" s="1779"/>
      <c r="AC140" s="1779"/>
    </row>
    <row r="141" spans="1:29">
      <c r="A141" s="1779"/>
      <c r="B141" s="1779"/>
      <c r="C141" s="1779"/>
      <c r="D141" s="1779"/>
      <c r="E141" s="1779"/>
      <c r="F141" s="1779"/>
      <c r="G141" s="1779"/>
      <c r="H141" s="1779"/>
      <c r="I141" s="1779"/>
      <c r="J141" s="1779"/>
      <c r="K141" s="1780"/>
      <c r="L141" s="1781"/>
      <c r="M141" s="1779"/>
      <c r="N141" s="1779"/>
      <c r="O141" s="1779"/>
      <c r="P141" s="1779"/>
      <c r="Q141" s="1779"/>
      <c r="R141" s="1779"/>
      <c r="S141" s="1779"/>
      <c r="T141" s="1779"/>
      <c r="U141" s="1779"/>
      <c r="V141" s="1779"/>
      <c r="W141" s="1779"/>
      <c r="X141" s="1779"/>
      <c r="Y141" s="1779"/>
      <c r="Z141" s="1779"/>
      <c r="AA141" s="1779"/>
      <c r="AB141" s="1779"/>
      <c r="AC141" s="1779"/>
    </row>
    <row r="142" spans="1:29">
      <c r="A142" s="1779"/>
      <c r="B142" s="1779"/>
      <c r="C142" s="1779"/>
      <c r="D142" s="1779"/>
      <c r="E142" s="1779"/>
      <c r="F142" s="1779"/>
      <c r="G142" s="1779"/>
      <c r="H142" s="1779"/>
      <c r="I142" s="1779"/>
      <c r="J142" s="1779"/>
      <c r="K142" s="1780"/>
      <c r="L142" s="1781"/>
      <c r="M142" s="1779"/>
      <c r="N142" s="1779"/>
      <c r="O142" s="1779"/>
      <c r="P142" s="1779"/>
      <c r="Q142" s="1779"/>
      <c r="R142" s="1779"/>
      <c r="S142" s="1779"/>
      <c r="T142" s="1779"/>
      <c r="U142" s="1779"/>
      <c r="V142" s="1779"/>
      <c r="W142" s="1779"/>
      <c r="X142" s="1779"/>
      <c r="Y142" s="1779"/>
      <c r="Z142" s="1779"/>
      <c r="AA142" s="1779"/>
      <c r="AB142" s="1779"/>
      <c r="AC142" s="1779"/>
    </row>
    <row r="143" spans="1:29">
      <c r="A143" s="1779"/>
      <c r="B143" s="1779"/>
      <c r="C143" s="1779"/>
      <c r="D143" s="1779"/>
      <c r="E143" s="1779"/>
      <c r="F143" s="1779"/>
      <c r="G143" s="1779"/>
      <c r="H143" s="1779"/>
      <c r="I143" s="1779"/>
      <c r="J143" s="1779"/>
      <c r="K143" s="1780"/>
      <c r="L143" s="1781"/>
      <c r="M143" s="1779"/>
      <c r="N143" s="1779"/>
      <c r="O143" s="1779"/>
      <c r="P143" s="1779"/>
      <c r="Q143" s="1779"/>
      <c r="R143" s="1779"/>
      <c r="S143" s="1779"/>
      <c r="T143" s="1779"/>
      <c r="U143" s="1779"/>
      <c r="V143" s="1779"/>
      <c r="W143" s="1779"/>
      <c r="X143" s="1779"/>
      <c r="Y143" s="1779"/>
      <c r="Z143" s="1779"/>
      <c r="AA143" s="1779"/>
      <c r="AB143" s="1779"/>
      <c r="AC143" s="1779"/>
    </row>
    <row r="144" spans="1:29">
      <c r="A144" s="1779"/>
      <c r="B144" s="1779"/>
      <c r="C144" s="1779"/>
      <c r="D144" s="1779"/>
      <c r="E144" s="1779"/>
      <c r="F144" s="1779"/>
      <c r="G144" s="1779"/>
      <c r="H144" s="1779"/>
      <c r="I144" s="1779"/>
      <c r="J144" s="1779"/>
      <c r="K144" s="1780"/>
      <c r="L144" s="1781"/>
      <c r="M144" s="1779"/>
      <c r="N144" s="1779"/>
      <c r="O144" s="1779"/>
      <c r="P144" s="1779"/>
      <c r="Q144" s="1779"/>
      <c r="R144" s="1779"/>
      <c r="S144" s="1779"/>
      <c r="T144" s="1779"/>
      <c r="U144" s="1779"/>
      <c r="V144" s="1779"/>
      <c r="W144" s="1779"/>
      <c r="X144" s="1779"/>
      <c r="Y144" s="1779"/>
      <c r="Z144" s="1779"/>
      <c r="AA144" s="1779"/>
      <c r="AB144" s="1779"/>
      <c r="AC144" s="1779"/>
    </row>
    <row r="145" spans="1:29">
      <c r="A145" s="1779"/>
      <c r="B145" s="1779"/>
      <c r="C145" s="1779"/>
      <c r="D145" s="1779"/>
      <c r="E145" s="1779"/>
      <c r="F145" s="1779"/>
      <c r="G145" s="1779"/>
      <c r="H145" s="1779"/>
      <c r="I145" s="1779"/>
      <c r="J145" s="1779"/>
      <c r="K145" s="1780"/>
      <c r="L145" s="1781"/>
      <c r="M145" s="1779"/>
      <c r="N145" s="1779"/>
      <c r="O145" s="1779"/>
      <c r="P145" s="1779"/>
      <c r="Q145" s="1779"/>
      <c r="R145" s="1779"/>
      <c r="S145" s="1779"/>
      <c r="T145" s="1779"/>
      <c r="U145" s="1779"/>
      <c r="V145" s="1779"/>
      <c r="W145" s="1779"/>
      <c r="X145" s="1779"/>
      <c r="Y145" s="1779"/>
      <c r="Z145" s="1779"/>
      <c r="AA145" s="1779"/>
      <c r="AB145" s="1779"/>
      <c r="AC145" s="1779"/>
    </row>
    <row r="146" spans="1:29">
      <c r="A146" s="1779"/>
      <c r="B146" s="1779"/>
      <c r="C146" s="1779"/>
      <c r="D146" s="1779"/>
      <c r="E146" s="1779"/>
      <c r="F146" s="1779"/>
      <c r="G146" s="1779"/>
      <c r="H146" s="1779"/>
      <c r="I146" s="1779"/>
      <c r="J146" s="1779"/>
      <c r="K146" s="1780"/>
      <c r="L146" s="1781"/>
      <c r="M146" s="1779"/>
      <c r="N146" s="1779"/>
      <c r="O146" s="1779"/>
      <c r="P146" s="1779"/>
      <c r="Q146" s="1779"/>
      <c r="R146" s="1779"/>
      <c r="S146" s="1779"/>
      <c r="T146" s="1779"/>
      <c r="U146" s="1779"/>
      <c r="V146" s="1779"/>
      <c r="W146" s="1779"/>
      <c r="X146" s="1779"/>
      <c r="Y146" s="1779"/>
      <c r="Z146" s="1779"/>
      <c r="AA146" s="1779"/>
      <c r="AB146" s="1779"/>
      <c r="AC146" s="1779"/>
    </row>
    <row r="147" spans="1:29">
      <c r="A147" s="1779"/>
      <c r="B147" s="1779"/>
      <c r="C147" s="1779"/>
      <c r="D147" s="1779"/>
      <c r="E147" s="1779"/>
      <c r="F147" s="1779"/>
      <c r="G147" s="1779"/>
      <c r="H147" s="1779"/>
      <c r="I147" s="1779"/>
      <c r="J147" s="1779"/>
      <c r="K147" s="1780"/>
      <c r="L147" s="1781"/>
      <c r="M147" s="1779"/>
      <c r="N147" s="1779"/>
      <c r="O147" s="1779"/>
      <c r="P147" s="1779"/>
      <c r="Q147" s="1779"/>
      <c r="R147" s="1779"/>
      <c r="S147" s="1779"/>
      <c r="T147" s="1779"/>
      <c r="U147" s="1779"/>
      <c r="V147" s="1779"/>
      <c r="W147" s="1779"/>
      <c r="X147" s="1779"/>
      <c r="Y147" s="1779"/>
      <c r="Z147" s="1779"/>
      <c r="AA147" s="1779"/>
      <c r="AB147" s="1779"/>
      <c r="AC147" s="1779"/>
    </row>
    <row r="148" spans="1:29">
      <c r="A148" s="1779"/>
      <c r="B148" s="1779"/>
      <c r="C148" s="1779"/>
      <c r="D148" s="1779"/>
      <c r="E148" s="1779"/>
      <c r="F148" s="1779"/>
      <c r="G148" s="1779"/>
      <c r="H148" s="1779"/>
      <c r="I148" s="1779"/>
      <c r="J148" s="1779"/>
      <c r="K148" s="1780"/>
      <c r="L148" s="1781"/>
      <c r="M148" s="1779"/>
      <c r="N148" s="1779"/>
      <c r="O148" s="1779"/>
      <c r="P148" s="1779"/>
      <c r="Q148" s="1779"/>
      <c r="R148" s="1779"/>
      <c r="S148" s="1779"/>
      <c r="T148" s="1779"/>
      <c r="U148" s="1779"/>
      <c r="V148" s="1779"/>
      <c r="W148" s="1779"/>
      <c r="X148" s="1779"/>
      <c r="Y148" s="1779"/>
      <c r="Z148" s="1779"/>
      <c r="AA148" s="1779"/>
      <c r="AB148" s="1779"/>
      <c r="AC148" s="1779"/>
    </row>
    <row r="149" spans="1:29">
      <c r="A149" s="1779"/>
      <c r="B149" s="1779"/>
      <c r="C149" s="1779"/>
      <c r="D149" s="1779"/>
      <c r="E149" s="1779"/>
      <c r="F149" s="1779"/>
      <c r="G149" s="1779"/>
      <c r="H149" s="1779"/>
      <c r="I149" s="1779"/>
      <c r="J149" s="1779"/>
      <c r="K149" s="1780"/>
      <c r="L149" s="1781"/>
      <c r="M149" s="1779"/>
      <c r="N149" s="1779"/>
      <c r="O149" s="1779"/>
      <c r="P149" s="1779"/>
      <c r="Q149" s="1779"/>
      <c r="R149" s="1779"/>
      <c r="S149" s="1779"/>
      <c r="T149" s="1779"/>
      <c r="U149" s="1779"/>
      <c r="V149" s="1779"/>
      <c r="W149" s="1779"/>
      <c r="X149" s="1779"/>
      <c r="Y149" s="1779"/>
      <c r="Z149" s="1779"/>
      <c r="AA149" s="1779"/>
      <c r="AB149" s="1779"/>
      <c r="AC149" s="1779"/>
    </row>
    <row r="150" spans="1:29">
      <c r="A150" s="1779"/>
      <c r="B150" s="1779"/>
      <c r="C150" s="1779"/>
      <c r="D150" s="1779"/>
      <c r="E150" s="1779"/>
      <c r="F150" s="1779"/>
      <c r="G150" s="1779"/>
      <c r="H150" s="1779"/>
      <c r="I150" s="1779"/>
      <c r="J150" s="1779"/>
      <c r="K150" s="1780"/>
      <c r="L150" s="1781"/>
      <c r="M150" s="1779"/>
      <c r="N150" s="1779"/>
      <c r="O150" s="1779"/>
      <c r="P150" s="1779"/>
      <c r="Q150" s="1779"/>
      <c r="R150" s="1779"/>
      <c r="S150" s="1779"/>
      <c r="T150" s="1779"/>
      <c r="U150" s="1779"/>
      <c r="V150" s="1779"/>
      <c r="W150" s="1779"/>
      <c r="X150" s="1779"/>
      <c r="Y150" s="1779"/>
      <c r="Z150" s="1779"/>
      <c r="AA150" s="1779"/>
      <c r="AB150" s="1779"/>
      <c r="AC150" s="1779"/>
    </row>
    <row r="151" spans="1:29">
      <c r="A151" s="1779"/>
      <c r="B151" s="1779"/>
      <c r="C151" s="1779"/>
      <c r="D151" s="1779"/>
      <c r="E151" s="1779"/>
      <c r="F151" s="1779"/>
      <c r="G151" s="1779"/>
      <c r="H151" s="1779"/>
      <c r="I151" s="1779"/>
      <c r="J151" s="1779"/>
      <c r="K151" s="1780"/>
      <c r="L151" s="1781"/>
      <c r="M151" s="1779"/>
      <c r="N151" s="1779"/>
      <c r="O151" s="1779"/>
      <c r="P151" s="1779"/>
      <c r="Q151" s="1779"/>
      <c r="R151" s="1779"/>
      <c r="S151" s="1779"/>
      <c r="T151" s="1779"/>
      <c r="U151" s="1779"/>
      <c r="V151" s="1779"/>
      <c r="W151" s="1779"/>
      <c r="X151" s="1779"/>
      <c r="Y151" s="1779"/>
      <c r="Z151" s="1779"/>
      <c r="AA151" s="1779"/>
      <c r="AB151" s="1779"/>
      <c r="AC151" s="1779"/>
    </row>
    <row r="152" spans="1:29">
      <c r="A152" s="1779"/>
      <c r="B152" s="1779"/>
      <c r="C152" s="1779"/>
      <c r="D152" s="1779"/>
      <c r="E152" s="1779"/>
      <c r="F152" s="1779"/>
      <c r="G152" s="1779"/>
      <c r="H152" s="1779"/>
      <c r="I152" s="1779"/>
      <c r="J152" s="1779"/>
      <c r="K152" s="1780"/>
      <c r="L152" s="1781"/>
      <c r="M152" s="1779"/>
      <c r="N152" s="1779"/>
      <c r="O152" s="1779"/>
      <c r="P152" s="1779"/>
      <c r="Q152" s="1779"/>
      <c r="R152" s="1779"/>
      <c r="S152" s="1779"/>
      <c r="T152" s="1779"/>
      <c r="U152" s="1779"/>
      <c r="V152" s="1779"/>
      <c r="W152" s="1779"/>
      <c r="X152" s="1779"/>
      <c r="Y152" s="1779"/>
      <c r="Z152" s="1779"/>
      <c r="AA152" s="1779"/>
      <c r="AB152" s="1779"/>
      <c r="AC152" s="1779"/>
    </row>
    <row r="153" spans="1:29">
      <c r="A153" s="1779"/>
      <c r="B153" s="1779"/>
      <c r="C153" s="1779"/>
      <c r="D153" s="1779"/>
      <c r="E153" s="1779"/>
      <c r="F153" s="1779"/>
      <c r="G153" s="1779"/>
      <c r="H153" s="1779"/>
      <c r="I153" s="1779"/>
      <c r="J153" s="1779"/>
      <c r="K153" s="1780"/>
      <c r="L153" s="1781"/>
      <c r="M153" s="1779"/>
      <c r="N153" s="1779"/>
      <c r="O153" s="1779"/>
      <c r="P153" s="1779"/>
      <c r="Q153" s="1779"/>
      <c r="R153" s="1779"/>
      <c r="S153" s="1779"/>
      <c r="T153" s="1779"/>
      <c r="U153" s="1779"/>
      <c r="V153" s="1779"/>
      <c r="W153" s="1779"/>
      <c r="X153" s="1779"/>
      <c r="Y153" s="1779"/>
      <c r="Z153" s="1779"/>
      <c r="AA153" s="1779"/>
      <c r="AB153" s="1779"/>
      <c r="AC153" s="1779"/>
    </row>
    <row r="154" spans="1:29">
      <c r="A154" s="1779"/>
      <c r="B154" s="1779"/>
      <c r="C154" s="1779"/>
      <c r="D154" s="1779"/>
      <c r="E154" s="1779"/>
      <c r="F154" s="1779"/>
      <c r="G154" s="1779"/>
      <c r="H154" s="1779"/>
      <c r="I154" s="1779"/>
      <c r="J154" s="1779"/>
      <c r="K154" s="1780"/>
      <c r="L154" s="1781"/>
      <c r="M154" s="1779"/>
      <c r="N154" s="1779"/>
      <c r="O154" s="1779"/>
      <c r="P154" s="1779"/>
      <c r="Q154" s="1779"/>
      <c r="R154" s="1779"/>
      <c r="S154" s="1779"/>
      <c r="T154" s="1779"/>
      <c r="U154" s="1779"/>
      <c r="V154" s="1779"/>
      <c r="W154" s="1779"/>
      <c r="X154" s="1779"/>
      <c r="Y154" s="1779"/>
      <c r="Z154" s="1779"/>
      <c r="AA154" s="1779"/>
      <c r="AB154" s="1779"/>
      <c r="AC154" s="1779"/>
    </row>
    <row r="155" spans="1:29">
      <c r="A155" s="1779"/>
      <c r="B155" s="1779"/>
      <c r="C155" s="1779"/>
      <c r="D155" s="1779"/>
      <c r="E155" s="1779"/>
      <c r="F155" s="1779"/>
      <c r="G155" s="1779"/>
      <c r="H155" s="1779"/>
      <c r="I155" s="1779"/>
      <c r="J155" s="1779"/>
      <c r="K155" s="1780"/>
      <c r="L155" s="1781"/>
      <c r="M155" s="1779"/>
      <c r="N155" s="1779"/>
      <c r="O155" s="1779"/>
      <c r="P155" s="1779"/>
      <c r="Q155" s="1779"/>
      <c r="R155" s="1779"/>
      <c r="S155" s="1779"/>
      <c r="T155" s="1779"/>
      <c r="U155" s="1779"/>
      <c r="V155" s="1779"/>
      <c r="W155" s="1779"/>
      <c r="X155" s="1779"/>
      <c r="Y155" s="1779"/>
      <c r="Z155" s="1779"/>
      <c r="AA155" s="1779"/>
      <c r="AB155" s="1779"/>
      <c r="AC155" s="1779"/>
    </row>
    <row r="156" spans="1:29">
      <c r="A156" s="1779"/>
      <c r="B156" s="1779"/>
      <c r="C156" s="1779"/>
      <c r="D156" s="1779"/>
      <c r="E156" s="1779"/>
      <c r="F156" s="1779"/>
      <c r="G156" s="1779"/>
      <c r="H156" s="1779"/>
      <c r="I156" s="1779"/>
      <c r="J156" s="1779"/>
      <c r="K156" s="1780"/>
      <c r="L156" s="1781"/>
      <c r="M156" s="1779"/>
      <c r="N156" s="1779"/>
      <c r="O156" s="1779"/>
      <c r="P156" s="1779"/>
      <c r="Q156" s="1779"/>
      <c r="R156" s="1779"/>
      <c r="S156" s="1779"/>
      <c r="T156" s="1779"/>
      <c r="U156" s="1779"/>
      <c r="V156" s="1779"/>
      <c r="W156" s="1779"/>
      <c r="X156" s="1779"/>
      <c r="Y156" s="1779"/>
      <c r="Z156" s="1779"/>
      <c r="AA156" s="1779"/>
      <c r="AB156" s="1779"/>
      <c r="AC156" s="1779"/>
    </row>
    <row r="157" spans="1:29">
      <c r="A157" s="1779"/>
      <c r="B157" s="1779"/>
      <c r="C157" s="1779"/>
      <c r="D157" s="1779"/>
      <c r="E157" s="1779"/>
      <c r="F157" s="1779"/>
      <c r="G157" s="1779"/>
      <c r="H157" s="1779"/>
      <c r="I157" s="1779"/>
      <c r="J157" s="1779"/>
      <c r="K157" s="1780"/>
      <c r="L157" s="1781"/>
      <c r="M157" s="1779"/>
      <c r="N157" s="1779"/>
      <c r="O157" s="1779"/>
      <c r="P157" s="1779"/>
      <c r="Q157" s="1779"/>
      <c r="R157" s="1779"/>
      <c r="S157" s="1779"/>
      <c r="T157" s="1779"/>
      <c r="U157" s="1779"/>
      <c r="V157" s="1779"/>
      <c r="W157" s="1779"/>
      <c r="X157" s="1779"/>
      <c r="Y157" s="1779"/>
      <c r="Z157" s="1779"/>
      <c r="AA157" s="1779"/>
      <c r="AB157" s="1779"/>
      <c r="AC157" s="1779"/>
    </row>
    <row r="158" spans="1:29">
      <c r="A158" s="1779"/>
      <c r="B158" s="1779"/>
      <c r="C158" s="1779"/>
      <c r="D158" s="1779"/>
      <c r="E158" s="1779"/>
      <c r="F158" s="1779"/>
      <c r="G158" s="1779"/>
      <c r="H158" s="1779"/>
      <c r="I158" s="1779"/>
      <c r="J158" s="1779"/>
      <c r="K158" s="1780"/>
      <c r="L158" s="1781"/>
      <c r="M158" s="1779"/>
      <c r="N158" s="1779"/>
      <c r="O158" s="1779"/>
      <c r="P158" s="1779"/>
      <c r="Q158" s="1779"/>
      <c r="R158" s="1779"/>
      <c r="S158" s="1779"/>
      <c r="T158" s="1779"/>
      <c r="U158" s="1779"/>
      <c r="V158" s="1779"/>
      <c r="W158" s="1779"/>
      <c r="X158" s="1779"/>
      <c r="Y158" s="1779"/>
      <c r="Z158" s="1779"/>
      <c r="AA158" s="1779"/>
      <c r="AB158" s="1779"/>
      <c r="AC158" s="1779"/>
    </row>
    <row r="159" spans="1:29">
      <c r="A159" s="1779"/>
      <c r="B159" s="1779"/>
      <c r="C159" s="1779"/>
      <c r="D159" s="1779"/>
      <c r="E159" s="1779"/>
      <c r="F159" s="1779"/>
      <c r="G159" s="1779"/>
      <c r="H159" s="1779"/>
      <c r="I159" s="1779"/>
      <c r="J159" s="1779"/>
      <c r="K159" s="1780"/>
      <c r="L159" s="1781"/>
      <c r="M159" s="1779"/>
      <c r="N159" s="1779"/>
      <c r="O159" s="1779"/>
      <c r="P159" s="1779"/>
      <c r="Q159" s="1779"/>
      <c r="R159" s="1779"/>
      <c r="S159" s="1779"/>
      <c r="T159" s="1779"/>
      <c r="U159" s="1779"/>
      <c r="V159" s="1779"/>
      <c r="W159" s="1779"/>
      <c r="X159" s="1779"/>
      <c r="Y159" s="1779"/>
      <c r="Z159" s="1779"/>
      <c r="AA159" s="1779"/>
      <c r="AB159" s="1779"/>
      <c r="AC159" s="1779"/>
    </row>
    <row r="160" spans="1:29">
      <c r="A160" s="1779"/>
      <c r="B160" s="1779"/>
      <c r="C160" s="1779"/>
      <c r="D160" s="1779"/>
      <c r="E160" s="1779"/>
      <c r="F160" s="1779"/>
      <c r="G160" s="1779"/>
      <c r="H160" s="1779"/>
      <c r="I160" s="1779"/>
      <c r="J160" s="1779"/>
      <c r="K160" s="1780"/>
      <c r="L160" s="1781"/>
      <c r="M160" s="1779"/>
      <c r="N160" s="1779"/>
      <c r="O160" s="1779"/>
      <c r="P160" s="1779"/>
      <c r="Q160" s="1779"/>
      <c r="R160" s="1779"/>
      <c r="S160" s="1779"/>
      <c r="T160" s="1779"/>
      <c r="U160" s="1779"/>
      <c r="V160" s="1779"/>
      <c r="W160" s="1779"/>
      <c r="X160" s="1779"/>
      <c r="Y160" s="1779"/>
      <c r="Z160" s="1779"/>
      <c r="AA160" s="1779"/>
      <c r="AB160" s="1779"/>
      <c r="AC160" s="1779"/>
    </row>
    <row r="161" spans="1:29">
      <c r="A161" s="1779"/>
      <c r="B161" s="1779"/>
      <c r="C161" s="1779"/>
      <c r="D161" s="1779"/>
      <c r="E161" s="1779"/>
      <c r="F161" s="1779"/>
      <c r="G161" s="1779"/>
      <c r="H161" s="1779"/>
      <c r="I161" s="1779"/>
      <c r="J161" s="1779"/>
      <c r="K161" s="1780"/>
      <c r="L161" s="1781"/>
      <c r="M161" s="1779"/>
      <c r="N161" s="1779"/>
      <c r="O161" s="1779"/>
      <c r="P161" s="1779"/>
      <c r="Q161" s="1779"/>
      <c r="R161" s="1779"/>
      <c r="S161" s="1779"/>
      <c r="T161" s="1779"/>
      <c r="U161" s="1779"/>
      <c r="V161" s="1779"/>
      <c r="W161" s="1779"/>
      <c r="X161" s="1779"/>
      <c r="Y161" s="1779"/>
      <c r="Z161" s="1779"/>
      <c r="AA161" s="1779"/>
      <c r="AB161" s="1779"/>
      <c r="AC161" s="1779"/>
    </row>
    <row r="162" spans="1:29">
      <c r="A162" s="1779"/>
      <c r="B162" s="1779"/>
      <c r="C162" s="1779"/>
      <c r="D162" s="1779"/>
      <c r="E162" s="1779"/>
      <c r="F162" s="1779"/>
      <c r="G162" s="1779"/>
      <c r="H162" s="1779"/>
      <c r="I162" s="1779"/>
      <c r="J162" s="1779"/>
      <c r="K162" s="1780"/>
      <c r="L162" s="1781"/>
      <c r="M162" s="1779"/>
      <c r="N162" s="1779"/>
      <c r="O162" s="1779"/>
      <c r="P162" s="1779"/>
      <c r="Q162" s="1779"/>
      <c r="R162" s="1779"/>
      <c r="S162" s="1779"/>
      <c r="T162" s="1779"/>
      <c r="U162" s="1779"/>
      <c r="V162" s="1779"/>
      <c r="W162" s="1779"/>
      <c r="X162" s="1779"/>
      <c r="Y162" s="1779"/>
      <c r="Z162" s="1779"/>
      <c r="AA162" s="1779"/>
      <c r="AB162" s="1779"/>
      <c r="AC162" s="1779"/>
    </row>
    <row r="163" spans="1:29">
      <c r="A163" s="1779"/>
      <c r="B163" s="1779"/>
      <c r="C163" s="1779"/>
      <c r="D163" s="1779"/>
      <c r="E163" s="1779"/>
      <c r="F163" s="1779"/>
      <c r="G163" s="1779"/>
      <c r="H163" s="1779"/>
      <c r="I163" s="1779"/>
      <c r="J163" s="1779"/>
      <c r="K163" s="1780"/>
      <c r="L163" s="1781"/>
      <c r="M163" s="1779"/>
      <c r="N163" s="1779"/>
      <c r="O163" s="1779"/>
      <c r="P163" s="1779"/>
      <c r="Q163" s="1779"/>
      <c r="R163" s="1779"/>
      <c r="S163" s="1779"/>
      <c r="T163" s="1779"/>
      <c r="U163" s="1779"/>
      <c r="V163" s="1779"/>
      <c r="W163" s="1779"/>
      <c r="X163" s="1779"/>
      <c r="Y163" s="1779"/>
      <c r="Z163" s="1779"/>
      <c r="AA163" s="1779"/>
      <c r="AB163" s="1779"/>
      <c r="AC163" s="1779"/>
    </row>
    <row r="164" spans="1:29">
      <c r="A164" s="1779"/>
      <c r="B164" s="1779"/>
      <c r="C164" s="1779"/>
      <c r="D164" s="1779"/>
      <c r="E164" s="1779"/>
      <c r="F164" s="1779"/>
      <c r="G164" s="1779"/>
      <c r="H164" s="1779"/>
      <c r="I164" s="1779"/>
      <c r="J164" s="1779"/>
      <c r="K164" s="1780"/>
      <c r="L164" s="1781"/>
      <c r="M164" s="1779"/>
      <c r="N164" s="1779"/>
      <c r="O164" s="1779"/>
      <c r="P164" s="1779"/>
      <c r="Q164" s="1779"/>
      <c r="R164" s="1779"/>
      <c r="S164" s="1779"/>
      <c r="T164" s="1779"/>
      <c r="U164" s="1779"/>
      <c r="V164" s="1779"/>
      <c r="W164" s="1779"/>
      <c r="X164" s="1779"/>
      <c r="Y164" s="1779"/>
      <c r="Z164" s="1779"/>
      <c r="AA164" s="1779"/>
      <c r="AB164" s="1779"/>
      <c r="AC164" s="1779"/>
    </row>
    <row r="165" spans="1:29">
      <c r="A165" s="1779"/>
      <c r="B165" s="1779"/>
      <c r="C165" s="1779"/>
      <c r="D165" s="1779"/>
      <c r="E165" s="1779"/>
      <c r="F165" s="1779"/>
      <c r="G165" s="1779"/>
      <c r="H165" s="1779"/>
      <c r="I165" s="1779"/>
      <c r="J165" s="1779"/>
      <c r="K165" s="1780"/>
      <c r="L165" s="1781"/>
      <c r="M165" s="1779"/>
      <c r="N165" s="1779"/>
      <c r="O165" s="1779"/>
      <c r="P165" s="1779"/>
      <c r="Q165" s="1779"/>
      <c r="R165" s="1779"/>
      <c r="S165" s="1779"/>
      <c r="T165" s="1779"/>
      <c r="U165" s="1779"/>
      <c r="V165" s="1779"/>
      <c r="W165" s="1779"/>
      <c r="X165" s="1779"/>
      <c r="Y165" s="1779"/>
      <c r="Z165" s="1779"/>
      <c r="AA165" s="1779"/>
      <c r="AB165" s="1779"/>
      <c r="AC165" s="1779"/>
    </row>
    <row r="166" spans="1:29">
      <c r="A166" s="1779"/>
      <c r="B166" s="1779"/>
      <c r="C166" s="1779"/>
      <c r="D166" s="1779"/>
      <c r="E166" s="1779"/>
      <c r="F166" s="1779"/>
      <c r="G166" s="1779"/>
      <c r="H166" s="1779"/>
      <c r="I166" s="1779"/>
      <c r="J166" s="1779"/>
      <c r="K166" s="1780"/>
      <c r="L166" s="1781"/>
      <c r="M166" s="1779"/>
      <c r="N166" s="1779"/>
      <c r="O166" s="1779"/>
      <c r="P166" s="1779"/>
      <c r="Q166" s="1779"/>
      <c r="R166" s="1779"/>
      <c r="S166" s="1779"/>
      <c r="T166" s="1779"/>
      <c r="U166" s="1779"/>
      <c r="V166" s="1779"/>
      <c r="W166" s="1779"/>
      <c r="X166" s="1779"/>
      <c r="Y166" s="1779"/>
      <c r="Z166" s="1779"/>
      <c r="AA166" s="1779"/>
      <c r="AB166" s="1779"/>
      <c r="AC166" s="1779"/>
    </row>
    <row r="167" spans="1:29">
      <c r="A167" s="1779"/>
      <c r="B167" s="1779"/>
      <c r="C167" s="1779"/>
      <c r="D167" s="1779"/>
      <c r="E167" s="1779"/>
      <c r="F167" s="1779"/>
      <c r="G167" s="1779"/>
      <c r="H167" s="1779"/>
      <c r="I167" s="1779"/>
      <c r="J167" s="1779"/>
      <c r="K167" s="1780"/>
      <c r="L167" s="1781"/>
      <c r="M167" s="1779"/>
      <c r="N167" s="1779"/>
      <c r="O167" s="1779"/>
      <c r="P167" s="1779"/>
      <c r="Q167" s="1779"/>
      <c r="R167" s="1779"/>
      <c r="S167" s="1779"/>
      <c r="T167" s="1779"/>
      <c r="U167" s="1779"/>
      <c r="V167" s="1779"/>
      <c r="W167" s="1779"/>
      <c r="X167" s="1779"/>
      <c r="Y167" s="1779"/>
      <c r="Z167" s="1779"/>
      <c r="AA167" s="1779"/>
      <c r="AB167" s="1779"/>
      <c r="AC167" s="1779"/>
    </row>
    <row r="168" spans="1:29">
      <c r="A168" s="1779"/>
      <c r="B168" s="1779"/>
      <c r="C168" s="1779"/>
      <c r="D168" s="1779"/>
      <c r="E168" s="1779"/>
      <c r="F168" s="1779"/>
      <c r="G168" s="1779"/>
      <c r="H168" s="1779"/>
      <c r="I168" s="1779"/>
      <c r="J168" s="1779"/>
      <c r="K168" s="1780"/>
      <c r="L168" s="1781"/>
      <c r="M168" s="1779"/>
      <c r="N168" s="1779"/>
      <c r="O168" s="1779"/>
      <c r="P168" s="1779"/>
      <c r="Q168" s="1779"/>
      <c r="R168" s="1779"/>
      <c r="S168" s="1779"/>
      <c r="T168" s="1779"/>
      <c r="U168" s="1779"/>
      <c r="V168" s="1779"/>
      <c r="W168" s="1779"/>
      <c r="X168" s="1779"/>
      <c r="Y168" s="1779"/>
      <c r="Z168" s="1779"/>
      <c r="AA168" s="1779"/>
      <c r="AB168" s="1779"/>
      <c r="AC168" s="1779"/>
    </row>
    <row r="169" spans="1:29">
      <c r="A169" s="1779"/>
      <c r="B169" s="1779"/>
      <c r="C169" s="1779"/>
      <c r="D169" s="1779"/>
      <c r="E169" s="1779"/>
      <c r="F169" s="1779"/>
      <c r="G169" s="1779"/>
      <c r="H169" s="1779"/>
      <c r="I169" s="1779"/>
      <c r="J169" s="1779"/>
      <c r="K169" s="1780"/>
      <c r="L169" s="1781"/>
      <c r="M169" s="1779"/>
      <c r="N169" s="1779"/>
      <c r="O169" s="1779"/>
      <c r="P169" s="1779"/>
      <c r="Q169" s="1779"/>
      <c r="R169" s="1779"/>
      <c r="S169" s="1779"/>
      <c r="T169" s="1779"/>
      <c r="U169" s="1779"/>
      <c r="V169" s="1779"/>
      <c r="W169" s="1779"/>
      <c r="X169" s="1779"/>
      <c r="Y169" s="1779"/>
      <c r="Z169" s="1779"/>
      <c r="AA169" s="1779"/>
      <c r="AB169" s="1779"/>
      <c r="AC169" s="1779"/>
    </row>
    <row r="170" spans="1:29">
      <c r="A170" s="1779"/>
      <c r="B170" s="1779"/>
      <c r="C170" s="1779"/>
      <c r="D170" s="1779"/>
      <c r="E170" s="1779"/>
      <c r="F170" s="1779"/>
      <c r="G170" s="1779"/>
      <c r="H170" s="1779"/>
      <c r="I170" s="1779"/>
      <c r="J170" s="1779"/>
      <c r="K170" s="1780"/>
      <c r="L170" s="1781"/>
      <c r="M170" s="1779"/>
      <c r="N170" s="1779"/>
      <c r="O170" s="1779"/>
      <c r="P170" s="1779"/>
      <c r="Q170" s="1779"/>
      <c r="R170" s="1779"/>
      <c r="S170" s="1779"/>
      <c r="T170" s="1779"/>
      <c r="U170" s="1779"/>
      <c r="V170" s="1779"/>
      <c r="W170" s="1779"/>
      <c r="X170" s="1779"/>
      <c r="Y170" s="1779"/>
      <c r="Z170" s="1779"/>
      <c r="AA170" s="1779"/>
      <c r="AB170" s="1779"/>
      <c r="AC170" s="1779"/>
    </row>
    <row r="171" spans="1:29">
      <c r="A171" s="1779"/>
      <c r="B171" s="1779"/>
      <c r="C171" s="1779"/>
      <c r="D171" s="1779"/>
      <c r="E171" s="1779"/>
      <c r="F171" s="1779"/>
      <c r="G171" s="1779"/>
      <c r="H171" s="1779"/>
      <c r="I171" s="1779"/>
      <c r="J171" s="1779"/>
      <c r="K171" s="1780"/>
      <c r="L171" s="1781"/>
      <c r="M171" s="1779"/>
      <c r="N171" s="1779"/>
      <c r="O171" s="1779"/>
      <c r="P171" s="1779"/>
      <c r="Q171" s="1779"/>
      <c r="R171" s="1779"/>
      <c r="S171" s="1779"/>
      <c r="T171" s="1779"/>
      <c r="U171" s="1779"/>
      <c r="V171" s="1779"/>
      <c r="W171" s="1779"/>
      <c r="X171" s="1779"/>
      <c r="Y171" s="1779"/>
      <c r="Z171" s="1779"/>
      <c r="AA171" s="1779"/>
      <c r="AB171" s="1779"/>
      <c r="AC171" s="1779"/>
    </row>
    <row r="172" spans="1:29">
      <c r="A172" s="1779"/>
      <c r="B172" s="1779"/>
      <c r="C172" s="1779"/>
      <c r="D172" s="1779"/>
      <c r="E172" s="1779"/>
      <c r="F172" s="1779"/>
      <c r="G172" s="1779"/>
      <c r="H172" s="1779"/>
      <c r="I172" s="1779"/>
      <c r="J172" s="1779"/>
      <c r="K172" s="1780"/>
      <c r="L172" s="1781"/>
      <c r="M172" s="1779"/>
      <c r="N172" s="1779"/>
      <c r="O172" s="1779"/>
      <c r="P172" s="1779"/>
      <c r="Q172" s="1779"/>
      <c r="R172" s="1779"/>
      <c r="S172" s="1779"/>
      <c r="T172" s="1779"/>
      <c r="U172" s="1779"/>
      <c r="V172" s="1779"/>
      <c r="W172" s="1779"/>
      <c r="X172" s="1779"/>
      <c r="Y172" s="1779"/>
      <c r="Z172" s="1779"/>
      <c r="AA172" s="1779"/>
      <c r="AB172" s="1779"/>
      <c r="AC172" s="1779"/>
    </row>
    <row r="173" spans="1:29">
      <c r="A173" s="1779"/>
      <c r="B173" s="1779"/>
      <c r="C173" s="1779"/>
      <c r="D173" s="1779"/>
      <c r="E173" s="1779"/>
      <c r="F173" s="1779"/>
      <c r="G173" s="1779"/>
      <c r="H173" s="1779"/>
      <c r="I173" s="1779"/>
      <c r="J173" s="1779"/>
      <c r="K173" s="1780"/>
      <c r="L173" s="1781"/>
      <c r="M173" s="1779"/>
      <c r="N173" s="1779"/>
      <c r="O173" s="1779"/>
      <c r="P173" s="1779"/>
      <c r="Q173" s="1779"/>
      <c r="R173" s="1779"/>
      <c r="S173" s="1779"/>
      <c r="T173" s="1779"/>
      <c r="U173" s="1779"/>
      <c r="V173" s="1779"/>
      <c r="W173" s="1779"/>
      <c r="X173" s="1779"/>
      <c r="Y173" s="1779"/>
      <c r="Z173" s="1779"/>
      <c r="AA173" s="1779"/>
      <c r="AB173" s="1779"/>
      <c r="AC173" s="1779"/>
    </row>
    <row r="174" spans="1:29">
      <c r="A174" s="1779"/>
      <c r="B174" s="1779"/>
      <c r="C174" s="1779"/>
      <c r="D174" s="1779"/>
      <c r="E174" s="1779"/>
      <c r="F174" s="1779"/>
      <c r="G174" s="1779"/>
      <c r="H174" s="1779"/>
      <c r="I174" s="1779"/>
      <c r="J174" s="1779"/>
      <c r="K174" s="1780"/>
      <c r="L174" s="1781"/>
      <c r="M174" s="1779"/>
      <c r="N174" s="1779"/>
      <c r="O174" s="1779"/>
      <c r="P174" s="1779"/>
      <c r="Q174" s="1779"/>
      <c r="R174" s="1779"/>
      <c r="S174" s="1779"/>
      <c r="T174" s="1779"/>
      <c r="U174" s="1779"/>
      <c r="V174" s="1779"/>
      <c r="W174" s="1779"/>
      <c r="X174" s="1779"/>
      <c r="Y174" s="1779"/>
      <c r="Z174" s="1779"/>
      <c r="AA174" s="1779"/>
      <c r="AB174" s="1779"/>
      <c r="AC174" s="1779"/>
    </row>
    <row r="175" spans="1:29">
      <c r="A175" s="1779"/>
      <c r="B175" s="1779"/>
      <c r="C175" s="1779"/>
      <c r="D175" s="1779"/>
      <c r="E175" s="1779"/>
      <c r="F175" s="1779"/>
      <c r="G175" s="1779"/>
      <c r="H175" s="1779"/>
      <c r="I175" s="1779"/>
      <c r="J175" s="1779"/>
      <c r="K175" s="1780"/>
      <c r="L175" s="1781"/>
      <c r="M175" s="1779"/>
      <c r="N175" s="1779"/>
      <c r="O175" s="1779"/>
      <c r="P175" s="1779"/>
      <c r="Q175" s="1779"/>
      <c r="R175" s="1779"/>
      <c r="S175" s="1779"/>
      <c r="T175" s="1779"/>
      <c r="U175" s="1779"/>
      <c r="V175" s="1779"/>
      <c r="W175" s="1779"/>
      <c r="X175" s="1779"/>
      <c r="Y175" s="1779"/>
      <c r="Z175" s="1779"/>
      <c r="AA175" s="1779"/>
      <c r="AB175" s="1779"/>
      <c r="AC175" s="1779"/>
    </row>
    <row r="176" spans="1:29">
      <c r="A176" s="1779"/>
      <c r="B176" s="1779"/>
      <c r="C176" s="1779"/>
      <c r="D176" s="1779"/>
      <c r="E176" s="1779"/>
      <c r="F176" s="1779"/>
      <c r="G176" s="1779"/>
      <c r="H176" s="1779"/>
      <c r="I176" s="1779"/>
      <c r="J176" s="1779"/>
      <c r="K176" s="1780"/>
      <c r="L176" s="1781"/>
      <c r="M176" s="1779"/>
      <c r="N176" s="1779"/>
      <c r="O176" s="1779"/>
      <c r="P176" s="1779"/>
      <c r="Q176" s="1779"/>
      <c r="R176" s="1779"/>
      <c r="S176" s="1779"/>
      <c r="T176" s="1779"/>
      <c r="U176" s="1779"/>
      <c r="V176" s="1779"/>
      <c r="W176" s="1779"/>
      <c r="X176" s="1779"/>
      <c r="Y176" s="1779"/>
      <c r="Z176" s="1779"/>
      <c r="AA176" s="1779"/>
      <c r="AB176" s="1779"/>
      <c r="AC176" s="1779"/>
    </row>
    <row r="177" spans="1:29">
      <c r="A177" s="1779"/>
      <c r="B177" s="1779"/>
      <c r="C177" s="1779"/>
      <c r="D177" s="1779"/>
      <c r="E177" s="1779"/>
      <c r="F177" s="1779"/>
      <c r="G177" s="1779"/>
      <c r="H177" s="1779"/>
      <c r="I177" s="1779"/>
      <c r="J177" s="1779"/>
      <c r="K177" s="1780"/>
      <c r="L177" s="1781"/>
      <c r="M177" s="1779"/>
      <c r="N177" s="1779"/>
      <c r="O177" s="1779"/>
      <c r="P177" s="1779"/>
      <c r="Q177" s="1779"/>
      <c r="R177" s="1779"/>
      <c r="S177" s="1779"/>
      <c r="T177" s="1779"/>
      <c r="U177" s="1779"/>
      <c r="V177" s="1779"/>
      <c r="W177" s="1779"/>
      <c r="X177" s="1779"/>
      <c r="Y177" s="1779"/>
      <c r="Z177" s="1779"/>
      <c r="AA177" s="1779"/>
      <c r="AB177" s="1779"/>
      <c r="AC177" s="1779"/>
    </row>
    <row r="178" spans="1:29">
      <c r="A178" s="1779"/>
      <c r="B178" s="1779"/>
      <c r="C178" s="1779"/>
      <c r="D178" s="1779"/>
      <c r="E178" s="1779"/>
      <c r="F178" s="1779"/>
      <c r="G178" s="1779"/>
      <c r="H178" s="1779"/>
      <c r="I178" s="1779"/>
      <c r="J178" s="1779"/>
      <c r="K178" s="1780"/>
      <c r="L178" s="1781"/>
      <c r="M178" s="1779"/>
      <c r="N178" s="1779"/>
      <c r="O178" s="1779"/>
      <c r="P178" s="1779"/>
      <c r="Q178" s="1779"/>
      <c r="R178" s="1779"/>
      <c r="S178" s="1779"/>
      <c r="T178" s="1779"/>
      <c r="U178" s="1779"/>
      <c r="V178" s="1779"/>
      <c r="W178" s="1779"/>
      <c r="X178" s="1779"/>
      <c r="Y178" s="1779"/>
      <c r="Z178" s="1779"/>
      <c r="AA178" s="1779"/>
      <c r="AB178" s="1779"/>
      <c r="AC178" s="1779"/>
    </row>
    <row r="179" spans="1:29">
      <c r="A179" s="1779"/>
      <c r="B179" s="1779"/>
      <c r="C179" s="1779"/>
      <c r="D179" s="1779"/>
      <c r="E179" s="1779"/>
      <c r="F179" s="1779"/>
      <c r="G179" s="1779"/>
      <c r="H179" s="1779"/>
      <c r="I179" s="1779"/>
      <c r="J179" s="1779"/>
      <c r="K179" s="1780"/>
      <c r="L179" s="1781"/>
      <c r="M179" s="1779"/>
      <c r="N179" s="1779"/>
      <c r="O179" s="1779"/>
      <c r="P179" s="1779"/>
      <c r="Q179" s="1779"/>
      <c r="R179" s="1779"/>
      <c r="S179" s="1779"/>
      <c r="T179" s="1779"/>
      <c r="U179" s="1779"/>
      <c r="V179" s="1779"/>
      <c r="W179" s="1779"/>
      <c r="X179" s="1779"/>
      <c r="Y179" s="1779"/>
      <c r="Z179" s="1779"/>
      <c r="AA179" s="1779"/>
      <c r="AB179" s="1779"/>
      <c r="AC179" s="1779"/>
    </row>
    <row r="180" spans="1:29">
      <c r="A180" s="1779"/>
      <c r="B180" s="1779"/>
      <c r="C180" s="1779"/>
      <c r="D180" s="1779"/>
      <c r="E180" s="1779"/>
      <c r="F180" s="1779"/>
      <c r="G180" s="1779"/>
      <c r="H180" s="1779"/>
      <c r="I180" s="1779"/>
      <c r="J180" s="1779"/>
      <c r="K180" s="1780"/>
      <c r="L180" s="1781"/>
      <c r="M180" s="1779"/>
      <c r="N180" s="1779"/>
      <c r="O180" s="1779"/>
      <c r="P180" s="1779"/>
      <c r="Q180" s="1779"/>
      <c r="R180" s="1779"/>
      <c r="S180" s="1779"/>
      <c r="T180" s="1779"/>
      <c r="U180" s="1779"/>
      <c r="V180" s="1779"/>
      <c r="W180" s="1779"/>
      <c r="X180" s="1779"/>
      <c r="Y180" s="1779"/>
      <c r="Z180" s="1779"/>
      <c r="AA180" s="1779"/>
      <c r="AB180" s="1779"/>
      <c r="AC180" s="1779"/>
    </row>
    <row r="181" spans="1:29">
      <c r="A181" s="1779"/>
      <c r="B181" s="1779"/>
      <c r="C181" s="1779"/>
      <c r="D181" s="1779"/>
      <c r="E181" s="1779"/>
      <c r="F181" s="1779"/>
      <c r="G181" s="1779"/>
      <c r="H181" s="1779"/>
      <c r="I181" s="1779"/>
      <c r="J181" s="1779"/>
      <c r="K181" s="1780"/>
      <c r="L181" s="1781"/>
      <c r="M181" s="1779"/>
      <c r="N181" s="1779"/>
      <c r="O181" s="1779"/>
      <c r="P181" s="1779"/>
      <c r="Q181" s="1779"/>
      <c r="R181" s="1779"/>
      <c r="S181" s="1779"/>
      <c r="T181" s="1779"/>
      <c r="U181" s="1779"/>
      <c r="V181" s="1779"/>
      <c r="W181" s="1779"/>
      <c r="X181" s="1779"/>
      <c r="Y181" s="1779"/>
      <c r="Z181" s="1779"/>
      <c r="AA181" s="1779"/>
      <c r="AB181" s="1779"/>
      <c r="AC181" s="1779"/>
    </row>
    <row r="182" spans="1:29">
      <c r="A182" s="1779"/>
      <c r="B182" s="1779"/>
      <c r="C182" s="1779"/>
      <c r="D182" s="1779"/>
      <c r="E182" s="1779"/>
      <c r="F182" s="1779"/>
      <c r="G182" s="1779"/>
      <c r="H182" s="1779"/>
      <c r="I182" s="1779"/>
      <c r="J182" s="1779"/>
      <c r="K182" s="1780"/>
      <c r="L182" s="1781"/>
      <c r="M182" s="1779"/>
      <c r="N182" s="1779"/>
      <c r="O182" s="1779"/>
      <c r="P182" s="1779"/>
      <c r="Q182" s="1779"/>
      <c r="R182" s="1779"/>
      <c r="S182" s="1779"/>
      <c r="T182" s="1779"/>
      <c r="U182" s="1779"/>
      <c r="V182" s="1779"/>
      <c r="W182" s="1779"/>
      <c r="X182" s="1779"/>
      <c r="Y182" s="1779"/>
      <c r="Z182" s="1779"/>
      <c r="AA182" s="1779"/>
      <c r="AB182" s="1779"/>
      <c r="AC182" s="1779"/>
    </row>
    <row r="183" spans="1:29">
      <c r="A183" s="1779"/>
      <c r="B183" s="1779"/>
      <c r="C183" s="1779"/>
      <c r="D183" s="1779"/>
      <c r="E183" s="1779"/>
      <c r="F183" s="1779"/>
      <c r="G183" s="1779"/>
      <c r="H183" s="1779"/>
      <c r="I183" s="1779"/>
      <c r="J183" s="1779"/>
      <c r="K183" s="1780"/>
      <c r="L183" s="1781"/>
      <c r="M183" s="1779"/>
      <c r="N183" s="1779"/>
      <c r="O183" s="1779"/>
      <c r="P183" s="1779"/>
      <c r="Q183" s="1779"/>
      <c r="R183" s="1779"/>
      <c r="S183" s="1779"/>
      <c r="T183" s="1779"/>
      <c r="U183" s="1779"/>
      <c r="V183" s="1779"/>
      <c r="W183" s="1779"/>
      <c r="X183" s="1779"/>
      <c r="Y183" s="1779"/>
      <c r="Z183" s="1779"/>
      <c r="AA183" s="1779"/>
      <c r="AB183" s="1779"/>
      <c r="AC183" s="1779"/>
    </row>
    <row r="184" spans="1:29">
      <c r="A184" s="1779"/>
      <c r="B184" s="1779"/>
      <c r="C184" s="1779"/>
      <c r="D184" s="1779"/>
      <c r="E184" s="1779"/>
      <c r="F184" s="1779"/>
      <c r="G184" s="1779"/>
      <c r="H184" s="1779"/>
      <c r="I184" s="1779"/>
      <c r="J184" s="1779"/>
      <c r="K184" s="1780"/>
      <c r="L184" s="1781"/>
      <c r="M184" s="1779"/>
      <c r="N184" s="1779"/>
      <c r="O184" s="1779"/>
      <c r="P184" s="1779"/>
      <c r="Q184" s="1779"/>
      <c r="R184" s="1779"/>
      <c r="S184" s="1779"/>
      <c r="T184" s="1779"/>
      <c r="U184" s="1779"/>
      <c r="V184" s="1779"/>
      <c r="W184" s="1779"/>
      <c r="X184" s="1779"/>
      <c r="Y184" s="1779"/>
      <c r="Z184" s="1779"/>
      <c r="AA184" s="1779"/>
      <c r="AB184" s="1779"/>
      <c r="AC184" s="1779"/>
    </row>
    <row r="185" spans="1:29">
      <c r="A185" s="1779"/>
      <c r="B185" s="1779"/>
      <c r="C185" s="1779"/>
      <c r="D185" s="1779"/>
      <c r="E185" s="1779"/>
      <c r="F185" s="1779"/>
      <c r="G185" s="1779"/>
      <c r="H185" s="1779"/>
      <c r="I185" s="1779"/>
      <c r="J185" s="1779"/>
      <c r="K185" s="1780"/>
      <c r="L185" s="1781"/>
      <c r="M185" s="1779"/>
      <c r="N185" s="1779"/>
      <c r="O185" s="1779"/>
      <c r="P185" s="1779"/>
      <c r="Q185" s="1779"/>
      <c r="R185" s="1779"/>
      <c r="S185" s="1779"/>
      <c r="T185" s="1779"/>
      <c r="U185" s="1779"/>
      <c r="V185" s="1779"/>
      <c r="W185" s="1779"/>
      <c r="X185" s="1779"/>
      <c r="Y185" s="1779"/>
      <c r="Z185" s="1779"/>
      <c r="AA185" s="1779"/>
      <c r="AB185" s="1779"/>
      <c r="AC185" s="1779"/>
    </row>
    <row r="186" spans="1:29">
      <c r="A186" s="1779"/>
      <c r="B186" s="1779"/>
      <c r="C186" s="1779"/>
      <c r="D186" s="1779"/>
      <c r="E186" s="1779"/>
      <c r="F186" s="1779"/>
      <c r="G186" s="1779"/>
      <c r="H186" s="1779"/>
      <c r="I186" s="1779"/>
      <c r="J186" s="1779"/>
      <c r="K186" s="1780"/>
      <c r="L186" s="1781"/>
      <c r="M186" s="1779"/>
      <c r="N186" s="1779"/>
      <c r="O186" s="1779"/>
      <c r="P186" s="1779"/>
      <c r="Q186" s="1779"/>
      <c r="R186" s="1779"/>
      <c r="S186" s="1779"/>
      <c r="T186" s="1779"/>
      <c r="U186" s="1779"/>
      <c r="V186" s="1779"/>
      <c r="W186" s="1779"/>
      <c r="X186" s="1779"/>
      <c r="Y186" s="1779"/>
      <c r="Z186" s="1779"/>
      <c r="AA186" s="1779"/>
      <c r="AB186" s="1779"/>
      <c r="AC186" s="1779"/>
    </row>
    <row r="187" spans="1:29">
      <c r="A187" s="1779"/>
      <c r="B187" s="1779"/>
      <c r="C187" s="1779"/>
      <c r="D187" s="1779"/>
      <c r="E187" s="1779"/>
      <c r="F187" s="1779"/>
      <c r="G187" s="1779"/>
      <c r="H187" s="1779"/>
      <c r="I187" s="1779"/>
      <c r="J187" s="1779"/>
      <c r="K187" s="1780"/>
      <c r="L187" s="1781"/>
      <c r="M187" s="1779"/>
      <c r="N187" s="1779"/>
      <c r="O187" s="1779"/>
      <c r="P187" s="1779"/>
      <c r="Q187" s="1779"/>
      <c r="R187" s="1779"/>
      <c r="S187" s="1779"/>
      <c r="T187" s="1779"/>
      <c r="U187" s="1779"/>
      <c r="V187" s="1779"/>
      <c r="W187" s="1779"/>
      <c r="X187" s="1779"/>
      <c r="Y187" s="1779"/>
      <c r="Z187" s="1779"/>
      <c r="AA187" s="1779"/>
      <c r="AB187" s="1779"/>
      <c r="AC187" s="1779"/>
    </row>
    <row r="188" spans="1:29">
      <c r="A188" s="1779"/>
      <c r="B188" s="1779"/>
      <c r="C188" s="1779"/>
      <c r="D188" s="1779"/>
      <c r="E188" s="1779"/>
      <c r="F188" s="1779"/>
      <c r="G188" s="1779"/>
      <c r="H188" s="1779"/>
      <c r="I188" s="1779"/>
      <c r="J188" s="1779"/>
      <c r="K188" s="1780"/>
      <c r="L188" s="1781"/>
      <c r="M188" s="1779"/>
      <c r="N188" s="1779"/>
      <c r="O188" s="1779"/>
      <c r="P188" s="1779"/>
      <c r="Q188" s="1779"/>
      <c r="R188" s="1779"/>
      <c r="S188" s="1779"/>
      <c r="T188" s="1779"/>
      <c r="U188" s="1779"/>
      <c r="V188" s="1779"/>
      <c r="W188" s="1779"/>
      <c r="X188" s="1779"/>
      <c r="Y188" s="1779"/>
      <c r="Z188" s="1779"/>
      <c r="AA188" s="1779"/>
      <c r="AB188" s="1779"/>
      <c r="AC188" s="1779"/>
    </row>
    <row r="189" spans="1:29">
      <c r="A189" s="1779"/>
      <c r="B189" s="1779"/>
      <c r="C189" s="1779"/>
      <c r="D189" s="1779"/>
      <c r="E189" s="1779"/>
      <c r="F189" s="1779"/>
      <c r="G189" s="1779"/>
      <c r="H189" s="1779"/>
      <c r="I189" s="1779"/>
      <c r="J189" s="1779"/>
      <c r="K189" s="1780"/>
      <c r="L189" s="1781"/>
      <c r="M189" s="1779"/>
      <c r="N189" s="1779"/>
      <c r="O189" s="1779"/>
      <c r="P189" s="1779"/>
      <c r="Q189" s="1779"/>
      <c r="R189" s="1779"/>
      <c r="S189" s="1779"/>
      <c r="T189" s="1779"/>
      <c r="U189" s="1779"/>
      <c r="V189" s="1779"/>
      <c r="W189" s="1779"/>
      <c r="X189" s="1779"/>
      <c r="Y189" s="1779"/>
      <c r="Z189" s="1779"/>
      <c r="AA189" s="1779"/>
      <c r="AB189" s="1779"/>
      <c r="AC189" s="1779"/>
    </row>
    <row r="190" spans="1:29">
      <c r="A190" s="1779"/>
      <c r="B190" s="1779"/>
      <c r="C190" s="1779"/>
      <c r="D190" s="1779"/>
      <c r="E190" s="1779"/>
      <c r="F190" s="1779"/>
      <c r="G190" s="1779"/>
      <c r="H190" s="1779"/>
      <c r="I190" s="1779"/>
      <c r="J190" s="1779"/>
      <c r="K190" s="1780"/>
      <c r="L190" s="1781"/>
      <c r="M190" s="1779"/>
      <c r="N190" s="1779"/>
      <c r="O190" s="1779"/>
      <c r="P190" s="1779"/>
      <c r="Q190" s="1779"/>
      <c r="R190" s="1779"/>
      <c r="S190" s="1779"/>
      <c r="T190" s="1779"/>
      <c r="U190" s="1779"/>
      <c r="V190" s="1779"/>
      <c r="W190" s="1779"/>
      <c r="X190" s="1779"/>
      <c r="Y190" s="1779"/>
      <c r="Z190" s="1779"/>
      <c r="AA190" s="1779"/>
      <c r="AB190" s="1779"/>
      <c r="AC190" s="1779"/>
    </row>
    <row r="191" spans="1:29">
      <c r="A191" s="1779"/>
      <c r="B191" s="1779"/>
      <c r="C191" s="1779"/>
      <c r="D191" s="1779"/>
      <c r="E191" s="1779"/>
      <c r="F191" s="1779"/>
      <c r="G191" s="1779"/>
      <c r="H191" s="1779"/>
      <c r="I191" s="1779"/>
      <c r="J191" s="1779"/>
      <c r="K191" s="1780"/>
      <c r="L191" s="1781"/>
      <c r="M191" s="1779"/>
      <c r="N191" s="1779"/>
      <c r="O191" s="1779"/>
      <c r="P191" s="1779"/>
      <c r="Q191" s="1779"/>
      <c r="R191" s="1779"/>
      <c r="S191" s="1779"/>
      <c r="T191" s="1779"/>
      <c r="U191" s="1779"/>
      <c r="V191" s="1779"/>
      <c r="W191" s="1779"/>
      <c r="X191" s="1779"/>
      <c r="Y191" s="1779"/>
      <c r="Z191" s="1779"/>
      <c r="AA191" s="1779"/>
      <c r="AB191" s="1779"/>
      <c r="AC191" s="1779"/>
    </row>
    <row r="192" spans="1:29">
      <c r="A192" s="1779"/>
      <c r="B192" s="1779"/>
      <c r="C192" s="1779"/>
      <c r="D192" s="1779"/>
      <c r="E192" s="1779"/>
      <c r="F192" s="1779"/>
      <c r="G192" s="1779"/>
      <c r="H192" s="1779"/>
      <c r="I192" s="1779"/>
      <c r="J192" s="1779"/>
      <c r="K192" s="1780"/>
      <c r="L192" s="1781"/>
      <c r="M192" s="1779"/>
      <c r="N192" s="1779"/>
      <c r="O192" s="1779"/>
      <c r="P192" s="1779"/>
      <c r="Q192" s="1779"/>
      <c r="R192" s="1779"/>
      <c r="S192" s="1779"/>
      <c r="T192" s="1779"/>
      <c r="U192" s="1779"/>
      <c r="V192" s="1779"/>
      <c r="W192" s="1779"/>
      <c r="X192" s="1779"/>
      <c r="Y192" s="1779"/>
      <c r="Z192" s="1779"/>
      <c r="AA192" s="1779"/>
      <c r="AB192" s="1779"/>
      <c r="AC192" s="1779"/>
    </row>
    <row r="193" spans="1:29">
      <c r="A193" s="1779"/>
      <c r="B193" s="1779"/>
      <c r="C193" s="1779"/>
      <c r="D193" s="1779"/>
      <c r="E193" s="1779"/>
      <c r="F193" s="1779"/>
      <c r="G193" s="1779"/>
      <c r="H193" s="1779"/>
      <c r="I193" s="1779"/>
      <c r="J193" s="1779"/>
      <c r="K193" s="1780"/>
      <c r="L193" s="1781"/>
      <c r="M193" s="1779"/>
      <c r="N193" s="1779"/>
      <c r="O193" s="1779"/>
      <c r="P193" s="1779"/>
      <c r="Q193" s="1779"/>
      <c r="R193" s="1779"/>
      <c r="S193" s="1779"/>
      <c r="T193" s="1779"/>
      <c r="U193" s="1779"/>
      <c r="V193" s="1779"/>
      <c r="W193" s="1779"/>
      <c r="X193" s="1779"/>
      <c r="Y193" s="1779"/>
      <c r="Z193" s="1779"/>
      <c r="AA193" s="1779"/>
      <c r="AB193" s="1779"/>
      <c r="AC193" s="1779"/>
    </row>
    <row r="194" spans="1:29">
      <c r="A194" s="1779"/>
      <c r="B194" s="1779"/>
      <c r="C194" s="1779"/>
      <c r="D194" s="1779"/>
      <c r="E194" s="1779"/>
      <c r="F194" s="1779"/>
      <c r="G194" s="1779"/>
      <c r="H194" s="1779"/>
      <c r="I194" s="1779"/>
      <c r="J194" s="1779"/>
      <c r="K194" s="1780"/>
      <c r="L194" s="1781"/>
      <c r="M194" s="1779"/>
      <c r="N194" s="1779"/>
      <c r="O194" s="1779"/>
      <c r="P194" s="1779"/>
      <c r="Q194" s="1779"/>
      <c r="R194" s="1779"/>
      <c r="S194" s="1779"/>
      <c r="T194" s="1779"/>
      <c r="U194" s="1779"/>
      <c r="V194" s="1779"/>
      <c r="W194" s="1779"/>
      <c r="X194" s="1779"/>
      <c r="Y194" s="1779"/>
      <c r="Z194" s="1779"/>
      <c r="AA194" s="1779"/>
      <c r="AB194" s="1779"/>
      <c r="AC194" s="1779"/>
    </row>
    <row r="195" spans="1:29">
      <c r="A195" s="1779"/>
      <c r="B195" s="1779"/>
      <c r="C195" s="1779"/>
      <c r="D195" s="1779"/>
      <c r="E195" s="1779"/>
      <c r="F195" s="1779"/>
      <c r="G195" s="1779"/>
      <c r="H195" s="1779"/>
      <c r="I195" s="1779"/>
      <c r="J195" s="1779"/>
      <c r="K195" s="1780"/>
      <c r="L195" s="1781"/>
      <c r="M195" s="1779"/>
      <c r="N195" s="1779"/>
      <c r="O195" s="1779"/>
      <c r="P195" s="1779"/>
      <c r="Q195" s="1779"/>
      <c r="R195" s="1779"/>
      <c r="S195" s="1779"/>
      <c r="T195" s="1779"/>
      <c r="U195" s="1779"/>
      <c r="V195" s="1779"/>
      <c r="W195" s="1779"/>
      <c r="X195" s="1779"/>
      <c r="Y195" s="1779"/>
      <c r="Z195" s="1779"/>
      <c r="AA195" s="1779"/>
      <c r="AB195" s="1779"/>
      <c r="AC195" s="1779"/>
    </row>
    <row r="196" spans="1:29">
      <c r="A196" s="1779"/>
      <c r="B196" s="1779"/>
      <c r="C196" s="1779"/>
      <c r="D196" s="1779"/>
      <c r="E196" s="1779"/>
      <c r="F196" s="1779"/>
      <c r="G196" s="1779"/>
      <c r="H196" s="1779"/>
      <c r="I196" s="1779"/>
      <c r="J196" s="1779"/>
      <c r="K196" s="1780"/>
      <c r="L196" s="1781"/>
      <c r="M196" s="1779"/>
      <c r="N196" s="1779"/>
      <c r="O196" s="1779"/>
      <c r="P196" s="1779"/>
      <c r="Q196" s="1779"/>
      <c r="R196" s="1779"/>
      <c r="S196" s="1779"/>
      <c r="T196" s="1779"/>
      <c r="U196" s="1779"/>
      <c r="V196" s="1779"/>
      <c r="W196" s="1779"/>
      <c r="X196" s="1779"/>
      <c r="Y196" s="1779"/>
      <c r="Z196" s="1779"/>
      <c r="AA196" s="1779"/>
      <c r="AB196" s="1779"/>
      <c r="AC196" s="1779"/>
    </row>
    <row r="197" spans="1:29">
      <c r="A197" s="1779"/>
      <c r="B197" s="1779"/>
      <c r="C197" s="1779"/>
      <c r="D197" s="1779"/>
      <c r="E197" s="1779"/>
      <c r="F197" s="1779"/>
      <c r="G197" s="1779"/>
      <c r="H197" s="1779"/>
      <c r="I197" s="1779"/>
      <c r="J197" s="1779"/>
      <c r="K197" s="1780"/>
      <c r="L197" s="1781"/>
      <c r="M197" s="1779"/>
      <c r="N197" s="1779"/>
      <c r="O197" s="1779"/>
      <c r="P197" s="1779"/>
      <c r="Q197" s="1779"/>
      <c r="R197" s="1779"/>
      <c r="S197" s="1779"/>
      <c r="T197" s="1779"/>
      <c r="U197" s="1779"/>
      <c r="V197" s="1779"/>
      <c r="W197" s="1779"/>
      <c r="X197" s="1779"/>
      <c r="Y197" s="1779"/>
      <c r="Z197" s="1779"/>
      <c r="AA197" s="1779"/>
      <c r="AB197" s="1779"/>
      <c r="AC197" s="1779"/>
    </row>
    <row r="198" spans="1:29">
      <c r="A198" s="1779"/>
      <c r="B198" s="1779"/>
      <c r="C198" s="1779"/>
      <c r="D198" s="1779"/>
      <c r="E198" s="1779"/>
      <c r="F198" s="1779"/>
      <c r="G198" s="1779"/>
      <c r="H198" s="1779"/>
      <c r="I198" s="1779"/>
      <c r="J198" s="1779"/>
      <c r="K198" s="1780"/>
      <c r="L198" s="1781"/>
      <c r="M198" s="1779"/>
      <c r="N198" s="1779"/>
      <c r="O198" s="1779"/>
      <c r="P198" s="1779"/>
      <c r="Q198" s="1779"/>
      <c r="R198" s="1779"/>
      <c r="S198" s="1779"/>
      <c r="T198" s="1779"/>
      <c r="U198" s="1779"/>
      <c r="V198" s="1779"/>
      <c r="W198" s="1779"/>
      <c r="X198" s="1779"/>
      <c r="Y198" s="1779"/>
      <c r="Z198" s="1779"/>
      <c r="AA198" s="1779"/>
      <c r="AB198" s="1779"/>
      <c r="AC198" s="1779"/>
    </row>
    <row r="199" spans="1:29">
      <c r="A199" s="1779"/>
      <c r="B199" s="1779"/>
      <c r="C199" s="1779"/>
      <c r="D199" s="1779"/>
      <c r="E199" s="1779"/>
      <c r="F199" s="1779"/>
      <c r="G199" s="1779"/>
      <c r="H199" s="1779"/>
      <c r="I199" s="1779"/>
      <c r="J199" s="1779"/>
      <c r="K199" s="1780"/>
      <c r="L199" s="1781"/>
      <c r="M199" s="1779"/>
      <c r="N199" s="1779"/>
      <c r="O199" s="1779"/>
      <c r="P199" s="1779"/>
      <c r="Q199" s="1779"/>
      <c r="R199" s="1779"/>
      <c r="S199" s="1779"/>
      <c r="T199" s="1779"/>
      <c r="U199" s="1779"/>
      <c r="V199" s="1779"/>
      <c r="W199" s="1779"/>
      <c r="X199" s="1779"/>
      <c r="Y199" s="1779"/>
      <c r="Z199" s="1779"/>
      <c r="AA199" s="1779"/>
      <c r="AB199" s="1779"/>
      <c r="AC199" s="1779"/>
    </row>
    <row r="200" spans="1:29">
      <c r="A200" s="1779"/>
      <c r="B200" s="1779"/>
      <c r="C200" s="1779"/>
      <c r="D200" s="1779"/>
      <c r="E200" s="1779"/>
      <c r="F200" s="1779"/>
      <c r="G200" s="1779"/>
      <c r="H200" s="1779"/>
      <c r="I200" s="1779"/>
      <c r="J200" s="1779"/>
      <c r="K200" s="1780"/>
      <c r="L200" s="1781"/>
      <c r="M200" s="1779"/>
      <c r="N200" s="1779"/>
      <c r="O200" s="1779"/>
      <c r="P200" s="1779"/>
      <c r="Q200" s="1779"/>
      <c r="R200" s="1779"/>
      <c r="S200" s="1779"/>
      <c r="T200" s="1779"/>
      <c r="U200" s="1779"/>
      <c r="V200" s="1779"/>
      <c r="W200" s="1779"/>
      <c r="X200" s="1779"/>
      <c r="Y200" s="1779"/>
      <c r="Z200" s="1779"/>
      <c r="AA200" s="1779"/>
      <c r="AB200" s="1779"/>
      <c r="AC200" s="1779"/>
    </row>
    <row r="201" spans="1:29">
      <c r="A201" s="1779"/>
      <c r="B201" s="1779"/>
      <c r="C201" s="1779"/>
      <c r="D201" s="1779"/>
      <c r="E201" s="1779"/>
      <c r="F201" s="1779"/>
      <c r="G201" s="1779"/>
      <c r="H201" s="1779"/>
      <c r="I201" s="1779"/>
      <c r="J201" s="1779"/>
      <c r="K201" s="1780"/>
      <c r="L201" s="1781"/>
      <c r="M201" s="1779"/>
      <c r="N201" s="1779"/>
      <c r="O201" s="1779"/>
      <c r="P201" s="1779"/>
      <c r="Q201" s="1779"/>
      <c r="R201" s="1779"/>
      <c r="S201" s="1779"/>
      <c r="T201" s="1779"/>
      <c r="U201" s="1779"/>
      <c r="V201" s="1779"/>
      <c r="W201" s="1779"/>
      <c r="X201" s="1779"/>
      <c r="Y201" s="1779"/>
      <c r="Z201" s="1779"/>
      <c r="AA201" s="1779"/>
      <c r="AB201" s="1779"/>
      <c r="AC201" s="1779"/>
    </row>
    <row r="202" spans="1:29">
      <c r="A202" s="1779"/>
      <c r="B202" s="1779"/>
      <c r="C202" s="1779"/>
      <c r="D202" s="1779"/>
      <c r="E202" s="1779"/>
      <c r="F202" s="1779"/>
      <c r="G202" s="1779"/>
      <c r="H202" s="1779"/>
      <c r="I202" s="1779"/>
      <c r="J202" s="1779"/>
      <c r="K202" s="1780"/>
      <c r="L202" s="1781"/>
      <c r="M202" s="1779"/>
      <c r="N202" s="1779"/>
      <c r="O202" s="1779"/>
      <c r="P202" s="1779"/>
      <c r="Q202" s="1779"/>
      <c r="R202" s="1779"/>
      <c r="S202" s="1779"/>
      <c r="T202" s="1779"/>
      <c r="U202" s="1779"/>
      <c r="V202" s="1779"/>
      <c r="W202" s="1779"/>
      <c r="X202" s="1779"/>
      <c r="Y202" s="1779"/>
      <c r="Z202" s="1779"/>
      <c r="AA202" s="1779"/>
      <c r="AB202" s="1779"/>
      <c r="AC202" s="1779"/>
    </row>
    <row r="203" spans="1:29">
      <c r="A203" s="1779"/>
      <c r="B203" s="1779"/>
      <c r="C203" s="1779"/>
      <c r="D203" s="1779"/>
      <c r="E203" s="1779"/>
      <c r="F203" s="1779"/>
      <c r="G203" s="1779"/>
      <c r="H203" s="1779"/>
      <c r="I203" s="1779"/>
      <c r="J203" s="1779"/>
      <c r="K203" s="1780"/>
      <c r="L203" s="1781"/>
      <c r="M203" s="1779"/>
      <c r="N203" s="1779"/>
      <c r="O203" s="1779"/>
      <c r="P203" s="1779"/>
      <c r="Q203" s="1779"/>
      <c r="R203" s="1779"/>
      <c r="S203" s="1779"/>
      <c r="T203" s="1779"/>
      <c r="U203" s="1779"/>
      <c r="V203" s="1779"/>
      <c r="W203" s="1779"/>
      <c r="X203" s="1779"/>
      <c r="Y203" s="1779"/>
      <c r="Z203" s="1779"/>
      <c r="AA203" s="1779"/>
      <c r="AB203" s="1779"/>
      <c r="AC203" s="1779"/>
    </row>
    <row r="204" spans="1:29">
      <c r="A204" s="1779"/>
      <c r="B204" s="1779"/>
      <c r="C204" s="1779"/>
      <c r="D204" s="1779"/>
      <c r="E204" s="1779"/>
      <c r="F204" s="1779"/>
      <c r="G204" s="1779"/>
      <c r="H204" s="1779"/>
      <c r="I204" s="1779"/>
      <c r="J204" s="1779"/>
      <c r="K204" s="1780"/>
      <c r="L204" s="1781"/>
      <c r="M204" s="1779"/>
      <c r="N204" s="1779"/>
      <c r="O204" s="1779"/>
      <c r="P204" s="1779"/>
      <c r="Q204" s="1779"/>
      <c r="R204" s="1779"/>
      <c r="S204" s="1779"/>
      <c r="T204" s="1779"/>
      <c r="U204" s="1779"/>
      <c r="V204" s="1779"/>
      <c r="W204" s="1779"/>
      <c r="X204" s="1779"/>
      <c r="Y204" s="1779"/>
      <c r="Z204" s="1779"/>
      <c r="AA204" s="1779"/>
      <c r="AB204" s="1779"/>
      <c r="AC204" s="1779"/>
    </row>
    <row r="205" spans="1:29">
      <c r="A205" s="1779"/>
      <c r="B205" s="1779"/>
      <c r="C205" s="1779"/>
      <c r="D205" s="1779"/>
      <c r="E205" s="1779"/>
      <c r="F205" s="1779"/>
      <c r="G205" s="1779"/>
      <c r="H205" s="1779"/>
      <c r="I205" s="1779"/>
      <c r="J205" s="1779"/>
      <c r="K205" s="1780"/>
      <c r="L205" s="1781"/>
      <c r="M205" s="1779"/>
      <c r="N205" s="1779"/>
      <c r="O205" s="1779"/>
      <c r="P205" s="1779"/>
      <c r="Q205" s="1779"/>
      <c r="R205" s="1779"/>
      <c r="S205" s="1779"/>
      <c r="T205" s="1779"/>
      <c r="U205" s="1779"/>
      <c r="V205" s="1779"/>
      <c r="W205" s="1779"/>
      <c r="X205" s="1779"/>
      <c r="Y205" s="1779"/>
      <c r="Z205" s="1779"/>
      <c r="AA205" s="1779"/>
      <c r="AB205" s="1779"/>
      <c r="AC205" s="1779"/>
    </row>
    <row r="206" spans="1:29">
      <c r="A206" s="1779"/>
      <c r="B206" s="1779"/>
      <c r="C206" s="1779"/>
      <c r="D206" s="1779"/>
      <c r="E206" s="1779"/>
      <c r="F206" s="1779"/>
      <c r="G206" s="1779"/>
      <c r="H206" s="1779"/>
      <c r="I206" s="1779"/>
      <c r="J206" s="1779"/>
      <c r="K206" s="1780"/>
      <c r="L206" s="1781"/>
      <c r="M206" s="1779"/>
      <c r="N206" s="1779"/>
      <c r="O206" s="1779"/>
      <c r="P206" s="1779"/>
      <c r="Q206" s="1779"/>
      <c r="R206" s="1779"/>
      <c r="S206" s="1779"/>
      <c r="T206" s="1779"/>
      <c r="U206" s="1779"/>
      <c r="V206" s="1779"/>
      <c r="W206" s="1779"/>
      <c r="X206" s="1779"/>
      <c r="Y206" s="1779"/>
      <c r="Z206" s="1779"/>
      <c r="AA206" s="1779"/>
      <c r="AB206" s="1779"/>
      <c r="AC206" s="1779"/>
    </row>
    <row r="207" spans="1:29">
      <c r="A207" s="1779"/>
      <c r="B207" s="1779"/>
      <c r="C207" s="1779"/>
      <c r="D207" s="1779"/>
      <c r="E207" s="1779"/>
      <c r="F207" s="1779"/>
      <c r="G207" s="1779"/>
      <c r="H207" s="1779"/>
      <c r="I207" s="1779"/>
      <c r="J207" s="1779"/>
      <c r="K207" s="1780"/>
      <c r="L207" s="1781"/>
      <c r="M207" s="1779"/>
      <c r="N207" s="1779"/>
      <c r="O207" s="1779"/>
      <c r="P207" s="1779"/>
      <c r="Q207" s="1779"/>
      <c r="R207" s="1779"/>
      <c r="S207" s="1779"/>
      <c r="T207" s="1779"/>
      <c r="U207" s="1779"/>
      <c r="V207" s="1779"/>
      <c r="W207" s="1779"/>
      <c r="X207" s="1779"/>
      <c r="Y207" s="1779"/>
      <c r="Z207" s="1779"/>
      <c r="AA207" s="1779"/>
      <c r="AB207" s="1779"/>
      <c r="AC207" s="1779"/>
    </row>
    <row r="208" spans="1:29">
      <c r="A208" s="1779"/>
      <c r="B208" s="1779"/>
      <c r="C208" s="1779"/>
      <c r="D208" s="1779"/>
      <c r="E208" s="1779"/>
      <c r="F208" s="1779"/>
      <c r="G208" s="1779"/>
      <c r="H208" s="1779"/>
      <c r="I208" s="1779"/>
      <c r="J208" s="1779"/>
      <c r="K208" s="1780"/>
      <c r="L208" s="1781"/>
      <c r="M208" s="1779"/>
      <c r="N208" s="1779"/>
      <c r="O208" s="1779"/>
      <c r="P208" s="1779"/>
      <c r="Q208" s="1779"/>
      <c r="R208" s="1779"/>
      <c r="S208" s="1779"/>
      <c r="T208" s="1779"/>
      <c r="U208" s="1779"/>
      <c r="V208" s="1779"/>
      <c r="W208" s="1779"/>
      <c r="X208" s="1779"/>
      <c r="Y208" s="1779"/>
      <c r="Z208" s="1779"/>
      <c r="AA208" s="1779"/>
      <c r="AB208" s="1779"/>
      <c r="AC208" s="1779"/>
    </row>
    <row r="209" spans="1:29">
      <c r="A209" s="1779"/>
      <c r="B209" s="1779"/>
      <c r="C209" s="1779"/>
      <c r="D209" s="1779"/>
      <c r="E209" s="1779"/>
      <c r="F209" s="1779"/>
      <c r="G209" s="1779"/>
      <c r="H209" s="1779"/>
      <c r="I209" s="1779"/>
      <c r="J209" s="1779"/>
      <c r="K209" s="1780"/>
      <c r="L209" s="1781"/>
      <c r="M209" s="1779"/>
      <c r="N209" s="1779"/>
      <c r="O209" s="1779"/>
      <c r="P209" s="1779"/>
      <c r="Q209" s="1779"/>
      <c r="R209" s="1779"/>
      <c r="S209" s="1779"/>
      <c r="T209" s="1779"/>
      <c r="U209" s="1779"/>
      <c r="V209" s="1779"/>
      <c r="W209" s="1779"/>
      <c r="X209" s="1779"/>
      <c r="Y209" s="1779"/>
      <c r="Z209" s="1779"/>
      <c r="AA209" s="1779"/>
      <c r="AB209" s="1779"/>
      <c r="AC209" s="1779"/>
    </row>
    <row r="210" spans="1:29">
      <c r="A210" s="1779"/>
      <c r="B210" s="1779"/>
      <c r="C210" s="1779"/>
      <c r="D210" s="1779"/>
      <c r="E210" s="1779"/>
      <c r="F210" s="1779"/>
      <c r="G210" s="1779"/>
      <c r="H210" s="1779"/>
      <c r="I210" s="1779"/>
      <c r="J210" s="1779"/>
      <c r="K210" s="1780"/>
      <c r="L210" s="1781"/>
      <c r="M210" s="1779"/>
      <c r="N210" s="1779"/>
      <c r="O210" s="1779"/>
      <c r="P210" s="1779"/>
      <c r="Q210" s="1779"/>
      <c r="R210" s="1779"/>
      <c r="S210" s="1779"/>
      <c r="T210" s="1779"/>
      <c r="U210" s="1779"/>
      <c r="V210" s="1779"/>
      <c r="W210" s="1779"/>
      <c r="X210" s="1779"/>
      <c r="Y210" s="1779"/>
      <c r="Z210" s="1779"/>
      <c r="AA210" s="1779"/>
      <c r="AB210" s="1779"/>
      <c r="AC210" s="1779"/>
    </row>
    <row r="211" spans="1:29">
      <c r="A211" s="1779"/>
      <c r="B211" s="1779"/>
      <c r="C211" s="1779"/>
      <c r="D211" s="1779"/>
      <c r="E211" s="1779"/>
      <c r="F211" s="1779"/>
      <c r="G211" s="1779"/>
      <c r="H211" s="1779"/>
      <c r="I211" s="1779"/>
      <c r="J211" s="1779"/>
      <c r="K211" s="1780"/>
      <c r="L211" s="1781"/>
      <c r="M211" s="1779"/>
      <c r="N211" s="1779"/>
      <c r="O211" s="1779"/>
      <c r="P211" s="1779"/>
      <c r="Q211" s="1779"/>
      <c r="R211" s="1779"/>
      <c r="S211" s="1779"/>
      <c r="T211" s="1779"/>
      <c r="U211" s="1779"/>
      <c r="V211" s="1779"/>
      <c r="W211" s="1779"/>
      <c r="X211" s="1779"/>
      <c r="Y211" s="1779"/>
      <c r="Z211" s="1779"/>
      <c r="AA211" s="1779"/>
      <c r="AB211" s="1779"/>
      <c r="AC211" s="1779"/>
    </row>
    <row r="212" spans="1:29">
      <c r="A212" s="1779"/>
      <c r="B212" s="1779"/>
      <c r="C212" s="1779"/>
      <c r="D212" s="1779"/>
      <c r="E212" s="1779"/>
      <c r="F212" s="1779"/>
      <c r="G212" s="1779"/>
      <c r="H212" s="1779"/>
      <c r="I212" s="1779"/>
      <c r="J212" s="1779"/>
      <c r="K212" s="1780"/>
      <c r="L212" s="1781"/>
      <c r="M212" s="1779"/>
      <c r="N212" s="1779"/>
      <c r="O212" s="1779"/>
      <c r="P212" s="1779"/>
      <c r="Q212" s="1779"/>
      <c r="R212" s="1779"/>
      <c r="S212" s="1779"/>
      <c r="T212" s="1779"/>
      <c r="U212" s="1779"/>
      <c r="V212" s="1779"/>
      <c r="W212" s="1779"/>
      <c r="X212" s="1779"/>
      <c r="Y212" s="1779"/>
      <c r="Z212" s="1779"/>
      <c r="AA212" s="1779"/>
      <c r="AB212" s="1779"/>
      <c r="AC212" s="1779"/>
    </row>
    <row r="213" spans="1:29">
      <c r="A213" s="1779"/>
      <c r="B213" s="1779"/>
      <c r="C213" s="1779"/>
      <c r="D213" s="1779"/>
      <c r="E213" s="1779"/>
      <c r="F213" s="1779"/>
      <c r="G213" s="1779"/>
      <c r="H213" s="1779"/>
      <c r="I213" s="1779"/>
      <c r="J213" s="1779"/>
      <c r="K213" s="1780"/>
      <c r="L213" s="1781"/>
      <c r="M213" s="1779"/>
      <c r="N213" s="1779"/>
      <c r="O213" s="1779"/>
      <c r="P213" s="1779"/>
      <c r="Q213" s="1779"/>
      <c r="R213" s="1779"/>
      <c r="S213" s="1779"/>
      <c r="T213" s="1779"/>
      <c r="U213" s="1779"/>
      <c r="V213" s="1779"/>
      <c r="W213" s="1779"/>
      <c r="X213" s="1779"/>
      <c r="Y213" s="1779"/>
      <c r="Z213" s="1779"/>
      <c r="AA213" s="1779"/>
      <c r="AB213" s="1779"/>
      <c r="AC213" s="1779"/>
    </row>
    <row r="214" spans="1:29">
      <c r="A214" s="1779"/>
      <c r="B214" s="1779"/>
      <c r="C214" s="1779"/>
      <c r="D214" s="1779"/>
      <c r="E214" s="1779"/>
      <c r="F214" s="1779"/>
      <c r="G214" s="1779"/>
      <c r="H214" s="1779"/>
      <c r="I214" s="1779"/>
      <c r="J214" s="1779"/>
      <c r="K214" s="1780"/>
      <c r="L214" s="1781"/>
      <c r="M214" s="1779"/>
      <c r="N214" s="1779"/>
      <c r="O214" s="1779"/>
      <c r="P214" s="1779"/>
      <c r="Q214" s="1779"/>
      <c r="R214" s="1779"/>
      <c r="S214" s="1779"/>
      <c r="T214" s="1779"/>
      <c r="U214" s="1779"/>
      <c r="V214" s="1779"/>
      <c r="W214" s="1779"/>
      <c r="X214" s="1779"/>
      <c r="Y214" s="1779"/>
      <c r="Z214" s="1779"/>
      <c r="AA214" s="1779"/>
      <c r="AB214" s="1779"/>
      <c r="AC214" s="1779"/>
    </row>
    <row r="215" spans="1:29">
      <c r="A215" s="1779"/>
      <c r="B215" s="1779"/>
      <c r="C215" s="1779"/>
      <c r="D215" s="1779"/>
      <c r="E215" s="1779"/>
      <c r="F215" s="1779"/>
      <c r="G215" s="1779"/>
      <c r="H215" s="1779"/>
      <c r="I215" s="1779"/>
      <c r="J215" s="1779"/>
      <c r="K215" s="1780"/>
      <c r="L215" s="1781"/>
      <c r="M215" s="1779"/>
      <c r="N215" s="1779"/>
      <c r="O215" s="1779"/>
      <c r="P215" s="1779"/>
      <c r="Q215" s="1779"/>
      <c r="R215" s="1779"/>
      <c r="S215" s="1779"/>
      <c r="T215" s="1779"/>
      <c r="U215" s="1779"/>
      <c r="V215" s="1779"/>
      <c r="W215" s="1779"/>
      <c r="X215" s="1779"/>
      <c r="Y215" s="1779"/>
      <c r="Z215" s="1779"/>
      <c r="AA215" s="1779"/>
      <c r="AB215" s="1779"/>
      <c r="AC215" s="1779"/>
    </row>
    <row r="216" spans="1:29">
      <c r="A216" s="1779"/>
      <c r="B216" s="1779"/>
      <c r="C216" s="1779"/>
      <c r="D216" s="1779"/>
      <c r="E216" s="1779"/>
      <c r="F216" s="1779"/>
      <c r="G216" s="1779"/>
      <c r="H216" s="1779"/>
      <c r="I216" s="1779"/>
      <c r="J216" s="1779"/>
      <c r="K216" s="1780"/>
      <c r="L216" s="1781"/>
      <c r="M216" s="1779"/>
      <c r="N216" s="1779"/>
      <c r="O216" s="1779"/>
      <c r="P216" s="1779"/>
      <c r="Q216" s="1779"/>
      <c r="R216" s="1779"/>
      <c r="S216" s="1779"/>
      <c r="T216" s="1779"/>
      <c r="U216" s="1779"/>
      <c r="V216" s="1779"/>
      <c r="W216" s="1779"/>
      <c r="X216" s="1779"/>
      <c r="Y216" s="1779"/>
      <c r="Z216" s="1779"/>
      <c r="AA216" s="1779"/>
      <c r="AB216" s="1779"/>
      <c r="AC216" s="1779"/>
    </row>
    <row r="217" spans="1:29">
      <c r="A217" s="1779"/>
      <c r="B217" s="1779"/>
      <c r="C217" s="1779"/>
      <c r="D217" s="1779"/>
      <c r="E217" s="1779"/>
      <c r="F217" s="1779"/>
      <c r="G217" s="1779"/>
      <c r="H217" s="1779"/>
      <c r="I217" s="1779"/>
      <c r="J217" s="1779"/>
      <c r="K217" s="1780"/>
      <c r="L217" s="1781"/>
      <c r="M217" s="1779"/>
      <c r="N217" s="1779"/>
      <c r="O217" s="1779"/>
      <c r="P217" s="1779"/>
      <c r="Q217" s="1779"/>
      <c r="R217" s="1779"/>
      <c r="S217" s="1779"/>
      <c r="T217" s="1779"/>
      <c r="U217" s="1779"/>
      <c r="V217" s="1779"/>
      <c r="W217" s="1779"/>
      <c r="X217" s="1779"/>
      <c r="Y217" s="1779"/>
      <c r="Z217" s="1779"/>
      <c r="AA217" s="1779"/>
      <c r="AB217" s="1779"/>
      <c r="AC217" s="1779"/>
    </row>
    <row r="218" spans="1:29">
      <c r="A218" s="1779"/>
      <c r="B218" s="1779"/>
      <c r="C218" s="1779"/>
      <c r="D218" s="1779"/>
      <c r="E218" s="1779"/>
      <c r="F218" s="1779"/>
      <c r="G218" s="1779"/>
      <c r="H218" s="1779"/>
      <c r="I218" s="1779"/>
      <c r="J218" s="1779"/>
      <c r="K218" s="1780"/>
      <c r="L218" s="1781"/>
      <c r="M218" s="1779"/>
      <c r="N218" s="1779"/>
      <c r="O218" s="1779"/>
      <c r="P218" s="1779"/>
      <c r="Q218" s="1779"/>
      <c r="R218" s="1779"/>
      <c r="S218" s="1779"/>
      <c r="T218" s="1779"/>
      <c r="U218" s="1779"/>
      <c r="V218" s="1779"/>
      <c r="W218" s="1779"/>
      <c r="X218" s="1779"/>
      <c r="Y218" s="1779"/>
      <c r="Z218" s="1779"/>
      <c r="AA218" s="1779"/>
      <c r="AB218" s="1779"/>
      <c r="AC218" s="1779"/>
    </row>
    <row r="219" spans="1:29">
      <c r="A219" s="1779"/>
      <c r="B219" s="1779"/>
      <c r="C219" s="1779"/>
      <c r="D219" s="1779"/>
      <c r="E219" s="1779"/>
      <c r="F219" s="1779"/>
      <c r="G219" s="1779"/>
      <c r="H219" s="1779"/>
      <c r="I219" s="1779"/>
      <c r="J219" s="1779"/>
      <c r="K219" s="1780"/>
      <c r="L219" s="1781"/>
      <c r="M219" s="1779"/>
      <c r="N219" s="1779"/>
      <c r="O219" s="1779"/>
      <c r="P219" s="1779"/>
      <c r="Q219" s="1779"/>
      <c r="R219" s="1779"/>
      <c r="S219" s="1779"/>
      <c r="T219" s="1779"/>
      <c r="U219" s="1779"/>
      <c r="V219" s="1779"/>
      <c r="W219" s="1779"/>
      <c r="X219" s="1779"/>
      <c r="Y219" s="1779"/>
      <c r="Z219" s="1779"/>
      <c r="AA219" s="1779"/>
      <c r="AB219" s="1779"/>
      <c r="AC219" s="1779"/>
    </row>
    <row r="220" spans="1:29">
      <c r="A220" s="1779"/>
      <c r="B220" s="1779"/>
      <c r="C220" s="1779"/>
      <c r="D220" s="1779"/>
      <c r="E220" s="1779"/>
      <c r="F220" s="1779"/>
      <c r="G220" s="1779"/>
      <c r="H220" s="1779"/>
      <c r="I220" s="1779"/>
      <c r="J220" s="1779"/>
      <c r="K220" s="1780"/>
      <c r="L220" s="1781"/>
      <c r="M220" s="1779"/>
      <c r="N220" s="1779"/>
      <c r="O220" s="1779"/>
      <c r="P220" s="1779"/>
      <c r="Q220" s="1779"/>
      <c r="R220" s="1779"/>
      <c r="S220" s="1779"/>
      <c r="T220" s="1779"/>
      <c r="U220" s="1779"/>
      <c r="V220" s="1779"/>
      <c r="W220" s="1779"/>
      <c r="X220" s="1779"/>
      <c r="Y220" s="1779"/>
      <c r="Z220" s="1779"/>
      <c r="AA220" s="1779"/>
      <c r="AB220" s="1779"/>
      <c r="AC220" s="1779"/>
    </row>
    <row r="221" spans="1:29">
      <c r="A221" s="1779"/>
      <c r="B221" s="1779"/>
      <c r="C221" s="1779"/>
      <c r="D221" s="1779"/>
      <c r="E221" s="1779"/>
      <c r="F221" s="1779"/>
      <c r="G221" s="1779"/>
      <c r="H221" s="1779"/>
      <c r="I221" s="1779"/>
      <c r="J221" s="1779"/>
      <c r="K221" s="1780"/>
      <c r="L221" s="1781"/>
      <c r="M221" s="1779"/>
      <c r="N221" s="1779"/>
      <c r="O221" s="1779"/>
      <c r="P221" s="1779"/>
      <c r="Q221" s="1779"/>
      <c r="R221" s="1779"/>
      <c r="S221" s="1779"/>
      <c r="T221" s="1779"/>
      <c r="U221" s="1779"/>
      <c r="V221" s="1779"/>
      <c r="W221" s="1779"/>
      <c r="X221" s="1779"/>
      <c r="Y221" s="1779"/>
      <c r="Z221" s="1779"/>
      <c r="AA221" s="1779"/>
      <c r="AB221" s="1779"/>
      <c r="AC221" s="1779"/>
    </row>
    <row r="222" spans="1:29">
      <c r="A222" s="1779"/>
      <c r="B222" s="1779"/>
      <c r="C222" s="1779"/>
      <c r="D222" s="1779"/>
      <c r="E222" s="1779"/>
      <c r="F222" s="1779"/>
      <c r="G222" s="1779"/>
      <c r="H222" s="1779"/>
      <c r="I222" s="1779"/>
      <c r="J222" s="1779"/>
      <c r="K222" s="1780"/>
      <c r="L222" s="1781"/>
      <c r="M222" s="1779"/>
      <c r="N222" s="1779"/>
      <c r="O222" s="1779"/>
      <c r="P222" s="1779"/>
      <c r="Q222" s="1779"/>
      <c r="R222" s="1779"/>
      <c r="S222" s="1779"/>
      <c r="T222" s="1779"/>
      <c r="U222" s="1779"/>
      <c r="V222" s="1779"/>
      <c r="W222" s="1779"/>
      <c r="X222" s="1779"/>
      <c r="Y222" s="1779"/>
      <c r="Z222" s="1779"/>
      <c r="AA222" s="1779"/>
      <c r="AB222" s="1779"/>
      <c r="AC222" s="1779"/>
    </row>
    <row r="223" spans="1:29">
      <c r="A223" s="1779"/>
      <c r="B223" s="1779"/>
      <c r="C223" s="1779"/>
      <c r="D223" s="1779"/>
      <c r="E223" s="1779"/>
      <c r="F223" s="1779"/>
      <c r="G223" s="1779"/>
      <c r="H223" s="1779"/>
      <c r="I223" s="1779"/>
      <c r="J223" s="1779"/>
      <c r="K223" s="1780"/>
      <c r="L223" s="1781"/>
      <c r="M223" s="1779"/>
      <c r="N223" s="1779"/>
      <c r="O223" s="1779"/>
      <c r="P223" s="1779"/>
      <c r="Q223" s="1779"/>
      <c r="R223" s="1779"/>
      <c r="S223" s="1779"/>
      <c r="T223" s="1779"/>
      <c r="U223" s="1779"/>
      <c r="V223" s="1779"/>
      <c r="W223" s="1779"/>
      <c r="X223" s="1779"/>
      <c r="Y223" s="1779"/>
      <c r="Z223" s="1779"/>
      <c r="AA223" s="1779"/>
      <c r="AB223" s="1779"/>
      <c r="AC223" s="1779"/>
    </row>
    <row r="224" spans="1:29">
      <c r="A224" s="1779"/>
      <c r="B224" s="1779"/>
      <c r="C224" s="1779"/>
      <c r="D224" s="1779"/>
      <c r="E224" s="1779"/>
      <c r="F224" s="1779"/>
      <c r="G224" s="1779"/>
      <c r="H224" s="1779"/>
      <c r="I224" s="1779"/>
      <c r="J224" s="1779"/>
      <c r="K224" s="1780"/>
      <c r="L224" s="1781"/>
      <c r="M224" s="1779"/>
      <c r="N224" s="1779"/>
      <c r="O224" s="1779"/>
      <c r="P224" s="1779"/>
      <c r="Q224" s="1779"/>
      <c r="R224" s="1779"/>
      <c r="S224" s="1779"/>
      <c r="T224" s="1779"/>
      <c r="U224" s="1779"/>
      <c r="V224" s="1779"/>
      <c r="W224" s="1779"/>
      <c r="X224" s="1779"/>
      <c r="Y224" s="1779"/>
      <c r="Z224" s="1779"/>
      <c r="AA224" s="1779"/>
      <c r="AB224" s="1779"/>
      <c r="AC224" s="1779"/>
    </row>
    <row r="225" spans="1:29">
      <c r="A225" s="1779"/>
      <c r="B225" s="1779"/>
      <c r="C225" s="1779"/>
      <c r="D225" s="1779"/>
      <c r="E225" s="1779"/>
      <c r="F225" s="1779"/>
      <c r="G225" s="1779"/>
      <c r="H225" s="1779"/>
      <c r="I225" s="1779"/>
      <c r="J225" s="1779"/>
      <c r="K225" s="1780"/>
      <c r="L225" s="1781"/>
      <c r="M225" s="1779"/>
      <c r="N225" s="1779"/>
      <c r="O225" s="1779"/>
      <c r="P225" s="1779"/>
      <c r="Q225" s="1779"/>
      <c r="R225" s="1779"/>
      <c r="S225" s="1779"/>
      <c r="T225" s="1779"/>
      <c r="U225" s="1779"/>
      <c r="V225" s="1779"/>
      <c r="W225" s="1779"/>
      <c r="X225" s="1779"/>
      <c r="Y225" s="1779"/>
      <c r="Z225" s="1779"/>
      <c r="AA225" s="1779"/>
      <c r="AB225" s="1779"/>
      <c r="AC225" s="1779"/>
    </row>
    <row r="226" spans="1:29">
      <c r="A226" s="1779"/>
      <c r="B226" s="1779"/>
      <c r="C226" s="1779"/>
      <c r="D226" s="1779"/>
      <c r="E226" s="1779"/>
      <c r="F226" s="1779"/>
      <c r="G226" s="1779"/>
      <c r="H226" s="1779"/>
      <c r="I226" s="1779"/>
      <c r="J226" s="1779"/>
      <c r="K226" s="1780"/>
      <c r="L226" s="1781"/>
      <c r="M226" s="1779"/>
      <c r="N226" s="1779"/>
      <c r="O226" s="1779"/>
      <c r="P226" s="1779"/>
      <c r="Q226" s="1779"/>
      <c r="R226" s="1779"/>
      <c r="S226" s="1779"/>
      <c r="T226" s="1779"/>
      <c r="U226" s="1779"/>
      <c r="V226" s="1779"/>
      <c r="W226" s="1779"/>
      <c r="X226" s="1779"/>
      <c r="Y226" s="1779"/>
      <c r="Z226" s="1779"/>
      <c r="AA226" s="1779"/>
      <c r="AB226" s="1779"/>
      <c r="AC226" s="1779"/>
    </row>
    <row r="227" spans="1:29">
      <c r="A227" s="1779"/>
      <c r="B227" s="1779"/>
      <c r="C227" s="1779"/>
      <c r="D227" s="1779"/>
      <c r="E227" s="1779"/>
      <c r="F227" s="1779"/>
      <c r="G227" s="1779"/>
      <c r="H227" s="1779"/>
      <c r="I227" s="1779"/>
      <c r="J227" s="1779"/>
      <c r="K227" s="1780"/>
      <c r="L227" s="1781"/>
      <c r="M227" s="1779"/>
      <c r="N227" s="1779"/>
      <c r="O227" s="1779"/>
      <c r="P227" s="1779"/>
      <c r="Q227" s="1779"/>
      <c r="R227" s="1779"/>
      <c r="S227" s="1779"/>
      <c r="T227" s="1779"/>
      <c r="U227" s="1779"/>
      <c r="V227" s="1779"/>
      <c r="W227" s="1779"/>
      <c r="X227" s="1779"/>
      <c r="Y227" s="1779"/>
      <c r="Z227" s="1779"/>
      <c r="AA227" s="1779"/>
      <c r="AB227" s="1779"/>
      <c r="AC227" s="1779"/>
    </row>
    <row r="228" spans="1:29">
      <c r="A228" s="1779"/>
      <c r="B228" s="1779"/>
      <c r="C228" s="1779"/>
      <c r="D228" s="1779"/>
      <c r="E228" s="1779"/>
      <c r="F228" s="1779"/>
      <c r="G228" s="1779"/>
      <c r="H228" s="1779"/>
      <c r="I228" s="1779"/>
      <c r="J228" s="1779"/>
      <c r="K228" s="1780"/>
      <c r="L228" s="1781"/>
      <c r="M228" s="1779"/>
      <c r="N228" s="1779"/>
      <c r="O228" s="1779"/>
      <c r="P228" s="1779"/>
      <c r="Q228" s="1779"/>
      <c r="R228" s="1779"/>
      <c r="S228" s="1779"/>
      <c r="T228" s="1779"/>
      <c r="U228" s="1779"/>
      <c r="V228" s="1779"/>
      <c r="W228" s="1779"/>
      <c r="X228" s="1779"/>
      <c r="Y228" s="1779"/>
      <c r="Z228" s="1779"/>
      <c r="AA228" s="1779"/>
      <c r="AB228" s="1779"/>
      <c r="AC228" s="1779"/>
    </row>
    <row r="229" spans="1:29">
      <c r="A229" s="1779"/>
      <c r="B229" s="1779"/>
      <c r="C229" s="1779"/>
      <c r="D229" s="1779"/>
      <c r="E229" s="1779"/>
      <c r="F229" s="1779"/>
      <c r="G229" s="1779"/>
      <c r="H229" s="1779"/>
      <c r="I229" s="1779"/>
      <c r="J229" s="1779"/>
      <c r="K229" s="1780"/>
      <c r="L229" s="1781"/>
      <c r="M229" s="1779"/>
      <c r="N229" s="1779"/>
      <c r="O229" s="1779"/>
      <c r="P229" s="1779"/>
      <c r="Q229" s="1779"/>
      <c r="R229" s="1779"/>
      <c r="S229" s="1779"/>
      <c r="T229" s="1779"/>
      <c r="U229" s="1779"/>
      <c r="V229" s="1779"/>
      <c r="W229" s="1779"/>
      <c r="X229" s="1779"/>
      <c r="Y229" s="1779"/>
      <c r="Z229" s="1779"/>
      <c r="AA229" s="1779"/>
      <c r="AB229" s="1779"/>
      <c r="AC229" s="1779"/>
    </row>
    <row r="230" spans="1:29">
      <c r="A230" s="1779"/>
      <c r="B230" s="1779"/>
      <c r="C230" s="1779"/>
      <c r="D230" s="1779"/>
      <c r="E230" s="1779"/>
      <c r="F230" s="1779"/>
      <c r="G230" s="1779"/>
      <c r="H230" s="1779"/>
      <c r="I230" s="1779"/>
      <c r="J230" s="1779"/>
      <c r="K230" s="1780"/>
      <c r="L230" s="1781"/>
      <c r="M230" s="1779"/>
      <c r="N230" s="1779"/>
      <c r="O230" s="1779"/>
      <c r="P230" s="1779"/>
      <c r="Q230" s="1779"/>
      <c r="R230" s="1779"/>
      <c r="S230" s="1779"/>
      <c r="T230" s="1779"/>
      <c r="U230" s="1779"/>
      <c r="V230" s="1779"/>
      <c r="W230" s="1779"/>
      <c r="X230" s="1779"/>
      <c r="Y230" s="1779"/>
      <c r="Z230" s="1779"/>
      <c r="AA230" s="1779"/>
      <c r="AB230" s="1779"/>
      <c r="AC230" s="1779"/>
    </row>
    <row r="231" spans="1:29">
      <c r="A231" s="1779"/>
      <c r="B231" s="1779"/>
      <c r="C231" s="1779"/>
      <c r="D231" s="1779"/>
      <c r="E231" s="1779"/>
      <c r="F231" s="1779"/>
      <c r="G231" s="1779"/>
      <c r="H231" s="1779"/>
      <c r="I231" s="1779"/>
      <c r="J231" s="1779"/>
      <c r="K231" s="1780"/>
      <c r="L231" s="1781"/>
      <c r="M231" s="1779"/>
      <c r="N231" s="1779"/>
      <c r="O231" s="1779"/>
      <c r="P231" s="1779"/>
      <c r="Q231" s="1779"/>
      <c r="R231" s="1779"/>
      <c r="S231" s="1779"/>
      <c r="T231" s="1779"/>
      <c r="U231" s="1779"/>
      <c r="V231" s="1779"/>
      <c r="W231" s="1779"/>
      <c r="X231" s="1779"/>
      <c r="Y231" s="1779"/>
      <c r="Z231" s="1779"/>
      <c r="AA231" s="1779"/>
      <c r="AB231" s="1779"/>
      <c r="AC231" s="1779"/>
    </row>
    <row r="232" spans="1:29">
      <c r="A232" s="1779"/>
      <c r="B232" s="1779"/>
      <c r="C232" s="1779"/>
      <c r="D232" s="1779"/>
      <c r="E232" s="1779"/>
      <c r="F232" s="1779"/>
      <c r="G232" s="1779"/>
      <c r="H232" s="1779"/>
      <c r="I232" s="1779"/>
      <c r="J232" s="1779"/>
      <c r="K232" s="1780"/>
      <c r="L232" s="1781"/>
      <c r="M232" s="1779"/>
      <c r="N232" s="1779"/>
      <c r="O232" s="1779"/>
      <c r="P232" s="1779"/>
      <c r="Q232" s="1779"/>
      <c r="R232" s="1779"/>
      <c r="S232" s="1779"/>
      <c r="T232" s="1779"/>
      <c r="U232" s="1779"/>
      <c r="V232" s="1779"/>
      <c r="W232" s="1779"/>
      <c r="X232" s="1779"/>
      <c r="Y232" s="1779"/>
      <c r="Z232" s="1779"/>
      <c r="AA232" s="1779"/>
      <c r="AB232" s="1779"/>
      <c r="AC232" s="1779"/>
    </row>
    <row r="233" spans="1:29">
      <c r="A233" s="1779"/>
      <c r="B233" s="1779"/>
      <c r="C233" s="1779"/>
      <c r="D233" s="1779"/>
      <c r="E233" s="1779"/>
      <c r="F233" s="1779"/>
      <c r="G233" s="1779"/>
      <c r="H233" s="1779"/>
      <c r="I233" s="1779"/>
      <c r="J233" s="1779"/>
      <c r="K233" s="1780"/>
      <c r="L233" s="1781"/>
      <c r="M233" s="1779"/>
      <c r="N233" s="1779"/>
      <c r="O233" s="1779"/>
      <c r="P233" s="1779"/>
      <c r="Q233" s="1779"/>
      <c r="R233" s="1779"/>
      <c r="S233" s="1779"/>
      <c r="T233" s="1779"/>
      <c r="U233" s="1779"/>
      <c r="V233" s="1779"/>
      <c r="W233" s="1779"/>
      <c r="X233" s="1779"/>
      <c r="Y233" s="1779"/>
      <c r="Z233" s="1779"/>
      <c r="AA233" s="1779"/>
      <c r="AB233" s="1779"/>
      <c r="AC233" s="1779"/>
    </row>
    <row r="234" spans="1:29">
      <c r="A234" s="1779"/>
      <c r="B234" s="1779"/>
      <c r="C234" s="1779"/>
      <c r="D234" s="1779"/>
      <c r="E234" s="1779"/>
      <c r="F234" s="1779"/>
      <c r="G234" s="1779"/>
      <c r="H234" s="1779"/>
      <c r="I234" s="1779"/>
      <c r="J234" s="1779"/>
      <c r="K234" s="1780"/>
      <c r="L234" s="1781"/>
      <c r="M234" s="1779"/>
      <c r="N234" s="1779"/>
      <c r="O234" s="1779"/>
      <c r="P234" s="1779"/>
      <c r="Q234" s="1779"/>
      <c r="R234" s="1779"/>
      <c r="S234" s="1779"/>
      <c r="T234" s="1779"/>
      <c r="U234" s="1779"/>
      <c r="V234" s="1779"/>
      <c r="W234" s="1779"/>
      <c r="X234" s="1779"/>
      <c r="Y234" s="1779"/>
      <c r="Z234" s="1779"/>
      <c r="AA234" s="1779"/>
      <c r="AB234" s="1779"/>
      <c r="AC234" s="1779"/>
    </row>
    <row r="235" spans="1:29">
      <c r="A235" s="1779"/>
      <c r="B235" s="1779"/>
      <c r="C235" s="1779"/>
      <c r="D235" s="1779"/>
      <c r="E235" s="1779"/>
      <c r="F235" s="1779"/>
      <c r="G235" s="1779"/>
      <c r="H235" s="1779"/>
      <c r="I235" s="1779"/>
      <c r="J235" s="1779"/>
      <c r="K235" s="1780"/>
      <c r="L235" s="1781"/>
      <c r="M235" s="1779"/>
      <c r="N235" s="1779"/>
      <c r="O235" s="1779"/>
      <c r="P235" s="1779"/>
      <c r="Q235" s="1779"/>
      <c r="R235" s="1779"/>
      <c r="S235" s="1779"/>
      <c r="T235" s="1779"/>
      <c r="U235" s="1779"/>
      <c r="V235" s="1779"/>
      <c r="W235" s="1779"/>
      <c r="X235" s="1779"/>
      <c r="Y235" s="1779"/>
      <c r="Z235" s="1779"/>
      <c r="AA235" s="1779"/>
      <c r="AB235" s="1779"/>
      <c r="AC235" s="1779"/>
    </row>
    <row r="236" spans="1:29">
      <c r="A236" s="1779"/>
      <c r="B236" s="1779"/>
      <c r="C236" s="1779"/>
      <c r="D236" s="1779"/>
      <c r="E236" s="1779"/>
      <c r="F236" s="1779"/>
      <c r="G236" s="1779"/>
      <c r="H236" s="1779"/>
      <c r="I236" s="1779"/>
      <c r="J236" s="1779"/>
      <c r="K236" s="1780"/>
      <c r="L236" s="1781"/>
      <c r="M236" s="1779"/>
      <c r="N236" s="1779"/>
      <c r="O236" s="1779"/>
      <c r="P236" s="1779"/>
      <c r="Q236" s="1779"/>
      <c r="R236" s="1779"/>
      <c r="S236" s="1779"/>
      <c r="T236" s="1779"/>
      <c r="U236" s="1779"/>
      <c r="V236" s="1779"/>
      <c r="W236" s="1779"/>
      <c r="X236" s="1779"/>
      <c r="Y236" s="1779"/>
      <c r="Z236" s="1779"/>
      <c r="AA236" s="1779"/>
      <c r="AB236" s="1779"/>
      <c r="AC236" s="1779"/>
    </row>
    <row r="237" spans="1:29">
      <c r="A237" s="1779"/>
      <c r="B237" s="1779"/>
      <c r="C237" s="1779"/>
      <c r="D237" s="1779"/>
      <c r="E237" s="1779"/>
      <c r="F237" s="1779"/>
      <c r="G237" s="1779"/>
      <c r="H237" s="1779"/>
      <c r="I237" s="1779"/>
      <c r="J237" s="1779"/>
      <c r="K237" s="1780"/>
      <c r="L237" s="1781"/>
      <c r="M237" s="1779"/>
      <c r="N237" s="1779"/>
      <c r="O237" s="1779"/>
      <c r="P237" s="1779"/>
      <c r="Q237" s="1779"/>
      <c r="R237" s="1779"/>
      <c r="S237" s="1779"/>
      <c r="T237" s="1779"/>
      <c r="U237" s="1779"/>
      <c r="V237" s="1779"/>
      <c r="W237" s="1779"/>
      <c r="X237" s="1779"/>
      <c r="Y237" s="1779"/>
      <c r="Z237" s="1779"/>
      <c r="AA237" s="1779"/>
      <c r="AB237" s="1779"/>
      <c r="AC237" s="1779"/>
    </row>
    <row r="238" spans="1:29">
      <c r="A238" s="1779"/>
      <c r="B238" s="1779"/>
      <c r="C238" s="1779"/>
      <c r="D238" s="1779"/>
      <c r="E238" s="1779"/>
      <c r="F238" s="1779"/>
      <c r="G238" s="1779"/>
      <c r="H238" s="1779"/>
      <c r="I238" s="1779"/>
      <c r="J238" s="1779"/>
      <c r="K238" s="1780"/>
      <c r="L238" s="1781"/>
      <c r="M238" s="1779"/>
      <c r="N238" s="1779"/>
      <c r="O238" s="1779"/>
      <c r="P238" s="1779"/>
      <c r="Q238" s="1779"/>
      <c r="R238" s="1779"/>
      <c r="S238" s="1779"/>
      <c r="T238" s="1779"/>
      <c r="U238" s="1779"/>
      <c r="V238" s="1779"/>
      <c r="W238" s="1779"/>
      <c r="X238" s="1779"/>
      <c r="Y238" s="1779"/>
      <c r="Z238" s="1779"/>
      <c r="AA238" s="1779"/>
      <c r="AB238" s="1779"/>
      <c r="AC238" s="1779"/>
    </row>
    <row r="239" spans="1:29">
      <c r="A239" s="1779"/>
      <c r="B239" s="1779"/>
      <c r="C239" s="1779"/>
      <c r="D239" s="1779"/>
      <c r="E239" s="1779"/>
      <c r="F239" s="1779"/>
      <c r="G239" s="1779"/>
      <c r="H239" s="1779"/>
      <c r="I239" s="1779"/>
      <c r="J239" s="1779"/>
      <c r="K239" s="1780"/>
      <c r="L239" s="1781"/>
      <c r="M239" s="1779"/>
      <c r="N239" s="1779"/>
      <c r="O239" s="1779"/>
      <c r="P239" s="1779"/>
      <c r="Q239" s="1779"/>
      <c r="R239" s="1779"/>
      <c r="S239" s="1779"/>
      <c r="T239" s="1779"/>
      <c r="U239" s="1779"/>
      <c r="V239" s="1779"/>
      <c r="W239" s="1779"/>
      <c r="X239" s="1779"/>
      <c r="Y239" s="1779"/>
      <c r="Z239" s="1779"/>
      <c r="AA239" s="1779"/>
      <c r="AB239" s="1779"/>
      <c r="AC239" s="1779"/>
    </row>
    <row r="240" spans="1:29">
      <c r="A240" s="1779"/>
      <c r="B240" s="1779"/>
      <c r="C240" s="1779"/>
      <c r="D240" s="1779"/>
      <c r="E240" s="1779"/>
      <c r="F240" s="1779"/>
      <c r="G240" s="1779"/>
      <c r="H240" s="1779"/>
      <c r="I240" s="1779"/>
      <c r="J240" s="1779"/>
      <c r="K240" s="1780"/>
      <c r="L240" s="1781"/>
      <c r="M240" s="1779"/>
      <c r="N240" s="1779"/>
      <c r="O240" s="1779"/>
      <c r="P240" s="1779"/>
      <c r="Q240" s="1779"/>
      <c r="R240" s="1779"/>
      <c r="S240" s="1779"/>
      <c r="T240" s="1779"/>
      <c r="U240" s="1779"/>
      <c r="V240" s="1779"/>
      <c r="W240" s="1779"/>
      <c r="X240" s="1779"/>
      <c r="Y240" s="1779"/>
      <c r="Z240" s="1779"/>
      <c r="AA240" s="1779"/>
      <c r="AB240" s="1779"/>
      <c r="AC240" s="1779"/>
    </row>
    <row r="241" spans="1:29">
      <c r="A241" s="1779"/>
      <c r="B241" s="1779"/>
      <c r="C241" s="1779"/>
      <c r="D241" s="1779"/>
      <c r="E241" s="1779"/>
      <c r="F241" s="1779"/>
      <c r="G241" s="1779"/>
      <c r="H241" s="1779"/>
      <c r="I241" s="1779"/>
      <c r="J241" s="1779"/>
      <c r="K241" s="1780"/>
      <c r="L241" s="1781"/>
      <c r="M241" s="1779"/>
      <c r="N241" s="1779"/>
      <c r="O241" s="1779"/>
      <c r="P241" s="1779"/>
      <c r="Q241" s="1779"/>
      <c r="R241" s="1779"/>
      <c r="S241" s="1779"/>
      <c r="T241" s="1779"/>
      <c r="U241" s="1779"/>
      <c r="V241" s="1779"/>
      <c r="W241" s="1779"/>
      <c r="X241" s="1779"/>
      <c r="Y241" s="1779"/>
      <c r="Z241" s="1779"/>
      <c r="AA241" s="1779"/>
      <c r="AB241" s="1779"/>
      <c r="AC241" s="1779"/>
    </row>
    <row r="242" spans="1:29">
      <c r="A242" s="1779"/>
      <c r="B242" s="1779"/>
      <c r="C242" s="1779"/>
      <c r="D242" s="1779"/>
      <c r="E242" s="1779"/>
      <c r="F242" s="1779"/>
      <c r="G242" s="1779"/>
      <c r="H242" s="1779"/>
      <c r="I242" s="1779"/>
      <c r="J242" s="1779"/>
      <c r="K242" s="1780"/>
      <c r="L242" s="1781"/>
      <c r="M242" s="1779"/>
      <c r="N242" s="1779"/>
      <c r="O242" s="1779"/>
      <c r="P242" s="1779"/>
      <c r="Q242" s="1779"/>
      <c r="R242" s="1779"/>
      <c r="S242" s="1779"/>
      <c r="T242" s="1779"/>
      <c r="U242" s="1779"/>
      <c r="V242" s="1779"/>
      <c r="W242" s="1779"/>
      <c r="X242" s="1779"/>
      <c r="Y242" s="1779"/>
      <c r="Z242" s="1779"/>
      <c r="AA242" s="1779"/>
      <c r="AB242" s="1779"/>
      <c r="AC242" s="1779"/>
    </row>
    <row r="243" spans="1:29">
      <c r="A243" s="1779"/>
      <c r="B243" s="1779"/>
      <c r="C243" s="1779"/>
      <c r="D243" s="1779"/>
      <c r="E243" s="1779"/>
      <c r="F243" s="1779"/>
      <c r="G243" s="1779"/>
      <c r="H243" s="1779"/>
      <c r="I243" s="1779"/>
      <c r="J243" s="1779"/>
      <c r="K243" s="1780"/>
      <c r="L243" s="1781"/>
      <c r="M243" s="1779"/>
      <c r="N243" s="1779"/>
      <c r="O243" s="1779"/>
      <c r="P243" s="1779"/>
      <c r="Q243" s="1779"/>
      <c r="R243" s="1779"/>
      <c r="S243" s="1779"/>
      <c r="T243" s="1779"/>
      <c r="U243" s="1779"/>
      <c r="V243" s="1779"/>
      <c r="W243" s="1779"/>
      <c r="X243" s="1779"/>
      <c r="Y243" s="1779"/>
      <c r="Z243" s="1779"/>
      <c r="AA243" s="1779"/>
      <c r="AB243" s="1779"/>
      <c r="AC243" s="1779"/>
    </row>
    <row r="244" spans="1:29">
      <c r="A244" s="1779"/>
      <c r="B244" s="1779"/>
      <c r="C244" s="1779"/>
      <c r="D244" s="1779"/>
      <c r="E244" s="1779"/>
      <c r="F244" s="1779"/>
      <c r="G244" s="1779"/>
      <c r="H244" s="1779"/>
      <c r="I244" s="1779"/>
      <c r="J244" s="1779"/>
      <c r="K244" s="1780"/>
      <c r="L244" s="1781"/>
      <c r="M244" s="1779"/>
      <c r="N244" s="1779"/>
      <c r="O244" s="1779"/>
      <c r="P244" s="1779"/>
      <c r="Q244" s="1779"/>
      <c r="R244" s="1779"/>
      <c r="S244" s="1779"/>
      <c r="T244" s="1779"/>
      <c r="U244" s="1779"/>
      <c r="V244" s="1779"/>
      <c r="W244" s="1779"/>
      <c r="X244" s="1779"/>
      <c r="Y244" s="1779"/>
      <c r="Z244" s="1779"/>
      <c r="AA244" s="1779"/>
      <c r="AB244" s="1779"/>
      <c r="AC244" s="1779"/>
    </row>
    <row r="245" spans="1:29">
      <c r="A245" s="1779"/>
      <c r="B245" s="1779"/>
      <c r="C245" s="1779"/>
      <c r="D245" s="1779"/>
      <c r="E245" s="1779"/>
      <c r="F245" s="1779"/>
      <c r="G245" s="1779"/>
      <c r="H245" s="1779"/>
      <c r="I245" s="1779"/>
      <c r="J245" s="1779"/>
      <c r="K245" s="1780"/>
      <c r="L245" s="1781"/>
      <c r="M245" s="1779"/>
      <c r="N245" s="1779"/>
      <c r="O245" s="1779"/>
      <c r="P245" s="1779"/>
      <c r="Q245" s="1779"/>
      <c r="R245" s="1779"/>
      <c r="S245" s="1779"/>
      <c r="T245" s="1779"/>
      <c r="U245" s="1779"/>
      <c r="V245" s="1779"/>
      <c r="W245" s="1779"/>
      <c r="X245" s="1779"/>
      <c r="Y245" s="1779"/>
      <c r="Z245" s="1779"/>
      <c r="AA245" s="1779"/>
      <c r="AB245" s="1779"/>
      <c r="AC245" s="1779"/>
    </row>
    <row r="246" spans="1:29">
      <c r="A246" s="1779"/>
      <c r="B246" s="1779"/>
      <c r="C246" s="1779"/>
      <c r="D246" s="1779"/>
      <c r="E246" s="1779"/>
      <c r="F246" s="1779"/>
      <c r="G246" s="1779"/>
      <c r="H246" s="1779"/>
      <c r="I246" s="1779"/>
      <c r="J246" s="1779"/>
      <c r="K246" s="1780"/>
      <c r="L246" s="1781"/>
      <c r="M246" s="1779"/>
      <c r="N246" s="1779"/>
      <c r="O246" s="1779"/>
      <c r="P246" s="1779"/>
      <c r="Q246" s="1779"/>
      <c r="R246" s="1779"/>
      <c r="S246" s="1779"/>
      <c r="T246" s="1779"/>
      <c r="U246" s="1779"/>
      <c r="V246" s="1779"/>
      <c r="W246" s="1779"/>
      <c r="X246" s="1779"/>
      <c r="Y246" s="1779"/>
      <c r="Z246" s="1779"/>
      <c r="AA246" s="1779"/>
      <c r="AB246" s="1779"/>
      <c r="AC246" s="1779"/>
    </row>
    <row r="247" spans="1:29">
      <c r="A247" s="1779"/>
      <c r="B247" s="1779"/>
      <c r="C247" s="1779"/>
      <c r="D247" s="1779"/>
      <c r="E247" s="1779"/>
      <c r="F247" s="1779"/>
      <c r="G247" s="1779"/>
      <c r="H247" s="1779"/>
      <c r="I247" s="1779"/>
      <c r="J247" s="1779"/>
      <c r="K247" s="1780"/>
      <c r="L247" s="1781"/>
      <c r="M247" s="1779"/>
      <c r="N247" s="1779"/>
      <c r="O247" s="1779"/>
      <c r="P247" s="1779"/>
      <c r="Q247" s="1779"/>
      <c r="R247" s="1779"/>
      <c r="S247" s="1779"/>
      <c r="T247" s="1779"/>
      <c r="U247" s="1779"/>
      <c r="V247" s="1779"/>
      <c r="W247" s="1779"/>
      <c r="X247" s="1779"/>
      <c r="Y247" s="1779"/>
      <c r="Z247" s="1779"/>
      <c r="AA247" s="1779"/>
      <c r="AB247" s="1779"/>
      <c r="AC247" s="1779"/>
    </row>
    <row r="248" spans="1:29">
      <c r="A248" s="1779"/>
      <c r="B248" s="1779"/>
      <c r="C248" s="1779"/>
      <c r="D248" s="1779"/>
      <c r="E248" s="1779"/>
      <c r="F248" s="1779"/>
      <c r="G248" s="1779"/>
      <c r="H248" s="1779"/>
      <c r="I248" s="1779"/>
      <c r="J248" s="1779"/>
      <c r="K248" s="1780"/>
      <c r="L248" s="1781"/>
      <c r="M248" s="1779"/>
      <c r="N248" s="1779"/>
      <c r="O248" s="1779"/>
      <c r="P248" s="1779"/>
      <c r="Q248" s="1779"/>
      <c r="R248" s="1779"/>
      <c r="S248" s="1779"/>
      <c r="T248" s="1779"/>
      <c r="U248" s="1779"/>
      <c r="V248" s="1779"/>
      <c r="W248" s="1779"/>
      <c r="X248" s="1779"/>
      <c r="Y248" s="1779"/>
      <c r="Z248" s="1779"/>
      <c r="AA248" s="1779"/>
      <c r="AB248" s="1779"/>
      <c r="AC248" s="1779"/>
    </row>
    <row r="249" spans="1:29">
      <c r="A249" s="1779"/>
      <c r="B249" s="1779"/>
      <c r="C249" s="1779"/>
      <c r="D249" s="1779"/>
      <c r="E249" s="1779"/>
      <c r="F249" s="1779"/>
      <c r="G249" s="1779"/>
      <c r="H249" s="1779"/>
      <c r="I249" s="1779"/>
      <c r="J249" s="1779"/>
      <c r="K249" s="1780"/>
      <c r="L249" s="1781"/>
      <c r="M249" s="1779"/>
      <c r="N249" s="1779"/>
      <c r="O249" s="1779"/>
      <c r="P249" s="1779"/>
      <c r="Q249" s="1779"/>
      <c r="R249" s="1779"/>
      <c r="S249" s="1779"/>
      <c r="T249" s="1779"/>
      <c r="U249" s="1779"/>
      <c r="V249" s="1779"/>
      <c r="W249" s="1779"/>
      <c r="X249" s="1779"/>
      <c r="Y249" s="1779"/>
      <c r="Z249" s="1779"/>
      <c r="AA249" s="1779"/>
      <c r="AB249" s="1779"/>
      <c r="AC249" s="1779"/>
    </row>
    <row r="250" spans="1:29">
      <c r="A250" s="1779"/>
      <c r="B250" s="1779"/>
      <c r="C250" s="1779"/>
      <c r="D250" s="1779"/>
      <c r="E250" s="1779"/>
      <c r="F250" s="1779"/>
      <c r="G250" s="1779"/>
      <c r="H250" s="1779"/>
      <c r="I250" s="1779"/>
      <c r="J250" s="1779"/>
      <c r="K250" s="1780"/>
      <c r="L250" s="1781"/>
      <c r="M250" s="1779"/>
      <c r="N250" s="1779"/>
      <c r="O250" s="1779"/>
      <c r="P250" s="1779"/>
      <c r="Q250" s="1779"/>
      <c r="R250" s="1779"/>
      <c r="S250" s="1779"/>
      <c r="T250" s="1779"/>
      <c r="U250" s="1779"/>
      <c r="V250" s="1779"/>
      <c r="W250" s="1779"/>
      <c r="X250" s="1779"/>
      <c r="Y250" s="1779"/>
      <c r="Z250" s="1779"/>
      <c r="AA250" s="1779"/>
      <c r="AB250" s="1779"/>
      <c r="AC250" s="1779"/>
    </row>
    <row r="251" spans="1:29">
      <c r="A251" s="1779"/>
      <c r="B251" s="1779"/>
      <c r="C251" s="1779"/>
      <c r="D251" s="1779"/>
      <c r="E251" s="1779"/>
      <c r="F251" s="1779"/>
      <c r="G251" s="1779"/>
      <c r="H251" s="1779"/>
      <c r="I251" s="1779"/>
      <c r="J251" s="1779"/>
      <c r="K251" s="1780"/>
      <c r="L251" s="1781"/>
      <c r="M251" s="1779"/>
      <c r="N251" s="1779"/>
      <c r="O251" s="1779"/>
      <c r="P251" s="1779"/>
      <c r="Q251" s="1779"/>
      <c r="R251" s="1779"/>
      <c r="S251" s="1779"/>
      <c r="T251" s="1779"/>
      <c r="U251" s="1779"/>
      <c r="V251" s="1779"/>
      <c r="W251" s="1779"/>
      <c r="X251" s="1779"/>
      <c r="Y251" s="1779"/>
      <c r="Z251" s="1779"/>
      <c r="AA251" s="1779"/>
      <c r="AB251" s="1779"/>
      <c r="AC251" s="1779"/>
    </row>
    <row r="252" spans="1:29">
      <c r="A252" s="1779"/>
      <c r="B252" s="1779"/>
      <c r="C252" s="1779"/>
      <c r="D252" s="1779"/>
      <c r="E252" s="1779"/>
      <c r="F252" s="1779"/>
      <c r="G252" s="1779"/>
      <c r="H252" s="1779"/>
      <c r="I252" s="1779"/>
      <c r="J252" s="1779"/>
      <c r="K252" s="1780"/>
      <c r="L252" s="1781"/>
      <c r="M252" s="1779"/>
      <c r="N252" s="1779"/>
      <c r="O252" s="1779"/>
      <c r="P252" s="1779"/>
      <c r="Q252" s="1779"/>
      <c r="R252" s="1779"/>
      <c r="S252" s="1779"/>
      <c r="T252" s="1779"/>
      <c r="U252" s="1779"/>
      <c r="V252" s="1779"/>
      <c r="W252" s="1779"/>
      <c r="X252" s="1779"/>
      <c r="Y252" s="1779"/>
      <c r="Z252" s="1779"/>
      <c r="AA252" s="1779"/>
      <c r="AB252" s="1779"/>
      <c r="AC252" s="1779"/>
    </row>
    <row r="253" spans="1:29">
      <c r="A253" s="1779"/>
      <c r="B253" s="1779"/>
      <c r="C253" s="1779"/>
      <c r="D253" s="1779"/>
      <c r="E253" s="1779"/>
      <c r="F253" s="1779"/>
      <c r="G253" s="1779"/>
      <c r="H253" s="1779"/>
      <c r="I253" s="1779"/>
      <c r="J253" s="1779"/>
      <c r="K253" s="1780"/>
      <c r="L253" s="1781"/>
      <c r="M253" s="1779"/>
      <c r="N253" s="1779"/>
      <c r="O253" s="1779"/>
      <c r="P253" s="1779"/>
      <c r="Q253" s="1779"/>
      <c r="R253" s="1779"/>
      <c r="S253" s="1779"/>
      <c r="T253" s="1779"/>
      <c r="U253" s="1779"/>
      <c r="V253" s="1779"/>
      <c r="W253" s="1779"/>
      <c r="X253" s="1779"/>
      <c r="Y253" s="1779"/>
      <c r="Z253" s="1779"/>
      <c r="AA253" s="1779"/>
      <c r="AB253" s="1779"/>
      <c r="AC253" s="1779"/>
    </row>
    <row r="254" spans="1:29">
      <c r="A254" s="1779"/>
      <c r="B254" s="1779"/>
      <c r="C254" s="1779"/>
      <c r="D254" s="1779"/>
      <c r="E254" s="1779"/>
      <c r="F254" s="1779"/>
      <c r="G254" s="1779"/>
      <c r="H254" s="1779"/>
      <c r="I254" s="1779"/>
      <c r="J254" s="1779"/>
      <c r="K254" s="1780"/>
      <c r="L254" s="1781"/>
      <c r="M254" s="1779"/>
      <c r="N254" s="1779"/>
      <c r="O254" s="1779"/>
      <c r="P254" s="1779"/>
      <c r="Q254" s="1779"/>
      <c r="R254" s="1779"/>
      <c r="S254" s="1779"/>
      <c r="T254" s="1779"/>
      <c r="U254" s="1779"/>
      <c r="V254" s="1779"/>
      <c r="W254" s="1779"/>
      <c r="X254" s="1779"/>
      <c r="Y254" s="1779"/>
      <c r="Z254" s="1779"/>
      <c r="AA254" s="1779"/>
      <c r="AB254" s="1779"/>
      <c r="AC254" s="1779"/>
    </row>
    <row r="255" spans="1:29">
      <c r="A255" s="1779"/>
      <c r="B255" s="1779"/>
      <c r="C255" s="1779"/>
      <c r="D255" s="1779"/>
      <c r="E255" s="1779"/>
      <c r="F255" s="1779"/>
      <c r="G255" s="1779"/>
      <c r="H255" s="1779"/>
      <c r="I255" s="1779"/>
      <c r="J255" s="1779"/>
      <c r="K255" s="1780"/>
      <c r="L255" s="1781"/>
      <c r="M255" s="1779"/>
      <c r="N255" s="1779"/>
      <c r="O255" s="1779"/>
      <c r="P255" s="1779"/>
      <c r="Q255" s="1779"/>
      <c r="R255" s="1779"/>
      <c r="S255" s="1779"/>
      <c r="T255" s="1779"/>
      <c r="U255" s="1779"/>
      <c r="V255" s="1779"/>
      <c r="W255" s="1779"/>
      <c r="X255" s="1779"/>
      <c r="Y255" s="1779"/>
      <c r="Z255" s="1779"/>
      <c r="AA255" s="1779"/>
      <c r="AB255" s="1779"/>
      <c r="AC255" s="1779"/>
    </row>
    <row r="256" spans="1:29">
      <c r="A256" s="1779"/>
      <c r="B256" s="1779"/>
      <c r="C256" s="1779"/>
      <c r="D256" s="1779"/>
      <c r="E256" s="1779"/>
      <c r="F256" s="1779"/>
      <c r="G256" s="1779"/>
      <c r="H256" s="1779"/>
      <c r="I256" s="1779"/>
      <c r="J256" s="1779"/>
      <c r="K256" s="1780"/>
      <c r="L256" s="1781"/>
      <c r="M256" s="1779"/>
      <c r="N256" s="1779"/>
      <c r="O256" s="1779"/>
      <c r="P256" s="1779"/>
      <c r="Q256" s="1779"/>
      <c r="R256" s="1779"/>
      <c r="S256" s="1779"/>
      <c r="T256" s="1779"/>
      <c r="U256" s="1779"/>
      <c r="V256" s="1779"/>
      <c r="W256" s="1779"/>
      <c r="X256" s="1779"/>
      <c r="Y256" s="1779"/>
      <c r="Z256" s="1779"/>
      <c r="AA256" s="1779"/>
      <c r="AB256" s="1779"/>
      <c r="AC256" s="1779"/>
    </row>
    <row r="257" spans="1:29">
      <c r="A257" s="1779"/>
      <c r="B257" s="1779"/>
      <c r="C257" s="1779"/>
      <c r="D257" s="1779"/>
      <c r="E257" s="1779"/>
      <c r="F257" s="1779"/>
      <c r="G257" s="1779"/>
      <c r="H257" s="1779"/>
      <c r="I257" s="1779"/>
      <c r="J257" s="1779"/>
      <c r="K257" s="1780"/>
      <c r="L257" s="1781"/>
      <c r="M257" s="1779"/>
      <c r="N257" s="1779"/>
      <c r="O257" s="1779"/>
      <c r="P257" s="1779"/>
      <c r="Q257" s="1779"/>
      <c r="R257" s="1779"/>
      <c r="S257" s="1779"/>
      <c r="T257" s="1779"/>
      <c r="U257" s="1779"/>
      <c r="V257" s="1779"/>
      <c r="W257" s="1779"/>
      <c r="X257" s="1779"/>
      <c r="Y257" s="1779"/>
      <c r="Z257" s="1779"/>
      <c r="AA257" s="1779"/>
      <c r="AB257" s="1779"/>
      <c r="AC257" s="1779"/>
    </row>
    <row r="258" spans="1:29">
      <c r="A258" s="1779"/>
      <c r="B258" s="1779"/>
      <c r="C258" s="1779"/>
      <c r="D258" s="1779"/>
      <c r="E258" s="1779"/>
      <c r="F258" s="1779"/>
      <c r="G258" s="1779"/>
      <c r="H258" s="1779"/>
      <c r="I258" s="1779"/>
      <c r="J258" s="1779"/>
      <c r="K258" s="1780"/>
      <c r="L258" s="1781"/>
      <c r="M258" s="1779"/>
      <c r="N258" s="1779"/>
      <c r="O258" s="1779"/>
      <c r="P258" s="1779"/>
      <c r="Q258" s="1779"/>
      <c r="R258" s="1779"/>
      <c r="S258" s="1779"/>
      <c r="T258" s="1779"/>
      <c r="U258" s="1779"/>
      <c r="V258" s="1779"/>
      <c r="W258" s="1779"/>
      <c r="X258" s="1779"/>
      <c r="Y258" s="1779"/>
      <c r="Z258" s="1779"/>
      <c r="AA258" s="1779"/>
      <c r="AB258" s="1779"/>
      <c r="AC258" s="1779"/>
    </row>
    <row r="259" spans="1:29">
      <c r="A259" s="1779"/>
      <c r="B259" s="1779"/>
      <c r="C259" s="1779"/>
      <c r="D259" s="1779"/>
      <c r="E259" s="1779"/>
      <c r="F259" s="1779"/>
      <c r="G259" s="1779"/>
      <c r="H259" s="1779"/>
      <c r="I259" s="1779"/>
      <c r="J259" s="1779"/>
      <c r="K259" s="1780"/>
      <c r="L259" s="1781"/>
      <c r="M259" s="1779"/>
      <c r="N259" s="1779"/>
      <c r="O259" s="1779"/>
      <c r="P259" s="1779"/>
      <c r="Q259" s="1779"/>
      <c r="R259" s="1779"/>
      <c r="S259" s="1779"/>
      <c r="T259" s="1779"/>
      <c r="U259" s="1779"/>
      <c r="V259" s="1779"/>
      <c r="W259" s="1779"/>
      <c r="X259" s="1779"/>
      <c r="Y259" s="1779"/>
      <c r="Z259" s="1779"/>
      <c r="AA259" s="1779"/>
      <c r="AB259" s="1779"/>
      <c r="AC259" s="1779"/>
    </row>
    <row r="260" spans="1:29">
      <c r="A260" s="1779"/>
      <c r="B260" s="1779"/>
      <c r="C260" s="1779"/>
      <c r="D260" s="1779"/>
      <c r="E260" s="1779"/>
      <c r="F260" s="1779"/>
      <c r="G260" s="1779"/>
      <c r="H260" s="1779"/>
      <c r="I260" s="1779"/>
      <c r="J260" s="1779"/>
      <c r="K260" s="1780"/>
      <c r="L260" s="1781"/>
      <c r="M260" s="1779"/>
      <c r="N260" s="1779"/>
      <c r="O260" s="1779"/>
      <c r="P260" s="1779"/>
      <c r="Q260" s="1779"/>
      <c r="R260" s="1779"/>
      <c r="S260" s="1779"/>
      <c r="T260" s="1779"/>
      <c r="U260" s="1779"/>
      <c r="V260" s="1779"/>
      <c r="W260" s="1779"/>
      <c r="X260" s="1779"/>
      <c r="Y260" s="1779"/>
      <c r="Z260" s="1779"/>
      <c r="AA260" s="1779"/>
      <c r="AB260" s="1779"/>
      <c r="AC260" s="1779"/>
    </row>
    <row r="261" spans="1:29">
      <c r="A261" s="1779"/>
      <c r="B261" s="1779"/>
      <c r="C261" s="1779"/>
      <c r="D261" s="1779"/>
      <c r="E261" s="1779"/>
      <c r="F261" s="1779"/>
      <c r="G261" s="1779"/>
      <c r="H261" s="1779"/>
      <c r="I261" s="1779"/>
      <c r="J261" s="1779"/>
      <c r="K261" s="1780"/>
      <c r="L261" s="1781"/>
      <c r="M261" s="1779"/>
      <c r="N261" s="1779"/>
      <c r="O261" s="1779"/>
      <c r="P261" s="1779"/>
      <c r="Q261" s="1779"/>
      <c r="R261" s="1779"/>
      <c r="S261" s="1779"/>
      <c r="T261" s="1779"/>
      <c r="U261" s="1779"/>
      <c r="V261" s="1779"/>
      <c r="W261" s="1779"/>
      <c r="X261" s="1779"/>
      <c r="Y261" s="1779"/>
      <c r="Z261" s="1779"/>
      <c r="AA261" s="1779"/>
      <c r="AB261" s="1779"/>
      <c r="AC261" s="1779"/>
    </row>
  </sheetData>
  <sheetProtection formatCells="0" formatColumns="0" formatRows="0"/>
  <mergeCells count="41">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P45:Q45"/>
    <mergeCell ref="R45:W45"/>
    <mergeCell ref="P44:Q44"/>
    <mergeCell ref="R44:S44"/>
    <mergeCell ref="T44:U44"/>
    <mergeCell ref="V44:W44"/>
  </mergeCells>
  <phoneticPr fontId="28" type="noConversion"/>
  <conditionalFormatting sqref="E48">
    <cfRule type="expression" dxfId="108" priority="13" stopIfTrue="1">
      <formula>$F$48="超过30%"</formula>
    </cfRule>
  </conditionalFormatting>
  <conditionalFormatting sqref="E49">
    <cfRule type="expression" dxfId="107" priority="51" stopIfTrue="1">
      <formula>#REF!+$F$49="超过20%"</formula>
    </cfRule>
  </conditionalFormatting>
  <conditionalFormatting sqref="E50">
    <cfRule type="expression" dxfId="106" priority="10" stopIfTrue="1">
      <formula>$F$50="超过30%"</formula>
    </cfRule>
  </conditionalFormatting>
  <conditionalFormatting sqref="F9:F42 H9:H42 J9:J42">
    <cfRule type="cellIs" dxfId="105" priority="1" operator="notEqual">
      <formula>100</formula>
    </cfRule>
  </conditionalFormatting>
  <conditionalFormatting sqref="F44">
    <cfRule type="expression" dxfId="104" priority="4">
      <formula>$D$44="简单平均"</formula>
    </cfRule>
  </conditionalFormatting>
  <conditionalFormatting sqref="F48:F50 H48:H50 J48:J50">
    <cfRule type="containsText" dxfId="103" priority="14" stopIfTrue="1" operator="containsText" text="超过">
      <formula>NOT(ISERROR(SEARCH("超过",F48)))</formula>
    </cfRule>
  </conditionalFormatting>
  <conditionalFormatting sqref="G48">
    <cfRule type="expression" dxfId="102" priority="9" stopIfTrue="1">
      <formula>$H$48="超过30%"</formula>
    </cfRule>
  </conditionalFormatting>
  <conditionalFormatting sqref="G49">
    <cfRule type="expression" dxfId="101" priority="8" stopIfTrue="1">
      <formula>$H$49="超过20%"</formula>
    </cfRule>
  </conditionalFormatting>
  <conditionalFormatting sqref="G50">
    <cfRule type="expression" dxfId="100" priority="12" stopIfTrue="1">
      <formula>$H$50="超过30%"</formula>
    </cfRule>
  </conditionalFormatting>
  <conditionalFormatting sqref="H44">
    <cfRule type="expression" dxfId="99" priority="3">
      <formula>$D$44="简单平均"</formula>
    </cfRule>
  </conditionalFormatting>
  <conditionalFormatting sqref="I48">
    <cfRule type="expression" dxfId="98" priority="7" stopIfTrue="1">
      <formula>$J$48="超过30%"</formula>
    </cfRule>
  </conditionalFormatting>
  <conditionalFormatting sqref="I49">
    <cfRule type="expression" dxfId="97" priority="6" stopIfTrue="1">
      <formula>$J$49="超过20%"</formula>
    </cfRule>
  </conditionalFormatting>
  <conditionalFormatting sqref="I50">
    <cfRule type="expression" dxfId="96" priority="5" stopIfTrue="1">
      <formula>$J$50="超过30%"</formula>
    </cfRule>
  </conditionalFormatting>
  <conditionalFormatting sqref="J44">
    <cfRule type="expression" dxfId="95" priority="2">
      <formula>$D$44="简单平均"</formula>
    </cfRule>
  </conditionalFormatting>
  <dataValidations count="20">
    <dataValidation type="list" allowBlank="1" showInputMessage="1" showErrorMessage="1" sqref="B43" xr:uid="{00000000-0002-0000-1400-000000000000}">
      <formula1>单价内涵</formula1>
    </dataValidation>
    <dataValidation type="list" allowBlank="1" showInputMessage="1" showErrorMessage="1" sqref="C24 E24 G24 I24" xr:uid="{00000000-0002-0000-1400-000001000000}">
      <formula1>环境</formula1>
    </dataValidation>
    <dataValidation type="list" allowBlank="1" showInputMessage="1" showErrorMessage="1" sqref="E20 C20 G20 I20" xr:uid="{00000000-0002-0000-1400-000002000000}">
      <formula1>交通便捷度</formula1>
    </dataValidation>
    <dataValidation type="list" allowBlank="1" showInputMessage="1" showErrorMessage="1" sqref="E26 C26 I26 G26" xr:uid="{00000000-0002-0000-1400-000003000000}">
      <formula1>公共配套设施</formula1>
    </dataValidation>
    <dataValidation type="list" allowBlank="1" showInputMessage="1" showErrorMessage="1" sqref="C10 E10 G10 I10" xr:uid="{00000000-0002-0000-1400-000004000000}">
      <formula1>套工交易情况</formula1>
    </dataValidation>
    <dataValidation type="list" allowBlank="1" showInputMessage="1" showErrorMessage="1" sqref="C11 G11 E11 I11" xr:uid="{00000000-0002-0000-1400-000005000000}">
      <formula1>套工用途</formula1>
    </dataValidation>
    <dataValidation type="list" allowBlank="1" showInputMessage="1" showErrorMessage="1" sqref="I32 E32 G32" xr:uid="{00000000-0002-0000-1400-000006000000}">
      <formula1>套工土地级别</formula1>
    </dataValidation>
    <dataValidation type="list" allowBlank="1" showInputMessage="1" showErrorMessage="1" sqref="C29 E29 G29 I29" xr:uid="{00000000-0002-0000-1400-000007000000}">
      <formula1>临街状况</formula1>
    </dataValidation>
    <dataValidation type="list" allowBlank="1" showInputMessage="1" showErrorMessage="1" sqref="G22 C22 E22 I22" xr:uid="{00000000-0002-0000-1400-000008000000}">
      <formula1>区域土地利用方向</formula1>
    </dataValidation>
    <dataValidation type="list" allowBlank="1" showInputMessage="1" showErrorMessage="1" sqref="C52" xr:uid="{00000000-0002-0000-1400-000009000000}">
      <formula1>"北京市系数,其他省市系数"</formula1>
    </dataValidation>
    <dataValidation type="list" allowBlank="1" showInputMessage="1" showErrorMessage="1" sqref="G58" xr:uid="{00000000-0002-0000-1400-00000A000000}">
      <formula1>"商业,办公,住宅,工业"</formula1>
    </dataValidation>
    <dataValidation type="list" allowBlank="1" showInputMessage="1" showErrorMessage="1" sqref="G59" xr:uid="{00000000-0002-0000-1400-00000B000000}">
      <formula1>"住宅,工业"</formula1>
    </dataValidation>
    <dataValidation type="list" allowBlank="1" showInputMessage="1" showErrorMessage="1" sqref="C18 E18 G18 I18" xr:uid="{00000000-0002-0000-1400-00000C000000}">
      <formula1>产业集聚程度</formula1>
    </dataValidation>
    <dataValidation type="list" allowBlank="1" showInputMessage="1" showErrorMessage="1" sqref="C28 E28 G28 I28" xr:uid="{00000000-0002-0000-1400-00000D000000}">
      <formula1>基础设施水平</formula1>
    </dataValidation>
    <dataValidation type="list" allowBlank="1" showInputMessage="1" showErrorMessage="1" sqref="C31 E31 G31 I31" xr:uid="{00000000-0002-0000-1400-00000E000000}">
      <formula1>套工临街等级</formula1>
    </dataValidation>
    <dataValidation type="list" allowBlank="1" showInputMessage="1" showErrorMessage="1" sqref="C37 G37 E37 I37" xr:uid="{00000000-0002-0000-1400-00000F000000}">
      <formula1>套工宗地形状</formula1>
    </dataValidation>
    <dataValidation type="list" allowBlank="1" showInputMessage="1" showErrorMessage="1" sqref="C38 E38 G38 I38" xr:uid="{00000000-0002-0000-1400-000010000000}">
      <formula1>套工开发程度</formula1>
    </dataValidation>
    <dataValidation type="list" allowBlank="1" showInputMessage="1" showErrorMessage="1" sqref="C39 E39 G39 I39" xr:uid="{00000000-0002-0000-1400-000011000000}">
      <formula1>套工工程地质条件</formula1>
    </dataValidation>
    <dataValidation type="list" allowBlank="1" showInputMessage="1" showErrorMessage="1" sqref="D44" xr:uid="{00000000-0002-0000-1400-000012000000}">
      <formula1>"简单平均,加权平均"</formula1>
    </dataValidation>
    <dataValidation type="list" allowBlank="1" showInputMessage="1" showErrorMessage="1" sqref="D54:D61" xr:uid="{00000000-0002-0000-1400-000013000000}">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2088F7-3129-4A0F-97F3-AF1A3278E988}">
  <dimension ref="A1:XDY18"/>
  <sheetViews>
    <sheetView topLeftCell="A13" workbookViewId="0">
      <selection activeCell="H21" sqref="H21"/>
    </sheetView>
  </sheetViews>
  <sheetFormatPr defaultRowHeight="13.5"/>
  <cols>
    <col min="8" max="11" width="16.25" customWidth="1"/>
    <col min="12" max="15" width="11.625" customWidth="1"/>
    <col min="16" max="16" width="34.375" customWidth="1"/>
    <col min="18" max="18" width="11.375" customWidth="1"/>
  </cols>
  <sheetData>
    <row r="1" spans="1:16353">
      <c r="A1" s="3714" t="s">
        <v>3357</v>
      </c>
      <c r="B1" s="3714" t="s">
        <v>3358</v>
      </c>
      <c r="C1" s="3717" t="s">
        <v>3359</v>
      </c>
      <c r="D1" s="3714" t="s">
        <v>3360</v>
      </c>
      <c r="E1" s="3714" t="s">
        <v>3281</v>
      </c>
      <c r="F1" s="3713" t="s">
        <v>3292</v>
      </c>
      <c r="G1" s="3714" t="s">
        <v>3361</v>
      </c>
      <c r="H1" s="3714" t="s">
        <v>3362</v>
      </c>
      <c r="I1" s="3713" t="s">
        <v>3363</v>
      </c>
      <c r="J1" s="3714" t="s">
        <v>3364</v>
      </c>
      <c r="K1" s="3714" t="s">
        <v>3365</v>
      </c>
      <c r="L1" s="3716" t="s">
        <v>3366</v>
      </c>
      <c r="M1" s="3716"/>
      <c r="N1" s="3713" t="s">
        <v>3367</v>
      </c>
      <c r="O1" s="3713" t="s">
        <v>3368</v>
      </c>
      <c r="P1" s="3715" t="s">
        <v>3369</v>
      </c>
      <c r="Q1" s="3713" t="s">
        <v>3370</v>
      </c>
      <c r="R1" s="2235"/>
      <c r="S1" s="2235"/>
      <c r="T1" s="2235"/>
      <c r="U1" s="2235"/>
      <c r="V1" s="2235"/>
      <c r="W1" s="2235"/>
      <c r="X1" s="2235"/>
      <c r="Y1" s="2235"/>
      <c r="Z1" s="2235"/>
      <c r="AA1" s="2235"/>
      <c r="AB1" s="2235"/>
      <c r="AC1" s="2235"/>
      <c r="AD1" s="2235"/>
      <c r="AE1" s="2235"/>
      <c r="AF1" s="2235"/>
      <c r="AG1" s="2235"/>
      <c r="AH1" s="2235"/>
      <c r="AI1" s="2235"/>
      <c r="AJ1" s="2235"/>
      <c r="AK1" s="2235"/>
      <c r="AL1" s="2235"/>
      <c r="AM1" s="2235"/>
      <c r="AN1" s="2235"/>
      <c r="AO1" s="2235"/>
      <c r="AP1" s="2235"/>
      <c r="AQ1" s="2235"/>
      <c r="AR1" s="2235"/>
      <c r="AS1" s="2235"/>
      <c r="AT1" s="2235"/>
      <c r="AU1" s="2235"/>
      <c r="AV1" s="2235"/>
      <c r="AW1" s="2235"/>
      <c r="AX1" s="2235"/>
      <c r="AY1" s="2235"/>
      <c r="AZ1" s="2235"/>
      <c r="BA1" s="2235"/>
      <c r="BB1" s="2235"/>
      <c r="BC1" s="2235"/>
      <c r="BD1" s="2235"/>
      <c r="BE1" s="2235"/>
      <c r="BF1" s="2235"/>
      <c r="BG1" s="2235"/>
      <c r="BH1" s="2235"/>
      <c r="BI1" s="2235"/>
      <c r="BJ1" s="2235"/>
      <c r="BK1" s="2235"/>
      <c r="BL1" s="2235"/>
      <c r="BM1" s="2235"/>
      <c r="BN1" s="2235"/>
      <c r="BO1" s="2235"/>
      <c r="BP1" s="2235"/>
      <c r="BQ1" s="2235"/>
      <c r="BR1" s="2235"/>
      <c r="BS1" s="2235"/>
      <c r="BT1" s="2235"/>
      <c r="BU1" s="2235"/>
      <c r="BV1" s="2235"/>
      <c r="BW1" s="2235"/>
      <c r="BX1" s="2235"/>
      <c r="BY1" s="2235"/>
      <c r="BZ1" s="2235"/>
      <c r="CA1" s="2235"/>
      <c r="CB1" s="2235"/>
      <c r="CC1" s="2235"/>
      <c r="CD1" s="2235"/>
      <c r="CE1" s="2235"/>
      <c r="CF1" s="2235"/>
      <c r="CG1" s="2235"/>
      <c r="CH1" s="2235"/>
      <c r="CI1" s="2235"/>
      <c r="CJ1" s="2235"/>
      <c r="CK1" s="2235"/>
      <c r="CL1" s="2235"/>
      <c r="CM1" s="2235"/>
      <c r="CN1" s="2235"/>
      <c r="CO1" s="2235"/>
      <c r="CP1" s="2235"/>
      <c r="CQ1" s="2235"/>
      <c r="CR1" s="2235"/>
      <c r="CS1" s="2235"/>
      <c r="CT1" s="2235"/>
      <c r="CU1" s="2235"/>
      <c r="CV1" s="2235"/>
      <c r="CW1" s="2235"/>
      <c r="CX1" s="2235"/>
      <c r="CY1" s="2235"/>
      <c r="CZ1" s="2235"/>
      <c r="DA1" s="2235"/>
      <c r="DB1" s="2235"/>
      <c r="DC1" s="2235"/>
      <c r="DD1" s="2235"/>
      <c r="DE1" s="2235"/>
      <c r="DF1" s="2235"/>
      <c r="DG1" s="2235"/>
      <c r="DH1" s="2235"/>
      <c r="DI1" s="2235"/>
      <c r="DJ1" s="2235"/>
      <c r="DK1" s="2235"/>
      <c r="DL1" s="2235"/>
      <c r="DM1" s="2235"/>
      <c r="DN1" s="2235"/>
      <c r="DO1" s="2235"/>
      <c r="DP1" s="2235"/>
      <c r="DQ1" s="2235"/>
      <c r="DR1" s="2235"/>
      <c r="DS1" s="2235"/>
      <c r="DT1" s="2235"/>
      <c r="DU1" s="2235"/>
      <c r="DV1" s="2235"/>
      <c r="DW1" s="2235"/>
      <c r="DX1" s="2235"/>
      <c r="DY1" s="2235"/>
      <c r="DZ1" s="2235"/>
      <c r="EA1" s="2235"/>
      <c r="EB1" s="2235"/>
      <c r="EC1" s="2235"/>
      <c r="ED1" s="2235"/>
      <c r="EE1" s="2235"/>
      <c r="EF1" s="2235"/>
      <c r="EG1" s="2235"/>
      <c r="EH1" s="2235"/>
      <c r="EI1" s="2235"/>
      <c r="EJ1" s="2235"/>
      <c r="EK1" s="2235"/>
      <c r="EL1" s="2235"/>
      <c r="EM1" s="2235"/>
      <c r="EN1" s="2235"/>
      <c r="EO1" s="2235"/>
      <c r="EP1" s="2235"/>
      <c r="EQ1" s="2235"/>
      <c r="ER1" s="2235"/>
      <c r="ES1" s="2235"/>
      <c r="ET1" s="2235"/>
      <c r="EU1" s="2235"/>
      <c r="EV1" s="2235"/>
      <c r="EW1" s="2235"/>
      <c r="EX1" s="2235"/>
      <c r="EY1" s="2235"/>
      <c r="EZ1" s="2235"/>
      <c r="FA1" s="2235"/>
      <c r="FB1" s="2235"/>
      <c r="FC1" s="2235"/>
      <c r="FD1" s="2235"/>
      <c r="FE1" s="2235"/>
      <c r="FF1" s="2235"/>
      <c r="FG1" s="2235"/>
      <c r="FH1" s="2235"/>
      <c r="FI1" s="2235"/>
      <c r="FJ1" s="2235"/>
      <c r="FK1" s="2235"/>
      <c r="FL1" s="2235"/>
      <c r="FM1" s="2235"/>
      <c r="FN1" s="2235"/>
      <c r="FO1" s="2235"/>
      <c r="FP1" s="2235"/>
      <c r="FQ1" s="2235"/>
      <c r="FR1" s="2235"/>
      <c r="FS1" s="2235"/>
      <c r="FT1" s="2235"/>
      <c r="FU1" s="2235"/>
      <c r="FV1" s="2235"/>
      <c r="FW1" s="2235"/>
      <c r="FX1" s="2235"/>
      <c r="FY1" s="2235"/>
      <c r="FZ1" s="2235"/>
      <c r="GA1" s="2235"/>
      <c r="GB1" s="2235"/>
      <c r="GC1" s="2235"/>
      <c r="GD1" s="2235"/>
      <c r="GE1" s="2235"/>
      <c r="GF1" s="2235"/>
      <c r="GG1" s="2235"/>
      <c r="GH1" s="2235"/>
      <c r="GI1" s="2235"/>
      <c r="GJ1" s="2235"/>
      <c r="GK1" s="2235"/>
      <c r="GL1" s="2235"/>
      <c r="GM1" s="2235"/>
      <c r="GN1" s="2235"/>
      <c r="GO1" s="2235"/>
      <c r="GP1" s="2235"/>
      <c r="GQ1" s="2235"/>
      <c r="GR1" s="2235"/>
      <c r="GS1" s="2235"/>
      <c r="GT1" s="2235"/>
      <c r="GU1" s="2235"/>
      <c r="GV1" s="2235"/>
      <c r="GW1" s="2235"/>
      <c r="GX1" s="2235"/>
      <c r="GY1" s="2235"/>
      <c r="GZ1" s="2235"/>
      <c r="HA1" s="2235"/>
      <c r="HB1" s="2235"/>
      <c r="HC1" s="2235"/>
      <c r="HD1" s="2235"/>
      <c r="HE1" s="2235"/>
      <c r="HF1" s="2235"/>
      <c r="HG1" s="2235"/>
      <c r="HH1" s="2235"/>
      <c r="HI1" s="2235"/>
      <c r="HJ1" s="2235"/>
      <c r="HK1" s="2235"/>
      <c r="HL1" s="2235"/>
      <c r="HM1" s="2235"/>
      <c r="HN1" s="2235"/>
      <c r="HO1" s="2235"/>
      <c r="HP1" s="2235"/>
      <c r="HQ1" s="2235"/>
      <c r="HR1" s="2235"/>
      <c r="HS1" s="2235"/>
      <c r="HT1" s="2235"/>
      <c r="HU1" s="2235"/>
      <c r="HV1" s="2235"/>
      <c r="HW1" s="2235"/>
      <c r="HX1" s="2235"/>
      <c r="HY1" s="2235"/>
      <c r="HZ1" s="2235"/>
      <c r="IA1" s="2235"/>
      <c r="IB1" s="2235"/>
      <c r="IC1" s="2235"/>
      <c r="ID1" s="2235"/>
      <c r="IE1" s="2235"/>
      <c r="IF1" s="2235"/>
      <c r="IG1" s="2235"/>
      <c r="IH1" s="2235"/>
      <c r="II1" s="2235"/>
      <c r="IJ1" s="2235"/>
      <c r="IK1" s="2235"/>
      <c r="IL1" s="2235"/>
      <c r="IM1" s="2235"/>
      <c r="IN1" s="2235"/>
      <c r="IO1" s="2235"/>
      <c r="IP1" s="2235"/>
      <c r="IQ1" s="2235"/>
      <c r="IR1" s="2235"/>
      <c r="IS1" s="2235"/>
      <c r="IT1" s="2235"/>
      <c r="IU1" s="2235"/>
      <c r="IV1" s="2235"/>
      <c r="IW1" s="2235"/>
      <c r="IX1" s="2235"/>
      <c r="IY1" s="2235"/>
      <c r="IZ1" s="2235"/>
      <c r="JA1" s="2235"/>
      <c r="JB1" s="2235"/>
      <c r="JC1" s="2235"/>
      <c r="JD1" s="2235"/>
      <c r="JE1" s="2235"/>
      <c r="JF1" s="2235"/>
      <c r="JG1" s="2235"/>
      <c r="JH1" s="2235"/>
      <c r="JI1" s="2235"/>
      <c r="JJ1" s="2235"/>
      <c r="JK1" s="2235"/>
      <c r="JL1" s="2235"/>
      <c r="JM1" s="2235"/>
      <c r="JN1" s="2235"/>
      <c r="JO1" s="2235"/>
      <c r="JP1" s="2235"/>
      <c r="JQ1" s="2235"/>
      <c r="JR1" s="2235"/>
      <c r="JS1" s="2235"/>
      <c r="JT1" s="2235"/>
      <c r="JU1" s="2235"/>
      <c r="JV1" s="2235"/>
      <c r="JW1" s="2235"/>
      <c r="JX1" s="2235"/>
      <c r="JY1" s="2235"/>
      <c r="JZ1" s="2235"/>
      <c r="KA1" s="2235"/>
      <c r="KB1" s="2235"/>
      <c r="KC1" s="2235"/>
      <c r="KD1" s="2235"/>
      <c r="KE1" s="2235"/>
      <c r="KF1" s="2235"/>
      <c r="KG1" s="2235"/>
      <c r="KH1" s="2235"/>
      <c r="KI1" s="2235"/>
      <c r="KJ1" s="2235"/>
      <c r="KK1" s="2235"/>
      <c r="KL1" s="2235"/>
      <c r="KM1" s="2235"/>
      <c r="KN1" s="2235"/>
      <c r="KO1" s="2235"/>
      <c r="KP1" s="2235"/>
      <c r="KQ1" s="2235"/>
      <c r="KR1" s="2235"/>
      <c r="KS1" s="2235"/>
      <c r="KT1" s="2235"/>
      <c r="KU1" s="2235"/>
      <c r="KV1" s="2235"/>
      <c r="KW1" s="2235"/>
      <c r="KX1" s="2235"/>
      <c r="KY1" s="2235"/>
      <c r="KZ1" s="2235"/>
      <c r="LA1" s="2235"/>
      <c r="LB1" s="2235"/>
      <c r="LC1" s="2235"/>
      <c r="LD1" s="2235"/>
      <c r="LE1" s="2235"/>
      <c r="LF1" s="2235"/>
      <c r="LG1" s="2235"/>
      <c r="LH1" s="2235"/>
      <c r="LI1" s="2235"/>
      <c r="LJ1" s="2235"/>
      <c r="LK1" s="2235"/>
      <c r="LL1" s="2235"/>
      <c r="LM1" s="2235"/>
      <c r="LN1" s="2235"/>
      <c r="LO1" s="2235"/>
      <c r="LP1" s="2235"/>
      <c r="LQ1" s="2235"/>
      <c r="LR1" s="2235"/>
      <c r="LS1" s="2235"/>
      <c r="LT1" s="2235"/>
      <c r="LU1" s="2235"/>
      <c r="LV1" s="2235"/>
      <c r="LW1" s="2235"/>
      <c r="LX1" s="2235"/>
      <c r="LY1" s="2235"/>
      <c r="LZ1" s="2235"/>
      <c r="MA1" s="2235"/>
      <c r="MB1" s="2235"/>
      <c r="MC1" s="2235"/>
      <c r="MD1" s="2235"/>
      <c r="ME1" s="2235"/>
      <c r="MF1" s="2235"/>
      <c r="MG1" s="2235"/>
      <c r="MH1" s="2235"/>
      <c r="MI1" s="2235"/>
      <c r="MJ1" s="2235"/>
      <c r="MK1" s="2235"/>
      <c r="ML1" s="2235"/>
      <c r="MM1" s="2235"/>
      <c r="MN1" s="2235"/>
      <c r="MO1" s="2235"/>
      <c r="MP1" s="2235"/>
      <c r="MQ1" s="2235"/>
      <c r="MR1" s="2235"/>
      <c r="MS1" s="2235"/>
      <c r="MT1" s="2235"/>
      <c r="MU1" s="2235"/>
      <c r="MV1" s="2235"/>
      <c r="MW1" s="2235"/>
      <c r="MX1" s="2235"/>
      <c r="MY1" s="2235"/>
      <c r="MZ1" s="2235"/>
      <c r="NA1" s="2235"/>
      <c r="NB1" s="2235"/>
      <c r="NC1" s="2235"/>
      <c r="ND1" s="2235"/>
      <c r="NE1" s="2235"/>
      <c r="NF1" s="2235"/>
      <c r="NG1" s="2235"/>
      <c r="NH1" s="2235"/>
      <c r="NI1" s="2235"/>
      <c r="NJ1" s="2235"/>
      <c r="NK1" s="2235"/>
      <c r="NL1" s="2235"/>
      <c r="NM1" s="2235"/>
      <c r="NN1" s="2235"/>
      <c r="NO1" s="2235"/>
      <c r="NP1" s="2235"/>
      <c r="NQ1" s="2235"/>
      <c r="NR1" s="2235"/>
      <c r="NS1" s="2235"/>
      <c r="NT1" s="2235"/>
      <c r="NU1" s="2235"/>
      <c r="NV1" s="2235"/>
      <c r="NW1" s="2235"/>
      <c r="NX1" s="2235"/>
      <c r="NY1" s="2235"/>
      <c r="NZ1" s="2235"/>
      <c r="OA1" s="2235"/>
      <c r="OB1" s="2235"/>
      <c r="OC1" s="2235"/>
      <c r="OD1" s="2235"/>
      <c r="OE1" s="2235"/>
      <c r="OF1" s="2235"/>
      <c r="OG1" s="2235"/>
      <c r="OH1" s="2235"/>
      <c r="OI1" s="2235"/>
      <c r="OJ1" s="2235"/>
      <c r="OK1" s="2235"/>
      <c r="OL1" s="2235"/>
      <c r="OM1" s="2235"/>
      <c r="ON1" s="2235"/>
      <c r="OO1" s="2235"/>
      <c r="OP1" s="2235"/>
      <c r="OQ1" s="2235"/>
      <c r="OR1" s="2235"/>
      <c r="OS1" s="2235"/>
      <c r="OT1" s="2235"/>
      <c r="OU1" s="2235"/>
      <c r="OV1" s="2235"/>
      <c r="OW1" s="2235"/>
      <c r="OX1" s="2235"/>
      <c r="OY1" s="2235"/>
      <c r="OZ1" s="2235"/>
      <c r="PA1" s="2235"/>
      <c r="PB1" s="2235"/>
      <c r="PC1" s="2235"/>
      <c r="PD1" s="2235"/>
      <c r="PE1" s="2235"/>
      <c r="PF1" s="2235"/>
      <c r="PG1" s="2235"/>
      <c r="PH1" s="2235"/>
      <c r="PI1" s="2235"/>
      <c r="PJ1" s="2235"/>
      <c r="PK1" s="2235"/>
      <c r="PL1" s="2235"/>
      <c r="PM1" s="2235"/>
      <c r="PN1" s="2235"/>
      <c r="PO1" s="2235"/>
      <c r="PP1" s="2235"/>
      <c r="PQ1" s="2235"/>
      <c r="PR1" s="2235"/>
      <c r="PS1" s="2235"/>
      <c r="PT1" s="2235"/>
      <c r="PU1" s="2235"/>
      <c r="PV1" s="2235"/>
      <c r="PW1" s="2235"/>
      <c r="PX1" s="2235"/>
      <c r="PY1" s="2235"/>
      <c r="PZ1" s="2235"/>
      <c r="QA1" s="2235"/>
      <c r="QB1" s="2235"/>
      <c r="QC1" s="2235"/>
      <c r="QD1" s="2235"/>
      <c r="QE1" s="2235"/>
      <c r="QF1" s="2235"/>
      <c r="QG1" s="2235"/>
      <c r="QH1" s="2235"/>
      <c r="QI1" s="2235"/>
      <c r="QJ1" s="2235"/>
      <c r="QK1" s="2235"/>
      <c r="QL1" s="2235"/>
      <c r="QM1" s="2235"/>
      <c r="QN1" s="2235"/>
      <c r="QO1" s="2235"/>
      <c r="QP1" s="2235"/>
      <c r="QQ1" s="2235"/>
      <c r="QR1" s="2235"/>
      <c r="QS1" s="2235"/>
      <c r="QT1" s="2235"/>
      <c r="QU1" s="2235"/>
      <c r="QV1" s="2235"/>
      <c r="QW1" s="2235"/>
      <c r="QX1" s="2235"/>
      <c r="QY1" s="2235"/>
      <c r="QZ1" s="2235"/>
      <c r="RA1" s="2235"/>
      <c r="RB1" s="2235"/>
      <c r="RC1" s="2235"/>
      <c r="RD1" s="2235"/>
      <c r="RE1" s="2235"/>
      <c r="RF1" s="2235"/>
      <c r="RG1" s="2235"/>
      <c r="RH1" s="2235"/>
      <c r="RI1" s="2235"/>
      <c r="RJ1" s="2235"/>
      <c r="RK1" s="2235"/>
      <c r="RL1" s="2235"/>
      <c r="RM1" s="2235"/>
      <c r="RN1" s="2235"/>
      <c r="RO1" s="2235"/>
      <c r="RP1" s="2235"/>
      <c r="RQ1" s="2235"/>
      <c r="RR1" s="2235"/>
      <c r="RS1" s="2235"/>
      <c r="RT1" s="2235"/>
      <c r="RU1" s="2235"/>
      <c r="RV1" s="2235"/>
      <c r="RW1" s="2235"/>
      <c r="RX1" s="2235"/>
      <c r="RY1" s="2235"/>
      <c r="RZ1" s="2235"/>
      <c r="SA1" s="2235"/>
      <c r="SB1" s="2235"/>
      <c r="SC1" s="2235"/>
      <c r="SD1" s="2235"/>
      <c r="SE1" s="2235"/>
      <c r="SF1" s="2235"/>
      <c r="SG1" s="2235"/>
      <c r="SH1" s="2235"/>
      <c r="SI1" s="2235"/>
      <c r="SJ1" s="2235"/>
      <c r="SK1" s="2235"/>
      <c r="SL1" s="2235"/>
      <c r="SM1" s="2235"/>
      <c r="SN1" s="2235"/>
      <c r="SO1" s="2235"/>
      <c r="SP1" s="2235"/>
      <c r="SQ1" s="2235"/>
      <c r="SR1" s="2235"/>
      <c r="SS1" s="2235"/>
      <c r="ST1" s="2235"/>
      <c r="SU1" s="2235"/>
      <c r="SV1" s="2235"/>
      <c r="SW1" s="2235"/>
      <c r="SX1" s="2235"/>
      <c r="SY1" s="2235"/>
      <c r="SZ1" s="2235"/>
      <c r="TA1" s="2235"/>
      <c r="TB1" s="2235"/>
      <c r="TC1" s="2235"/>
      <c r="TD1" s="2235"/>
      <c r="TE1" s="2235"/>
      <c r="TF1" s="2235"/>
      <c r="TG1" s="2235"/>
      <c r="TH1" s="2235"/>
      <c r="TI1" s="2235"/>
      <c r="TJ1" s="2235"/>
      <c r="TK1" s="2235"/>
      <c r="TL1" s="2235"/>
      <c r="TM1" s="2235"/>
      <c r="TN1" s="2235"/>
      <c r="TO1" s="2235"/>
      <c r="TP1" s="2235"/>
      <c r="TQ1" s="2235"/>
      <c r="TR1" s="2235"/>
      <c r="TS1" s="2235"/>
      <c r="TT1" s="2235"/>
      <c r="TU1" s="2235"/>
      <c r="TV1" s="2235"/>
      <c r="TW1" s="2235"/>
      <c r="TX1" s="2235"/>
      <c r="TY1" s="2235"/>
      <c r="TZ1" s="2235"/>
      <c r="UA1" s="2235"/>
      <c r="UB1" s="2235"/>
      <c r="UC1" s="2235"/>
      <c r="UD1" s="2235"/>
      <c r="UE1" s="2235"/>
      <c r="UF1" s="2235"/>
      <c r="UG1" s="2235"/>
      <c r="UH1" s="2235"/>
      <c r="UI1" s="2235"/>
      <c r="UJ1" s="2235"/>
      <c r="UK1" s="2235"/>
      <c r="UL1" s="2235"/>
      <c r="UM1" s="2235"/>
      <c r="UN1" s="2235"/>
      <c r="UO1" s="2235"/>
      <c r="UP1" s="2235"/>
      <c r="UQ1" s="2235"/>
      <c r="UR1" s="2235"/>
      <c r="US1" s="2235"/>
      <c r="UT1" s="2235"/>
      <c r="UU1" s="2235"/>
      <c r="UV1" s="2235"/>
      <c r="UW1" s="2235"/>
      <c r="UX1" s="2235"/>
      <c r="UY1" s="2235"/>
      <c r="UZ1" s="2235"/>
      <c r="VA1" s="2235"/>
      <c r="VB1" s="2235"/>
      <c r="VC1" s="2235"/>
      <c r="VD1" s="2235"/>
      <c r="VE1" s="2235"/>
      <c r="VF1" s="2235"/>
      <c r="VG1" s="2235"/>
      <c r="VH1" s="2235"/>
      <c r="VI1" s="2235"/>
      <c r="VJ1" s="2235"/>
      <c r="VK1" s="2235"/>
      <c r="VL1" s="2235"/>
      <c r="VM1" s="2235"/>
      <c r="VN1" s="2235"/>
      <c r="VO1" s="2235"/>
      <c r="VP1" s="2235"/>
      <c r="VQ1" s="2235"/>
      <c r="VR1" s="2235"/>
      <c r="VS1" s="2235"/>
      <c r="VT1" s="2235"/>
      <c r="VU1" s="2235"/>
      <c r="VV1" s="2235"/>
      <c r="VW1" s="2235"/>
      <c r="VX1" s="2235"/>
      <c r="VY1" s="2235"/>
      <c r="VZ1" s="2235"/>
      <c r="WA1" s="2235"/>
      <c r="WB1" s="2235"/>
      <c r="WC1" s="2235"/>
      <c r="WD1" s="2235"/>
      <c r="WE1" s="2235"/>
      <c r="WF1" s="2235"/>
      <c r="WG1" s="2235"/>
      <c r="WH1" s="2235"/>
      <c r="WI1" s="2235"/>
      <c r="WJ1" s="2235"/>
      <c r="WK1" s="2235"/>
      <c r="WL1" s="2235"/>
      <c r="WM1" s="2235"/>
      <c r="WN1" s="2235"/>
      <c r="WO1" s="2235"/>
      <c r="WP1" s="2235"/>
      <c r="WQ1" s="2235"/>
      <c r="WR1" s="2235"/>
      <c r="WS1" s="2235"/>
      <c r="WT1" s="2235"/>
      <c r="WU1" s="2235"/>
      <c r="WV1" s="2235"/>
      <c r="WW1" s="2235"/>
      <c r="WX1" s="2235"/>
      <c r="WY1" s="2235"/>
      <c r="WZ1" s="2235"/>
      <c r="XA1" s="2235"/>
      <c r="XB1" s="2235"/>
      <c r="XC1" s="2235"/>
      <c r="XD1" s="2235"/>
      <c r="XE1" s="2235"/>
      <c r="XF1" s="2235"/>
      <c r="XG1" s="2235"/>
      <c r="XH1" s="2235"/>
      <c r="XI1" s="2235"/>
      <c r="XJ1" s="2235"/>
      <c r="XK1" s="2235"/>
      <c r="XL1" s="2235"/>
      <c r="XM1" s="2235"/>
      <c r="XN1" s="2235"/>
      <c r="XO1" s="2235"/>
      <c r="XP1" s="2235"/>
      <c r="XQ1" s="2235"/>
      <c r="XR1" s="2235"/>
      <c r="XS1" s="2235"/>
      <c r="XT1" s="2235"/>
      <c r="XU1" s="2235"/>
      <c r="XV1" s="2235"/>
      <c r="XW1" s="2235"/>
      <c r="XX1" s="2235"/>
      <c r="XY1" s="2235"/>
      <c r="XZ1" s="2235"/>
      <c r="YA1" s="2235"/>
      <c r="YB1" s="2235"/>
      <c r="YC1" s="2235"/>
      <c r="YD1" s="2235"/>
      <c r="YE1" s="2235"/>
      <c r="YF1" s="2235"/>
      <c r="YG1" s="2235"/>
      <c r="YH1" s="2235"/>
      <c r="YI1" s="2235"/>
      <c r="YJ1" s="2235"/>
      <c r="YK1" s="2235"/>
      <c r="YL1" s="2235"/>
      <c r="YM1" s="2235"/>
      <c r="YN1" s="2235"/>
      <c r="YO1" s="2235"/>
      <c r="YP1" s="2235"/>
      <c r="YQ1" s="2235"/>
      <c r="YR1" s="2235"/>
      <c r="YS1" s="2235"/>
      <c r="YT1" s="2235"/>
      <c r="YU1" s="2235"/>
      <c r="YV1" s="2235"/>
      <c r="YW1" s="2235"/>
      <c r="YX1" s="2235"/>
      <c r="YY1" s="2235"/>
      <c r="YZ1" s="2235"/>
      <c r="ZA1" s="2235"/>
      <c r="ZB1" s="2235"/>
      <c r="ZC1" s="2235"/>
      <c r="ZD1" s="2235"/>
      <c r="ZE1" s="2235"/>
      <c r="ZF1" s="2235"/>
      <c r="ZG1" s="2235"/>
      <c r="ZH1" s="2235"/>
      <c r="ZI1" s="2235"/>
      <c r="ZJ1" s="2235"/>
      <c r="ZK1" s="2235"/>
      <c r="ZL1" s="2235"/>
      <c r="ZM1" s="2235"/>
      <c r="ZN1" s="2235"/>
      <c r="ZO1" s="2235"/>
      <c r="ZP1" s="2235"/>
      <c r="ZQ1" s="2235"/>
      <c r="ZR1" s="2235"/>
      <c r="ZS1" s="2235"/>
      <c r="ZT1" s="2235"/>
      <c r="ZU1" s="2235"/>
      <c r="ZV1" s="2235"/>
      <c r="ZW1" s="2235"/>
      <c r="ZX1" s="2235"/>
      <c r="ZY1" s="2235"/>
      <c r="ZZ1" s="2235"/>
      <c r="AAA1" s="2235"/>
      <c r="AAB1" s="2235"/>
      <c r="AAC1" s="2235"/>
      <c r="AAD1" s="2235"/>
      <c r="AAE1" s="2235"/>
      <c r="AAF1" s="2235"/>
      <c r="AAG1" s="2235"/>
      <c r="AAH1" s="2235"/>
      <c r="AAI1" s="2235"/>
      <c r="AAJ1" s="2235"/>
      <c r="AAK1" s="2235"/>
      <c r="AAL1" s="2235"/>
      <c r="AAM1" s="2235"/>
      <c r="AAN1" s="2235"/>
      <c r="AAO1" s="2235"/>
      <c r="AAP1" s="2235"/>
      <c r="AAQ1" s="2235"/>
      <c r="AAR1" s="2235"/>
      <c r="AAS1" s="2235"/>
      <c r="AAT1" s="2235"/>
      <c r="AAU1" s="2235"/>
      <c r="AAV1" s="2235"/>
      <c r="AAW1" s="2235"/>
      <c r="AAX1" s="2235"/>
      <c r="AAY1" s="2235"/>
      <c r="AAZ1" s="2235"/>
      <c r="ABA1" s="2235"/>
      <c r="ABB1" s="2235"/>
      <c r="ABC1" s="2235"/>
      <c r="ABD1" s="2235"/>
      <c r="ABE1" s="2235"/>
      <c r="ABF1" s="2235"/>
      <c r="ABG1" s="2235"/>
      <c r="ABH1" s="2235"/>
      <c r="ABI1" s="2235"/>
      <c r="ABJ1" s="2235"/>
      <c r="ABK1" s="2235"/>
      <c r="ABL1" s="2235"/>
      <c r="ABM1" s="2235"/>
      <c r="ABN1" s="2235"/>
      <c r="ABO1" s="2235"/>
      <c r="ABP1" s="2235"/>
      <c r="ABQ1" s="2235"/>
      <c r="ABR1" s="2235"/>
      <c r="ABS1" s="2235"/>
      <c r="ABT1" s="2235"/>
      <c r="ABU1" s="2235"/>
      <c r="ABV1" s="2235"/>
      <c r="ABW1" s="2235"/>
      <c r="ABX1" s="2235"/>
      <c r="ABY1" s="2235"/>
      <c r="ABZ1" s="2235"/>
      <c r="ACA1" s="2235"/>
      <c r="ACB1" s="2235"/>
      <c r="ACC1" s="2235"/>
      <c r="ACD1" s="2235"/>
      <c r="ACE1" s="2235"/>
      <c r="ACF1" s="2235"/>
      <c r="ACG1" s="2235"/>
      <c r="ACH1" s="2235"/>
      <c r="ACI1" s="2235"/>
      <c r="ACJ1" s="2235"/>
      <c r="ACK1" s="2235"/>
      <c r="ACL1" s="2235"/>
      <c r="ACM1" s="2235"/>
      <c r="ACN1" s="2235"/>
      <c r="ACO1" s="2235"/>
      <c r="ACP1" s="2235"/>
      <c r="ACQ1" s="2235"/>
      <c r="ACR1" s="2235"/>
      <c r="ACS1" s="2235"/>
      <c r="ACT1" s="2235"/>
      <c r="ACU1" s="2235"/>
      <c r="ACV1" s="2235"/>
      <c r="ACW1" s="2235"/>
      <c r="ACX1" s="2235"/>
      <c r="ACY1" s="2235"/>
      <c r="ACZ1" s="2235"/>
      <c r="ADA1" s="2235"/>
      <c r="ADB1" s="2235"/>
      <c r="ADC1" s="2235"/>
      <c r="ADD1" s="2235"/>
      <c r="ADE1" s="2235"/>
      <c r="ADF1" s="2235"/>
      <c r="ADG1" s="2235"/>
      <c r="ADH1" s="2235"/>
      <c r="ADI1" s="2235"/>
      <c r="ADJ1" s="2235"/>
      <c r="ADK1" s="2235"/>
      <c r="ADL1" s="2235"/>
      <c r="ADM1" s="2235"/>
      <c r="ADN1" s="2235"/>
      <c r="ADO1" s="2235"/>
      <c r="ADP1" s="2235"/>
      <c r="ADQ1" s="2235"/>
      <c r="ADR1" s="2235"/>
      <c r="ADS1" s="2235"/>
      <c r="ADT1" s="2235"/>
      <c r="ADU1" s="2235"/>
      <c r="ADV1" s="2235"/>
      <c r="ADW1" s="2235"/>
      <c r="ADX1" s="2235"/>
      <c r="ADY1" s="2235"/>
      <c r="ADZ1" s="2235"/>
      <c r="AEA1" s="2235"/>
      <c r="AEB1" s="2235"/>
      <c r="AEC1" s="2235"/>
      <c r="AED1" s="2235"/>
      <c r="AEE1" s="2235"/>
      <c r="AEF1" s="2235"/>
      <c r="AEG1" s="2235"/>
      <c r="AEH1" s="2235"/>
      <c r="AEI1" s="2235"/>
      <c r="AEJ1" s="2235"/>
      <c r="AEK1" s="2235"/>
      <c r="AEL1" s="2235"/>
      <c r="AEM1" s="2235"/>
      <c r="AEN1" s="2235"/>
      <c r="AEO1" s="2235"/>
      <c r="AEP1" s="2235"/>
      <c r="AEQ1" s="2235"/>
      <c r="AER1" s="2235"/>
      <c r="AES1" s="2235"/>
      <c r="AET1" s="2235"/>
      <c r="AEU1" s="2235"/>
      <c r="AEV1" s="2235"/>
      <c r="AEW1" s="2235"/>
      <c r="AEX1" s="2235"/>
      <c r="AEY1" s="2235"/>
      <c r="AEZ1" s="2235"/>
      <c r="AFA1" s="2235"/>
      <c r="AFB1" s="2235"/>
      <c r="AFC1" s="2235"/>
      <c r="AFD1" s="2235"/>
      <c r="AFE1" s="2235"/>
      <c r="AFF1" s="2235"/>
      <c r="AFG1" s="2235"/>
      <c r="AFH1" s="2235"/>
      <c r="AFI1" s="2235"/>
      <c r="AFJ1" s="2235"/>
      <c r="AFK1" s="2235"/>
      <c r="AFL1" s="2235"/>
      <c r="AFM1" s="2235"/>
      <c r="AFN1" s="2235"/>
      <c r="AFO1" s="2235"/>
      <c r="AFP1" s="2235"/>
      <c r="AFQ1" s="2235"/>
      <c r="AFR1" s="2235"/>
      <c r="AFS1" s="2235"/>
      <c r="AFT1" s="2235"/>
      <c r="AFU1" s="2235"/>
      <c r="AFV1" s="2235"/>
      <c r="AFW1" s="2235"/>
      <c r="AFX1" s="2235"/>
      <c r="AFY1" s="2235"/>
      <c r="AFZ1" s="2235"/>
      <c r="AGA1" s="2235"/>
      <c r="AGB1" s="2235"/>
      <c r="AGC1" s="2235"/>
      <c r="AGD1" s="2235"/>
      <c r="AGE1" s="2235"/>
      <c r="AGF1" s="2235"/>
      <c r="AGG1" s="2235"/>
      <c r="AGH1" s="2235"/>
      <c r="AGI1" s="2235"/>
      <c r="AGJ1" s="2235"/>
      <c r="AGK1" s="2235"/>
      <c r="AGL1" s="2235"/>
      <c r="AGM1" s="2235"/>
      <c r="AGN1" s="2235"/>
      <c r="AGO1" s="2235"/>
      <c r="AGP1" s="2235"/>
      <c r="AGQ1" s="2235"/>
      <c r="AGR1" s="2235"/>
      <c r="AGS1" s="2235"/>
      <c r="AGT1" s="2235"/>
      <c r="AGU1" s="2235"/>
      <c r="AGV1" s="2235"/>
      <c r="AGW1" s="2235"/>
      <c r="AGX1" s="2235"/>
      <c r="AGY1" s="2235"/>
      <c r="AGZ1" s="2235"/>
      <c r="AHA1" s="2235"/>
      <c r="AHB1" s="2235"/>
      <c r="AHC1" s="2235"/>
      <c r="AHD1" s="2235"/>
      <c r="AHE1" s="2235"/>
      <c r="AHF1" s="2235"/>
      <c r="AHG1" s="2235"/>
      <c r="AHH1" s="2235"/>
      <c r="AHI1" s="2235"/>
      <c r="AHJ1" s="2235"/>
      <c r="AHK1" s="2235"/>
      <c r="AHL1" s="2235"/>
      <c r="AHM1" s="2235"/>
      <c r="AHN1" s="2235"/>
      <c r="AHO1" s="2235"/>
      <c r="AHP1" s="2235"/>
      <c r="AHQ1" s="2235"/>
      <c r="AHR1" s="2235"/>
      <c r="AHS1" s="2235"/>
      <c r="AHT1" s="2235"/>
      <c r="AHU1" s="2235"/>
      <c r="AHV1" s="2235"/>
      <c r="AHW1" s="2235"/>
      <c r="AHX1" s="2235"/>
      <c r="AHY1" s="2235"/>
      <c r="AHZ1" s="2235"/>
      <c r="AIA1" s="2235"/>
      <c r="AIB1" s="2235"/>
      <c r="AIC1" s="2235"/>
      <c r="AID1" s="2235"/>
      <c r="AIE1" s="2235"/>
      <c r="AIF1" s="2235"/>
      <c r="AIG1" s="2235"/>
      <c r="AIH1" s="2235"/>
      <c r="AII1" s="2235"/>
      <c r="AIJ1" s="2235"/>
      <c r="AIK1" s="2235"/>
      <c r="AIL1" s="2235"/>
      <c r="AIM1" s="2235"/>
      <c r="AIN1" s="2235"/>
      <c r="AIO1" s="2235"/>
      <c r="AIP1" s="2235"/>
      <c r="AIQ1" s="2235"/>
      <c r="AIR1" s="2235"/>
      <c r="AIS1" s="2235"/>
      <c r="AIT1" s="2235"/>
      <c r="AIU1" s="2235"/>
      <c r="AIV1" s="2235"/>
      <c r="AIW1" s="2235"/>
      <c r="AIX1" s="2235"/>
      <c r="AIY1" s="2235"/>
      <c r="AIZ1" s="2235"/>
      <c r="AJA1" s="2235"/>
      <c r="AJB1" s="2235"/>
      <c r="AJC1" s="2235"/>
      <c r="AJD1" s="2235"/>
      <c r="AJE1" s="2235"/>
      <c r="AJF1" s="2235"/>
      <c r="AJG1" s="2235"/>
      <c r="AJH1" s="2235"/>
      <c r="AJI1" s="2235"/>
      <c r="AJJ1" s="2235"/>
      <c r="AJK1" s="2235"/>
      <c r="AJL1" s="2235"/>
      <c r="AJM1" s="2235"/>
      <c r="AJN1" s="2235"/>
      <c r="AJO1" s="2235"/>
      <c r="AJP1" s="2235"/>
      <c r="AJQ1" s="2235"/>
      <c r="AJR1" s="2235"/>
      <c r="AJS1" s="2235"/>
      <c r="AJT1" s="2235"/>
      <c r="AJU1" s="2235"/>
      <c r="AJV1" s="2235"/>
      <c r="AJW1" s="2235"/>
      <c r="AJX1" s="2235"/>
      <c r="AJY1" s="2235"/>
      <c r="AJZ1" s="2235"/>
      <c r="AKA1" s="2235"/>
      <c r="AKB1" s="2235"/>
      <c r="AKC1" s="2235"/>
      <c r="AKD1" s="2235"/>
      <c r="AKE1" s="2235"/>
      <c r="AKF1" s="2235"/>
      <c r="AKG1" s="2235"/>
      <c r="AKH1" s="2235"/>
      <c r="AKI1" s="2235"/>
      <c r="AKJ1" s="2235"/>
      <c r="AKK1" s="2235"/>
      <c r="AKL1" s="2235"/>
      <c r="AKM1" s="2235"/>
      <c r="AKN1" s="2235"/>
      <c r="AKO1" s="2235"/>
      <c r="AKP1" s="2235"/>
      <c r="AKQ1" s="2235"/>
      <c r="AKR1" s="2235"/>
      <c r="AKS1" s="2235"/>
      <c r="AKT1" s="2235"/>
      <c r="AKU1" s="2235"/>
      <c r="AKV1" s="2235"/>
      <c r="AKW1" s="2235"/>
      <c r="AKX1" s="2235"/>
      <c r="AKY1" s="2235"/>
      <c r="AKZ1" s="2235"/>
      <c r="ALA1" s="2235"/>
      <c r="ALB1" s="2235"/>
      <c r="ALC1" s="2235"/>
      <c r="ALD1" s="2235"/>
      <c r="ALE1" s="2235"/>
      <c r="ALF1" s="2235"/>
      <c r="ALG1" s="2235"/>
      <c r="ALH1" s="2235"/>
      <c r="ALI1" s="2235"/>
      <c r="ALJ1" s="2235"/>
      <c r="ALK1" s="2235"/>
      <c r="ALL1" s="2235"/>
      <c r="ALM1" s="2235"/>
      <c r="ALN1" s="2235"/>
      <c r="ALO1" s="2235"/>
      <c r="ALP1" s="2235"/>
      <c r="ALQ1" s="2235"/>
      <c r="ALR1" s="2235"/>
      <c r="ALS1" s="2235"/>
      <c r="ALT1" s="2235"/>
      <c r="ALU1" s="2235"/>
      <c r="ALV1" s="2235"/>
      <c r="ALW1" s="2235"/>
      <c r="ALX1" s="2235"/>
      <c r="ALY1" s="2235"/>
      <c r="ALZ1" s="2235"/>
      <c r="AMA1" s="2235"/>
      <c r="AMB1" s="2235"/>
      <c r="AMC1" s="2235"/>
      <c r="AMD1" s="2235"/>
      <c r="AME1" s="2235"/>
      <c r="AMF1" s="2235"/>
      <c r="AMG1" s="2235"/>
      <c r="AMH1" s="2235"/>
      <c r="AMI1" s="2235"/>
      <c r="AMJ1" s="2235"/>
      <c r="AMK1" s="2235"/>
      <c r="AML1" s="2235"/>
      <c r="AMM1" s="2235"/>
      <c r="AMN1" s="2235"/>
      <c r="AMO1" s="2235"/>
      <c r="AMP1" s="2235"/>
      <c r="AMQ1" s="2235"/>
      <c r="AMR1" s="2235"/>
      <c r="AMS1" s="2235"/>
      <c r="AMT1" s="2235"/>
      <c r="AMU1" s="2235"/>
      <c r="AMV1" s="2235"/>
      <c r="AMW1" s="2235"/>
      <c r="AMX1" s="2235"/>
      <c r="AMY1" s="2235"/>
      <c r="AMZ1" s="2235"/>
      <c r="ANA1" s="2235"/>
      <c r="ANB1" s="2235"/>
      <c r="ANC1" s="2235"/>
      <c r="AND1" s="2235"/>
      <c r="ANE1" s="2235"/>
      <c r="ANF1" s="2235"/>
      <c r="ANG1" s="2235"/>
      <c r="ANH1" s="2235"/>
      <c r="ANI1" s="2235"/>
      <c r="ANJ1" s="2235"/>
      <c r="ANK1" s="2235"/>
      <c r="ANL1" s="2235"/>
      <c r="ANM1" s="2235"/>
      <c r="ANN1" s="2235"/>
      <c r="ANO1" s="2235"/>
      <c r="ANP1" s="2235"/>
      <c r="ANQ1" s="2235"/>
      <c r="ANR1" s="2235"/>
      <c r="ANS1" s="2235"/>
      <c r="ANT1" s="2235"/>
      <c r="ANU1" s="2235"/>
      <c r="ANV1" s="2235"/>
      <c r="ANW1" s="2235"/>
      <c r="ANX1" s="2235"/>
      <c r="ANY1" s="2235"/>
      <c r="ANZ1" s="2235"/>
      <c r="AOA1" s="2235"/>
      <c r="AOB1" s="2235"/>
      <c r="AOC1" s="2235"/>
      <c r="AOD1" s="2235"/>
      <c r="AOE1" s="2235"/>
      <c r="AOF1" s="2235"/>
      <c r="AOG1" s="2235"/>
      <c r="AOH1" s="2235"/>
      <c r="AOI1" s="2235"/>
      <c r="AOJ1" s="2235"/>
      <c r="AOK1" s="2235"/>
      <c r="AOL1" s="2235"/>
      <c r="AOM1" s="2235"/>
      <c r="AON1" s="2235"/>
      <c r="AOO1" s="2235"/>
      <c r="AOP1" s="2235"/>
      <c r="AOQ1" s="2235"/>
      <c r="AOR1" s="2235"/>
      <c r="AOS1" s="2235"/>
      <c r="AOT1" s="2235"/>
      <c r="AOU1" s="2235"/>
      <c r="AOV1" s="2235"/>
      <c r="AOW1" s="2235"/>
      <c r="AOX1" s="2235"/>
      <c r="AOY1" s="2235"/>
      <c r="AOZ1" s="2235"/>
      <c r="APA1" s="2235"/>
      <c r="APB1" s="2235"/>
      <c r="APC1" s="2235"/>
      <c r="APD1" s="2235"/>
      <c r="APE1" s="2235"/>
      <c r="APF1" s="2235"/>
      <c r="APG1" s="2235"/>
      <c r="APH1" s="2235"/>
      <c r="API1" s="2235"/>
      <c r="APJ1" s="2235"/>
      <c r="APK1" s="2235"/>
      <c r="APL1" s="2235"/>
      <c r="APM1" s="2235"/>
      <c r="APN1" s="2235"/>
      <c r="APO1" s="2235"/>
      <c r="APP1" s="2235"/>
      <c r="APQ1" s="2235"/>
      <c r="APR1" s="2235"/>
      <c r="APS1" s="2235"/>
      <c r="APT1" s="2235"/>
      <c r="APU1" s="2235"/>
      <c r="APV1" s="2235"/>
      <c r="APW1" s="2235"/>
      <c r="APX1" s="2235"/>
      <c r="APY1" s="2235"/>
      <c r="APZ1" s="2235"/>
      <c r="AQA1" s="2235"/>
      <c r="AQB1" s="2235"/>
      <c r="AQC1" s="2235"/>
      <c r="AQD1" s="2235"/>
      <c r="AQE1" s="2235"/>
      <c r="AQF1" s="2235"/>
      <c r="AQG1" s="2235"/>
      <c r="AQH1" s="2235"/>
      <c r="AQI1" s="2235"/>
      <c r="AQJ1" s="2235"/>
      <c r="AQK1" s="2235"/>
      <c r="AQL1" s="2235"/>
      <c r="AQM1" s="2235"/>
      <c r="AQN1" s="2235"/>
      <c r="AQO1" s="2235"/>
      <c r="AQP1" s="2235"/>
      <c r="AQQ1" s="2235"/>
      <c r="AQR1" s="2235"/>
      <c r="AQS1" s="2235"/>
      <c r="AQT1" s="2235"/>
      <c r="AQU1" s="2235"/>
      <c r="AQV1" s="2235"/>
      <c r="AQW1" s="2235"/>
      <c r="AQX1" s="2235"/>
      <c r="AQY1" s="2235"/>
      <c r="AQZ1" s="2235"/>
      <c r="ARA1" s="2235"/>
      <c r="ARB1" s="2235"/>
      <c r="ARC1" s="2235"/>
      <c r="ARD1" s="2235"/>
      <c r="ARE1" s="2235"/>
      <c r="ARF1" s="2235"/>
      <c r="ARG1" s="2235"/>
      <c r="ARH1" s="2235"/>
      <c r="ARI1" s="2235"/>
      <c r="ARJ1" s="2235"/>
      <c r="ARK1" s="2235"/>
      <c r="ARL1" s="2235"/>
      <c r="ARM1" s="2235"/>
      <c r="ARN1" s="2235"/>
      <c r="ARO1" s="2235"/>
      <c r="ARP1" s="2235"/>
      <c r="ARQ1" s="2235"/>
      <c r="ARR1" s="2235"/>
      <c r="ARS1" s="2235"/>
      <c r="ART1" s="2235"/>
      <c r="ARU1" s="2235"/>
      <c r="ARV1" s="2235"/>
      <c r="ARW1" s="2235"/>
      <c r="ARX1" s="2235"/>
      <c r="ARY1" s="2235"/>
      <c r="ARZ1" s="2235"/>
      <c r="ASA1" s="2235"/>
      <c r="ASB1" s="2235"/>
      <c r="ASC1" s="2235"/>
      <c r="ASD1" s="2235"/>
      <c r="ASE1" s="2235"/>
      <c r="ASF1" s="2235"/>
      <c r="ASG1" s="2235"/>
      <c r="ASH1" s="2235"/>
      <c r="ASI1" s="2235"/>
      <c r="ASJ1" s="2235"/>
      <c r="ASK1" s="2235"/>
      <c r="ASL1" s="2235"/>
      <c r="ASM1" s="2235"/>
      <c r="ASN1" s="2235"/>
      <c r="ASO1" s="2235"/>
      <c r="ASP1" s="2235"/>
      <c r="ASQ1" s="2235"/>
      <c r="ASR1" s="2235"/>
      <c r="ASS1" s="2235"/>
      <c r="AST1" s="2235"/>
      <c r="ASU1" s="2235"/>
      <c r="ASV1" s="2235"/>
      <c r="ASW1" s="2235"/>
      <c r="ASX1" s="2235"/>
      <c r="ASY1" s="2235"/>
      <c r="ASZ1" s="2235"/>
      <c r="ATA1" s="2235"/>
      <c r="ATB1" s="2235"/>
      <c r="ATC1" s="2235"/>
      <c r="ATD1" s="2235"/>
      <c r="ATE1" s="2235"/>
      <c r="ATF1" s="2235"/>
      <c r="ATG1" s="2235"/>
      <c r="ATH1" s="2235"/>
      <c r="ATI1" s="2235"/>
      <c r="ATJ1" s="2235"/>
      <c r="ATK1" s="2235"/>
      <c r="ATL1" s="2235"/>
      <c r="ATM1" s="2235"/>
      <c r="ATN1" s="2235"/>
      <c r="ATO1" s="2235"/>
      <c r="ATP1" s="2235"/>
      <c r="ATQ1" s="2235"/>
      <c r="ATR1" s="2235"/>
      <c r="ATS1" s="2235"/>
      <c r="ATT1" s="2235"/>
      <c r="ATU1" s="2235"/>
      <c r="ATV1" s="2235"/>
      <c r="ATW1" s="2235"/>
      <c r="ATX1" s="2235"/>
      <c r="ATY1" s="2235"/>
      <c r="ATZ1" s="2235"/>
      <c r="AUA1" s="2235"/>
      <c r="AUB1" s="2235"/>
      <c r="AUC1" s="2235"/>
      <c r="AUD1" s="2235"/>
      <c r="AUE1" s="2235"/>
      <c r="AUF1" s="2235"/>
      <c r="AUG1" s="2235"/>
      <c r="AUH1" s="2235"/>
      <c r="AUI1" s="2235"/>
      <c r="AUJ1" s="2235"/>
      <c r="AUK1" s="2235"/>
      <c r="AUL1" s="2235"/>
      <c r="AUM1" s="2235"/>
      <c r="AUN1" s="2235"/>
      <c r="AUO1" s="2235"/>
      <c r="AUP1" s="2235"/>
      <c r="AUQ1" s="2235"/>
      <c r="AUR1" s="2235"/>
      <c r="AUS1" s="2235"/>
      <c r="AUT1" s="2235"/>
      <c r="AUU1" s="2235"/>
      <c r="AUV1" s="2235"/>
      <c r="AUW1" s="2235"/>
      <c r="AUX1" s="2235"/>
      <c r="AUY1" s="2235"/>
      <c r="AUZ1" s="2235"/>
      <c r="AVA1" s="2235"/>
      <c r="AVB1" s="2235"/>
      <c r="AVC1" s="2235"/>
      <c r="AVD1" s="2235"/>
      <c r="AVE1" s="2235"/>
      <c r="AVF1" s="2235"/>
      <c r="AVG1" s="2235"/>
      <c r="AVH1" s="2235"/>
      <c r="AVI1" s="2235"/>
      <c r="AVJ1" s="2235"/>
      <c r="AVK1" s="2235"/>
      <c r="AVL1" s="2235"/>
      <c r="AVM1" s="2235"/>
      <c r="AVN1" s="2235"/>
      <c r="AVO1" s="2235"/>
      <c r="AVP1" s="2235"/>
      <c r="AVQ1" s="2235"/>
      <c r="AVR1" s="2235"/>
      <c r="AVS1" s="2235"/>
      <c r="AVT1" s="2235"/>
      <c r="AVU1" s="2235"/>
      <c r="AVV1" s="2235"/>
      <c r="AVW1" s="2235"/>
      <c r="AVX1" s="2235"/>
      <c r="AVY1" s="2235"/>
      <c r="AVZ1" s="2235"/>
      <c r="AWA1" s="2235"/>
      <c r="AWB1" s="2235"/>
      <c r="AWC1" s="2235"/>
      <c r="AWD1" s="2235"/>
      <c r="AWE1" s="2235"/>
      <c r="AWF1" s="2235"/>
      <c r="AWG1" s="2235"/>
      <c r="AWH1" s="2235"/>
      <c r="AWI1" s="2235"/>
      <c r="AWJ1" s="2235"/>
      <c r="AWK1" s="2235"/>
      <c r="AWL1" s="2235"/>
      <c r="AWM1" s="2235"/>
      <c r="AWN1" s="2235"/>
      <c r="AWO1" s="2235"/>
      <c r="AWP1" s="2235"/>
      <c r="AWQ1" s="2235"/>
      <c r="AWR1" s="2235"/>
      <c r="AWS1" s="2235"/>
      <c r="AWT1" s="2235"/>
      <c r="AWU1" s="2235"/>
      <c r="AWV1" s="2235"/>
      <c r="AWW1" s="2235"/>
      <c r="AWX1" s="2235"/>
      <c r="AWY1" s="2235"/>
      <c r="AWZ1" s="2235"/>
      <c r="AXA1" s="2235"/>
      <c r="AXB1" s="2235"/>
      <c r="AXC1" s="2235"/>
      <c r="AXD1" s="2235"/>
      <c r="AXE1" s="2235"/>
      <c r="AXF1" s="2235"/>
      <c r="AXG1" s="2235"/>
      <c r="AXH1" s="2235"/>
      <c r="AXI1" s="2235"/>
      <c r="AXJ1" s="2235"/>
      <c r="AXK1" s="2235"/>
      <c r="AXL1" s="2235"/>
      <c r="AXM1" s="2235"/>
      <c r="AXN1" s="2235"/>
      <c r="AXO1" s="2235"/>
      <c r="AXP1" s="2235"/>
      <c r="AXQ1" s="2235"/>
      <c r="AXR1" s="2235"/>
      <c r="AXS1" s="2235"/>
      <c r="AXT1" s="2235"/>
      <c r="AXU1" s="2235"/>
      <c r="AXV1" s="2235"/>
      <c r="AXW1" s="2235"/>
      <c r="AXX1" s="2235"/>
      <c r="AXY1" s="2235"/>
      <c r="AXZ1" s="2235"/>
      <c r="AYA1" s="2235"/>
      <c r="AYB1" s="2235"/>
      <c r="AYC1" s="2235"/>
      <c r="AYD1" s="2235"/>
      <c r="AYE1" s="2235"/>
      <c r="AYF1" s="2235"/>
      <c r="AYG1" s="2235"/>
      <c r="AYH1" s="2235"/>
      <c r="AYI1" s="2235"/>
      <c r="AYJ1" s="2235"/>
      <c r="AYK1" s="2235"/>
      <c r="AYL1" s="2235"/>
      <c r="AYM1" s="2235"/>
      <c r="AYN1" s="2235"/>
      <c r="AYO1" s="2235"/>
      <c r="AYP1" s="2235"/>
      <c r="AYQ1" s="2235"/>
      <c r="AYR1" s="2235"/>
      <c r="AYS1" s="2235"/>
      <c r="AYT1" s="2235"/>
      <c r="AYU1" s="2235"/>
      <c r="AYV1" s="2235"/>
      <c r="AYW1" s="2235"/>
      <c r="AYX1" s="2235"/>
      <c r="AYY1" s="2235"/>
      <c r="AYZ1" s="2235"/>
      <c r="AZA1" s="2235"/>
      <c r="AZB1" s="2235"/>
      <c r="AZC1" s="2235"/>
      <c r="AZD1" s="2235"/>
      <c r="AZE1" s="2235"/>
      <c r="AZF1" s="2235"/>
      <c r="AZG1" s="2235"/>
      <c r="AZH1" s="2235"/>
      <c r="AZI1" s="2235"/>
      <c r="AZJ1" s="2235"/>
      <c r="AZK1" s="2235"/>
      <c r="AZL1" s="2235"/>
      <c r="AZM1" s="2235"/>
      <c r="AZN1" s="2235"/>
      <c r="AZO1" s="2235"/>
      <c r="AZP1" s="2235"/>
      <c r="AZQ1" s="2235"/>
      <c r="AZR1" s="2235"/>
      <c r="AZS1" s="2235"/>
      <c r="AZT1" s="2235"/>
      <c r="AZU1" s="2235"/>
      <c r="AZV1" s="2235"/>
      <c r="AZW1" s="2235"/>
      <c r="AZX1" s="2235"/>
      <c r="AZY1" s="2235"/>
      <c r="AZZ1" s="2235"/>
      <c r="BAA1" s="2235"/>
      <c r="BAB1" s="2235"/>
      <c r="BAC1" s="2235"/>
      <c r="BAD1" s="2235"/>
      <c r="BAE1" s="2235"/>
      <c r="BAF1" s="2235"/>
      <c r="BAG1" s="2235"/>
      <c r="BAH1" s="2235"/>
      <c r="BAI1" s="2235"/>
      <c r="BAJ1" s="2235"/>
      <c r="BAK1" s="2235"/>
      <c r="BAL1" s="2235"/>
      <c r="BAM1" s="2235"/>
      <c r="BAN1" s="2235"/>
      <c r="BAO1" s="2235"/>
      <c r="BAP1" s="2235"/>
      <c r="BAQ1" s="2235"/>
      <c r="BAR1" s="2235"/>
      <c r="BAS1" s="2235"/>
      <c r="BAT1" s="2235"/>
      <c r="BAU1" s="2235"/>
      <c r="BAV1" s="2235"/>
      <c r="BAW1" s="2235"/>
      <c r="BAX1" s="2235"/>
      <c r="BAY1" s="2235"/>
      <c r="BAZ1" s="2235"/>
      <c r="BBA1" s="2235"/>
      <c r="BBB1" s="2235"/>
      <c r="BBC1" s="2235"/>
      <c r="BBD1" s="2235"/>
      <c r="BBE1" s="2235"/>
      <c r="BBF1" s="2235"/>
      <c r="BBG1" s="2235"/>
      <c r="BBH1" s="2235"/>
      <c r="BBI1" s="2235"/>
      <c r="BBJ1" s="2235"/>
      <c r="BBK1" s="2235"/>
      <c r="BBL1" s="2235"/>
      <c r="BBM1" s="2235"/>
      <c r="BBN1" s="2235"/>
      <c r="BBO1" s="2235"/>
      <c r="BBP1" s="2235"/>
      <c r="BBQ1" s="2235"/>
      <c r="BBR1" s="2235"/>
      <c r="BBS1" s="2235"/>
      <c r="BBT1" s="2235"/>
      <c r="BBU1" s="2235"/>
      <c r="BBV1" s="2235"/>
      <c r="BBW1" s="2235"/>
      <c r="BBX1" s="2235"/>
      <c r="BBY1" s="2235"/>
      <c r="BBZ1" s="2235"/>
      <c r="BCA1" s="2235"/>
      <c r="BCB1" s="2235"/>
      <c r="BCC1" s="2235"/>
      <c r="BCD1" s="2235"/>
      <c r="BCE1" s="2235"/>
      <c r="BCF1" s="2235"/>
      <c r="BCG1" s="2235"/>
      <c r="BCH1" s="2235"/>
      <c r="BCI1" s="2235"/>
      <c r="BCJ1" s="2235"/>
      <c r="BCK1" s="2235"/>
      <c r="BCL1" s="2235"/>
      <c r="BCM1" s="2235"/>
      <c r="BCN1" s="2235"/>
      <c r="BCO1" s="2235"/>
      <c r="BCP1" s="2235"/>
      <c r="BCQ1" s="2235"/>
      <c r="BCR1" s="2235"/>
      <c r="BCS1" s="2235"/>
      <c r="BCT1" s="2235"/>
      <c r="BCU1" s="2235"/>
      <c r="BCV1" s="2235"/>
      <c r="BCW1" s="2235"/>
      <c r="BCX1" s="2235"/>
      <c r="BCY1" s="2235"/>
      <c r="BCZ1" s="2235"/>
      <c r="BDA1" s="2235"/>
      <c r="BDB1" s="2235"/>
      <c r="BDC1" s="2235"/>
      <c r="BDD1" s="2235"/>
      <c r="BDE1" s="2235"/>
      <c r="BDF1" s="2235"/>
      <c r="BDG1" s="2235"/>
      <c r="BDH1" s="2235"/>
      <c r="BDI1" s="2235"/>
      <c r="BDJ1" s="2235"/>
      <c r="BDK1" s="2235"/>
      <c r="BDL1" s="2235"/>
      <c r="BDM1" s="2235"/>
      <c r="BDN1" s="2235"/>
      <c r="BDO1" s="2235"/>
      <c r="BDP1" s="2235"/>
      <c r="BDQ1" s="2235"/>
      <c r="BDR1" s="2235"/>
      <c r="BDS1" s="2235"/>
      <c r="BDT1" s="2235"/>
      <c r="BDU1" s="2235"/>
      <c r="BDV1" s="2235"/>
      <c r="BDW1" s="2235"/>
      <c r="BDX1" s="2235"/>
      <c r="BDY1" s="2235"/>
      <c r="BDZ1" s="2235"/>
      <c r="BEA1" s="2235"/>
      <c r="BEB1" s="2235"/>
      <c r="BEC1" s="2235"/>
      <c r="BED1" s="2235"/>
      <c r="BEE1" s="2235"/>
      <c r="BEF1" s="2235"/>
      <c r="BEG1" s="2235"/>
      <c r="BEH1" s="2235"/>
      <c r="BEI1" s="2235"/>
      <c r="BEJ1" s="2235"/>
      <c r="BEK1" s="2235"/>
      <c r="BEL1" s="2235"/>
      <c r="BEM1" s="2235"/>
      <c r="BEN1" s="2235"/>
      <c r="BEO1" s="2235"/>
      <c r="BEP1" s="2235"/>
      <c r="BEQ1" s="2235"/>
      <c r="BER1" s="2235"/>
      <c r="BES1" s="2235"/>
      <c r="BET1" s="2235"/>
      <c r="BEU1" s="2235"/>
      <c r="BEV1" s="2235"/>
      <c r="BEW1" s="2235"/>
      <c r="BEX1" s="2235"/>
      <c r="BEY1" s="2235"/>
      <c r="BEZ1" s="2235"/>
      <c r="BFA1" s="2235"/>
      <c r="BFB1" s="2235"/>
      <c r="BFC1" s="2235"/>
      <c r="BFD1" s="2235"/>
      <c r="BFE1" s="2235"/>
      <c r="BFF1" s="2235"/>
      <c r="BFG1" s="2235"/>
      <c r="BFH1" s="2235"/>
      <c r="BFI1" s="2235"/>
      <c r="BFJ1" s="2235"/>
      <c r="BFK1" s="2235"/>
      <c r="BFL1" s="2235"/>
      <c r="BFM1" s="2235"/>
      <c r="BFN1" s="2235"/>
      <c r="BFO1" s="2235"/>
      <c r="BFP1" s="2235"/>
      <c r="BFQ1" s="2235"/>
      <c r="BFR1" s="2235"/>
      <c r="BFS1" s="2235"/>
      <c r="BFT1" s="2235"/>
      <c r="BFU1" s="2235"/>
      <c r="BFV1" s="2235"/>
      <c r="BFW1" s="2235"/>
      <c r="BFX1" s="2235"/>
      <c r="BFY1" s="2235"/>
      <c r="BFZ1" s="2235"/>
      <c r="BGA1" s="2235"/>
      <c r="BGB1" s="2235"/>
      <c r="BGC1" s="2235"/>
      <c r="BGD1" s="2235"/>
      <c r="BGE1" s="2235"/>
      <c r="BGF1" s="2235"/>
      <c r="BGG1" s="2235"/>
      <c r="BGH1" s="2235"/>
      <c r="BGI1" s="2235"/>
      <c r="BGJ1" s="2235"/>
      <c r="BGK1" s="2235"/>
      <c r="BGL1" s="2235"/>
      <c r="BGM1" s="2235"/>
      <c r="BGN1" s="2235"/>
      <c r="BGO1" s="2235"/>
      <c r="BGP1" s="2235"/>
      <c r="BGQ1" s="2235"/>
      <c r="BGR1" s="2235"/>
      <c r="BGS1" s="2235"/>
      <c r="BGT1" s="2235"/>
      <c r="BGU1" s="2235"/>
      <c r="BGV1" s="2235"/>
      <c r="BGW1" s="2235"/>
      <c r="BGX1" s="2235"/>
      <c r="BGY1" s="2235"/>
      <c r="BGZ1" s="2235"/>
      <c r="BHA1" s="2235"/>
      <c r="BHB1" s="2235"/>
      <c r="BHC1" s="2235"/>
      <c r="BHD1" s="2235"/>
      <c r="BHE1" s="2235"/>
      <c r="BHF1" s="2235"/>
      <c r="BHG1" s="2235"/>
      <c r="BHH1" s="2235"/>
      <c r="BHI1" s="2235"/>
      <c r="BHJ1" s="2235"/>
      <c r="BHK1" s="2235"/>
      <c r="BHL1" s="2235"/>
      <c r="BHM1" s="2235"/>
      <c r="BHN1" s="2235"/>
      <c r="BHO1" s="2235"/>
      <c r="BHP1" s="2235"/>
      <c r="BHQ1" s="2235"/>
      <c r="BHR1" s="2235"/>
      <c r="BHS1" s="2235"/>
      <c r="BHT1" s="2235"/>
      <c r="BHU1" s="2235"/>
      <c r="BHV1" s="2235"/>
      <c r="BHW1" s="2235"/>
      <c r="BHX1" s="2235"/>
      <c r="BHY1" s="2235"/>
      <c r="BHZ1" s="2235"/>
      <c r="BIA1" s="2235"/>
      <c r="BIB1" s="2235"/>
      <c r="BIC1" s="2235"/>
      <c r="BID1" s="2235"/>
      <c r="BIE1" s="2235"/>
      <c r="BIF1" s="2235"/>
      <c r="BIG1" s="2235"/>
      <c r="BIH1" s="2235"/>
      <c r="BII1" s="2235"/>
      <c r="BIJ1" s="2235"/>
      <c r="BIK1" s="2235"/>
      <c r="BIL1" s="2235"/>
      <c r="BIM1" s="2235"/>
      <c r="BIN1" s="2235"/>
      <c r="BIO1" s="2235"/>
      <c r="BIP1" s="2235"/>
      <c r="BIQ1" s="2235"/>
      <c r="BIR1" s="2235"/>
      <c r="BIS1" s="2235"/>
      <c r="BIT1" s="2235"/>
      <c r="BIU1" s="2235"/>
      <c r="BIV1" s="2235"/>
      <c r="BIW1" s="2235"/>
      <c r="BIX1" s="2235"/>
      <c r="BIY1" s="2235"/>
      <c r="BIZ1" s="2235"/>
      <c r="BJA1" s="2235"/>
      <c r="BJB1" s="2235"/>
      <c r="BJC1" s="2235"/>
      <c r="BJD1" s="2235"/>
      <c r="BJE1" s="2235"/>
      <c r="BJF1" s="2235"/>
      <c r="BJG1" s="2235"/>
      <c r="BJH1" s="2235"/>
      <c r="BJI1" s="2235"/>
      <c r="BJJ1" s="2235"/>
      <c r="BJK1" s="2235"/>
      <c r="BJL1" s="2235"/>
      <c r="BJM1" s="2235"/>
      <c r="BJN1" s="2235"/>
      <c r="BJO1" s="2235"/>
      <c r="BJP1" s="2235"/>
      <c r="BJQ1" s="2235"/>
      <c r="BJR1" s="2235"/>
      <c r="BJS1" s="2235"/>
      <c r="BJT1" s="2235"/>
      <c r="BJU1" s="2235"/>
      <c r="BJV1" s="2235"/>
      <c r="BJW1" s="2235"/>
      <c r="BJX1" s="2235"/>
      <c r="BJY1" s="2235"/>
      <c r="BJZ1" s="2235"/>
      <c r="BKA1" s="2235"/>
      <c r="BKB1" s="2235"/>
      <c r="BKC1" s="2235"/>
      <c r="BKD1" s="2235"/>
      <c r="BKE1" s="2235"/>
      <c r="BKF1" s="2235"/>
      <c r="BKG1" s="2235"/>
      <c r="BKH1" s="2235"/>
      <c r="BKI1" s="2235"/>
      <c r="BKJ1" s="2235"/>
      <c r="BKK1" s="2235"/>
      <c r="BKL1" s="2235"/>
      <c r="BKM1" s="2235"/>
      <c r="BKN1" s="2235"/>
      <c r="BKO1" s="2235"/>
      <c r="BKP1" s="2235"/>
      <c r="BKQ1" s="2235"/>
      <c r="BKR1" s="2235"/>
      <c r="BKS1" s="2235"/>
      <c r="BKT1" s="2235"/>
      <c r="BKU1" s="2235"/>
      <c r="BKV1" s="2235"/>
      <c r="BKW1" s="2235"/>
      <c r="BKX1" s="2235"/>
      <c r="BKY1" s="2235"/>
      <c r="BKZ1" s="2235"/>
      <c r="BLA1" s="2235"/>
      <c r="BLB1" s="2235"/>
      <c r="BLC1" s="2235"/>
      <c r="BLD1" s="2235"/>
      <c r="BLE1" s="2235"/>
      <c r="BLF1" s="2235"/>
      <c r="BLG1" s="2235"/>
      <c r="BLH1" s="2235"/>
      <c r="BLI1" s="2235"/>
      <c r="BLJ1" s="2235"/>
      <c r="BLK1" s="2235"/>
      <c r="BLL1" s="2235"/>
      <c r="BLM1" s="2235"/>
      <c r="BLN1" s="2235"/>
      <c r="BLO1" s="2235"/>
      <c r="BLP1" s="2235"/>
      <c r="BLQ1" s="2235"/>
      <c r="BLR1" s="2235"/>
      <c r="BLS1" s="2235"/>
      <c r="BLT1" s="2235"/>
      <c r="BLU1" s="2235"/>
      <c r="BLV1" s="2235"/>
      <c r="BLW1" s="2235"/>
      <c r="BLX1" s="2235"/>
      <c r="BLY1" s="2235"/>
      <c r="BLZ1" s="2235"/>
      <c r="BMA1" s="2235"/>
      <c r="BMB1" s="2235"/>
      <c r="BMC1" s="2235"/>
      <c r="BMD1" s="2235"/>
      <c r="BME1" s="2235"/>
      <c r="BMF1" s="2235"/>
      <c r="BMG1" s="2235"/>
      <c r="BMH1" s="2235"/>
      <c r="BMI1" s="2235"/>
      <c r="BMJ1" s="2235"/>
      <c r="BMK1" s="2235"/>
      <c r="BML1" s="2235"/>
      <c r="BMM1" s="2235"/>
      <c r="BMN1" s="2235"/>
      <c r="BMO1" s="2235"/>
      <c r="BMP1" s="2235"/>
      <c r="BMQ1" s="2235"/>
      <c r="BMR1" s="2235"/>
      <c r="BMS1" s="2235"/>
      <c r="BMT1" s="2235"/>
      <c r="BMU1" s="2235"/>
      <c r="BMV1" s="2235"/>
      <c r="BMW1" s="2235"/>
      <c r="BMX1" s="2235"/>
      <c r="BMY1" s="2235"/>
      <c r="BMZ1" s="2235"/>
      <c r="BNA1" s="2235"/>
      <c r="BNB1" s="2235"/>
      <c r="BNC1" s="2235"/>
      <c r="BND1" s="2235"/>
      <c r="BNE1" s="2235"/>
      <c r="BNF1" s="2235"/>
      <c r="BNG1" s="2235"/>
      <c r="BNH1" s="2235"/>
      <c r="BNI1" s="2235"/>
      <c r="BNJ1" s="2235"/>
      <c r="BNK1" s="2235"/>
      <c r="BNL1" s="2235"/>
      <c r="BNM1" s="2235"/>
      <c r="BNN1" s="2235"/>
      <c r="BNO1" s="2235"/>
      <c r="BNP1" s="2235"/>
      <c r="BNQ1" s="2235"/>
      <c r="BNR1" s="2235"/>
      <c r="BNS1" s="2235"/>
      <c r="BNT1" s="2235"/>
      <c r="BNU1" s="2235"/>
      <c r="BNV1" s="2235"/>
      <c r="BNW1" s="2235"/>
      <c r="BNX1" s="2235"/>
      <c r="BNY1" s="2235"/>
      <c r="BNZ1" s="2235"/>
      <c r="BOA1" s="2235"/>
      <c r="BOB1" s="2235"/>
      <c r="BOC1" s="2235"/>
      <c r="BOD1" s="2235"/>
      <c r="BOE1" s="2235"/>
      <c r="BOF1" s="2235"/>
      <c r="BOG1" s="2235"/>
      <c r="BOH1" s="2235"/>
      <c r="BOI1" s="2235"/>
      <c r="BOJ1" s="2235"/>
      <c r="BOK1" s="2235"/>
      <c r="BOL1" s="2235"/>
      <c r="BOM1" s="2235"/>
      <c r="BON1" s="2235"/>
      <c r="BOO1" s="2235"/>
      <c r="BOP1" s="2235"/>
      <c r="BOQ1" s="2235"/>
      <c r="BOR1" s="2235"/>
      <c r="BOS1" s="2235"/>
      <c r="BOT1" s="2235"/>
      <c r="BOU1" s="2235"/>
      <c r="BOV1" s="2235"/>
      <c r="BOW1" s="2235"/>
      <c r="BOX1" s="2235"/>
      <c r="BOY1" s="2235"/>
      <c r="BOZ1" s="2235"/>
      <c r="BPA1" s="2235"/>
      <c r="BPB1" s="2235"/>
      <c r="BPC1" s="2235"/>
      <c r="BPD1" s="2235"/>
      <c r="BPE1" s="2235"/>
      <c r="BPF1" s="2235"/>
      <c r="BPG1" s="2235"/>
      <c r="BPH1" s="2235"/>
      <c r="BPI1" s="2235"/>
      <c r="BPJ1" s="2235"/>
      <c r="BPK1" s="2235"/>
      <c r="BPL1" s="2235"/>
      <c r="BPM1" s="2235"/>
      <c r="BPN1" s="2235"/>
      <c r="BPO1" s="2235"/>
      <c r="BPP1" s="2235"/>
      <c r="BPQ1" s="2235"/>
      <c r="BPR1" s="2235"/>
      <c r="BPS1" s="2235"/>
      <c r="BPT1" s="2235"/>
      <c r="BPU1" s="2235"/>
      <c r="BPV1" s="2235"/>
      <c r="BPW1" s="2235"/>
      <c r="BPX1" s="2235"/>
      <c r="BPY1" s="2235"/>
      <c r="BPZ1" s="2235"/>
      <c r="BQA1" s="2235"/>
      <c r="BQB1" s="2235"/>
      <c r="BQC1" s="2235"/>
      <c r="BQD1" s="2235"/>
      <c r="BQE1" s="2235"/>
      <c r="BQF1" s="2235"/>
      <c r="BQG1" s="2235"/>
      <c r="BQH1" s="2235"/>
      <c r="BQI1" s="2235"/>
      <c r="BQJ1" s="2235"/>
      <c r="BQK1" s="2235"/>
      <c r="BQL1" s="2235"/>
      <c r="BQM1" s="2235"/>
      <c r="BQN1" s="2235"/>
      <c r="BQO1" s="2235"/>
      <c r="BQP1" s="2235"/>
      <c r="BQQ1" s="2235"/>
      <c r="BQR1" s="2235"/>
      <c r="BQS1" s="2235"/>
      <c r="BQT1" s="2235"/>
      <c r="BQU1" s="2235"/>
      <c r="BQV1" s="2235"/>
      <c r="BQW1" s="2235"/>
      <c r="BQX1" s="2235"/>
      <c r="BQY1" s="2235"/>
      <c r="BQZ1" s="2235"/>
      <c r="BRA1" s="2235"/>
      <c r="BRB1" s="2235"/>
      <c r="BRC1" s="2235"/>
      <c r="BRD1" s="2235"/>
      <c r="BRE1" s="2235"/>
      <c r="BRF1" s="2235"/>
      <c r="BRG1" s="2235"/>
      <c r="BRH1" s="2235"/>
      <c r="BRI1" s="2235"/>
      <c r="BRJ1" s="2235"/>
      <c r="BRK1" s="2235"/>
      <c r="BRL1" s="2235"/>
      <c r="BRM1" s="2235"/>
      <c r="BRN1" s="2235"/>
      <c r="BRO1" s="2235"/>
      <c r="BRP1" s="2235"/>
      <c r="BRQ1" s="2235"/>
      <c r="BRR1" s="2235"/>
      <c r="BRS1" s="2235"/>
      <c r="BRT1" s="2235"/>
      <c r="BRU1" s="2235"/>
      <c r="BRV1" s="2235"/>
      <c r="BRW1" s="2235"/>
      <c r="BRX1" s="2235"/>
      <c r="BRY1" s="2235"/>
      <c r="BRZ1" s="2235"/>
      <c r="BSA1" s="2235"/>
      <c r="BSB1" s="2235"/>
      <c r="BSC1" s="2235"/>
      <c r="BSD1" s="2235"/>
      <c r="BSE1" s="2235"/>
      <c r="BSF1" s="2235"/>
      <c r="BSG1" s="2235"/>
      <c r="BSH1" s="2235"/>
      <c r="BSI1" s="2235"/>
      <c r="BSJ1" s="2235"/>
      <c r="BSK1" s="2235"/>
      <c r="BSL1" s="2235"/>
      <c r="BSM1" s="2235"/>
      <c r="BSN1" s="2235"/>
      <c r="BSO1" s="2235"/>
      <c r="BSP1" s="2235"/>
      <c r="BSQ1" s="2235"/>
      <c r="BSR1" s="2235"/>
      <c r="BSS1" s="2235"/>
      <c r="BST1" s="2235"/>
      <c r="BSU1" s="2235"/>
      <c r="BSV1" s="2235"/>
      <c r="BSW1" s="2235"/>
      <c r="BSX1" s="2235"/>
      <c r="BSY1" s="2235"/>
      <c r="BSZ1" s="2235"/>
      <c r="BTA1" s="2235"/>
      <c r="BTB1" s="2235"/>
      <c r="BTC1" s="2235"/>
      <c r="BTD1" s="2235"/>
      <c r="BTE1" s="2235"/>
      <c r="BTF1" s="2235"/>
      <c r="BTG1" s="2235"/>
      <c r="BTH1" s="2235"/>
      <c r="BTI1" s="2235"/>
      <c r="BTJ1" s="2235"/>
      <c r="BTK1" s="2235"/>
      <c r="BTL1" s="2235"/>
      <c r="BTM1" s="2235"/>
      <c r="BTN1" s="2235"/>
      <c r="BTO1" s="2235"/>
      <c r="BTP1" s="2235"/>
      <c r="BTQ1" s="2235"/>
      <c r="BTR1" s="2235"/>
      <c r="BTS1" s="2235"/>
      <c r="BTT1" s="2235"/>
      <c r="BTU1" s="2235"/>
      <c r="BTV1" s="2235"/>
      <c r="BTW1" s="2235"/>
      <c r="BTX1" s="2235"/>
      <c r="BTY1" s="2235"/>
      <c r="BTZ1" s="2235"/>
      <c r="BUA1" s="2235"/>
      <c r="BUB1" s="2235"/>
      <c r="BUC1" s="2235"/>
      <c r="BUD1" s="2235"/>
      <c r="BUE1" s="2235"/>
      <c r="BUF1" s="2235"/>
      <c r="BUG1" s="2235"/>
      <c r="BUH1" s="2235"/>
      <c r="BUI1" s="2235"/>
      <c r="BUJ1" s="2235"/>
      <c r="BUK1" s="2235"/>
      <c r="BUL1" s="2235"/>
      <c r="BUM1" s="2235"/>
      <c r="BUN1" s="2235"/>
      <c r="BUO1" s="2235"/>
      <c r="BUP1" s="2235"/>
      <c r="BUQ1" s="2235"/>
      <c r="BUR1" s="2235"/>
      <c r="BUS1" s="2235"/>
      <c r="BUT1" s="2235"/>
      <c r="BUU1" s="2235"/>
      <c r="BUV1" s="2235"/>
      <c r="BUW1" s="2235"/>
      <c r="BUX1" s="2235"/>
      <c r="BUY1" s="2235"/>
      <c r="BUZ1" s="2235"/>
      <c r="BVA1" s="2235"/>
      <c r="BVB1" s="2235"/>
      <c r="BVC1" s="2235"/>
      <c r="BVD1" s="2235"/>
      <c r="BVE1" s="2235"/>
      <c r="BVF1" s="2235"/>
      <c r="BVG1" s="2235"/>
      <c r="BVH1" s="2235"/>
      <c r="BVI1" s="2235"/>
      <c r="BVJ1" s="2235"/>
      <c r="BVK1" s="2235"/>
      <c r="BVL1" s="2235"/>
      <c r="BVM1" s="2235"/>
      <c r="BVN1" s="2235"/>
      <c r="BVO1" s="2235"/>
      <c r="BVP1" s="2235"/>
      <c r="BVQ1" s="2235"/>
      <c r="BVR1" s="2235"/>
      <c r="BVS1" s="2235"/>
      <c r="BVT1" s="2235"/>
      <c r="BVU1" s="2235"/>
      <c r="BVV1" s="2235"/>
      <c r="BVW1" s="2235"/>
      <c r="BVX1" s="2235"/>
      <c r="BVY1" s="2235"/>
      <c r="BVZ1" s="2235"/>
      <c r="BWA1" s="2235"/>
      <c r="BWB1" s="2235"/>
      <c r="BWC1" s="2235"/>
      <c r="BWD1" s="2235"/>
      <c r="BWE1" s="2235"/>
      <c r="BWF1" s="2235"/>
      <c r="BWG1" s="2235"/>
      <c r="BWH1" s="2235"/>
      <c r="BWI1" s="2235"/>
      <c r="BWJ1" s="2235"/>
      <c r="BWK1" s="2235"/>
      <c r="BWL1" s="2235"/>
      <c r="BWM1" s="2235"/>
      <c r="BWN1" s="2235"/>
      <c r="BWO1" s="2235"/>
      <c r="BWP1" s="2235"/>
      <c r="BWQ1" s="2235"/>
      <c r="BWR1" s="2235"/>
      <c r="BWS1" s="2235"/>
      <c r="BWT1" s="2235"/>
      <c r="BWU1" s="2235"/>
      <c r="BWV1" s="2235"/>
      <c r="BWW1" s="2235"/>
      <c r="BWX1" s="2235"/>
      <c r="BWY1" s="2235"/>
      <c r="BWZ1" s="2235"/>
      <c r="BXA1" s="2235"/>
      <c r="BXB1" s="2235"/>
      <c r="BXC1" s="2235"/>
      <c r="BXD1" s="2235"/>
      <c r="BXE1" s="2235"/>
      <c r="BXF1" s="2235"/>
      <c r="BXG1" s="2235"/>
      <c r="BXH1" s="2235"/>
      <c r="BXI1" s="2235"/>
      <c r="BXJ1" s="2235"/>
      <c r="BXK1" s="2235"/>
      <c r="BXL1" s="2235"/>
      <c r="BXM1" s="2235"/>
      <c r="BXN1" s="2235"/>
      <c r="BXO1" s="2235"/>
      <c r="BXP1" s="2235"/>
      <c r="BXQ1" s="2235"/>
      <c r="BXR1" s="2235"/>
      <c r="BXS1" s="2235"/>
      <c r="BXT1" s="2235"/>
      <c r="BXU1" s="2235"/>
      <c r="BXV1" s="2235"/>
      <c r="BXW1" s="2235"/>
      <c r="BXX1" s="2235"/>
      <c r="BXY1" s="2235"/>
      <c r="BXZ1" s="2235"/>
      <c r="BYA1" s="2235"/>
      <c r="BYB1" s="2235"/>
      <c r="BYC1" s="2235"/>
      <c r="BYD1" s="2235"/>
      <c r="BYE1" s="2235"/>
      <c r="BYF1" s="2235"/>
      <c r="BYG1" s="2235"/>
      <c r="BYH1" s="2235"/>
      <c r="BYI1" s="2235"/>
      <c r="BYJ1" s="2235"/>
      <c r="BYK1" s="2235"/>
      <c r="BYL1" s="2235"/>
      <c r="BYM1" s="2235"/>
      <c r="BYN1" s="2235"/>
      <c r="BYO1" s="2235"/>
      <c r="BYP1" s="2235"/>
      <c r="BYQ1" s="2235"/>
      <c r="BYR1" s="2235"/>
      <c r="BYS1" s="2235"/>
      <c r="BYT1" s="2235"/>
      <c r="BYU1" s="2235"/>
      <c r="BYV1" s="2235"/>
      <c r="BYW1" s="2235"/>
      <c r="BYX1" s="2235"/>
      <c r="BYY1" s="2235"/>
      <c r="BYZ1" s="2235"/>
      <c r="BZA1" s="2235"/>
      <c r="BZB1" s="2235"/>
      <c r="BZC1" s="2235"/>
      <c r="BZD1" s="2235"/>
      <c r="BZE1" s="2235"/>
      <c r="BZF1" s="2235"/>
      <c r="BZG1" s="2235"/>
      <c r="BZH1" s="2235"/>
      <c r="BZI1" s="2235"/>
      <c r="BZJ1" s="2235"/>
      <c r="BZK1" s="2235"/>
      <c r="BZL1" s="2235"/>
      <c r="BZM1" s="2235"/>
      <c r="BZN1" s="2235"/>
      <c r="BZO1" s="2235"/>
      <c r="BZP1" s="2235"/>
      <c r="BZQ1" s="2235"/>
      <c r="BZR1" s="2235"/>
      <c r="BZS1" s="2235"/>
      <c r="BZT1" s="2235"/>
      <c r="BZU1" s="2235"/>
      <c r="BZV1" s="2235"/>
      <c r="BZW1" s="2235"/>
      <c r="BZX1" s="2235"/>
      <c r="BZY1" s="2235"/>
      <c r="BZZ1" s="2235"/>
      <c r="CAA1" s="2235"/>
      <c r="CAB1" s="2235"/>
      <c r="CAC1" s="2235"/>
      <c r="CAD1" s="2235"/>
      <c r="CAE1" s="2235"/>
      <c r="CAF1" s="2235"/>
      <c r="CAG1" s="2235"/>
      <c r="CAH1" s="2235"/>
      <c r="CAI1" s="2235"/>
      <c r="CAJ1" s="2235"/>
      <c r="CAK1" s="2235"/>
      <c r="CAL1" s="2235"/>
      <c r="CAM1" s="2235"/>
      <c r="CAN1" s="2235"/>
      <c r="CAO1" s="2235"/>
      <c r="CAP1" s="2235"/>
      <c r="CAQ1" s="2235"/>
      <c r="CAR1" s="2235"/>
      <c r="CAS1" s="2235"/>
      <c r="CAT1" s="2235"/>
      <c r="CAU1" s="2235"/>
      <c r="CAV1" s="2235"/>
      <c r="CAW1" s="2235"/>
      <c r="CAX1" s="2235"/>
      <c r="CAY1" s="2235"/>
      <c r="CAZ1" s="2235"/>
      <c r="CBA1" s="2235"/>
      <c r="CBB1" s="2235"/>
      <c r="CBC1" s="2235"/>
      <c r="CBD1" s="2235"/>
      <c r="CBE1" s="2235"/>
      <c r="CBF1" s="2235"/>
      <c r="CBG1" s="2235"/>
      <c r="CBH1" s="2235"/>
      <c r="CBI1" s="2235"/>
      <c r="CBJ1" s="2235"/>
      <c r="CBK1" s="2235"/>
      <c r="CBL1" s="2235"/>
      <c r="CBM1" s="2235"/>
      <c r="CBN1" s="2235"/>
      <c r="CBO1" s="2235"/>
      <c r="CBP1" s="2235"/>
      <c r="CBQ1" s="2235"/>
      <c r="CBR1" s="2235"/>
      <c r="CBS1" s="2235"/>
      <c r="CBT1" s="2235"/>
      <c r="CBU1" s="2235"/>
      <c r="CBV1" s="2235"/>
      <c r="CBW1" s="2235"/>
      <c r="CBX1" s="2235"/>
      <c r="CBY1" s="2235"/>
      <c r="CBZ1" s="2235"/>
      <c r="CCA1" s="2235"/>
      <c r="CCB1" s="2235"/>
      <c r="CCC1" s="2235"/>
      <c r="CCD1" s="2235"/>
      <c r="CCE1" s="2235"/>
      <c r="CCF1" s="2235"/>
      <c r="CCG1" s="2235"/>
      <c r="CCH1" s="2235"/>
      <c r="CCI1" s="2235"/>
      <c r="CCJ1" s="2235"/>
      <c r="CCK1" s="2235"/>
      <c r="CCL1" s="2235"/>
      <c r="CCM1" s="2235"/>
      <c r="CCN1" s="2235"/>
      <c r="CCO1" s="2235"/>
      <c r="CCP1" s="2235"/>
      <c r="CCQ1" s="2235"/>
      <c r="CCR1" s="2235"/>
      <c r="CCS1" s="2235"/>
      <c r="CCT1" s="2235"/>
      <c r="CCU1" s="2235"/>
      <c r="CCV1" s="2235"/>
      <c r="CCW1" s="2235"/>
      <c r="CCX1" s="2235"/>
      <c r="CCY1" s="2235"/>
      <c r="CCZ1" s="2235"/>
      <c r="CDA1" s="2235"/>
      <c r="CDB1" s="2235"/>
      <c r="CDC1" s="2235"/>
      <c r="CDD1" s="2235"/>
      <c r="CDE1" s="2235"/>
      <c r="CDF1" s="2235"/>
      <c r="CDG1" s="2235"/>
      <c r="CDH1" s="2235"/>
      <c r="CDI1" s="2235"/>
      <c r="CDJ1" s="2235"/>
      <c r="CDK1" s="2235"/>
      <c r="CDL1" s="2235"/>
      <c r="CDM1" s="2235"/>
      <c r="CDN1" s="2235"/>
      <c r="CDO1" s="2235"/>
      <c r="CDP1" s="2235"/>
      <c r="CDQ1" s="2235"/>
      <c r="CDR1" s="2235"/>
      <c r="CDS1" s="2235"/>
      <c r="CDT1" s="2235"/>
      <c r="CDU1" s="2235"/>
      <c r="CDV1" s="2235"/>
      <c r="CDW1" s="2235"/>
      <c r="CDX1" s="2235"/>
      <c r="CDY1" s="2235"/>
      <c r="CDZ1" s="2235"/>
      <c r="CEA1" s="2235"/>
      <c r="CEB1" s="2235"/>
      <c r="CEC1" s="2235"/>
      <c r="CED1" s="2235"/>
      <c r="CEE1" s="2235"/>
      <c r="CEF1" s="2235"/>
      <c r="CEG1" s="2235"/>
      <c r="CEH1" s="2235"/>
      <c r="CEI1" s="2235"/>
      <c r="CEJ1" s="2235"/>
      <c r="CEK1" s="2235"/>
      <c r="CEL1" s="2235"/>
      <c r="CEM1" s="2235"/>
      <c r="CEN1" s="2235"/>
      <c r="CEO1" s="2235"/>
      <c r="CEP1" s="2235"/>
      <c r="CEQ1" s="2235"/>
      <c r="CER1" s="2235"/>
      <c r="CES1" s="2235"/>
      <c r="CET1" s="2235"/>
      <c r="CEU1" s="2235"/>
      <c r="CEV1" s="2235"/>
      <c r="CEW1" s="2235"/>
      <c r="CEX1" s="2235"/>
      <c r="CEY1" s="2235"/>
      <c r="CEZ1" s="2235"/>
      <c r="CFA1" s="2235"/>
      <c r="CFB1" s="2235"/>
      <c r="CFC1" s="2235"/>
      <c r="CFD1" s="2235"/>
      <c r="CFE1" s="2235"/>
      <c r="CFF1" s="2235"/>
      <c r="CFG1" s="2235"/>
      <c r="CFH1" s="2235"/>
      <c r="CFI1" s="2235"/>
      <c r="CFJ1" s="2235"/>
      <c r="CFK1" s="2235"/>
      <c r="CFL1" s="2235"/>
      <c r="CFM1" s="2235"/>
      <c r="CFN1" s="2235"/>
      <c r="CFO1" s="2235"/>
      <c r="CFP1" s="2235"/>
      <c r="CFQ1" s="2235"/>
      <c r="CFR1" s="2235"/>
      <c r="CFS1" s="2235"/>
      <c r="CFT1" s="2235"/>
      <c r="CFU1" s="2235"/>
      <c r="CFV1" s="2235"/>
      <c r="CFW1" s="2235"/>
      <c r="CFX1" s="2235"/>
      <c r="CFY1" s="2235"/>
      <c r="CFZ1" s="2235"/>
      <c r="CGA1" s="2235"/>
      <c r="CGB1" s="2235"/>
      <c r="CGC1" s="2235"/>
      <c r="CGD1" s="2235"/>
      <c r="CGE1" s="2235"/>
      <c r="CGF1" s="2235"/>
      <c r="CGG1" s="2235"/>
      <c r="CGH1" s="2235"/>
      <c r="CGI1" s="2235"/>
      <c r="CGJ1" s="2235"/>
      <c r="CGK1" s="2235"/>
      <c r="CGL1" s="2235"/>
      <c r="CGM1" s="2235"/>
      <c r="CGN1" s="2235"/>
      <c r="CGO1" s="2235"/>
      <c r="CGP1" s="2235"/>
      <c r="CGQ1" s="2235"/>
      <c r="CGR1" s="2235"/>
      <c r="CGS1" s="2235"/>
      <c r="CGT1" s="2235"/>
      <c r="CGU1" s="2235"/>
      <c r="CGV1" s="2235"/>
      <c r="CGW1" s="2235"/>
      <c r="CGX1" s="2235"/>
      <c r="CGY1" s="2235"/>
      <c r="CGZ1" s="2235"/>
      <c r="CHA1" s="2235"/>
      <c r="CHB1" s="2235"/>
      <c r="CHC1" s="2235"/>
      <c r="CHD1" s="2235"/>
      <c r="CHE1" s="2235"/>
      <c r="CHF1" s="2235"/>
      <c r="CHG1" s="2235"/>
      <c r="CHH1" s="2235"/>
      <c r="CHI1" s="2235"/>
      <c r="CHJ1" s="2235"/>
      <c r="CHK1" s="2235"/>
      <c r="CHL1" s="2235"/>
      <c r="CHM1" s="2235"/>
      <c r="CHN1" s="2235"/>
      <c r="CHO1" s="2235"/>
      <c r="CHP1" s="2235"/>
      <c r="CHQ1" s="2235"/>
      <c r="CHR1" s="2235"/>
      <c r="CHS1" s="2235"/>
      <c r="CHT1" s="2235"/>
      <c r="CHU1" s="2235"/>
      <c r="CHV1" s="2235"/>
      <c r="CHW1" s="2235"/>
      <c r="CHX1" s="2235"/>
      <c r="CHY1" s="2235"/>
      <c r="CHZ1" s="2235"/>
      <c r="CIA1" s="2235"/>
      <c r="CIB1" s="2235"/>
      <c r="CIC1" s="2235"/>
      <c r="CID1" s="2235"/>
      <c r="CIE1" s="2235"/>
      <c r="CIF1" s="2235"/>
      <c r="CIG1" s="2235"/>
      <c r="CIH1" s="2235"/>
      <c r="CII1" s="2235"/>
      <c r="CIJ1" s="2235"/>
      <c r="CIK1" s="2235"/>
      <c r="CIL1" s="2235"/>
      <c r="CIM1" s="2235"/>
      <c r="CIN1" s="2235"/>
      <c r="CIO1" s="2235"/>
      <c r="CIP1" s="2235"/>
      <c r="CIQ1" s="2235"/>
      <c r="CIR1" s="2235"/>
      <c r="CIS1" s="2235"/>
      <c r="CIT1" s="2235"/>
      <c r="CIU1" s="2235"/>
      <c r="CIV1" s="2235"/>
      <c r="CIW1" s="2235"/>
      <c r="CIX1" s="2235"/>
      <c r="CIY1" s="2235"/>
      <c r="CIZ1" s="2235"/>
      <c r="CJA1" s="2235"/>
      <c r="CJB1" s="2235"/>
      <c r="CJC1" s="2235"/>
      <c r="CJD1" s="2235"/>
      <c r="CJE1" s="2235"/>
      <c r="CJF1" s="2235"/>
      <c r="CJG1" s="2235"/>
      <c r="CJH1" s="2235"/>
      <c r="CJI1" s="2235"/>
      <c r="CJJ1" s="2235"/>
      <c r="CJK1" s="2235"/>
      <c r="CJL1" s="2235"/>
      <c r="CJM1" s="2235"/>
      <c r="CJN1" s="2235"/>
      <c r="CJO1" s="2235"/>
      <c r="CJP1" s="2235"/>
      <c r="CJQ1" s="2235"/>
      <c r="CJR1" s="2235"/>
      <c r="CJS1" s="2235"/>
      <c r="CJT1" s="2235"/>
      <c r="CJU1" s="2235"/>
      <c r="CJV1" s="2235"/>
      <c r="CJW1" s="2235"/>
      <c r="CJX1" s="2235"/>
      <c r="CJY1" s="2235"/>
      <c r="CJZ1" s="2235"/>
      <c r="CKA1" s="2235"/>
      <c r="CKB1" s="2235"/>
      <c r="CKC1" s="2235"/>
      <c r="CKD1" s="2235"/>
      <c r="CKE1" s="2235"/>
      <c r="CKF1" s="2235"/>
      <c r="CKG1" s="2235"/>
      <c r="CKH1" s="2235"/>
      <c r="CKI1" s="2235"/>
      <c r="CKJ1" s="2235"/>
      <c r="CKK1" s="2235"/>
      <c r="CKL1" s="2235"/>
      <c r="CKM1" s="2235"/>
      <c r="CKN1" s="2235"/>
      <c r="CKO1" s="2235"/>
      <c r="CKP1" s="2235"/>
      <c r="CKQ1" s="2235"/>
      <c r="CKR1" s="2235"/>
      <c r="CKS1" s="2235"/>
      <c r="CKT1" s="2235"/>
      <c r="CKU1" s="2235"/>
      <c r="CKV1" s="2235"/>
      <c r="CKW1" s="2235"/>
      <c r="CKX1" s="2235"/>
      <c r="CKY1" s="2235"/>
      <c r="CKZ1" s="2235"/>
      <c r="CLA1" s="2235"/>
      <c r="CLB1" s="2235"/>
      <c r="CLC1" s="2235"/>
      <c r="CLD1" s="2235"/>
      <c r="CLE1" s="2235"/>
      <c r="CLF1" s="2235"/>
      <c r="CLG1" s="2235"/>
      <c r="CLH1" s="2235"/>
      <c r="CLI1" s="2235"/>
      <c r="CLJ1" s="2235"/>
      <c r="CLK1" s="2235"/>
      <c r="CLL1" s="2235"/>
      <c r="CLM1" s="2235"/>
      <c r="CLN1" s="2235"/>
      <c r="CLO1" s="2235"/>
      <c r="CLP1" s="2235"/>
      <c r="CLQ1" s="2235"/>
      <c r="CLR1" s="2235"/>
      <c r="CLS1" s="2235"/>
      <c r="CLT1" s="2235"/>
      <c r="CLU1" s="2235"/>
      <c r="CLV1" s="2235"/>
      <c r="CLW1" s="2235"/>
      <c r="CLX1" s="2235"/>
      <c r="CLY1" s="2235"/>
      <c r="CLZ1" s="2235"/>
      <c r="CMA1" s="2235"/>
      <c r="CMB1" s="2235"/>
      <c r="CMC1" s="2235"/>
      <c r="CMD1" s="2235"/>
      <c r="CME1" s="2235"/>
      <c r="CMF1" s="2235"/>
      <c r="CMG1" s="2235"/>
      <c r="CMH1" s="2235"/>
      <c r="CMI1" s="2235"/>
      <c r="CMJ1" s="2235"/>
      <c r="CMK1" s="2235"/>
      <c r="CML1" s="2235"/>
      <c r="CMM1" s="2235"/>
      <c r="CMN1" s="2235"/>
      <c r="CMO1" s="2235"/>
      <c r="CMP1" s="2235"/>
      <c r="CMQ1" s="2235"/>
      <c r="CMR1" s="2235"/>
      <c r="CMS1" s="2235"/>
      <c r="CMT1" s="2235"/>
      <c r="CMU1" s="2235"/>
      <c r="CMV1" s="2235"/>
      <c r="CMW1" s="2235"/>
      <c r="CMX1" s="2235"/>
      <c r="CMY1" s="2235"/>
      <c r="CMZ1" s="2235"/>
      <c r="CNA1" s="2235"/>
      <c r="CNB1" s="2235"/>
      <c r="CNC1" s="2235"/>
      <c r="CND1" s="2235"/>
      <c r="CNE1" s="2235"/>
      <c r="CNF1" s="2235"/>
      <c r="CNG1" s="2235"/>
      <c r="CNH1" s="2235"/>
      <c r="CNI1" s="2235"/>
      <c r="CNJ1" s="2235"/>
      <c r="CNK1" s="2235"/>
      <c r="CNL1" s="2235"/>
      <c r="CNM1" s="2235"/>
      <c r="CNN1" s="2235"/>
      <c r="CNO1" s="2235"/>
      <c r="CNP1" s="2235"/>
      <c r="CNQ1" s="2235"/>
      <c r="CNR1" s="2235"/>
      <c r="CNS1" s="2235"/>
      <c r="CNT1" s="2235"/>
      <c r="CNU1" s="2235"/>
      <c r="CNV1" s="2235"/>
      <c r="CNW1" s="2235"/>
      <c r="CNX1" s="2235"/>
      <c r="CNY1" s="2235"/>
      <c r="CNZ1" s="2235"/>
      <c r="COA1" s="2235"/>
      <c r="COB1" s="2235"/>
      <c r="COC1" s="2235"/>
      <c r="COD1" s="2235"/>
      <c r="COE1" s="2235"/>
      <c r="COF1" s="2235"/>
      <c r="COG1" s="2235"/>
      <c r="COH1" s="2235"/>
      <c r="COI1" s="2235"/>
      <c r="COJ1" s="2235"/>
      <c r="COK1" s="2235"/>
      <c r="COL1" s="2235"/>
      <c r="COM1" s="2235"/>
      <c r="CON1" s="2235"/>
      <c r="COO1" s="2235"/>
      <c r="COP1" s="2235"/>
      <c r="COQ1" s="2235"/>
      <c r="COR1" s="2235"/>
      <c r="COS1" s="2235"/>
      <c r="COT1" s="2235"/>
      <c r="COU1" s="2235"/>
      <c r="COV1" s="2235"/>
      <c r="COW1" s="2235"/>
      <c r="COX1" s="2235"/>
      <c r="COY1" s="2235"/>
      <c r="COZ1" s="2235"/>
      <c r="CPA1" s="2235"/>
      <c r="CPB1" s="2235"/>
      <c r="CPC1" s="2235"/>
      <c r="CPD1" s="2235"/>
      <c r="CPE1" s="2235"/>
      <c r="CPF1" s="2235"/>
      <c r="CPG1" s="2235"/>
      <c r="CPH1" s="2235"/>
      <c r="CPI1" s="2235"/>
      <c r="CPJ1" s="2235"/>
      <c r="CPK1" s="2235"/>
      <c r="CPL1" s="2235"/>
      <c r="CPM1" s="2235"/>
      <c r="CPN1" s="2235"/>
      <c r="CPO1" s="2235"/>
      <c r="CPP1" s="2235"/>
      <c r="CPQ1" s="2235"/>
      <c r="CPR1" s="2235"/>
      <c r="CPS1" s="2235"/>
      <c r="CPT1" s="2235"/>
      <c r="CPU1" s="2235"/>
      <c r="CPV1" s="2235"/>
      <c r="CPW1" s="2235"/>
      <c r="CPX1" s="2235"/>
      <c r="CPY1" s="2235"/>
      <c r="CPZ1" s="2235"/>
      <c r="CQA1" s="2235"/>
      <c r="CQB1" s="2235"/>
      <c r="CQC1" s="2235"/>
      <c r="CQD1" s="2235"/>
      <c r="CQE1" s="2235"/>
      <c r="CQF1" s="2235"/>
      <c r="CQG1" s="2235"/>
      <c r="CQH1" s="2235"/>
      <c r="CQI1" s="2235"/>
      <c r="CQJ1" s="2235"/>
      <c r="CQK1" s="2235"/>
      <c r="CQL1" s="2235"/>
      <c r="CQM1" s="2235"/>
      <c r="CQN1" s="2235"/>
      <c r="CQO1" s="2235"/>
      <c r="CQP1" s="2235"/>
      <c r="CQQ1" s="2235"/>
      <c r="CQR1" s="2235"/>
      <c r="CQS1" s="2235"/>
      <c r="CQT1" s="2235"/>
      <c r="CQU1" s="2235"/>
      <c r="CQV1" s="2235"/>
      <c r="CQW1" s="2235"/>
      <c r="CQX1" s="2235"/>
      <c r="CQY1" s="2235"/>
      <c r="CQZ1" s="2235"/>
      <c r="CRA1" s="2235"/>
      <c r="CRB1" s="2235"/>
      <c r="CRC1" s="2235"/>
      <c r="CRD1" s="2235"/>
      <c r="CRE1" s="2235"/>
      <c r="CRF1" s="2235"/>
      <c r="CRG1" s="2235"/>
      <c r="CRH1" s="2235"/>
      <c r="CRI1" s="2235"/>
      <c r="CRJ1" s="2235"/>
      <c r="CRK1" s="2235"/>
      <c r="CRL1" s="2235"/>
      <c r="CRM1" s="2235"/>
      <c r="CRN1" s="2235"/>
      <c r="CRO1" s="2235"/>
      <c r="CRP1" s="2235"/>
      <c r="CRQ1" s="2235"/>
      <c r="CRR1" s="2235"/>
      <c r="CRS1" s="2235"/>
      <c r="CRT1" s="2235"/>
      <c r="CRU1" s="2235"/>
      <c r="CRV1" s="2235"/>
      <c r="CRW1" s="2235"/>
      <c r="CRX1" s="2235"/>
      <c r="CRY1" s="2235"/>
      <c r="CRZ1" s="2235"/>
      <c r="CSA1" s="2235"/>
      <c r="CSB1" s="2235"/>
      <c r="CSC1" s="2235"/>
      <c r="CSD1" s="2235"/>
      <c r="CSE1" s="2235"/>
      <c r="CSF1" s="2235"/>
      <c r="CSG1" s="2235"/>
      <c r="CSH1" s="2235"/>
      <c r="CSI1" s="2235"/>
      <c r="CSJ1" s="2235"/>
      <c r="CSK1" s="2235"/>
      <c r="CSL1" s="2235"/>
      <c r="CSM1" s="2235"/>
      <c r="CSN1" s="2235"/>
      <c r="CSO1" s="2235"/>
      <c r="CSP1" s="2235"/>
      <c r="CSQ1" s="2235"/>
      <c r="CSR1" s="2235"/>
      <c r="CSS1" s="2235"/>
      <c r="CST1" s="2235"/>
      <c r="CSU1" s="2235"/>
      <c r="CSV1" s="2235"/>
      <c r="CSW1" s="2235"/>
      <c r="CSX1" s="2235"/>
      <c r="CSY1" s="2235"/>
      <c r="CSZ1" s="2235"/>
      <c r="CTA1" s="2235"/>
      <c r="CTB1" s="2235"/>
      <c r="CTC1" s="2235"/>
      <c r="CTD1" s="2235"/>
      <c r="CTE1" s="2235"/>
      <c r="CTF1" s="2235"/>
      <c r="CTG1" s="2235"/>
      <c r="CTH1" s="2235"/>
      <c r="CTI1" s="2235"/>
      <c r="CTJ1" s="2235"/>
      <c r="CTK1" s="2235"/>
      <c r="CTL1" s="2235"/>
      <c r="CTM1" s="2235"/>
      <c r="CTN1" s="2235"/>
      <c r="CTO1" s="2235"/>
      <c r="CTP1" s="2235"/>
      <c r="CTQ1" s="2235"/>
      <c r="CTR1" s="2235"/>
      <c r="CTS1" s="2235"/>
      <c r="CTT1" s="2235"/>
      <c r="CTU1" s="2235"/>
      <c r="CTV1" s="2235"/>
      <c r="CTW1" s="2235"/>
      <c r="CTX1" s="2235"/>
      <c r="CTY1" s="2235"/>
      <c r="CTZ1" s="2235"/>
      <c r="CUA1" s="2235"/>
      <c r="CUB1" s="2235"/>
      <c r="CUC1" s="2235"/>
      <c r="CUD1" s="2235"/>
      <c r="CUE1" s="2235"/>
      <c r="CUF1" s="2235"/>
      <c r="CUG1" s="2235"/>
      <c r="CUH1" s="2235"/>
      <c r="CUI1" s="2235"/>
      <c r="CUJ1" s="2235"/>
      <c r="CUK1" s="2235"/>
      <c r="CUL1" s="2235"/>
      <c r="CUM1" s="2235"/>
      <c r="CUN1" s="2235"/>
      <c r="CUO1" s="2235"/>
      <c r="CUP1" s="2235"/>
      <c r="CUQ1" s="2235"/>
      <c r="CUR1" s="2235"/>
      <c r="CUS1" s="2235"/>
      <c r="CUT1" s="2235"/>
      <c r="CUU1" s="2235"/>
      <c r="CUV1" s="2235"/>
      <c r="CUW1" s="2235"/>
      <c r="CUX1" s="2235"/>
      <c r="CUY1" s="2235"/>
      <c r="CUZ1" s="2235"/>
      <c r="CVA1" s="2235"/>
      <c r="CVB1" s="2235"/>
      <c r="CVC1" s="2235"/>
      <c r="CVD1" s="2235"/>
      <c r="CVE1" s="2235"/>
      <c r="CVF1" s="2235"/>
      <c r="CVG1" s="2235"/>
      <c r="CVH1" s="2235"/>
      <c r="CVI1" s="2235"/>
      <c r="CVJ1" s="2235"/>
      <c r="CVK1" s="2235"/>
      <c r="CVL1" s="2235"/>
      <c r="CVM1" s="2235"/>
      <c r="CVN1" s="2235"/>
      <c r="CVO1" s="2235"/>
      <c r="CVP1" s="2235"/>
      <c r="CVQ1" s="2235"/>
      <c r="CVR1" s="2235"/>
      <c r="CVS1" s="2235"/>
      <c r="CVT1" s="2235"/>
      <c r="CVU1" s="2235"/>
      <c r="CVV1" s="2235"/>
      <c r="CVW1" s="2235"/>
      <c r="CVX1" s="2235"/>
      <c r="CVY1" s="2235"/>
      <c r="CVZ1" s="2235"/>
      <c r="CWA1" s="2235"/>
      <c r="CWB1" s="2235"/>
      <c r="CWC1" s="2235"/>
      <c r="CWD1" s="2235"/>
      <c r="CWE1" s="2235"/>
      <c r="CWF1" s="2235"/>
      <c r="CWG1" s="2235"/>
      <c r="CWH1" s="2235"/>
      <c r="CWI1" s="2235"/>
      <c r="CWJ1" s="2235"/>
      <c r="CWK1" s="2235"/>
      <c r="CWL1" s="2235"/>
      <c r="CWM1" s="2235"/>
      <c r="CWN1" s="2235"/>
      <c r="CWO1" s="2235"/>
      <c r="CWP1" s="2235"/>
      <c r="CWQ1" s="2235"/>
      <c r="CWR1" s="2235"/>
      <c r="CWS1" s="2235"/>
      <c r="CWT1" s="2235"/>
      <c r="CWU1" s="2235"/>
      <c r="CWV1" s="2235"/>
      <c r="CWW1" s="2235"/>
      <c r="CWX1" s="2235"/>
      <c r="CWY1" s="2235"/>
      <c r="CWZ1" s="2235"/>
      <c r="CXA1" s="2235"/>
      <c r="CXB1" s="2235"/>
      <c r="CXC1" s="2235"/>
      <c r="CXD1" s="2235"/>
      <c r="CXE1" s="2235"/>
      <c r="CXF1" s="2235"/>
      <c r="CXG1" s="2235"/>
      <c r="CXH1" s="2235"/>
      <c r="CXI1" s="2235"/>
      <c r="CXJ1" s="2235"/>
      <c r="CXK1" s="2235"/>
      <c r="CXL1" s="2235"/>
      <c r="CXM1" s="2235"/>
      <c r="CXN1" s="2235"/>
      <c r="CXO1" s="2235"/>
      <c r="CXP1" s="2235"/>
      <c r="CXQ1" s="2235"/>
      <c r="CXR1" s="2235"/>
      <c r="CXS1" s="2235"/>
      <c r="CXT1" s="2235"/>
      <c r="CXU1" s="2235"/>
      <c r="CXV1" s="2235"/>
      <c r="CXW1" s="2235"/>
      <c r="CXX1" s="2235"/>
      <c r="CXY1" s="2235"/>
      <c r="CXZ1" s="2235"/>
      <c r="CYA1" s="2235"/>
      <c r="CYB1" s="2235"/>
      <c r="CYC1" s="2235"/>
      <c r="CYD1" s="2235"/>
      <c r="CYE1" s="2235"/>
      <c r="CYF1" s="2235"/>
      <c r="CYG1" s="2235"/>
      <c r="CYH1" s="2235"/>
      <c r="CYI1" s="2235"/>
      <c r="CYJ1" s="2235"/>
      <c r="CYK1" s="2235"/>
      <c r="CYL1" s="2235"/>
      <c r="CYM1" s="2235"/>
      <c r="CYN1" s="2235"/>
      <c r="CYO1" s="2235"/>
      <c r="CYP1" s="2235"/>
      <c r="CYQ1" s="2235"/>
      <c r="CYR1" s="2235"/>
      <c r="CYS1" s="2235"/>
      <c r="CYT1" s="2235"/>
      <c r="CYU1" s="2235"/>
      <c r="CYV1" s="2235"/>
      <c r="CYW1" s="2235"/>
      <c r="CYX1" s="2235"/>
      <c r="CYY1" s="2235"/>
      <c r="CYZ1" s="2235"/>
      <c r="CZA1" s="2235"/>
      <c r="CZB1" s="2235"/>
      <c r="CZC1" s="2235"/>
      <c r="CZD1" s="2235"/>
      <c r="CZE1" s="2235"/>
      <c r="CZF1" s="2235"/>
      <c r="CZG1" s="2235"/>
      <c r="CZH1" s="2235"/>
      <c r="CZI1" s="2235"/>
      <c r="CZJ1" s="2235"/>
      <c r="CZK1" s="2235"/>
      <c r="CZL1" s="2235"/>
      <c r="CZM1" s="2235"/>
      <c r="CZN1" s="2235"/>
      <c r="CZO1" s="2235"/>
      <c r="CZP1" s="2235"/>
      <c r="CZQ1" s="2235"/>
      <c r="CZR1" s="2235"/>
      <c r="CZS1" s="2235"/>
      <c r="CZT1" s="2235"/>
      <c r="CZU1" s="2235"/>
      <c r="CZV1" s="2235"/>
      <c r="CZW1" s="2235"/>
      <c r="CZX1" s="2235"/>
      <c r="CZY1" s="2235"/>
      <c r="CZZ1" s="2235"/>
      <c r="DAA1" s="2235"/>
      <c r="DAB1" s="2235"/>
      <c r="DAC1" s="2235"/>
      <c r="DAD1" s="2235"/>
      <c r="DAE1" s="2235"/>
      <c r="DAF1" s="2235"/>
      <c r="DAG1" s="2235"/>
      <c r="DAH1" s="2235"/>
      <c r="DAI1" s="2235"/>
      <c r="DAJ1" s="2235"/>
      <c r="DAK1" s="2235"/>
      <c r="DAL1" s="2235"/>
      <c r="DAM1" s="2235"/>
      <c r="DAN1" s="2235"/>
      <c r="DAO1" s="2235"/>
      <c r="DAP1" s="2235"/>
      <c r="DAQ1" s="2235"/>
      <c r="DAR1" s="2235"/>
      <c r="DAS1" s="2235"/>
      <c r="DAT1" s="2235"/>
      <c r="DAU1" s="2235"/>
      <c r="DAV1" s="2235"/>
      <c r="DAW1" s="2235"/>
      <c r="DAX1" s="2235"/>
      <c r="DAY1" s="2235"/>
      <c r="DAZ1" s="2235"/>
      <c r="DBA1" s="2235"/>
      <c r="DBB1" s="2235"/>
      <c r="DBC1" s="2235"/>
      <c r="DBD1" s="2235"/>
      <c r="DBE1" s="2235"/>
      <c r="DBF1" s="2235"/>
      <c r="DBG1" s="2235"/>
      <c r="DBH1" s="2235"/>
      <c r="DBI1" s="2235"/>
      <c r="DBJ1" s="2235"/>
      <c r="DBK1" s="2235"/>
      <c r="DBL1" s="2235"/>
      <c r="DBM1" s="2235"/>
      <c r="DBN1" s="2235"/>
      <c r="DBO1" s="2235"/>
      <c r="DBP1" s="2235"/>
      <c r="DBQ1" s="2235"/>
      <c r="DBR1" s="2235"/>
      <c r="DBS1" s="2235"/>
      <c r="DBT1" s="2235"/>
      <c r="DBU1" s="2235"/>
      <c r="DBV1" s="2235"/>
      <c r="DBW1" s="2235"/>
      <c r="DBX1" s="2235"/>
      <c r="DBY1" s="2235"/>
      <c r="DBZ1" s="2235"/>
      <c r="DCA1" s="2235"/>
      <c r="DCB1" s="2235"/>
      <c r="DCC1" s="2235"/>
      <c r="DCD1" s="2235"/>
      <c r="DCE1" s="2235"/>
      <c r="DCF1" s="2235"/>
      <c r="DCG1" s="2235"/>
      <c r="DCH1" s="2235"/>
      <c r="DCI1" s="2235"/>
      <c r="DCJ1" s="2235"/>
      <c r="DCK1" s="2235"/>
      <c r="DCL1" s="2235"/>
      <c r="DCM1" s="2235"/>
      <c r="DCN1" s="2235"/>
      <c r="DCO1" s="2235"/>
      <c r="DCP1" s="2235"/>
      <c r="DCQ1" s="2235"/>
      <c r="DCR1" s="2235"/>
      <c r="DCS1" s="2235"/>
      <c r="DCT1" s="2235"/>
      <c r="DCU1" s="2235"/>
      <c r="DCV1" s="2235"/>
      <c r="DCW1" s="2235"/>
      <c r="DCX1" s="2235"/>
      <c r="DCY1" s="2235"/>
      <c r="DCZ1" s="2235"/>
      <c r="DDA1" s="2235"/>
      <c r="DDB1" s="2235"/>
      <c r="DDC1" s="2235"/>
      <c r="DDD1" s="2235"/>
      <c r="DDE1" s="2235"/>
      <c r="DDF1" s="2235"/>
      <c r="DDG1" s="2235"/>
      <c r="DDH1" s="2235"/>
      <c r="DDI1" s="2235"/>
      <c r="DDJ1" s="2235"/>
      <c r="DDK1" s="2235"/>
      <c r="DDL1" s="2235"/>
      <c r="DDM1" s="2235"/>
      <c r="DDN1" s="2235"/>
      <c r="DDO1" s="2235"/>
      <c r="DDP1" s="2235"/>
      <c r="DDQ1" s="2235"/>
      <c r="DDR1" s="2235"/>
      <c r="DDS1" s="2235"/>
      <c r="DDT1" s="2235"/>
      <c r="DDU1" s="2235"/>
      <c r="DDV1" s="2235"/>
      <c r="DDW1" s="2235"/>
      <c r="DDX1" s="2235"/>
      <c r="DDY1" s="2235"/>
      <c r="DDZ1" s="2235"/>
      <c r="DEA1" s="2235"/>
      <c r="DEB1" s="2235"/>
      <c r="DEC1" s="2235"/>
      <c r="DED1" s="2235"/>
      <c r="DEE1" s="2235"/>
      <c r="DEF1" s="2235"/>
      <c r="DEG1" s="2235"/>
      <c r="DEH1" s="2235"/>
      <c r="DEI1" s="2235"/>
      <c r="DEJ1" s="2235"/>
      <c r="DEK1" s="2235"/>
      <c r="DEL1" s="2235"/>
      <c r="DEM1" s="2235"/>
      <c r="DEN1" s="2235"/>
      <c r="DEO1" s="2235"/>
      <c r="DEP1" s="2235"/>
      <c r="DEQ1" s="2235"/>
      <c r="DER1" s="2235"/>
      <c r="DES1" s="2235"/>
      <c r="DET1" s="2235"/>
      <c r="DEU1" s="2235"/>
      <c r="DEV1" s="2235"/>
      <c r="DEW1" s="2235"/>
      <c r="DEX1" s="2235"/>
      <c r="DEY1" s="2235"/>
      <c r="DEZ1" s="2235"/>
      <c r="DFA1" s="2235"/>
      <c r="DFB1" s="2235"/>
      <c r="DFC1" s="2235"/>
      <c r="DFD1" s="2235"/>
      <c r="DFE1" s="2235"/>
      <c r="DFF1" s="2235"/>
      <c r="DFG1" s="2235"/>
      <c r="DFH1" s="2235"/>
      <c r="DFI1" s="2235"/>
      <c r="DFJ1" s="2235"/>
      <c r="DFK1" s="2235"/>
      <c r="DFL1" s="2235"/>
      <c r="DFM1" s="2235"/>
      <c r="DFN1" s="2235"/>
      <c r="DFO1" s="2235"/>
      <c r="DFP1" s="2235"/>
      <c r="DFQ1" s="2235"/>
      <c r="DFR1" s="2235"/>
      <c r="DFS1" s="2235"/>
      <c r="DFT1" s="2235"/>
      <c r="DFU1" s="2235"/>
      <c r="DFV1" s="2235"/>
      <c r="DFW1" s="2235"/>
      <c r="DFX1" s="2235"/>
      <c r="DFY1" s="2235"/>
      <c r="DFZ1" s="2235"/>
      <c r="DGA1" s="2235"/>
      <c r="DGB1" s="2235"/>
      <c r="DGC1" s="2235"/>
      <c r="DGD1" s="2235"/>
      <c r="DGE1" s="2235"/>
      <c r="DGF1" s="2235"/>
      <c r="DGG1" s="2235"/>
      <c r="DGH1" s="2235"/>
      <c r="DGI1" s="2235"/>
      <c r="DGJ1" s="2235"/>
      <c r="DGK1" s="2235"/>
      <c r="DGL1" s="2235"/>
      <c r="DGM1" s="2235"/>
      <c r="DGN1" s="2235"/>
      <c r="DGO1" s="2235"/>
      <c r="DGP1" s="2235"/>
      <c r="DGQ1" s="2235"/>
      <c r="DGR1" s="2235"/>
      <c r="DGS1" s="2235"/>
      <c r="DGT1" s="2235"/>
      <c r="DGU1" s="2235"/>
      <c r="DGV1" s="2235"/>
      <c r="DGW1" s="2235"/>
      <c r="DGX1" s="2235"/>
      <c r="DGY1" s="2235"/>
      <c r="DGZ1" s="2235"/>
      <c r="DHA1" s="2235"/>
      <c r="DHB1" s="2235"/>
      <c r="DHC1" s="2235"/>
      <c r="DHD1" s="2235"/>
      <c r="DHE1" s="2235"/>
      <c r="DHF1" s="2235"/>
      <c r="DHG1" s="2235"/>
      <c r="DHH1" s="2235"/>
      <c r="DHI1" s="2235"/>
      <c r="DHJ1" s="2235"/>
      <c r="DHK1" s="2235"/>
      <c r="DHL1" s="2235"/>
      <c r="DHM1" s="2235"/>
      <c r="DHN1" s="2235"/>
      <c r="DHO1" s="2235"/>
      <c r="DHP1" s="2235"/>
      <c r="DHQ1" s="2235"/>
      <c r="DHR1" s="2235"/>
      <c r="DHS1" s="2235"/>
      <c r="DHT1" s="2235"/>
      <c r="DHU1" s="2235"/>
      <c r="DHV1" s="2235"/>
      <c r="DHW1" s="2235"/>
      <c r="DHX1" s="2235"/>
      <c r="DHY1" s="2235"/>
      <c r="DHZ1" s="2235"/>
      <c r="DIA1" s="2235"/>
      <c r="DIB1" s="2235"/>
      <c r="DIC1" s="2235"/>
      <c r="DID1" s="2235"/>
      <c r="DIE1" s="2235"/>
      <c r="DIF1" s="2235"/>
      <c r="DIG1" s="2235"/>
      <c r="DIH1" s="2235"/>
      <c r="DII1" s="2235"/>
      <c r="DIJ1" s="2235"/>
      <c r="DIK1" s="2235"/>
      <c r="DIL1" s="2235"/>
      <c r="DIM1" s="2235"/>
      <c r="DIN1" s="2235"/>
      <c r="DIO1" s="2235"/>
      <c r="DIP1" s="2235"/>
      <c r="DIQ1" s="2235"/>
      <c r="DIR1" s="2235"/>
      <c r="DIS1" s="2235"/>
      <c r="DIT1" s="2235"/>
      <c r="DIU1" s="2235"/>
      <c r="DIV1" s="2235"/>
      <c r="DIW1" s="2235"/>
      <c r="DIX1" s="2235"/>
      <c r="DIY1" s="2235"/>
      <c r="DIZ1" s="2235"/>
      <c r="DJA1" s="2235"/>
      <c r="DJB1" s="2235"/>
      <c r="DJC1" s="2235"/>
      <c r="DJD1" s="2235"/>
      <c r="DJE1" s="2235"/>
      <c r="DJF1" s="2235"/>
      <c r="DJG1" s="2235"/>
      <c r="DJH1" s="2235"/>
      <c r="DJI1" s="2235"/>
      <c r="DJJ1" s="2235"/>
      <c r="DJK1" s="2235"/>
      <c r="DJL1" s="2235"/>
      <c r="DJM1" s="2235"/>
      <c r="DJN1" s="2235"/>
      <c r="DJO1" s="2235"/>
      <c r="DJP1" s="2235"/>
      <c r="DJQ1" s="2235"/>
      <c r="DJR1" s="2235"/>
      <c r="DJS1" s="2235"/>
      <c r="DJT1" s="2235"/>
      <c r="DJU1" s="2235"/>
      <c r="DJV1" s="2235"/>
      <c r="DJW1" s="2235"/>
      <c r="DJX1" s="2235"/>
      <c r="DJY1" s="2235"/>
      <c r="DJZ1" s="2235"/>
      <c r="DKA1" s="2235"/>
      <c r="DKB1" s="2235"/>
      <c r="DKC1" s="2235"/>
      <c r="DKD1" s="2235"/>
      <c r="DKE1" s="2235"/>
      <c r="DKF1" s="2235"/>
      <c r="DKG1" s="2235"/>
      <c r="DKH1" s="2235"/>
      <c r="DKI1" s="2235"/>
      <c r="DKJ1" s="2235"/>
      <c r="DKK1" s="2235"/>
      <c r="DKL1" s="2235"/>
      <c r="DKM1" s="2235"/>
      <c r="DKN1" s="2235"/>
      <c r="DKO1" s="2235"/>
      <c r="DKP1" s="2235"/>
      <c r="DKQ1" s="2235"/>
      <c r="DKR1" s="2235"/>
      <c r="DKS1" s="2235"/>
      <c r="DKT1" s="2235"/>
      <c r="DKU1" s="2235"/>
      <c r="DKV1" s="2235"/>
      <c r="DKW1" s="2235"/>
      <c r="DKX1" s="2235"/>
      <c r="DKY1" s="2235"/>
      <c r="DKZ1" s="2235"/>
      <c r="DLA1" s="2235"/>
      <c r="DLB1" s="2235"/>
      <c r="DLC1" s="2235"/>
      <c r="DLD1" s="2235"/>
      <c r="DLE1" s="2235"/>
      <c r="DLF1" s="2235"/>
      <c r="DLG1" s="2235"/>
      <c r="DLH1" s="2235"/>
      <c r="DLI1" s="2235"/>
      <c r="DLJ1" s="2235"/>
      <c r="DLK1" s="2235"/>
      <c r="DLL1" s="2235"/>
      <c r="DLM1" s="2235"/>
      <c r="DLN1" s="2235"/>
      <c r="DLO1" s="2235"/>
      <c r="DLP1" s="2235"/>
      <c r="DLQ1" s="2235"/>
      <c r="DLR1" s="2235"/>
      <c r="DLS1" s="2235"/>
      <c r="DLT1" s="2235"/>
      <c r="DLU1" s="2235"/>
      <c r="DLV1" s="2235"/>
      <c r="DLW1" s="2235"/>
      <c r="DLX1" s="2235"/>
      <c r="DLY1" s="2235"/>
      <c r="DLZ1" s="2235"/>
      <c r="DMA1" s="2235"/>
      <c r="DMB1" s="2235"/>
      <c r="DMC1" s="2235"/>
      <c r="DMD1" s="2235"/>
      <c r="DME1" s="2235"/>
      <c r="DMF1" s="2235"/>
      <c r="DMG1" s="2235"/>
      <c r="DMH1" s="2235"/>
      <c r="DMI1" s="2235"/>
      <c r="DMJ1" s="2235"/>
      <c r="DMK1" s="2235"/>
      <c r="DML1" s="2235"/>
      <c r="DMM1" s="2235"/>
      <c r="DMN1" s="2235"/>
      <c r="DMO1" s="2235"/>
      <c r="DMP1" s="2235"/>
      <c r="DMQ1" s="2235"/>
      <c r="DMR1" s="2235"/>
      <c r="DMS1" s="2235"/>
      <c r="DMT1" s="2235"/>
      <c r="DMU1" s="2235"/>
      <c r="DMV1" s="2235"/>
      <c r="DMW1" s="2235"/>
      <c r="DMX1" s="2235"/>
      <c r="DMY1" s="2235"/>
      <c r="DMZ1" s="2235"/>
      <c r="DNA1" s="2235"/>
      <c r="DNB1" s="2235"/>
      <c r="DNC1" s="2235"/>
      <c r="DND1" s="2235"/>
      <c r="DNE1" s="2235"/>
      <c r="DNF1" s="2235"/>
      <c r="DNG1" s="2235"/>
      <c r="DNH1" s="2235"/>
      <c r="DNI1" s="2235"/>
      <c r="DNJ1" s="2235"/>
      <c r="DNK1" s="2235"/>
      <c r="DNL1" s="2235"/>
      <c r="DNM1" s="2235"/>
      <c r="DNN1" s="2235"/>
      <c r="DNO1" s="2235"/>
      <c r="DNP1" s="2235"/>
      <c r="DNQ1" s="2235"/>
      <c r="DNR1" s="2235"/>
      <c r="DNS1" s="2235"/>
      <c r="DNT1" s="2235"/>
      <c r="DNU1" s="2235"/>
      <c r="DNV1" s="2235"/>
      <c r="DNW1" s="2235"/>
      <c r="DNX1" s="2235"/>
      <c r="DNY1" s="2235"/>
      <c r="DNZ1" s="2235"/>
      <c r="DOA1" s="2235"/>
      <c r="DOB1" s="2235"/>
      <c r="DOC1" s="2235"/>
      <c r="DOD1" s="2235"/>
      <c r="DOE1" s="2235"/>
      <c r="DOF1" s="2235"/>
      <c r="DOG1" s="2235"/>
      <c r="DOH1" s="2235"/>
      <c r="DOI1" s="2235"/>
      <c r="DOJ1" s="2235"/>
      <c r="DOK1" s="2235"/>
      <c r="DOL1" s="2235"/>
      <c r="DOM1" s="2235"/>
      <c r="DON1" s="2235"/>
      <c r="DOO1" s="2235"/>
      <c r="DOP1" s="2235"/>
      <c r="DOQ1" s="2235"/>
      <c r="DOR1" s="2235"/>
      <c r="DOS1" s="2235"/>
      <c r="DOT1" s="2235"/>
      <c r="DOU1" s="2235"/>
      <c r="DOV1" s="2235"/>
      <c r="DOW1" s="2235"/>
      <c r="DOX1" s="2235"/>
      <c r="DOY1" s="2235"/>
      <c r="DOZ1" s="2235"/>
      <c r="DPA1" s="2235"/>
      <c r="DPB1" s="2235"/>
      <c r="DPC1" s="2235"/>
      <c r="DPD1" s="2235"/>
      <c r="DPE1" s="2235"/>
      <c r="DPF1" s="2235"/>
      <c r="DPG1" s="2235"/>
      <c r="DPH1" s="2235"/>
      <c r="DPI1" s="2235"/>
      <c r="DPJ1" s="2235"/>
      <c r="DPK1" s="2235"/>
      <c r="DPL1" s="2235"/>
      <c r="DPM1" s="2235"/>
      <c r="DPN1" s="2235"/>
      <c r="DPO1" s="2235"/>
      <c r="DPP1" s="2235"/>
      <c r="DPQ1" s="2235"/>
      <c r="DPR1" s="2235"/>
      <c r="DPS1" s="2235"/>
      <c r="DPT1" s="2235"/>
      <c r="DPU1" s="2235"/>
      <c r="DPV1" s="2235"/>
      <c r="DPW1" s="2235"/>
      <c r="DPX1" s="2235"/>
      <c r="DPY1" s="2235"/>
      <c r="DPZ1" s="2235"/>
      <c r="DQA1" s="2235"/>
      <c r="DQB1" s="2235"/>
      <c r="DQC1" s="2235"/>
      <c r="DQD1" s="2235"/>
      <c r="DQE1" s="2235"/>
      <c r="DQF1" s="2235"/>
      <c r="DQG1" s="2235"/>
      <c r="DQH1" s="2235"/>
      <c r="DQI1" s="2235"/>
      <c r="DQJ1" s="2235"/>
      <c r="DQK1" s="2235"/>
      <c r="DQL1" s="2235"/>
      <c r="DQM1" s="2235"/>
      <c r="DQN1" s="2235"/>
      <c r="DQO1" s="2235"/>
      <c r="DQP1" s="2235"/>
      <c r="DQQ1" s="2235"/>
      <c r="DQR1" s="2235"/>
      <c r="DQS1" s="2235"/>
      <c r="DQT1" s="2235"/>
      <c r="DQU1" s="2235"/>
      <c r="DQV1" s="2235"/>
      <c r="DQW1" s="2235"/>
      <c r="DQX1" s="2235"/>
      <c r="DQY1" s="2235"/>
      <c r="DQZ1" s="2235"/>
      <c r="DRA1" s="2235"/>
      <c r="DRB1" s="2235"/>
      <c r="DRC1" s="2235"/>
      <c r="DRD1" s="2235"/>
      <c r="DRE1" s="2235"/>
      <c r="DRF1" s="2235"/>
      <c r="DRG1" s="2235"/>
      <c r="DRH1" s="2235"/>
      <c r="DRI1" s="2235"/>
      <c r="DRJ1" s="2235"/>
      <c r="DRK1" s="2235"/>
      <c r="DRL1" s="2235"/>
      <c r="DRM1" s="2235"/>
      <c r="DRN1" s="2235"/>
      <c r="DRO1" s="2235"/>
      <c r="DRP1" s="2235"/>
      <c r="DRQ1" s="2235"/>
      <c r="DRR1" s="2235"/>
      <c r="DRS1" s="2235"/>
      <c r="DRT1" s="2235"/>
      <c r="DRU1" s="2235"/>
      <c r="DRV1" s="2235"/>
      <c r="DRW1" s="2235"/>
      <c r="DRX1" s="2235"/>
      <c r="DRY1" s="2235"/>
      <c r="DRZ1" s="2235"/>
      <c r="DSA1" s="2235"/>
      <c r="DSB1" s="2235"/>
      <c r="DSC1" s="2235"/>
      <c r="DSD1" s="2235"/>
      <c r="DSE1" s="2235"/>
      <c r="DSF1" s="2235"/>
      <c r="DSG1" s="2235"/>
      <c r="DSH1" s="2235"/>
      <c r="DSI1" s="2235"/>
      <c r="DSJ1" s="2235"/>
      <c r="DSK1" s="2235"/>
      <c r="DSL1" s="2235"/>
      <c r="DSM1" s="2235"/>
      <c r="DSN1" s="2235"/>
      <c r="DSO1" s="2235"/>
      <c r="DSP1" s="2235"/>
      <c r="DSQ1" s="2235"/>
      <c r="DSR1" s="2235"/>
      <c r="DSS1" s="2235"/>
      <c r="DST1" s="2235"/>
      <c r="DSU1" s="2235"/>
      <c r="DSV1" s="2235"/>
      <c r="DSW1" s="2235"/>
      <c r="DSX1" s="2235"/>
      <c r="DSY1" s="2235"/>
      <c r="DSZ1" s="2235"/>
      <c r="DTA1" s="2235"/>
      <c r="DTB1" s="2235"/>
      <c r="DTC1" s="2235"/>
      <c r="DTD1" s="2235"/>
      <c r="DTE1" s="2235"/>
      <c r="DTF1" s="2235"/>
      <c r="DTG1" s="2235"/>
      <c r="DTH1" s="2235"/>
      <c r="DTI1" s="2235"/>
      <c r="DTJ1" s="2235"/>
      <c r="DTK1" s="2235"/>
      <c r="DTL1" s="2235"/>
      <c r="DTM1" s="2235"/>
      <c r="DTN1" s="2235"/>
      <c r="DTO1" s="2235"/>
      <c r="DTP1" s="2235"/>
      <c r="DTQ1" s="2235"/>
      <c r="DTR1" s="2235"/>
      <c r="DTS1" s="2235"/>
      <c r="DTT1" s="2235"/>
      <c r="DTU1" s="2235"/>
      <c r="DTV1" s="2235"/>
      <c r="DTW1" s="2235"/>
      <c r="DTX1" s="2235"/>
      <c r="DTY1" s="2235"/>
      <c r="DTZ1" s="2235"/>
      <c r="DUA1" s="2235"/>
      <c r="DUB1" s="2235"/>
      <c r="DUC1" s="2235"/>
      <c r="DUD1" s="2235"/>
      <c r="DUE1" s="2235"/>
      <c r="DUF1" s="2235"/>
      <c r="DUG1" s="2235"/>
      <c r="DUH1" s="2235"/>
      <c r="DUI1" s="2235"/>
      <c r="DUJ1" s="2235"/>
      <c r="DUK1" s="2235"/>
      <c r="DUL1" s="2235"/>
      <c r="DUM1" s="2235"/>
      <c r="DUN1" s="2235"/>
      <c r="DUO1" s="2235"/>
      <c r="DUP1" s="2235"/>
      <c r="DUQ1" s="2235"/>
      <c r="DUR1" s="2235"/>
      <c r="DUS1" s="2235"/>
      <c r="DUT1" s="2235"/>
      <c r="DUU1" s="2235"/>
      <c r="DUV1" s="2235"/>
      <c r="DUW1" s="2235"/>
      <c r="DUX1" s="2235"/>
      <c r="DUY1" s="2235"/>
      <c r="DUZ1" s="2235"/>
      <c r="DVA1" s="2235"/>
      <c r="DVB1" s="2235"/>
      <c r="DVC1" s="2235"/>
      <c r="DVD1" s="2235"/>
      <c r="DVE1" s="2235"/>
      <c r="DVF1" s="2235"/>
      <c r="DVG1" s="2235"/>
      <c r="DVH1" s="2235"/>
      <c r="DVI1" s="2235"/>
      <c r="DVJ1" s="2235"/>
      <c r="DVK1" s="2235"/>
      <c r="DVL1" s="2235"/>
      <c r="DVM1" s="2235"/>
      <c r="DVN1" s="2235"/>
      <c r="DVO1" s="2235"/>
      <c r="DVP1" s="2235"/>
      <c r="DVQ1" s="2235"/>
      <c r="DVR1" s="2235"/>
      <c r="DVS1" s="2235"/>
      <c r="DVT1" s="2235"/>
      <c r="DVU1" s="2235"/>
      <c r="DVV1" s="2235"/>
      <c r="DVW1" s="2235"/>
      <c r="DVX1" s="2235"/>
      <c r="DVY1" s="2235"/>
      <c r="DVZ1" s="2235"/>
      <c r="DWA1" s="2235"/>
      <c r="DWB1" s="2235"/>
      <c r="DWC1" s="2235"/>
      <c r="DWD1" s="2235"/>
      <c r="DWE1" s="2235"/>
      <c r="DWF1" s="2235"/>
      <c r="DWG1" s="2235"/>
      <c r="DWH1" s="2235"/>
      <c r="DWI1" s="2235"/>
      <c r="DWJ1" s="2235"/>
      <c r="DWK1" s="2235"/>
      <c r="DWL1" s="2235"/>
      <c r="DWM1" s="2235"/>
      <c r="DWN1" s="2235"/>
      <c r="DWO1" s="2235"/>
      <c r="DWP1" s="2235"/>
      <c r="DWQ1" s="2235"/>
      <c r="DWR1" s="2235"/>
      <c r="DWS1" s="2235"/>
      <c r="DWT1" s="2235"/>
      <c r="DWU1" s="2235"/>
      <c r="DWV1" s="2235"/>
      <c r="DWW1" s="2235"/>
      <c r="DWX1" s="2235"/>
      <c r="DWY1" s="2235"/>
      <c r="DWZ1" s="2235"/>
      <c r="DXA1" s="2235"/>
      <c r="DXB1" s="2235"/>
      <c r="DXC1" s="2235"/>
      <c r="DXD1" s="2235"/>
      <c r="DXE1" s="2235"/>
      <c r="DXF1" s="2235"/>
      <c r="DXG1" s="2235"/>
      <c r="DXH1" s="2235"/>
      <c r="DXI1" s="2235"/>
      <c r="DXJ1" s="2235"/>
      <c r="DXK1" s="2235"/>
      <c r="DXL1" s="2235"/>
      <c r="DXM1" s="2235"/>
      <c r="DXN1" s="2235"/>
      <c r="DXO1" s="2235"/>
      <c r="DXP1" s="2235"/>
      <c r="DXQ1" s="2235"/>
      <c r="DXR1" s="2235"/>
      <c r="DXS1" s="2235"/>
      <c r="DXT1" s="2235"/>
      <c r="DXU1" s="2235"/>
      <c r="DXV1" s="2235"/>
      <c r="DXW1" s="2235"/>
      <c r="DXX1" s="2235"/>
      <c r="DXY1" s="2235"/>
      <c r="DXZ1" s="2235"/>
      <c r="DYA1" s="2235"/>
      <c r="DYB1" s="2235"/>
      <c r="DYC1" s="2235"/>
      <c r="DYD1" s="2235"/>
      <c r="DYE1" s="2235"/>
      <c r="DYF1" s="2235"/>
      <c r="DYG1" s="2235"/>
      <c r="DYH1" s="2235"/>
      <c r="DYI1" s="2235"/>
      <c r="DYJ1" s="2235"/>
      <c r="DYK1" s="2235"/>
      <c r="DYL1" s="2235"/>
      <c r="DYM1" s="2235"/>
      <c r="DYN1" s="2235"/>
      <c r="DYO1" s="2235"/>
      <c r="DYP1" s="2235"/>
      <c r="DYQ1" s="2235"/>
      <c r="DYR1" s="2235"/>
      <c r="DYS1" s="2235"/>
      <c r="DYT1" s="2235"/>
      <c r="DYU1" s="2235"/>
      <c r="DYV1" s="2235"/>
      <c r="DYW1" s="2235"/>
      <c r="DYX1" s="2235"/>
      <c r="DYY1" s="2235"/>
      <c r="DYZ1" s="2235"/>
      <c r="DZA1" s="2235"/>
      <c r="DZB1" s="2235"/>
      <c r="DZC1" s="2235"/>
      <c r="DZD1" s="2235"/>
      <c r="DZE1" s="2235"/>
      <c r="DZF1" s="2235"/>
      <c r="DZG1" s="2235"/>
      <c r="DZH1" s="2235"/>
      <c r="DZI1" s="2235"/>
      <c r="DZJ1" s="2235"/>
      <c r="DZK1" s="2235"/>
      <c r="DZL1" s="2235"/>
      <c r="DZM1" s="2235"/>
      <c r="DZN1" s="2235"/>
      <c r="DZO1" s="2235"/>
      <c r="DZP1" s="2235"/>
      <c r="DZQ1" s="2235"/>
      <c r="DZR1" s="2235"/>
      <c r="DZS1" s="2235"/>
      <c r="DZT1" s="2235"/>
      <c r="DZU1" s="2235"/>
      <c r="DZV1" s="2235"/>
      <c r="DZW1" s="2235"/>
      <c r="DZX1" s="2235"/>
      <c r="DZY1" s="2235"/>
      <c r="DZZ1" s="2235"/>
      <c r="EAA1" s="2235"/>
      <c r="EAB1" s="2235"/>
      <c r="EAC1" s="2235"/>
      <c r="EAD1" s="2235"/>
      <c r="EAE1" s="2235"/>
      <c r="EAF1" s="2235"/>
      <c r="EAG1" s="2235"/>
      <c r="EAH1" s="2235"/>
      <c r="EAI1" s="2235"/>
      <c r="EAJ1" s="2235"/>
      <c r="EAK1" s="2235"/>
      <c r="EAL1" s="2235"/>
      <c r="EAM1" s="2235"/>
      <c r="EAN1" s="2235"/>
      <c r="EAO1" s="2235"/>
      <c r="EAP1" s="2235"/>
      <c r="EAQ1" s="2235"/>
      <c r="EAR1" s="2235"/>
      <c r="EAS1" s="2235"/>
      <c r="EAT1" s="2235"/>
      <c r="EAU1" s="2235"/>
      <c r="EAV1" s="2235"/>
      <c r="EAW1" s="2235"/>
      <c r="EAX1" s="2235"/>
      <c r="EAY1" s="2235"/>
      <c r="EAZ1" s="2235"/>
      <c r="EBA1" s="2235"/>
      <c r="EBB1" s="2235"/>
      <c r="EBC1" s="2235"/>
      <c r="EBD1" s="2235"/>
      <c r="EBE1" s="2235"/>
      <c r="EBF1" s="2235"/>
      <c r="EBG1" s="2235"/>
      <c r="EBH1" s="2235"/>
      <c r="EBI1" s="2235"/>
      <c r="EBJ1" s="2235"/>
      <c r="EBK1" s="2235"/>
      <c r="EBL1" s="2235"/>
      <c r="EBM1" s="2235"/>
      <c r="EBN1" s="2235"/>
      <c r="EBO1" s="2235"/>
      <c r="EBP1" s="2235"/>
      <c r="EBQ1" s="2235"/>
      <c r="EBR1" s="2235"/>
      <c r="EBS1" s="2235"/>
      <c r="EBT1" s="2235"/>
      <c r="EBU1" s="2235"/>
      <c r="EBV1" s="2235"/>
      <c r="EBW1" s="2235"/>
      <c r="EBX1" s="2235"/>
      <c r="EBY1" s="2235"/>
      <c r="EBZ1" s="2235"/>
      <c r="ECA1" s="2235"/>
      <c r="ECB1" s="2235"/>
      <c r="ECC1" s="2235"/>
      <c r="ECD1" s="2235"/>
      <c r="ECE1" s="2235"/>
      <c r="ECF1" s="2235"/>
      <c r="ECG1" s="2235"/>
      <c r="ECH1" s="2235"/>
      <c r="ECI1" s="2235"/>
      <c r="ECJ1" s="2235"/>
      <c r="ECK1" s="2235"/>
      <c r="ECL1" s="2235"/>
      <c r="ECM1" s="2235"/>
      <c r="ECN1" s="2235"/>
      <c r="ECO1" s="2235"/>
      <c r="ECP1" s="2235"/>
      <c r="ECQ1" s="2235"/>
      <c r="ECR1" s="2235"/>
      <c r="ECS1" s="2235"/>
      <c r="ECT1" s="2235"/>
      <c r="ECU1" s="2235"/>
      <c r="ECV1" s="2235"/>
      <c r="ECW1" s="2235"/>
      <c r="ECX1" s="2235"/>
      <c r="ECY1" s="2235"/>
      <c r="ECZ1" s="2235"/>
      <c r="EDA1" s="2235"/>
      <c r="EDB1" s="2235"/>
      <c r="EDC1" s="2235"/>
      <c r="EDD1" s="2235"/>
      <c r="EDE1" s="2235"/>
      <c r="EDF1" s="2235"/>
      <c r="EDG1" s="2235"/>
      <c r="EDH1" s="2235"/>
      <c r="EDI1" s="2235"/>
      <c r="EDJ1" s="2235"/>
      <c r="EDK1" s="2235"/>
      <c r="EDL1" s="2235"/>
      <c r="EDM1" s="2235"/>
      <c r="EDN1" s="2235"/>
      <c r="EDO1" s="2235"/>
      <c r="EDP1" s="2235"/>
      <c r="EDQ1" s="2235"/>
      <c r="EDR1" s="2235"/>
      <c r="EDS1" s="2235"/>
      <c r="EDT1" s="2235"/>
      <c r="EDU1" s="2235"/>
      <c r="EDV1" s="2235"/>
      <c r="EDW1" s="2235"/>
      <c r="EDX1" s="2235"/>
      <c r="EDY1" s="2235"/>
      <c r="EDZ1" s="2235"/>
      <c r="EEA1" s="2235"/>
      <c r="EEB1" s="2235"/>
      <c r="EEC1" s="2235"/>
      <c r="EED1" s="2235"/>
      <c r="EEE1" s="2235"/>
      <c r="EEF1" s="2235"/>
      <c r="EEG1" s="2235"/>
      <c r="EEH1" s="2235"/>
      <c r="EEI1" s="2235"/>
      <c r="EEJ1" s="2235"/>
      <c r="EEK1" s="2235"/>
      <c r="EEL1" s="2235"/>
      <c r="EEM1" s="2235"/>
      <c r="EEN1" s="2235"/>
      <c r="EEO1" s="2235"/>
      <c r="EEP1" s="2235"/>
      <c r="EEQ1" s="2235"/>
      <c r="EER1" s="2235"/>
      <c r="EES1" s="2235"/>
      <c r="EET1" s="2235"/>
      <c r="EEU1" s="2235"/>
      <c r="EEV1" s="2235"/>
      <c r="EEW1" s="2235"/>
      <c r="EEX1" s="2235"/>
      <c r="EEY1" s="2235"/>
      <c r="EEZ1" s="2235"/>
      <c r="EFA1" s="2235"/>
      <c r="EFB1" s="2235"/>
      <c r="EFC1" s="2235"/>
      <c r="EFD1" s="2235"/>
      <c r="EFE1" s="2235"/>
      <c r="EFF1" s="2235"/>
      <c r="EFG1" s="2235"/>
      <c r="EFH1" s="2235"/>
      <c r="EFI1" s="2235"/>
      <c r="EFJ1" s="2235"/>
      <c r="EFK1" s="2235"/>
      <c r="EFL1" s="2235"/>
      <c r="EFM1" s="2235"/>
      <c r="EFN1" s="2235"/>
      <c r="EFO1" s="2235"/>
      <c r="EFP1" s="2235"/>
      <c r="EFQ1" s="2235"/>
      <c r="EFR1" s="2235"/>
      <c r="EFS1" s="2235"/>
      <c r="EFT1" s="2235"/>
      <c r="EFU1" s="2235"/>
      <c r="EFV1" s="2235"/>
      <c r="EFW1" s="2235"/>
      <c r="EFX1" s="2235"/>
      <c r="EFY1" s="2235"/>
      <c r="EFZ1" s="2235"/>
      <c r="EGA1" s="2235"/>
      <c r="EGB1" s="2235"/>
      <c r="EGC1" s="2235"/>
      <c r="EGD1" s="2235"/>
      <c r="EGE1" s="2235"/>
      <c r="EGF1" s="2235"/>
      <c r="EGG1" s="2235"/>
      <c r="EGH1" s="2235"/>
      <c r="EGI1" s="2235"/>
      <c r="EGJ1" s="2235"/>
      <c r="EGK1" s="2235"/>
      <c r="EGL1" s="2235"/>
      <c r="EGM1" s="2235"/>
      <c r="EGN1" s="2235"/>
      <c r="EGO1" s="2235"/>
      <c r="EGP1" s="2235"/>
      <c r="EGQ1" s="2235"/>
      <c r="EGR1" s="2235"/>
      <c r="EGS1" s="2235"/>
      <c r="EGT1" s="2235"/>
      <c r="EGU1" s="2235"/>
      <c r="EGV1" s="2235"/>
      <c r="EGW1" s="2235"/>
      <c r="EGX1" s="2235"/>
      <c r="EGY1" s="2235"/>
      <c r="EGZ1" s="2235"/>
      <c r="EHA1" s="2235"/>
      <c r="EHB1" s="2235"/>
      <c r="EHC1" s="2235"/>
      <c r="EHD1" s="2235"/>
      <c r="EHE1" s="2235"/>
      <c r="EHF1" s="2235"/>
      <c r="EHG1" s="2235"/>
      <c r="EHH1" s="2235"/>
      <c r="EHI1" s="2235"/>
      <c r="EHJ1" s="2235"/>
      <c r="EHK1" s="2235"/>
      <c r="EHL1" s="2235"/>
      <c r="EHM1" s="2235"/>
      <c r="EHN1" s="2235"/>
      <c r="EHO1" s="2235"/>
      <c r="EHP1" s="2235"/>
      <c r="EHQ1" s="2235"/>
      <c r="EHR1" s="2235"/>
      <c r="EHS1" s="2235"/>
      <c r="EHT1" s="2235"/>
      <c r="EHU1" s="2235"/>
      <c r="EHV1" s="2235"/>
      <c r="EHW1" s="2235"/>
      <c r="EHX1" s="2235"/>
      <c r="EHY1" s="2235"/>
      <c r="EHZ1" s="2235"/>
      <c r="EIA1" s="2235"/>
      <c r="EIB1" s="2235"/>
      <c r="EIC1" s="2235"/>
      <c r="EID1" s="2235"/>
      <c r="EIE1" s="2235"/>
      <c r="EIF1" s="2235"/>
      <c r="EIG1" s="2235"/>
      <c r="EIH1" s="2235"/>
      <c r="EII1" s="2235"/>
      <c r="EIJ1" s="2235"/>
      <c r="EIK1" s="2235"/>
      <c r="EIL1" s="2235"/>
      <c r="EIM1" s="2235"/>
      <c r="EIN1" s="2235"/>
      <c r="EIO1" s="2235"/>
      <c r="EIP1" s="2235"/>
      <c r="EIQ1" s="2235"/>
      <c r="EIR1" s="2235"/>
      <c r="EIS1" s="2235"/>
      <c r="EIT1" s="2235"/>
      <c r="EIU1" s="2235"/>
      <c r="EIV1" s="2235"/>
      <c r="EIW1" s="2235"/>
      <c r="EIX1" s="2235"/>
      <c r="EIY1" s="2235"/>
      <c r="EIZ1" s="2235"/>
      <c r="EJA1" s="2235"/>
      <c r="EJB1" s="2235"/>
      <c r="EJC1" s="2235"/>
      <c r="EJD1" s="2235"/>
      <c r="EJE1" s="2235"/>
      <c r="EJF1" s="2235"/>
      <c r="EJG1" s="2235"/>
      <c r="EJH1" s="2235"/>
      <c r="EJI1" s="2235"/>
      <c r="EJJ1" s="2235"/>
      <c r="EJK1" s="2235"/>
      <c r="EJL1" s="2235"/>
      <c r="EJM1" s="2235"/>
      <c r="EJN1" s="2235"/>
      <c r="EJO1" s="2235"/>
      <c r="EJP1" s="2235"/>
      <c r="EJQ1" s="2235"/>
      <c r="EJR1" s="2235"/>
      <c r="EJS1" s="2235"/>
      <c r="EJT1" s="2235"/>
      <c r="EJU1" s="2235"/>
      <c r="EJV1" s="2235"/>
      <c r="EJW1" s="2235"/>
      <c r="EJX1" s="2235"/>
      <c r="EJY1" s="2235"/>
      <c r="EJZ1" s="2235"/>
      <c r="EKA1" s="2235"/>
      <c r="EKB1" s="2235"/>
      <c r="EKC1" s="2235"/>
      <c r="EKD1" s="2235"/>
      <c r="EKE1" s="2235"/>
      <c r="EKF1" s="2235"/>
      <c r="EKG1" s="2235"/>
      <c r="EKH1" s="2235"/>
      <c r="EKI1" s="2235"/>
      <c r="EKJ1" s="2235"/>
      <c r="EKK1" s="2235"/>
      <c r="EKL1" s="2235"/>
      <c r="EKM1" s="2235"/>
      <c r="EKN1" s="2235"/>
      <c r="EKO1" s="2235"/>
      <c r="EKP1" s="2235"/>
      <c r="EKQ1" s="2235"/>
      <c r="EKR1" s="2235"/>
      <c r="EKS1" s="2235"/>
      <c r="EKT1" s="2235"/>
      <c r="EKU1" s="2235"/>
      <c r="EKV1" s="2235"/>
      <c r="EKW1" s="2235"/>
      <c r="EKX1" s="2235"/>
      <c r="EKY1" s="2235"/>
      <c r="EKZ1" s="2235"/>
      <c r="ELA1" s="2235"/>
      <c r="ELB1" s="2235"/>
      <c r="ELC1" s="2235"/>
      <c r="ELD1" s="2235"/>
      <c r="ELE1" s="2235"/>
      <c r="ELF1" s="2235"/>
      <c r="ELG1" s="2235"/>
      <c r="ELH1" s="2235"/>
      <c r="ELI1" s="2235"/>
      <c r="ELJ1" s="2235"/>
      <c r="ELK1" s="2235"/>
      <c r="ELL1" s="2235"/>
      <c r="ELM1" s="2235"/>
      <c r="ELN1" s="2235"/>
      <c r="ELO1" s="2235"/>
      <c r="ELP1" s="2235"/>
      <c r="ELQ1" s="2235"/>
      <c r="ELR1" s="2235"/>
      <c r="ELS1" s="2235"/>
      <c r="ELT1" s="2235"/>
      <c r="ELU1" s="2235"/>
      <c r="ELV1" s="2235"/>
      <c r="ELW1" s="2235"/>
      <c r="ELX1" s="2235"/>
      <c r="ELY1" s="2235"/>
      <c r="ELZ1" s="2235"/>
      <c r="EMA1" s="2235"/>
      <c r="EMB1" s="2235"/>
      <c r="EMC1" s="2235"/>
      <c r="EMD1" s="2235"/>
      <c r="EME1" s="2235"/>
      <c r="EMF1" s="2235"/>
      <c r="EMG1" s="2235"/>
      <c r="EMH1" s="2235"/>
      <c r="EMI1" s="2235"/>
      <c r="EMJ1" s="2235"/>
      <c r="EMK1" s="2235"/>
      <c r="EML1" s="2235"/>
      <c r="EMM1" s="2235"/>
      <c r="EMN1" s="2235"/>
      <c r="EMO1" s="2235"/>
      <c r="EMP1" s="2235"/>
      <c r="EMQ1" s="2235"/>
      <c r="EMR1" s="2235"/>
      <c r="EMS1" s="2235"/>
      <c r="EMT1" s="2235"/>
      <c r="EMU1" s="2235"/>
      <c r="EMV1" s="2235"/>
      <c r="EMW1" s="2235"/>
      <c r="EMX1" s="2235"/>
      <c r="EMY1" s="2235"/>
      <c r="EMZ1" s="2235"/>
      <c r="ENA1" s="2235"/>
      <c r="ENB1" s="2235"/>
      <c r="ENC1" s="2235"/>
      <c r="END1" s="2235"/>
      <c r="ENE1" s="2235"/>
      <c r="ENF1" s="2235"/>
      <c r="ENG1" s="2235"/>
      <c r="ENH1" s="2235"/>
      <c r="ENI1" s="2235"/>
      <c r="ENJ1" s="2235"/>
      <c r="ENK1" s="2235"/>
      <c r="ENL1" s="2235"/>
      <c r="ENM1" s="2235"/>
      <c r="ENN1" s="2235"/>
      <c r="ENO1" s="2235"/>
      <c r="ENP1" s="2235"/>
      <c r="ENQ1" s="2235"/>
      <c r="ENR1" s="2235"/>
      <c r="ENS1" s="2235"/>
      <c r="ENT1" s="2235"/>
      <c r="ENU1" s="2235"/>
      <c r="ENV1" s="2235"/>
      <c r="ENW1" s="2235"/>
      <c r="ENX1" s="2235"/>
      <c r="ENY1" s="2235"/>
      <c r="ENZ1" s="2235"/>
      <c r="EOA1" s="2235"/>
      <c r="EOB1" s="2235"/>
      <c r="EOC1" s="2235"/>
      <c r="EOD1" s="2235"/>
      <c r="EOE1" s="2235"/>
      <c r="EOF1" s="2235"/>
      <c r="EOG1" s="2235"/>
      <c r="EOH1" s="2235"/>
      <c r="EOI1" s="2235"/>
      <c r="EOJ1" s="2235"/>
      <c r="EOK1" s="2235"/>
      <c r="EOL1" s="2235"/>
      <c r="EOM1" s="2235"/>
      <c r="EON1" s="2235"/>
      <c r="EOO1" s="2235"/>
      <c r="EOP1" s="2235"/>
      <c r="EOQ1" s="2235"/>
      <c r="EOR1" s="2235"/>
      <c r="EOS1" s="2235"/>
      <c r="EOT1" s="2235"/>
      <c r="EOU1" s="2235"/>
      <c r="EOV1" s="2235"/>
      <c r="EOW1" s="2235"/>
      <c r="EOX1" s="2235"/>
      <c r="EOY1" s="2235"/>
      <c r="EOZ1" s="2235"/>
      <c r="EPA1" s="2235"/>
      <c r="EPB1" s="2235"/>
      <c r="EPC1" s="2235"/>
      <c r="EPD1" s="2235"/>
      <c r="EPE1" s="2235"/>
      <c r="EPF1" s="2235"/>
      <c r="EPG1" s="2235"/>
      <c r="EPH1" s="2235"/>
      <c r="EPI1" s="2235"/>
      <c r="EPJ1" s="2235"/>
      <c r="EPK1" s="2235"/>
      <c r="EPL1" s="2235"/>
      <c r="EPM1" s="2235"/>
      <c r="EPN1" s="2235"/>
      <c r="EPO1" s="2235"/>
      <c r="EPP1" s="2235"/>
      <c r="EPQ1" s="2235"/>
      <c r="EPR1" s="2235"/>
      <c r="EPS1" s="2235"/>
      <c r="EPT1" s="2235"/>
      <c r="EPU1" s="2235"/>
      <c r="EPV1" s="2235"/>
      <c r="EPW1" s="2235"/>
      <c r="EPX1" s="2235"/>
      <c r="EPY1" s="2235"/>
      <c r="EPZ1" s="2235"/>
      <c r="EQA1" s="2235"/>
      <c r="EQB1" s="2235"/>
      <c r="EQC1" s="2235"/>
      <c r="EQD1" s="2235"/>
      <c r="EQE1" s="2235"/>
      <c r="EQF1" s="2235"/>
      <c r="EQG1" s="2235"/>
      <c r="EQH1" s="2235"/>
      <c r="EQI1" s="2235"/>
      <c r="EQJ1" s="2235"/>
      <c r="EQK1" s="2235"/>
      <c r="EQL1" s="2235"/>
      <c r="EQM1" s="2235"/>
      <c r="EQN1" s="2235"/>
      <c r="EQO1" s="2235"/>
      <c r="EQP1" s="2235"/>
      <c r="EQQ1" s="2235"/>
      <c r="EQR1" s="2235"/>
      <c r="EQS1" s="2235"/>
      <c r="EQT1" s="2235"/>
      <c r="EQU1" s="2235"/>
      <c r="EQV1" s="2235"/>
      <c r="EQW1" s="2235"/>
      <c r="EQX1" s="2235"/>
      <c r="EQY1" s="2235"/>
      <c r="EQZ1" s="2235"/>
      <c r="ERA1" s="2235"/>
      <c r="ERB1" s="2235"/>
      <c r="ERC1" s="2235"/>
      <c r="ERD1" s="2235"/>
      <c r="ERE1" s="2235"/>
      <c r="ERF1" s="2235"/>
      <c r="ERG1" s="2235"/>
      <c r="ERH1" s="2235"/>
      <c r="ERI1" s="2235"/>
      <c r="ERJ1" s="2235"/>
      <c r="ERK1" s="2235"/>
      <c r="ERL1" s="2235"/>
      <c r="ERM1" s="2235"/>
      <c r="ERN1" s="2235"/>
      <c r="ERO1" s="2235"/>
      <c r="ERP1" s="2235"/>
      <c r="ERQ1" s="2235"/>
      <c r="ERR1" s="2235"/>
      <c r="ERS1" s="2235"/>
      <c r="ERT1" s="2235"/>
      <c r="ERU1" s="2235"/>
      <c r="ERV1" s="2235"/>
      <c r="ERW1" s="2235"/>
      <c r="ERX1" s="2235"/>
      <c r="ERY1" s="2235"/>
      <c r="ERZ1" s="2235"/>
      <c r="ESA1" s="2235"/>
      <c r="ESB1" s="2235"/>
      <c r="ESC1" s="2235"/>
      <c r="ESD1" s="2235"/>
      <c r="ESE1" s="2235"/>
      <c r="ESF1" s="2235"/>
      <c r="ESG1" s="2235"/>
      <c r="ESH1" s="2235"/>
      <c r="ESI1" s="2235"/>
      <c r="ESJ1" s="2235"/>
      <c r="ESK1" s="2235"/>
      <c r="ESL1" s="2235"/>
      <c r="ESM1" s="2235"/>
      <c r="ESN1" s="2235"/>
      <c r="ESO1" s="2235"/>
      <c r="ESP1" s="2235"/>
      <c r="ESQ1" s="2235"/>
      <c r="ESR1" s="2235"/>
      <c r="ESS1" s="2235"/>
      <c r="EST1" s="2235"/>
      <c r="ESU1" s="2235"/>
      <c r="ESV1" s="2235"/>
      <c r="ESW1" s="2235"/>
      <c r="ESX1" s="2235"/>
      <c r="ESY1" s="2235"/>
      <c r="ESZ1" s="2235"/>
      <c r="ETA1" s="2235"/>
      <c r="ETB1" s="2235"/>
      <c r="ETC1" s="2235"/>
      <c r="ETD1" s="2235"/>
      <c r="ETE1" s="2235"/>
      <c r="ETF1" s="2235"/>
      <c r="ETG1" s="2235"/>
      <c r="ETH1" s="2235"/>
      <c r="ETI1" s="2235"/>
      <c r="ETJ1" s="2235"/>
      <c r="ETK1" s="2235"/>
      <c r="ETL1" s="2235"/>
      <c r="ETM1" s="2235"/>
      <c r="ETN1" s="2235"/>
      <c r="ETO1" s="2235"/>
      <c r="ETP1" s="2235"/>
      <c r="ETQ1" s="2235"/>
      <c r="ETR1" s="2235"/>
      <c r="ETS1" s="2235"/>
      <c r="ETT1" s="2235"/>
      <c r="ETU1" s="2235"/>
      <c r="ETV1" s="2235"/>
      <c r="ETW1" s="2235"/>
      <c r="ETX1" s="2235"/>
      <c r="ETY1" s="2235"/>
      <c r="ETZ1" s="2235"/>
      <c r="EUA1" s="2235"/>
      <c r="EUB1" s="2235"/>
      <c r="EUC1" s="2235"/>
      <c r="EUD1" s="2235"/>
      <c r="EUE1" s="2235"/>
      <c r="EUF1" s="2235"/>
      <c r="EUG1" s="2235"/>
      <c r="EUH1" s="2235"/>
      <c r="EUI1" s="2235"/>
      <c r="EUJ1" s="2235"/>
      <c r="EUK1" s="2235"/>
      <c r="EUL1" s="2235"/>
      <c r="EUM1" s="2235"/>
      <c r="EUN1" s="2235"/>
      <c r="EUO1" s="2235"/>
      <c r="EUP1" s="2235"/>
      <c r="EUQ1" s="2235"/>
      <c r="EUR1" s="2235"/>
      <c r="EUS1" s="2235"/>
      <c r="EUT1" s="2235"/>
      <c r="EUU1" s="2235"/>
      <c r="EUV1" s="2235"/>
      <c r="EUW1" s="2235"/>
      <c r="EUX1" s="2235"/>
      <c r="EUY1" s="2235"/>
      <c r="EUZ1" s="2235"/>
      <c r="EVA1" s="2235"/>
      <c r="EVB1" s="2235"/>
      <c r="EVC1" s="2235"/>
      <c r="EVD1" s="2235"/>
      <c r="EVE1" s="2235"/>
      <c r="EVF1" s="2235"/>
      <c r="EVG1" s="2235"/>
      <c r="EVH1" s="2235"/>
      <c r="EVI1" s="2235"/>
      <c r="EVJ1" s="2235"/>
      <c r="EVK1" s="2235"/>
      <c r="EVL1" s="2235"/>
      <c r="EVM1" s="2235"/>
      <c r="EVN1" s="2235"/>
      <c r="EVO1" s="2235"/>
      <c r="EVP1" s="2235"/>
      <c r="EVQ1" s="2235"/>
      <c r="EVR1" s="2235"/>
      <c r="EVS1" s="2235"/>
      <c r="EVT1" s="2235"/>
      <c r="EVU1" s="2235"/>
      <c r="EVV1" s="2235"/>
      <c r="EVW1" s="2235"/>
      <c r="EVX1" s="2235"/>
      <c r="EVY1" s="2235"/>
      <c r="EVZ1" s="2235"/>
      <c r="EWA1" s="2235"/>
      <c r="EWB1" s="2235"/>
      <c r="EWC1" s="2235"/>
      <c r="EWD1" s="2235"/>
      <c r="EWE1" s="2235"/>
      <c r="EWF1" s="2235"/>
      <c r="EWG1" s="2235"/>
      <c r="EWH1" s="2235"/>
      <c r="EWI1" s="2235"/>
      <c r="EWJ1" s="2235"/>
      <c r="EWK1" s="2235"/>
      <c r="EWL1" s="2235"/>
      <c r="EWM1" s="2235"/>
      <c r="EWN1" s="2235"/>
      <c r="EWO1" s="2235"/>
      <c r="EWP1" s="2235"/>
      <c r="EWQ1" s="2235"/>
      <c r="EWR1" s="2235"/>
      <c r="EWS1" s="2235"/>
      <c r="EWT1" s="2235"/>
      <c r="EWU1" s="2235"/>
      <c r="EWV1" s="2235"/>
      <c r="EWW1" s="2235"/>
      <c r="EWX1" s="2235"/>
      <c r="EWY1" s="2235"/>
      <c r="EWZ1" s="2235"/>
      <c r="EXA1" s="2235"/>
      <c r="EXB1" s="2235"/>
      <c r="EXC1" s="2235"/>
      <c r="EXD1" s="2235"/>
      <c r="EXE1" s="2235"/>
      <c r="EXF1" s="2235"/>
      <c r="EXG1" s="2235"/>
      <c r="EXH1" s="2235"/>
      <c r="EXI1" s="2235"/>
      <c r="EXJ1" s="2235"/>
      <c r="EXK1" s="2235"/>
      <c r="EXL1" s="2235"/>
      <c r="EXM1" s="2235"/>
      <c r="EXN1" s="2235"/>
      <c r="EXO1" s="2235"/>
      <c r="EXP1" s="2235"/>
      <c r="EXQ1" s="2235"/>
      <c r="EXR1" s="2235"/>
      <c r="EXS1" s="2235"/>
      <c r="EXT1" s="2235"/>
      <c r="EXU1" s="2235"/>
      <c r="EXV1" s="2235"/>
      <c r="EXW1" s="2235"/>
      <c r="EXX1" s="2235"/>
      <c r="EXY1" s="2235"/>
      <c r="EXZ1" s="2235"/>
      <c r="EYA1" s="2235"/>
      <c r="EYB1" s="2235"/>
      <c r="EYC1" s="2235"/>
      <c r="EYD1" s="2235"/>
      <c r="EYE1" s="2235"/>
      <c r="EYF1" s="2235"/>
      <c r="EYG1" s="2235"/>
      <c r="EYH1" s="2235"/>
      <c r="EYI1" s="2235"/>
      <c r="EYJ1" s="2235"/>
      <c r="EYK1" s="2235"/>
      <c r="EYL1" s="2235"/>
      <c r="EYM1" s="2235"/>
      <c r="EYN1" s="2235"/>
      <c r="EYO1" s="2235"/>
      <c r="EYP1" s="2235"/>
      <c r="EYQ1" s="2235"/>
      <c r="EYR1" s="2235"/>
      <c r="EYS1" s="2235"/>
      <c r="EYT1" s="2235"/>
      <c r="EYU1" s="2235"/>
      <c r="EYV1" s="2235"/>
      <c r="EYW1" s="2235"/>
      <c r="EYX1" s="2235"/>
      <c r="EYY1" s="2235"/>
      <c r="EYZ1" s="2235"/>
      <c r="EZA1" s="2235"/>
      <c r="EZB1" s="2235"/>
      <c r="EZC1" s="2235"/>
      <c r="EZD1" s="2235"/>
      <c r="EZE1" s="2235"/>
      <c r="EZF1" s="2235"/>
      <c r="EZG1" s="2235"/>
      <c r="EZH1" s="2235"/>
      <c r="EZI1" s="2235"/>
      <c r="EZJ1" s="2235"/>
      <c r="EZK1" s="2235"/>
      <c r="EZL1" s="2235"/>
      <c r="EZM1" s="2235"/>
      <c r="EZN1" s="2235"/>
      <c r="EZO1" s="2235"/>
      <c r="EZP1" s="2235"/>
      <c r="EZQ1" s="2235"/>
      <c r="EZR1" s="2235"/>
      <c r="EZS1" s="2235"/>
      <c r="EZT1" s="2235"/>
      <c r="EZU1" s="2235"/>
      <c r="EZV1" s="2235"/>
      <c r="EZW1" s="2235"/>
      <c r="EZX1" s="2235"/>
      <c r="EZY1" s="2235"/>
      <c r="EZZ1" s="2235"/>
      <c r="FAA1" s="2235"/>
      <c r="FAB1" s="2235"/>
      <c r="FAC1" s="2235"/>
      <c r="FAD1" s="2235"/>
      <c r="FAE1" s="2235"/>
      <c r="FAF1" s="2235"/>
      <c r="FAG1" s="2235"/>
      <c r="FAH1" s="2235"/>
      <c r="FAI1" s="2235"/>
      <c r="FAJ1" s="2235"/>
      <c r="FAK1" s="2235"/>
      <c r="FAL1" s="2235"/>
      <c r="FAM1" s="2235"/>
      <c r="FAN1" s="2235"/>
      <c r="FAO1" s="2235"/>
      <c r="FAP1" s="2235"/>
      <c r="FAQ1" s="2235"/>
      <c r="FAR1" s="2235"/>
      <c r="FAS1" s="2235"/>
      <c r="FAT1" s="2235"/>
      <c r="FAU1" s="2235"/>
      <c r="FAV1" s="2235"/>
      <c r="FAW1" s="2235"/>
      <c r="FAX1" s="2235"/>
      <c r="FAY1" s="2235"/>
      <c r="FAZ1" s="2235"/>
      <c r="FBA1" s="2235"/>
      <c r="FBB1" s="2235"/>
      <c r="FBC1" s="2235"/>
      <c r="FBD1" s="2235"/>
      <c r="FBE1" s="2235"/>
      <c r="FBF1" s="2235"/>
      <c r="FBG1" s="2235"/>
      <c r="FBH1" s="2235"/>
      <c r="FBI1" s="2235"/>
      <c r="FBJ1" s="2235"/>
      <c r="FBK1" s="2235"/>
      <c r="FBL1" s="2235"/>
      <c r="FBM1" s="2235"/>
      <c r="FBN1" s="2235"/>
      <c r="FBO1" s="2235"/>
      <c r="FBP1" s="2235"/>
      <c r="FBQ1" s="2235"/>
      <c r="FBR1" s="2235"/>
      <c r="FBS1" s="2235"/>
      <c r="FBT1" s="2235"/>
      <c r="FBU1" s="2235"/>
      <c r="FBV1" s="2235"/>
      <c r="FBW1" s="2235"/>
      <c r="FBX1" s="2235"/>
      <c r="FBY1" s="2235"/>
      <c r="FBZ1" s="2235"/>
      <c r="FCA1" s="2235"/>
      <c r="FCB1" s="2235"/>
      <c r="FCC1" s="2235"/>
      <c r="FCD1" s="2235"/>
      <c r="FCE1" s="2235"/>
      <c r="FCF1" s="2235"/>
      <c r="FCG1" s="2235"/>
      <c r="FCH1" s="2235"/>
      <c r="FCI1" s="2235"/>
      <c r="FCJ1" s="2235"/>
      <c r="FCK1" s="2235"/>
      <c r="FCL1" s="2235"/>
      <c r="FCM1" s="2235"/>
      <c r="FCN1" s="2235"/>
      <c r="FCO1" s="2235"/>
      <c r="FCP1" s="2235"/>
      <c r="FCQ1" s="2235"/>
      <c r="FCR1" s="2235"/>
      <c r="FCS1" s="2235"/>
      <c r="FCT1" s="2235"/>
      <c r="FCU1" s="2235"/>
      <c r="FCV1" s="2235"/>
      <c r="FCW1" s="2235"/>
      <c r="FCX1" s="2235"/>
      <c r="FCY1" s="2235"/>
      <c r="FCZ1" s="2235"/>
      <c r="FDA1" s="2235"/>
      <c r="FDB1" s="2235"/>
      <c r="FDC1" s="2235"/>
      <c r="FDD1" s="2235"/>
      <c r="FDE1" s="2235"/>
      <c r="FDF1" s="2235"/>
      <c r="FDG1" s="2235"/>
      <c r="FDH1" s="2235"/>
      <c r="FDI1" s="2235"/>
      <c r="FDJ1" s="2235"/>
      <c r="FDK1" s="2235"/>
      <c r="FDL1" s="2235"/>
      <c r="FDM1" s="2235"/>
      <c r="FDN1" s="2235"/>
      <c r="FDO1" s="2235"/>
      <c r="FDP1" s="2235"/>
      <c r="FDQ1" s="2235"/>
      <c r="FDR1" s="2235"/>
      <c r="FDS1" s="2235"/>
      <c r="FDT1" s="2235"/>
      <c r="FDU1" s="2235"/>
      <c r="FDV1" s="2235"/>
      <c r="FDW1" s="2235"/>
      <c r="FDX1" s="2235"/>
      <c r="FDY1" s="2235"/>
      <c r="FDZ1" s="2235"/>
      <c r="FEA1" s="2235"/>
      <c r="FEB1" s="2235"/>
      <c r="FEC1" s="2235"/>
      <c r="FED1" s="2235"/>
      <c r="FEE1" s="2235"/>
      <c r="FEF1" s="2235"/>
      <c r="FEG1" s="2235"/>
      <c r="FEH1" s="2235"/>
      <c r="FEI1" s="2235"/>
      <c r="FEJ1" s="2235"/>
      <c r="FEK1" s="2235"/>
      <c r="FEL1" s="2235"/>
      <c r="FEM1" s="2235"/>
      <c r="FEN1" s="2235"/>
      <c r="FEO1" s="2235"/>
      <c r="FEP1" s="2235"/>
      <c r="FEQ1" s="2235"/>
      <c r="FER1" s="2235"/>
      <c r="FES1" s="2235"/>
      <c r="FET1" s="2235"/>
      <c r="FEU1" s="2235"/>
      <c r="FEV1" s="2235"/>
      <c r="FEW1" s="2235"/>
      <c r="FEX1" s="2235"/>
      <c r="FEY1" s="2235"/>
      <c r="FEZ1" s="2235"/>
      <c r="FFA1" s="2235"/>
      <c r="FFB1" s="2235"/>
      <c r="FFC1" s="2235"/>
      <c r="FFD1" s="2235"/>
      <c r="FFE1" s="2235"/>
      <c r="FFF1" s="2235"/>
      <c r="FFG1" s="2235"/>
      <c r="FFH1" s="2235"/>
      <c r="FFI1" s="2235"/>
      <c r="FFJ1" s="2235"/>
      <c r="FFK1" s="2235"/>
      <c r="FFL1" s="2235"/>
      <c r="FFM1" s="2235"/>
      <c r="FFN1" s="2235"/>
      <c r="FFO1" s="2235"/>
      <c r="FFP1" s="2235"/>
      <c r="FFQ1" s="2235"/>
      <c r="FFR1" s="2235"/>
      <c r="FFS1" s="2235"/>
      <c r="FFT1" s="2235"/>
      <c r="FFU1" s="2235"/>
      <c r="FFV1" s="2235"/>
      <c r="FFW1" s="2235"/>
      <c r="FFX1" s="2235"/>
      <c r="FFY1" s="2235"/>
      <c r="FFZ1" s="2235"/>
      <c r="FGA1" s="2235"/>
      <c r="FGB1" s="2235"/>
      <c r="FGC1" s="2235"/>
      <c r="FGD1" s="2235"/>
      <c r="FGE1" s="2235"/>
      <c r="FGF1" s="2235"/>
      <c r="FGG1" s="2235"/>
      <c r="FGH1" s="2235"/>
      <c r="FGI1" s="2235"/>
      <c r="FGJ1" s="2235"/>
      <c r="FGK1" s="2235"/>
      <c r="FGL1" s="2235"/>
      <c r="FGM1" s="2235"/>
      <c r="FGN1" s="2235"/>
      <c r="FGO1" s="2235"/>
      <c r="FGP1" s="2235"/>
      <c r="FGQ1" s="2235"/>
      <c r="FGR1" s="2235"/>
      <c r="FGS1" s="2235"/>
      <c r="FGT1" s="2235"/>
      <c r="FGU1" s="2235"/>
      <c r="FGV1" s="2235"/>
      <c r="FGW1" s="2235"/>
      <c r="FGX1" s="2235"/>
      <c r="FGY1" s="2235"/>
      <c r="FGZ1" s="2235"/>
      <c r="FHA1" s="2235"/>
      <c r="FHB1" s="2235"/>
      <c r="FHC1" s="2235"/>
      <c r="FHD1" s="2235"/>
      <c r="FHE1" s="2235"/>
      <c r="FHF1" s="2235"/>
      <c r="FHG1" s="2235"/>
      <c r="FHH1" s="2235"/>
      <c r="FHI1" s="2235"/>
      <c r="FHJ1" s="2235"/>
      <c r="FHK1" s="2235"/>
      <c r="FHL1" s="2235"/>
      <c r="FHM1" s="2235"/>
      <c r="FHN1" s="2235"/>
      <c r="FHO1" s="2235"/>
      <c r="FHP1" s="2235"/>
      <c r="FHQ1" s="2235"/>
      <c r="FHR1" s="2235"/>
      <c r="FHS1" s="2235"/>
      <c r="FHT1" s="2235"/>
      <c r="FHU1" s="2235"/>
      <c r="FHV1" s="2235"/>
      <c r="FHW1" s="2235"/>
      <c r="FHX1" s="2235"/>
      <c r="FHY1" s="2235"/>
      <c r="FHZ1" s="2235"/>
      <c r="FIA1" s="2235"/>
      <c r="FIB1" s="2235"/>
      <c r="FIC1" s="2235"/>
      <c r="FID1" s="2235"/>
      <c r="FIE1" s="2235"/>
      <c r="FIF1" s="2235"/>
      <c r="FIG1" s="2235"/>
      <c r="FIH1" s="2235"/>
      <c r="FII1" s="2235"/>
      <c r="FIJ1" s="2235"/>
      <c r="FIK1" s="2235"/>
      <c r="FIL1" s="2235"/>
      <c r="FIM1" s="2235"/>
      <c r="FIN1" s="2235"/>
      <c r="FIO1" s="2235"/>
      <c r="FIP1" s="2235"/>
      <c r="FIQ1" s="2235"/>
      <c r="FIR1" s="2235"/>
      <c r="FIS1" s="2235"/>
      <c r="FIT1" s="2235"/>
      <c r="FIU1" s="2235"/>
      <c r="FIV1" s="2235"/>
      <c r="FIW1" s="2235"/>
      <c r="FIX1" s="2235"/>
      <c r="FIY1" s="2235"/>
      <c r="FIZ1" s="2235"/>
      <c r="FJA1" s="2235"/>
      <c r="FJB1" s="2235"/>
      <c r="FJC1" s="2235"/>
      <c r="FJD1" s="2235"/>
      <c r="FJE1" s="2235"/>
      <c r="FJF1" s="2235"/>
      <c r="FJG1" s="2235"/>
      <c r="FJH1" s="2235"/>
      <c r="FJI1" s="2235"/>
      <c r="FJJ1" s="2235"/>
      <c r="FJK1" s="2235"/>
      <c r="FJL1" s="2235"/>
      <c r="FJM1" s="2235"/>
      <c r="FJN1" s="2235"/>
      <c r="FJO1" s="2235"/>
      <c r="FJP1" s="2235"/>
      <c r="FJQ1" s="2235"/>
      <c r="FJR1" s="2235"/>
      <c r="FJS1" s="2235"/>
      <c r="FJT1" s="2235"/>
      <c r="FJU1" s="2235"/>
      <c r="FJV1" s="2235"/>
      <c r="FJW1" s="2235"/>
      <c r="FJX1" s="2235"/>
      <c r="FJY1" s="2235"/>
      <c r="FJZ1" s="2235"/>
      <c r="FKA1" s="2235"/>
      <c r="FKB1" s="2235"/>
      <c r="FKC1" s="2235"/>
      <c r="FKD1" s="2235"/>
      <c r="FKE1" s="2235"/>
      <c r="FKF1" s="2235"/>
      <c r="FKG1" s="2235"/>
      <c r="FKH1" s="2235"/>
      <c r="FKI1" s="2235"/>
      <c r="FKJ1" s="2235"/>
      <c r="FKK1" s="2235"/>
      <c r="FKL1" s="2235"/>
      <c r="FKM1" s="2235"/>
      <c r="FKN1" s="2235"/>
      <c r="FKO1" s="2235"/>
      <c r="FKP1" s="2235"/>
      <c r="FKQ1" s="2235"/>
      <c r="FKR1" s="2235"/>
      <c r="FKS1" s="2235"/>
      <c r="FKT1" s="2235"/>
      <c r="FKU1" s="2235"/>
      <c r="FKV1" s="2235"/>
      <c r="FKW1" s="2235"/>
      <c r="FKX1" s="2235"/>
      <c r="FKY1" s="2235"/>
      <c r="FKZ1" s="2235"/>
      <c r="FLA1" s="2235"/>
      <c r="FLB1" s="2235"/>
      <c r="FLC1" s="2235"/>
      <c r="FLD1" s="2235"/>
      <c r="FLE1" s="2235"/>
      <c r="FLF1" s="2235"/>
      <c r="FLG1" s="2235"/>
      <c r="FLH1" s="2235"/>
      <c r="FLI1" s="2235"/>
      <c r="FLJ1" s="2235"/>
      <c r="FLK1" s="2235"/>
      <c r="FLL1" s="2235"/>
      <c r="FLM1" s="2235"/>
      <c r="FLN1" s="2235"/>
      <c r="FLO1" s="2235"/>
      <c r="FLP1" s="2235"/>
      <c r="FLQ1" s="2235"/>
      <c r="FLR1" s="2235"/>
      <c r="FLS1" s="2235"/>
      <c r="FLT1" s="2235"/>
      <c r="FLU1" s="2235"/>
      <c r="FLV1" s="2235"/>
      <c r="FLW1" s="2235"/>
      <c r="FLX1" s="2235"/>
      <c r="FLY1" s="2235"/>
      <c r="FLZ1" s="2235"/>
      <c r="FMA1" s="2235"/>
      <c r="FMB1" s="2235"/>
      <c r="FMC1" s="2235"/>
      <c r="FMD1" s="2235"/>
      <c r="FME1" s="2235"/>
      <c r="FMF1" s="2235"/>
      <c r="FMG1" s="2235"/>
      <c r="FMH1" s="2235"/>
      <c r="FMI1" s="2235"/>
      <c r="FMJ1" s="2235"/>
      <c r="FMK1" s="2235"/>
      <c r="FML1" s="2235"/>
      <c r="FMM1" s="2235"/>
      <c r="FMN1" s="2235"/>
      <c r="FMO1" s="2235"/>
      <c r="FMP1" s="2235"/>
      <c r="FMQ1" s="2235"/>
      <c r="FMR1" s="2235"/>
      <c r="FMS1" s="2235"/>
      <c r="FMT1" s="2235"/>
      <c r="FMU1" s="2235"/>
      <c r="FMV1" s="2235"/>
      <c r="FMW1" s="2235"/>
      <c r="FMX1" s="2235"/>
      <c r="FMY1" s="2235"/>
      <c r="FMZ1" s="2235"/>
      <c r="FNA1" s="2235"/>
      <c r="FNB1" s="2235"/>
      <c r="FNC1" s="2235"/>
      <c r="FND1" s="2235"/>
      <c r="FNE1" s="2235"/>
      <c r="FNF1" s="2235"/>
      <c r="FNG1" s="2235"/>
      <c r="FNH1" s="2235"/>
      <c r="FNI1" s="2235"/>
      <c r="FNJ1" s="2235"/>
      <c r="FNK1" s="2235"/>
      <c r="FNL1" s="2235"/>
      <c r="FNM1" s="2235"/>
      <c r="FNN1" s="2235"/>
      <c r="FNO1" s="2235"/>
      <c r="FNP1" s="2235"/>
      <c r="FNQ1" s="2235"/>
      <c r="FNR1" s="2235"/>
      <c r="FNS1" s="2235"/>
      <c r="FNT1" s="2235"/>
      <c r="FNU1" s="2235"/>
      <c r="FNV1" s="2235"/>
      <c r="FNW1" s="2235"/>
      <c r="FNX1" s="2235"/>
      <c r="FNY1" s="2235"/>
      <c r="FNZ1" s="2235"/>
      <c r="FOA1" s="2235"/>
      <c r="FOB1" s="2235"/>
      <c r="FOC1" s="2235"/>
      <c r="FOD1" s="2235"/>
      <c r="FOE1" s="2235"/>
      <c r="FOF1" s="2235"/>
      <c r="FOG1" s="2235"/>
      <c r="FOH1" s="2235"/>
      <c r="FOI1" s="2235"/>
      <c r="FOJ1" s="2235"/>
      <c r="FOK1" s="2235"/>
      <c r="FOL1" s="2235"/>
      <c r="FOM1" s="2235"/>
      <c r="FON1" s="2235"/>
      <c r="FOO1" s="2235"/>
      <c r="FOP1" s="2235"/>
      <c r="FOQ1" s="2235"/>
      <c r="FOR1" s="2235"/>
      <c r="FOS1" s="2235"/>
      <c r="FOT1" s="2235"/>
      <c r="FOU1" s="2235"/>
      <c r="FOV1" s="2235"/>
      <c r="FOW1" s="2235"/>
      <c r="FOX1" s="2235"/>
      <c r="FOY1" s="2235"/>
      <c r="FOZ1" s="2235"/>
      <c r="FPA1" s="2235"/>
      <c r="FPB1" s="2235"/>
      <c r="FPC1" s="2235"/>
      <c r="FPD1" s="2235"/>
      <c r="FPE1" s="2235"/>
      <c r="FPF1" s="2235"/>
      <c r="FPG1" s="2235"/>
      <c r="FPH1" s="2235"/>
      <c r="FPI1" s="2235"/>
      <c r="FPJ1" s="2235"/>
      <c r="FPK1" s="2235"/>
      <c r="FPL1" s="2235"/>
      <c r="FPM1" s="2235"/>
      <c r="FPN1" s="2235"/>
      <c r="FPO1" s="2235"/>
      <c r="FPP1" s="2235"/>
      <c r="FPQ1" s="2235"/>
      <c r="FPR1" s="2235"/>
      <c r="FPS1" s="2235"/>
      <c r="FPT1" s="2235"/>
      <c r="FPU1" s="2235"/>
      <c r="FPV1" s="2235"/>
      <c r="FPW1" s="2235"/>
      <c r="FPX1" s="2235"/>
      <c r="FPY1" s="2235"/>
      <c r="FPZ1" s="2235"/>
      <c r="FQA1" s="2235"/>
      <c r="FQB1" s="2235"/>
      <c r="FQC1" s="2235"/>
      <c r="FQD1" s="2235"/>
      <c r="FQE1" s="2235"/>
      <c r="FQF1" s="2235"/>
      <c r="FQG1" s="2235"/>
      <c r="FQH1" s="2235"/>
      <c r="FQI1" s="2235"/>
      <c r="FQJ1" s="2235"/>
      <c r="FQK1" s="2235"/>
      <c r="FQL1" s="2235"/>
      <c r="FQM1" s="2235"/>
      <c r="FQN1" s="2235"/>
      <c r="FQO1" s="2235"/>
      <c r="FQP1" s="2235"/>
      <c r="FQQ1" s="2235"/>
      <c r="FQR1" s="2235"/>
      <c r="FQS1" s="2235"/>
      <c r="FQT1" s="2235"/>
      <c r="FQU1" s="2235"/>
      <c r="FQV1" s="2235"/>
      <c r="FQW1" s="2235"/>
      <c r="FQX1" s="2235"/>
      <c r="FQY1" s="2235"/>
      <c r="FQZ1" s="2235"/>
      <c r="FRA1" s="2235"/>
      <c r="FRB1" s="2235"/>
      <c r="FRC1" s="2235"/>
      <c r="FRD1" s="2235"/>
      <c r="FRE1" s="2235"/>
      <c r="FRF1" s="2235"/>
      <c r="FRG1" s="2235"/>
      <c r="FRH1" s="2235"/>
      <c r="FRI1" s="2235"/>
      <c r="FRJ1" s="2235"/>
      <c r="FRK1" s="2235"/>
      <c r="FRL1" s="2235"/>
      <c r="FRM1" s="2235"/>
      <c r="FRN1" s="2235"/>
      <c r="FRO1" s="2235"/>
      <c r="FRP1" s="2235"/>
      <c r="FRQ1" s="2235"/>
      <c r="FRR1" s="2235"/>
      <c r="FRS1" s="2235"/>
      <c r="FRT1" s="2235"/>
      <c r="FRU1" s="2235"/>
      <c r="FRV1" s="2235"/>
      <c r="FRW1" s="2235"/>
      <c r="FRX1" s="2235"/>
      <c r="FRY1" s="2235"/>
      <c r="FRZ1" s="2235"/>
      <c r="FSA1" s="2235"/>
      <c r="FSB1" s="2235"/>
      <c r="FSC1" s="2235"/>
      <c r="FSD1" s="2235"/>
      <c r="FSE1" s="2235"/>
      <c r="FSF1" s="2235"/>
      <c r="FSG1" s="2235"/>
      <c r="FSH1" s="2235"/>
      <c r="FSI1" s="2235"/>
      <c r="FSJ1" s="2235"/>
      <c r="FSK1" s="2235"/>
      <c r="FSL1" s="2235"/>
      <c r="FSM1" s="2235"/>
      <c r="FSN1" s="2235"/>
      <c r="FSO1" s="2235"/>
      <c r="FSP1" s="2235"/>
      <c r="FSQ1" s="2235"/>
      <c r="FSR1" s="2235"/>
      <c r="FSS1" s="2235"/>
      <c r="FST1" s="2235"/>
      <c r="FSU1" s="2235"/>
      <c r="FSV1" s="2235"/>
      <c r="FSW1" s="2235"/>
      <c r="FSX1" s="2235"/>
      <c r="FSY1" s="2235"/>
      <c r="FSZ1" s="2235"/>
      <c r="FTA1" s="2235"/>
      <c r="FTB1" s="2235"/>
      <c r="FTC1" s="2235"/>
      <c r="FTD1" s="2235"/>
      <c r="FTE1" s="2235"/>
      <c r="FTF1" s="2235"/>
      <c r="FTG1" s="2235"/>
      <c r="FTH1" s="2235"/>
      <c r="FTI1" s="2235"/>
      <c r="FTJ1" s="2235"/>
      <c r="FTK1" s="2235"/>
      <c r="FTL1" s="2235"/>
      <c r="FTM1" s="2235"/>
      <c r="FTN1" s="2235"/>
      <c r="FTO1" s="2235"/>
      <c r="FTP1" s="2235"/>
      <c r="FTQ1" s="2235"/>
      <c r="FTR1" s="2235"/>
      <c r="FTS1" s="2235"/>
      <c r="FTT1" s="2235"/>
      <c r="FTU1" s="2235"/>
      <c r="FTV1" s="2235"/>
      <c r="FTW1" s="2235"/>
      <c r="FTX1" s="2235"/>
      <c r="FTY1" s="2235"/>
      <c r="FTZ1" s="2235"/>
      <c r="FUA1" s="2235"/>
      <c r="FUB1" s="2235"/>
      <c r="FUC1" s="2235"/>
      <c r="FUD1" s="2235"/>
      <c r="FUE1" s="2235"/>
      <c r="FUF1" s="2235"/>
      <c r="FUG1" s="2235"/>
      <c r="FUH1" s="2235"/>
      <c r="FUI1" s="2235"/>
      <c r="FUJ1" s="2235"/>
      <c r="FUK1" s="2235"/>
      <c r="FUL1" s="2235"/>
      <c r="FUM1" s="2235"/>
      <c r="FUN1" s="2235"/>
      <c r="FUO1" s="2235"/>
      <c r="FUP1" s="2235"/>
      <c r="FUQ1" s="2235"/>
      <c r="FUR1" s="2235"/>
      <c r="FUS1" s="2235"/>
      <c r="FUT1" s="2235"/>
      <c r="FUU1" s="2235"/>
      <c r="FUV1" s="2235"/>
      <c r="FUW1" s="2235"/>
      <c r="FUX1" s="2235"/>
      <c r="FUY1" s="2235"/>
      <c r="FUZ1" s="2235"/>
      <c r="FVA1" s="2235"/>
      <c r="FVB1" s="2235"/>
      <c r="FVC1" s="2235"/>
      <c r="FVD1" s="2235"/>
      <c r="FVE1" s="2235"/>
      <c r="FVF1" s="2235"/>
      <c r="FVG1" s="2235"/>
      <c r="FVH1" s="2235"/>
      <c r="FVI1" s="2235"/>
      <c r="FVJ1" s="2235"/>
      <c r="FVK1" s="2235"/>
      <c r="FVL1" s="2235"/>
      <c r="FVM1" s="2235"/>
      <c r="FVN1" s="2235"/>
      <c r="FVO1" s="2235"/>
      <c r="FVP1" s="2235"/>
      <c r="FVQ1" s="2235"/>
      <c r="FVR1" s="2235"/>
      <c r="FVS1" s="2235"/>
      <c r="FVT1" s="2235"/>
      <c r="FVU1" s="2235"/>
      <c r="FVV1" s="2235"/>
      <c r="FVW1" s="2235"/>
      <c r="FVX1" s="2235"/>
      <c r="FVY1" s="2235"/>
      <c r="FVZ1" s="2235"/>
      <c r="FWA1" s="2235"/>
      <c r="FWB1" s="2235"/>
      <c r="FWC1" s="2235"/>
      <c r="FWD1" s="2235"/>
      <c r="FWE1" s="2235"/>
      <c r="FWF1" s="2235"/>
      <c r="FWG1" s="2235"/>
      <c r="FWH1" s="2235"/>
      <c r="FWI1" s="2235"/>
      <c r="FWJ1" s="2235"/>
      <c r="FWK1" s="2235"/>
      <c r="FWL1" s="2235"/>
      <c r="FWM1" s="2235"/>
      <c r="FWN1" s="2235"/>
      <c r="FWO1" s="2235"/>
      <c r="FWP1" s="2235"/>
      <c r="FWQ1" s="2235"/>
      <c r="FWR1" s="2235"/>
      <c r="FWS1" s="2235"/>
      <c r="FWT1" s="2235"/>
      <c r="FWU1" s="2235"/>
      <c r="FWV1" s="2235"/>
      <c r="FWW1" s="2235"/>
      <c r="FWX1" s="2235"/>
      <c r="FWY1" s="2235"/>
      <c r="FWZ1" s="2235"/>
      <c r="FXA1" s="2235"/>
      <c r="FXB1" s="2235"/>
      <c r="FXC1" s="2235"/>
      <c r="FXD1" s="2235"/>
      <c r="FXE1" s="2235"/>
      <c r="FXF1" s="2235"/>
      <c r="FXG1" s="2235"/>
      <c r="FXH1" s="2235"/>
      <c r="FXI1" s="2235"/>
      <c r="FXJ1" s="2235"/>
      <c r="FXK1" s="2235"/>
      <c r="FXL1" s="2235"/>
      <c r="FXM1" s="2235"/>
      <c r="FXN1" s="2235"/>
      <c r="FXO1" s="2235"/>
      <c r="FXP1" s="2235"/>
      <c r="FXQ1" s="2235"/>
      <c r="FXR1" s="2235"/>
      <c r="FXS1" s="2235"/>
      <c r="FXT1" s="2235"/>
      <c r="FXU1" s="2235"/>
      <c r="FXV1" s="2235"/>
      <c r="FXW1" s="2235"/>
      <c r="FXX1" s="2235"/>
      <c r="FXY1" s="2235"/>
      <c r="FXZ1" s="2235"/>
      <c r="FYA1" s="2235"/>
      <c r="FYB1" s="2235"/>
      <c r="FYC1" s="2235"/>
      <c r="FYD1" s="2235"/>
      <c r="FYE1" s="2235"/>
      <c r="FYF1" s="2235"/>
      <c r="FYG1" s="2235"/>
      <c r="FYH1" s="2235"/>
      <c r="FYI1" s="2235"/>
      <c r="FYJ1" s="2235"/>
      <c r="FYK1" s="2235"/>
      <c r="FYL1" s="2235"/>
      <c r="FYM1" s="2235"/>
      <c r="FYN1" s="2235"/>
      <c r="FYO1" s="2235"/>
      <c r="FYP1" s="2235"/>
      <c r="FYQ1" s="2235"/>
      <c r="FYR1" s="2235"/>
      <c r="FYS1" s="2235"/>
      <c r="FYT1" s="2235"/>
      <c r="FYU1" s="2235"/>
      <c r="FYV1" s="2235"/>
      <c r="FYW1" s="2235"/>
      <c r="FYX1" s="2235"/>
      <c r="FYY1" s="2235"/>
      <c r="FYZ1" s="2235"/>
      <c r="FZA1" s="2235"/>
      <c r="FZB1" s="2235"/>
      <c r="FZC1" s="2235"/>
      <c r="FZD1" s="2235"/>
      <c r="FZE1" s="2235"/>
      <c r="FZF1" s="2235"/>
      <c r="FZG1" s="2235"/>
      <c r="FZH1" s="2235"/>
      <c r="FZI1" s="2235"/>
      <c r="FZJ1" s="2235"/>
      <c r="FZK1" s="2235"/>
      <c r="FZL1" s="2235"/>
      <c r="FZM1" s="2235"/>
      <c r="FZN1" s="2235"/>
      <c r="FZO1" s="2235"/>
      <c r="FZP1" s="2235"/>
      <c r="FZQ1" s="2235"/>
      <c r="FZR1" s="2235"/>
      <c r="FZS1" s="2235"/>
      <c r="FZT1" s="2235"/>
      <c r="FZU1" s="2235"/>
      <c r="FZV1" s="2235"/>
      <c r="FZW1" s="2235"/>
      <c r="FZX1" s="2235"/>
      <c r="FZY1" s="2235"/>
      <c r="FZZ1" s="2235"/>
      <c r="GAA1" s="2235"/>
      <c r="GAB1" s="2235"/>
      <c r="GAC1" s="2235"/>
      <c r="GAD1" s="2235"/>
      <c r="GAE1" s="2235"/>
      <c r="GAF1" s="2235"/>
      <c r="GAG1" s="2235"/>
      <c r="GAH1" s="2235"/>
      <c r="GAI1" s="2235"/>
      <c r="GAJ1" s="2235"/>
      <c r="GAK1" s="2235"/>
      <c r="GAL1" s="2235"/>
      <c r="GAM1" s="2235"/>
      <c r="GAN1" s="2235"/>
      <c r="GAO1" s="2235"/>
      <c r="GAP1" s="2235"/>
      <c r="GAQ1" s="2235"/>
      <c r="GAR1" s="2235"/>
      <c r="GAS1" s="2235"/>
      <c r="GAT1" s="2235"/>
      <c r="GAU1" s="2235"/>
      <c r="GAV1" s="2235"/>
      <c r="GAW1" s="2235"/>
      <c r="GAX1" s="2235"/>
      <c r="GAY1" s="2235"/>
      <c r="GAZ1" s="2235"/>
      <c r="GBA1" s="2235"/>
      <c r="GBB1" s="2235"/>
      <c r="GBC1" s="2235"/>
      <c r="GBD1" s="2235"/>
      <c r="GBE1" s="2235"/>
      <c r="GBF1" s="2235"/>
      <c r="GBG1" s="2235"/>
      <c r="GBH1" s="2235"/>
      <c r="GBI1" s="2235"/>
      <c r="GBJ1" s="2235"/>
      <c r="GBK1" s="2235"/>
      <c r="GBL1" s="2235"/>
      <c r="GBM1" s="2235"/>
      <c r="GBN1" s="2235"/>
      <c r="GBO1" s="2235"/>
      <c r="GBP1" s="2235"/>
      <c r="GBQ1" s="2235"/>
      <c r="GBR1" s="2235"/>
      <c r="GBS1" s="2235"/>
      <c r="GBT1" s="2235"/>
      <c r="GBU1" s="2235"/>
      <c r="GBV1" s="2235"/>
      <c r="GBW1" s="2235"/>
      <c r="GBX1" s="2235"/>
      <c r="GBY1" s="2235"/>
      <c r="GBZ1" s="2235"/>
      <c r="GCA1" s="2235"/>
      <c r="GCB1" s="2235"/>
      <c r="GCC1" s="2235"/>
      <c r="GCD1" s="2235"/>
      <c r="GCE1" s="2235"/>
      <c r="GCF1" s="2235"/>
      <c r="GCG1" s="2235"/>
      <c r="GCH1" s="2235"/>
      <c r="GCI1" s="2235"/>
      <c r="GCJ1" s="2235"/>
      <c r="GCK1" s="2235"/>
      <c r="GCL1" s="2235"/>
      <c r="GCM1" s="2235"/>
      <c r="GCN1" s="2235"/>
      <c r="GCO1" s="2235"/>
      <c r="GCP1" s="2235"/>
      <c r="GCQ1" s="2235"/>
      <c r="GCR1" s="2235"/>
      <c r="GCS1" s="2235"/>
      <c r="GCT1" s="2235"/>
      <c r="GCU1" s="2235"/>
      <c r="GCV1" s="2235"/>
      <c r="GCW1" s="2235"/>
      <c r="GCX1" s="2235"/>
      <c r="GCY1" s="2235"/>
      <c r="GCZ1" s="2235"/>
      <c r="GDA1" s="2235"/>
      <c r="GDB1" s="2235"/>
      <c r="GDC1" s="2235"/>
      <c r="GDD1" s="2235"/>
      <c r="GDE1" s="2235"/>
      <c r="GDF1" s="2235"/>
      <c r="GDG1" s="2235"/>
      <c r="GDH1" s="2235"/>
      <c r="GDI1" s="2235"/>
      <c r="GDJ1" s="2235"/>
      <c r="GDK1" s="2235"/>
      <c r="GDL1" s="2235"/>
      <c r="GDM1" s="2235"/>
      <c r="GDN1" s="2235"/>
      <c r="GDO1" s="2235"/>
      <c r="GDP1" s="2235"/>
      <c r="GDQ1" s="2235"/>
      <c r="GDR1" s="2235"/>
      <c r="GDS1" s="2235"/>
      <c r="GDT1" s="2235"/>
      <c r="GDU1" s="2235"/>
      <c r="GDV1" s="2235"/>
      <c r="GDW1" s="2235"/>
      <c r="GDX1" s="2235"/>
      <c r="GDY1" s="2235"/>
      <c r="GDZ1" s="2235"/>
      <c r="GEA1" s="2235"/>
      <c r="GEB1" s="2235"/>
      <c r="GEC1" s="2235"/>
      <c r="GED1" s="2235"/>
      <c r="GEE1" s="2235"/>
      <c r="GEF1" s="2235"/>
      <c r="GEG1" s="2235"/>
      <c r="GEH1" s="2235"/>
      <c r="GEI1" s="2235"/>
      <c r="GEJ1" s="2235"/>
      <c r="GEK1" s="2235"/>
      <c r="GEL1" s="2235"/>
      <c r="GEM1" s="2235"/>
      <c r="GEN1" s="2235"/>
      <c r="GEO1" s="2235"/>
      <c r="GEP1" s="2235"/>
      <c r="GEQ1" s="2235"/>
      <c r="GER1" s="2235"/>
      <c r="GES1" s="2235"/>
      <c r="GET1" s="2235"/>
      <c r="GEU1" s="2235"/>
      <c r="GEV1" s="2235"/>
      <c r="GEW1" s="2235"/>
      <c r="GEX1" s="2235"/>
      <c r="GEY1" s="2235"/>
      <c r="GEZ1" s="2235"/>
      <c r="GFA1" s="2235"/>
      <c r="GFB1" s="2235"/>
      <c r="GFC1" s="2235"/>
      <c r="GFD1" s="2235"/>
      <c r="GFE1" s="2235"/>
      <c r="GFF1" s="2235"/>
      <c r="GFG1" s="2235"/>
      <c r="GFH1" s="2235"/>
      <c r="GFI1" s="2235"/>
      <c r="GFJ1" s="2235"/>
      <c r="GFK1" s="2235"/>
      <c r="GFL1" s="2235"/>
      <c r="GFM1" s="2235"/>
      <c r="GFN1" s="2235"/>
      <c r="GFO1" s="2235"/>
      <c r="GFP1" s="2235"/>
      <c r="GFQ1" s="2235"/>
      <c r="GFR1" s="2235"/>
      <c r="GFS1" s="2235"/>
      <c r="GFT1" s="2235"/>
      <c r="GFU1" s="2235"/>
      <c r="GFV1" s="2235"/>
      <c r="GFW1" s="2235"/>
      <c r="GFX1" s="2235"/>
      <c r="GFY1" s="2235"/>
      <c r="GFZ1" s="2235"/>
      <c r="GGA1" s="2235"/>
      <c r="GGB1" s="2235"/>
      <c r="GGC1" s="2235"/>
      <c r="GGD1" s="2235"/>
      <c r="GGE1" s="2235"/>
      <c r="GGF1" s="2235"/>
      <c r="GGG1" s="2235"/>
      <c r="GGH1" s="2235"/>
      <c r="GGI1" s="2235"/>
      <c r="GGJ1" s="2235"/>
      <c r="GGK1" s="2235"/>
      <c r="GGL1" s="2235"/>
      <c r="GGM1" s="2235"/>
      <c r="GGN1" s="2235"/>
      <c r="GGO1" s="2235"/>
      <c r="GGP1" s="2235"/>
      <c r="GGQ1" s="2235"/>
      <c r="GGR1" s="2235"/>
      <c r="GGS1" s="2235"/>
      <c r="GGT1" s="2235"/>
      <c r="GGU1" s="2235"/>
      <c r="GGV1" s="2235"/>
      <c r="GGW1" s="2235"/>
      <c r="GGX1" s="2235"/>
      <c r="GGY1" s="2235"/>
      <c r="GGZ1" s="2235"/>
      <c r="GHA1" s="2235"/>
      <c r="GHB1" s="2235"/>
      <c r="GHC1" s="2235"/>
      <c r="GHD1" s="2235"/>
      <c r="GHE1" s="2235"/>
      <c r="GHF1" s="2235"/>
      <c r="GHG1" s="2235"/>
      <c r="GHH1" s="2235"/>
      <c r="GHI1" s="2235"/>
      <c r="GHJ1" s="2235"/>
      <c r="GHK1" s="2235"/>
      <c r="GHL1" s="2235"/>
      <c r="GHM1" s="2235"/>
      <c r="GHN1" s="2235"/>
      <c r="GHO1" s="2235"/>
      <c r="GHP1" s="2235"/>
      <c r="GHQ1" s="2235"/>
      <c r="GHR1" s="2235"/>
      <c r="GHS1" s="2235"/>
      <c r="GHT1" s="2235"/>
      <c r="GHU1" s="2235"/>
      <c r="GHV1" s="2235"/>
      <c r="GHW1" s="2235"/>
      <c r="GHX1" s="2235"/>
      <c r="GHY1" s="2235"/>
      <c r="GHZ1" s="2235"/>
      <c r="GIA1" s="2235"/>
      <c r="GIB1" s="2235"/>
      <c r="GIC1" s="2235"/>
      <c r="GID1" s="2235"/>
      <c r="GIE1" s="2235"/>
      <c r="GIF1" s="2235"/>
      <c r="GIG1" s="2235"/>
      <c r="GIH1" s="2235"/>
      <c r="GII1" s="2235"/>
      <c r="GIJ1" s="2235"/>
      <c r="GIK1" s="2235"/>
      <c r="GIL1" s="2235"/>
      <c r="GIM1" s="2235"/>
      <c r="GIN1" s="2235"/>
      <c r="GIO1" s="2235"/>
      <c r="GIP1" s="2235"/>
      <c r="GIQ1" s="2235"/>
      <c r="GIR1" s="2235"/>
      <c r="GIS1" s="2235"/>
      <c r="GIT1" s="2235"/>
      <c r="GIU1" s="2235"/>
      <c r="GIV1" s="2235"/>
      <c r="GIW1" s="2235"/>
      <c r="GIX1" s="2235"/>
      <c r="GIY1" s="2235"/>
      <c r="GIZ1" s="2235"/>
      <c r="GJA1" s="2235"/>
      <c r="GJB1" s="2235"/>
      <c r="GJC1" s="2235"/>
      <c r="GJD1" s="2235"/>
      <c r="GJE1" s="2235"/>
      <c r="GJF1" s="2235"/>
      <c r="GJG1" s="2235"/>
      <c r="GJH1" s="2235"/>
      <c r="GJI1" s="2235"/>
      <c r="GJJ1" s="2235"/>
      <c r="GJK1" s="2235"/>
      <c r="GJL1" s="2235"/>
      <c r="GJM1" s="2235"/>
      <c r="GJN1" s="2235"/>
      <c r="GJO1" s="2235"/>
      <c r="GJP1" s="2235"/>
      <c r="GJQ1" s="2235"/>
      <c r="GJR1" s="2235"/>
      <c r="GJS1" s="2235"/>
      <c r="GJT1" s="2235"/>
      <c r="GJU1" s="2235"/>
      <c r="GJV1" s="2235"/>
      <c r="GJW1" s="2235"/>
      <c r="GJX1" s="2235"/>
      <c r="GJY1" s="2235"/>
      <c r="GJZ1" s="2235"/>
      <c r="GKA1" s="2235"/>
      <c r="GKB1" s="2235"/>
      <c r="GKC1" s="2235"/>
      <c r="GKD1" s="2235"/>
      <c r="GKE1" s="2235"/>
      <c r="GKF1" s="2235"/>
      <c r="GKG1" s="2235"/>
      <c r="GKH1" s="2235"/>
      <c r="GKI1" s="2235"/>
      <c r="GKJ1" s="2235"/>
      <c r="GKK1" s="2235"/>
      <c r="GKL1" s="2235"/>
      <c r="GKM1" s="2235"/>
      <c r="GKN1" s="2235"/>
      <c r="GKO1" s="2235"/>
      <c r="GKP1" s="2235"/>
      <c r="GKQ1" s="2235"/>
      <c r="GKR1" s="2235"/>
      <c r="GKS1" s="2235"/>
      <c r="GKT1" s="2235"/>
      <c r="GKU1" s="2235"/>
      <c r="GKV1" s="2235"/>
      <c r="GKW1" s="2235"/>
      <c r="GKX1" s="2235"/>
      <c r="GKY1" s="2235"/>
      <c r="GKZ1" s="2235"/>
      <c r="GLA1" s="2235"/>
      <c r="GLB1" s="2235"/>
      <c r="GLC1" s="2235"/>
      <c r="GLD1" s="2235"/>
      <c r="GLE1" s="2235"/>
      <c r="GLF1" s="2235"/>
      <c r="GLG1" s="2235"/>
      <c r="GLH1" s="2235"/>
      <c r="GLI1" s="2235"/>
      <c r="GLJ1" s="2235"/>
      <c r="GLK1" s="2235"/>
      <c r="GLL1" s="2235"/>
      <c r="GLM1" s="2235"/>
      <c r="GLN1" s="2235"/>
      <c r="GLO1" s="2235"/>
      <c r="GLP1" s="2235"/>
      <c r="GLQ1" s="2235"/>
      <c r="GLR1" s="2235"/>
      <c r="GLS1" s="2235"/>
      <c r="GLT1" s="2235"/>
      <c r="GLU1" s="2235"/>
      <c r="GLV1" s="2235"/>
      <c r="GLW1" s="2235"/>
      <c r="GLX1" s="2235"/>
      <c r="GLY1" s="2235"/>
      <c r="GLZ1" s="2235"/>
      <c r="GMA1" s="2235"/>
      <c r="GMB1" s="2235"/>
      <c r="GMC1" s="2235"/>
      <c r="GMD1" s="2235"/>
      <c r="GME1" s="2235"/>
      <c r="GMF1" s="2235"/>
      <c r="GMG1" s="2235"/>
      <c r="GMH1" s="2235"/>
      <c r="GMI1" s="2235"/>
      <c r="GMJ1" s="2235"/>
      <c r="GMK1" s="2235"/>
      <c r="GML1" s="2235"/>
      <c r="GMM1" s="2235"/>
      <c r="GMN1" s="2235"/>
      <c r="GMO1" s="2235"/>
      <c r="GMP1" s="2235"/>
      <c r="GMQ1" s="2235"/>
      <c r="GMR1" s="2235"/>
      <c r="GMS1" s="2235"/>
      <c r="GMT1" s="2235"/>
      <c r="GMU1" s="2235"/>
      <c r="GMV1" s="2235"/>
      <c r="GMW1" s="2235"/>
      <c r="GMX1" s="2235"/>
      <c r="GMY1" s="2235"/>
      <c r="GMZ1" s="2235"/>
      <c r="GNA1" s="2235"/>
      <c r="GNB1" s="2235"/>
      <c r="GNC1" s="2235"/>
      <c r="GND1" s="2235"/>
      <c r="GNE1" s="2235"/>
      <c r="GNF1" s="2235"/>
      <c r="GNG1" s="2235"/>
      <c r="GNH1" s="2235"/>
      <c r="GNI1" s="2235"/>
      <c r="GNJ1" s="2235"/>
      <c r="GNK1" s="2235"/>
      <c r="GNL1" s="2235"/>
      <c r="GNM1" s="2235"/>
      <c r="GNN1" s="2235"/>
      <c r="GNO1" s="2235"/>
      <c r="GNP1" s="2235"/>
      <c r="GNQ1" s="2235"/>
      <c r="GNR1" s="2235"/>
      <c r="GNS1" s="2235"/>
      <c r="GNT1" s="2235"/>
      <c r="GNU1" s="2235"/>
      <c r="GNV1" s="2235"/>
      <c r="GNW1" s="2235"/>
      <c r="GNX1" s="2235"/>
      <c r="GNY1" s="2235"/>
      <c r="GNZ1" s="2235"/>
      <c r="GOA1" s="2235"/>
      <c r="GOB1" s="2235"/>
      <c r="GOC1" s="2235"/>
      <c r="GOD1" s="2235"/>
      <c r="GOE1" s="2235"/>
      <c r="GOF1" s="2235"/>
      <c r="GOG1" s="2235"/>
      <c r="GOH1" s="2235"/>
      <c r="GOI1" s="2235"/>
      <c r="GOJ1" s="2235"/>
      <c r="GOK1" s="2235"/>
      <c r="GOL1" s="2235"/>
      <c r="GOM1" s="2235"/>
      <c r="GON1" s="2235"/>
      <c r="GOO1" s="2235"/>
      <c r="GOP1" s="2235"/>
      <c r="GOQ1" s="2235"/>
      <c r="GOR1" s="2235"/>
      <c r="GOS1" s="2235"/>
      <c r="GOT1" s="2235"/>
      <c r="GOU1" s="2235"/>
      <c r="GOV1" s="2235"/>
      <c r="GOW1" s="2235"/>
      <c r="GOX1" s="2235"/>
      <c r="GOY1" s="2235"/>
      <c r="GOZ1" s="2235"/>
      <c r="GPA1" s="2235"/>
      <c r="GPB1" s="2235"/>
      <c r="GPC1" s="2235"/>
      <c r="GPD1" s="2235"/>
      <c r="GPE1" s="2235"/>
      <c r="GPF1" s="2235"/>
      <c r="GPG1" s="2235"/>
      <c r="GPH1" s="2235"/>
      <c r="GPI1" s="2235"/>
      <c r="GPJ1" s="2235"/>
      <c r="GPK1" s="2235"/>
      <c r="GPL1" s="2235"/>
      <c r="GPM1" s="2235"/>
      <c r="GPN1" s="2235"/>
      <c r="GPO1" s="2235"/>
      <c r="GPP1" s="2235"/>
      <c r="GPQ1" s="2235"/>
      <c r="GPR1" s="2235"/>
      <c r="GPS1" s="2235"/>
      <c r="GPT1" s="2235"/>
      <c r="GPU1" s="2235"/>
      <c r="GPV1" s="2235"/>
      <c r="GPW1" s="2235"/>
      <c r="GPX1" s="2235"/>
      <c r="GPY1" s="2235"/>
      <c r="GPZ1" s="2235"/>
      <c r="GQA1" s="2235"/>
      <c r="GQB1" s="2235"/>
      <c r="GQC1" s="2235"/>
      <c r="GQD1" s="2235"/>
      <c r="GQE1" s="2235"/>
      <c r="GQF1" s="2235"/>
      <c r="GQG1" s="2235"/>
      <c r="GQH1" s="2235"/>
      <c r="GQI1" s="2235"/>
      <c r="GQJ1" s="2235"/>
      <c r="GQK1" s="2235"/>
      <c r="GQL1" s="2235"/>
      <c r="GQM1" s="2235"/>
      <c r="GQN1" s="2235"/>
      <c r="GQO1" s="2235"/>
      <c r="GQP1" s="2235"/>
      <c r="GQQ1" s="2235"/>
      <c r="GQR1" s="2235"/>
      <c r="GQS1" s="2235"/>
      <c r="GQT1" s="2235"/>
      <c r="GQU1" s="2235"/>
      <c r="GQV1" s="2235"/>
      <c r="GQW1" s="2235"/>
      <c r="GQX1" s="2235"/>
      <c r="GQY1" s="2235"/>
      <c r="GQZ1" s="2235"/>
      <c r="GRA1" s="2235"/>
      <c r="GRB1" s="2235"/>
      <c r="GRC1" s="2235"/>
      <c r="GRD1" s="2235"/>
      <c r="GRE1" s="2235"/>
      <c r="GRF1" s="2235"/>
      <c r="GRG1" s="2235"/>
      <c r="GRH1" s="2235"/>
      <c r="GRI1" s="2235"/>
      <c r="GRJ1" s="2235"/>
      <c r="GRK1" s="2235"/>
      <c r="GRL1" s="2235"/>
      <c r="GRM1" s="2235"/>
      <c r="GRN1" s="2235"/>
      <c r="GRO1" s="2235"/>
      <c r="GRP1" s="2235"/>
      <c r="GRQ1" s="2235"/>
      <c r="GRR1" s="2235"/>
      <c r="GRS1" s="2235"/>
      <c r="GRT1" s="2235"/>
      <c r="GRU1" s="2235"/>
      <c r="GRV1" s="2235"/>
      <c r="GRW1" s="2235"/>
      <c r="GRX1" s="2235"/>
      <c r="GRY1" s="2235"/>
      <c r="GRZ1" s="2235"/>
      <c r="GSA1" s="2235"/>
      <c r="GSB1" s="2235"/>
      <c r="GSC1" s="2235"/>
      <c r="GSD1" s="2235"/>
      <c r="GSE1" s="2235"/>
      <c r="GSF1" s="2235"/>
      <c r="GSG1" s="2235"/>
      <c r="GSH1" s="2235"/>
      <c r="GSI1" s="2235"/>
      <c r="GSJ1" s="2235"/>
      <c r="GSK1" s="2235"/>
      <c r="GSL1" s="2235"/>
      <c r="GSM1" s="2235"/>
      <c r="GSN1" s="2235"/>
      <c r="GSO1" s="2235"/>
      <c r="GSP1" s="2235"/>
      <c r="GSQ1" s="2235"/>
      <c r="GSR1" s="2235"/>
      <c r="GSS1" s="2235"/>
      <c r="GST1" s="2235"/>
      <c r="GSU1" s="2235"/>
      <c r="GSV1" s="2235"/>
      <c r="GSW1" s="2235"/>
      <c r="GSX1" s="2235"/>
      <c r="GSY1" s="2235"/>
      <c r="GSZ1" s="2235"/>
      <c r="GTA1" s="2235"/>
      <c r="GTB1" s="2235"/>
      <c r="GTC1" s="2235"/>
      <c r="GTD1" s="2235"/>
      <c r="GTE1" s="2235"/>
      <c r="GTF1" s="2235"/>
      <c r="GTG1" s="2235"/>
      <c r="GTH1" s="2235"/>
      <c r="GTI1" s="2235"/>
      <c r="GTJ1" s="2235"/>
      <c r="GTK1" s="2235"/>
      <c r="GTL1" s="2235"/>
      <c r="GTM1" s="2235"/>
      <c r="GTN1" s="2235"/>
      <c r="GTO1" s="2235"/>
      <c r="GTP1" s="2235"/>
      <c r="GTQ1" s="2235"/>
      <c r="GTR1" s="2235"/>
      <c r="GTS1" s="2235"/>
      <c r="GTT1" s="2235"/>
      <c r="GTU1" s="2235"/>
      <c r="GTV1" s="2235"/>
      <c r="GTW1" s="2235"/>
      <c r="GTX1" s="2235"/>
      <c r="GTY1" s="2235"/>
      <c r="GTZ1" s="2235"/>
      <c r="GUA1" s="2235"/>
      <c r="GUB1" s="2235"/>
      <c r="GUC1" s="2235"/>
      <c r="GUD1" s="2235"/>
      <c r="GUE1" s="2235"/>
      <c r="GUF1" s="2235"/>
      <c r="GUG1" s="2235"/>
      <c r="GUH1" s="2235"/>
      <c r="GUI1" s="2235"/>
      <c r="GUJ1" s="2235"/>
      <c r="GUK1" s="2235"/>
      <c r="GUL1" s="2235"/>
      <c r="GUM1" s="2235"/>
      <c r="GUN1" s="2235"/>
      <c r="GUO1" s="2235"/>
      <c r="GUP1" s="2235"/>
      <c r="GUQ1" s="2235"/>
      <c r="GUR1" s="2235"/>
      <c r="GUS1" s="2235"/>
      <c r="GUT1" s="2235"/>
      <c r="GUU1" s="2235"/>
      <c r="GUV1" s="2235"/>
      <c r="GUW1" s="2235"/>
      <c r="GUX1" s="2235"/>
      <c r="GUY1" s="2235"/>
      <c r="GUZ1" s="2235"/>
      <c r="GVA1" s="2235"/>
      <c r="GVB1" s="2235"/>
      <c r="GVC1" s="2235"/>
      <c r="GVD1" s="2235"/>
      <c r="GVE1" s="2235"/>
      <c r="GVF1" s="2235"/>
      <c r="GVG1" s="2235"/>
      <c r="GVH1" s="2235"/>
      <c r="GVI1" s="2235"/>
      <c r="GVJ1" s="2235"/>
      <c r="GVK1" s="2235"/>
      <c r="GVL1" s="2235"/>
      <c r="GVM1" s="2235"/>
      <c r="GVN1" s="2235"/>
      <c r="GVO1" s="2235"/>
      <c r="GVP1" s="2235"/>
      <c r="GVQ1" s="2235"/>
      <c r="GVR1" s="2235"/>
      <c r="GVS1" s="2235"/>
      <c r="GVT1" s="2235"/>
      <c r="GVU1" s="2235"/>
      <c r="GVV1" s="2235"/>
      <c r="GVW1" s="2235"/>
      <c r="GVX1" s="2235"/>
      <c r="GVY1" s="2235"/>
      <c r="GVZ1" s="2235"/>
      <c r="GWA1" s="2235"/>
      <c r="GWB1" s="2235"/>
      <c r="GWC1" s="2235"/>
      <c r="GWD1" s="2235"/>
      <c r="GWE1" s="2235"/>
      <c r="GWF1" s="2235"/>
      <c r="GWG1" s="2235"/>
      <c r="GWH1" s="2235"/>
      <c r="GWI1" s="2235"/>
      <c r="GWJ1" s="2235"/>
      <c r="GWK1" s="2235"/>
      <c r="GWL1" s="2235"/>
      <c r="GWM1" s="2235"/>
      <c r="GWN1" s="2235"/>
      <c r="GWO1" s="2235"/>
      <c r="GWP1" s="2235"/>
      <c r="GWQ1" s="2235"/>
      <c r="GWR1" s="2235"/>
      <c r="GWS1" s="2235"/>
      <c r="GWT1" s="2235"/>
      <c r="GWU1" s="2235"/>
      <c r="GWV1" s="2235"/>
      <c r="GWW1" s="2235"/>
      <c r="GWX1" s="2235"/>
      <c r="GWY1" s="2235"/>
      <c r="GWZ1" s="2235"/>
      <c r="GXA1" s="2235"/>
      <c r="GXB1" s="2235"/>
      <c r="GXC1" s="2235"/>
      <c r="GXD1" s="2235"/>
      <c r="GXE1" s="2235"/>
      <c r="GXF1" s="2235"/>
      <c r="GXG1" s="2235"/>
      <c r="GXH1" s="2235"/>
      <c r="GXI1" s="2235"/>
      <c r="GXJ1" s="2235"/>
      <c r="GXK1" s="2235"/>
      <c r="GXL1" s="2235"/>
      <c r="GXM1" s="2235"/>
      <c r="GXN1" s="2235"/>
      <c r="GXO1" s="2235"/>
      <c r="GXP1" s="2235"/>
      <c r="GXQ1" s="2235"/>
      <c r="GXR1" s="2235"/>
      <c r="GXS1" s="2235"/>
      <c r="GXT1" s="2235"/>
      <c r="GXU1" s="2235"/>
      <c r="GXV1" s="2235"/>
      <c r="GXW1" s="2235"/>
      <c r="GXX1" s="2235"/>
      <c r="GXY1" s="2235"/>
      <c r="GXZ1" s="2235"/>
      <c r="GYA1" s="2235"/>
      <c r="GYB1" s="2235"/>
      <c r="GYC1" s="2235"/>
      <c r="GYD1" s="2235"/>
      <c r="GYE1" s="2235"/>
      <c r="GYF1" s="2235"/>
      <c r="GYG1" s="2235"/>
      <c r="GYH1" s="2235"/>
      <c r="GYI1" s="2235"/>
      <c r="GYJ1" s="2235"/>
      <c r="GYK1" s="2235"/>
      <c r="GYL1" s="2235"/>
      <c r="GYM1" s="2235"/>
      <c r="GYN1" s="2235"/>
      <c r="GYO1" s="2235"/>
      <c r="GYP1" s="2235"/>
      <c r="GYQ1" s="2235"/>
      <c r="GYR1" s="2235"/>
      <c r="GYS1" s="2235"/>
      <c r="GYT1" s="2235"/>
      <c r="GYU1" s="2235"/>
      <c r="GYV1" s="2235"/>
      <c r="GYW1" s="2235"/>
      <c r="GYX1" s="2235"/>
      <c r="GYY1" s="2235"/>
      <c r="GYZ1" s="2235"/>
      <c r="GZA1" s="2235"/>
      <c r="GZB1" s="2235"/>
      <c r="GZC1" s="2235"/>
      <c r="GZD1" s="2235"/>
      <c r="GZE1" s="2235"/>
      <c r="GZF1" s="2235"/>
      <c r="GZG1" s="2235"/>
      <c r="GZH1" s="2235"/>
      <c r="GZI1" s="2235"/>
      <c r="GZJ1" s="2235"/>
      <c r="GZK1" s="2235"/>
      <c r="GZL1" s="2235"/>
      <c r="GZM1" s="2235"/>
      <c r="GZN1" s="2235"/>
      <c r="GZO1" s="2235"/>
      <c r="GZP1" s="2235"/>
      <c r="GZQ1" s="2235"/>
      <c r="GZR1" s="2235"/>
      <c r="GZS1" s="2235"/>
      <c r="GZT1" s="2235"/>
      <c r="GZU1" s="2235"/>
      <c r="GZV1" s="2235"/>
      <c r="GZW1" s="2235"/>
      <c r="GZX1" s="2235"/>
      <c r="GZY1" s="2235"/>
      <c r="GZZ1" s="2235"/>
      <c r="HAA1" s="2235"/>
      <c r="HAB1" s="2235"/>
      <c r="HAC1" s="2235"/>
      <c r="HAD1" s="2235"/>
      <c r="HAE1" s="2235"/>
      <c r="HAF1" s="2235"/>
      <c r="HAG1" s="2235"/>
      <c r="HAH1" s="2235"/>
      <c r="HAI1" s="2235"/>
      <c r="HAJ1" s="2235"/>
      <c r="HAK1" s="2235"/>
      <c r="HAL1" s="2235"/>
      <c r="HAM1" s="2235"/>
      <c r="HAN1" s="2235"/>
      <c r="HAO1" s="2235"/>
      <c r="HAP1" s="2235"/>
      <c r="HAQ1" s="2235"/>
      <c r="HAR1" s="2235"/>
      <c r="HAS1" s="2235"/>
      <c r="HAT1" s="2235"/>
      <c r="HAU1" s="2235"/>
      <c r="HAV1" s="2235"/>
      <c r="HAW1" s="2235"/>
      <c r="HAX1" s="2235"/>
      <c r="HAY1" s="2235"/>
      <c r="HAZ1" s="2235"/>
      <c r="HBA1" s="2235"/>
      <c r="HBB1" s="2235"/>
      <c r="HBC1" s="2235"/>
      <c r="HBD1" s="2235"/>
      <c r="HBE1" s="2235"/>
      <c r="HBF1" s="2235"/>
      <c r="HBG1" s="2235"/>
      <c r="HBH1" s="2235"/>
      <c r="HBI1" s="2235"/>
      <c r="HBJ1" s="2235"/>
      <c r="HBK1" s="2235"/>
      <c r="HBL1" s="2235"/>
      <c r="HBM1" s="2235"/>
      <c r="HBN1" s="2235"/>
      <c r="HBO1" s="2235"/>
      <c r="HBP1" s="2235"/>
      <c r="HBQ1" s="2235"/>
      <c r="HBR1" s="2235"/>
      <c r="HBS1" s="2235"/>
      <c r="HBT1" s="2235"/>
      <c r="HBU1" s="2235"/>
      <c r="HBV1" s="2235"/>
      <c r="HBW1" s="2235"/>
      <c r="HBX1" s="2235"/>
      <c r="HBY1" s="2235"/>
      <c r="HBZ1" s="2235"/>
      <c r="HCA1" s="2235"/>
      <c r="HCB1" s="2235"/>
      <c r="HCC1" s="2235"/>
      <c r="HCD1" s="2235"/>
      <c r="HCE1" s="2235"/>
      <c r="HCF1" s="2235"/>
      <c r="HCG1" s="2235"/>
      <c r="HCH1" s="2235"/>
      <c r="HCI1" s="2235"/>
      <c r="HCJ1" s="2235"/>
      <c r="HCK1" s="2235"/>
      <c r="HCL1" s="2235"/>
      <c r="HCM1" s="2235"/>
      <c r="HCN1" s="2235"/>
      <c r="HCO1" s="2235"/>
      <c r="HCP1" s="2235"/>
      <c r="HCQ1" s="2235"/>
      <c r="HCR1" s="2235"/>
      <c r="HCS1" s="2235"/>
      <c r="HCT1" s="2235"/>
      <c r="HCU1" s="2235"/>
      <c r="HCV1" s="2235"/>
      <c r="HCW1" s="2235"/>
      <c r="HCX1" s="2235"/>
      <c r="HCY1" s="2235"/>
      <c r="HCZ1" s="2235"/>
      <c r="HDA1" s="2235"/>
      <c r="HDB1" s="2235"/>
      <c r="HDC1" s="2235"/>
      <c r="HDD1" s="2235"/>
      <c r="HDE1" s="2235"/>
      <c r="HDF1" s="2235"/>
      <c r="HDG1" s="2235"/>
      <c r="HDH1" s="2235"/>
      <c r="HDI1" s="2235"/>
      <c r="HDJ1" s="2235"/>
      <c r="HDK1" s="2235"/>
      <c r="HDL1" s="2235"/>
      <c r="HDM1" s="2235"/>
      <c r="HDN1" s="2235"/>
      <c r="HDO1" s="2235"/>
      <c r="HDP1" s="2235"/>
      <c r="HDQ1" s="2235"/>
      <c r="HDR1" s="2235"/>
      <c r="HDS1" s="2235"/>
      <c r="HDT1" s="2235"/>
      <c r="HDU1" s="2235"/>
      <c r="HDV1" s="2235"/>
      <c r="HDW1" s="2235"/>
      <c r="HDX1" s="2235"/>
      <c r="HDY1" s="2235"/>
      <c r="HDZ1" s="2235"/>
      <c r="HEA1" s="2235"/>
      <c r="HEB1" s="2235"/>
      <c r="HEC1" s="2235"/>
      <c r="HED1" s="2235"/>
      <c r="HEE1" s="2235"/>
      <c r="HEF1" s="2235"/>
      <c r="HEG1" s="2235"/>
      <c r="HEH1" s="2235"/>
      <c r="HEI1" s="2235"/>
      <c r="HEJ1" s="2235"/>
      <c r="HEK1" s="2235"/>
      <c r="HEL1" s="2235"/>
      <c r="HEM1" s="2235"/>
      <c r="HEN1" s="2235"/>
      <c r="HEO1" s="2235"/>
      <c r="HEP1" s="2235"/>
      <c r="HEQ1" s="2235"/>
      <c r="HER1" s="2235"/>
      <c r="HES1" s="2235"/>
      <c r="HET1" s="2235"/>
      <c r="HEU1" s="2235"/>
      <c r="HEV1" s="2235"/>
      <c r="HEW1" s="2235"/>
      <c r="HEX1" s="2235"/>
      <c r="HEY1" s="2235"/>
      <c r="HEZ1" s="2235"/>
      <c r="HFA1" s="2235"/>
      <c r="HFB1" s="2235"/>
      <c r="HFC1" s="2235"/>
      <c r="HFD1" s="2235"/>
      <c r="HFE1" s="2235"/>
      <c r="HFF1" s="2235"/>
      <c r="HFG1" s="2235"/>
      <c r="HFH1" s="2235"/>
      <c r="HFI1" s="2235"/>
      <c r="HFJ1" s="2235"/>
      <c r="HFK1" s="2235"/>
      <c r="HFL1" s="2235"/>
      <c r="HFM1" s="2235"/>
      <c r="HFN1" s="2235"/>
      <c r="HFO1" s="2235"/>
      <c r="HFP1" s="2235"/>
      <c r="HFQ1" s="2235"/>
      <c r="HFR1" s="2235"/>
      <c r="HFS1" s="2235"/>
      <c r="HFT1" s="2235"/>
      <c r="HFU1" s="2235"/>
      <c r="HFV1" s="2235"/>
      <c r="HFW1" s="2235"/>
      <c r="HFX1" s="2235"/>
      <c r="HFY1" s="2235"/>
      <c r="HFZ1" s="2235"/>
      <c r="HGA1" s="2235"/>
      <c r="HGB1" s="2235"/>
      <c r="HGC1" s="2235"/>
      <c r="HGD1" s="2235"/>
      <c r="HGE1" s="2235"/>
      <c r="HGF1" s="2235"/>
      <c r="HGG1" s="2235"/>
      <c r="HGH1" s="2235"/>
      <c r="HGI1" s="2235"/>
      <c r="HGJ1" s="2235"/>
      <c r="HGK1" s="2235"/>
      <c r="HGL1" s="2235"/>
      <c r="HGM1" s="2235"/>
      <c r="HGN1" s="2235"/>
      <c r="HGO1" s="2235"/>
      <c r="HGP1" s="2235"/>
      <c r="HGQ1" s="2235"/>
      <c r="HGR1" s="2235"/>
      <c r="HGS1" s="2235"/>
      <c r="HGT1" s="2235"/>
      <c r="HGU1" s="2235"/>
      <c r="HGV1" s="2235"/>
      <c r="HGW1" s="2235"/>
      <c r="HGX1" s="2235"/>
      <c r="HGY1" s="2235"/>
      <c r="HGZ1" s="2235"/>
      <c r="HHA1" s="2235"/>
      <c r="HHB1" s="2235"/>
      <c r="HHC1" s="2235"/>
      <c r="HHD1" s="2235"/>
      <c r="HHE1" s="2235"/>
      <c r="HHF1" s="2235"/>
      <c r="HHG1" s="2235"/>
      <c r="HHH1" s="2235"/>
      <c r="HHI1" s="2235"/>
      <c r="HHJ1" s="2235"/>
      <c r="HHK1" s="2235"/>
      <c r="HHL1" s="2235"/>
      <c r="HHM1" s="2235"/>
      <c r="HHN1" s="2235"/>
      <c r="HHO1" s="2235"/>
      <c r="HHP1" s="2235"/>
      <c r="HHQ1" s="2235"/>
      <c r="HHR1" s="2235"/>
      <c r="HHS1" s="2235"/>
      <c r="HHT1" s="2235"/>
      <c r="HHU1" s="2235"/>
      <c r="HHV1" s="2235"/>
      <c r="HHW1" s="2235"/>
      <c r="HHX1" s="2235"/>
      <c r="HHY1" s="2235"/>
      <c r="HHZ1" s="2235"/>
      <c r="HIA1" s="2235"/>
      <c r="HIB1" s="2235"/>
      <c r="HIC1" s="2235"/>
      <c r="HID1" s="2235"/>
      <c r="HIE1" s="2235"/>
      <c r="HIF1" s="2235"/>
      <c r="HIG1" s="2235"/>
      <c r="HIH1" s="2235"/>
      <c r="HII1" s="2235"/>
      <c r="HIJ1" s="2235"/>
      <c r="HIK1" s="2235"/>
      <c r="HIL1" s="2235"/>
      <c r="HIM1" s="2235"/>
      <c r="HIN1" s="2235"/>
      <c r="HIO1" s="2235"/>
      <c r="HIP1" s="2235"/>
      <c r="HIQ1" s="2235"/>
      <c r="HIR1" s="2235"/>
      <c r="HIS1" s="2235"/>
      <c r="HIT1" s="2235"/>
      <c r="HIU1" s="2235"/>
      <c r="HIV1" s="2235"/>
      <c r="HIW1" s="2235"/>
      <c r="HIX1" s="2235"/>
      <c r="HIY1" s="2235"/>
      <c r="HIZ1" s="2235"/>
      <c r="HJA1" s="2235"/>
      <c r="HJB1" s="2235"/>
      <c r="HJC1" s="2235"/>
      <c r="HJD1" s="2235"/>
      <c r="HJE1" s="2235"/>
      <c r="HJF1" s="2235"/>
      <c r="HJG1" s="2235"/>
      <c r="HJH1" s="2235"/>
      <c r="HJI1" s="2235"/>
      <c r="HJJ1" s="2235"/>
      <c r="HJK1" s="2235"/>
      <c r="HJL1" s="2235"/>
      <c r="HJM1" s="2235"/>
      <c r="HJN1" s="2235"/>
      <c r="HJO1" s="2235"/>
      <c r="HJP1" s="2235"/>
      <c r="HJQ1" s="2235"/>
      <c r="HJR1" s="2235"/>
      <c r="HJS1" s="2235"/>
      <c r="HJT1" s="2235"/>
      <c r="HJU1" s="2235"/>
      <c r="HJV1" s="2235"/>
      <c r="HJW1" s="2235"/>
      <c r="HJX1" s="2235"/>
      <c r="HJY1" s="2235"/>
      <c r="HJZ1" s="2235"/>
      <c r="HKA1" s="2235"/>
      <c r="HKB1" s="2235"/>
      <c r="HKC1" s="2235"/>
      <c r="HKD1" s="2235"/>
      <c r="HKE1" s="2235"/>
      <c r="HKF1" s="2235"/>
      <c r="HKG1" s="2235"/>
      <c r="HKH1" s="2235"/>
      <c r="HKI1" s="2235"/>
      <c r="HKJ1" s="2235"/>
      <c r="HKK1" s="2235"/>
      <c r="HKL1" s="2235"/>
      <c r="HKM1" s="2235"/>
      <c r="HKN1" s="2235"/>
      <c r="HKO1" s="2235"/>
      <c r="HKP1" s="2235"/>
      <c r="HKQ1" s="2235"/>
      <c r="HKR1" s="2235"/>
      <c r="HKS1" s="2235"/>
      <c r="HKT1" s="2235"/>
      <c r="HKU1" s="2235"/>
      <c r="HKV1" s="2235"/>
      <c r="HKW1" s="2235"/>
      <c r="HKX1" s="2235"/>
      <c r="HKY1" s="2235"/>
      <c r="HKZ1" s="2235"/>
      <c r="HLA1" s="2235"/>
      <c r="HLB1" s="2235"/>
      <c r="HLC1" s="2235"/>
      <c r="HLD1" s="2235"/>
      <c r="HLE1" s="2235"/>
      <c r="HLF1" s="2235"/>
      <c r="HLG1" s="2235"/>
      <c r="HLH1" s="2235"/>
      <c r="HLI1" s="2235"/>
      <c r="HLJ1" s="2235"/>
      <c r="HLK1" s="2235"/>
      <c r="HLL1" s="2235"/>
      <c r="HLM1" s="2235"/>
      <c r="HLN1" s="2235"/>
      <c r="HLO1" s="2235"/>
      <c r="HLP1" s="2235"/>
      <c r="HLQ1" s="2235"/>
      <c r="HLR1" s="2235"/>
      <c r="HLS1" s="2235"/>
      <c r="HLT1" s="2235"/>
      <c r="HLU1" s="2235"/>
      <c r="HLV1" s="2235"/>
      <c r="HLW1" s="2235"/>
      <c r="HLX1" s="2235"/>
      <c r="HLY1" s="2235"/>
      <c r="HLZ1" s="2235"/>
      <c r="HMA1" s="2235"/>
      <c r="HMB1" s="2235"/>
      <c r="HMC1" s="2235"/>
      <c r="HMD1" s="2235"/>
      <c r="HME1" s="2235"/>
      <c r="HMF1" s="2235"/>
      <c r="HMG1" s="2235"/>
      <c r="HMH1" s="2235"/>
      <c r="HMI1" s="2235"/>
      <c r="HMJ1" s="2235"/>
      <c r="HMK1" s="2235"/>
      <c r="HML1" s="2235"/>
      <c r="HMM1" s="2235"/>
      <c r="HMN1" s="2235"/>
      <c r="HMO1" s="2235"/>
      <c r="HMP1" s="2235"/>
      <c r="HMQ1" s="2235"/>
      <c r="HMR1" s="2235"/>
      <c r="HMS1" s="2235"/>
      <c r="HMT1" s="2235"/>
      <c r="HMU1" s="2235"/>
      <c r="HMV1" s="2235"/>
      <c r="HMW1" s="2235"/>
      <c r="HMX1" s="2235"/>
      <c r="HMY1" s="2235"/>
      <c r="HMZ1" s="2235"/>
      <c r="HNA1" s="2235"/>
      <c r="HNB1" s="2235"/>
      <c r="HNC1" s="2235"/>
      <c r="HND1" s="2235"/>
      <c r="HNE1" s="2235"/>
      <c r="HNF1" s="2235"/>
      <c r="HNG1" s="2235"/>
      <c r="HNH1" s="2235"/>
      <c r="HNI1" s="2235"/>
      <c r="HNJ1" s="2235"/>
      <c r="HNK1" s="2235"/>
      <c r="HNL1" s="2235"/>
      <c r="HNM1" s="2235"/>
      <c r="HNN1" s="2235"/>
      <c r="HNO1" s="2235"/>
      <c r="HNP1" s="2235"/>
      <c r="HNQ1" s="2235"/>
      <c r="HNR1" s="2235"/>
      <c r="HNS1" s="2235"/>
      <c r="HNT1" s="2235"/>
      <c r="HNU1" s="2235"/>
      <c r="HNV1" s="2235"/>
      <c r="HNW1" s="2235"/>
      <c r="HNX1" s="2235"/>
      <c r="HNY1" s="2235"/>
      <c r="HNZ1" s="2235"/>
      <c r="HOA1" s="2235"/>
      <c r="HOB1" s="2235"/>
      <c r="HOC1" s="2235"/>
      <c r="HOD1" s="2235"/>
      <c r="HOE1" s="2235"/>
      <c r="HOF1" s="2235"/>
      <c r="HOG1" s="2235"/>
      <c r="HOH1" s="2235"/>
      <c r="HOI1" s="2235"/>
      <c r="HOJ1" s="2235"/>
      <c r="HOK1" s="2235"/>
      <c r="HOL1" s="2235"/>
      <c r="HOM1" s="2235"/>
      <c r="HON1" s="2235"/>
      <c r="HOO1" s="2235"/>
      <c r="HOP1" s="2235"/>
      <c r="HOQ1" s="2235"/>
      <c r="HOR1" s="2235"/>
      <c r="HOS1" s="2235"/>
      <c r="HOT1" s="2235"/>
      <c r="HOU1" s="2235"/>
      <c r="HOV1" s="2235"/>
      <c r="HOW1" s="2235"/>
      <c r="HOX1" s="2235"/>
      <c r="HOY1" s="2235"/>
      <c r="HOZ1" s="2235"/>
      <c r="HPA1" s="2235"/>
      <c r="HPB1" s="2235"/>
      <c r="HPC1" s="2235"/>
      <c r="HPD1" s="2235"/>
      <c r="HPE1" s="2235"/>
      <c r="HPF1" s="2235"/>
      <c r="HPG1" s="2235"/>
      <c r="HPH1" s="2235"/>
      <c r="HPI1" s="2235"/>
      <c r="HPJ1" s="2235"/>
      <c r="HPK1" s="2235"/>
      <c r="HPL1" s="2235"/>
      <c r="HPM1" s="2235"/>
      <c r="HPN1" s="2235"/>
      <c r="HPO1" s="2235"/>
      <c r="HPP1" s="2235"/>
      <c r="HPQ1" s="2235"/>
      <c r="HPR1" s="2235"/>
      <c r="HPS1" s="2235"/>
      <c r="HPT1" s="2235"/>
      <c r="HPU1" s="2235"/>
      <c r="HPV1" s="2235"/>
      <c r="HPW1" s="2235"/>
      <c r="HPX1" s="2235"/>
      <c r="HPY1" s="2235"/>
      <c r="HPZ1" s="2235"/>
      <c r="HQA1" s="2235"/>
      <c r="HQB1" s="2235"/>
      <c r="HQC1" s="2235"/>
      <c r="HQD1" s="2235"/>
      <c r="HQE1" s="2235"/>
      <c r="HQF1" s="2235"/>
      <c r="HQG1" s="2235"/>
      <c r="HQH1" s="2235"/>
      <c r="HQI1" s="2235"/>
      <c r="HQJ1" s="2235"/>
      <c r="HQK1" s="2235"/>
      <c r="HQL1" s="2235"/>
      <c r="HQM1" s="2235"/>
      <c r="HQN1" s="2235"/>
      <c r="HQO1" s="2235"/>
      <c r="HQP1" s="2235"/>
      <c r="HQQ1" s="2235"/>
      <c r="HQR1" s="2235"/>
      <c r="HQS1" s="2235"/>
      <c r="HQT1" s="2235"/>
      <c r="HQU1" s="2235"/>
      <c r="HQV1" s="2235"/>
      <c r="HQW1" s="2235"/>
      <c r="HQX1" s="2235"/>
      <c r="HQY1" s="2235"/>
      <c r="HQZ1" s="2235"/>
      <c r="HRA1" s="2235"/>
      <c r="HRB1" s="2235"/>
      <c r="HRC1" s="2235"/>
      <c r="HRD1" s="2235"/>
      <c r="HRE1" s="2235"/>
      <c r="HRF1" s="2235"/>
      <c r="HRG1" s="2235"/>
      <c r="HRH1" s="2235"/>
      <c r="HRI1" s="2235"/>
      <c r="HRJ1" s="2235"/>
      <c r="HRK1" s="2235"/>
      <c r="HRL1" s="2235"/>
      <c r="HRM1" s="2235"/>
      <c r="HRN1" s="2235"/>
      <c r="HRO1" s="2235"/>
      <c r="HRP1" s="2235"/>
      <c r="HRQ1" s="2235"/>
      <c r="HRR1" s="2235"/>
      <c r="HRS1" s="2235"/>
      <c r="HRT1" s="2235"/>
      <c r="HRU1" s="2235"/>
      <c r="HRV1" s="2235"/>
      <c r="HRW1" s="2235"/>
      <c r="HRX1" s="2235"/>
      <c r="HRY1" s="2235"/>
      <c r="HRZ1" s="2235"/>
      <c r="HSA1" s="2235"/>
      <c r="HSB1" s="2235"/>
      <c r="HSC1" s="2235"/>
      <c r="HSD1" s="2235"/>
      <c r="HSE1" s="2235"/>
      <c r="HSF1" s="2235"/>
      <c r="HSG1" s="2235"/>
      <c r="HSH1" s="2235"/>
      <c r="HSI1" s="2235"/>
      <c r="HSJ1" s="2235"/>
      <c r="HSK1" s="2235"/>
      <c r="HSL1" s="2235"/>
      <c r="HSM1" s="2235"/>
      <c r="HSN1" s="2235"/>
      <c r="HSO1" s="2235"/>
      <c r="HSP1" s="2235"/>
      <c r="HSQ1" s="2235"/>
      <c r="HSR1" s="2235"/>
      <c r="HSS1" s="2235"/>
      <c r="HST1" s="2235"/>
      <c r="HSU1" s="2235"/>
      <c r="HSV1" s="2235"/>
      <c r="HSW1" s="2235"/>
      <c r="HSX1" s="2235"/>
      <c r="HSY1" s="2235"/>
      <c r="HSZ1" s="2235"/>
      <c r="HTA1" s="2235"/>
      <c r="HTB1" s="2235"/>
      <c r="HTC1" s="2235"/>
      <c r="HTD1" s="2235"/>
      <c r="HTE1" s="2235"/>
      <c r="HTF1" s="2235"/>
      <c r="HTG1" s="2235"/>
      <c r="HTH1" s="2235"/>
      <c r="HTI1" s="2235"/>
      <c r="HTJ1" s="2235"/>
      <c r="HTK1" s="2235"/>
      <c r="HTL1" s="2235"/>
      <c r="HTM1" s="2235"/>
      <c r="HTN1" s="2235"/>
      <c r="HTO1" s="2235"/>
      <c r="HTP1" s="2235"/>
      <c r="HTQ1" s="2235"/>
      <c r="HTR1" s="2235"/>
      <c r="HTS1" s="2235"/>
      <c r="HTT1" s="2235"/>
      <c r="HTU1" s="2235"/>
      <c r="HTV1" s="2235"/>
      <c r="HTW1" s="2235"/>
      <c r="HTX1" s="2235"/>
      <c r="HTY1" s="2235"/>
      <c r="HTZ1" s="2235"/>
      <c r="HUA1" s="2235"/>
      <c r="HUB1" s="2235"/>
      <c r="HUC1" s="2235"/>
      <c r="HUD1" s="2235"/>
      <c r="HUE1" s="2235"/>
      <c r="HUF1" s="2235"/>
      <c r="HUG1" s="2235"/>
      <c r="HUH1" s="2235"/>
      <c r="HUI1" s="2235"/>
      <c r="HUJ1" s="2235"/>
      <c r="HUK1" s="2235"/>
      <c r="HUL1" s="2235"/>
      <c r="HUM1" s="2235"/>
      <c r="HUN1" s="2235"/>
      <c r="HUO1" s="2235"/>
      <c r="HUP1" s="2235"/>
      <c r="HUQ1" s="2235"/>
      <c r="HUR1" s="2235"/>
      <c r="HUS1" s="2235"/>
      <c r="HUT1" s="2235"/>
      <c r="HUU1" s="2235"/>
      <c r="HUV1" s="2235"/>
      <c r="HUW1" s="2235"/>
      <c r="HUX1" s="2235"/>
      <c r="HUY1" s="2235"/>
      <c r="HUZ1" s="2235"/>
      <c r="HVA1" s="2235"/>
      <c r="HVB1" s="2235"/>
      <c r="HVC1" s="2235"/>
      <c r="HVD1" s="2235"/>
      <c r="HVE1" s="2235"/>
      <c r="HVF1" s="2235"/>
      <c r="HVG1" s="2235"/>
      <c r="HVH1" s="2235"/>
      <c r="HVI1" s="2235"/>
      <c r="HVJ1" s="2235"/>
      <c r="HVK1" s="2235"/>
      <c r="HVL1" s="2235"/>
      <c r="HVM1" s="2235"/>
      <c r="HVN1" s="2235"/>
      <c r="HVO1" s="2235"/>
      <c r="HVP1" s="2235"/>
      <c r="HVQ1" s="2235"/>
      <c r="HVR1" s="2235"/>
      <c r="HVS1" s="2235"/>
      <c r="HVT1" s="2235"/>
      <c r="HVU1" s="2235"/>
      <c r="HVV1" s="2235"/>
      <c r="HVW1" s="2235"/>
      <c r="HVX1" s="2235"/>
      <c r="HVY1" s="2235"/>
      <c r="HVZ1" s="2235"/>
      <c r="HWA1" s="2235"/>
      <c r="HWB1" s="2235"/>
      <c r="HWC1" s="2235"/>
      <c r="HWD1" s="2235"/>
      <c r="HWE1" s="2235"/>
      <c r="HWF1" s="2235"/>
      <c r="HWG1" s="2235"/>
      <c r="HWH1" s="2235"/>
      <c r="HWI1" s="2235"/>
      <c r="HWJ1" s="2235"/>
      <c r="HWK1" s="2235"/>
      <c r="HWL1" s="2235"/>
      <c r="HWM1" s="2235"/>
      <c r="HWN1" s="2235"/>
      <c r="HWO1" s="2235"/>
      <c r="HWP1" s="2235"/>
      <c r="HWQ1" s="2235"/>
      <c r="HWR1" s="2235"/>
      <c r="HWS1" s="2235"/>
      <c r="HWT1" s="2235"/>
      <c r="HWU1" s="2235"/>
      <c r="HWV1" s="2235"/>
      <c r="HWW1" s="2235"/>
      <c r="HWX1" s="2235"/>
      <c r="HWY1" s="2235"/>
      <c r="HWZ1" s="2235"/>
      <c r="HXA1" s="2235"/>
      <c r="HXB1" s="2235"/>
      <c r="HXC1" s="2235"/>
      <c r="HXD1" s="2235"/>
      <c r="HXE1" s="2235"/>
      <c r="HXF1" s="2235"/>
      <c r="HXG1" s="2235"/>
      <c r="HXH1" s="2235"/>
      <c r="HXI1" s="2235"/>
      <c r="HXJ1" s="2235"/>
      <c r="HXK1" s="2235"/>
      <c r="HXL1" s="2235"/>
      <c r="HXM1" s="2235"/>
      <c r="HXN1" s="2235"/>
      <c r="HXO1" s="2235"/>
      <c r="HXP1" s="2235"/>
      <c r="HXQ1" s="2235"/>
      <c r="HXR1" s="2235"/>
      <c r="HXS1" s="2235"/>
      <c r="HXT1" s="2235"/>
      <c r="HXU1" s="2235"/>
      <c r="HXV1" s="2235"/>
      <c r="HXW1" s="2235"/>
      <c r="HXX1" s="2235"/>
      <c r="HXY1" s="2235"/>
      <c r="HXZ1" s="2235"/>
      <c r="HYA1" s="2235"/>
      <c r="HYB1" s="2235"/>
      <c r="HYC1" s="2235"/>
      <c r="HYD1" s="2235"/>
      <c r="HYE1" s="2235"/>
      <c r="HYF1" s="2235"/>
      <c r="HYG1" s="2235"/>
      <c r="HYH1" s="2235"/>
      <c r="HYI1" s="2235"/>
      <c r="HYJ1" s="2235"/>
      <c r="HYK1" s="2235"/>
      <c r="HYL1" s="2235"/>
      <c r="HYM1" s="2235"/>
      <c r="HYN1" s="2235"/>
      <c r="HYO1" s="2235"/>
      <c r="HYP1" s="2235"/>
      <c r="HYQ1" s="2235"/>
      <c r="HYR1" s="2235"/>
      <c r="HYS1" s="2235"/>
      <c r="HYT1" s="2235"/>
      <c r="HYU1" s="2235"/>
      <c r="HYV1" s="2235"/>
      <c r="HYW1" s="2235"/>
      <c r="HYX1" s="2235"/>
      <c r="HYY1" s="2235"/>
      <c r="HYZ1" s="2235"/>
      <c r="HZA1" s="2235"/>
      <c r="HZB1" s="2235"/>
      <c r="HZC1" s="2235"/>
      <c r="HZD1" s="2235"/>
      <c r="HZE1" s="2235"/>
      <c r="HZF1" s="2235"/>
      <c r="HZG1" s="2235"/>
      <c r="HZH1" s="2235"/>
      <c r="HZI1" s="2235"/>
      <c r="HZJ1" s="2235"/>
      <c r="HZK1" s="2235"/>
      <c r="HZL1" s="2235"/>
      <c r="HZM1" s="2235"/>
      <c r="HZN1" s="2235"/>
      <c r="HZO1" s="2235"/>
      <c r="HZP1" s="2235"/>
      <c r="HZQ1" s="2235"/>
      <c r="HZR1" s="2235"/>
      <c r="HZS1" s="2235"/>
      <c r="HZT1" s="2235"/>
      <c r="HZU1" s="2235"/>
      <c r="HZV1" s="2235"/>
      <c r="HZW1" s="2235"/>
      <c r="HZX1" s="2235"/>
      <c r="HZY1" s="2235"/>
      <c r="HZZ1" s="2235"/>
      <c r="IAA1" s="2235"/>
      <c r="IAB1" s="2235"/>
      <c r="IAC1" s="2235"/>
      <c r="IAD1" s="2235"/>
      <c r="IAE1" s="2235"/>
      <c r="IAF1" s="2235"/>
      <c r="IAG1" s="2235"/>
      <c r="IAH1" s="2235"/>
      <c r="IAI1" s="2235"/>
      <c r="IAJ1" s="2235"/>
      <c r="IAK1" s="2235"/>
      <c r="IAL1" s="2235"/>
      <c r="IAM1" s="2235"/>
      <c r="IAN1" s="2235"/>
      <c r="IAO1" s="2235"/>
      <c r="IAP1" s="2235"/>
      <c r="IAQ1" s="2235"/>
      <c r="IAR1" s="2235"/>
      <c r="IAS1" s="2235"/>
      <c r="IAT1" s="2235"/>
      <c r="IAU1" s="2235"/>
      <c r="IAV1" s="2235"/>
      <c r="IAW1" s="2235"/>
      <c r="IAX1" s="2235"/>
      <c r="IAY1" s="2235"/>
      <c r="IAZ1" s="2235"/>
      <c r="IBA1" s="2235"/>
      <c r="IBB1" s="2235"/>
      <c r="IBC1" s="2235"/>
      <c r="IBD1" s="2235"/>
      <c r="IBE1" s="2235"/>
      <c r="IBF1" s="2235"/>
      <c r="IBG1" s="2235"/>
      <c r="IBH1" s="2235"/>
      <c r="IBI1" s="2235"/>
      <c r="IBJ1" s="2235"/>
      <c r="IBK1" s="2235"/>
      <c r="IBL1" s="2235"/>
      <c r="IBM1" s="2235"/>
      <c r="IBN1" s="2235"/>
      <c r="IBO1" s="2235"/>
      <c r="IBP1" s="2235"/>
      <c r="IBQ1" s="2235"/>
      <c r="IBR1" s="2235"/>
      <c r="IBS1" s="2235"/>
      <c r="IBT1" s="2235"/>
      <c r="IBU1" s="2235"/>
      <c r="IBV1" s="2235"/>
      <c r="IBW1" s="2235"/>
      <c r="IBX1" s="2235"/>
      <c r="IBY1" s="2235"/>
      <c r="IBZ1" s="2235"/>
      <c r="ICA1" s="2235"/>
      <c r="ICB1" s="2235"/>
      <c r="ICC1" s="2235"/>
      <c r="ICD1" s="2235"/>
      <c r="ICE1" s="2235"/>
      <c r="ICF1" s="2235"/>
      <c r="ICG1" s="2235"/>
      <c r="ICH1" s="2235"/>
      <c r="ICI1" s="2235"/>
      <c r="ICJ1" s="2235"/>
      <c r="ICK1" s="2235"/>
      <c r="ICL1" s="2235"/>
      <c r="ICM1" s="2235"/>
      <c r="ICN1" s="2235"/>
      <c r="ICO1" s="2235"/>
      <c r="ICP1" s="2235"/>
      <c r="ICQ1" s="2235"/>
      <c r="ICR1" s="2235"/>
      <c r="ICS1" s="2235"/>
      <c r="ICT1" s="2235"/>
      <c r="ICU1" s="2235"/>
      <c r="ICV1" s="2235"/>
      <c r="ICW1" s="2235"/>
      <c r="ICX1" s="2235"/>
      <c r="ICY1" s="2235"/>
      <c r="ICZ1" s="2235"/>
      <c r="IDA1" s="2235"/>
      <c r="IDB1" s="2235"/>
      <c r="IDC1" s="2235"/>
      <c r="IDD1" s="2235"/>
      <c r="IDE1" s="2235"/>
      <c r="IDF1" s="2235"/>
      <c r="IDG1" s="2235"/>
      <c r="IDH1" s="2235"/>
      <c r="IDI1" s="2235"/>
      <c r="IDJ1" s="2235"/>
      <c r="IDK1" s="2235"/>
      <c r="IDL1" s="2235"/>
      <c r="IDM1" s="2235"/>
      <c r="IDN1" s="2235"/>
      <c r="IDO1" s="2235"/>
      <c r="IDP1" s="2235"/>
      <c r="IDQ1" s="2235"/>
      <c r="IDR1" s="2235"/>
      <c r="IDS1" s="2235"/>
      <c r="IDT1" s="2235"/>
      <c r="IDU1" s="2235"/>
      <c r="IDV1" s="2235"/>
      <c r="IDW1" s="2235"/>
      <c r="IDX1" s="2235"/>
      <c r="IDY1" s="2235"/>
      <c r="IDZ1" s="2235"/>
      <c r="IEA1" s="2235"/>
      <c r="IEB1" s="2235"/>
      <c r="IEC1" s="2235"/>
      <c r="IED1" s="2235"/>
      <c r="IEE1" s="2235"/>
      <c r="IEF1" s="2235"/>
      <c r="IEG1" s="2235"/>
      <c r="IEH1" s="2235"/>
      <c r="IEI1" s="2235"/>
      <c r="IEJ1" s="2235"/>
      <c r="IEK1" s="2235"/>
      <c r="IEL1" s="2235"/>
      <c r="IEM1" s="2235"/>
      <c r="IEN1" s="2235"/>
      <c r="IEO1" s="2235"/>
      <c r="IEP1" s="2235"/>
      <c r="IEQ1" s="2235"/>
      <c r="IER1" s="2235"/>
      <c r="IES1" s="2235"/>
      <c r="IET1" s="2235"/>
      <c r="IEU1" s="2235"/>
      <c r="IEV1" s="2235"/>
      <c r="IEW1" s="2235"/>
      <c r="IEX1" s="2235"/>
      <c r="IEY1" s="2235"/>
      <c r="IEZ1" s="2235"/>
      <c r="IFA1" s="2235"/>
      <c r="IFB1" s="2235"/>
      <c r="IFC1" s="2235"/>
      <c r="IFD1" s="2235"/>
      <c r="IFE1" s="2235"/>
      <c r="IFF1" s="2235"/>
      <c r="IFG1" s="2235"/>
      <c r="IFH1" s="2235"/>
      <c r="IFI1" s="2235"/>
      <c r="IFJ1" s="2235"/>
      <c r="IFK1" s="2235"/>
      <c r="IFL1" s="2235"/>
      <c r="IFM1" s="2235"/>
      <c r="IFN1" s="2235"/>
      <c r="IFO1" s="2235"/>
      <c r="IFP1" s="2235"/>
      <c r="IFQ1" s="2235"/>
      <c r="IFR1" s="2235"/>
      <c r="IFS1" s="2235"/>
      <c r="IFT1" s="2235"/>
      <c r="IFU1" s="2235"/>
      <c r="IFV1" s="2235"/>
      <c r="IFW1" s="2235"/>
      <c r="IFX1" s="2235"/>
      <c r="IFY1" s="2235"/>
      <c r="IFZ1" s="2235"/>
      <c r="IGA1" s="2235"/>
      <c r="IGB1" s="2235"/>
      <c r="IGC1" s="2235"/>
      <c r="IGD1" s="2235"/>
      <c r="IGE1" s="2235"/>
      <c r="IGF1" s="2235"/>
      <c r="IGG1" s="2235"/>
      <c r="IGH1" s="2235"/>
      <c r="IGI1" s="2235"/>
      <c r="IGJ1" s="2235"/>
      <c r="IGK1" s="2235"/>
      <c r="IGL1" s="2235"/>
      <c r="IGM1" s="2235"/>
      <c r="IGN1" s="2235"/>
      <c r="IGO1" s="2235"/>
      <c r="IGP1" s="2235"/>
      <c r="IGQ1" s="2235"/>
      <c r="IGR1" s="2235"/>
      <c r="IGS1" s="2235"/>
      <c r="IGT1" s="2235"/>
      <c r="IGU1" s="2235"/>
      <c r="IGV1" s="2235"/>
      <c r="IGW1" s="2235"/>
      <c r="IGX1" s="2235"/>
      <c r="IGY1" s="2235"/>
      <c r="IGZ1" s="2235"/>
      <c r="IHA1" s="2235"/>
      <c r="IHB1" s="2235"/>
      <c r="IHC1" s="2235"/>
      <c r="IHD1" s="2235"/>
      <c r="IHE1" s="2235"/>
      <c r="IHF1" s="2235"/>
      <c r="IHG1" s="2235"/>
      <c r="IHH1" s="2235"/>
      <c r="IHI1" s="2235"/>
      <c r="IHJ1" s="2235"/>
      <c r="IHK1" s="2235"/>
      <c r="IHL1" s="2235"/>
      <c r="IHM1" s="2235"/>
      <c r="IHN1" s="2235"/>
      <c r="IHO1" s="2235"/>
      <c r="IHP1" s="2235"/>
      <c r="IHQ1" s="2235"/>
      <c r="IHR1" s="2235"/>
      <c r="IHS1" s="2235"/>
      <c r="IHT1" s="2235"/>
      <c r="IHU1" s="2235"/>
      <c r="IHV1" s="2235"/>
      <c r="IHW1" s="2235"/>
      <c r="IHX1" s="2235"/>
      <c r="IHY1" s="2235"/>
      <c r="IHZ1" s="2235"/>
      <c r="IIA1" s="2235"/>
      <c r="IIB1" s="2235"/>
      <c r="IIC1" s="2235"/>
      <c r="IID1" s="2235"/>
      <c r="IIE1" s="2235"/>
      <c r="IIF1" s="2235"/>
      <c r="IIG1" s="2235"/>
      <c r="IIH1" s="2235"/>
      <c r="III1" s="2235"/>
      <c r="IIJ1" s="2235"/>
      <c r="IIK1" s="2235"/>
      <c r="IIL1" s="2235"/>
      <c r="IIM1" s="2235"/>
      <c r="IIN1" s="2235"/>
      <c r="IIO1" s="2235"/>
      <c r="IIP1" s="2235"/>
      <c r="IIQ1" s="2235"/>
      <c r="IIR1" s="2235"/>
      <c r="IIS1" s="2235"/>
      <c r="IIT1" s="2235"/>
      <c r="IIU1" s="2235"/>
      <c r="IIV1" s="2235"/>
      <c r="IIW1" s="2235"/>
      <c r="IIX1" s="2235"/>
      <c r="IIY1" s="2235"/>
      <c r="IIZ1" s="2235"/>
      <c r="IJA1" s="2235"/>
      <c r="IJB1" s="2235"/>
      <c r="IJC1" s="2235"/>
      <c r="IJD1" s="2235"/>
      <c r="IJE1" s="2235"/>
      <c r="IJF1" s="2235"/>
      <c r="IJG1" s="2235"/>
      <c r="IJH1" s="2235"/>
      <c r="IJI1" s="2235"/>
      <c r="IJJ1" s="2235"/>
      <c r="IJK1" s="2235"/>
      <c r="IJL1" s="2235"/>
      <c r="IJM1" s="2235"/>
      <c r="IJN1" s="2235"/>
      <c r="IJO1" s="2235"/>
      <c r="IJP1" s="2235"/>
      <c r="IJQ1" s="2235"/>
      <c r="IJR1" s="2235"/>
      <c r="IJS1" s="2235"/>
      <c r="IJT1" s="2235"/>
      <c r="IJU1" s="2235"/>
      <c r="IJV1" s="2235"/>
      <c r="IJW1" s="2235"/>
      <c r="IJX1" s="2235"/>
      <c r="IJY1" s="2235"/>
      <c r="IJZ1" s="2235"/>
      <c r="IKA1" s="2235"/>
      <c r="IKB1" s="2235"/>
      <c r="IKC1" s="2235"/>
      <c r="IKD1" s="2235"/>
      <c r="IKE1" s="2235"/>
      <c r="IKF1" s="2235"/>
      <c r="IKG1" s="2235"/>
      <c r="IKH1" s="2235"/>
      <c r="IKI1" s="2235"/>
      <c r="IKJ1" s="2235"/>
      <c r="IKK1" s="2235"/>
      <c r="IKL1" s="2235"/>
      <c r="IKM1" s="2235"/>
      <c r="IKN1" s="2235"/>
      <c r="IKO1" s="2235"/>
      <c r="IKP1" s="2235"/>
      <c r="IKQ1" s="2235"/>
      <c r="IKR1" s="2235"/>
      <c r="IKS1" s="2235"/>
      <c r="IKT1" s="2235"/>
      <c r="IKU1" s="2235"/>
      <c r="IKV1" s="2235"/>
      <c r="IKW1" s="2235"/>
      <c r="IKX1" s="2235"/>
      <c r="IKY1" s="2235"/>
      <c r="IKZ1" s="2235"/>
      <c r="ILA1" s="2235"/>
      <c r="ILB1" s="2235"/>
      <c r="ILC1" s="2235"/>
      <c r="ILD1" s="2235"/>
      <c r="ILE1" s="2235"/>
      <c r="ILF1" s="2235"/>
      <c r="ILG1" s="2235"/>
      <c r="ILH1" s="2235"/>
      <c r="ILI1" s="2235"/>
      <c r="ILJ1" s="2235"/>
      <c r="ILK1" s="2235"/>
      <c r="ILL1" s="2235"/>
      <c r="ILM1" s="2235"/>
      <c r="ILN1" s="2235"/>
      <c r="ILO1" s="2235"/>
      <c r="ILP1" s="2235"/>
      <c r="ILQ1" s="2235"/>
      <c r="ILR1" s="2235"/>
      <c r="ILS1" s="2235"/>
      <c r="ILT1" s="2235"/>
      <c r="ILU1" s="2235"/>
      <c r="ILV1" s="2235"/>
      <c r="ILW1" s="2235"/>
      <c r="ILX1" s="2235"/>
      <c r="ILY1" s="2235"/>
      <c r="ILZ1" s="2235"/>
      <c r="IMA1" s="2235"/>
      <c r="IMB1" s="2235"/>
      <c r="IMC1" s="2235"/>
      <c r="IMD1" s="2235"/>
      <c r="IME1" s="2235"/>
      <c r="IMF1" s="2235"/>
      <c r="IMG1" s="2235"/>
      <c r="IMH1" s="2235"/>
      <c r="IMI1" s="2235"/>
      <c r="IMJ1" s="2235"/>
      <c r="IMK1" s="2235"/>
      <c r="IML1" s="2235"/>
      <c r="IMM1" s="2235"/>
      <c r="IMN1" s="2235"/>
      <c r="IMO1" s="2235"/>
      <c r="IMP1" s="2235"/>
      <c r="IMQ1" s="2235"/>
      <c r="IMR1" s="2235"/>
      <c r="IMS1" s="2235"/>
      <c r="IMT1" s="2235"/>
      <c r="IMU1" s="2235"/>
      <c r="IMV1" s="2235"/>
      <c r="IMW1" s="2235"/>
      <c r="IMX1" s="2235"/>
      <c r="IMY1" s="2235"/>
      <c r="IMZ1" s="2235"/>
      <c r="INA1" s="2235"/>
      <c r="INB1" s="2235"/>
      <c r="INC1" s="2235"/>
      <c r="IND1" s="2235"/>
      <c r="INE1" s="2235"/>
      <c r="INF1" s="2235"/>
      <c r="ING1" s="2235"/>
      <c r="INH1" s="2235"/>
      <c r="INI1" s="2235"/>
      <c r="INJ1" s="2235"/>
      <c r="INK1" s="2235"/>
      <c r="INL1" s="2235"/>
      <c r="INM1" s="2235"/>
      <c r="INN1" s="2235"/>
      <c r="INO1" s="2235"/>
      <c r="INP1" s="2235"/>
      <c r="INQ1" s="2235"/>
      <c r="INR1" s="2235"/>
      <c r="INS1" s="2235"/>
      <c r="INT1" s="2235"/>
      <c r="INU1" s="2235"/>
      <c r="INV1" s="2235"/>
      <c r="INW1" s="2235"/>
      <c r="INX1" s="2235"/>
      <c r="INY1" s="2235"/>
      <c r="INZ1" s="2235"/>
      <c r="IOA1" s="2235"/>
      <c r="IOB1" s="2235"/>
      <c r="IOC1" s="2235"/>
      <c r="IOD1" s="2235"/>
      <c r="IOE1" s="2235"/>
      <c r="IOF1" s="2235"/>
      <c r="IOG1" s="2235"/>
      <c r="IOH1" s="2235"/>
      <c r="IOI1" s="2235"/>
      <c r="IOJ1" s="2235"/>
      <c r="IOK1" s="2235"/>
      <c r="IOL1" s="2235"/>
      <c r="IOM1" s="2235"/>
      <c r="ION1" s="2235"/>
      <c r="IOO1" s="2235"/>
      <c r="IOP1" s="2235"/>
      <c r="IOQ1" s="2235"/>
      <c r="IOR1" s="2235"/>
      <c r="IOS1" s="2235"/>
      <c r="IOT1" s="2235"/>
      <c r="IOU1" s="2235"/>
      <c r="IOV1" s="2235"/>
      <c r="IOW1" s="2235"/>
      <c r="IOX1" s="2235"/>
      <c r="IOY1" s="2235"/>
      <c r="IOZ1" s="2235"/>
      <c r="IPA1" s="2235"/>
      <c r="IPB1" s="2235"/>
      <c r="IPC1" s="2235"/>
      <c r="IPD1" s="2235"/>
      <c r="IPE1" s="2235"/>
      <c r="IPF1" s="2235"/>
      <c r="IPG1" s="2235"/>
      <c r="IPH1" s="2235"/>
      <c r="IPI1" s="2235"/>
      <c r="IPJ1" s="2235"/>
      <c r="IPK1" s="2235"/>
      <c r="IPL1" s="2235"/>
      <c r="IPM1" s="2235"/>
      <c r="IPN1" s="2235"/>
      <c r="IPO1" s="2235"/>
      <c r="IPP1" s="2235"/>
      <c r="IPQ1" s="2235"/>
      <c r="IPR1" s="2235"/>
      <c r="IPS1" s="2235"/>
      <c r="IPT1" s="2235"/>
      <c r="IPU1" s="2235"/>
      <c r="IPV1" s="2235"/>
      <c r="IPW1" s="2235"/>
      <c r="IPX1" s="2235"/>
      <c r="IPY1" s="2235"/>
      <c r="IPZ1" s="2235"/>
      <c r="IQA1" s="2235"/>
      <c r="IQB1" s="2235"/>
      <c r="IQC1" s="2235"/>
      <c r="IQD1" s="2235"/>
      <c r="IQE1" s="2235"/>
      <c r="IQF1" s="2235"/>
      <c r="IQG1" s="2235"/>
      <c r="IQH1" s="2235"/>
      <c r="IQI1" s="2235"/>
      <c r="IQJ1" s="2235"/>
      <c r="IQK1" s="2235"/>
      <c r="IQL1" s="2235"/>
      <c r="IQM1" s="2235"/>
      <c r="IQN1" s="2235"/>
      <c r="IQO1" s="2235"/>
      <c r="IQP1" s="2235"/>
      <c r="IQQ1" s="2235"/>
      <c r="IQR1" s="2235"/>
      <c r="IQS1" s="2235"/>
      <c r="IQT1" s="2235"/>
      <c r="IQU1" s="2235"/>
      <c r="IQV1" s="2235"/>
      <c r="IQW1" s="2235"/>
      <c r="IQX1" s="2235"/>
      <c r="IQY1" s="2235"/>
      <c r="IQZ1" s="2235"/>
      <c r="IRA1" s="2235"/>
      <c r="IRB1" s="2235"/>
      <c r="IRC1" s="2235"/>
      <c r="IRD1" s="2235"/>
      <c r="IRE1" s="2235"/>
      <c r="IRF1" s="2235"/>
      <c r="IRG1" s="2235"/>
      <c r="IRH1" s="2235"/>
      <c r="IRI1" s="2235"/>
      <c r="IRJ1" s="2235"/>
      <c r="IRK1" s="2235"/>
      <c r="IRL1" s="2235"/>
      <c r="IRM1" s="2235"/>
      <c r="IRN1" s="2235"/>
      <c r="IRO1" s="2235"/>
      <c r="IRP1" s="2235"/>
      <c r="IRQ1" s="2235"/>
      <c r="IRR1" s="2235"/>
      <c r="IRS1" s="2235"/>
      <c r="IRT1" s="2235"/>
      <c r="IRU1" s="2235"/>
      <c r="IRV1" s="2235"/>
      <c r="IRW1" s="2235"/>
      <c r="IRX1" s="2235"/>
      <c r="IRY1" s="2235"/>
      <c r="IRZ1" s="2235"/>
      <c r="ISA1" s="2235"/>
      <c r="ISB1" s="2235"/>
      <c r="ISC1" s="2235"/>
      <c r="ISD1" s="2235"/>
      <c r="ISE1" s="2235"/>
      <c r="ISF1" s="2235"/>
      <c r="ISG1" s="2235"/>
      <c r="ISH1" s="2235"/>
      <c r="ISI1" s="2235"/>
      <c r="ISJ1" s="2235"/>
      <c r="ISK1" s="2235"/>
      <c r="ISL1" s="2235"/>
      <c r="ISM1" s="2235"/>
      <c r="ISN1" s="2235"/>
      <c r="ISO1" s="2235"/>
      <c r="ISP1" s="2235"/>
      <c r="ISQ1" s="2235"/>
      <c r="ISR1" s="2235"/>
      <c r="ISS1" s="2235"/>
      <c r="IST1" s="2235"/>
      <c r="ISU1" s="2235"/>
      <c r="ISV1" s="2235"/>
      <c r="ISW1" s="2235"/>
      <c r="ISX1" s="2235"/>
      <c r="ISY1" s="2235"/>
      <c r="ISZ1" s="2235"/>
      <c r="ITA1" s="2235"/>
      <c r="ITB1" s="2235"/>
      <c r="ITC1" s="2235"/>
      <c r="ITD1" s="2235"/>
      <c r="ITE1" s="2235"/>
      <c r="ITF1" s="2235"/>
      <c r="ITG1" s="2235"/>
      <c r="ITH1" s="2235"/>
      <c r="ITI1" s="2235"/>
      <c r="ITJ1" s="2235"/>
      <c r="ITK1" s="2235"/>
      <c r="ITL1" s="2235"/>
      <c r="ITM1" s="2235"/>
      <c r="ITN1" s="2235"/>
      <c r="ITO1" s="2235"/>
      <c r="ITP1" s="2235"/>
      <c r="ITQ1" s="2235"/>
      <c r="ITR1" s="2235"/>
      <c r="ITS1" s="2235"/>
      <c r="ITT1" s="2235"/>
      <c r="ITU1" s="2235"/>
      <c r="ITV1" s="2235"/>
      <c r="ITW1" s="2235"/>
      <c r="ITX1" s="2235"/>
      <c r="ITY1" s="2235"/>
      <c r="ITZ1" s="2235"/>
      <c r="IUA1" s="2235"/>
      <c r="IUB1" s="2235"/>
      <c r="IUC1" s="2235"/>
      <c r="IUD1" s="2235"/>
      <c r="IUE1" s="2235"/>
      <c r="IUF1" s="2235"/>
      <c r="IUG1" s="2235"/>
      <c r="IUH1" s="2235"/>
      <c r="IUI1" s="2235"/>
      <c r="IUJ1" s="2235"/>
      <c r="IUK1" s="2235"/>
      <c r="IUL1" s="2235"/>
      <c r="IUM1" s="2235"/>
      <c r="IUN1" s="2235"/>
      <c r="IUO1" s="2235"/>
      <c r="IUP1" s="2235"/>
      <c r="IUQ1" s="2235"/>
      <c r="IUR1" s="2235"/>
      <c r="IUS1" s="2235"/>
      <c r="IUT1" s="2235"/>
      <c r="IUU1" s="2235"/>
      <c r="IUV1" s="2235"/>
      <c r="IUW1" s="2235"/>
      <c r="IUX1" s="2235"/>
      <c r="IUY1" s="2235"/>
      <c r="IUZ1" s="2235"/>
      <c r="IVA1" s="2235"/>
      <c r="IVB1" s="2235"/>
      <c r="IVC1" s="2235"/>
      <c r="IVD1" s="2235"/>
      <c r="IVE1" s="2235"/>
      <c r="IVF1" s="2235"/>
      <c r="IVG1" s="2235"/>
      <c r="IVH1" s="2235"/>
      <c r="IVI1" s="2235"/>
      <c r="IVJ1" s="2235"/>
      <c r="IVK1" s="2235"/>
      <c r="IVL1" s="2235"/>
      <c r="IVM1" s="2235"/>
      <c r="IVN1" s="2235"/>
      <c r="IVO1" s="2235"/>
      <c r="IVP1" s="2235"/>
      <c r="IVQ1" s="2235"/>
      <c r="IVR1" s="2235"/>
      <c r="IVS1" s="2235"/>
      <c r="IVT1" s="2235"/>
      <c r="IVU1" s="2235"/>
      <c r="IVV1" s="2235"/>
      <c r="IVW1" s="2235"/>
      <c r="IVX1" s="2235"/>
      <c r="IVY1" s="2235"/>
      <c r="IVZ1" s="2235"/>
      <c r="IWA1" s="2235"/>
      <c r="IWB1" s="2235"/>
      <c r="IWC1" s="2235"/>
      <c r="IWD1" s="2235"/>
      <c r="IWE1" s="2235"/>
      <c r="IWF1" s="2235"/>
      <c r="IWG1" s="2235"/>
      <c r="IWH1" s="2235"/>
      <c r="IWI1" s="2235"/>
      <c r="IWJ1" s="2235"/>
      <c r="IWK1" s="2235"/>
      <c r="IWL1" s="2235"/>
      <c r="IWM1" s="2235"/>
      <c r="IWN1" s="2235"/>
      <c r="IWO1" s="2235"/>
      <c r="IWP1" s="2235"/>
      <c r="IWQ1" s="2235"/>
      <c r="IWR1" s="2235"/>
      <c r="IWS1" s="2235"/>
      <c r="IWT1" s="2235"/>
      <c r="IWU1" s="2235"/>
      <c r="IWV1" s="2235"/>
      <c r="IWW1" s="2235"/>
      <c r="IWX1" s="2235"/>
      <c r="IWY1" s="2235"/>
      <c r="IWZ1" s="2235"/>
      <c r="IXA1" s="2235"/>
      <c r="IXB1" s="2235"/>
      <c r="IXC1" s="2235"/>
      <c r="IXD1" s="2235"/>
      <c r="IXE1" s="2235"/>
      <c r="IXF1" s="2235"/>
      <c r="IXG1" s="2235"/>
      <c r="IXH1" s="2235"/>
      <c r="IXI1" s="2235"/>
      <c r="IXJ1" s="2235"/>
      <c r="IXK1" s="2235"/>
      <c r="IXL1" s="2235"/>
      <c r="IXM1" s="2235"/>
      <c r="IXN1" s="2235"/>
      <c r="IXO1" s="2235"/>
      <c r="IXP1" s="2235"/>
      <c r="IXQ1" s="2235"/>
      <c r="IXR1" s="2235"/>
      <c r="IXS1" s="2235"/>
      <c r="IXT1" s="2235"/>
      <c r="IXU1" s="2235"/>
      <c r="IXV1" s="2235"/>
      <c r="IXW1" s="2235"/>
      <c r="IXX1" s="2235"/>
      <c r="IXY1" s="2235"/>
      <c r="IXZ1" s="2235"/>
      <c r="IYA1" s="2235"/>
      <c r="IYB1" s="2235"/>
      <c r="IYC1" s="2235"/>
      <c r="IYD1" s="2235"/>
      <c r="IYE1" s="2235"/>
      <c r="IYF1" s="2235"/>
      <c r="IYG1" s="2235"/>
      <c r="IYH1" s="2235"/>
      <c r="IYI1" s="2235"/>
      <c r="IYJ1" s="2235"/>
      <c r="IYK1" s="2235"/>
      <c r="IYL1" s="2235"/>
      <c r="IYM1" s="2235"/>
      <c r="IYN1" s="2235"/>
      <c r="IYO1" s="2235"/>
      <c r="IYP1" s="2235"/>
      <c r="IYQ1" s="2235"/>
      <c r="IYR1" s="2235"/>
      <c r="IYS1" s="2235"/>
      <c r="IYT1" s="2235"/>
      <c r="IYU1" s="2235"/>
      <c r="IYV1" s="2235"/>
      <c r="IYW1" s="2235"/>
      <c r="IYX1" s="2235"/>
      <c r="IYY1" s="2235"/>
      <c r="IYZ1" s="2235"/>
      <c r="IZA1" s="2235"/>
      <c r="IZB1" s="2235"/>
      <c r="IZC1" s="2235"/>
      <c r="IZD1" s="2235"/>
      <c r="IZE1" s="2235"/>
      <c r="IZF1" s="2235"/>
      <c r="IZG1" s="2235"/>
      <c r="IZH1" s="2235"/>
      <c r="IZI1" s="2235"/>
      <c r="IZJ1" s="2235"/>
      <c r="IZK1" s="2235"/>
      <c r="IZL1" s="2235"/>
      <c r="IZM1" s="2235"/>
      <c r="IZN1" s="2235"/>
      <c r="IZO1" s="2235"/>
      <c r="IZP1" s="2235"/>
      <c r="IZQ1" s="2235"/>
      <c r="IZR1" s="2235"/>
      <c r="IZS1" s="2235"/>
      <c r="IZT1" s="2235"/>
      <c r="IZU1" s="2235"/>
      <c r="IZV1" s="2235"/>
      <c r="IZW1" s="2235"/>
      <c r="IZX1" s="2235"/>
      <c r="IZY1" s="2235"/>
      <c r="IZZ1" s="2235"/>
      <c r="JAA1" s="2235"/>
      <c r="JAB1" s="2235"/>
      <c r="JAC1" s="2235"/>
      <c r="JAD1" s="2235"/>
      <c r="JAE1" s="2235"/>
      <c r="JAF1" s="2235"/>
      <c r="JAG1" s="2235"/>
      <c r="JAH1" s="2235"/>
      <c r="JAI1" s="2235"/>
      <c r="JAJ1" s="2235"/>
      <c r="JAK1" s="2235"/>
      <c r="JAL1" s="2235"/>
      <c r="JAM1" s="2235"/>
      <c r="JAN1" s="2235"/>
      <c r="JAO1" s="2235"/>
      <c r="JAP1" s="2235"/>
      <c r="JAQ1" s="2235"/>
      <c r="JAR1" s="2235"/>
      <c r="JAS1" s="2235"/>
      <c r="JAT1" s="2235"/>
      <c r="JAU1" s="2235"/>
      <c r="JAV1" s="2235"/>
      <c r="JAW1" s="2235"/>
      <c r="JAX1" s="2235"/>
      <c r="JAY1" s="2235"/>
      <c r="JAZ1" s="2235"/>
      <c r="JBA1" s="2235"/>
      <c r="JBB1" s="2235"/>
      <c r="JBC1" s="2235"/>
      <c r="JBD1" s="2235"/>
      <c r="JBE1" s="2235"/>
      <c r="JBF1" s="2235"/>
      <c r="JBG1" s="2235"/>
      <c r="JBH1" s="2235"/>
      <c r="JBI1" s="2235"/>
      <c r="JBJ1" s="2235"/>
      <c r="JBK1" s="2235"/>
      <c r="JBL1" s="2235"/>
      <c r="JBM1" s="2235"/>
      <c r="JBN1" s="2235"/>
      <c r="JBO1" s="2235"/>
      <c r="JBP1" s="2235"/>
      <c r="JBQ1" s="2235"/>
      <c r="JBR1" s="2235"/>
      <c r="JBS1" s="2235"/>
      <c r="JBT1" s="2235"/>
      <c r="JBU1" s="2235"/>
      <c r="JBV1" s="2235"/>
      <c r="JBW1" s="2235"/>
      <c r="JBX1" s="2235"/>
      <c r="JBY1" s="2235"/>
      <c r="JBZ1" s="2235"/>
      <c r="JCA1" s="2235"/>
      <c r="JCB1" s="2235"/>
      <c r="JCC1" s="2235"/>
      <c r="JCD1" s="2235"/>
      <c r="JCE1" s="2235"/>
      <c r="JCF1" s="2235"/>
      <c r="JCG1" s="2235"/>
      <c r="JCH1" s="2235"/>
      <c r="JCI1" s="2235"/>
      <c r="JCJ1" s="2235"/>
      <c r="JCK1" s="2235"/>
      <c r="JCL1" s="2235"/>
      <c r="JCM1" s="2235"/>
      <c r="JCN1" s="2235"/>
      <c r="JCO1" s="2235"/>
      <c r="JCP1" s="2235"/>
      <c r="JCQ1" s="2235"/>
      <c r="JCR1" s="2235"/>
      <c r="JCS1" s="2235"/>
      <c r="JCT1" s="2235"/>
      <c r="JCU1" s="2235"/>
      <c r="JCV1" s="2235"/>
      <c r="JCW1" s="2235"/>
      <c r="JCX1" s="2235"/>
      <c r="JCY1" s="2235"/>
      <c r="JCZ1" s="2235"/>
      <c r="JDA1" s="2235"/>
      <c r="JDB1" s="2235"/>
      <c r="JDC1" s="2235"/>
      <c r="JDD1" s="2235"/>
      <c r="JDE1" s="2235"/>
      <c r="JDF1" s="2235"/>
      <c r="JDG1" s="2235"/>
      <c r="JDH1" s="2235"/>
      <c r="JDI1" s="2235"/>
      <c r="JDJ1" s="2235"/>
      <c r="JDK1" s="2235"/>
      <c r="JDL1" s="2235"/>
      <c r="JDM1" s="2235"/>
      <c r="JDN1" s="2235"/>
      <c r="JDO1" s="2235"/>
      <c r="JDP1" s="2235"/>
      <c r="JDQ1" s="2235"/>
      <c r="JDR1" s="2235"/>
      <c r="JDS1" s="2235"/>
      <c r="JDT1" s="2235"/>
      <c r="JDU1" s="2235"/>
      <c r="JDV1" s="2235"/>
      <c r="JDW1" s="2235"/>
      <c r="JDX1" s="2235"/>
      <c r="JDY1" s="2235"/>
      <c r="JDZ1" s="2235"/>
      <c r="JEA1" s="2235"/>
      <c r="JEB1" s="2235"/>
      <c r="JEC1" s="2235"/>
      <c r="JED1" s="2235"/>
      <c r="JEE1" s="2235"/>
      <c r="JEF1" s="2235"/>
      <c r="JEG1" s="2235"/>
      <c r="JEH1" s="2235"/>
      <c r="JEI1" s="2235"/>
      <c r="JEJ1" s="2235"/>
      <c r="JEK1" s="2235"/>
      <c r="JEL1" s="2235"/>
      <c r="JEM1" s="2235"/>
      <c r="JEN1" s="2235"/>
      <c r="JEO1" s="2235"/>
      <c r="JEP1" s="2235"/>
      <c r="JEQ1" s="2235"/>
      <c r="JER1" s="2235"/>
      <c r="JES1" s="2235"/>
      <c r="JET1" s="2235"/>
      <c r="JEU1" s="2235"/>
      <c r="JEV1" s="2235"/>
      <c r="JEW1" s="2235"/>
      <c r="JEX1" s="2235"/>
      <c r="JEY1" s="2235"/>
      <c r="JEZ1" s="2235"/>
      <c r="JFA1" s="2235"/>
      <c r="JFB1" s="2235"/>
      <c r="JFC1" s="2235"/>
      <c r="JFD1" s="2235"/>
      <c r="JFE1" s="2235"/>
      <c r="JFF1" s="2235"/>
      <c r="JFG1" s="2235"/>
      <c r="JFH1" s="2235"/>
      <c r="JFI1" s="2235"/>
      <c r="JFJ1" s="2235"/>
      <c r="JFK1" s="2235"/>
      <c r="JFL1" s="2235"/>
      <c r="JFM1" s="2235"/>
      <c r="JFN1" s="2235"/>
      <c r="JFO1" s="2235"/>
      <c r="JFP1" s="2235"/>
      <c r="JFQ1" s="2235"/>
      <c r="JFR1" s="2235"/>
      <c r="JFS1" s="2235"/>
      <c r="JFT1" s="2235"/>
      <c r="JFU1" s="2235"/>
      <c r="JFV1" s="2235"/>
      <c r="JFW1" s="2235"/>
      <c r="JFX1" s="2235"/>
      <c r="JFY1" s="2235"/>
      <c r="JFZ1" s="2235"/>
      <c r="JGA1" s="2235"/>
      <c r="JGB1" s="2235"/>
      <c r="JGC1" s="2235"/>
      <c r="JGD1" s="2235"/>
      <c r="JGE1" s="2235"/>
      <c r="JGF1" s="2235"/>
      <c r="JGG1" s="2235"/>
      <c r="JGH1" s="2235"/>
      <c r="JGI1" s="2235"/>
      <c r="JGJ1" s="2235"/>
      <c r="JGK1" s="2235"/>
      <c r="JGL1" s="2235"/>
      <c r="JGM1" s="2235"/>
      <c r="JGN1" s="2235"/>
      <c r="JGO1" s="2235"/>
      <c r="JGP1" s="2235"/>
      <c r="JGQ1" s="2235"/>
      <c r="JGR1" s="2235"/>
      <c r="JGS1" s="2235"/>
      <c r="JGT1" s="2235"/>
      <c r="JGU1" s="2235"/>
      <c r="JGV1" s="2235"/>
      <c r="JGW1" s="2235"/>
      <c r="JGX1" s="2235"/>
      <c r="JGY1" s="2235"/>
      <c r="JGZ1" s="2235"/>
      <c r="JHA1" s="2235"/>
      <c r="JHB1" s="2235"/>
      <c r="JHC1" s="2235"/>
      <c r="JHD1" s="2235"/>
      <c r="JHE1" s="2235"/>
      <c r="JHF1" s="2235"/>
      <c r="JHG1" s="2235"/>
      <c r="JHH1" s="2235"/>
      <c r="JHI1" s="2235"/>
      <c r="JHJ1" s="2235"/>
      <c r="JHK1" s="2235"/>
      <c r="JHL1" s="2235"/>
      <c r="JHM1" s="2235"/>
      <c r="JHN1" s="2235"/>
      <c r="JHO1" s="2235"/>
      <c r="JHP1" s="2235"/>
      <c r="JHQ1" s="2235"/>
      <c r="JHR1" s="2235"/>
      <c r="JHS1" s="2235"/>
      <c r="JHT1" s="2235"/>
      <c r="JHU1" s="2235"/>
      <c r="JHV1" s="2235"/>
      <c r="JHW1" s="2235"/>
      <c r="JHX1" s="2235"/>
      <c r="JHY1" s="2235"/>
      <c r="JHZ1" s="2235"/>
      <c r="JIA1" s="2235"/>
      <c r="JIB1" s="2235"/>
      <c r="JIC1" s="2235"/>
      <c r="JID1" s="2235"/>
      <c r="JIE1" s="2235"/>
      <c r="JIF1" s="2235"/>
      <c r="JIG1" s="2235"/>
      <c r="JIH1" s="2235"/>
      <c r="JII1" s="2235"/>
      <c r="JIJ1" s="2235"/>
      <c r="JIK1" s="2235"/>
      <c r="JIL1" s="2235"/>
      <c r="JIM1" s="2235"/>
      <c r="JIN1" s="2235"/>
      <c r="JIO1" s="2235"/>
      <c r="JIP1" s="2235"/>
      <c r="JIQ1" s="2235"/>
      <c r="JIR1" s="2235"/>
      <c r="JIS1" s="2235"/>
      <c r="JIT1" s="2235"/>
      <c r="JIU1" s="2235"/>
      <c r="JIV1" s="2235"/>
      <c r="JIW1" s="2235"/>
      <c r="JIX1" s="2235"/>
      <c r="JIY1" s="2235"/>
      <c r="JIZ1" s="2235"/>
      <c r="JJA1" s="2235"/>
      <c r="JJB1" s="2235"/>
      <c r="JJC1" s="2235"/>
      <c r="JJD1" s="2235"/>
      <c r="JJE1" s="2235"/>
      <c r="JJF1" s="2235"/>
      <c r="JJG1" s="2235"/>
      <c r="JJH1" s="2235"/>
      <c r="JJI1" s="2235"/>
      <c r="JJJ1" s="2235"/>
      <c r="JJK1" s="2235"/>
      <c r="JJL1" s="2235"/>
      <c r="JJM1" s="2235"/>
      <c r="JJN1" s="2235"/>
      <c r="JJO1" s="2235"/>
      <c r="JJP1" s="2235"/>
      <c r="JJQ1" s="2235"/>
      <c r="JJR1" s="2235"/>
      <c r="JJS1" s="2235"/>
      <c r="JJT1" s="2235"/>
      <c r="JJU1" s="2235"/>
      <c r="JJV1" s="2235"/>
      <c r="JJW1" s="2235"/>
      <c r="JJX1" s="2235"/>
      <c r="JJY1" s="2235"/>
      <c r="JJZ1" s="2235"/>
      <c r="JKA1" s="2235"/>
      <c r="JKB1" s="2235"/>
      <c r="JKC1" s="2235"/>
      <c r="JKD1" s="2235"/>
      <c r="JKE1" s="2235"/>
      <c r="JKF1" s="2235"/>
      <c r="JKG1" s="2235"/>
      <c r="JKH1" s="2235"/>
      <c r="JKI1" s="2235"/>
      <c r="JKJ1" s="2235"/>
      <c r="JKK1" s="2235"/>
      <c r="JKL1" s="2235"/>
      <c r="JKM1" s="2235"/>
      <c r="JKN1" s="2235"/>
      <c r="JKO1" s="2235"/>
      <c r="JKP1" s="2235"/>
      <c r="JKQ1" s="2235"/>
      <c r="JKR1" s="2235"/>
      <c r="JKS1" s="2235"/>
      <c r="JKT1" s="2235"/>
      <c r="JKU1" s="2235"/>
      <c r="JKV1" s="2235"/>
      <c r="JKW1" s="2235"/>
      <c r="JKX1" s="2235"/>
      <c r="JKY1" s="2235"/>
      <c r="JKZ1" s="2235"/>
      <c r="JLA1" s="2235"/>
      <c r="JLB1" s="2235"/>
      <c r="JLC1" s="2235"/>
      <c r="JLD1" s="2235"/>
      <c r="JLE1" s="2235"/>
      <c r="JLF1" s="2235"/>
      <c r="JLG1" s="2235"/>
      <c r="JLH1" s="2235"/>
      <c r="JLI1" s="2235"/>
      <c r="JLJ1" s="2235"/>
      <c r="JLK1" s="2235"/>
      <c r="JLL1" s="2235"/>
      <c r="JLM1" s="2235"/>
      <c r="JLN1" s="2235"/>
      <c r="JLO1" s="2235"/>
      <c r="JLP1" s="2235"/>
      <c r="JLQ1" s="2235"/>
      <c r="JLR1" s="2235"/>
      <c r="JLS1" s="2235"/>
      <c r="JLT1" s="2235"/>
      <c r="JLU1" s="2235"/>
      <c r="JLV1" s="2235"/>
      <c r="JLW1" s="2235"/>
      <c r="JLX1" s="2235"/>
      <c r="JLY1" s="2235"/>
      <c r="JLZ1" s="2235"/>
      <c r="JMA1" s="2235"/>
      <c r="JMB1" s="2235"/>
      <c r="JMC1" s="2235"/>
      <c r="JMD1" s="2235"/>
      <c r="JME1" s="2235"/>
      <c r="JMF1" s="2235"/>
      <c r="JMG1" s="2235"/>
      <c r="JMH1" s="2235"/>
      <c r="JMI1" s="2235"/>
      <c r="JMJ1" s="2235"/>
      <c r="JMK1" s="2235"/>
      <c r="JML1" s="2235"/>
      <c r="JMM1" s="2235"/>
      <c r="JMN1" s="2235"/>
      <c r="JMO1" s="2235"/>
      <c r="JMP1" s="2235"/>
      <c r="JMQ1" s="2235"/>
      <c r="JMR1" s="2235"/>
      <c r="JMS1" s="2235"/>
      <c r="JMT1" s="2235"/>
      <c r="JMU1" s="2235"/>
      <c r="JMV1" s="2235"/>
      <c r="JMW1" s="2235"/>
      <c r="JMX1" s="2235"/>
      <c r="JMY1" s="2235"/>
      <c r="JMZ1" s="2235"/>
      <c r="JNA1" s="2235"/>
      <c r="JNB1" s="2235"/>
      <c r="JNC1" s="2235"/>
      <c r="JND1" s="2235"/>
      <c r="JNE1" s="2235"/>
      <c r="JNF1" s="2235"/>
      <c r="JNG1" s="2235"/>
      <c r="JNH1" s="2235"/>
      <c r="JNI1" s="2235"/>
      <c r="JNJ1" s="2235"/>
      <c r="JNK1" s="2235"/>
      <c r="JNL1" s="2235"/>
      <c r="JNM1" s="2235"/>
      <c r="JNN1" s="2235"/>
      <c r="JNO1" s="2235"/>
      <c r="JNP1" s="2235"/>
      <c r="JNQ1" s="2235"/>
      <c r="JNR1" s="2235"/>
      <c r="JNS1" s="2235"/>
      <c r="JNT1" s="2235"/>
      <c r="JNU1" s="2235"/>
      <c r="JNV1" s="2235"/>
      <c r="JNW1" s="2235"/>
      <c r="JNX1" s="2235"/>
      <c r="JNY1" s="2235"/>
      <c r="JNZ1" s="2235"/>
      <c r="JOA1" s="2235"/>
      <c r="JOB1" s="2235"/>
      <c r="JOC1" s="2235"/>
      <c r="JOD1" s="2235"/>
      <c r="JOE1" s="2235"/>
      <c r="JOF1" s="2235"/>
      <c r="JOG1" s="2235"/>
      <c r="JOH1" s="2235"/>
      <c r="JOI1" s="2235"/>
      <c r="JOJ1" s="2235"/>
      <c r="JOK1" s="2235"/>
      <c r="JOL1" s="2235"/>
      <c r="JOM1" s="2235"/>
      <c r="JON1" s="2235"/>
      <c r="JOO1" s="2235"/>
      <c r="JOP1" s="2235"/>
      <c r="JOQ1" s="2235"/>
      <c r="JOR1" s="2235"/>
      <c r="JOS1" s="2235"/>
      <c r="JOT1" s="2235"/>
      <c r="JOU1" s="2235"/>
      <c r="JOV1" s="2235"/>
      <c r="JOW1" s="2235"/>
      <c r="JOX1" s="2235"/>
      <c r="JOY1" s="2235"/>
      <c r="JOZ1" s="2235"/>
      <c r="JPA1" s="2235"/>
      <c r="JPB1" s="2235"/>
      <c r="JPC1" s="2235"/>
      <c r="JPD1" s="2235"/>
      <c r="JPE1" s="2235"/>
      <c r="JPF1" s="2235"/>
      <c r="JPG1" s="2235"/>
      <c r="JPH1" s="2235"/>
      <c r="JPI1" s="2235"/>
      <c r="JPJ1" s="2235"/>
      <c r="JPK1" s="2235"/>
      <c r="JPL1" s="2235"/>
      <c r="JPM1" s="2235"/>
      <c r="JPN1" s="2235"/>
      <c r="JPO1" s="2235"/>
      <c r="JPP1" s="2235"/>
      <c r="JPQ1" s="2235"/>
      <c r="JPR1" s="2235"/>
      <c r="JPS1" s="2235"/>
      <c r="JPT1" s="2235"/>
      <c r="JPU1" s="2235"/>
      <c r="JPV1" s="2235"/>
      <c r="JPW1" s="2235"/>
      <c r="JPX1" s="2235"/>
      <c r="JPY1" s="2235"/>
      <c r="JPZ1" s="2235"/>
      <c r="JQA1" s="2235"/>
      <c r="JQB1" s="2235"/>
      <c r="JQC1" s="2235"/>
      <c r="JQD1" s="2235"/>
      <c r="JQE1" s="2235"/>
      <c r="JQF1" s="2235"/>
      <c r="JQG1" s="2235"/>
      <c r="JQH1" s="2235"/>
      <c r="JQI1" s="2235"/>
      <c r="JQJ1" s="2235"/>
      <c r="JQK1" s="2235"/>
      <c r="JQL1" s="2235"/>
      <c r="JQM1" s="2235"/>
      <c r="JQN1" s="2235"/>
      <c r="JQO1" s="2235"/>
      <c r="JQP1" s="2235"/>
      <c r="JQQ1" s="2235"/>
      <c r="JQR1" s="2235"/>
      <c r="JQS1" s="2235"/>
      <c r="JQT1" s="2235"/>
      <c r="JQU1" s="2235"/>
      <c r="JQV1" s="2235"/>
      <c r="JQW1" s="2235"/>
      <c r="JQX1" s="2235"/>
      <c r="JQY1" s="2235"/>
      <c r="JQZ1" s="2235"/>
      <c r="JRA1" s="2235"/>
      <c r="JRB1" s="2235"/>
      <c r="JRC1" s="2235"/>
      <c r="JRD1" s="2235"/>
      <c r="JRE1" s="2235"/>
      <c r="JRF1" s="2235"/>
      <c r="JRG1" s="2235"/>
      <c r="JRH1" s="2235"/>
      <c r="JRI1" s="2235"/>
      <c r="JRJ1" s="2235"/>
      <c r="JRK1" s="2235"/>
      <c r="JRL1" s="2235"/>
      <c r="JRM1" s="2235"/>
      <c r="JRN1" s="2235"/>
      <c r="JRO1" s="2235"/>
      <c r="JRP1" s="2235"/>
      <c r="JRQ1" s="2235"/>
      <c r="JRR1" s="2235"/>
      <c r="JRS1" s="2235"/>
      <c r="JRT1" s="2235"/>
      <c r="JRU1" s="2235"/>
      <c r="JRV1" s="2235"/>
      <c r="JRW1" s="2235"/>
      <c r="JRX1" s="2235"/>
      <c r="JRY1" s="2235"/>
      <c r="JRZ1" s="2235"/>
      <c r="JSA1" s="2235"/>
      <c r="JSB1" s="2235"/>
      <c r="JSC1" s="2235"/>
      <c r="JSD1" s="2235"/>
      <c r="JSE1" s="2235"/>
      <c r="JSF1" s="2235"/>
      <c r="JSG1" s="2235"/>
      <c r="JSH1" s="2235"/>
      <c r="JSI1" s="2235"/>
      <c r="JSJ1" s="2235"/>
      <c r="JSK1" s="2235"/>
      <c r="JSL1" s="2235"/>
      <c r="JSM1" s="2235"/>
      <c r="JSN1" s="2235"/>
      <c r="JSO1" s="2235"/>
      <c r="JSP1" s="2235"/>
      <c r="JSQ1" s="2235"/>
      <c r="JSR1" s="2235"/>
      <c r="JSS1" s="2235"/>
      <c r="JST1" s="2235"/>
      <c r="JSU1" s="2235"/>
      <c r="JSV1" s="2235"/>
      <c r="JSW1" s="2235"/>
      <c r="JSX1" s="2235"/>
      <c r="JSY1" s="2235"/>
      <c r="JSZ1" s="2235"/>
      <c r="JTA1" s="2235"/>
      <c r="JTB1" s="2235"/>
      <c r="JTC1" s="2235"/>
      <c r="JTD1" s="2235"/>
      <c r="JTE1" s="2235"/>
      <c r="JTF1" s="2235"/>
      <c r="JTG1" s="2235"/>
      <c r="JTH1" s="2235"/>
      <c r="JTI1" s="2235"/>
      <c r="JTJ1" s="2235"/>
      <c r="JTK1" s="2235"/>
      <c r="JTL1" s="2235"/>
      <c r="JTM1" s="2235"/>
      <c r="JTN1" s="2235"/>
      <c r="JTO1" s="2235"/>
      <c r="JTP1" s="2235"/>
      <c r="JTQ1" s="2235"/>
      <c r="JTR1" s="2235"/>
      <c r="JTS1" s="2235"/>
      <c r="JTT1" s="2235"/>
      <c r="JTU1" s="2235"/>
      <c r="JTV1" s="2235"/>
      <c r="JTW1" s="2235"/>
      <c r="JTX1" s="2235"/>
      <c r="JTY1" s="2235"/>
      <c r="JTZ1" s="2235"/>
      <c r="JUA1" s="2235"/>
      <c r="JUB1" s="2235"/>
      <c r="JUC1" s="2235"/>
      <c r="JUD1" s="2235"/>
      <c r="JUE1" s="2235"/>
      <c r="JUF1" s="2235"/>
      <c r="JUG1" s="2235"/>
      <c r="JUH1" s="2235"/>
      <c r="JUI1" s="2235"/>
      <c r="JUJ1" s="2235"/>
      <c r="JUK1" s="2235"/>
      <c r="JUL1" s="2235"/>
      <c r="JUM1" s="2235"/>
      <c r="JUN1" s="2235"/>
      <c r="JUO1" s="2235"/>
      <c r="JUP1" s="2235"/>
      <c r="JUQ1" s="2235"/>
      <c r="JUR1" s="2235"/>
      <c r="JUS1" s="2235"/>
      <c r="JUT1" s="2235"/>
      <c r="JUU1" s="2235"/>
      <c r="JUV1" s="2235"/>
      <c r="JUW1" s="2235"/>
      <c r="JUX1" s="2235"/>
      <c r="JUY1" s="2235"/>
      <c r="JUZ1" s="2235"/>
      <c r="JVA1" s="2235"/>
      <c r="JVB1" s="2235"/>
      <c r="JVC1" s="2235"/>
      <c r="JVD1" s="2235"/>
      <c r="JVE1" s="2235"/>
      <c r="JVF1" s="2235"/>
      <c r="JVG1" s="2235"/>
      <c r="JVH1" s="2235"/>
      <c r="JVI1" s="2235"/>
      <c r="JVJ1" s="2235"/>
      <c r="JVK1" s="2235"/>
      <c r="JVL1" s="2235"/>
      <c r="JVM1" s="2235"/>
      <c r="JVN1" s="2235"/>
      <c r="JVO1" s="2235"/>
      <c r="JVP1" s="2235"/>
      <c r="JVQ1" s="2235"/>
      <c r="JVR1" s="2235"/>
      <c r="JVS1" s="2235"/>
      <c r="JVT1" s="2235"/>
      <c r="JVU1" s="2235"/>
      <c r="JVV1" s="2235"/>
      <c r="JVW1" s="2235"/>
      <c r="JVX1" s="2235"/>
      <c r="JVY1" s="2235"/>
      <c r="JVZ1" s="2235"/>
      <c r="JWA1" s="2235"/>
      <c r="JWB1" s="2235"/>
      <c r="JWC1" s="2235"/>
      <c r="JWD1" s="2235"/>
      <c r="JWE1" s="2235"/>
      <c r="JWF1" s="2235"/>
      <c r="JWG1" s="2235"/>
      <c r="JWH1" s="2235"/>
      <c r="JWI1" s="2235"/>
      <c r="JWJ1" s="2235"/>
      <c r="JWK1" s="2235"/>
      <c r="JWL1" s="2235"/>
      <c r="JWM1" s="2235"/>
      <c r="JWN1" s="2235"/>
      <c r="JWO1" s="2235"/>
      <c r="JWP1" s="2235"/>
      <c r="JWQ1" s="2235"/>
      <c r="JWR1" s="2235"/>
      <c r="JWS1" s="2235"/>
      <c r="JWT1" s="2235"/>
      <c r="JWU1" s="2235"/>
      <c r="JWV1" s="2235"/>
      <c r="JWW1" s="2235"/>
      <c r="JWX1" s="2235"/>
      <c r="JWY1" s="2235"/>
      <c r="JWZ1" s="2235"/>
      <c r="JXA1" s="2235"/>
      <c r="JXB1" s="2235"/>
      <c r="JXC1" s="2235"/>
      <c r="JXD1" s="2235"/>
      <c r="JXE1" s="2235"/>
      <c r="JXF1" s="2235"/>
      <c r="JXG1" s="2235"/>
      <c r="JXH1" s="2235"/>
      <c r="JXI1" s="2235"/>
      <c r="JXJ1" s="2235"/>
      <c r="JXK1" s="2235"/>
      <c r="JXL1" s="2235"/>
      <c r="JXM1" s="2235"/>
      <c r="JXN1" s="2235"/>
      <c r="JXO1" s="2235"/>
      <c r="JXP1" s="2235"/>
      <c r="JXQ1" s="2235"/>
      <c r="JXR1" s="2235"/>
      <c r="JXS1" s="2235"/>
      <c r="JXT1" s="2235"/>
      <c r="JXU1" s="2235"/>
      <c r="JXV1" s="2235"/>
      <c r="JXW1" s="2235"/>
      <c r="JXX1" s="2235"/>
      <c r="JXY1" s="2235"/>
      <c r="JXZ1" s="2235"/>
      <c r="JYA1" s="2235"/>
      <c r="JYB1" s="2235"/>
      <c r="JYC1" s="2235"/>
      <c r="JYD1" s="2235"/>
      <c r="JYE1" s="2235"/>
      <c r="JYF1" s="2235"/>
      <c r="JYG1" s="2235"/>
      <c r="JYH1" s="2235"/>
      <c r="JYI1" s="2235"/>
      <c r="JYJ1" s="2235"/>
      <c r="JYK1" s="2235"/>
      <c r="JYL1" s="2235"/>
      <c r="JYM1" s="2235"/>
      <c r="JYN1" s="2235"/>
      <c r="JYO1" s="2235"/>
      <c r="JYP1" s="2235"/>
      <c r="JYQ1" s="2235"/>
      <c r="JYR1" s="2235"/>
      <c r="JYS1" s="2235"/>
      <c r="JYT1" s="2235"/>
      <c r="JYU1" s="2235"/>
      <c r="JYV1" s="2235"/>
      <c r="JYW1" s="2235"/>
      <c r="JYX1" s="2235"/>
      <c r="JYY1" s="2235"/>
      <c r="JYZ1" s="2235"/>
      <c r="JZA1" s="2235"/>
      <c r="JZB1" s="2235"/>
      <c r="JZC1" s="2235"/>
      <c r="JZD1" s="2235"/>
      <c r="JZE1" s="2235"/>
      <c r="JZF1" s="2235"/>
      <c r="JZG1" s="2235"/>
      <c r="JZH1" s="2235"/>
      <c r="JZI1" s="2235"/>
      <c r="JZJ1" s="2235"/>
      <c r="JZK1" s="2235"/>
      <c r="JZL1" s="2235"/>
      <c r="JZM1" s="2235"/>
      <c r="JZN1" s="2235"/>
      <c r="JZO1" s="2235"/>
      <c r="JZP1" s="2235"/>
      <c r="JZQ1" s="2235"/>
      <c r="JZR1" s="2235"/>
      <c r="JZS1" s="2235"/>
      <c r="JZT1" s="2235"/>
      <c r="JZU1" s="2235"/>
      <c r="JZV1" s="2235"/>
      <c r="JZW1" s="2235"/>
      <c r="JZX1" s="2235"/>
      <c r="JZY1" s="2235"/>
      <c r="JZZ1" s="2235"/>
      <c r="KAA1" s="2235"/>
      <c r="KAB1" s="2235"/>
      <c r="KAC1" s="2235"/>
      <c r="KAD1" s="2235"/>
      <c r="KAE1" s="2235"/>
      <c r="KAF1" s="2235"/>
      <c r="KAG1" s="2235"/>
      <c r="KAH1" s="2235"/>
      <c r="KAI1" s="2235"/>
      <c r="KAJ1" s="2235"/>
      <c r="KAK1" s="2235"/>
      <c r="KAL1" s="2235"/>
      <c r="KAM1" s="2235"/>
      <c r="KAN1" s="2235"/>
      <c r="KAO1" s="2235"/>
      <c r="KAP1" s="2235"/>
      <c r="KAQ1" s="2235"/>
      <c r="KAR1" s="2235"/>
      <c r="KAS1" s="2235"/>
      <c r="KAT1" s="2235"/>
      <c r="KAU1" s="2235"/>
      <c r="KAV1" s="2235"/>
      <c r="KAW1" s="2235"/>
      <c r="KAX1" s="2235"/>
      <c r="KAY1" s="2235"/>
      <c r="KAZ1" s="2235"/>
      <c r="KBA1" s="2235"/>
      <c r="KBB1" s="2235"/>
      <c r="KBC1" s="2235"/>
      <c r="KBD1" s="2235"/>
      <c r="KBE1" s="2235"/>
      <c r="KBF1" s="2235"/>
      <c r="KBG1" s="2235"/>
      <c r="KBH1" s="2235"/>
      <c r="KBI1" s="2235"/>
      <c r="KBJ1" s="2235"/>
      <c r="KBK1" s="2235"/>
      <c r="KBL1" s="2235"/>
      <c r="KBM1" s="2235"/>
      <c r="KBN1" s="2235"/>
      <c r="KBO1" s="2235"/>
      <c r="KBP1" s="2235"/>
      <c r="KBQ1" s="2235"/>
      <c r="KBR1" s="2235"/>
      <c r="KBS1" s="2235"/>
      <c r="KBT1" s="2235"/>
      <c r="KBU1" s="2235"/>
      <c r="KBV1" s="2235"/>
      <c r="KBW1" s="2235"/>
      <c r="KBX1" s="2235"/>
      <c r="KBY1" s="2235"/>
      <c r="KBZ1" s="2235"/>
      <c r="KCA1" s="2235"/>
      <c r="KCB1" s="2235"/>
      <c r="KCC1" s="2235"/>
      <c r="KCD1" s="2235"/>
      <c r="KCE1" s="2235"/>
      <c r="KCF1" s="2235"/>
      <c r="KCG1" s="2235"/>
      <c r="KCH1" s="2235"/>
      <c r="KCI1" s="2235"/>
      <c r="KCJ1" s="2235"/>
      <c r="KCK1" s="2235"/>
      <c r="KCL1" s="2235"/>
      <c r="KCM1" s="2235"/>
      <c r="KCN1" s="2235"/>
      <c r="KCO1" s="2235"/>
      <c r="KCP1" s="2235"/>
      <c r="KCQ1" s="2235"/>
      <c r="KCR1" s="2235"/>
      <c r="KCS1" s="2235"/>
      <c r="KCT1" s="2235"/>
      <c r="KCU1" s="2235"/>
      <c r="KCV1" s="2235"/>
      <c r="KCW1" s="2235"/>
      <c r="KCX1" s="2235"/>
      <c r="KCY1" s="2235"/>
      <c r="KCZ1" s="2235"/>
      <c r="KDA1" s="2235"/>
      <c r="KDB1" s="2235"/>
      <c r="KDC1" s="2235"/>
      <c r="KDD1" s="2235"/>
      <c r="KDE1" s="2235"/>
      <c r="KDF1" s="2235"/>
      <c r="KDG1" s="2235"/>
      <c r="KDH1" s="2235"/>
      <c r="KDI1" s="2235"/>
      <c r="KDJ1" s="2235"/>
      <c r="KDK1" s="2235"/>
      <c r="KDL1" s="2235"/>
      <c r="KDM1" s="2235"/>
      <c r="KDN1" s="2235"/>
      <c r="KDO1" s="2235"/>
      <c r="KDP1" s="2235"/>
      <c r="KDQ1" s="2235"/>
      <c r="KDR1" s="2235"/>
      <c r="KDS1" s="2235"/>
      <c r="KDT1" s="2235"/>
      <c r="KDU1" s="2235"/>
      <c r="KDV1" s="2235"/>
      <c r="KDW1" s="2235"/>
      <c r="KDX1" s="2235"/>
      <c r="KDY1" s="2235"/>
      <c r="KDZ1" s="2235"/>
      <c r="KEA1" s="2235"/>
      <c r="KEB1" s="2235"/>
      <c r="KEC1" s="2235"/>
      <c r="KED1" s="2235"/>
      <c r="KEE1" s="2235"/>
      <c r="KEF1" s="2235"/>
      <c r="KEG1" s="2235"/>
      <c r="KEH1" s="2235"/>
      <c r="KEI1" s="2235"/>
      <c r="KEJ1" s="2235"/>
      <c r="KEK1" s="2235"/>
      <c r="KEL1" s="2235"/>
      <c r="KEM1" s="2235"/>
      <c r="KEN1" s="2235"/>
      <c r="KEO1" s="2235"/>
      <c r="KEP1" s="2235"/>
      <c r="KEQ1" s="2235"/>
      <c r="KER1" s="2235"/>
      <c r="KES1" s="2235"/>
      <c r="KET1" s="2235"/>
      <c r="KEU1" s="2235"/>
      <c r="KEV1" s="2235"/>
      <c r="KEW1" s="2235"/>
      <c r="KEX1" s="2235"/>
      <c r="KEY1" s="2235"/>
      <c r="KEZ1" s="2235"/>
      <c r="KFA1" s="2235"/>
      <c r="KFB1" s="2235"/>
      <c r="KFC1" s="2235"/>
      <c r="KFD1" s="2235"/>
      <c r="KFE1" s="2235"/>
      <c r="KFF1" s="2235"/>
      <c r="KFG1" s="2235"/>
      <c r="KFH1" s="2235"/>
      <c r="KFI1" s="2235"/>
      <c r="KFJ1" s="2235"/>
      <c r="KFK1" s="2235"/>
      <c r="KFL1" s="2235"/>
      <c r="KFM1" s="2235"/>
      <c r="KFN1" s="2235"/>
      <c r="KFO1" s="2235"/>
      <c r="KFP1" s="2235"/>
      <c r="KFQ1" s="2235"/>
      <c r="KFR1" s="2235"/>
      <c r="KFS1" s="2235"/>
      <c r="KFT1" s="2235"/>
      <c r="KFU1" s="2235"/>
      <c r="KFV1" s="2235"/>
      <c r="KFW1" s="2235"/>
      <c r="KFX1" s="2235"/>
      <c r="KFY1" s="2235"/>
      <c r="KFZ1" s="2235"/>
      <c r="KGA1" s="2235"/>
      <c r="KGB1" s="2235"/>
      <c r="KGC1" s="2235"/>
      <c r="KGD1" s="2235"/>
      <c r="KGE1" s="2235"/>
      <c r="KGF1" s="2235"/>
      <c r="KGG1" s="2235"/>
      <c r="KGH1" s="2235"/>
      <c r="KGI1" s="2235"/>
      <c r="KGJ1" s="2235"/>
      <c r="KGK1" s="2235"/>
      <c r="KGL1" s="2235"/>
      <c r="KGM1" s="2235"/>
      <c r="KGN1" s="2235"/>
      <c r="KGO1" s="2235"/>
      <c r="KGP1" s="2235"/>
      <c r="KGQ1" s="2235"/>
      <c r="KGR1" s="2235"/>
      <c r="KGS1" s="2235"/>
      <c r="KGT1" s="2235"/>
      <c r="KGU1" s="2235"/>
      <c r="KGV1" s="2235"/>
      <c r="KGW1" s="2235"/>
      <c r="KGX1" s="2235"/>
      <c r="KGY1" s="2235"/>
      <c r="KGZ1" s="2235"/>
      <c r="KHA1" s="2235"/>
      <c r="KHB1" s="2235"/>
      <c r="KHC1" s="2235"/>
      <c r="KHD1" s="2235"/>
      <c r="KHE1" s="2235"/>
      <c r="KHF1" s="2235"/>
      <c r="KHG1" s="2235"/>
      <c r="KHH1" s="2235"/>
      <c r="KHI1" s="2235"/>
      <c r="KHJ1" s="2235"/>
      <c r="KHK1" s="2235"/>
      <c r="KHL1" s="2235"/>
      <c r="KHM1" s="2235"/>
      <c r="KHN1" s="2235"/>
      <c r="KHO1" s="2235"/>
      <c r="KHP1" s="2235"/>
      <c r="KHQ1" s="2235"/>
      <c r="KHR1" s="2235"/>
      <c r="KHS1" s="2235"/>
      <c r="KHT1" s="2235"/>
      <c r="KHU1" s="2235"/>
      <c r="KHV1" s="2235"/>
      <c r="KHW1" s="2235"/>
      <c r="KHX1" s="2235"/>
      <c r="KHY1" s="2235"/>
      <c r="KHZ1" s="2235"/>
      <c r="KIA1" s="2235"/>
      <c r="KIB1" s="2235"/>
      <c r="KIC1" s="2235"/>
      <c r="KID1" s="2235"/>
      <c r="KIE1" s="2235"/>
      <c r="KIF1" s="2235"/>
      <c r="KIG1" s="2235"/>
      <c r="KIH1" s="2235"/>
      <c r="KII1" s="2235"/>
      <c r="KIJ1" s="2235"/>
      <c r="KIK1" s="2235"/>
      <c r="KIL1" s="2235"/>
      <c r="KIM1" s="2235"/>
      <c r="KIN1" s="2235"/>
      <c r="KIO1" s="2235"/>
      <c r="KIP1" s="2235"/>
      <c r="KIQ1" s="2235"/>
      <c r="KIR1" s="2235"/>
      <c r="KIS1" s="2235"/>
      <c r="KIT1" s="2235"/>
      <c r="KIU1" s="2235"/>
      <c r="KIV1" s="2235"/>
      <c r="KIW1" s="2235"/>
      <c r="KIX1" s="2235"/>
      <c r="KIY1" s="2235"/>
      <c r="KIZ1" s="2235"/>
      <c r="KJA1" s="2235"/>
      <c r="KJB1" s="2235"/>
      <c r="KJC1" s="2235"/>
      <c r="KJD1" s="2235"/>
      <c r="KJE1" s="2235"/>
      <c r="KJF1" s="2235"/>
      <c r="KJG1" s="2235"/>
      <c r="KJH1" s="2235"/>
      <c r="KJI1" s="2235"/>
      <c r="KJJ1" s="2235"/>
      <c r="KJK1" s="2235"/>
      <c r="KJL1" s="2235"/>
      <c r="KJM1" s="2235"/>
      <c r="KJN1" s="2235"/>
      <c r="KJO1" s="2235"/>
      <c r="KJP1" s="2235"/>
      <c r="KJQ1" s="2235"/>
      <c r="KJR1" s="2235"/>
      <c r="KJS1" s="2235"/>
      <c r="KJT1" s="2235"/>
      <c r="KJU1" s="2235"/>
      <c r="KJV1" s="2235"/>
      <c r="KJW1" s="2235"/>
      <c r="KJX1" s="2235"/>
      <c r="KJY1" s="2235"/>
      <c r="KJZ1" s="2235"/>
      <c r="KKA1" s="2235"/>
      <c r="KKB1" s="2235"/>
      <c r="KKC1" s="2235"/>
      <c r="KKD1" s="2235"/>
      <c r="KKE1" s="2235"/>
      <c r="KKF1" s="2235"/>
      <c r="KKG1" s="2235"/>
      <c r="KKH1" s="2235"/>
      <c r="KKI1" s="2235"/>
      <c r="KKJ1" s="2235"/>
      <c r="KKK1" s="2235"/>
      <c r="KKL1" s="2235"/>
      <c r="KKM1" s="2235"/>
      <c r="KKN1" s="2235"/>
      <c r="KKO1" s="2235"/>
      <c r="KKP1" s="2235"/>
      <c r="KKQ1" s="2235"/>
      <c r="KKR1" s="2235"/>
      <c r="KKS1" s="2235"/>
      <c r="KKT1" s="2235"/>
      <c r="KKU1" s="2235"/>
      <c r="KKV1" s="2235"/>
      <c r="KKW1" s="2235"/>
      <c r="KKX1" s="2235"/>
      <c r="KKY1" s="2235"/>
      <c r="KKZ1" s="2235"/>
      <c r="KLA1" s="2235"/>
      <c r="KLB1" s="2235"/>
      <c r="KLC1" s="2235"/>
      <c r="KLD1" s="2235"/>
      <c r="KLE1" s="2235"/>
      <c r="KLF1" s="2235"/>
      <c r="KLG1" s="2235"/>
      <c r="KLH1" s="2235"/>
      <c r="KLI1" s="2235"/>
      <c r="KLJ1" s="2235"/>
      <c r="KLK1" s="2235"/>
      <c r="KLL1" s="2235"/>
      <c r="KLM1" s="2235"/>
      <c r="KLN1" s="2235"/>
      <c r="KLO1" s="2235"/>
      <c r="KLP1" s="2235"/>
      <c r="KLQ1" s="2235"/>
      <c r="KLR1" s="2235"/>
      <c r="KLS1" s="2235"/>
      <c r="KLT1" s="2235"/>
      <c r="KLU1" s="2235"/>
      <c r="KLV1" s="2235"/>
      <c r="KLW1" s="2235"/>
      <c r="KLX1" s="2235"/>
      <c r="KLY1" s="2235"/>
      <c r="KLZ1" s="2235"/>
      <c r="KMA1" s="2235"/>
      <c r="KMB1" s="2235"/>
      <c r="KMC1" s="2235"/>
      <c r="KMD1" s="2235"/>
      <c r="KME1" s="2235"/>
      <c r="KMF1" s="2235"/>
      <c r="KMG1" s="2235"/>
      <c r="KMH1" s="2235"/>
      <c r="KMI1" s="2235"/>
      <c r="KMJ1" s="2235"/>
      <c r="KMK1" s="2235"/>
      <c r="KML1" s="2235"/>
      <c r="KMM1" s="2235"/>
      <c r="KMN1" s="2235"/>
      <c r="KMO1" s="2235"/>
      <c r="KMP1" s="2235"/>
      <c r="KMQ1" s="2235"/>
      <c r="KMR1" s="2235"/>
      <c r="KMS1" s="2235"/>
      <c r="KMT1" s="2235"/>
      <c r="KMU1" s="2235"/>
      <c r="KMV1" s="2235"/>
      <c r="KMW1" s="2235"/>
      <c r="KMX1" s="2235"/>
      <c r="KMY1" s="2235"/>
      <c r="KMZ1" s="2235"/>
      <c r="KNA1" s="2235"/>
      <c r="KNB1" s="2235"/>
      <c r="KNC1" s="2235"/>
      <c r="KND1" s="2235"/>
      <c r="KNE1" s="2235"/>
      <c r="KNF1" s="2235"/>
      <c r="KNG1" s="2235"/>
      <c r="KNH1" s="2235"/>
      <c r="KNI1" s="2235"/>
      <c r="KNJ1" s="2235"/>
      <c r="KNK1" s="2235"/>
      <c r="KNL1" s="2235"/>
      <c r="KNM1" s="2235"/>
      <c r="KNN1" s="2235"/>
      <c r="KNO1" s="2235"/>
      <c r="KNP1" s="2235"/>
      <c r="KNQ1" s="2235"/>
      <c r="KNR1" s="2235"/>
      <c r="KNS1" s="2235"/>
      <c r="KNT1" s="2235"/>
      <c r="KNU1" s="2235"/>
      <c r="KNV1" s="2235"/>
      <c r="KNW1" s="2235"/>
      <c r="KNX1" s="2235"/>
      <c r="KNY1" s="2235"/>
      <c r="KNZ1" s="2235"/>
      <c r="KOA1" s="2235"/>
      <c r="KOB1" s="2235"/>
      <c r="KOC1" s="2235"/>
      <c r="KOD1" s="2235"/>
      <c r="KOE1" s="2235"/>
      <c r="KOF1" s="2235"/>
      <c r="KOG1" s="2235"/>
      <c r="KOH1" s="2235"/>
      <c r="KOI1" s="2235"/>
      <c r="KOJ1" s="2235"/>
      <c r="KOK1" s="2235"/>
      <c r="KOL1" s="2235"/>
      <c r="KOM1" s="2235"/>
      <c r="KON1" s="2235"/>
      <c r="KOO1" s="2235"/>
      <c r="KOP1" s="2235"/>
      <c r="KOQ1" s="2235"/>
      <c r="KOR1" s="2235"/>
      <c r="KOS1" s="2235"/>
      <c r="KOT1" s="2235"/>
      <c r="KOU1" s="2235"/>
      <c r="KOV1" s="2235"/>
      <c r="KOW1" s="2235"/>
      <c r="KOX1" s="2235"/>
      <c r="KOY1" s="2235"/>
      <c r="KOZ1" s="2235"/>
      <c r="KPA1" s="2235"/>
      <c r="KPB1" s="2235"/>
      <c r="KPC1" s="2235"/>
      <c r="KPD1" s="2235"/>
      <c r="KPE1" s="2235"/>
      <c r="KPF1" s="2235"/>
      <c r="KPG1" s="2235"/>
      <c r="KPH1" s="2235"/>
      <c r="KPI1" s="2235"/>
      <c r="KPJ1" s="2235"/>
      <c r="KPK1" s="2235"/>
      <c r="KPL1" s="2235"/>
      <c r="KPM1" s="2235"/>
      <c r="KPN1" s="2235"/>
      <c r="KPO1" s="2235"/>
      <c r="KPP1" s="2235"/>
      <c r="KPQ1" s="2235"/>
      <c r="KPR1" s="2235"/>
      <c r="KPS1" s="2235"/>
      <c r="KPT1" s="2235"/>
      <c r="KPU1" s="2235"/>
      <c r="KPV1" s="2235"/>
      <c r="KPW1" s="2235"/>
      <c r="KPX1" s="2235"/>
      <c r="KPY1" s="2235"/>
      <c r="KPZ1" s="2235"/>
      <c r="KQA1" s="2235"/>
      <c r="KQB1" s="2235"/>
      <c r="KQC1" s="2235"/>
      <c r="KQD1" s="2235"/>
      <c r="KQE1" s="2235"/>
      <c r="KQF1" s="2235"/>
      <c r="KQG1" s="2235"/>
      <c r="KQH1" s="2235"/>
      <c r="KQI1" s="2235"/>
      <c r="KQJ1" s="2235"/>
      <c r="KQK1" s="2235"/>
      <c r="KQL1" s="2235"/>
      <c r="KQM1" s="2235"/>
      <c r="KQN1" s="2235"/>
      <c r="KQO1" s="2235"/>
      <c r="KQP1" s="2235"/>
      <c r="KQQ1" s="2235"/>
      <c r="KQR1" s="2235"/>
      <c r="KQS1" s="2235"/>
      <c r="KQT1" s="2235"/>
      <c r="KQU1" s="2235"/>
      <c r="KQV1" s="2235"/>
      <c r="KQW1" s="2235"/>
      <c r="KQX1" s="2235"/>
      <c r="KQY1" s="2235"/>
      <c r="KQZ1" s="2235"/>
      <c r="KRA1" s="2235"/>
      <c r="KRB1" s="2235"/>
      <c r="KRC1" s="2235"/>
      <c r="KRD1" s="2235"/>
      <c r="KRE1" s="2235"/>
      <c r="KRF1" s="2235"/>
      <c r="KRG1" s="2235"/>
      <c r="KRH1" s="2235"/>
      <c r="KRI1" s="2235"/>
      <c r="KRJ1" s="2235"/>
      <c r="KRK1" s="2235"/>
      <c r="KRL1" s="2235"/>
      <c r="KRM1" s="2235"/>
      <c r="KRN1" s="2235"/>
      <c r="KRO1" s="2235"/>
      <c r="KRP1" s="2235"/>
      <c r="KRQ1" s="2235"/>
      <c r="KRR1" s="2235"/>
      <c r="KRS1" s="2235"/>
      <c r="KRT1" s="2235"/>
      <c r="KRU1" s="2235"/>
      <c r="KRV1" s="2235"/>
      <c r="KRW1" s="2235"/>
      <c r="KRX1" s="2235"/>
      <c r="KRY1" s="2235"/>
      <c r="KRZ1" s="2235"/>
      <c r="KSA1" s="2235"/>
      <c r="KSB1" s="2235"/>
      <c r="KSC1" s="2235"/>
      <c r="KSD1" s="2235"/>
      <c r="KSE1" s="2235"/>
      <c r="KSF1" s="2235"/>
      <c r="KSG1" s="2235"/>
      <c r="KSH1" s="2235"/>
      <c r="KSI1" s="2235"/>
      <c r="KSJ1" s="2235"/>
      <c r="KSK1" s="2235"/>
      <c r="KSL1" s="2235"/>
      <c r="KSM1" s="2235"/>
      <c r="KSN1" s="2235"/>
      <c r="KSO1" s="2235"/>
      <c r="KSP1" s="2235"/>
      <c r="KSQ1" s="2235"/>
      <c r="KSR1" s="2235"/>
      <c r="KSS1" s="2235"/>
      <c r="KST1" s="2235"/>
      <c r="KSU1" s="2235"/>
      <c r="KSV1" s="2235"/>
      <c r="KSW1" s="2235"/>
      <c r="KSX1" s="2235"/>
      <c r="KSY1" s="2235"/>
      <c r="KSZ1" s="2235"/>
      <c r="KTA1" s="2235"/>
      <c r="KTB1" s="2235"/>
      <c r="KTC1" s="2235"/>
      <c r="KTD1" s="2235"/>
      <c r="KTE1" s="2235"/>
      <c r="KTF1" s="2235"/>
      <c r="KTG1" s="2235"/>
      <c r="KTH1" s="2235"/>
      <c r="KTI1" s="2235"/>
      <c r="KTJ1" s="2235"/>
      <c r="KTK1" s="2235"/>
      <c r="KTL1" s="2235"/>
      <c r="KTM1" s="2235"/>
      <c r="KTN1" s="2235"/>
      <c r="KTO1" s="2235"/>
      <c r="KTP1" s="2235"/>
      <c r="KTQ1" s="2235"/>
      <c r="KTR1" s="2235"/>
      <c r="KTS1" s="2235"/>
      <c r="KTT1" s="2235"/>
      <c r="KTU1" s="2235"/>
      <c r="KTV1" s="2235"/>
      <c r="KTW1" s="2235"/>
      <c r="KTX1" s="2235"/>
      <c r="KTY1" s="2235"/>
      <c r="KTZ1" s="2235"/>
      <c r="KUA1" s="2235"/>
      <c r="KUB1" s="2235"/>
      <c r="KUC1" s="2235"/>
      <c r="KUD1" s="2235"/>
      <c r="KUE1" s="2235"/>
      <c r="KUF1" s="2235"/>
      <c r="KUG1" s="2235"/>
      <c r="KUH1" s="2235"/>
      <c r="KUI1" s="2235"/>
      <c r="KUJ1" s="2235"/>
      <c r="KUK1" s="2235"/>
      <c r="KUL1" s="2235"/>
      <c r="KUM1" s="2235"/>
      <c r="KUN1" s="2235"/>
      <c r="KUO1" s="2235"/>
      <c r="KUP1" s="2235"/>
      <c r="KUQ1" s="2235"/>
      <c r="KUR1" s="2235"/>
      <c r="KUS1" s="2235"/>
      <c r="KUT1" s="2235"/>
      <c r="KUU1" s="2235"/>
      <c r="KUV1" s="2235"/>
      <c r="KUW1" s="2235"/>
      <c r="KUX1" s="2235"/>
      <c r="KUY1" s="2235"/>
      <c r="KUZ1" s="2235"/>
      <c r="KVA1" s="2235"/>
      <c r="KVB1" s="2235"/>
      <c r="KVC1" s="2235"/>
      <c r="KVD1" s="2235"/>
      <c r="KVE1" s="2235"/>
      <c r="KVF1" s="2235"/>
      <c r="KVG1" s="2235"/>
      <c r="KVH1" s="2235"/>
      <c r="KVI1" s="2235"/>
      <c r="KVJ1" s="2235"/>
      <c r="KVK1" s="2235"/>
      <c r="KVL1" s="2235"/>
      <c r="KVM1" s="2235"/>
      <c r="KVN1" s="2235"/>
      <c r="KVO1" s="2235"/>
      <c r="KVP1" s="2235"/>
      <c r="KVQ1" s="2235"/>
      <c r="KVR1" s="2235"/>
      <c r="KVS1" s="2235"/>
      <c r="KVT1" s="2235"/>
      <c r="KVU1" s="2235"/>
      <c r="KVV1" s="2235"/>
      <c r="KVW1" s="2235"/>
      <c r="KVX1" s="2235"/>
      <c r="KVY1" s="2235"/>
      <c r="KVZ1" s="2235"/>
      <c r="KWA1" s="2235"/>
      <c r="KWB1" s="2235"/>
      <c r="KWC1" s="2235"/>
      <c r="KWD1" s="2235"/>
      <c r="KWE1" s="2235"/>
      <c r="KWF1" s="2235"/>
      <c r="KWG1" s="2235"/>
      <c r="KWH1" s="2235"/>
      <c r="KWI1" s="2235"/>
      <c r="KWJ1" s="2235"/>
      <c r="KWK1" s="2235"/>
      <c r="KWL1" s="2235"/>
      <c r="KWM1" s="2235"/>
      <c r="KWN1" s="2235"/>
      <c r="KWO1" s="2235"/>
      <c r="KWP1" s="2235"/>
      <c r="KWQ1" s="2235"/>
      <c r="KWR1" s="2235"/>
      <c r="KWS1" s="2235"/>
      <c r="KWT1" s="2235"/>
      <c r="KWU1" s="2235"/>
      <c r="KWV1" s="2235"/>
      <c r="KWW1" s="2235"/>
      <c r="KWX1" s="2235"/>
      <c r="KWY1" s="2235"/>
      <c r="KWZ1" s="2235"/>
      <c r="KXA1" s="2235"/>
      <c r="KXB1" s="2235"/>
      <c r="KXC1" s="2235"/>
      <c r="KXD1" s="2235"/>
      <c r="KXE1" s="2235"/>
      <c r="KXF1" s="2235"/>
      <c r="KXG1" s="2235"/>
      <c r="KXH1" s="2235"/>
      <c r="KXI1" s="2235"/>
      <c r="KXJ1" s="2235"/>
      <c r="KXK1" s="2235"/>
      <c r="KXL1" s="2235"/>
      <c r="KXM1" s="2235"/>
      <c r="KXN1" s="2235"/>
      <c r="KXO1" s="2235"/>
      <c r="KXP1" s="2235"/>
      <c r="KXQ1" s="2235"/>
      <c r="KXR1" s="2235"/>
      <c r="KXS1" s="2235"/>
      <c r="KXT1" s="2235"/>
      <c r="KXU1" s="2235"/>
      <c r="KXV1" s="2235"/>
      <c r="KXW1" s="2235"/>
      <c r="KXX1" s="2235"/>
      <c r="KXY1" s="2235"/>
      <c r="KXZ1" s="2235"/>
      <c r="KYA1" s="2235"/>
      <c r="KYB1" s="2235"/>
      <c r="KYC1" s="2235"/>
      <c r="KYD1" s="2235"/>
      <c r="KYE1" s="2235"/>
      <c r="KYF1" s="2235"/>
      <c r="KYG1" s="2235"/>
      <c r="KYH1" s="2235"/>
      <c r="KYI1" s="2235"/>
      <c r="KYJ1" s="2235"/>
      <c r="KYK1" s="2235"/>
      <c r="KYL1" s="2235"/>
      <c r="KYM1" s="2235"/>
      <c r="KYN1" s="2235"/>
      <c r="KYO1" s="2235"/>
      <c r="KYP1" s="2235"/>
      <c r="KYQ1" s="2235"/>
      <c r="KYR1" s="2235"/>
      <c r="KYS1" s="2235"/>
      <c r="KYT1" s="2235"/>
      <c r="KYU1" s="2235"/>
      <c r="KYV1" s="2235"/>
      <c r="KYW1" s="2235"/>
      <c r="KYX1" s="2235"/>
      <c r="KYY1" s="2235"/>
      <c r="KYZ1" s="2235"/>
      <c r="KZA1" s="2235"/>
      <c r="KZB1" s="2235"/>
      <c r="KZC1" s="2235"/>
      <c r="KZD1" s="2235"/>
      <c r="KZE1" s="2235"/>
      <c r="KZF1" s="2235"/>
      <c r="KZG1" s="2235"/>
      <c r="KZH1" s="2235"/>
      <c r="KZI1" s="2235"/>
      <c r="KZJ1" s="2235"/>
      <c r="KZK1" s="2235"/>
      <c r="KZL1" s="2235"/>
      <c r="KZM1" s="2235"/>
      <c r="KZN1" s="2235"/>
      <c r="KZO1" s="2235"/>
      <c r="KZP1" s="2235"/>
      <c r="KZQ1" s="2235"/>
      <c r="KZR1" s="2235"/>
      <c r="KZS1" s="2235"/>
      <c r="KZT1" s="2235"/>
      <c r="KZU1" s="2235"/>
      <c r="KZV1" s="2235"/>
      <c r="KZW1" s="2235"/>
      <c r="KZX1" s="2235"/>
      <c r="KZY1" s="2235"/>
      <c r="KZZ1" s="2235"/>
      <c r="LAA1" s="2235"/>
      <c r="LAB1" s="2235"/>
      <c r="LAC1" s="2235"/>
      <c r="LAD1" s="2235"/>
      <c r="LAE1" s="2235"/>
      <c r="LAF1" s="2235"/>
      <c r="LAG1" s="2235"/>
      <c r="LAH1" s="2235"/>
      <c r="LAI1" s="2235"/>
      <c r="LAJ1" s="2235"/>
      <c r="LAK1" s="2235"/>
      <c r="LAL1" s="2235"/>
      <c r="LAM1" s="2235"/>
      <c r="LAN1" s="2235"/>
      <c r="LAO1" s="2235"/>
      <c r="LAP1" s="2235"/>
      <c r="LAQ1" s="2235"/>
      <c r="LAR1" s="2235"/>
      <c r="LAS1" s="2235"/>
      <c r="LAT1" s="2235"/>
      <c r="LAU1" s="2235"/>
      <c r="LAV1" s="2235"/>
      <c r="LAW1" s="2235"/>
      <c r="LAX1" s="2235"/>
      <c r="LAY1" s="2235"/>
      <c r="LAZ1" s="2235"/>
      <c r="LBA1" s="2235"/>
      <c r="LBB1" s="2235"/>
      <c r="LBC1" s="2235"/>
      <c r="LBD1" s="2235"/>
      <c r="LBE1" s="2235"/>
      <c r="LBF1" s="2235"/>
      <c r="LBG1" s="2235"/>
      <c r="LBH1" s="2235"/>
      <c r="LBI1" s="2235"/>
      <c r="LBJ1" s="2235"/>
      <c r="LBK1" s="2235"/>
      <c r="LBL1" s="2235"/>
      <c r="LBM1" s="2235"/>
      <c r="LBN1" s="2235"/>
      <c r="LBO1" s="2235"/>
      <c r="LBP1" s="2235"/>
      <c r="LBQ1" s="2235"/>
      <c r="LBR1" s="2235"/>
      <c r="LBS1" s="2235"/>
      <c r="LBT1" s="2235"/>
      <c r="LBU1" s="2235"/>
      <c r="LBV1" s="2235"/>
      <c r="LBW1" s="2235"/>
      <c r="LBX1" s="2235"/>
      <c r="LBY1" s="2235"/>
      <c r="LBZ1" s="2235"/>
      <c r="LCA1" s="2235"/>
      <c r="LCB1" s="2235"/>
      <c r="LCC1" s="2235"/>
      <c r="LCD1" s="2235"/>
      <c r="LCE1" s="2235"/>
      <c r="LCF1" s="2235"/>
      <c r="LCG1" s="2235"/>
      <c r="LCH1" s="2235"/>
      <c r="LCI1" s="2235"/>
      <c r="LCJ1" s="2235"/>
      <c r="LCK1" s="2235"/>
      <c r="LCL1" s="2235"/>
      <c r="LCM1" s="2235"/>
      <c r="LCN1" s="2235"/>
      <c r="LCO1" s="2235"/>
      <c r="LCP1" s="2235"/>
      <c r="LCQ1" s="2235"/>
      <c r="LCR1" s="2235"/>
      <c r="LCS1" s="2235"/>
      <c r="LCT1" s="2235"/>
      <c r="LCU1" s="2235"/>
      <c r="LCV1" s="2235"/>
      <c r="LCW1" s="2235"/>
      <c r="LCX1" s="2235"/>
      <c r="LCY1" s="2235"/>
      <c r="LCZ1" s="2235"/>
      <c r="LDA1" s="2235"/>
      <c r="LDB1" s="2235"/>
      <c r="LDC1" s="2235"/>
      <c r="LDD1" s="2235"/>
      <c r="LDE1" s="2235"/>
      <c r="LDF1" s="2235"/>
      <c r="LDG1" s="2235"/>
      <c r="LDH1" s="2235"/>
      <c r="LDI1" s="2235"/>
      <c r="LDJ1" s="2235"/>
      <c r="LDK1" s="2235"/>
      <c r="LDL1" s="2235"/>
      <c r="LDM1" s="2235"/>
      <c r="LDN1" s="2235"/>
      <c r="LDO1" s="2235"/>
      <c r="LDP1" s="2235"/>
      <c r="LDQ1" s="2235"/>
      <c r="LDR1" s="2235"/>
      <c r="LDS1" s="2235"/>
      <c r="LDT1" s="2235"/>
      <c r="LDU1" s="2235"/>
      <c r="LDV1" s="2235"/>
      <c r="LDW1" s="2235"/>
      <c r="LDX1" s="2235"/>
      <c r="LDY1" s="2235"/>
      <c r="LDZ1" s="2235"/>
      <c r="LEA1" s="2235"/>
      <c r="LEB1" s="2235"/>
      <c r="LEC1" s="2235"/>
      <c r="LED1" s="2235"/>
      <c r="LEE1" s="2235"/>
      <c r="LEF1" s="2235"/>
      <c r="LEG1" s="2235"/>
      <c r="LEH1" s="2235"/>
      <c r="LEI1" s="2235"/>
      <c r="LEJ1" s="2235"/>
      <c r="LEK1" s="2235"/>
      <c r="LEL1" s="2235"/>
      <c r="LEM1" s="2235"/>
      <c r="LEN1" s="2235"/>
      <c r="LEO1" s="2235"/>
      <c r="LEP1" s="2235"/>
      <c r="LEQ1" s="2235"/>
      <c r="LER1" s="2235"/>
      <c r="LES1" s="2235"/>
      <c r="LET1" s="2235"/>
      <c r="LEU1" s="2235"/>
      <c r="LEV1" s="2235"/>
      <c r="LEW1" s="2235"/>
      <c r="LEX1" s="2235"/>
      <c r="LEY1" s="2235"/>
      <c r="LEZ1" s="2235"/>
      <c r="LFA1" s="2235"/>
      <c r="LFB1" s="2235"/>
      <c r="LFC1" s="2235"/>
      <c r="LFD1" s="2235"/>
      <c r="LFE1" s="2235"/>
      <c r="LFF1" s="2235"/>
      <c r="LFG1" s="2235"/>
      <c r="LFH1" s="2235"/>
      <c r="LFI1" s="2235"/>
      <c r="LFJ1" s="2235"/>
      <c r="LFK1" s="2235"/>
      <c r="LFL1" s="2235"/>
      <c r="LFM1" s="2235"/>
      <c r="LFN1" s="2235"/>
      <c r="LFO1" s="2235"/>
      <c r="LFP1" s="2235"/>
      <c r="LFQ1" s="2235"/>
      <c r="LFR1" s="2235"/>
      <c r="LFS1" s="2235"/>
      <c r="LFT1" s="2235"/>
      <c r="LFU1" s="2235"/>
      <c r="LFV1" s="2235"/>
      <c r="LFW1" s="2235"/>
      <c r="LFX1" s="2235"/>
      <c r="LFY1" s="2235"/>
      <c r="LFZ1" s="2235"/>
      <c r="LGA1" s="2235"/>
      <c r="LGB1" s="2235"/>
      <c r="LGC1" s="2235"/>
      <c r="LGD1" s="2235"/>
      <c r="LGE1" s="2235"/>
      <c r="LGF1" s="2235"/>
      <c r="LGG1" s="2235"/>
      <c r="LGH1" s="2235"/>
      <c r="LGI1" s="2235"/>
      <c r="LGJ1" s="2235"/>
      <c r="LGK1" s="2235"/>
      <c r="LGL1" s="2235"/>
      <c r="LGM1" s="2235"/>
      <c r="LGN1" s="2235"/>
      <c r="LGO1" s="2235"/>
      <c r="LGP1" s="2235"/>
      <c r="LGQ1" s="2235"/>
      <c r="LGR1" s="2235"/>
      <c r="LGS1" s="2235"/>
      <c r="LGT1" s="2235"/>
      <c r="LGU1" s="2235"/>
      <c r="LGV1" s="2235"/>
      <c r="LGW1" s="2235"/>
      <c r="LGX1" s="2235"/>
      <c r="LGY1" s="2235"/>
      <c r="LGZ1" s="2235"/>
      <c r="LHA1" s="2235"/>
      <c r="LHB1" s="2235"/>
      <c r="LHC1" s="2235"/>
      <c r="LHD1" s="2235"/>
      <c r="LHE1" s="2235"/>
      <c r="LHF1" s="2235"/>
      <c r="LHG1" s="2235"/>
      <c r="LHH1" s="2235"/>
      <c r="LHI1" s="2235"/>
      <c r="LHJ1" s="2235"/>
      <c r="LHK1" s="2235"/>
      <c r="LHL1" s="2235"/>
      <c r="LHM1" s="2235"/>
      <c r="LHN1" s="2235"/>
      <c r="LHO1" s="2235"/>
      <c r="LHP1" s="2235"/>
      <c r="LHQ1" s="2235"/>
      <c r="LHR1" s="2235"/>
      <c r="LHS1" s="2235"/>
      <c r="LHT1" s="2235"/>
      <c r="LHU1" s="2235"/>
      <c r="LHV1" s="2235"/>
      <c r="LHW1" s="2235"/>
      <c r="LHX1" s="2235"/>
      <c r="LHY1" s="2235"/>
      <c r="LHZ1" s="2235"/>
      <c r="LIA1" s="2235"/>
      <c r="LIB1" s="2235"/>
      <c r="LIC1" s="2235"/>
      <c r="LID1" s="2235"/>
      <c r="LIE1" s="2235"/>
      <c r="LIF1" s="2235"/>
      <c r="LIG1" s="2235"/>
      <c r="LIH1" s="2235"/>
      <c r="LII1" s="2235"/>
      <c r="LIJ1" s="2235"/>
      <c r="LIK1" s="2235"/>
      <c r="LIL1" s="2235"/>
      <c r="LIM1" s="2235"/>
      <c r="LIN1" s="2235"/>
      <c r="LIO1" s="2235"/>
      <c r="LIP1" s="2235"/>
      <c r="LIQ1" s="2235"/>
      <c r="LIR1" s="2235"/>
      <c r="LIS1" s="2235"/>
      <c r="LIT1" s="2235"/>
      <c r="LIU1" s="2235"/>
      <c r="LIV1" s="2235"/>
      <c r="LIW1" s="2235"/>
      <c r="LIX1" s="2235"/>
      <c r="LIY1" s="2235"/>
      <c r="LIZ1" s="2235"/>
      <c r="LJA1" s="2235"/>
      <c r="LJB1" s="2235"/>
      <c r="LJC1" s="2235"/>
      <c r="LJD1" s="2235"/>
      <c r="LJE1" s="2235"/>
      <c r="LJF1" s="2235"/>
      <c r="LJG1" s="2235"/>
      <c r="LJH1" s="2235"/>
      <c r="LJI1" s="2235"/>
      <c r="LJJ1" s="2235"/>
      <c r="LJK1" s="2235"/>
      <c r="LJL1" s="2235"/>
      <c r="LJM1" s="2235"/>
      <c r="LJN1" s="2235"/>
      <c r="LJO1" s="2235"/>
      <c r="LJP1" s="2235"/>
      <c r="LJQ1" s="2235"/>
      <c r="LJR1" s="2235"/>
      <c r="LJS1" s="2235"/>
      <c r="LJT1" s="2235"/>
      <c r="LJU1" s="2235"/>
      <c r="LJV1" s="2235"/>
      <c r="LJW1" s="2235"/>
      <c r="LJX1" s="2235"/>
      <c r="LJY1" s="2235"/>
      <c r="LJZ1" s="2235"/>
      <c r="LKA1" s="2235"/>
      <c r="LKB1" s="2235"/>
      <c r="LKC1" s="2235"/>
      <c r="LKD1" s="2235"/>
      <c r="LKE1" s="2235"/>
      <c r="LKF1" s="2235"/>
      <c r="LKG1" s="2235"/>
      <c r="LKH1" s="2235"/>
      <c r="LKI1" s="2235"/>
      <c r="LKJ1" s="2235"/>
      <c r="LKK1" s="2235"/>
      <c r="LKL1" s="2235"/>
      <c r="LKM1" s="2235"/>
      <c r="LKN1" s="2235"/>
      <c r="LKO1" s="2235"/>
      <c r="LKP1" s="2235"/>
      <c r="LKQ1" s="2235"/>
      <c r="LKR1" s="2235"/>
      <c r="LKS1" s="2235"/>
      <c r="LKT1" s="2235"/>
      <c r="LKU1" s="2235"/>
      <c r="LKV1" s="2235"/>
      <c r="LKW1" s="2235"/>
      <c r="LKX1" s="2235"/>
      <c r="LKY1" s="2235"/>
      <c r="LKZ1" s="2235"/>
      <c r="LLA1" s="2235"/>
      <c r="LLB1" s="2235"/>
      <c r="LLC1" s="2235"/>
      <c r="LLD1" s="2235"/>
      <c r="LLE1" s="2235"/>
      <c r="LLF1" s="2235"/>
      <c r="LLG1" s="2235"/>
      <c r="LLH1" s="2235"/>
      <c r="LLI1" s="2235"/>
      <c r="LLJ1" s="2235"/>
      <c r="LLK1" s="2235"/>
      <c r="LLL1" s="2235"/>
      <c r="LLM1" s="2235"/>
      <c r="LLN1" s="2235"/>
      <c r="LLO1" s="2235"/>
      <c r="LLP1" s="2235"/>
      <c r="LLQ1" s="2235"/>
      <c r="LLR1" s="2235"/>
      <c r="LLS1" s="2235"/>
      <c r="LLT1" s="2235"/>
      <c r="LLU1" s="2235"/>
      <c r="LLV1" s="2235"/>
      <c r="LLW1" s="2235"/>
      <c r="LLX1" s="2235"/>
      <c r="LLY1" s="2235"/>
      <c r="LLZ1" s="2235"/>
      <c r="LMA1" s="2235"/>
      <c r="LMB1" s="2235"/>
      <c r="LMC1" s="2235"/>
      <c r="LMD1" s="2235"/>
      <c r="LME1" s="2235"/>
      <c r="LMF1" s="2235"/>
      <c r="LMG1" s="2235"/>
      <c r="LMH1" s="2235"/>
      <c r="LMI1" s="2235"/>
      <c r="LMJ1" s="2235"/>
      <c r="LMK1" s="2235"/>
      <c r="LML1" s="2235"/>
      <c r="LMM1" s="2235"/>
      <c r="LMN1" s="2235"/>
      <c r="LMO1" s="2235"/>
      <c r="LMP1" s="2235"/>
      <c r="LMQ1" s="2235"/>
      <c r="LMR1" s="2235"/>
      <c r="LMS1" s="2235"/>
      <c r="LMT1" s="2235"/>
      <c r="LMU1" s="2235"/>
      <c r="LMV1" s="2235"/>
      <c r="LMW1" s="2235"/>
      <c r="LMX1" s="2235"/>
      <c r="LMY1" s="2235"/>
      <c r="LMZ1" s="2235"/>
      <c r="LNA1" s="2235"/>
      <c r="LNB1" s="2235"/>
      <c r="LNC1" s="2235"/>
      <c r="LND1" s="2235"/>
      <c r="LNE1" s="2235"/>
      <c r="LNF1" s="2235"/>
      <c r="LNG1" s="2235"/>
      <c r="LNH1" s="2235"/>
      <c r="LNI1" s="2235"/>
      <c r="LNJ1" s="2235"/>
      <c r="LNK1" s="2235"/>
      <c r="LNL1" s="2235"/>
      <c r="LNM1" s="2235"/>
      <c r="LNN1" s="2235"/>
      <c r="LNO1" s="2235"/>
      <c r="LNP1" s="2235"/>
      <c r="LNQ1" s="2235"/>
      <c r="LNR1" s="2235"/>
      <c r="LNS1" s="2235"/>
      <c r="LNT1" s="2235"/>
      <c r="LNU1" s="2235"/>
      <c r="LNV1" s="2235"/>
      <c r="LNW1" s="2235"/>
      <c r="LNX1" s="2235"/>
      <c r="LNY1" s="2235"/>
      <c r="LNZ1" s="2235"/>
      <c r="LOA1" s="2235"/>
      <c r="LOB1" s="2235"/>
      <c r="LOC1" s="2235"/>
      <c r="LOD1" s="2235"/>
      <c r="LOE1" s="2235"/>
      <c r="LOF1" s="2235"/>
      <c r="LOG1" s="2235"/>
      <c r="LOH1" s="2235"/>
      <c r="LOI1" s="2235"/>
      <c r="LOJ1" s="2235"/>
      <c r="LOK1" s="2235"/>
      <c r="LOL1" s="2235"/>
      <c r="LOM1" s="2235"/>
      <c r="LON1" s="2235"/>
      <c r="LOO1" s="2235"/>
      <c r="LOP1" s="2235"/>
      <c r="LOQ1" s="2235"/>
      <c r="LOR1" s="2235"/>
      <c r="LOS1" s="2235"/>
      <c r="LOT1" s="2235"/>
      <c r="LOU1" s="2235"/>
      <c r="LOV1" s="2235"/>
      <c r="LOW1" s="2235"/>
      <c r="LOX1" s="2235"/>
      <c r="LOY1" s="2235"/>
      <c r="LOZ1" s="2235"/>
      <c r="LPA1" s="2235"/>
      <c r="LPB1" s="2235"/>
      <c r="LPC1" s="2235"/>
      <c r="LPD1" s="2235"/>
      <c r="LPE1" s="2235"/>
      <c r="LPF1" s="2235"/>
      <c r="LPG1" s="2235"/>
      <c r="LPH1" s="2235"/>
      <c r="LPI1" s="2235"/>
      <c r="LPJ1" s="2235"/>
      <c r="LPK1" s="2235"/>
      <c r="LPL1" s="2235"/>
      <c r="LPM1" s="2235"/>
      <c r="LPN1" s="2235"/>
      <c r="LPO1" s="2235"/>
      <c r="LPP1" s="2235"/>
      <c r="LPQ1" s="2235"/>
      <c r="LPR1" s="2235"/>
      <c r="LPS1" s="2235"/>
      <c r="LPT1" s="2235"/>
      <c r="LPU1" s="2235"/>
      <c r="LPV1" s="2235"/>
      <c r="LPW1" s="2235"/>
      <c r="LPX1" s="2235"/>
      <c r="LPY1" s="2235"/>
      <c r="LPZ1" s="2235"/>
      <c r="LQA1" s="2235"/>
      <c r="LQB1" s="2235"/>
      <c r="LQC1" s="2235"/>
      <c r="LQD1" s="2235"/>
      <c r="LQE1" s="2235"/>
      <c r="LQF1" s="2235"/>
      <c r="LQG1" s="2235"/>
      <c r="LQH1" s="2235"/>
      <c r="LQI1" s="2235"/>
      <c r="LQJ1" s="2235"/>
      <c r="LQK1" s="2235"/>
      <c r="LQL1" s="2235"/>
      <c r="LQM1" s="2235"/>
      <c r="LQN1" s="2235"/>
      <c r="LQO1" s="2235"/>
      <c r="LQP1" s="2235"/>
      <c r="LQQ1" s="2235"/>
      <c r="LQR1" s="2235"/>
      <c r="LQS1" s="2235"/>
      <c r="LQT1" s="2235"/>
      <c r="LQU1" s="2235"/>
      <c r="LQV1" s="2235"/>
      <c r="LQW1" s="2235"/>
      <c r="LQX1" s="2235"/>
      <c r="LQY1" s="2235"/>
      <c r="LQZ1" s="2235"/>
      <c r="LRA1" s="2235"/>
      <c r="LRB1" s="2235"/>
      <c r="LRC1" s="2235"/>
      <c r="LRD1" s="2235"/>
      <c r="LRE1" s="2235"/>
      <c r="LRF1" s="2235"/>
      <c r="LRG1" s="2235"/>
      <c r="LRH1" s="2235"/>
      <c r="LRI1" s="2235"/>
      <c r="LRJ1" s="2235"/>
      <c r="LRK1" s="2235"/>
      <c r="LRL1" s="2235"/>
      <c r="LRM1" s="2235"/>
      <c r="LRN1" s="2235"/>
      <c r="LRO1" s="2235"/>
      <c r="LRP1" s="2235"/>
      <c r="LRQ1" s="2235"/>
      <c r="LRR1" s="2235"/>
      <c r="LRS1" s="2235"/>
      <c r="LRT1" s="2235"/>
      <c r="LRU1" s="2235"/>
      <c r="LRV1" s="2235"/>
      <c r="LRW1" s="2235"/>
      <c r="LRX1" s="2235"/>
      <c r="LRY1" s="2235"/>
      <c r="LRZ1" s="2235"/>
      <c r="LSA1" s="2235"/>
      <c r="LSB1" s="2235"/>
      <c r="LSC1" s="2235"/>
      <c r="LSD1" s="2235"/>
      <c r="LSE1" s="2235"/>
      <c r="LSF1" s="2235"/>
      <c r="LSG1" s="2235"/>
      <c r="LSH1" s="2235"/>
      <c r="LSI1" s="2235"/>
      <c r="LSJ1" s="2235"/>
      <c r="LSK1" s="2235"/>
      <c r="LSL1" s="2235"/>
      <c r="LSM1" s="2235"/>
      <c r="LSN1" s="2235"/>
      <c r="LSO1" s="2235"/>
      <c r="LSP1" s="2235"/>
      <c r="LSQ1" s="2235"/>
      <c r="LSR1" s="2235"/>
      <c r="LSS1" s="2235"/>
      <c r="LST1" s="2235"/>
      <c r="LSU1" s="2235"/>
      <c r="LSV1" s="2235"/>
      <c r="LSW1" s="2235"/>
      <c r="LSX1" s="2235"/>
      <c r="LSY1" s="2235"/>
      <c r="LSZ1" s="2235"/>
      <c r="LTA1" s="2235"/>
      <c r="LTB1" s="2235"/>
      <c r="LTC1" s="2235"/>
      <c r="LTD1" s="2235"/>
      <c r="LTE1" s="2235"/>
      <c r="LTF1" s="2235"/>
      <c r="LTG1" s="2235"/>
      <c r="LTH1" s="2235"/>
      <c r="LTI1" s="2235"/>
      <c r="LTJ1" s="2235"/>
      <c r="LTK1" s="2235"/>
      <c r="LTL1" s="2235"/>
      <c r="LTM1" s="2235"/>
      <c r="LTN1" s="2235"/>
      <c r="LTO1" s="2235"/>
      <c r="LTP1" s="2235"/>
      <c r="LTQ1" s="2235"/>
      <c r="LTR1" s="2235"/>
      <c r="LTS1" s="2235"/>
      <c r="LTT1" s="2235"/>
      <c r="LTU1" s="2235"/>
      <c r="LTV1" s="2235"/>
      <c r="LTW1" s="2235"/>
      <c r="LTX1" s="2235"/>
      <c r="LTY1" s="2235"/>
      <c r="LTZ1" s="2235"/>
      <c r="LUA1" s="2235"/>
      <c r="LUB1" s="2235"/>
      <c r="LUC1" s="2235"/>
      <c r="LUD1" s="2235"/>
      <c r="LUE1" s="2235"/>
      <c r="LUF1" s="2235"/>
      <c r="LUG1" s="2235"/>
      <c r="LUH1" s="2235"/>
      <c r="LUI1" s="2235"/>
      <c r="LUJ1" s="2235"/>
      <c r="LUK1" s="2235"/>
      <c r="LUL1" s="2235"/>
      <c r="LUM1" s="2235"/>
      <c r="LUN1" s="2235"/>
      <c r="LUO1" s="2235"/>
      <c r="LUP1" s="2235"/>
      <c r="LUQ1" s="2235"/>
      <c r="LUR1" s="2235"/>
      <c r="LUS1" s="2235"/>
      <c r="LUT1" s="2235"/>
      <c r="LUU1" s="2235"/>
      <c r="LUV1" s="2235"/>
      <c r="LUW1" s="2235"/>
      <c r="LUX1" s="2235"/>
      <c r="LUY1" s="2235"/>
      <c r="LUZ1" s="2235"/>
      <c r="LVA1" s="2235"/>
      <c r="LVB1" s="2235"/>
      <c r="LVC1" s="2235"/>
      <c r="LVD1" s="2235"/>
      <c r="LVE1" s="2235"/>
      <c r="LVF1" s="2235"/>
      <c r="LVG1" s="2235"/>
      <c r="LVH1" s="2235"/>
      <c r="LVI1" s="2235"/>
      <c r="LVJ1" s="2235"/>
      <c r="LVK1" s="2235"/>
      <c r="LVL1" s="2235"/>
      <c r="LVM1" s="2235"/>
      <c r="LVN1" s="2235"/>
      <c r="LVO1" s="2235"/>
      <c r="LVP1" s="2235"/>
      <c r="LVQ1" s="2235"/>
      <c r="LVR1" s="2235"/>
      <c r="LVS1" s="2235"/>
      <c r="LVT1" s="2235"/>
      <c r="LVU1" s="2235"/>
      <c r="LVV1" s="2235"/>
      <c r="LVW1" s="2235"/>
      <c r="LVX1" s="2235"/>
      <c r="LVY1" s="2235"/>
      <c r="LVZ1" s="2235"/>
      <c r="LWA1" s="2235"/>
      <c r="LWB1" s="2235"/>
      <c r="LWC1" s="2235"/>
      <c r="LWD1" s="2235"/>
      <c r="LWE1" s="2235"/>
      <c r="LWF1" s="2235"/>
      <c r="LWG1" s="2235"/>
      <c r="LWH1" s="2235"/>
      <c r="LWI1" s="2235"/>
      <c r="LWJ1" s="2235"/>
      <c r="LWK1" s="2235"/>
      <c r="LWL1" s="2235"/>
      <c r="LWM1" s="2235"/>
      <c r="LWN1" s="2235"/>
      <c r="LWO1" s="2235"/>
      <c r="LWP1" s="2235"/>
      <c r="LWQ1" s="2235"/>
      <c r="LWR1" s="2235"/>
      <c r="LWS1" s="2235"/>
      <c r="LWT1" s="2235"/>
      <c r="LWU1" s="2235"/>
      <c r="LWV1" s="2235"/>
      <c r="LWW1" s="2235"/>
      <c r="LWX1" s="2235"/>
      <c r="LWY1" s="2235"/>
      <c r="LWZ1" s="2235"/>
      <c r="LXA1" s="2235"/>
      <c r="LXB1" s="2235"/>
      <c r="LXC1" s="2235"/>
      <c r="LXD1" s="2235"/>
      <c r="LXE1" s="2235"/>
      <c r="LXF1" s="2235"/>
      <c r="LXG1" s="2235"/>
      <c r="LXH1" s="2235"/>
      <c r="LXI1" s="2235"/>
      <c r="LXJ1" s="2235"/>
      <c r="LXK1" s="2235"/>
      <c r="LXL1" s="2235"/>
      <c r="LXM1" s="2235"/>
      <c r="LXN1" s="2235"/>
      <c r="LXO1" s="2235"/>
      <c r="LXP1" s="2235"/>
      <c r="LXQ1" s="2235"/>
      <c r="LXR1" s="2235"/>
      <c r="LXS1" s="2235"/>
      <c r="LXT1" s="2235"/>
      <c r="LXU1" s="2235"/>
      <c r="LXV1" s="2235"/>
      <c r="LXW1" s="2235"/>
      <c r="LXX1" s="2235"/>
      <c r="LXY1" s="2235"/>
      <c r="LXZ1" s="2235"/>
      <c r="LYA1" s="2235"/>
      <c r="LYB1" s="2235"/>
      <c r="LYC1" s="2235"/>
      <c r="LYD1" s="2235"/>
      <c r="LYE1" s="2235"/>
      <c r="LYF1" s="2235"/>
      <c r="LYG1" s="2235"/>
      <c r="LYH1" s="2235"/>
      <c r="LYI1" s="2235"/>
      <c r="LYJ1" s="2235"/>
      <c r="LYK1" s="2235"/>
      <c r="LYL1" s="2235"/>
      <c r="LYM1" s="2235"/>
      <c r="LYN1" s="2235"/>
      <c r="LYO1" s="2235"/>
      <c r="LYP1" s="2235"/>
      <c r="LYQ1" s="2235"/>
      <c r="LYR1" s="2235"/>
      <c r="LYS1" s="2235"/>
      <c r="LYT1" s="2235"/>
      <c r="LYU1" s="2235"/>
      <c r="LYV1" s="2235"/>
      <c r="LYW1" s="2235"/>
      <c r="LYX1" s="2235"/>
      <c r="LYY1" s="2235"/>
      <c r="LYZ1" s="2235"/>
      <c r="LZA1" s="2235"/>
      <c r="LZB1" s="2235"/>
      <c r="LZC1" s="2235"/>
      <c r="LZD1" s="2235"/>
      <c r="LZE1" s="2235"/>
      <c r="LZF1" s="2235"/>
      <c r="LZG1" s="2235"/>
      <c r="LZH1" s="2235"/>
      <c r="LZI1" s="2235"/>
      <c r="LZJ1" s="2235"/>
      <c r="LZK1" s="2235"/>
      <c r="LZL1" s="2235"/>
      <c r="LZM1" s="2235"/>
      <c r="LZN1" s="2235"/>
      <c r="LZO1" s="2235"/>
      <c r="LZP1" s="2235"/>
      <c r="LZQ1" s="2235"/>
      <c r="LZR1" s="2235"/>
      <c r="LZS1" s="2235"/>
      <c r="LZT1" s="2235"/>
      <c r="LZU1" s="2235"/>
      <c r="LZV1" s="2235"/>
      <c r="LZW1" s="2235"/>
      <c r="LZX1" s="2235"/>
      <c r="LZY1" s="2235"/>
      <c r="LZZ1" s="2235"/>
      <c r="MAA1" s="2235"/>
      <c r="MAB1" s="2235"/>
      <c r="MAC1" s="2235"/>
      <c r="MAD1" s="2235"/>
      <c r="MAE1" s="2235"/>
      <c r="MAF1" s="2235"/>
      <c r="MAG1" s="2235"/>
      <c r="MAH1" s="2235"/>
      <c r="MAI1" s="2235"/>
      <c r="MAJ1" s="2235"/>
      <c r="MAK1" s="2235"/>
      <c r="MAL1" s="2235"/>
      <c r="MAM1" s="2235"/>
      <c r="MAN1" s="2235"/>
      <c r="MAO1" s="2235"/>
      <c r="MAP1" s="2235"/>
      <c r="MAQ1" s="2235"/>
      <c r="MAR1" s="2235"/>
      <c r="MAS1" s="2235"/>
      <c r="MAT1" s="2235"/>
      <c r="MAU1" s="2235"/>
      <c r="MAV1" s="2235"/>
      <c r="MAW1" s="2235"/>
      <c r="MAX1" s="2235"/>
      <c r="MAY1" s="2235"/>
      <c r="MAZ1" s="2235"/>
      <c r="MBA1" s="2235"/>
      <c r="MBB1" s="2235"/>
      <c r="MBC1" s="2235"/>
      <c r="MBD1" s="2235"/>
      <c r="MBE1" s="2235"/>
      <c r="MBF1" s="2235"/>
      <c r="MBG1" s="2235"/>
      <c r="MBH1" s="2235"/>
      <c r="MBI1" s="2235"/>
      <c r="MBJ1" s="2235"/>
      <c r="MBK1" s="2235"/>
      <c r="MBL1" s="2235"/>
      <c r="MBM1" s="2235"/>
      <c r="MBN1" s="2235"/>
      <c r="MBO1" s="2235"/>
      <c r="MBP1" s="2235"/>
      <c r="MBQ1" s="2235"/>
      <c r="MBR1" s="2235"/>
      <c r="MBS1" s="2235"/>
      <c r="MBT1" s="2235"/>
      <c r="MBU1" s="2235"/>
      <c r="MBV1" s="2235"/>
      <c r="MBW1" s="2235"/>
      <c r="MBX1" s="2235"/>
      <c r="MBY1" s="2235"/>
      <c r="MBZ1" s="2235"/>
      <c r="MCA1" s="2235"/>
      <c r="MCB1" s="2235"/>
      <c r="MCC1" s="2235"/>
      <c r="MCD1" s="2235"/>
      <c r="MCE1" s="2235"/>
      <c r="MCF1" s="2235"/>
      <c r="MCG1" s="2235"/>
      <c r="MCH1" s="2235"/>
      <c r="MCI1" s="2235"/>
      <c r="MCJ1" s="2235"/>
      <c r="MCK1" s="2235"/>
      <c r="MCL1" s="2235"/>
      <c r="MCM1" s="2235"/>
      <c r="MCN1" s="2235"/>
      <c r="MCO1" s="2235"/>
      <c r="MCP1" s="2235"/>
      <c r="MCQ1" s="2235"/>
      <c r="MCR1" s="2235"/>
      <c r="MCS1" s="2235"/>
      <c r="MCT1" s="2235"/>
      <c r="MCU1" s="2235"/>
      <c r="MCV1" s="2235"/>
      <c r="MCW1" s="2235"/>
      <c r="MCX1" s="2235"/>
      <c r="MCY1" s="2235"/>
      <c r="MCZ1" s="2235"/>
      <c r="MDA1" s="2235"/>
      <c r="MDB1" s="2235"/>
      <c r="MDC1" s="2235"/>
      <c r="MDD1" s="2235"/>
      <c r="MDE1" s="2235"/>
      <c r="MDF1" s="2235"/>
      <c r="MDG1" s="2235"/>
      <c r="MDH1" s="2235"/>
      <c r="MDI1" s="2235"/>
      <c r="MDJ1" s="2235"/>
      <c r="MDK1" s="2235"/>
      <c r="MDL1" s="2235"/>
      <c r="MDM1" s="2235"/>
      <c r="MDN1" s="2235"/>
      <c r="MDO1" s="2235"/>
      <c r="MDP1" s="2235"/>
      <c r="MDQ1" s="2235"/>
      <c r="MDR1" s="2235"/>
      <c r="MDS1" s="2235"/>
      <c r="MDT1" s="2235"/>
      <c r="MDU1" s="2235"/>
      <c r="MDV1" s="2235"/>
      <c r="MDW1" s="2235"/>
      <c r="MDX1" s="2235"/>
      <c r="MDY1" s="2235"/>
      <c r="MDZ1" s="2235"/>
      <c r="MEA1" s="2235"/>
      <c r="MEB1" s="2235"/>
      <c r="MEC1" s="2235"/>
      <c r="MED1" s="2235"/>
      <c r="MEE1" s="2235"/>
      <c r="MEF1" s="2235"/>
      <c r="MEG1" s="2235"/>
      <c r="MEH1" s="2235"/>
      <c r="MEI1" s="2235"/>
      <c r="MEJ1" s="2235"/>
      <c r="MEK1" s="2235"/>
      <c r="MEL1" s="2235"/>
      <c r="MEM1" s="2235"/>
      <c r="MEN1" s="2235"/>
      <c r="MEO1" s="2235"/>
      <c r="MEP1" s="2235"/>
      <c r="MEQ1" s="2235"/>
      <c r="MER1" s="2235"/>
      <c r="MES1" s="2235"/>
      <c r="MET1" s="2235"/>
      <c r="MEU1" s="2235"/>
      <c r="MEV1" s="2235"/>
      <c r="MEW1" s="2235"/>
      <c r="MEX1" s="2235"/>
      <c r="MEY1" s="2235"/>
      <c r="MEZ1" s="2235"/>
      <c r="MFA1" s="2235"/>
      <c r="MFB1" s="2235"/>
      <c r="MFC1" s="2235"/>
      <c r="MFD1" s="2235"/>
      <c r="MFE1" s="2235"/>
      <c r="MFF1" s="2235"/>
      <c r="MFG1" s="2235"/>
      <c r="MFH1" s="2235"/>
      <c r="MFI1" s="2235"/>
      <c r="MFJ1" s="2235"/>
      <c r="MFK1" s="2235"/>
      <c r="MFL1" s="2235"/>
      <c r="MFM1" s="2235"/>
      <c r="MFN1" s="2235"/>
      <c r="MFO1" s="2235"/>
      <c r="MFP1" s="2235"/>
      <c r="MFQ1" s="2235"/>
      <c r="MFR1" s="2235"/>
      <c r="MFS1" s="2235"/>
      <c r="MFT1" s="2235"/>
      <c r="MFU1" s="2235"/>
      <c r="MFV1" s="2235"/>
      <c r="MFW1" s="2235"/>
      <c r="MFX1" s="2235"/>
      <c r="MFY1" s="2235"/>
      <c r="MFZ1" s="2235"/>
      <c r="MGA1" s="2235"/>
      <c r="MGB1" s="2235"/>
      <c r="MGC1" s="2235"/>
      <c r="MGD1" s="2235"/>
      <c r="MGE1" s="2235"/>
      <c r="MGF1" s="2235"/>
      <c r="MGG1" s="2235"/>
      <c r="MGH1" s="2235"/>
      <c r="MGI1" s="2235"/>
      <c r="MGJ1" s="2235"/>
      <c r="MGK1" s="2235"/>
      <c r="MGL1" s="2235"/>
      <c r="MGM1" s="2235"/>
      <c r="MGN1" s="2235"/>
      <c r="MGO1" s="2235"/>
      <c r="MGP1" s="2235"/>
      <c r="MGQ1" s="2235"/>
      <c r="MGR1" s="2235"/>
      <c r="MGS1" s="2235"/>
      <c r="MGT1" s="2235"/>
      <c r="MGU1" s="2235"/>
      <c r="MGV1" s="2235"/>
      <c r="MGW1" s="2235"/>
      <c r="MGX1" s="2235"/>
      <c r="MGY1" s="2235"/>
      <c r="MGZ1" s="2235"/>
      <c r="MHA1" s="2235"/>
      <c r="MHB1" s="2235"/>
      <c r="MHC1" s="2235"/>
      <c r="MHD1" s="2235"/>
      <c r="MHE1" s="2235"/>
      <c r="MHF1" s="2235"/>
      <c r="MHG1" s="2235"/>
      <c r="MHH1" s="2235"/>
      <c r="MHI1" s="2235"/>
      <c r="MHJ1" s="2235"/>
      <c r="MHK1" s="2235"/>
      <c r="MHL1" s="2235"/>
      <c r="MHM1" s="2235"/>
      <c r="MHN1" s="2235"/>
      <c r="MHO1" s="2235"/>
      <c r="MHP1" s="2235"/>
      <c r="MHQ1" s="2235"/>
      <c r="MHR1" s="2235"/>
      <c r="MHS1" s="2235"/>
      <c r="MHT1" s="2235"/>
      <c r="MHU1" s="2235"/>
      <c r="MHV1" s="2235"/>
      <c r="MHW1" s="2235"/>
      <c r="MHX1" s="2235"/>
      <c r="MHY1" s="2235"/>
      <c r="MHZ1" s="2235"/>
      <c r="MIA1" s="2235"/>
      <c r="MIB1" s="2235"/>
      <c r="MIC1" s="2235"/>
      <c r="MID1" s="2235"/>
      <c r="MIE1" s="2235"/>
      <c r="MIF1" s="2235"/>
      <c r="MIG1" s="2235"/>
      <c r="MIH1" s="2235"/>
      <c r="MII1" s="2235"/>
      <c r="MIJ1" s="2235"/>
      <c r="MIK1" s="2235"/>
      <c r="MIL1" s="2235"/>
      <c r="MIM1" s="2235"/>
      <c r="MIN1" s="2235"/>
      <c r="MIO1" s="2235"/>
      <c r="MIP1" s="2235"/>
      <c r="MIQ1" s="2235"/>
      <c r="MIR1" s="2235"/>
      <c r="MIS1" s="2235"/>
      <c r="MIT1" s="2235"/>
      <c r="MIU1" s="2235"/>
      <c r="MIV1" s="2235"/>
      <c r="MIW1" s="2235"/>
      <c r="MIX1" s="2235"/>
      <c r="MIY1" s="2235"/>
      <c r="MIZ1" s="2235"/>
      <c r="MJA1" s="2235"/>
      <c r="MJB1" s="2235"/>
      <c r="MJC1" s="2235"/>
      <c r="MJD1" s="2235"/>
      <c r="MJE1" s="2235"/>
      <c r="MJF1" s="2235"/>
      <c r="MJG1" s="2235"/>
      <c r="MJH1" s="2235"/>
      <c r="MJI1" s="2235"/>
      <c r="MJJ1" s="2235"/>
      <c r="MJK1" s="2235"/>
      <c r="MJL1" s="2235"/>
      <c r="MJM1" s="2235"/>
      <c r="MJN1" s="2235"/>
      <c r="MJO1" s="2235"/>
      <c r="MJP1" s="2235"/>
      <c r="MJQ1" s="2235"/>
      <c r="MJR1" s="2235"/>
      <c r="MJS1" s="2235"/>
      <c r="MJT1" s="2235"/>
      <c r="MJU1" s="2235"/>
      <c r="MJV1" s="2235"/>
      <c r="MJW1" s="2235"/>
      <c r="MJX1" s="2235"/>
      <c r="MJY1" s="2235"/>
      <c r="MJZ1" s="2235"/>
      <c r="MKA1" s="2235"/>
      <c r="MKB1" s="2235"/>
      <c r="MKC1" s="2235"/>
      <c r="MKD1" s="2235"/>
      <c r="MKE1" s="2235"/>
      <c r="MKF1" s="2235"/>
      <c r="MKG1" s="2235"/>
      <c r="MKH1" s="2235"/>
      <c r="MKI1" s="2235"/>
      <c r="MKJ1" s="2235"/>
      <c r="MKK1" s="2235"/>
      <c r="MKL1" s="2235"/>
      <c r="MKM1" s="2235"/>
      <c r="MKN1" s="2235"/>
      <c r="MKO1" s="2235"/>
      <c r="MKP1" s="2235"/>
      <c r="MKQ1" s="2235"/>
      <c r="MKR1" s="2235"/>
      <c r="MKS1" s="2235"/>
      <c r="MKT1" s="2235"/>
      <c r="MKU1" s="2235"/>
      <c r="MKV1" s="2235"/>
      <c r="MKW1" s="2235"/>
      <c r="MKX1" s="2235"/>
      <c r="MKY1" s="2235"/>
      <c r="MKZ1" s="2235"/>
      <c r="MLA1" s="2235"/>
      <c r="MLB1" s="2235"/>
      <c r="MLC1" s="2235"/>
      <c r="MLD1" s="2235"/>
      <c r="MLE1" s="2235"/>
      <c r="MLF1" s="2235"/>
      <c r="MLG1" s="2235"/>
      <c r="MLH1" s="2235"/>
      <c r="MLI1" s="2235"/>
      <c r="MLJ1" s="2235"/>
      <c r="MLK1" s="2235"/>
      <c r="MLL1" s="2235"/>
      <c r="MLM1" s="2235"/>
      <c r="MLN1" s="2235"/>
      <c r="MLO1" s="2235"/>
      <c r="MLP1" s="2235"/>
      <c r="MLQ1" s="2235"/>
      <c r="MLR1" s="2235"/>
      <c r="MLS1" s="2235"/>
      <c r="MLT1" s="2235"/>
      <c r="MLU1" s="2235"/>
      <c r="MLV1" s="2235"/>
      <c r="MLW1" s="2235"/>
      <c r="MLX1" s="2235"/>
      <c r="MLY1" s="2235"/>
      <c r="MLZ1" s="2235"/>
      <c r="MMA1" s="2235"/>
      <c r="MMB1" s="2235"/>
      <c r="MMC1" s="2235"/>
      <c r="MMD1" s="2235"/>
      <c r="MME1" s="2235"/>
      <c r="MMF1" s="2235"/>
      <c r="MMG1" s="2235"/>
      <c r="MMH1" s="2235"/>
      <c r="MMI1" s="2235"/>
      <c r="MMJ1" s="2235"/>
      <c r="MMK1" s="2235"/>
      <c r="MML1" s="2235"/>
      <c r="MMM1" s="2235"/>
      <c r="MMN1" s="2235"/>
      <c r="MMO1" s="2235"/>
      <c r="MMP1" s="2235"/>
      <c r="MMQ1" s="2235"/>
      <c r="MMR1" s="2235"/>
      <c r="MMS1" s="2235"/>
      <c r="MMT1" s="2235"/>
      <c r="MMU1" s="2235"/>
      <c r="MMV1" s="2235"/>
      <c r="MMW1" s="2235"/>
      <c r="MMX1" s="2235"/>
      <c r="MMY1" s="2235"/>
      <c r="MMZ1" s="2235"/>
      <c r="MNA1" s="2235"/>
      <c r="MNB1" s="2235"/>
      <c r="MNC1" s="2235"/>
      <c r="MND1" s="2235"/>
      <c r="MNE1" s="2235"/>
      <c r="MNF1" s="2235"/>
      <c r="MNG1" s="2235"/>
      <c r="MNH1" s="2235"/>
      <c r="MNI1" s="2235"/>
      <c r="MNJ1" s="2235"/>
      <c r="MNK1" s="2235"/>
      <c r="MNL1" s="2235"/>
      <c r="MNM1" s="2235"/>
      <c r="MNN1" s="2235"/>
      <c r="MNO1" s="2235"/>
      <c r="MNP1" s="2235"/>
      <c r="MNQ1" s="2235"/>
      <c r="MNR1" s="2235"/>
      <c r="MNS1" s="2235"/>
      <c r="MNT1" s="2235"/>
      <c r="MNU1" s="2235"/>
      <c r="MNV1" s="2235"/>
      <c r="MNW1" s="2235"/>
      <c r="MNX1" s="2235"/>
      <c r="MNY1" s="2235"/>
      <c r="MNZ1" s="2235"/>
      <c r="MOA1" s="2235"/>
      <c r="MOB1" s="2235"/>
      <c r="MOC1" s="2235"/>
      <c r="MOD1" s="2235"/>
      <c r="MOE1" s="2235"/>
      <c r="MOF1" s="2235"/>
      <c r="MOG1" s="2235"/>
      <c r="MOH1" s="2235"/>
      <c r="MOI1" s="2235"/>
      <c r="MOJ1" s="2235"/>
      <c r="MOK1" s="2235"/>
      <c r="MOL1" s="2235"/>
      <c r="MOM1" s="2235"/>
      <c r="MON1" s="2235"/>
      <c r="MOO1" s="2235"/>
      <c r="MOP1" s="2235"/>
      <c r="MOQ1" s="2235"/>
      <c r="MOR1" s="2235"/>
      <c r="MOS1" s="2235"/>
      <c r="MOT1" s="2235"/>
      <c r="MOU1" s="2235"/>
      <c r="MOV1" s="2235"/>
      <c r="MOW1" s="2235"/>
      <c r="MOX1" s="2235"/>
      <c r="MOY1" s="2235"/>
      <c r="MOZ1" s="2235"/>
      <c r="MPA1" s="2235"/>
      <c r="MPB1" s="2235"/>
      <c r="MPC1" s="2235"/>
      <c r="MPD1" s="2235"/>
      <c r="MPE1" s="2235"/>
      <c r="MPF1" s="2235"/>
      <c r="MPG1" s="2235"/>
      <c r="MPH1" s="2235"/>
      <c r="MPI1" s="2235"/>
      <c r="MPJ1" s="2235"/>
      <c r="MPK1" s="2235"/>
      <c r="MPL1" s="2235"/>
      <c r="MPM1" s="2235"/>
      <c r="MPN1" s="2235"/>
      <c r="MPO1" s="2235"/>
      <c r="MPP1" s="2235"/>
      <c r="MPQ1" s="2235"/>
      <c r="MPR1" s="2235"/>
      <c r="MPS1" s="2235"/>
      <c r="MPT1" s="2235"/>
      <c r="MPU1" s="2235"/>
      <c r="MPV1" s="2235"/>
      <c r="MPW1" s="2235"/>
      <c r="MPX1" s="2235"/>
      <c r="MPY1" s="2235"/>
      <c r="MPZ1" s="2235"/>
      <c r="MQA1" s="2235"/>
      <c r="MQB1" s="2235"/>
      <c r="MQC1" s="2235"/>
      <c r="MQD1" s="2235"/>
      <c r="MQE1" s="2235"/>
      <c r="MQF1" s="2235"/>
      <c r="MQG1" s="2235"/>
      <c r="MQH1" s="2235"/>
      <c r="MQI1" s="2235"/>
      <c r="MQJ1" s="2235"/>
      <c r="MQK1" s="2235"/>
      <c r="MQL1" s="2235"/>
      <c r="MQM1" s="2235"/>
      <c r="MQN1" s="2235"/>
      <c r="MQO1" s="2235"/>
      <c r="MQP1" s="2235"/>
      <c r="MQQ1" s="2235"/>
      <c r="MQR1" s="2235"/>
      <c r="MQS1" s="2235"/>
      <c r="MQT1" s="2235"/>
      <c r="MQU1" s="2235"/>
      <c r="MQV1" s="2235"/>
      <c r="MQW1" s="2235"/>
      <c r="MQX1" s="2235"/>
      <c r="MQY1" s="2235"/>
      <c r="MQZ1" s="2235"/>
      <c r="MRA1" s="2235"/>
      <c r="MRB1" s="2235"/>
      <c r="MRC1" s="2235"/>
      <c r="MRD1" s="2235"/>
      <c r="MRE1" s="2235"/>
      <c r="MRF1" s="2235"/>
      <c r="MRG1" s="2235"/>
      <c r="MRH1" s="2235"/>
      <c r="MRI1" s="2235"/>
      <c r="MRJ1" s="2235"/>
      <c r="MRK1" s="2235"/>
      <c r="MRL1" s="2235"/>
      <c r="MRM1" s="2235"/>
      <c r="MRN1" s="2235"/>
      <c r="MRO1" s="2235"/>
      <c r="MRP1" s="2235"/>
      <c r="MRQ1" s="2235"/>
      <c r="MRR1" s="2235"/>
      <c r="MRS1" s="2235"/>
      <c r="MRT1" s="2235"/>
      <c r="MRU1" s="2235"/>
      <c r="MRV1" s="2235"/>
      <c r="MRW1" s="2235"/>
      <c r="MRX1" s="2235"/>
      <c r="MRY1" s="2235"/>
      <c r="MRZ1" s="2235"/>
      <c r="MSA1" s="2235"/>
      <c r="MSB1" s="2235"/>
      <c r="MSC1" s="2235"/>
      <c r="MSD1" s="2235"/>
      <c r="MSE1" s="2235"/>
      <c r="MSF1" s="2235"/>
      <c r="MSG1" s="2235"/>
      <c r="MSH1" s="2235"/>
      <c r="MSI1" s="2235"/>
      <c r="MSJ1" s="2235"/>
      <c r="MSK1" s="2235"/>
      <c r="MSL1" s="2235"/>
      <c r="MSM1" s="2235"/>
      <c r="MSN1" s="2235"/>
      <c r="MSO1" s="2235"/>
      <c r="MSP1" s="2235"/>
      <c r="MSQ1" s="2235"/>
      <c r="MSR1" s="2235"/>
      <c r="MSS1" s="2235"/>
      <c r="MST1" s="2235"/>
      <c r="MSU1" s="2235"/>
      <c r="MSV1" s="2235"/>
      <c r="MSW1" s="2235"/>
      <c r="MSX1" s="2235"/>
      <c r="MSY1" s="2235"/>
      <c r="MSZ1" s="2235"/>
      <c r="MTA1" s="2235"/>
      <c r="MTB1" s="2235"/>
      <c r="MTC1" s="2235"/>
      <c r="MTD1" s="2235"/>
      <c r="MTE1" s="2235"/>
      <c r="MTF1" s="2235"/>
      <c r="MTG1" s="2235"/>
      <c r="MTH1" s="2235"/>
      <c r="MTI1" s="2235"/>
      <c r="MTJ1" s="2235"/>
      <c r="MTK1" s="2235"/>
      <c r="MTL1" s="2235"/>
      <c r="MTM1" s="2235"/>
      <c r="MTN1" s="2235"/>
      <c r="MTO1" s="2235"/>
      <c r="MTP1" s="2235"/>
      <c r="MTQ1" s="2235"/>
      <c r="MTR1" s="2235"/>
      <c r="MTS1" s="2235"/>
      <c r="MTT1" s="2235"/>
      <c r="MTU1" s="2235"/>
      <c r="MTV1" s="2235"/>
      <c r="MTW1" s="2235"/>
      <c r="MTX1" s="2235"/>
      <c r="MTY1" s="2235"/>
      <c r="MTZ1" s="2235"/>
      <c r="MUA1" s="2235"/>
      <c r="MUB1" s="2235"/>
      <c r="MUC1" s="2235"/>
      <c r="MUD1" s="2235"/>
      <c r="MUE1" s="2235"/>
      <c r="MUF1" s="2235"/>
      <c r="MUG1" s="2235"/>
      <c r="MUH1" s="2235"/>
      <c r="MUI1" s="2235"/>
      <c r="MUJ1" s="2235"/>
      <c r="MUK1" s="2235"/>
      <c r="MUL1" s="2235"/>
      <c r="MUM1" s="2235"/>
      <c r="MUN1" s="2235"/>
      <c r="MUO1" s="2235"/>
      <c r="MUP1" s="2235"/>
      <c r="MUQ1" s="2235"/>
      <c r="MUR1" s="2235"/>
      <c r="MUS1" s="2235"/>
      <c r="MUT1" s="2235"/>
      <c r="MUU1" s="2235"/>
      <c r="MUV1" s="2235"/>
      <c r="MUW1" s="2235"/>
      <c r="MUX1" s="2235"/>
      <c r="MUY1" s="2235"/>
      <c r="MUZ1" s="2235"/>
      <c r="MVA1" s="2235"/>
      <c r="MVB1" s="2235"/>
      <c r="MVC1" s="2235"/>
      <c r="MVD1" s="2235"/>
      <c r="MVE1" s="2235"/>
      <c r="MVF1" s="2235"/>
      <c r="MVG1" s="2235"/>
      <c r="MVH1" s="2235"/>
      <c r="MVI1" s="2235"/>
      <c r="MVJ1" s="2235"/>
      <c r="MVK1" s="2235"/>
      <c r="MVL1" s="2235"/>
      <c r="MVM1" s="2235"/>
      <c r="MVN1" s="2235"/>
      <c r="MVO1" s="2235"/>
      <c r="MVP1" s="2235"/>
      <c r="MVQ1" s="2235"/>
      <c r="MVR1" s="2235"/>
      <c r="MVS1" s="2235"/>
      <c r="MVT1" s="2235"/>
      <c r="MVU1" s="2235"/>
      <c r="MVV1" s="2235"/>
      <c r="MVW1" s="2235"/>
      <c r="MVX1" s="2235"/>
      <c r="MVY1" s="2235"/>
      <c r="MVZ1" s="2235"/>
      <c r="MWA1" s="2235"/>
      <c r="MWB1" s="2235"/>
      <c r="MWC1" s="2235"/>
      <c r="MWD1" s="2235"/>
      <c r="MWE1" s="2235"/>
      <c r="MWF1" s="2235"/>
      <c r="MWG1" s="2235"/>
      <c r="MWH1" s="2235"/>
      <c r="MWI1" s="2235"/>
      <c r="MWJ1" s="2235"/>
      <c r="MWK1" s="2235"/>
      <c r="MWL1" s="2235"/>
      <c r="MWM1" s="2235"/>
      <c r="MWN1" s="2235"/>
      <c r="MWO1" s="2235"/>
      <c r="MWP1" s="2235"/>
      <c r="MWQ1" s="2235"/>
      <c r="MWR1" s="2235"/>
      <c r="MWS1" s="2235"/>
      <c r="MWT1" s="2235"/>
      <c r="MWU1" s="2235"/>
      <c r="MWV1" s="2235"/>
      <c r="MWW1" s="2235"/>
      <c r="MWX1" s="2235"/>
      <c r="MWY1" s="2235"/>
      <c r="MWZ1" s="2235"/>
      <c r="MXA1" s="2235"/>
      <c r="MXB1" s="2235"/>
      <c r="MXC1" s="2235"/>
      <c r="MXD1" s="2235"/>
      <c r="MXE1" s="2235"/>
      <c r="MXF1" s="2235"/>
      <c r="MXG1" s="2235"/>
      <c r="MXH1" s="2235"/>
      <c r="MXI1" s="2235"/>
      <c r="MXJ1" s="2235"/>
      <c r="MXK1" s="2235"/>
      <c r="MXL1" s="2235"/>
      <c r="MXM1" s="2235"/>
      <c r="MXN1" s="2235"/>
      <c r="MXO1" s="2235"/>
      <c r="MXP1" s="2235"/>
      <c r="MXQ1" s="2235"/>
      <c r="MXR1" s="2235"/>
      <c r="MXS1" s="2235"/>
      <c r="MXT1" s="2235"/>
      <c r="MXU1" s="2235"/>
      <c r="MXV1" s="2235"/>
      <c r="MXW1" s="2235"/>
      <c r="MXX1" s="2235"/>
      <c r="MXY1" s="2235"/>
      <c r="MXZ1" s="2235"/>
      <c r="MYA1" s="2235"/>
      <c r="MYB1" s="2235"/>
      <c r="MYC1" s="2235"/>
      <c r="MYD1" s="2235"/>
      <c r="MYE1" s="2235"/>
      <c r="MYF1" s="2235"/>
      <c r="MYG1" s="2235"/>
      <c r="MYH1" s="2235"/>
      <c r="MYI1" s="2235"/>
      <c r="MYJ1" s="2235"/>
      <c r="MYK1" s="2235"/>
      <c r="MYL1" s="2235"/>
      <c r="MYM1" s="2235"/>
      <c r="MYN1" s="2235"/>
      <c r="MYO1" s="2235"/>
      <c r="MYP1" s="2235"/>
      <c r="MYQ1" s="2235"/>
      <c r="MYR1" s="2235"/>
      <c r="MYS1" s="2235"/>
      <c r="MYT1" s="2235"/>
      <c r="MYU1" s="2235"/>
      <c r="MYV1" s="2235"/>
      <c r="MYW1" s="2235"/>
      <c r="MYX1" s="2235"/>
      <c r="MYY1" s="2235"/>
      <c r="MYZ1" s="2235"/>
      <c r="MZA1" s="2235"/>
      <c r="MZB1" s="2235"/>
      <c r="MZC1" s="2235"/>
      <c r="MZD1" s="2235"/>
      <c r="MZE1" s="2235"/>
      <c r="MZF1" s="2235"/>
      <c r="MZG1" s="2235"/>
      <c r="MZH1" s="2235"/>
      <c r="MZI1" s="2235"/>
      <c r="MZJ1" s="2235"/>
      <c r="MZK1" s="2235"/>
      <c r="MZL1" s="2235"/>
      <c r="MZM1" s="2235"/>
      <c r="MZN1" s="2235"/>
      <c r="MZO1" s="2235"/>
      <c r="MZP1" s="2235"/>
      <c r="MZQ1" s="2235"/>
      <c r="MZR1" s="2235"/>
      <c r="MZS1" s="2235"/>
      <c r="MZT1" s="2235"/>
      <c r="MZU1" s="2235"/>
      <c r="MZV1" s="2235"/>
      <c r="MZW1" s="2235"/>
      <c r="MZX1" s="2235"/>
      <c r="MZY1" s="2235"/>
      <c r="MZZ1" s="2235"/>
      <c r="NAA1" s="2235"/>
      <c r="NAB1" s="2235"/>
      <c r="NAC1" s="2235"/>
      <c r="NAD1" s="2235"/>
      <c r="NAE1" s="2235"/>
      <c r="NAF1" s="2235"/>
      <c r="NAG1" s="2235"/>
      <c r="NAH1" s="2235"/>
      <c r="NAI1" s="2235"/>
      <c r="NAJ1" s="2235"/>
      <c r="NAK1" s="2235"/>
      <c r="NAL1" s="2235"/>
      <c r="NAM1" s="2235"/>
      <c r="NAN1" s="2235"/>
      <c r="NAO1" s="2235"/>
      <c r="NAP1" s="2235"/>
      <c r="NAQ1" s="2235"/>
      <c r="NAR1" s="2235"/>
      <c r="NAS1" s="2235"/>
      <c r="NAT1" s="2235"/>
      <c r="NAU1" s="2235"/>
      <c r="NAV1" s="2235"/>
      <c r="NAW1" s="2235"/>
      <c r="NAX1" s="2235"/>
      <c r="NAY1" s="2235"/>
      <c r="NAZ1" s="2235"/>
      <c r="NBA1" s="2235"/>
      <c r="NBB1" s="2235"/>
      <c r="NBC1" s="2235"/>
      <c r="NBD1" s="2235"/>
      <c r="NBE1" s="2235"/>
      <c r="NBF1" s="2235"/>
      <c r="NBG1" s="2235"/>
      <c r="NBH1" s="2235"/>
      <c r="NBI1" s="2235"/>
      <c r="NBJ1" s="2235"/>
      <c r="NBK1" s="2235"/>
      <c r="NBL1" s="2235"/>
      <c r="NBM1" s="2235"/>
      <c r="NBN1" s="2235"/>
      <c r="NBO1" s="2235"/>
      <c r="NBP1" s="2235"/>
      <c r="NBQ1" s="2235"/>
      <c r="NBR1" s="2235"/>
      <c r="NBS1" s="2235"/>
      <c r="NBT1" s="2235"/>
      <c r="NBU1" s="2235"/>
      <c r="NBV1" s="2235"/>
      <c r="NBW1" s="2235"/>
      <c r="NBX1" s="2235"/>
      <c r="NBY1" s="2235"/>
      <c r="NBZ1" s="2235"/>
      <c r="NCA1" s="2235"/>
      <c r="NCB1" s="2235"/>
      <c r="NCC1" s="2235"/>
      <c r="NCD1" s="2235"/>
      <c r="NCE1" s="2235"/>
      <c r="NCF1" s="2235"/>
      <c r="NCG1" s="2235"/>
      <c r="NCH1" s="2235"/>
      <c r="NCI1" s="2235"/>
      <c r="NCJ1" s="2235"/>
      <c r="NCK1" s="2235"/>
      <c r="NCL1" s="2235"/>
      <c r="NCM1" s="2235"/>
      <c r="NCN1" s="2235"/>
      <c r="NCO1" s="2235"/>
      <c r="NCP1" s="2235"/>
      <c r="NCQ1" s="2235"/>
      <c r="NCR1" s="2235"/>
      <c r="NCS1" s="2235"/>
      <c r="NCT1" s="2235"/>
      <c r="NCU1" s="2235"/>
      <c r="NCV1" s="2235"/>
      <c r="NCW1" s="2235"/>
      <c r="NCX1" s="2235"/>
      <c r="NCY1" s="2235"/>
      <c r="NCZ1" s="2235"/>
      <c r="NDA1" s="2235"/>
      <c r="NDB1" s="2235"/>
      <c r="NDC1" s="2235"/>
      <c r="NDD1" s="2235"/>
      <c r="NDE1" s="2235"/>
      <c r="NDF1" s="2235"/>
      <c r="NDG1" s="2235"/>
      <c r="NDH1" s="2235"/>
      <c r="NDI1" s="2235"/>
      <c r="NDJ1" s="2235"/>
      <c r="NDK1" s="2235"/>
      <c r="NDL1" s="2235"/>
      <c r="NDM1" s="2235"/>
      <c r="NDN1" s="2235"/>
      <c r="NDO1" s="2235"/>
      <c r="NDP1" s="2235"/>
      <c r="NDQ1" s="2235"/>
      <c r="NDR1" s="2235"/>
      <c r="NDS1" s="2235"/>
      <c r="NDT1" s="2235"/>
      <c r="NDU1" s="2235"/>
      <c r="NDV1" s="2235"/>
      <c r="NDW1" s="2235"/>
      <c r="NDX1" s="2235"/>
      <c r="NDY1" s="2235"/>
      <c r="NDZ1" s="2235"/>
      <c r="NEA1" s="2235"/>
      <c r="NEB1" s="2235"/>
      <c r="NEC1" s="2235"/>
      <c r="NED1" s="2235"/>
      <c r="NEE1" s="2235"/>
      <c r="NEF1" s="2235"/>
      <c r="NEG1" s="2235"/>
      <c r="NEH1" s="2235"/>
      <c r="NEI1" s="2235"/>
      <c r="NEJ1" s="2235"/>
      <c r="NEK1" s="2235"/>
      <c r="NEL1" s="2235"/>
      <c r="NEM1" s="2235"/>
      <c r="NEN1" s="2235"/>
      <c r="NEO1" s="2235"/>
      <c r="NEP1" s="2235"/>
      <c r="NEQ1" s="2235"/>
      <c r="NER1" s="2235"/>
      <c r="NES1" s="2235"/>
      <c r="NET1" s="2235"/>
      <c r="NEU1" s="2235"/>
      <c r="NEV1" s="2235"/>
      <c r="NEW1" s="2235"/>
      <c r="NEX1" s="2235"/>
      <c r="NEY1" s="2235"/>
      <c r="NEZ1" s="2235"/>
      <c r="NFA1" s="2235"/>
      <c r="NFB1" s="2235"/>
      <c r="NFC1" s="2235"/>
      <c r="NFD1" s="2235"/>
      <c r="NFE1" s="2235"/>
      <c r="NFF1" s="2235"/>
      <c r="NFG1" s="2235"/>
      <c r="NFH1" s="2235"/>
      <c r="NFI1" s="2235"/>
      <c r="NFJ1" s="2235"/>
      <c r="NFK1" s="2235"/>
      <c r="NFL1" s="2235"/>
      <c r="NFM1" s="2235"/>
      <c r="NFN1" s="2235"/>
      <c r="NFO1" s="2235"/>
      <c r="NFP1" s="2235"/>
      <c r="NFQ1" s="2235"/>
      <c r="NFR1" s="2235"/>
      <c r="NFS1" s="2235"/>
      <c r="NFT1" s="2235"/>
      <c r="NFU1" s="2235"/>
      <c r="NFV1" s="2235"/>
      <c r="NFW1" s="2235"/>
      <c r="NFX1" s="2235"/>
      <c r="NFY1" s="2235"/>
      <c r="NFZ1" s="2235"/>
      <c r="NGA1" s="2235"/>
      <c r="NGB1" s="2235"/>
      <c r="NGC1" s="2235"/>
      <c r="NGD1" s="2235"/>
      <c r="NGE1" s="2235"/>
      <c r="NGF1" s="2235"/>
      <c r="NGG1" s="2235"/>
      <c r="NGH1" s="2235"/>
      <c r="NGI1" s="2235"/>
      <c r="NGJ1" s="2235"/>
      <c r="NGK1" s="2235"/>
      <c r="NGL1" s="2235"/>
      <c r="NGM1" s="2235"/>
      <c r="NGN1" s="2235"/>
      <c r="NGO1" s="2235"/>
      <c r="NGP1" s="2235"/>
      <c r="NGQ1" s="2235"/>
      <c r="NGR1" s="2235"/>
      <c r="NGS1" s="2235"/>
      <c r="NGT1" s="2235"/>
      <c r="NGU1" s="2235"/>
      <c r="NGV1" s="2235"/>
      <c r="NGW1" s="2235"/>
      <c r="NGX1" s="2235"/>
      <c r="NGY1" s="2235"/>
      <c r="NGZ1" s="2235"/>
      <c r="NHA1" s="2235"/>
      <c r="NHB1" s="2235"/>
      <c r="NHC1" s="2235"/>
      <c r="NHD1" s="2235"/>
      <c r="NHE1" s="2235"/>
      <c r="NHF1" s="2235"/>
      <c r="NHG1" s="2235"/>
      <c r="NHH1" s="2235"/>
      <c r="NHI1" s="2235"/>
      <c r="NHJ1" s="2235"/>
      <c r="NHK1" s="2235"/>
      <c r="NHL1" s="2235"/>
      <c r="NHM1" s="2235"/>
      <c r="NHN1" s="2235"/>
      <c r="NHO1" s="2235"/>
      <c r="NHP1" s="2235"/>
      <c r="NHQ1" s="2235"/>
      <c r="NHR1" s="2235"/>
      <c r="NHS1" s="2235"/>
      <c r="NHT1" s="2235"/>
      <c r="NHU1" s="2235"/>
      <c r="NHV1" s="2235"/>
      <c r="NHW1" s="2235"/>
      <c r="NHX1" s="2235"/>
      <c r="NHY1" s="2235"/>
      <c r="NHZ1" s="2235"/>
      <c r="NIA1" s="2235"/>
      <c r="NIB1" s="2235"/>
      <c r="NIC1" s="2235"/>
      <c r="NID1" s="2235"/>
      <c r="NIE1" s="2235"/>
      <c r="NIF1" s="2235"/>
      <c r="NIG1" s="2235"/>
      <c r="NIH1" s="2235"/>
      <c r="NII1" s="2235"/>
      <c r="NIJ1" s="2235"/>
      <c r="NIK1" s="2235"/>
      <c r="NIL1" s="2235"/>
      <c r="NIM1" s="2235"/>
      <c r="NIN1" s="2235"/>
      <c r="NIO1" s="2235"/>
      <c r="NIP1" s="2235"/>
      <c r="NIQ1" s="2235"/>
      <c r="NIR1" s="2235"/>
      <c r="NIS1" s="2235"/>
      <c r="NIT1" s="2235"/>
      <c r="NIU1" s="2235"/>
      <c r="NIV1" s="2235"/>
      <c r="NIW1" s="2235"/>
      <c r="NIX1" s="2235"/>
      <c r="NIY1" s="2235"/>
      <c r="NIZ1" s="2235"/>
      <c r="NJA1" s="2235"/>
      <c r="NJB1" s="2235"/>
      <c r="NJC1" s="2235"/>
      <c r="NJD1" s="2235"/>
      <c r="NJE1" s="2235"/>
      <c r="NJF1" s="2235"/>
      <c r="NJG1" s="2235"/>
      <c r="NJH1" s="2235"/>
      <c r="NJI1" s="2235"/>
      <c r="NJJ1" s="2235"/>
      <c r="NJK1" s="2235"/>
      <c r="NJL1" s="2235"/>
      <c r="NJM1" s="2235"/>
      <c r="NJN1" s="2235"/>
      <c r="NJO1" s="2235"/>
      <c r="NJP1" s="2235"/>
      <c r="NJQ1" s="2235"/>
      <c r="NJR1" s="2235"/>
      <c r="NJS1" s="2235"/>
      <c r="NJT1" s="2235"/>
      <c r="NJU1" s="2235"/>
      <c r="NJV1" s="2235"/>
      <c r="NJW1" s="2235"/>
      <c r="NJX1" s="2235"/>
      <c r="NJY1" s="2235"/>
      <c r="NJZ1" s="2235"/>
      <c r="NKA1" s="2235"/>
      <c r="NKB1" s="2235"/>
      <c r="NKC1" s="2235"/>
      <c r="NKD1" s="2235"/>
      <c r="NKE1" s="2235"/>
      <c r="NKF1" s="2235"/>
      <c r="NKG1" s="2235"/>
      <c r="NKH1" s="2235"/>
      <c r="NKI1" s="2235"/>
      <c r="NKJ1" s="2235"/>
      <c r="NKK1" s="2235"/>
      <c r="NKL1" s="2235"/>
      <c r="NKM1" s="2235"/>
      <c r="NKN1" s="2235"/>
      <c r="NKO1" s="2235"/>
      <c r="NKP1" s="2235"/>
      <c r="NKQ1" s="2235"/>
      <c r="NKR1" s="2235"/>
      <c r="NKS1" s="2235"/>
      <c r="NKT1" s="2235"/>
      <c r="NKU1" s="2235"/>
      <c r="NKV1" s="2235"/>
      <c r="NKW1" s="2235"/>
      <c r="NKX1" s="2235"/>
      <c r="NKY1" s="2235"/>
      <c r="NKZ1" s="2235"/>
      <c r="NLA1" s="2235"/>
      <c r="NLB1" s="2235"/>
      <c r="NLC1" s="2235"/>
      <c r="NLD1" s="2235"/>
      <c r="NLE1" s="2235"/>
      <c r="NLF1" s="2235"/>
      <c r="NLG1" s="2235"/>
      <c r="NLH1" s="2235"/>
      <c r="NLI1" s="2235"/>
      <c r="NLJ1" s="2235"/>
      <c r="NLK1" s="2235"/>
      <c r="NLL1" s="2235"/>
      <c r="NLM1" s="2235"/>
      <c r="NLN1" s="2235"/>
      <c r="NLO1" s="2235"/>
      <c r="NLP1" s="2235"/>
      <c r="NLQ1" s="2235"/>
      <c r="NLR1" s="2235"/>
      <c r="NLS1" s="2235"/>
      <c r="NLT1" s="2235"/>
      <c r="NLU1" s="2235"/>
      <c r="NLV1" s="2235"/>
      <c r="NLW1" s="2235"/>
      <c r="NLX1" s="2235"/>
      <c r="NLY1" s="2235"/>
      <c r="NLZ1" s="2235"/>
      <c r="NMA1" s="2235"/>
      <c r="NMB1" s="2235"/>
      <c r="NMC1" s="2235"/>
      <c r="NMD1" s="2235"/>
      <c r="NME1" s="2235"/>
      <c r="NMF1" s="2235"/>
      <c r="NMG1" s="2235"/>
      <c r="NMH1" s="2235"/>
      <c r="NMI1" s="2235"/>
      <c r="NMJ1" s="2235"/>
      <c r="NMK1" s="2235"/>
      <c r="NML1" s="2235"/>
      <c r="NMM1" s="2235"/>
      <c r="NMN1" s="2235"/>
      <c r="NMO1" s="2235"/>
      <c r="NMP1" s="2235"/>
      <c r="NMQ1" s="2235"/>
      <c r="NMR1" s="2235"/>
      <c r="NMS1" s="2235"/>
      <c r="NMT1" s="2235"/>
      <c r="NMU1" s="2235"/>
      <c r="NMV1" s="2235"/>
      <c r="NMW1" s="2235"/>
      <c r="NMX1" s="2235"/>
      <c r="NMY1" s="2235"/>
      <c r="NMZ1" s="2235"/>
      <c r="NNA1" s="2235"/>
      <c r="NNB1" s="2235"/>
      <c r="NNC1" s="2235"/>
      <c r="NND1" s="2235"/>
      <c r="NNE1" s="2235"/>
      <c r="NNF1" s="2235"/>
      <c r="NNG1" s="2235"/>
      <c r="NNH1" s="2235"/>
      <c r="NNI1" s="2235"/>
      <c r="NNJ1" s="2235"/>
      <c r="NNK1" s="2235"/>
      <c r="NNL1" s="2235"/>
      <c r="NNM1" s="2235"/>
      <c r="NNN1" s="2235"/>
      <c r="NNO1" s="2235"/>
      <c r="NNP1" s="2235"/>
      <c r="NNQ1" s="2235"/>
      <c r="NNR1" s="2235"/>
      <c r="NNS1" s="2235"/>
      <c r="NNT1" s="2235"/>
      <c r="NNU1" s="2235"/>
      <c r="NNV1" s="2235"/>
      <c r="NNW1" s="2235"/>
      <c r="NNX1" s="2235"/>
      <c r="NNY1" s="2235"/>
      <c r="NNZ1" s="2235"/>
      <c r="NOA1" s="2235"/>
      <c r="NOB1" s="2235"/>
      <c r="NOC1" s="2235"/>
      <c r="NOD1" s="2235"/>
      <c r="NOE1" s="2235"/>
      <c r="NOF1" s="2235"/>
      <c r="NOG1" s="2235"/>
      <c r="NOH1" s="2235"/>
      <c r="NOI1" s="2235"/>
      <c r="NOJ1" s="2235"/>
      <c r="NOK1" s="2235"/>
      <c r="NOL1" s="2235"/>
      <c r="NOM1" s="2235"/>
      <c r="NON1" s="2235"/>
      <c r="NOO1" s="2235"/>
      <c r="NOP1" s="2235"/>
      <c r="NOQ1" s="2235"/>
      <c r="NOR1" s="2235"/>
      <c r="NOS1" s="2235"/>
      <c r="NOT1" s="2235"/>
      <c r="NOU1" s="2235"/>
      <c r="NOV1" s="2235"/>
      <c r="NOW1" s="2235"/>
      <c r="NOX1" s="2235"/>
      <c r="NOY1" s="2235"/>
      <c r="NOZ1" s="2235"/>
      <c r="NPA1" s="2235"/>
      <c r="NPB1" s="2235"/>
      <c r="NPC1" s="2235"/>
      <c r="NPD1" s="2235"/>
      <c r="NPE1" s="2235"/>
      <c r="NPF1" s="2235"/>
      <c r="NPG1" s="2235"/>
      <c r="NPH1" s="2235"/>
      <c r="NPI1" s="2235"/>
      <c r="NPJ1" s="2235"/>
      <c r="NPK1" s="2235"/>
      <c r="NPL1" s="2235"/>
      <c r="NPM1" s="2235"/>
      <c r="NPN1" s="2235"/>
      <c r="NPO1" s="2235"/>
      <c r="NPP1" s="2235"/>
      <c r="NPQ1" s="2235"/>
      <c r="NPR1" s="2235"/>
      <c r="NPS1" s="2235"/>
      <c r="NPT1" s="2235"/>
      <c r="NPU1" s="2235"/>
      <c r="NPV1" s="2235"/>
      <c r="NPW1" s="2235"/>
      <c r="NPX1" s="2235"/>
      <c r="NPY1" s="2235"/>
      <c r="NPZ1" s="2235"/>
      <c r="NQA1" s="2235"/>
      <c r="NQB1" s="2235"/>
      <c r="NQC1" s="2235"/>
      <c r="NQD1" s="2235"/>
      <c r="NQE1" s="2235"/>
      <c r="NQF1" s="2235"/>
      <c r="NQG1" s="2235"/>
      <c r="NQH1" s="2235"/>
      <c r="NQI1" s="2235"/>
      <c r="NQJ1" s="2235"/>
      <c r="NQK1" s="2235"/>
      <c r="NQL1" s="2235"/>
      <c r="NQM1" s="2235"/>
      <c r="NQN1" s="2235"/>
      <c r="NQO1" s="2235"/>
      <c r="NQP1" s="2235"/>
      <c r="NQQ1" s="2235"/>
      <c r="NQR1" s="2235"/>
      <c r="NQS1" s="2235"/>
      <c r="NQT1" s="2235"/>
      <c r="NQU1" s="2235"/>
      <c r="NQV1" s="2235"/>
      <c r="NQW1" s="2235"/>
      <c r="NQX1" s="2235"/>
      <c r="NQY1" s="2235"/>
      <c r="NQZ1" s="2235"/>
      <c r="NRA1" s="2235"/>
      <c r="NRB1" s="2235"/>
      <c r="NRC1" s="2235"/>
      <c r="NRD1" s="2235"/>
      <c r="NRE1" s="2235"/>
      <c r="NRF1" s="2235"/>
      <c r="NRG1" s="2235"/>
      <c r="NRH1" s="2235"/>
      <c r="NRI1" s="2235"/>
      <c r="NRJ1" s="2235"/>
      <c r="NRK1" s="2235"/>
      <c r="NRL1" s="2235"/>
      <c r="NRM1" s="2235"/>
      <c r="NRN1" s="2235"/>
      <c r="NRO1" s="2235"/>
      <c r="NRP1" s="2235"/>
      <c r="NRQ1" s="2235"/>
      <c r="NRR1" s="2235"/>
      <c r="NRS1" s="2235"/>
      <c r="NRT1" s="2235"/>
      <c r="NRU1" s="2235"/>
      <c r="NRV1" s="2235"/>
      <c r="NRW1" s="2235"/>
      <c r="NRX1" s="2235"/>
      <c r="NRY1" s="2235"/>
      <c r="NRZ1" s="2235"/>
      <c r="NSA1" s="2235"/>
      <c r="NSB1" s="2235"/>
      <c r="NSC1" s="2235"/>
      <c r="NSD1" s="2235"/>
      <c r="NSE1" s="2235"/>
      <c r="NSF1" s="2235"/>
      <c r="NSG1" s="2235"/>
      <c r="NSH1" s="2235"/>
      <c r="NSI1" s="2235"/>
      <c r="NSJ1" s="2235"/>
      <c r="NSK1" s="2235"/>
      <c r="NSL1" s="2235"/>
      <c r="NSM1" s="2235"/>
      <c r="NSN1" s="2235"/>
      <c r="NSO1" s="2235"/>
      <c r="NSP1" s="2235"/>
      <c r="NSQ1" s="2235"/>
      <c r="NSR1" s="2235"/>
      <c r="NSS1" s="2235"/>
      <c r="NST1" s="2235"/>
      <c r="NSU1" s="2235"/>
      <c r="NSV1" s="2235"/>
      <c r="NSW1" s="2235"/>
      <c r="NSX1" s="2235"/>
      <c r="NSY1" s="2235"/>
      <c r="NSZ1" s="2235"/>
      <c r="NTA1" s="2235"/>
      <c r="NTB1" s="2235"/>
      <c r="NTC1" s="2235"/>
      <c r="NTD1" s="2235"/>
      <c r="NTE1" s="2235"/>
      <c r="NTF1" s="2235"/>
      <c r="NTG1" s="2235"/>
      <c r="NTH1" s="2235"/>
      <c r="NTI1" s="2235"/>
      <c r="NTJ1" s="2235"/>
      <c r="NTK1" s="2235"/>
      <c r="NTL1" s="2235"/>
      <c r="NTM1" s="2235"/>
      <c r="NTN1" s="2235"/>
      <c r="NTO1" s="2235"/>
      <c r="NTP1" s="2235"/>
      <c r="NTQ1" s="2235"/>
      <c r="NTR1" s="2235"/>
      <c r="NTS1" s="2235"/>
      <c r="NTT1" s="2235"/>
      <c r="NTU1" s="2235"/>
      <c r="NTV1" s="2235"/>
      <c r="NTW1" s="2235"/>
      <c r="NTX1" s="2235"/>
      <c r="NTY1" s="2235"/>
      <c r="NTZ1" s="2235"/>
      <c r="NUA1" s="2235"/>
      <c r="NUB1" s="2235"/>
      <c r="NUC1" s="2235"/>
      <c r="NUD1" s="2235"/>
      <c r="NUE1" s="2235"/>
      <c r="NUF1" s="2235"/>
      <c r="NUG1" s="2235"/>
      <c r="NUH1" s="2235"/>
      <c r="NUI1" s="2235"/>
      <c r="NUJ1" s="2235"/>
      <c r="NUK1" s="2235"/>
      <c r="NUL1" s="2235"/>
      <c r="NUM1" s="2235"/>
      <c r="NUN1" s="2235"/>
      <c r="NUO1" s="2235"/>
      <c r="NUP1" s="2235"/>
      <c r="NUQ1" s="2235"/>
      <c r="NUR1" s="2235"/>
      <c r="NUS1" s="2235"/>
      <c r="NUT1" s="2235"/>
      <c r="NUU1" s="2235"/>
      <c r="NUV1" s="2235"/>
      <c r="NUW1" s="2235"/>
      <c r="NUX1" s="2235"/>
      <c r="NUY1" s="2235"/>
      <c r="NUZ1" s="2235"/>
      <c r="NVA1" s="2235"/>
      <c r="NVB1" s="2235"/>
      <c r="NVC1" s="2235"/>
      <c r="NVD1" s="2235"/>
      <c r="NVE1" s="2235"/>
      <c r="NVF1" s="2235"/>
      <c r="NVG1" s="2235"/>
      <c r="NVH1" s="2235"/>
      <c r="NVI1" s="2235"/>
      <c r="NVJ1" s="2235"/>
      <c r="NVK1" s="2235"/>
      <c r="NVL1" s="2235"/>
      <c r="NVM1" s="2235"/>
      <c r="NVN1" s="2235"/>
      <c r="NVO1" s="2235"/>
      <c r="NVP1" s="2235"/>
      <c r="NVQ1" s="2235"/>
      <c r="NVR1" s="2235"/>
      <c r="NVS1" s="2235"/>
      <c r="NVT1" s="2235"/>
      <c r="NVU1" s="2235"/>
      <c r="NVV1" s="2235"/>
      <c r="NVW1" s="2235"/>
      <c r="NVX1" s="2235"/>
      <c r="NVY1" s="2235"/>
      <c r="NVZ1" s="2235"/>
      <c r="NWA1" s="2235"/>
      <c r="NWB1" s="2235"/>
      <c r="NWC1" s="2235"/>
      <c r="NWD1" s="2235"/>
      <c r="NWE1" s="2235"/>
      <c r="NWF1" s="2235"/>
      <c r="NWG1" s="2235"/>
      <c r="NWH1" s="2235"/>
      <c r="NWI1" s="2235"/>
      <c r="NWJ1" s="2235"/>
      <c r="NWK1" s="2235"/>
      <c r="NWL1" s="2235"/>
      <c r="NWM1" s="2235"/>
      <c r="NWN1" s="2235"/>
      <c r="NWO1" s="2235"/>
      <c r="NWP1" s="2235"/>
      <c r="NWQ1" s="2235"/>
      <c r="NWR1" s="2235"/>
      <c r="NWS1" s="2235"/>
      <c r="NWT1" s="2235"/>
      <c r="NWU1" s="2235"/>
      <c r="NWV1" s="2235"/>
      <c r="NWW1" s="2235"/>
      <c r="NWX1" s="2235"/>
      <c r="NWY1" s="2235"/>
      <c r="NWZ1" s="2235"/>
      <c r="NXA1" s="2235"/>
      <c r="NXB1" s="2235"/>
      <c r="NXC1" s="2235"/>
      <c r="NXD1" s="2235"/>
      <c r="NXE1" s="2235"/>
      <c r="NXF1" s="2235"/>
      <c r="NXG1" s="2235"/>
      <c r="NXH1" s="2235"/>
      <c r="NXI1" s="2235"/>
      <c r="NXJ1" s="2235"/>
      <c r="NXK1" s="2235"/>
      <c r="NXL1" s="2235"/>
      <c r="NXM1" s="2235"/>
      <c r="NXN1" s="2235"/>
      <c r="NXO1" s="2235"/>
      <c r="NXP1" s="2235"/>
      <c r="NXQ1" s="2235"/>
      <c r="NXR1" s="2235"/>
      <c r="NXS1" s="2235"/>
      <c r="NXT1" s="2235"/>
      <c r="NXU1" s="2235"/>
      <c r="NXV1" s="2235"/>
      <c r="NXW1" s="2235"/>
      <c r="NXX1" s="2235"/>
      <c r="NXY1" s="2235"/>
      <c r="NXZ1" s="2235"/>
      <c r="NYA1" s="2235"/>
      <c r="NYB1" s="2235"/>
      <c r="NYC1" s="2235"/>
      <c r="NYD1" s="2235"/>
      <c r="NYE1" s="2235"/>
      <c r="NYF1" s="2235"/>
      <c r="NYG1" s="2235"/>
      <c r="NYH1" s="2235"/>
      <c r="NYI1" s="2235"/>
      <c r="NYJ1" s="2235"/>
      <c r="NYK1" s="2235"/>
      <c r="NYL1" s="2235"/>
      <c r="NYM1" s="2235"/>
      <c r="NYN1" s="2235"/>
      <c r="NYO1" s="2235"/>
      <c r="NYP1" s="2235"/>
      <c r="NYQ1" s="2235"/>
      <c r="NYR1" s="2235"/>
      <c r="NYS1" s="2235"/>
      <c r="NYT1" s="2235"/>
      <c r="NYU1" s="2235"/>
      <c r="NYV1" s="2235"/>
      <c r="NYW1" s="2235"/>
      <c r="NYX1" s="2235"/>
      <c r="NYY1" s="2235"/>
      <c r="NYZ1" s="2235"/>
      <c r="NZA1" s="2235"/>
      <c r="NZB1" s="2235"/>
      <c r="NZC1" s="2235"/>
      <c r="NZD1" s="2235"/>
      <c r="NZE1" s="2235"/>
      <c r="NZF1" s="2235"/>
      <c r="NZG1" s="2235"/>
      <c r="NZH1" s="2235"/>
      <c r="NZI1" s="2235"/>
      <c r="NZJ1" s="2235"/>
      <c r="NZK1" s="2235"/>
      <c r="NZL1" s="2235"/>
      <c r="NZM1" s="2235"/>
      <c r="NZN1" s="2235"/>
      <c r="NZO1" s="2235"/>
      <c r="NZP1" s="2235"/>
      <c r="NZQ1" s="2235"/>
      <c r="NZR1" s="2235"/>
      <c r="NZS1" s="2235"/>
      <c r="NZT1" s="2235"/>
      <c r="NZU1" s="2235"/>
      <c r="NZV1" s="2235"/>
      <c r="NZW1" s="2235"/>
      <c r="NZX1" s="2235"/>
      <c r="NZY1" s="2235"/>
      <c r="NZZ1" s="2235"/>
      <c r="OAA1" s="2235"/>
      <c r="OAB1" s="2235"/>
      <c r="OAC1" s="2235"/>
      <c r="OAD1" s="2235"/>
      <c r="OAE1" s="2235"/>
      <c r="OAF1" s="2235"/>
      <c r="OAG1" s="2235"/>
      <c r="OAH1" s="2235"/>
      <c r="OAI1" s="2235"/>
      <c r="OAJ1" s="2235"/>
      <c r="OAK1" s="2235"/>
      <c r="OAL1" s="2235"/>
      <c r="OAM1" s="2235"/>
      <c r="OAN1" s="2235"/>
      <c r="OAO1" s="2235"/>
      <c r="OAP1" s="2235"/>
      <c r="OAQ1" s="2235"/>
      <c r="OAR1" s="2235"/>
      <c r="OAS1" s="2235"/>
      <c r="OAT1" s="2235"/>
      <c r="OAU1" s="2235"/>
      <c r="OAV1" s="2235"/>
      <c r="OAW1" s="2235"/>
      <c r="OAX1" s="2235"/>
      <c r="OAY1" s="2235"/>
      <c r="OAZ1" s="2235"/>
      <c r="OBA1" s="2235"/>
      <c r="OBB1" s="2235"/>
      <c r="OBC1" s="2235"/>
      <c r="OBD1" s="2235"/>
      <c r="OBE1" s="2235"/>
      <c r="OBF1" s="2235"/>
      <c r="OBG1" s="2235"/>
      <c r="OBH1" s="2235"/>
      <c r="OBI1" s="2235"/>
      <c r="OBJ1" s="2235"/>
      <c r="OBK1" s="2235"/>
      <c r="OBL1" s="2235"/>
      <c r="OBM1" s="2235"/>
      <c r="OBN1" s="2235"/>
      <c r="OBO1" s="2235"/>
      <c r="OBP1" s="2235"/>
      <c r="OBQ1" s="2235"/>
      <c r="OBR1" s="2235"/>
      <c r="OBS1" s="2235"/>
      <c r="OBT1" s="2235"/>
      <c r="OBU1" s="2235"/>
      <c r="OBV1" s="2235"/>
      <c r="OBW1" s="2235"/>
      <c r="OBX1" s="2235"/>
      <c r="OBY1" s="2235"/>
      <c r="OBZ1" s="2235"/>
      <c r="OCA1" s="2235"/>
      <c r="OCB1" s="2235"/>
      <c r="OCC1" s="2235"/>
      <c r="OCD1" s="2235"/>
      <c r="OCE1" s="2235"/>
      <c r="OCF1" s="2235"/>
      <c r="OCG1" s="2235"/>
      <c r="OCH1" s="2235"/>
      <c r="OCI1" s="2235"/>
      <c r="OCJ1" s="2235"/>
      <c r="OCK1" s="2235"/>
      <c r="OCL1" s="2235"/>
      <c r="OCM1" s="2235"/>
      <c r="OCN1" s="2235"/>
      <c r="OCO1" s="2235"/>
      <c r="OCP1" s="2235"/>
      <c r="OCQ1" s="2235"/>
      <c r="OCR1" s="2235"/>
      <c r="OCS1" s="2235"/>
      <c r="OCT1" s="2235"/>
      <c r="OCU1" s="2235"/>
      <c r="OCV1" s="2235"/>
      <c r="OCW1" s="2235"/>
      <c r="OCX1" s="2235"/>
      <c r="OCY1" s="2235"/>
      <c r="OCZ1" s="2235"/>
      <c r="ODA1" s="2235"/>
      <c r="ODB1" s="2235"/>
      <c r="ODC1" s="2235"/>
      <c r="ODD1" s="2235"/>
      <c r="ODE1" s="2235"/>
      <c r="ODF1" s="2235"/>
      <c r="ODG1" s="2235"/>
      <c r="ODH1" s="2235"/>
      <c r="ODI1" s="2235"/>
      <c r="ODJ1" s="2235"/>
      <c r="ODK1" s="2235"/>
      <c r="ODL1" s="2235"/>
      <c r="ODM1" s="2235"/>
      <c r="ODN1" s="2235"/>
      <c r="ODO1" s="2235"/>
      <c r="ODP1" s="2235"/>
      <c r="ODQ1" s="2235"/>
      <c r="ODR1" s="2235"/>
      <c r="ODS1" s="2235"/>
      <c r="ODT1" s="2235"/>
      <c r="ODU1" s="2235"/>
      <c r="ODV1" s="2235"/>
      <c r="ODW1" s="2235"/>
      <c r="ODX1" s="2235"/>
      <c r="ODY1" s="2235"/>
      <c r="ODZ1" s="2235"/>
      <c r="OEA1" s="2235"/>
      <c r="OEB1" s="2235"/>
      <c r="OEC1" s="2235"/>
      <c r="OED1" s="2235"/>
      <c r="OEE1" s="2235"/>
      <c r="OEF1" s="2235"/>
      <c r="OEG1" s="2235"/>
      <c r="OEH1" s="2235"/>
      <c r="OEI1" s="2235"/>
      <c r="OEJ1" s="2235"/>
      <c r="OEK1" s="2235"/>
      <c r="OEL1" s="2235"/>
      <c r="OEM1" s="2235"/>
      <c r="OEN1" s="2235"/>
      <c r="OEO1" s="2235"/>
      <c r="OEP1" s="2235"/>
      <c r="OEQ1" s="2235"/>
      <c r="OER1" s="2235"/>
      <c r="OES1" s="2235"/>
      <c r="OET1" s="2235"/>
      <c r="OEU1" s="2235"/>
      <c r="OEV1" s="2235"/>
      <c r="OEW1" s="2235"/>
      <c r="OEX1" s="2235"/>
      <c r="OEY1" s="2235"/>
      <c r="OEZ1" s="2235"/>
      <c r="OFA1" s="2235"/>
      <c r="OFB1" s="2235"/>
      <c r="OFC1" s="2235"/>
      <c r="OFD1" s="2235"/>
      <c r="OFE1" s="2235"/>
      <c r="OFF1" s="2235"/>
      <c r="OFG1" s="2235"/>
      <c r="OFH1" s="2235"/>
      <c r="OFI1" s="2235"/>
      <c r="OFJ1" s="2235"/>
      <c r="OFK1" s="2235"/>
      <c r="OFL1" s="2235"/>
      <c r="OFM1" s="2235"/>
      <c r="OFN1" s="2235"/>
      <c r="OFO1" s="2235"/>
      <c r="OFP1" s="2235"/>
      <c r="OFQ1" s="2235"/>
      <c r="OFR1" s="2235"/>
      <c r="OFS1" s="2235"/>
      <c r="OFT1" s="2235"/>
      <c r="OFU1" s="2235"/>
      <c r="OFV1" s="2235"/>
      <c r="OFW1" s="2235"/>
      <c r="OFX1" s="2235"/>
      <c r="OFY1" s="2235"/>
      <c r="OFZ1" s="2235"/>
      <c r="OGA1" s="2235"/>
      <c r="OGB1" s="2235"/>
      <c r="OGC1" s="2235"/>
      <c r="OGD1" s="2235"/>
      <c r="OGE1" s="2235"/>
      <c r="OGF1" s="2235"/>
      <c r="OGG1" s="2235"/>
      <c r="OGH1" s="2235"/>
      <c r="OGI1" s="2235"/>
      <c r="OGJ1" s="2235"/>
      <c r="OGK1" s="2235"/>
      <c r="OGL1" s="2235"/>
      <c r="OGM1" s="2235"/>
      <c r="OGN1" s="2235"/>
      <c r="OGO1" s="2235"/>
      <c r="OGP1" s="2235"/>
      <c r="OGQ1" s="2235"/>
      <c r="OGR1" s="2235"/>
      <c r="OGS1" s="2235"/>
      <c r="OGT1" s="2235"/>
      <c r="OGU1" s="2235"/>
      <c r="OGV1" s="2235"/>
      <c r="OGW1" s="2235"/>
      <c r="OGX1" s="2235"/>
      <c r="OGY1" s="2235"/>
      <c r="OGZ1" s="2235"/>
      <c r="OHA1" s="2235"/>
      <c r="OHB1" s="2235"/>
      <c r="OHC1" s="2235"/>
      <c r="OHD1" s="2235"/>
      <c r="OHE1" s="2235"/>
      <c r="OHF1" s="2235"/>
      <c r="OHG1" s="2235"/>
      <c r="OHH1" s="2235"/>
      <c r="OHI1" s="2235"/>
      <c r="OHJ1" s="2235"/>
      <c r="OHK1" s="2235"/>
      <c r="OHL1" s="2235"/>
      <c r="OHM1" s="2235"/>
      <c r="OHN1" s="2235"/>
      <c r="OHO1" s="2235"/>
      <c r="OHP1" s="2235"/>
      <c r="OHQ1" s="2235"/>
      <c r="OHR1" s="2235"/>
      <c r="OHS1" s="2235"/>
      <c r="OHT1" s="2235"/>
      <c r="OHU1" s="2235"/>
      <c r="OHV1" s="2235"/>
      <c r="OHW1" s="2235"/>
      <c r="OHX1" s="2235"/>
      <c r="OHY1" s="2235"/>
      <c r="OHZ1" s="2235"/>
      <c r="OIA1" s="2235"/>
      <c r="OIB1" s="2235"/>
      <c r="OIC1" s="2235"/>
      <c r="OID1" s="2235"/>
      <c r="OIE1" s="2235"/>
      <c r="OIF1" s="2235"/>
      <c r="OIG1" s="2235"/>
      <c r="OIH1" s="2235"/>
      <c r="OII1" s="2235"/>
      <c r="OIJ1" s="2235"/>
      <c r="OIK1" s="2235"/>
      <c r="OIL1" s="2235"/>
      <c r="OIM1" s="2235"/>
      <c r="OIN1" s="2235"/>
      <c r="OIO1" s="2235"/>
      <c r="OIP1" s="2235"/>
      <c r="OIQ1" s="2235"/>
      <c r="OIR1" s="2235"/>
      <c r="OIS1" s="2235"/>
      <c r="OIT1" s="2235"/>
      <c r="OIU1" s="2235"/>
      <c r="OIV1" s="2235"/>
      <c r="OIW1" s="2235"/>
      <c r="OIX1" s="2235"/>
      <c r="OIY1" s="2235"/>
      <c r="OIZ1" s="2235"/>
      <c r="OJA1" s="2235"/>
      <c r="OJB1" s="2235"/>
      <c r="OJC1" s="2235"/>
      <c r="OJD1" s="2235"/>
      <c r="OJE1" s="2235"/>
      <c r="OJF1" s="2235"/>
      <c r="OJG1" s="2235"/>
      <c r="OJH1" s="2235"/>
      <c r="OJI1" s="2235"/>
      <c r="OJJ1" s="2235"/>
      <c r="OJK1" s="2235"/>
      <c r="OJL1" s="2235"/>
      <c r="OJM1" s="2235"/>
      <c r="OJN1" s="2235"/>
      <c r="OJO1" s="2235"/>
      <c r="OJP1" s="2235"/>
      <c r="OJQ1" s="2235"/>
      <c r="OJR1" s="2235"/>
      <c r="OJS1" s="2235"/>
      <c r="OJT1" s="2235"/>
      <c r="OJU1" s="2235"/>
      <c r="OJV1" s="2235"/>
      <c r="OJW1" s="2235"/>
      <c r="OJX1" s="2235"/>
      <c r="OJY1" s="2235"/>
      <c r="OJZ1" s="2235"/>
      <c r="OKA1" s="2235"/>
      <c r="OKB1" s="2235"/>
      <c r="OKC1" s="2235"/>
      <c r="OKD1" s="2235"/>
      <c r="OKE1" s="2235"/>
      <c r="OKF1" s="2235"/>
      <c r="OKG1" s="2235"/>
      <c r="OKH1" s="2235"/>
      <c r="OKI1" s="2235"/>
      <c r="OKJ1" s="2235"/>
      <c r="OKK1" s="2235"/>
      <c r="OKL1" s="2235"/>
      <c r="OKM1" s="2235"/>
      <c r="OKN1" s="2235"/>
      <c r="OKO1" s="2235"/>
      <c r="OKP1" s="2235"/>
      <c r="OKQ1" s="2235"/>
      <c r="OKR1" s="2235"/>
      <c r="OKS1" s="2235"/>
      <c r="OKT1" s="2235"/>
      <c r="OKU1" s="2235"/>
      <c r="OKV1" s="2235"/>
      <c r="OKW1" s="2235"/>
      <c r="OKX1" s="2235"/>
      <c r="OKY1" s="2235"/>
      <c r="OKZ1" s="2235"/>
      <c r="OLA1" s="2235"/>
      <c r="OLB1" s="2235"/>
      <c r="OLC1" s="2235"/>
      <c r="OLD1" s="2235"/>
      <c r="OLE1" s="2235"/>
      <c r="OLF1" s="2235"/>
      <c r="OLG1" s="2235"/>
      <c r="OLH1" s="2235"/>
      <c r="OLI1" s="2235"/>
      <c r="OLJ1" s="2235"/>
      <c r="OLK1" s="2235"/>
      <c r="OLL1" s="2235"/>
      <c r="OLM1" s="2235"/>
      <c r="OLN1" s="2235"/>
      <c r="OLO1" s="2235"/>
      <c r="OLP1" s="2235"/>
      <c r="OLQ1" s="2235"/>
      <c r="OLR1" s="2235"/>
      <c r="OLS1" s="2235"/>
      <c r="OLT1" s="2235"/>
      <c r="OLU1" s="2235"/>
      <c r="OLV1" s="2235"/>
      <c r="OLW1" s="2235"/>
      <c r="OLX1" s="2235"/>
      <c r="OLY1" s="2235"/>
      <c r="OLZ1" s="2235"/>
      <c r="OMA1" s="2235"/>
      <c r="OMB1" s="2235"/>
      <c r="OMC1" s="2235"/>
      <c r="OMD1" s="2235"/>
      <c r="OME1" s="2235"/>
      <c r="OMF1" s="2235"/>
      <c r="OMG1" s="2235"/>
      <c r="OMH1" s="2235"/>
      <c r="OMI1" s="2235"/>
      <c r="OMJ1" s="2235"/>
      <c r="OMK1" s="2235"/>
      <c r="OML1" s="2235"/>
      <c r="OMM1" s="2235"/>
      <c r="OMN1" s="2235"/>
      <c r="OMO1" s="2235"/>
      <c r="OMP1" s="2235"/>
      <c r="OMQ1" s="2235"/>
      <c r="OMR1" s="2235"/>
      <c r="OMS1" s="2235"/>
      <c r="OMT1" s="2235"/>
      <c r="OMU1" s="2235"/>
      <c r="OMV1" s="2235"/>
      <c r="OMW1" s="2235"/>
      <c r="OMX1" s="2235"/>
      <c r="OMY1" s="2235"/>
      <c r="OMZ1" s="2235"/>
      <c r="ONA1" s="2235"/>
      <c r="ONB1" s="2235"/>
      <c r="ONC1" s="2235"/>
      <c r="OND1" s="2235"/>
      <c r="ONE1" s="2235"/>
      <c r="ONF1" s="2235"/>
      <c r="ONG1" s="2235"/>
      <c r="ONH1" s="2235"/>
      <c r="ONI1" s="2235"/>
      <c r="ONJ1" s="2235"/>
      <c r="ONK1" s="2235"/>
      <c r="ONL1" s="2235"/>
      <c r="ONM1" s="2235"/>
      <c r="ONN1" s="2235"/>
      <c r="ONO1" s="2235"/>
      <c r="ONP1" s="2235"/>
      <c r="ONQ1" s="2235"/>
      <c r="ONR1" s="2235"/>
      <c r="ONS1" s="2235"/>
      <c r="ONT1" s="2235"/>
      <c r="ONU1" s="2235"/>
      <c r="ONV1" s="2235"/>
      <c r="ONW1" s="2235"/>
      <c r="ONX1" s="2235"/>
      <c r="ONY1" s="2235"/>
      <c r="ONZ1" s="2235"/>
      <c r="OOA1" s="2235"/>
      <c r="OOB1" s="2235"/>
      <c r="OOC1" s="2235"/>
      <c r="OOD1" s="2235"/>
      <c r="OOE1" s="2235"/>
      <c r="OOF1" s="2235"/>
      <c r="OOG1" s="2235"/>
      <c r="OOH1" s="2235"/>
      <c r="OOI1" s="2235"/>
      <c r="OOJ1" s="2235"/>
      <c r="OOK1" s="2235"/>
      <c r="OOL1" s="2235"/>
      <c r="OOM1" s="2235"/>
      <c r="OON1" s="2235"/>
      <c r="OOO1" s="2235"/>
      <c r="OOP1" s="2235"/>
      <c r="OOQ1" s="2235"/>
      <c r="OOR1" s="2235"/>
      <c r="OOS1" s="2235"/>
      <c r="OOT1" s="2235"/>
      <c r="OOU1" s="2235"/>
      <c r="OOV1" s="2235"/>
      <c r="OOW1" s="2235"/>
      <c r="OOX1" s="2235"/>
      <c r="OOY1" s="2235"/>
      <c r="OOZ1" s="2235"/>
      <c r="OPA1" s="2235"/>
      <c r="OPB1" s="2235"/>
      <c r="OPC1" s="2235"/>
      <c r="OPD1" s="2235"/>
      <c r="OPE1" s="2235"/>
      <c r="OPF1" s="2235"/>
      <c r="OPG1" s="2235"/>
      <c r="OPH1" s="2235"/>
      <c r="OPI1" s="2235"/>
      <c r="OPJ1" s="2235"/>
      <c r="OPK1" s="2235"/>
      <c r="OPL1" s="2235"/>
      <c r="OPM1" s="2235"/>
      <c r="OPN1" s="2235"/>
      <c r="OPO1" s="2235"/>
      <c r="OPP1" s="2235"/>
      <c r="OPQ1" s="2235"/>
      <c r="OPR1" s="2235"/>
      <c r="OPS1" s="2235"/>
      <c r="OPT1" s="2235"/>
      <c r="OPU1" s="2235"/>
      <c r="OPV1" s="2235"/>
      <c r="OPW1" s="2235"/>
      <c r="OPX1" s="2235"/>
      <c r="OPY1" s="2235"/>
      <c r="OPZ1" s="2235"/>
      <c r="OQA1" s="2235"/>
      <c r="OQB1" s="2235"/>
      <c r="OQC1" s="2235"/>
      <c r="OQD1" s="2235"/>
      <c r="OQE1" s="2235"/>
      <c r="OQF1" s="2235"/>
      <c r="OQG1" s="2235"/>
      <c r="OQH1" s="2235"/>
      <c r="OQI1" s="2235"/>
      <c r="OQJ1" s="2235"/>
      <c r="OQK1" s="2235"/>
      <c r="OQL1" s="2235"/>
      <c r="OQM1" s="2235"/>
      <c r="OQN1" s="2235"/>
      <c r="OQO1" s="2235"/>
      <c r="OQP1" s="2235"/>
      <c r="OQQ1" s="2235"/>
      <c r="OQR1" s="2235"/>
      <c r="OQS1" s="2235"/>
      <c r="OQT1" s="2235"/>
      <c r="OQU1" s="2235"/>
      <c r="OQV1" s="2235"/>
      <c r="OQW1" s="2235"/>
      <c r="OQX1" s="2235"/>
      <c r="OQY1" s="2235"/>
      <c r="OQZ1" s="2235"/>
      <c r="ORA1" s="2235"/>
      <c r="ORB1" s="2235"/>
      <c r="ORC1" s="2235"/>
      <c r="ORD1" s="2235"/>
      <c r="ORE1" s="2235"/>
      <c r="ORF1" s="2235"/>
      <c r="ORG1" s="2235"/>
      <c r="ORH1" s="2235"/>
      <c r="ORI1" s="2235"/>
      <c r="ORJ1" s="2235"/>
      <c r="ORK1" s="2235"/>
      <c r="ORL1" s="2235"/>
      <c r="ORM1" s="2235"/>
      <c r="ORN1" s="2235"/>
      <c r="ORO1" s="2235"/>
      <c r="ORP1" s="2235"/>
      <c r="ORQ1" s="2235"/>
      <c r="ORR1" s="2235"/>
      <c r="ORS1" s="2235"/>
      <c r="ORT1" s="2235"/>
      <c r="ORU1" s="2235"/>
      <c r="ORV1" s="2235"/>
      <c r="ORW1" s="2235"/>
      <c r="ORX1" s="2235"/>
      <c r="ORY1" s="2235"/>
      <c r="ORZ1" s="2235"/>
      <c r="OSA1" s="2235"/>
      <c r="OSB1" s="2235"/>
      <c r="OSC1" s="2235"/>
      <c r="OSD1" s="2235"/>
      <c r="OSE1" s="2235"/>
      <c r="OSF1" s="2235"/>
      <c r="OSG1" s="2235"/>
      <c r="OSH1" s="2235"/>
      <c r="OSI1" s="2235"/>
      <c r="OSJ1" s="2235"/>
      <c r="OSK1" s="2235"/>
      <c r="OSL1" s="2235"/>
      <c r="OSM1" s="2235"/>
      <c r="OSN1" s="2235"/>
      <c r="OSO1" s="2235"/>
      <c r="OSP1" s="2235"/>
      <c r="OSQ1" s="2235"/>
      <c r="OSR1" s="2235"/>
      <c r="OSS1" s="2235"/>
      <c r="OST1" s="2235"/>
      <c r="OSU1" s="2235"/>
      <c r="OSV1" s="2235"/>
      <c r="OSW1" s="2235"/>
      <c r="OSX1" s="2235"/>
      <c r="OSY1" s="2235"/>
      <c r="OSZ1" s="2235"/>
      <c r="OTA1" s="2235"/>
      <c r="OTB1" s="2235"/>
      <c r="OTC1" s="2235"/>
      <c r="OTD1" s="2235"/>
      <c r="OTE1" s="2235"/>
      <c r="OTF1" s="2235"/>
      <c r="OTG1" s="2235"/>
      <c r="OTH1" s="2235"/>
      <c r="OTI1" s="2235"/>
      <c r="OTJ1" s="2235"/>
      <c r="OTK1" s="2235"/>
      <c r="OTL1" s="2235"/>
      <c r="OTM1" s="2235"/>
      <c r="OTN1" s="2235"/>
      <c r="OTO1" s="2235"/>
      <c r="OTP1" s="2235"/>
      <c r="OTQ1" s="2235"/>
      <c r="OTR1" s="2235"/>
      <c r="OTS1" s="2235"/>
      <c r="OTT1" s="2235"/>
      <c r="OTU1" s="2235"/>
      <c r="OTV1" s="2235"/>
      <c r="OTW1" s="2235"/>
      <c r="OTX1" s="2235"/>
      <c r="OTY1" s="2235"/>
      <c r="OTZ1" s="2235"/>
      <c r="OUA1" s="2235"/>
      <c r="OUB1" s="2235"/>
      <c r="OUC1" s="2235"/>
      <c r="OUD1" s="2235"/>
      <c r="OUE1" s="2235"/>
      <c r="OUF1" s="2235"/>
      <c r="OUG1" s="2235"/>
      <c r="OUH1" s="2235"/>
      <c r="OUI1" s="2235"/>
      <c r="OUJ1" s="2235"/>
      <c r="OUK1" s="2235"/>
      <c r="OUL1" s="2235"/>
      <c r="OUM1" s="2235"/>
      <c r="OUN1" s="2235"/>
      <c r="OUO1" s="2235"/>
      <c r="OUP1" s="2235"/>
      <c r="OUQ1" s="2235"/>
      <c r="OUR1" s="2235"/>
      <c r="OUS1" s="2235"/>
      <c r="OUT1" s="2235"/>
      <c r="OUU1" s="2235"/>
      <c r="OUV1" s="2235"/>
      <c r="OUW1" s="2235"/>
      <c r="OUX1" s="2235"/>
      <c r="OUY1" s="2235"/>
      <c r="OUZ1" s="2235"/>
      <c r="OVA1" s="2235"/>
      <c r="OVB1" s="2235"/>
      <c r="OVC1" s="2235"/>
      <c r="OVD1" s="2235"/>
      <c r="OVE1" s="2235"/>
      <c r="OVF1" s="2235"/>
      <c r="OVG1" s="2235"/>
      <c r="OVH1" s="2235"/>
      <c r="OVI1" s="2235"/>
      <c r="OVJ1" s="2235"/>
      <c r="OVK1" s="2235"/>
      <c r="OVL1" s="2235"/>
      <c r="OVM1" s="2235"/>
      <c r="OVN1" s="2235"/>
      <c r="OVO1" s="2235"/>
      <c r="OVP1" s="2235"/>
      <c r="OVQ1" s="2235"/>
      <c r="OVR1" s="2235"/>
      <c r="OVS1" s="2235"/>
      <c r="OVT1" s="2235"/>
      <c r="OVU1" s="2235"/>
      <c r="OVV1" s="2235"/>
      <c r="OVW1" s="2235"/>
      <c r="OVX1" s="2235"/>
      <c r="OVY1" s="2235"/>
      <c r="OVZ1" s="2235"/>
      <c r="OWA1" s="2235"/>
      <c r="OWB1" s="2235"/>
      <c r="OWC1" s="2235"/>
      <c r="OWD1" s="2235"/>
      <c r="OWE1" s="2235"/>
      <c r="OWF1" s="2235"/>
      <c r="OWG1" s="2235"/>
      <c r="OWH1" s="2235"/>
      <c r="OWI1" s="2235"/>
      <c r="OWJ1" s="2235"/>
      <c r="OWK1" s="2235"/>
      <c r="OWL1" s="2235"/>
      <c r="OWM1" s="2235"/>
      <c r="OWN1" s="2235"/>
      <c r="OWO1" s="2235"/>
      <c r="OWP1" s="2235"/>
      <c r="OWQ1" s="2235"/>
      <c r="OWR1" s="2235"/>
      <c r="OWS1" s="2235"/>
      <c r="OWT1" s="2235"/>
      <c r="OWU1" s="2235"/>
      <c r="OWV1" s="2235"/>
      <c r="OWW1" s="2235"/>
      <c r="OWX1" s="2235"/>
      <c r="OWY1" s="2235"/>
      <c r="OWZ1" s="2235"/>
      <c r="OXA1" s="2235"/>
      <c r="OXB1" s="2235"/>
      <c r="OXC1" s="2235"/>
      <c r="OXD1" s="2235"/>
      <c r="OXE1" s="2235"/>
      <c r="OXF1" s="2235"/>
      <c r="OXG1" s="2235"/>
      <c r="OXH1" s="2235"/>
      <c r="OXI1" s="2235"/>
      <c r="OXJ1" s="2235"/>
      <c r="OXK1" s="2235"/>
      <c r="OXL1" s="2235"/>
      <c r="OXM1" s="2235"/>
      <c r="OXN1" s="2235"/>
      <c r="OXO1" s="2235"/>
      <c r="OXP1" s="2235"/>
      <c r="OXQ1" s="2235"/>
      <c r="OXR1" s="2235"/>
      <c r="OXS1" s="2235"/>
      <c r="OXT1" s="2235"/>
      <c r="OXU1" s="2235"/>
      <c r="OXV1" s="2235"/>
      <c r="OXW1" s="2235"/>
      <c r="OXX1" s="2235"/>
      <c r="OXY1" s="2235"/>
      <c r="OXZ1" s="2235"/>
      <c r="OYA1" s="2235"/>
      <c r="OYB1" s="2235"/>
      <c r="OYC1" s="2235"/>
      <c r="OYD1" s="2235"/>
      <c r="OYE1" s="2235"/>
      <c r="OYF1" s="2235"/>
      <c r="OYG1" s="2235"/>
      <c r="OYH1" s="2235"/>
      <c r="OYI1" s="2235"/>
      <c r="OYJ1" s="2235"/>
      <c r="OYK1" s="2235"/>
      <c r="OYL1" s="2235"/>
      <c r="OYM1" s="2235"/>
      <c r="OYN1" s="2235"/>
      <c r="OYO1" s="2235"/>
      <c r="OYP1" s="2235"/>
      <c r="OYQ1" s="2235"/>
      <c r="OYR1" s="2235"/>
      <c r="OYS1" s="2235"/>
      <c r="OYT1" s="2235"/>
      <c r="OYU1" s="2235"/>
      <c r="OYV1" s="2235"/>
      <c r="OYW1" s="2235"/>
      <c r="OYX1" s="2235"/>
      <c r="OYY1" s="2235"/>
      <c r="OYZ1" s="2235"/>
      <c r="OZA1" s="2235"/>
      <c r="OZB1" s="2235"/>
      <c r="OZC1" s="2235"/>
      <c r="OZD1" s="2235"/>
      <c r="OZE1" s="2235"/>
      <c r="OZF1" s="2235"/>
      <c r="OZG1" s="2235"/>
      <c r="OZH1" s="2235"/>
      <c r="OZI1" s="2235"/>
      <c r="OZJ1" s="2235"/>
      <c r="OZK1" s="2235"/>
      <c r="OZL1" s="2235"/>
      <c r="OZM1" s="2235"/>
      <c r="OZN1" s="2235"/>
      <c r="OZO1" s="2235"/>
      <c r="OZP1" s="2235"/>
      <c r="OZQ1" s="2235"/>
      <c r="OZR1" s="2235"/>
      <c r="OZS1" s="2235"/>
      <c r="OZT1" s="2235"/>
      <c r="OZU1" s="2235"/>
      <c r="OZV1" s="2235"/>
      <c r="OZW1" s="2235"/>
      <c r="OZX1" s="2235"/>
      <c r="OZY1" s="2235"/>
      <c r="OZZ1" s="2235"/>
      <c r="PAA1" s="2235"/>
      <c r="PAB1" s="2235"/>
      <c r="PAC1" s="2235"/>
      <c r="PAD1" s="2235"/>
      <c r="PAE1" s="2235"/>
      <c r="PAF1" s="2235"/>
      <c r="PAG1" s="2235"/>
      <c r="PAH1" s="2235"/>
      <c r="PAI1" s="2235"/>
      <c r="PAJ1" s="2235"/>
      <c r="PAK1" s="2235"/>
      <c r="PAL1" s="2235"/>
      <c r="PAM1" s="2235"/>
      <c r="PAN1" s="2235"/>
      <c r="PAO1" s="2235"/>
      <c r="PAP1" s="2235"/>
      <c r="PAQ1" s="2235"/>
      <c r="PAR1" s="2235"/>
      <c r="PAS1" s="2235"/>
      <c r="PAT1" s="2235"/>
      <c r="PAU1" s="2235"/>
      <c r="PAV1" s="2235"/>
      <c r="PAW1" s="2235"/>
      <c r="PAX1" s="2235"/>
      <c r="PAY1" s="2235"/>
      <c r="PAZ1" s="2235"/>
      <c r="PBA1" s="2235"/>
      <c r="PBB1" s="2235"/>
      <c r="PBC1" s="2235"/>
      <c r="PBD1" s="2235"/>
      <c r="PBE1" s="2235"/>
      <c r="PBF1" s="2235"/>
      <c r="PBG1" s="2235"/>
      <c r="PBH1" s="2235"/>
      <c r="PBI1" s="2235"/>
      <c r="PBJ1" s="2235"/>
      <c r="PBK1" s="2235"/>
      <c r="PBL1" s="2235"/>
      <c r="PBM1" s="2235"/>
      <c r="PBN1" s="2235"/>
      <c r="PBO1" s="2235"/>
      <c r="PBP1" s="2235"/>
      <c r="PBQ1" s="2235"/>
      <c r="PBR1" s="2235"/>
      <c r="PBS1" s="2235"/>
      <c r="PBT1" s="2235"/>
      <c r="PBU1" s="2235"/>
      <c r="PBV1" s="2235"/>
      <c r="PBW1" s="2235"/>
      <c r="PBX1" s="2235"/>
      <c r="PBY1" s="2235"/>
      <c r="PBZ1" s="2235"/>
      <c r="PCA1" s="2235"/>
      <c r="PCB1" s="2235"/>
      <c r="PCC1" s="2235"/>
      <c r="PCD1" s="2235"/>
      <c r="PCE1" s="2235"/>
      <c r="PCF1" s="2235"/>
      <c r="PCG1" s="2235"/>
      <c r="PCH1" s="2235"/>
      <c r="PCI1" s="2235"/>
      <c r="PCJ1" s="2235"/>
      <c r="PCK1" s="2235"/>
      <c r="PCL1" s="2235"/>
      <c r="PCM1" s="2235"/>
      <c r="PCN1" s="2235"/>
      <c r="PCO1" s="2235"/>
      <c r="PCP1" s="2235"/>
      <c r="PCQ1" s="2235"/>
      <c r="PCR1" s="2235"/>
      <c r="PCS1" s="2235"/>
      <c r="PCT1" s="2235"/>
      <c r="PCU1" s="2235"/>
      <c r="PCV1" s="2235"/>
      <c r="PCW1" s="2235"/>
      <c r="PCX1" s="2235"/>
      <c r="PCY1" s="2235"/>
      <c r="PCZ1" s="2235"/>
      <c r="PDA1" s="2235"/>
      <c r="PDB1" s="2235"/>
      <c r="PDC1" s="2235"/>
      <c r="PDD1" s="2235"/>
      <c r="PDE1" s="2235"/>
      <c r="PDF1" s="2235"/>
      <c r="PDG1" s="2235"/>
      <c r="PDH1" s="2235"/>
      <c r="PDI1" s="2235"/>
      <c r="PDJ1" s="2235"/>
      <c r="PDK1" s="2235"/>
      <c r="PDL1" s="2235"/>
      <c r="PDM1" s="2235"/>
      <c r="PDN1" s="2235"/>
      <c r="PDO1" s="2235"/>
      <c r="PDP1" s="2235"/>
      <c r="PDQ1" s="2235"/>
      <c r="PDR1" s="2235"/>
      <c r="PDS1" s="2235"/>
      <c r="PDT1" s="2235"/>
      <c r="PDU1" s="2235"/>
      <c r="PDV1" s="2235"/>
      <c r="PDW1" s="2235"/>
      <c r="PDX1" s="2235"/>
      <c r="PDY1" s="2235"/>
      <c r="PDZ1" s="2235"/>
      <c r="PEA1" s="2235"/>
      <c r="PEB1" s="2235"/>
      <c r="PEC1" s="2235"/>
      <c r="PED1" s="2235"/>
      <c r="PEE1" s="2235"/>
      <c r="PEF1" s="2235"/>
      <c r="PEG1" s="2235"/>
      <c r="PEH1" s="2235"/>
      <c r="PEI1" s="2235"/>
      <c r="PEJ1" s="2235"/>
      <c r="PEK1" s="2235"/>
      <c r="PEL1" s="2235"/>
      <c r="PEM1" s="2235"/>
      <c r="PEN1" s="2235"/>
      <c r="PEO1" s="2235"/>
      <c r="PEP1" s="2235"/>
      <c r="PEQ1" s="2235"/>
      <c r="PER1" s="2235"/>
      <c r="PES1" s="2235"/>
      <c r="PET1" s="2235"/>
      <c r="PEU1" s="2235"/>
      <c r="PEV1" s="2235"/>
      <c r="PEW1" s="2235"/>
      <c r="PEX1" s="2235"/>
      <c r="PEY1" s="2235"/>
      <c r="PEZ1" s="2235"/>
      <c r="PFA1" s="2235"/>
      <c r="PFB1" s="2235"/>
      <c r="PFC1" s="2235"/>
      <c r="PFD1" s="2235"/>
      <c r="PFE1" s="2235"/>
      <c r="PFF1" s="2235"/>
      <c r="PFG1" s="2235"/>
      <c r="PFH1" s="2235"/>
      <c r="PFI1" s="2235"/>
      <c r="PFJ1" s="2235"/>
      <c r="PFK1" s="2235"/>
      <c r="PFL1" s="2235"/>
      <c r="PFM1" s="2235"/>
      <c r="PFN1" s="2235"/>
      <c r="PFO1" s="2235"/>
      <c r="PFP1" s="2235"/>
      <c r="PFQ1" s="2235"/>
      <c r="PFR1" s="2235"/>
      <c r="PFS1" s="2235"/>
      <c r="PFT1" s="2235"/>
      <c r="PFU1" s="2235"/>
      <c r="PFV1" s="2235"/>
      <c r="PFW1" s="2235"/>
      <c r="PFX1" s="2235"/>
      <c r="PFY1" s="2235"/>
      <c r="PFZ1" s="2235"/>
      <c r="PGA1" s="2235"/>
      <c r="PGB1" s="2235"/>
      <c r="PGC1" s="2235"/>
      <c r="PGD1" s="2235"/>
      <c r="PGE1" s="2235"/>
      <c r="PGF1" s="2235"/>
      <c r="PGG1" s="2235"/>
      <c r="PGH1" s="2235"/>
      <c r="PGI1" s="2235"/>
      <c r="PGJ1" s="2235"/>
      <c r="PGK1" s="2235"/>
      <c r="PGL1" s="2235"/>
      <c r="PGM1" s="2235"/>
      <c r="PGN1" s="2235"/>
      <c r="PGO1" s="2235"/>
      <c r="PGP1" s="2235"/>
      <c r="PGQ1" s="2235"/>
      <c r="PGR1" s="2235"/>
      <c r="PGS1" s="2235"/>
      <c r="PGT1" s="2235"/>
      <c r="PGU1" s="2235"/>
      <c r="PGV1" s="2235"/>
      <c r="PGW1" s="2235"/>
      <c r="PGX1" s="2235"/>
      <c r="PGY1" s="2235"/>
      <c r="PGZ1" s="2235"/>
      <c r="PHA1" s="2235"/>
      <c r="PHB1" s="2235"/>
      <c r="PHC1" s="2235"/>
      <c r="PHD1" s="2235"/>
      <c r="PHE1" s="2235"/>
      <c r="PHF1" s="2235"/>
      <c r="PHG1" s="2235"/>
      <c r="PHH1" s="2235"/>
      <c r="PHI1" s="2235"/>
      <c r="PHJ1" s="2235"/>
      <c r="PHK1" s="2235"/>
      <c r="PHL1" s="2235"/>
      <c r="PHM1" s="2235"/>
      <c r="PHN1" s="2235"/>
      <c r="PHO1" s="2235"/>
      <c r="PHP1" s="2235"/>
      <c r="PHQ1" s="2235"/>
      <c r="PHR1" s="2235"/>
      <c r="PHS1" s="2235"/>
      <c r="PHT1" s="2235"/>
      <c r="PHU1" s="2235"/>
      <c r="PHV1" s="2235"/>
      <c r="PHW1" s="2235"/>
      <c r="PHX1" s="2235"/>
      <c r="PHY1" s="2235"/>
      <c r="PHZ1" s="2235"/>
      <c r="PIA1" s="2235"/>
      <c r="PIB1" s="2235"/>
      <c r="PIC1" s="2235"/>
      <c r="PID1" s="2235"/>
      <c r="PIE1" s="2235"/>
      <c r="PIF1" s="2235"/>
      <c r="PIG1" s="2235"/>
      <c r="PIH1" s="2235"/>
      <c r="PII1" s="2235"/>
      <c r="PIJ1" s="2235"/>
      <c r="PIK1" s="2235"/>
      <c r="PIL1" s="2235"/>
      <c r="PIM1" s="2235"/>
      <c r="PIN1" s="2235"/>
      <c r="PIO1" s="2235"/>
      <c r="PIP1" s="2235"/>
      <c r="PIQ1" s="2235"/>
      <c r="PIR1" s="2235"/>
      <c r="PIS1" s="2235"/>
      <c r="PIT1" s="2235"/>
      <c r="PIU1" s="2235"/>
      <c r="PIV1" s="2235"/>
      <c r="PIW1" s="2235"/>
      <c r="PIX1" s="2235"/>
      <c r="PIY1" s="2235"/>
      <c r="PIZ1" s="2235"/>
      <c r="PJA1" s="2235"/>
      <c r="PJB1" s="2235"/>
      <c r="PJC1" s="2235"/>
      <c r="PJD1" s="2235"/>
      <c r="PJE1" s="2235"/>
      <c r="PJF1" s="2235"/>
      <c r="PJG1" s="2235"/>
      <c r="PJH1" s="2235"/>
      <c r="PJI1" s="2235"/>
      <c r="PJJ1" s="2235"/>
      <c r="PJK1" s="2235"/>
      <c r="PJL1" s="2235"/>
      <c r="PJM1" s="2235"/>
      <c r="PJN1" s="2235"/>
      <c r="PJO1" s="2235"/>
      <c r="PJP1" s="2235"/>
      <c r="PJQ1" s="2235"/>
      <c r="PJR1" s="2235"/>
      <c r="PJS1" s="2235"/>
      <c r="PJT1" s="2235"/>
      <c r="PJU1" s="2235"/>
      <c r="PJV1" s="2235"/>
      <c r="PJW1" s="2235"/>
      <c r="PJX1" s="2235"/>
      <c r="PJY1" s="2235"/>
      <c r="PJZ1" s="2235"/>
      <c r="PKA1" s="2235"/>
      <c r="PKB1" s="2235"/>
      <c r="PKC1" s="2235"/>
      <c r="PKD1" s="2235"/>
      <c r="PKE1" s="2235"/>
      <c r="PKF1" s="2235"/>
      <c r="PKG1" s="2235"/>
      <c r="PKH1" s="2235"/>
      <c r="PKI1" s="2235"/>
      <c r="PKJ1" s="2235"/>
      <c r="PKK1" s="2235"/>
      <c r="PKL1" s="2235"/>
      <c r="PKM1" s="2235"/>
      <c r="PKN1" s="2235"/>
      <c r="PKO1" s="2235"/>
      <c r="PKP1" s="2235"/>
      <c r="PKQ1" s="2235"/>
      <c r="PKR1" s="2235"/>
      <c r="PKS1" s="2235"/>
      <c r="PKT1" s="2235"/>
      <c r="PKU1" s="2235"/>
      <c r="PKV1" s="2235"/>
      <c r="PKW1" s="2235"/>
      <c r="PKX1" s="2235"/>
      <c r="PKY1" s="2235"/>
      <c r="PKZ1" s="2235"/>
      <c r="PLA1" s="2235"/>
      <c r="PLB1" s="2235"/>
      <c r="PLC1" s="2235"/>
      <c r="PLD1" s="2235"/>
      <c r="PLE1" s="2235"/>
      <c r="PLF1" s="2235"/>
      <c r="PLG1" s="2235"/>
      <c r="PLH1" s="2235"/>
      <c r="PLI1" s="2235"/>
      <c r="PLJ1" s="2235"/>
      <c r="PLK1" s="2235"/>
      <c r="PLL1" s="2235"/>
      <c r="PLM1" s="2235"/>
      <c r="PLN1" s="2235"/>
      <c r="PLO1" s="2235"/>
      <c r="PLP1" s="2235"/>
      <c r="PLQ1" s="2235"/>
      <c r="PLR1" s="2235"/>
      <c r="PLS1" s="2235"/>
      <c r="PLT1" s="2235"/>
      <c r="PLU1" s="2235"/>
      <c r="PLV1" s="2235"/>
      <c r="PLW1" s="2235"/>
      <c r="PLX1" s="2235"/>
      <c r="PLY1" s="2235"/>
      <c r="PLZ1" s="2235"/>
      <c r="PMA1" s="2235"/>
      <c r="PMB1" s="2235"/>
      <c r="PMC1" s="2235"/>
      <c r="PMD1" s="2235"/>
      <c r="PME1" s="2235"/>
      <c r="PMF1" s="2235"/>
      <c r="PMG1" s="2235"/>
      <c r="PMH1" s="2235"/>
      <c r="PMI1" s="2235"/>
      <c r="PMJ1" s="2235"/>
      <c r="PMK1" s="2235"/>
      <c r="PML1" s="2235"/>
      <c r="PMM1" s="2235"/>
      <c r="PMN1" s="2235"/>
      <c r="PMO1" s="2235"/>
      <c r="PMP1" s="2235"/>
      <c r="PMQ1" s="2235"/>
      <c r="PMR1" s="2235"/>
      <c r="PMS1" s="2235"/>
      <c r="PMT1" s="2235"/>
      <c r="PMU1" s="2235"/>
      <c r="PMV1" s="2235"/>
      <c r="PMW1" s="2235"/>
      <c r="PMX1" s="2235"/>
      <c r="PMY1" s="2235"/>
      <c r="PMZ1" s="2235"/>
      <c r="PNA1" s="2235"/>
      <c r="PNB1" s="2235"/>
      <c r="PNC1" s="2235"/>
      <c r="PND1" s="2235"/>
      <c r="PNE1" s="2235"/>
      <c r="PNF1" s="2235"/>
      <c r="PNG1" s="2235"/>
      <c r="PNH1" s="2235"/>
      <c r="PNI1" s="2235"/>
      <c r="PNJ1" s="2235"/>
      <c r="PNK1" s="2235"/>
      <c r="PNL1" s="2235"/>
      <c r="PNM1" s="2235"/>
      <c r="PNN1" s="2235"/>
      <c r="PNO1" s="2235"/>
      <c r="PNP1" s="2235"/>
      <c r="PNQ1" s="2235"/>
      <c r="PNR1" s="2235"/>
      <c r="PNS1" s="2235"/>
      <c r="PNT1" s="2235"/>
      <c r="PNU1" s="2235"/>
      <c r="PNV1" s="2235"/>
      <c r="PNW1" s="2235"/>
      <c r="PNX1" s="2235"/>
      <c r="PNY1" s="2235"/>
      <c r="PNZ1" s="2235"/>
      <c r="POA1" s="2235"/>
      <c r="POB1" s="2235"/>
      <c r="POC1" s="2235"/>
      <c r="POD1" s="2235"/>
      <c r="POE1" s="2235"/>
      <c r="POF1" s="2235"/>
      <c r="POG1" s="2235"/>
      <c r="POH1" s="2235"/>
      <c r="POI1" s="2235"/>
      <c r="POJ1" s="2235"/>
      <c r="POK1" s="2235"/>
      <c r="POL1" s="2235"/>
      <c r="POM1" s="2235"/>
      <c r="PON1" s="2235"/>
      <c r="POO1" s="2235"/>
      <c r="POP1" s="2235"/>
      <c r="POQ1" s="2235"/>
      <c r="POR1" s="2235"/>
      <c r="POS1" s="2235"/>
      <c r="POT1" s="2235"/>
      <c r="POU1" s="2235"/>
      <c r="POV1" s="2235"/>
      <c r="POW1" s="2235"/>
      <c r="POX1" s="2235"/>
      <c r="POY1" s="2235"/>
      <c r="POZ1" s="2235"/>
      <c r="PPA1" s="2235"/>
      <c r="PPB1" s="2235"/>
      <c r="PPC1" s="2235"/>
      <c r="PPD1" s="2235"/>
      <c r="PPE1" s="2235"/>
      <c r="PPF1" s="2235"/>
      <c r="PPG1" s="2235"/>
      <c r="PPH1" s="2235"/>
      <c r="PPI1" s="2235"/>
      <c r="PPJ1" s="2235"/>
      <c r="PPK1" s="2235"/>
      <c r="PPL1" s="2235"/>
      <c r="PPM1" s="2235"/>
      <c r="PPN1" s="2235"/>
      <c r="PPO1" s="2235"/>
      <c r="PPP1" s="2235"/>
      <c r="PPQ1" s="2235"/>
      <c r="PPR1" s="2235"/>
      <c r="PPS1" s="2235"/>
      <c r="PPT1" s="2235"/>
      <c r="PPU1" s="2235"/>
      <c r="PPV1" s="2235"/>
      <c r="PPW1" s="2235"/>
      <c r="PPX1" s="2235"/>
      <c r="PPY1" s="2235"/>
      <c r="PPZ1" s="2235"/>
      <c r="PQA1" s="2235"/>
      <c r="PQB1" s="2235"/>
      <c r="PQC1" s="2235"/>
      <c r="PQD1" s="2235"/>
      <c r="PQE1" s="2235"/>
      <c r="PQF1" s="2235"/>
      <c r="PQG1" s="2235"/>
      <c r="PQH1" s="2235"/>
      <c r="PQI1" s="2235"/>
      <c r="PQJ1" s="2235"/>
      <c r="PQK1" s="2235"/>
      <c r="PQL1" s="2235"/>
      <c r="PQM1" s="2235"/>
      <c r="PQN1" s="2235"/>
      <c r="PQO1" s="2235"/>
      <c r="PQP1" s="2235"/>
      <c r="PQQ1" s="2235"/>
      <c r="PQR1" s="2235"/>
      <c r="PQS1" s="2235"/>
      <c r="PQT1" s="2235"/>
      <c r="PQU1" s="2235"/>
      <c r="PQV1" s="2235"/>
      <c r="PQW1" s="2235"/>
      <c r="PQX1" s="2235"/>
      <c r="PQY1" s="2235"/>
      <c r="PQZ1" s="2235"/>
      <c r="PRA1" s="2235"/>
      <c r="PRB1" s="2235"/>
      <c r="PRC1" s="2235"/>
      <c r="PRD1" s="2235"/>
      <c r="PRE1" s="2235"/>
      <c r="PRF1" s="2235"/>
      <c r="PRG1" s="2235"/>
      <c r="PRH1" s="2235"/>
      <c r="PRI1" s="2235"/>
      <c r="PRJ1" s="2235"/>
      <c r="PRK1" s="2235"/>
      <c r="PRL1" s="2235"/>
      <c r="PRM1" s="2235"/>
      <c r="PRN1" s="2235"/>
      <c r="PRO1" s="2235"/>
      <c r="PRP1" s="2235"/>
      <c r="PRQ1" s="2235"/>
      <c r="PRR1" s="2235"/>
      <c r="PRS1" s="2235"/>
      <c r="PRT1" s="2235"/>
      <c r="PRU1" s="2235"/>
      <c r="PRV1" s="2235"/>
      <c r="PRW1" s="2235"/>
      <c r="PRX1" s="2235"/>
      <c r="PRY1" s="2235"/>
      <c r="PRZ1" s="2235"/>
      <c r="PSA1" s="2235"/>
      <c r="PSB1" s="2235"/>
      <c r="PSC1" s="2235"/>
      <c r="PSD1" s="2235"/>
      <c r="PSE1" s="2235"/>
      <c r="PSF1" s="2235"/>
      <c r="PSG1" s="2235"/>
      <c r="PSH1" s="2235"/>
      <c r="PSI1" s="2235"/>
      <c r="PSJ1" s="2235"/>
      <c r="PSK1" s="2235"/>
      <c r="PSL1" s="2235"/>
      <c r="PSM1" s="2235"/>
      <c r="PSN1" s="2235"/>
      <c r="PSO1" s="2235"/>
      <c r="PSP1" s="2235"/>
      <c r="PSQ1" s="2235"/>
      <c r="PSR1" s="2235"/>
      <c r="PSS1" s="2235"/>
      <c r="PST1" s="2235"/>
      <c r="PSU1" s="2235"/>
      <c r="PSV1" s="2235"/>
      <c r="PSW1" s="2235"/>
      <c r="PSX1" s="2235"/>
      <c r="PSY1" s="2235"/>
      <c r="PSZ1" s="2235"/>
      <c r="PTA1" s="2235"/>
      <c r="PTB1" s="2235"/>
      <c r="PTC1" s="2235"/>
      <c r="PTD1" s="2235"/>
      <c r="PTE1" s="2235"/>
      <c r="PTF1" s="2235"/>
      <c r="PTG1" s="2235"/>
      <c r="PTH1" s="2235"/>
      <c r="PTI1" s="2235"/>
      <c r="PTJ1" s="2235"/>
      <c r="PTK1" s="2235"/>
      <c r="PTL1" s="2235"/>
      <c r="PTM1" s="2235"/>
      <c r="PTN1" s="2235"/>
      <c r="PTO1" s="2235"/>
      <c r="PTP1" s="2235"/>
      <c r="PTQ1" s="2235"/>
      <c r="PTR1" s="2235"/>
      <c r="PTS1" s="2235"/>
      <c r="PTT1" s="2235"/>
      <c r="PTU1" s="2235"/>
      <c r="PTV1" s="2235"/>
      <c r="PTW1" s="2235"/>
      <c r="PTX1" s="2235"/>
      <c r="PTY1" s="2235"/>
      <c r="PTZ1" s="2235"/>
      <c r="PUA1" s="2235"/>
      <c r="PUB1" s="2235"/>
      <c r="PUC1" s="2235"/>
      <c r="PUD1" s="2235"/>
      <c r="PUE1" s="2235"/>
      <c r="PUF1" s="2235"/>
      <c r="PUG1" s="2235"/>
      <c r="PUH1" s="2235"/>
      <c r="PUI1" s="2235"/>
      <c r="PUJ1" s="2235"/>
      <c r="PUK1" s="2235"/>
      <c r="PUL1" s="2235"/>
      <c r="PUM1" s="2235"/>
      <c r="PUN1" s="2235"/>
      <c r="PUO1" s="2235"/>
      <c r="PUP1" s="2235"/>
      <c r="PUQ1" s="2235"/>
      <c r="PUR1" s="2235"/>
      <c r="PUS1" s="2235"/>
      <c r="PUT1" s="2235"/>
      <c r="PUU1" s="2235"/>
      <c r="PUV1" s="2235"/>
      <c r="PUW1" s="2235"/>
      <c r="PUX1" s="2235"/>
      <c r="PUY1" s="2235"/>
      <c r="PUZ1" s="2235"/>
      <c r="PVA1" s="2235"/>
      <c r="PVB1" s="2235"/>
      <c r="PVC1" s="2235"/>
      <c r="PVD1" s="2235"/>
      <c r="PVE1" s="2235"/>
      <c r="PVF1" s="2235"/>
      <c r="PVG1" s="2235"/>
      <c r="PVH1" s="2235"/>
      <c r="PVI1" s="2235"/>
      <c r="PVJ1" s="2235"/>
      <c r="PVK1" s="2235"/>
      <c r="PVL1" s="2235"/>
      <c r="PVM1" s="2235"/>
      <c r="PVN1" s="2235"/>
      <c r="PVO1" s="2235"/>
      <c r="PVP1" s="2235"/>
      <c r="PVQ1" s="2235"/>
      <c r="PVR1" s="2235"/>
      <c r="PVS1" s="2235"/>
      <c r="PVT1" s="2235"/>
      <c r="PVU1" s="2235"/>
      <c r="PVV1" s="2235"/>
      <c r="PVW1" s="2235"/>
      <c r="PVX1" s="2235"/>
      <c r="PVY1" s="2235"/>
      <c r="PVZ1" s="2235"/>
      <c r="PWA1" s="2235"/>
      <c r="PWB1" s="2235"/>
      <c r="PWC1" s="2235"/>
      <c r="PWD1" s="2235"/>
      <c r="PWE1" s="2235"/>
      <c r="PWF1" s="2235"/>
      <c r="PWG1" s="2235"/>
      <c r="PWH1" s="2235"/>
      <c r="PWI1" s="2235"/>
      <c r="PWJ1" s="2235"/>
      <c r="PWK1" s="2235"/>
      <c r="PWL1" s="2235"/>
      <c r="PWM1" s="2235"/>
      <c r="PWN1" s="2235"/>
      <c r="PWO1" s="2235"/>
      <c r="PWP1" s="2235"/>
      <c r="PWQ1" s="2235"/>
      <c r="PWR1" s="2235"/>
      <c r="PWS1" s="2235"/>
      <c r="PWT1" s="2235"/>
      <c r="PWU1" s="2235"/>
      <c r="PWV1" s="2235"/>
      <c r="PWW1" s="2235"/>
      <c r="PWX1" s="2235"/>
      <c r="PWY1" s="2235"/>
      <c r="PWZ1" s="2235"/>
      <c r="PXA1" s="2235"/>
      <c r="PXB1" s="2235"/>
      <c r="PXC1" s="2235"/>
      <c r="PXD1" s="2235"/>
      <c r="PXE1" s="2235"/>
      <c r="PXF1" s="2235"/>
      <c r="PXG1" s="2235"/>
      <c r="PXH1" s="2235"/>
      <c r="PXI1" s="2235"/>
      <c r="PXJ1" s="2235"/>
      <c r="PXK1" s="2235"/>
      <c r="PXL1" s="2235"/>
      <c r="PXM1" s="2235"/>
      <c r="PXN1" s="2235"/>
      <c r="PXO1" s="2235"/>
      <c r="PXP1" s="2235"/>
      <c r="PXQ1" s="2235"/>
      <c r="PXR1" s="2235"/>
      <c r="PXS1" s="2235"/>
      <c r="PXT1" s="2235"/>
      <c r="PXU1" s="2235"/>
      <c r="PXV1" s="2235"/>
      <c r="PXW1" s="2235"/>
      <c r="PXX1" s="2235"/>
      <c r="PXY1" s="2235"/>
      <c r="PXZ1" s="2235"/>
      <c r="PYA1" s="2235"/>
      <c r="PYB1" s="2235"/>
      <c r="PYC1" s="2235"/>
      <c r="PYD1" s="2235"/>
      <c r="PYE1" s="2235"/>
      <c r="PYF1" s="2235"/>
      <c r="PYG1" s="2235"/>
      <c r="PYH1" s="2235"/>
      <c r="PYI1" s="2235"/>
      <c r="PYJ1" s="2235"/>
      <c r="PYK1" s="2235"/>
      <c r="PYL1" s="2235"/>
      <c r="PYM1" s="2235"/>
      <c r="PYN1" s="2235"/>
      <c r="PYO1" s="2235"/>
      <c r="PYP1" s="2235"/>
      <c r="PYQ1" s="2235"/>
      <c r="PYR1" s="2235"/>
      <c r="PYS1" s="2235"/>
      <c r="PYT1" s="2235"/>
      <c r="PYU1" s="2235"/>
      <c r="PYV1" s="2235"/>
      <c r="PYW1" s="2235"/>
      <c r="PYX1" s="2235"/>
      <c r="PYY1" s="2235"/>
      <c r="PYZ1" s="2235"/>
      <c r="PZA1" s="2235"/>
      <c r="PZB1" s="2235"/>
      <c r="PZC1" s="2235"/>
      <c r="PZD1" s="2235"/>
      <c r="PZE1" s="2235"/>
      <c r="PZF1" s="2235"/>
      <c r="PZG1" s="2235"/>
      <c r="PZH1" s="2235"/>
      <c r="PZI1" s="2235"/>
      <c r="PZJ1" s="2235"/>
      <c r="PZK1" s="2235"/>
      <c r="PZL1" s="2235"/>
      <c r="PZM1" s="2235"/>
      <c r="PZN1" s="2235"/>
      <c r="PZO1" s="2235"/>
      <c r="PZP1" s="2235"/>
      <c r="PZQ1" s="2235"/>
      <c r="PZR1" s="2235"/>
      <c r="PZS1" s="2235"/>
      <c r="PZT1" s="2235"/>
      <c r="PZU1" s="2235"/>
      <c r="PZV1" s="2235"/>
      <c r="PZW1" s="2235"/>
      <c r="PZX1" s="2235"/>
      <c r="PZY1" s="2235"/>
      <c r="PZZ1" s="2235"/>
      <c r="QAA1" s="2235"/>
      <c r="QAB1" s="2235"/>
      <c r="QAC1" s="2235"/>
      <c r="QAD1" s="2235"/>
      <c r="QAE1" s="2235"/>
      <c r="QAF1" s="2235"/>
      <c r="QAG1" s="2235"/>
      <c r="QAH1" s="2235"/>
      <c r="QAI1" s="2235"/>
      <c r="QAJ1" s="2235"/>
      <c r="QAK1" s="2235"/>
      <c r="QAL1" s="2235"/>
      <c r="QAM1" s="2235"/>
      <c r="QAN1" s="2235"/>
      <c r="QAO1" s="2235"/>
      <c r="QAP1" s="2235"/>
      <c r="QAQ1" s="2235"/>
      <c r="QAR1" s="2235"/>
      <c r="QAS1" s="2235"/>
      <c r="QAT1" s="2235"/>
      <c r="QAU1" s="2235"/>
      <c r="QAV1" s="2235"/>
      <c r="QAW1" s="2235"/>
      <c r="QAX1" s="2235"/>
      <c r="QAY1" s="2235"/>
      <c r="QAZ1" s="2235"/>
      <c r="QBA1" s="2235"/>
      <c r="QBB1" s="2235"/>
      <c r="QBC1" s="2235"/>
      <c r="QBD1" s="2235"/>
      <c r="QBE1" s="2235"/>
      <c r="QBF1" s="2235"/>
      <c r="QBG1" s="2235"/>
      <c r="QBH1" s="2235"/>
      <c r="QBI1" s="2235"/>
      <c r="QBJ1" s="2235"/>
      <c r="QBK1" s="2235"/>
      <c r="QBL1" s="2235"/>
      <c r="QBM1" s="2235"/>
      <c r="QBN1" s="2235"/>
      <c r="QBO1" s="2235"/>
      <c r="QBP1" s="2235"/>
      <c r="QBQ1" s="2235"/>
      <c r="QBR1" s="2235"/>
      <c r="QBS1" s="2235"/>
      <c r="QBT1" s="2235"/>
      <c r="QBU1" s="2235"/>
      <c r="QBV1" s="2235"/>
      <c r="QBW1" s="2235"/>
      <c r="QBX1" s="2235"/>
      <c r="QBY1" s="2235"/>
      <c r="QBZ1" s="2235"/>
      <c r="QCA1" s="2235"/>
      <c r="QCB1" s="2235"/>
      <c r="QCC1" s="2235"/>
      <c r="QCD1" s="2235"/>
      <c r="QCE1" s="2235"/>
      <c r="QCF1" s="2235"/>
      <c r="QCG1" s="2235"/>
      <c r="QCH1" s="2235"/>
      <c r="QCI1" s="2235"/>
      <c r="QCJ1" s="2235"/>
      <c r="QCK1" s="2235"/>
      <c r="QCL1" s="2235"/>
      <c r="QCM1" s="2235"/>
      <c r="QCN1" s="2235"/>
      <c r="QCO1" s="2235"/>
      <c r="QCP1" s="2235"/>
      <c r="QCQ1" s="2235"/>
      <c r="QCR1" s="2235"/>
      <c r="QCS1" s="2235"/>
      <c r="QCT1" s="2235"/>
      <c r="QCU1" s="2235"/>
      <c r="QCV1" s="2235"/>
      <c r="QCW1" s="2235"/>
      <c r="QCX1" s="2235"/>
      <c r="QCY1" s="2235"/>
      <c r="QCZ1" s="2235"/>
      <c r="QDA1" s="2235"/>
      <c r="QDB1" s="2235"/>
      <c r="QDC1" s="2235"/>
      <c r="QDD1" s="2235"/>
      <c r="QDE1" s="2235"/>
      <c r="QDF1" s="2235"/>
      <c r="QDG1" s="2235"/>
      <c r="QDH1" s="2235"/>
      <c r="QDI1" s="2235"/>
      <c r="QDJ1" s="2235"/>
      <c r="QDK1" s="2235"/>
      <c r="QDL1" s="2235"/>
      <c r="QDM1" s="2235"/>
      <c r="QDN1" s="2235"/>
      <c r="QDO1" s="2235"/>
      <c r="QDP1" s="2235"/>
      <c r="QDQ1" s="2235"/>
      <c r="QDR1" s="2235"/>
      <c r="QDS1" s="2235"/>
      <c r="QDT1" s="2235"/>
      <c r="QDU1" s="2235"/>
      <c r="QDV1" s="2235"/>
      <c r="QDW1" s="2235"/>
      <c r="QDX1" s="2235"/>
      <c r="QDY1" s="2235"/>
      <c r="QDZ1" s="2235"/>
      <c r="QEA1" s="2235"/>
      <c r="QEB1" s="2235"/>
      <c r="QEC1" s="2235"/>
      <c r="QED1" s="2235"/>
      <c r="QEE1" s="2235"/>
      <c r="QEF1" s="2235"/>
      <c r="QEG1" s="2235"/>
      <c r="QEH1" s="2235"/>
      <c r="QEI1" s="2235"/>
      <c r="QEJ1" s="2235"/>
      <c r="QEK1" s="2235"/>
      <c r="QEL1" s="2235"/>
      <c r="QEM1" s="2235"/>
      <c r="QEN1" s="2235"/>
      <c r="QEO1" s="2235"/>
      <c r="QEP1" s="2235"/>
      <c r="QEQ1" s="2235"/>
      <c r="QER1" s="2235"/>
      <c r="QES1" s="2235"/>
      <c r="QET1" s="2235"/>
      <c r="QEU1" s="2235"/>
      <c r="QEV1" s="2235"/>
      <c r="QEW1" s="2235"/>
      <c r="QEX1" s="2235"/>
      <c r="QEY1" s="2235"/>
      <c r="QEZ1" s="2235"/>
      <c r="QFA1" s="2235"/>
      <c r="QFB1" s="2235"/>
      <c r="QFC1" s="2235"/>
      <c r="QFD1" s="2235"/>
      <c r="QFE1" s="2235"/>
      <c r="QFF1" s="2235"/>
      <c r="QFG1" s="2235"/>
      <c r="QFH1" s="2235"/>
      <c r="QFI1" s="2235"/>
      <c r="QFJ1" s="2235"/>
      <c r="QFK1" s="2235"/>
      <c r="QFL1" s="2235"/>
      <c r="QFM1" s="2235"/>
      <c r="QFN1" s="2235"/>
      <c r="QFO1" s="2235"/>
      <c r="QFP1" s="2235"/>
      <c r="QFQ1" s="2235"/>
      <c r="QFR1" s="2235"/>
      <c r="QFS1" s="2235"/>
      <c r="QFT1" s="2235"/>
      <c r="QFU1" s="2235"/>
      <c r="QFV1" s="2235"/>
      <c r="QFW1" s="2235"/>
      <c r="QFX1" s="2235"/>
      <c r="QFY1" s="2235"/>
      <c r="QFZ1" s="2235"/>
      <c r="QGA1" s="2235"/>
      <c r="QGB1" s="2235"/>
      <c r="QGC1" s="2235"/>
      <c r="QGD1" s="2235"/>
      <c r="QGE1" s="2235"/>
      <c r="QGF1" s="2235"/>
      <c r="QGG1" s="2235"/>
      <c r="QGH1" s="2235"/>
      <c r="QGI1" s="2235"/>
      <c r="QGJ1" s="2235"/>
      <c r="QGK1" s="2235"/>
      <c r="QGL1" s="2235"/>
      <c r="QGM1" s="2235"/>
      <c r="QGN1" s="2235"/>
      <c r="QGO1" s="2235"/>
      <c r="QGP1" s="2235"/>
      <c r="QGQ1" s="2235"/>
      <c r="QGR1" s="2235"/>
      <c r="QGS1" s="2235"/>
      <c r="QGT1" s="2235"/>
      <c r="QGU1" s="2235"/>
      <c r="QGV1" s="2235"/>
      <c r="QGW1" s="2235"/>
      <c r="QGX1" s="2235"/>
      <c r="QGY1" s="2235"/>
      <c r="QGZ1" s="2235"/>
      <c r="QHA1" s="2235"/>
      <c r="QHB1" s="2235"/>
      <c r="QHC1" s="2235"/>
      <c r="QHD1" s="2235"/>
      <c r="QHE1" s="2235"/>
      <c r="QHF1" s="2235"/>
      <c r="QHG1" s="2235"/>
      <c r="QHH1" s="2235"/>
      <c r="QHI1" s="2235"/>
      <c r="QHJ1" s="2235"/>
      <c r="QHK1" s="2235"/>
      <c r="QHL1" s="2235"/>
      <c r="QHM1" s="2235"/>
      <c r="QHN1" s="2235"/>
      <c r="QHO1" s="2235"/>
      <c r="QHP1" s="2235"/>
      <c r="QHQ1" s="2235"/>
      <c r="QHR1" s="2235"/>
      <c r="QHS1" s="2235"/>
      <c r="QHT1" s="2235"/>
      <c r="QHU1" s="2235"/>
      <c r="QHV1" s="2235"/>
      <c r="QHW1" s="2235"/>
      <c r="QHX1" s="2235"/>
      <c r="QHY1" s="2235"/>
      <c r="QHZ1" s="2235"/>
      <c r="QIA1" s="2235"/>
      <c r="QIB1" s="2235"/>
      <c r="QIC1" s="2235"/>
      <c r="QID1" s="2235"/>
      <c r="QIE1" s="2235"/>
      <c r="QIF1" s="2235"/>
      <c r="QIG1" s="2235"/>
      <c r="QIH1" s="2235"/>
      <c r="QII1" s="2235"/>
      <c r="QIJ1" s="2235"/>
      <c r="QIK1" s="2235"/>
      <c r="QIL1" s="2235"/>
      <c r="QIM1" s="2235"/>
      <c r="QIN1" s="2235"/>
      <c r="QIO1" s="2235"/>
      <c r="QIP1" s="2235"/>
      <c r="QIQ1" s="2235"/>
      <c r="QIR1" s="2235"/>
      <c r="QIS1" s="2235"/>
      <c r="QIT1" s="2235"/>
      <c r="QIU1" s="2235"/>
      <c r="QIV1" s="2235"/>
      <c r="QIW1" s="2235"/>
      <c r="QIX1" s="2235"/>
      <c r="QIY1" s="2235"/>
      <c r="QIZ1" s="2235"/>
      <c r="QJA1" s="2235"/>
      <c r="QJB1" s="2235"/>
      <c r="QJC1" s="2235"/>
      <c r="QJD1" s="2235"/>
      <c r="QJE1" s="2235"/>
      <c r="QJF1" s="2235"/>
      <c r="QJG1" s="2235"/>
      <c r="QJH1" s="2235"/>
      <c r="QJI1" s="2235"/>
      <c r="QJJ1" s="2235"/>
      <c r="QJK1" s="2235"/>
      <c r="QJL1" s="2235"/>
      <c r="QJM1" s="2235"/>
      <c r="QJN1" s="2235"/>
      <c r="QJO1" s="2235"/>
      <c r="QJP1" s="2235"/>
      <c r="QJQ1" s="2235"/>
      <c r="QJR1" s="2235"/>
      <c r="QJS1" s="2235"/>
      <c r="QJT1" s="2235"/>
      <c r="QJU1" s="2235"/>
      <c r="QJV1" s="2235"/>
      <c r="QJW1" s="2235"/>
      <c r="QJX1" s="2235"/>
      <c r="QJY1" s="2235"/>
      <c r="QJZ1" s="2235"/>
      <c r="QKA1" s="2235"/>
      <c r="QKB1" s="2235"/>
      <c r="QKC1" s="2235"/>
      <c r="QKD1" s="2235"/>
      <c r="QKE1" s="2235"/>
      <c r="QKF1" s="2235"/>
      <c r="QKG1" s="2235"/>
      <c r="QKH1" s="2235"/>
      <c r="QKI1" s="2235"/>
      <c r="QKJ1" s="2235"/>
      <c r="QKK1" s="2235"/>
      <c r="QKL1" s="2235"/>
      <c r="QKM1" s="2235"/>
      <c r="QKN1" s="2235"/>
      <c r="QKO1" s="2235"/>
      <c r="QKP1" s="2235"/>
      <c r="QKQ1" s="2235"/>
      <c r="QKR1" s="2235"/>
      <c r="QKS1" s="2235"/>
      <c r="QKT1" s="2235"/>
      <c r="QKU1" s="2235"/>
      <c r="QKV1" s="2235"/>
      <c r="QKW1" s="2235"/>
      <c r="QKX1" s="2235"/>
      <c r="QKY1" s="2235"/>
      <c r="QKZ1" s="2235"/>
      <c r="QLA1" s="2235"/>
      <c r="QLB1" s="2235"/>
      <c r="QLC1" s="2235"/>
      <c r="QLD1" s="2235"/>
      <c r="QLE1" s="2235"/>
      <c r="QLF1" s="2235"/>
      <c r="QLG1" s="2235"/>
      <c r="QLH1" s="2235"/>
      <c r="QLI1" s="2235"/>
      <c r="QLJ1" s="2235"/>
      <c r="QLK1" s="2235"/>
      <c r="QLL1" s="2235"/>
      <c r="QLM1" s="2235"/>
      <c r="QLN1" s="2235"/>
      <c r="QLO1" s="2235"/>
      <c r="QLP1" s="2235"/>
      <c r="QLQ1" s="2235"/>
      <c r="QLR1" s="2235"/>
      <c r="QLS1" s="2235"/>
      <c r="QLT1" s="2235"/>
      <c r="QLU1" s="2235"/>
      <c r="QLV1" s="2235"/>
      <c r="QLW1" s="2235"/>
      <c r="QLX1" s="2235"/>
      <c r="QLY1" s="2235"/>
      <c r="QLZ1" s="2235"/>
      <c r="QMA1" s="2235"/>
      <c r="QMB1" s="2235"/>
      <c r="QMC1" s="2235"/>
      <c r="QMD1" s="2235"/>
      <c r="QME1" s="2235"/>
      <c r="QMF1" s="2235"/>
      <c r="QMG1" s="2235"/>
      <c r="QMH1" s="2235"/>
      <c r="QMI1" s="2235"/>
      <c r="QMJ1" s="2235"/>
      <c r="QMK1" s="2235"/>
      <c r="QML1" s="2235"/>
      <c r="QMM1" s="2235"/>
      <c r="QMN1" s="2235"/>
      <c r="QMO1" s="2235"/>
      <c r="QMP1" s="2235"/>
      <c r="QMQ1" s="2235"/>
      <c r="QMR1" s="2235"/>
      <c r="QMS1" s="2235"/>
      <c r="QMT1" s="2235"/>
      <c r="QMU1" s="2235"/>
      <c r="QMV1" s="2235"/>
      <c r="QMW1" s="2235"/>
      <c r="QMX1" s="2235"/>
      <c r="QMY1" s="2235"/>
      <c r="QMZ1" s="2235"/>
      <c r="QNA1" s="2235"/>
      <c r="QNB1" s="2235"/>
      <c r="QNC1" s="2235"/>
      <c r="QND1" s="2235"/>
      <c r="QNE1" s="2235"/>
      <c r="QNF1" s="2235"/>
      <c r="QNG1" s="2235"/>
      <c r="QNH1" s="2235"/>
      <c r="QNI1" s="2235"/>
      <c r="QNJ1" s="2235"/>
      <c r="QNK1" s="2235"/>
      <c r="QNL1" s="2235"/>
      <c r="QNM1" s="2235"/>
      <c r="QNN1" s="2235"/>
      <c r="QNO1" s="2235"/>
      <c r="QNP1" s="2235"/>
      <c r="QNQ1" s="2235"/>
      <c r="QNR1" s="2235"/>
      <c r="QNS1" s="2235"/>
      <c r="QNT1" s="2235"/>
      <c r="QNU1" s="2235"/>
      <c r="QNV1" s="2235"/>
      <c r="QNW1" s="2235"/>
      <c r="QNX1" s="2235"/>
      <c r="QNY1" s="2235"/>
      <c r="QNZ1" s="2235"/>
      <c r="QOA1" s="2235"/>
      <c r="QOB1" s="2235"/>
      <c r="QOC1" s="2235"/>
      <c r="QOD1" s="2235"/>
      <c r="QOE1" s="2235"/>
      <c r="QOF1" s="2235"/>
      <c r="QOG1" s="2235"/>
      <c r="QOH1" s="2235"/>
      <c r="QOI1" s="2235"/>
      <c r="QOJ1" s="2235"/>
      <c r="QOK1" s="2235"/>
      <c r="QOL1" s="2235"/>
      <c r="QOM1" s="2235"/>
      <c r="QON1" s="2235"/>
      <c r="QOO1" s="2235"/>
      <c r="QOP1" s="2235"/>
      <c r="QOQ1" s="2235"/>
      <c r="QOR1" s="2235"/>
      <c r="QOS1" s="2235"/>
      <c r="QOT1" s="2235"/>
      <c r="QOU1" s="2235"/>
      <c r="QOV1" s="2235"/>
      <c r="QOW1" s="2235"/>
      <c r="QOX1" s="2235"/>
      <c r="QOY1" s="2235"/>
      <c r="QOZ1" s="2235"/>
      <c r="QPA1" s="2235"/>
      <c r="QPB1" s="2235"/>
      <c r="QPC1" s="2235"/>
      <c r="QPD1" s="2235"/>
      <c r="QPE1" s="2235"/>
      <c r="QPF1" s="2235"/>
      <c r="QPG1" s="2235"/>
      <c r="QPH1" s="2235"/>
      <c r="QPI1" s="2235"/>
      <c r="QPJ1" s="2235"/>
      <c r="QPK1" s="2235"/>
      <c r="QPL1" s="2235"/>
      <c r="QPM1" s="2235"/>
      <c r="QPN1" s="2235"/>
      <c r="QPO1" s="2235"/>
      <c r="QPP1" s="2235"/>
      <c r="QPQ1" s="2235"/>
      <c r="QPR1" s="2235"/>
      <c r="QPS1" s="2235"/>
      <c r="QPT1" s="2235"/>
      <c r="QPU1" s="2235"/>
      <c r="QPV1" s="2235"/>
      <c r="QPW1" s="2235"/>
      <c r="QPX1" s="2235"/>
      <c r="QPY1" s="2235"/>
      <c r="QPZ1" s="2235"/>
      <c r="QQA1" s="2235"/>
      <c r="QQB1" s="2235"/>
      <c r="QQC1" s="2235"/>
      <c r="QQD1" s="2235"/>
      <c r="QQE1" s="2235"/>
      <c r="QQF1" s="2235"/>
      <c r="QQG1" s="2235"/>
      <c r="QQH1" s="2235"/>
      <c r="QQI1" s="2235"/>
      <c r="QQJ1" s="2235"/>
      <c r="QQK1" s="2235"/>
      <c r="QQL1" s="2235"/>
      <c r="QQM1" s="2235"/>
      <c r="QQN1" s="2235"/>
      <c r="QQO1" s="2235"/>
      <c r="QQP1" s="2235"/>
      <c r="QQQ1" s="2235"/>
      <c r="QQR1" s="2235"/>
      <c r="QQS1" s="2235"/>
      <c r="QQT1" s="2235"/>
      <c r="QQU1" s="2235"/>
      <c r="QQV1" s="2235"/>
      <c r="QQW1" s="2235"/>
      <c r="QQX1" s="2235"/>
      <c r="QQY1" s="2235"/>
      <c r="QQZ1" s="2235"/>
      <c r="QRA1" s="2235"/>
      <c r="QRB1" s="2235"/>
      <c r="QRC1" s="2235"/>
      <c r="QRD1" s="2235"/>
      <c r="QRE1" s="2235"/>
      <c r="QRF1" s="2235"/>
      <c r="QRG1" s="2235"/>
      <c r="QRH1" s="2235"/>
      <c r="QRI1" s="2235"/>
      <c r="QRJ1" s="2235"/>
      <c r="QRK1" s="2235"/>
      <c r="QRL1" s="2235"/>
      <c r="QRM1" s="2235"/>
      <c r="QRN1" s="2235"/>
      <c r="QRO1" s="2235"/>
      <c r="QRP1" s="2235"/>
      <c r="QRQ1" s="2235"/>
      <c r="QRR1" s="2235"/>
      <c r="QRS1" s="2235"/>
      <c r="QRT1" s="2235"/>
      <c r="QRU1" s="2235"/>
      <c r="QRV1" s="2235"/>
      <c r="QRW1" s="2235"/>
      <c r="QRX1" s="2235"/>
      <c r="QRY1" s="2235"/>
      <c r="QRZ1" s="2235"/>
      <c r="QSA1" s="2235"/>
      <c r="QSB1" s="2235"/>
      <c r="QSC1" s="2235"/>
      <c r="QSD1" s="2235"/>
      <c r="QSE1" s="2235"/>
      <c r="QSF1" s="2235"/>
      <c r="QSG1" s="2235"/>
      <c r="QSH1" s="2235"/>
      <c r="QSI1" s="2235"/>
      <c r="QSJ1" s="2235"/>
      <c r="QSK1" s="2235"/>
      <c r="QSL1" s="2235"/>
      <c r="QSM1" s="2235"/>
      <c r="QSN1" s="2235"/>
      <c r="QSO1" s="2235"/>
      <c r="QSP1" s="2235"/>
      <c r="QSQ1" s="2235"/>
      <c r="QSR1" s="2235"/>
      <c r="QSS1" s="2235"/>
      <c r="QST1" s="2235"/>
      <c r="QSU1" s="2235"/>
      <c r="QSV1" s="2235"/>
      <c r="QSW1" s="2235"/>
      <c r="QSX1" s="2235"/>
      <c r="QSY1" s="2235"/>
      <c r="QSZ1" s="2235"/>
      <c r="QTA1" s="2235"/>
      <c r="QTB1" s="2235"/>
      <c r="QTC1" s="2235"/>
      <c r="QTD1" s="2235"/>
      <c r="QTE1" s="2235"/>
      <c r="QTF1" s="2235"/>
      <c r="QTG1" s="2235"/>
      <c r="QTH1" s="2235"/>
      <c r="QTI1" s="2235"/>
      <c r="QTJ1" s="2235"/>
      <c r="QTK1" s="2235"/>
      <c r="QTL1" s="2235"/>
      <c r="QTM1" s="2235"/>
      <c r="QTN1" s="2235"/>
      <c r="QTO1" s="2235"/>
      <c r="QTP1" s="2235"/>
      <c r="QTQ1" s="2235"/>
      <c r="QTR1" s="2235"/>
      <c r="QTS1" s="2235"/>
      <c r="QTT1" s="2235"/>
      <c r="QTU1" s="2235"/>
      <c r="QTV1" s="2235"/>
      <c r="QTW1" s="2235"/>
      <c r="QTX1" s="2235"/>
      <c r="QTY1" s="2235"/>
      <c r="QTZ1" s="2235"/>
      <c r="QUA1" s="2235"/>
      <c r="QUB1" s="2235"/>
      <c r="QUC1" s="2235"/>
      <c r="QUD1" s="2235"/>
      <c r="QUE1" s="2235"/>
      <c r="QUF1" s="2235"/>
      <c r="QUG1" s="2235"/>
      <c r="QUH1" s="2235"/>
      <c r="QUI1" s="2235"/>
      <c r="QUJ1" s="2235"/>
      <c r="QUK1" s="2235"/>
      <c r="QUL1" s="2235"/>
      <c r="QUM1" s="2235"/>
      <c r="QUN1" s="2235"/>
      <c r="QUO1" s="2235"/>
      <c r="QUP1" s="2235"/>
      <c r="QUQ1" s="2235"/>
      <c r="QUR1" s="2235"/>
      <c r="QUS1" s="2235"/>
      <c r="QUT1" s="2235"/>
      <c r="QUU1" s="2235"/>
      <c r="QUV1" s="2235"/>
      <c r="QUW1" s="2235"/>
      <c r="QUX1" s="2235"/>
      <c r="QUY1" s="2235"/>
      <c r="QUZ1" s="2235"/>
      <c r="QVA1" s="2235"/>
      <c r="QVB1" s="2235"/>
      <c r="QVC1" s="2235"/>
      <c r="QVD1" s="2235"/>
      <c r="QVE1" s="2235"/>
      <c r="QVF1" s="2235"/>
      <c r="QVG1" s="2235"/>
      <c r="QVH1" s="2235"/>
      <c r="QVI1" s="2235"/>
      <c r="QVJ1" s="2235"/>
      <c r="QVK1" s="2235"/>
      <c r="QVL1" s="2235"/>
      <c r="QVM1" s="2235"/>
      <c r="QVN1" s="2235"/>
      <c r="QVO1" s="2235"/>
      <c r="QVP1" s="2235"/>
      <c r="QVQ1" s="2235"/>
      <c r="QVR1" s="2235"/>
      <c r="QVS1" s="2235"/>
      <c r="QVT1" s="2235"/>
      <c r="QVU1" s="2235"/>
      <c r="QVV1" s="2235"/>
      <c r="QVW1" s="2235"/>
      <c r="QVX1" s="2235"/>
      <c r="QVY1" s="2235"/>
      <c r="QVZ1" s="2235"/>
      <c r="QWA1" s="2235"/>
      <c r="QWB1" s="2235"/>
      <c r="QWC1" s="2235"/>
      <c r="QWD1" s="2235"/>
      <c r="QWE1" s="2235"/>
      <c r="QWF1" s="2235"/>
      <c r="QWG1" s="2235"/>
      <c r="QWH1" s="2235"/>
      <c r="QWI1" s="2235"/>
      <c r="QWJ1" s="2235"/>
      <c r="QWK1" s="2235"/>
      <c r="QWL1" s="2235"/>
      <c r="QWM1" s="2235"/>
      <c r="QWN1" s="2235"/>
      <c r="QWO1" s="2235"/>
      <c r="QWP1" s="2235"/>
      <c r="QWQ1" s="2235"/>
      <c r="QWR1" s="2235"/>
      <c r="QWS1" s="2235"/>
      <c r="QWT1" s="2235"/>
      <c r="QWU1" s="2235"/>
      <c r="QWV1" s="2235"/>
      <c r="QWW1" s="2235"/>
      <c r="QWX1" s="2235"/>
      <c r="QWY1" s="2235"/>
      <c r="QWZ1" s="2235"/>
      <c r="QXA1" s="2235"/>
      <c r="QXB1" s="2235"/>
      <c r="QXC1" s="2235"/>
      <c r="QXD1" s="2235"/>
      <c r="QXE1" s="2235"/>
      <c r="QXF1" s="2235"/>
      <c r="QXG1" s="2235"/>
      <c r="QXH1" s="2235"/>
      <c r="QXI1" s="2235"/>
      <c r="QXJ1" s="2235"/>
      <c r="QXK1" s="2235"/>
      <c r="QXL1" s="2235"/>
      <c r="QXM1" s="2235"/>
      <c r="QXN1" s="2235"/>
      <c r="QXO1" s="2235"/>
      <c r="QXP1" s="2235"/>
      <c r="QXQ1" s="2235"/>
      <c r="QXR1" s="2235"/>
      <c r="QXS1" s="2235"/>
      <c r="QXT1" s="2235"/>
      <c r="QXU1" s="2235"/>
      <c r="QXV1" s="2235"/>
      <c r="QXW1" s="2235"/>
      <c r="QXX1" s="2235"/>
      <c r="QXY1" s="2235"/>
      <c r="QXZ1" s="2235"/>
      <c r="QYA1" s="2235"/>
      <c r="QYB1" s="2235"/>
      <c r="QYC1" s="2235"/>
      <c r="QYD1" s="2235"/>
      <c r="QYE1" s="2235"/>
      <c r="QYF1" s="2235"/>
      <c r="QYG1" s="2235"/>
      <c r="QYH1" s="2235"/>
      <c r="QYI1" s="2235"/>
      <c r="QYJ1" s="2235"/>
      <c r="QYK1" s="2235"/>
      <c r="QYL1" s="2235"/>
      <c r="QYM1" s="2235"/>
      <c r="QYN1" s="2235"/>
      <c r="QYO1" s="2235"/>
      <c r="QYP1" s="2235"/>
      <c r="QYQ1" s="2235"/>
      <c r="QYR1" s="2235"/>
      <c r="QYS1" s="2235"/>
      <c r="QYT1" s="2235"/>
      <c r="QYU1" s="2235"/>
      <c r="QYV1" s="2235"/>
      <c r="QYW1" s="2235"/>
      <c r="QYX1" s="2235"/>
      <c r="QYY1" s="2235"/>
      <c r="QYZ1" s="2235"/>
      <c r="QZA1" s="2235"/>
      <c r="QZB1" s="2235"/>
      <c r="QZC1" s="2235"/>
      <c r="QZD1" s="2235"/>
      <c r="QZE1" s="2235"/>
      <c r="QZF1" s="2235"/>
      <c r="QZG1" s="2235"/>
      <c r="QZH1" s="2235"/>
      <c r="QZI1" s="2235"/>
      <c r="QZJ1" s="2235"/>
      <c r="QZK1" s="2235"/>
      <c r="QZL1" s="2235"/>
      <c r="QZM1" s="2235"/>
      <c r="QZN1" s="2235"/>
      <c r="QZO1" s="2235"/>
      <c r="QZP1" s="2235"/>
      <c r="QZQ1" s="2235"/>
      <c r="QZR1" s="2235"/>
      <c r="QZS1" s="2235"/>
      <c r="QZT1" s="2235"/>
      <c r="QZU1" s="2235"/>
      <c r="QZV1" s="2235"/>
      <c r="QZW1" s="2235"/>
      <c r="QZX1" s="2235"/>
      <c r="QZY1" s="2235"/>
      <c r="QZZ1" s="2235"/>
      <c r="RAA1" s="2235"/>
      <c r="RAB1" s="2235"/>
      <c r="RAC1" s="2235"/>
      <c r="RAD1" s="2235"/>
      <c r="RAE1" s="2235"/>
      <c r="RAF1" s="2235"/>
      <c r="RAG1" s="2235"/>
      <c r="RAH1" s="2235"/>
      <c r="RAI1" s="2235"/>
      <c r="RAJ1" s="2235"/>
      <c r="RAK1" s="2235"/>
      <c r="RAL1" s="2235"/>
      <c r="RAM1" s="2235"/>
      <c r="RAN1" s="2235"/>
      <c r="RAO1" s="2235"/>
      <c r="RAP1" s="2235"/>
      <c r="RAQ1" s="2235"/>
      <c r="RAR1" s="2235"/>
      <c r="RAS1" s="2235"/>
      <c r="RAT1" s="2235"/>
      <c r="RAU1" s="2235"/>
      <c r="RAV1" s="2235"/>
      <c r="RAW1" s="2235"/>
      <c r="RAX1" s="2235"/>
      <c r="RAY1" s="2235"/>
      <c r="RAZ1" s="2235"/>
      <c r="RBA1" s="2235"/>
      <c r="RBB1" s="2235"/>
      <c r="RBC1" s="2235"/>
      <c r="RBD1" s="2235"/>
      <c r="RBE1" s="2235"/>
      <c r="RBF1" s="2235"/>
      <c r="RBG1" s="2235"/>
      <c r="RBH1" s="2235"/>
      <c r="RBI1" s="2235"/>
      <c r="RBJ1" s="2235"/>
      <c r="RBK1" s="2235"/>
      <c r="RBL1" s="2235"/>
      <c r="RBM1" s="2235"/>
      <c r="RBN1" s="2235"/>
      <c r="RBO1" s="2235"/>
      <c r="RBP1" s="2235"/>
      <c r="RBQ1" s="2235"/>
      <c r="RBR1" s="2235"/>
      <c r="RBS1" s="2235"/>
      <c r="RBT1" s="2235"/>
      <c r="RBU1" s="2235"/>
      <c r="RBV1" s="2235"/>
      <c r="RBW1" s="2235"/>
      <c r="RBX1" s="2235"/>
      <c r="RBY1" s="2235"/>
      <c r="RBZ1" s="2235"/>
      <c r="RCA1" s="2235"/>
      <c r="RCB1" s="2235"/>
      <c r="RCC1" s="2235"/>
      <c r="RCD1" s="2235"/>
      <c r="RCE1" s="2235"/>
      <c r="RCF1" s="2235"/>
      <c r="RCG1" s="2235"/>
      <c r="RCH1" s="2235"/>
      <c r="RCI1" s="2235"/>
      <c r="RCJ1" s="2235"/>
      <c r="RCK1" s="2235"/>
      <c r="RCL1" s="2235"/>
      <c r="RCM1" s="2235"/>
      <c r="RCN1" s="2235"/>
      <c r="RCO1" s="2235"/>
      <c r="RCP1" s="2235"/>
      <c r="RCQ1" s="2235"/>
      <c r="RCR1" s="2235"/>
      <c r="RCS1" s="2235"/>
      <c r="RCT1" s="2235"/>
      <c r="RCU1" s="2235"/>
      <c r="RCV1" s="2235"/>
      <c r="RCW1" s="2235"/>
      <c r="RCX1" s="2235"/>
      <c r="RCY1" s="2235"/>
      <c r="RCZ1" s="2235"/>
      <c r="RDA1" s="2235"/>
      <c r="RDB1" s="2235"/>
      <c r="RDC1" s="2235"/>
      <c r="RDD1" s="2235"/>
      <c r="RDE1" s="2235"/>
      <c r="RDF1" s="2235"/>
      <c r="RDG1" s="2235"/>
      <c r="RDH1" s="2235"/>
      <c r="RDI1" s="2235"/>
      <c r="RDJ1" s="2235"/>
      <c r="RDK1" s="2235"/>
      <c r="RDL1" s="2235"/>
      <c r="RDM1" s="2235"/>
      <c r="RDN1" s="2235"/>
      <c r="RDO1" s="2235"/>
      <c r="RDP1" s="2235"/>
      <c r="RDQ1" s="2235"/>
      <c r="RDR1" s="2235"/>
      <c r="RDS1" s="2235"/>
      <c r="RDT1" s="2235"/>
      <c r="RDU1" s="2235"/>
      <c r="RDV1" s="2235"/>
      <c r="RDW1" s="2235"/>
      <c r="RDX1" s="2235"/>
      <c r="RDY1" s="2235"/>
      <c r="RDZ1" s="2235"/>
      <c r="REA1" s="2235"/>
      <c r="REB1" s="2235"/>
      <c r="REC1" s="2235"/>
      <c r="RED1" s="2235"/>
      <c r="REE1" s="2235"/>
      <c r="REF1" s="2235"/>
      <c r="REG1" s="2235"/>
      <c r="REH1" s="2235"/>
      <c r="REI1" s="2235"/>
      <c r="REJ1" s="2235"/>
      <c r="REK1" s="2235"/>
      <c r="REL1" s="2235"/>
      <c r="REM1" s="2235"/>
      <c r="REN1" s="2235"/>
      <c r="REO1" s="2235"/>
      <c r="REP1" s="2235"/>
      <c r="REQ1" s="2235"/>
      <c r="RER1" s="2235"/>
      <c r="RES1" s="2235"/>
      <c r="RET1" s="2235"/>
      <c r="REU1" s="2235"/>
      <c r="REV1" s="2235"/>
      <c r="REW1" s="2235"/>
      <c r="REX1" s="2235"/>
      <c r="REY1" s="2235"/>
      <c r="REZ1" s="2235"/>
      <c r="RFA1" s="2235"/>
      <c r="RFB1" s="2235"/>
      <c r="RFC1" s="2235"/>
      <c r="RFD1" s="2235"/>
      <c r="RFE1" s="2235"/>
      <c r="RFF1" s="2235"/>
      <c r="RFG1" s="2235"/>
      <c r="RFH1" s="2235"/>
      <c r="RFI1" s="2235"/>
      <c r="RFJ1" s="2235"/>
      <c r="RFK1" s="2235"/>
      <c r="RFL1" s="2235"/>
      <c r="RFM1" s="2235"/>
      <c r="RFN1" s="2235"/>
      <c r="RFO1" s="2235"/>
      <c r="RFP1" s="2235"/>
      <c r="RFQ1" s="2235"/>
      <c r="RFR1" s="2235"/>
      <c r="RFS1" s="2235"/>
      <c r="RFT1" s="2235"/>
      <c r="RFU1" s="2235"/>
      <c r="RFV1" s="2235"/>
      <c r="RFW1" s="2235"/>
      <c r="RFX1" s="2235"/>
      <c r="RFY1" s="2235"/>
      <c r="RFZ1" s="2235"/>
      <c r="RGA1" s="2235"/>
      <c r="RGB1" s="2235"/>
      <c r="RGC1" s="2235"/>
      <c r="RGD1" s="2235"/>
      <c r="RGE1" s="2235"/>
      <c r="RGF1" s="2235"/>
      <c r="RGG1" s="2235"/>
      <c r="RGH1" s="2235"/>
      <c r="RGI1" s="2235"/>
      <c r="RGJ1" s="2235"/>
      <c r="RGK1" s="2235"/>
      <c r="RGL1" s="2235"/>
      <c r="RGM1" s="2235"/>
      <c r="RGN1" s="2235"/>
      <c r="RGO1" s="2235"/>
      <c r="RGP1" s="2235"/>
      <c r="RGQ1" s="2235"/>
      <c r="RGR1" s="2235"/>
      <c r="RGS1" s="2235"/>
      <c r="RGT1" s="2235"/>
      <c r="RGU1" s="2235"/>
      <c r="RGV1" s="2235"/>
      <c r="RGW1" s="2235"/>
      <c r="RGX1" s="2235"/>
      <c r="RGY1" s="2235"/>
      <c r="RGZ1" s="2235"/>
      <c r="RHA1" s="2235"/>
      <c r="RHB1" s="2235"/>
      <c r="RHC1" s="2235"/>
      <c r="RHD1" s="2235"/>
      <c r="RHE1" s="2235"/>
      <c r="RHF1" s="2235"/>
      <c r="RHG1" s="2235"/>
      <c r="RHH1" s="2235"/>
      <c r="RHI1" s="2235"/>
      <c r="RHJ1" s="2235"/>
      <c r="RHK1" s="2235"/>
      <c r="RHL1" s="2235"/>
      <c r="RHM1" s="2235"/>
      <c r="RHN1" s="2235"/>
      <c r="RHO1" s="2235"/>
      <c r="RHP1" s="2235"/>
      <c r="RHQ1" s="2235"/>
      <c r="RHR1" s="2235"/>
      <c r="RHS1" s="2235"/>
      <c r="RHT1" s="2235"/>
      <c r="RHU1" s="2235"/>
      <c r="RHV1" s="2235"/>
      <c r="RHW1" s="2235"/>
      <c r="RHX1" s="2235"/>
      <c r="RHY1" s="2235"/>
      <c r="RHZ1" s="2235"/>
      <c r="RIA1" s="2235"/>
      <c r="RIB1" s="2235"/>
      <c r="RIC1" s="2235"/>
      <c r="RID1" s="2235"/>
      <c r="RIE1" s="2235"/>
      <c r="RIF1" s="2235"/>
      <c r="RIG1" s="2235"/>
      <c r="RIH1" s="2235"/>
      <c r="RII1" s="2235"/>
      <c r="RIJ1" s="2235"/>
      <c r="RIK1" s="2235"/>
      <c r="RIL1" s="2235"/>
      <c r="RIM1" s="2235"/>
      <c r="RIN1" s="2235"/>
      <c r="RIO1" s="2235"/>
      <c r="RIP1" s="2235"/>
      <c r="RIQ1" s="2235"/>
      <c r="RIR1" s="2235"/>
      <c r="RIS1" s="2235"/>
      <c r="RIT1" s="2235"/>
      <c r="RIU1" s="2235"/>
      <c r="RIV1" s="2235"/>
      <c r="RIW1" s="2235"/>
      <c r="RIX1" s="2235"/>
      <c r="RIY1" s="2235"/>
      <c r="RIZ1" s="2235"/>
      <c r="RJA1" s="2235"/>
      <c r="RJB1" s="2235"/>
      <c r="RJC1" s="2235"/>
      <c r="RJD1" s="2235"/>
      <c r="RJE1" s="2235"/>
      <c r="RJF1" s="2235"/>
      <c r="RJG1" s="2235"/>
      <c r="RJH1" s="2235"/>
      <c r="RJI1" s="2235"/>
      <c r="RJJ1" s="2235"/>
      <c r="RJK1" s="2235"/>
      <c r="RJL1" s="2235"/>
      <c r="RJM1" s="2235"/>
      <c r="RJN1" s="2235"/>
      <c r="RJO1" s="2235"/>
      <c r="RJP1" s="2235"/>
      <c r="RJQ1" s="2235"/>
      <c r="RJR1" s="2235"/>
      <c r="RJS1" s="2235"/>
      <c r="RJT1" s="2235"/>
      <c r="RJU1" s="2235"/>
      <c r="RJV1" s="2235"/>
      <c r="RJW1" s="2235"/>
      <c r="RJX1" s="2235"/>
      <c r="RJY1" s="2235"/>
      <c r="RJZ1" s="2235"/>
      <c r="RKA1" s="2235"/>
      <c r="RKB1" s="2235"/>
      <c r="RKC1" s="2235"/>
      <c r="RKD1" s="2235"/>
      <c r="RKE1" s="2235"/>
      <c r="RKF1" s="2235"/>
      <c r="RKG1" s="2235"/>
      <c r="RKH1" s="2235"/>
      <c r="RKI1" s="2235"/>
      <c r="RKJ1" s="2235"/>
      <c r="RKK1" s="2235"/>
      <c r="RKL1" s="2235"/>
      <c r="RKM1" s="2235"/>
      <c r="RKN1" s="2235"/>
      <c r="RKO1" s="2235"/>
      <c r="RKP1" s="2235"/>
      <c r="RKQ1" s="2235"/>
      <c r="RKR1" s="2235"/>
      <c r="RKS1" s="2235"/>
      <c r="RKT1" s="2235"/>
      <c r="RKU1" s="2235"/>
      <c r="RKV1" s="2235"/>
      <c r="RKW1" s="2235"/>
      <c r="RKX1" s="2235"/>
      <c r="RKY1" s="2235"/>
      <c r="RKZ1" s="2235"/>
      <c r="RLA1" s="2235"/>
      <c r="RLB1" s="2235"/>
      <c r="RLC1" s="2235"/>
      <c r="RLD1" s="2235"/>
      <c r="RLE1" s="2235"/>
      <c r="RLF1" s="2235"/>
      <c r="RLG1" s="2235"/>
      <c r="RLH1" s="2235"/>
      <c r="RLI1" s="2235"/>
      <c r="RLJ1" s="2235"/>
      <c r="RLK1" s="2235"/>
      <c r="RLL1" s="2235"/>
      <c r="RLM1" s="2235"/>
      <c r="RLN1" s="2235"/>
      <c r="RLO1" s="2235"/>
      <c r="RLP1" s="2235"/>
      <c r="RLQ1" s="2235"/>
      <c r="RLR1" s="2235"/>
      <c r="RLS1" s="2235"/>
      <c r="RLT1" s="2235"/>
      <c r="RLU1" s="2235"/>
      <c r="RLV1" s="2235"/>
      <c r="RLW1" s="2235"/>
      <c r="RLX1" s="2235"/>
      <c r="RLY1" s="2235"/>
      <c r="RLZ1" s="2235"/>
      <c r="RMA1" s="2235"/>
      <c r="RMB1" s="2235"/>
      <c r="RMC1" s="2235"/>
      <c r="RMD1" s="2235"/>
      <c r="RME1" s="2235"/>
      <c r="RMF1" s="2235"/>
      <c r="RMG1" s="2235"/>
      <c r="RMH1" s="2235"/>
      <c r="RMI1" s="2235"/>
      <c r="RMJ1" s="2235"/>
      <c r="RMK1" s="2235"/>
      <c r="RML1" s="2235"/>
      <c r="RMM1" s="2235"/>
      <c r="RMN1" s="2235"/>
      <c r="RMO1" s="2235"/>
      <c r="RMP1" s="2235"/>
      <c r="RMQ1" s="2235"/>
      <c r="RMR1" s="2235"/>
      <c r="RMS1" s="2235"/>
      <c r="RMT1" s="2235"/>
      <c r="RMU1" s="2235"/>
      <c r="RMV1" s="2235"/>
      <c r="RMW1" s="2235"/>
      <c r="RMX1" s="2235"/>
      <c r="RMY1" s="2235"/>
      <c r="RMZ1" s="2235"/>
      <c r="RNA1" s="2235"/>
      <c r="RNB1" s="2235"/>
      <c r="RNC1" s="2235"/>
      <c r="RND1" s="2235"/>
      <c r="RNE1" s="2235"/>
      <c r="RNF1" s="2235"/>
      <c r="RNG1" s="2235"/>
      <c r="RNH1" s="2235"/>
      <c r="RNI1" s="2235"/>
      <c r="RNJ1" s="2235"/>
      <c r="RNK1" s="2235"/>
      <c r="RNL1" s="2235"/>
      <c r="RNM1" s="2235"/>
      <c r="RNN1" s="2235"/>
      <c r="RNO1" s="2235"/>
      <c r="RNP1" s="2235"/>
      <c r="RNQ1" s="2235"/>
      <c r="RNR1" s="2235"/>
      <c r="RNS1" s="2235"/>
      <c r="RNT1" s="2235"/>
      <c r="RNU1" s="2235"/>
      <c r="RNV1" s="2235"/>
      <c r="RNW1" s="2235"/>
      <c r="RNX1" s="2235"/>
      <c r="RNY1" s="2235"/>
      <c r="RNZ1" s="2235"/>
      <c r="ROA1" s="2235"/>
      <c r="ROB1" s="2235"/>
      <c r="ROC1" s="2235"/>
      <c r="ROD1" s="2235"/>
      <c r="ROE1" s="2235"/>
      <c r="ROF1" s="2235"/>
      <c r="ROG1" s="2235"/>
      <c r="ROH1" s="2235"/>
      <c r="ROI1" s="2235"/>
      <c r="ROJ1" s="2235"/>
      <c r="ROK1" s="2235"/>
      <c r="ROL1" s="2235"/>
      <c r="ROM1" s="2235"/>
      <c r="RON1" s="2235"/>
      <c r="ROO1" s="2235"/>
      <c r="ROP1" s="2235"/>
      <c r="ROQ1" s="2235"/>
      <c r="ROR1" s="2235"/>
      <c r="ROS1" s="2235"/>
      <c r="ROT1" s="2235"/>
      <c r="ROU1" s="2235"/>
      <c r="ROV1" s="2235"/>
      <c r="ROW1" s="2235"/>
      <c r="ROX1" s="2235"/>
      <c r="ROY1" s="2235"/>
      <c r="ROZ1" s="2235"/>
      <c r="RPA1" s="2235"/>
      <c r="RPB1" s="2235"/>
      <c r="RPC1" s="2235"/>
      <c r="RPD1" s="2235"/>
      <c r="RPE1" s="2235"/>
      <c r="RPF1" s="2235"/>
      <c r="RPG1" s="2235"/>
      <c r="RPH1" s="2235"/>
      <c r="RPI1" s="2235"/>
      <c r="RPJ1" s="2235"/>
      <c r="RPK1" s="2235"/>
      <c r="RPL1" s="2235"/>
      <c r="RPM1" s="2235"/>
      <c r="RPN1" s="2235"/>
      <c r="RPO1" s="2235"/>
      <c r="RPP1" s="2235"/>
      <c r="RPQ1" s="2235"/>
      <c r="RPR1" s="2235"/>
      <c r="RPS1" s="2235"/>
      <c r="RPT1" s="2235"/>
      <c r="RPU1" s="2235"/>
      <c r="RPV1" s="2235"/>
      <c r="RPW1" s="2235"/>
      <c r="RPX1" s="2235"/>
      <c r="RPY1" s="2235"/>
      <c r="RPZ1" s="2235"/>
      <c r="RQA1" s="2235"/>
      <c r="RQB1" s="2235"/>
      <c r="RQC1" s="2235"/>
      <c r="RQD1" s="2235"/>
      <c r="RQE1" s="2235"/>
      <c r="RQF1" s="2235"/>
      <c r="RQG1" s="2235"/>
      <c r="RQH1" s="2235"/>
      <c r="RQI1" s="2235"/>
      <c r="RQJ1" s="2235"/>
      <c r="RQK1" s="2235"/>
      <c r="RQL1" s="2235"/>
      <c r="RQM1" s="2235"/>
      <c r="RQN1" s="2235"/>
      <c r="RQO1" s="2235"/>
      <c r="RQP1" s="2235"/>
      <c r="RQQ1" s="2235"/>
      <c r="RQR1" s="2235"/>
      <c r="RQS1" s="2235"/>
      <c r="RQT1" s="2235"/>
      <c r="RQU1" s="2235"/>
      <c r="RQV1" s="2235"/>
      <c r="RQW1" s="2235"/>
      <c r="RQX1" s="2235"/>
      <c r="RQY1" s="2235"/>
      <c r="RQZ1" s="2235"/>
      <c r="RRA1" s="2235"/>
      <c r="RRB1" s="2235"/>
      <c r="RRC1" s="2235"/>
      <c r="RRD1" s="2235"/>
      <c r="RRE1" s="2235"/>
      <c r="RRF1" s="2235"/>
      <c r="RRG1" s="2235"/>
      <c r="RRH1" s="2235"/>
      <c r="RRI1" s="2235"/>
      <c r="RRJ1" s="2235"/>
      <c r="RRK1" s="2235"/>
      <c r="RRL1" s="2235"/>
      <c r="RRM1" s="2235"/>
      <c r="RRN1" s="2235"/>
      <c r="RRO1" s="2235"/>
      <c r="RRP1" s="2235"/>
      <c r="RRQ1" s="2235"/>
      <c r="RRR1" s="2235"/>
      <c r="RRS1" s="2235"/>
      <c r="RRT1" s="2235"/>
      <c r="RRU1" s="2235"/>
      <c r="RRV1" s="2235"/>
      <c r="RRW1" s="2235"/>
      <c r="RRX1" s="2235"/>
      <c r="RRY1" s="2235"/>
      <c r="RRZ1" s="2235"/>
      <c r="RSA1" s="2235"/>
      <c r="RSB1" s="2235"/>
      <c r="RSC1" s="2235"/>
      <c r="RSD1" s="2235"/>
      <c r="RSE1" s="2235"/>
      <c r="RSF1" s="2235"/>
      <c r="RSG1" s="2235"/>
      <c r="RSH1" s="2235"/>
      <c r="RSI1" s="2235"/>
      <c r="RSJ1" s="2235"/>
      <c r="RSK1" s="2235"/>
      <c r="RSL1" s="2235"/>
      <c r="RSM1" s="2235"/>
      <c r="RSN1" s="2235"/>
      <c r="RSO1" s="2235"/>
      <c r="RSP1" s="2235"/>
      <c r="RSQ1" s="2235"/>
      <c r="RSR1" s="2235"/>
      <c r="RSS1" s="2235"/>
      <c r="RST1" s="2235"/>
      <c r="RSU1" s="2235"/>
      <c r="RSV1" s="2235"/>
      <c r="RSW1" s="2235"/>
      <c r="RSX1" s="2235"/>
      <c r="RSY1" s="2235"/>
      <c r="RSZ1" s="2235"/>
      <c r="RTA1" s="2235"/>
      <c r="RTB1" s="2235"/>
      <c r="RTC1" s="2235"/>
      <c r="RTD1" s="2235"/>
      <c r="RTE1" s="2235"/>
      <c r="RTF1" s="2235"/>
      <c r="RTG1" s="2235"/>
      <c r="RTH1" s="2235"/>
      <c r="RTI1" s="2235"/>
      <c r="RTJ1" s="2235"/>
      <c r="RTK1" s="2235"/>
      <c r="RTL1" s="2235"/>
      <c r="RTM1" s="2235"/>
      <c r="RTN1" s="2235"/>
      <c r="RTO1" s="2235"/>
      <c r="RTP1" s="2235"/>
      <c r="RTQ1" s="2235"/>
      <c r="RTR1" s="2235"/>
      <c r="RTS1" s="2235"/>
      <c r="RTT1" s="2235"/>
      <c r="RTU1" s="2235"/>
      <c r="RTV1" s="2235"/>
      <c r="RTW1" s="2235"/>
      <c r="RTX1" s="2235"/>
      <c r="RTY1" s="2235"/>
      <c r="RTZ1" s="2235"/>
      <c r="RUA1" s="2235"/>
      <c r="RUB1" s="2235"/>
      <c r="RUC1" s="2235"/>
      <c r="RUD1" s="2235"/>
      <c r="RUE1" s="2235"/>
      <c r="RUF1" s="2235"/>
      <c r="RUG1" s="2235"/>
      <c r="RUH1" s="2235"/>
      <c r="RUI1" s="2235"/>
      <c r="RUJ1" s="2235"/>
      <c r="RUK1" s="2235"/>
      <c r="RUL1" s="2235"/>
      <c r="RUM1" s="2235"/>
      <c r="RUN1" s="2235"/>
      <c r="RUO1" s="2235"/>
      <c r="RUP1" s="2235"/>
      <c r="RUQ1" s="2235"/>
      <c r="RUR1" s="2235"/>
      <c r="RUS1" s="2235"/>
      <c r="RUT1" s="2235"/>
      <c r="RUU1" s="2235"/>
      <c r="RUV1" s="2235"/>
      <c r="RUW1" s="2235"/>
      <c r="RUX1" s="2235"/>
      <c r="RUY1" s="2235"/>
      <c r="RUZ1" s="2235"/>
      <c r="RVA1" s="2235"/>
      <c r="RVB1" s="2235"/>
      <c r="RVC1" s="2235"/>
      <c r="RVD1" s="2235"/>
      <c r="RVE1" s="2235"/>
      <c r="RVF1" s="2235"/>
      <c r="RVG1" s="2235"/>
      <c r="RVH1" s="2235"/>
      <c r="RVI1" s="2235"/>
      <c r="RVJ1" s="2235"/>
      <c r="RVK1" s="2235"/>
      <c r="RVL1" s="2235"/>
      <c r="RVM1" s="2235"/>
      <c r="RVN1" s="2235"/>
      <c r="RVO1" s="2235"/>
      <c r="RVP1" s="2235"/>
      <c r="RVQ1" s="2235"/>
      <c r="RVR1" s="2235"/>
      <c r="RVS1" s="2235"/>
      <c r="RVT1" s="2235"/>
      <c r="RVU1" s="2235"/>
      <c r="RVV1" s="2235"/>
      <c r="RVW1" s="2235"/>
      <c r="RVX1" s="2235"/>
      <c r="RVY1" s="2235"/>
      <c r="RVZ1" s="2235"/>
      <c r="RWA1" s="2235"/>
      <c r="RWB1" s="2235"/>
      <c r="RWC1" s="2235"/>
      <c r="RWD1" s="2235"/>
      <c r="RWE1" s="2235"/>
      <c r="RWF1" s="2235"/>
      <c r="RWG1" s="2235"/>
      <c r="RWH1" s="2235"/>
      <c r="RWI1" s="2235"/>
      <c r="RWJ1" s="2235"/>
      <c r="RWK1" s="2235"/>
      <c r="RWL1" s="2235"/>
      <c r="RWM1" s="2235"/>
      <c r="RWN1" s="2235"/>
      <c r="RWO1" s="2235"/>
      <c r="RWP1" s="2235"/>
      <c r="RWQ1" s="2235"/>
      <c r="RWR1" s="2235"/>
      <c r="RWS1" s="2235"/>
      <c r="RWT1" s="2235"/>
      <c r="RWU1" s="2235"/>
      <c r="RWV1" s="2235"/>
      <c r="RWW1" s="2235"/>
      <c r="RWX1" s="2235"/>
      <c r="RWY1" s="2235"/>
      <c r="RWZ1" s="2235"/>
      <c r="RXA1" s="2235"/>
      <c r="RXB1" s="2235"/>
      <c r="RXC1" s="2235"/>
      <c r="RXD1" s="2235"/>
      <c r="RXE1" s="2235"/>
      <c r="RXF1" s="2235"/>
      <c r="RXG1" s="2235"/>
      <c r="RXH1" s="2235"/>
      <c r="RXI1" s="2235"/>
      <c r="RXJ1" s="2235"/>
      <c r="RXK1" s="2235"/>
      <c r="RXL1" s="2235"/>
      <c r="RXM1" s="2235"/>
      <c r="RXN1" s="2235"/>
      <c r="RXO1" s="2235"/>
      <c r="RXP1" s="2235"/>
      <c r="RXQ1" s="2235"/>
      <c r="RXR1" s="2235"/>
      <c r="RXS1" s="2235"/>
      <c r="RXT1" s="2235"/>
      <c r="RXU1" s="2235"/>
      <c r="RXV1" s="2235"/>
      <c r="RXW1" s="2235"/>
      <c r="RXX1" s="2235"/>
      <c r="RXY1" s="2235"/>
      <c r="RXZ1" s="2235"/>
      <c r="RYA1" s="2235"/>
      <c r="RYB1" s="2235"/>
      <c r="RYC1" s="2235"/>
      <c r="RYD1" s="2235"/>
      <c r="RYE1" s="2235"/>
      <c r="RYF1" s="2235"/>
      <c r="RYG1" s="2235"/>
      <c r="RYH1" s="2235"/>
      <c r="RYI1" s="2235"/>
      <c r="RYJ1" s="2235"/>
      <c r="RYK1" s="2235"/>
      <c r="RYL1" s="2235"/>
      <c r="RYM1" s="2235"/>
      <c r="RYN1" s="2235"/>
      <c r="RYO1" s="2235"/>
      <c r="RYP1" s="2235"/>
      <c r="RYQ1" s="2235"/>
      <c r="RYR1" s="2235"/>
      <c r="RYS1" s="2235"/>
      <c r="RYT1" s="2235"/>
      <c r="RYU1" s="2235"/>
      <c r="RYV1" s="2235"/>
      <c r="RYW1" s="2235"/>
      <c r="RYX1" s="2235"/>
      <c r="RYY1" s="2235"/>
      <c r="RYZ1" s="2235"/>
      <c r="RZA1" s="2235"/>
      <c r="RZB1" s="2235"/>
      <c r="RZC1" s="2235"/>
      <c r="RZD1" s="2235"/>
      <c r="RZE1" s="2235"/>
      <c r="RZF1" s="2235"/>
      <c r="RZG1" s="2235"/>
      <c r="RZH1" s="2235"/>
      <c r="RZI1" s="2235"/>
      <c r="RZJ1" s="2235"/>
      <c r="RZK1" s="2235"/>
      <c r="RZL1" s="2235"/>
      <c r="RZM1" s="2235"/>
      <c r="RZN1" s="2235"/>
      <c r="RZO1" s="2235"/>
      <c r="RZP1" s="2235"/>
      <c r="RZQ1" s="2235"/>
      <c r="RZR1" s="2235"/>
      <c r="RZS1" s="2235"/>
      <c r="RZT1" s="2235"/>
      <c r="RZU1" s="2235"/>
      <c r="RZV1" s="2235"/>
      <c r="RZW1" s="2235"/>
      <c r="RZX1" s="2235"/>
      <c r="RZY1" s="2235"/>
      <c r="RZZ1" s="2235"/>
      <c r="SAA1" s="2235"/>
      <c r="SAB1" s="2235"/>
      <c r="SAC1" s="2235"/>
      <c r="SAD1" s="2235"/>
      <c r="SAE1" s="2235"/>
      <c r="SAF1" s="2235"/>
      <c r="SAG1" s="2235"/>
      <c r="SAH1" s="2235"/>
      <c r="SAI1" s="2235"/>
      <c r="SAJ1" s="2235"/>
      <c r="SAK1" s="2235"/>
      <c r="SAL1" s="2235"/>
      <c r="SAM1" s="2235"/>
      <c r="SAN1" s="2235"/>
      <c r="SAO1" s="2235"/>
      <c r="SAP1" s="2235"/>
      <c r="SAQ1" s="2235"/>
      <c r="SAR1" s="2235"/>
      <c r="SAS1" s="2235"/>
      <c r="SAT1" s="2235"/>
      <c r="SAU1" s="2235"/>
      <c r="SAV1" s="2235"/>
      <c r="SAW1" s="2235"/>
      <c r="SAX1" s="2235"/>
      <c r="SAY1" s="2235"/>
      <c r="SAZ1" s="2235"/>
      <c r="SBA1" s="2235"/>
      <c r="SBB1" s="2235"/>
      <c r="SBC1" s="2235"/>
      <c r="SBD1" s="2235"/>
      <c r="SBE1" s="2235"/>
      <c r="SBF1" s="2235"/>
      <c r="SBG1" s="2235"/>
      <c r="SBH1" s="2235"/>
      <c r="SBI1" s="2235"/>
      <c r="SBJ1" s="2235"/>
      <c r="SBK1" s="2235"/>
      <c r="SBL1" s="2235"/>
      <c r="SBM1" s="2235"/>
      <c r="SBN1" s="2235"/>
      <c r="SBO1" s="2235"/>
      <c r="SBP1" s="2235"/>
      <c r="SBQ1" s="2235"/>
      <c r="SBR1" s="2235"/>
      <c r="SBS1" s="2235"/>
      <c r="SBT1" s="2235"/>
      <c r="SBU1" s="2235"/>
      <c r="SBV1" s="2235"/>
      <c r="SBW1" s="2235"/>
      <c r="SBX1" s="2235"/>
      <c r="SBY1" s="2235"/>
      <c r="SBZ1" s="2235"/>
      <c r="SCA1" s="2235"/>
      <c r="SCB1" s="2235"/>
      <c r="SCC1" s="2235"/>
      <c r="SCD1" s="2235"/>
      <c r="SCE1" s="2235"/>
      <c r="SCF1" s="2235"/>
      <c r="SCG1" s="2235"/>
      <c r="SCH1" s="2235"/>
      <c r="SCI1" s="2235"/>
      <c r="SCJ1" s="2235"/>
      <c r="SCK1" s="2235"/>
      <c r="SCL1" s="2235"/>
      <c r="SCM1" s="2235"/>
      <c r="SCN1" s="2235"/>
      <c r="SCO1" s="2235"/>
      <c r="SCP1" s="2235"/>
      <c r="SCQ1" s="2235"/>
      <c r="SCR1" s="2235"/>
      <c r="SCS1" s="2235"/>
      <c r="SCT1" s="2235"/>
      <c r="SCU1" s="2235"/>
      <c r="SCV1" s="2235"/>
      <c r="SCW1" s="2235"/>
      <c r="SCX1" s="2235"/>
      <c r="SCY1" s="2235"/>
      <c r="SCZ1" s="2235"/>
      <c r="SDA1" s="2235"/>
      <c r="SDB1" s="2235"/>
      <c r="SDC1" s="2235"/>
      <c r="SDD1" s="2235"/>
      <c r="SDE1" s="2235"/>
      <c r="SDF1" s="2235"/>
      <c r="SDG1" s="2235"/>
      <c r="SDH1" s="2235"/>
      <c r="SDI1" s="2235"/>
      <c r="SDJ1" s="2235"/>
      <c r="SDK1" s="2235"/>
      <c r="SDL1" s="2235"/>
      <c r="SDM1" s="2235"/>
      <c r="SDN1" s="2235"/>
      <c r="SDO1" s="2235"/>
      <c r="SDP1" s="2235"/>
      <c r="SDQ1" s="2235"/>
      <c r="SDR1" s="2235"/>
      <c r="SDS1" s="2235"/>
      <c r="SDT1" s="2235"/>
      <c r="SDU1" s="2235"/>
      <c r="SDV1" s="2235"/>
      <c r="SDW1" s="2235"/>
      <c r="SDX1" s="2235"/>
      <c r="SDY1" s="2235"/>
      <c r="SDZ1" s="2235"/>
      <c r="SEA1" s="2235"/>
      <c r="SEB1" s="2235"/>
      <c r="SEC1" s="2235"/>
      <c r="SED1" s="2235"/>
      <c r="SEE1" s="2235"/>
      <c r="SEF1" s="2235"/>
      <c r="SEG1" s="2235"/>
      <c r="SEH1" s="2235"/>
      <c r="SEI1" s="2235"/>
      <c r="SEJ1" s="2235"/>
      <c r="SEK1" s="2235"/>
      <c r="SEL1" s="2235"/>
      <c r="SEM1" s="2235"/>
      <c r="SEN1" s="2235"/>
      <c r="SEO1" s="2235"/>
      <c r="SEP1" s="2235"/>
      <c r="SEQ1" s="2235"/>
      <c r="SER1" s="2235"/>
      <c r="SES1" s="2235"/>
      <c r="SET1" s="2235"/>
      <c r="SEU1" s="2235"/>
      <c r="SEV1" s="2235"/>
      <c r="SEW1" s="2235"/>
      <c r="SEX1" s="2235"/>
      <c r="SEY1" s="2235"/>
      <c r="SEZ1" s="2235"/>
      <c r="SFA1" s="2235"/>
      <c r="SFB1" s="2235"/>
      <c r="SFC1" s="2235"/>
      <c r="SFD1" s="2235"/>
      <c r="SFE1" s="2235"/>
      <c r="SFF1" s="2235"/>
      <c r="SFG1" s="2235"/>
      <c r="SFH1" s="2235"/>
      <c r="SFI1" s="2235"/>
      <c r="SFJ1" s="2235"/>
      <c r="SFK1" s="2235"/>
      <c r="SFL1" s="2235"/>
      <c r="SFM1" s="2235"/>
      <c r="SFN1" s="2235"/>
      <c r="SFO1" s="2235"/>
      <c r="SFP1" s="2235"/>
      <c r="SFQ1" s="2235"/>
      <c r="SFR1" s="2235"/>
      <c r="SFS1" s="2235"/>
      <c r="SFT1" s="2235"/>
      <c r="SFU1" s="2235"/>
      <c r="SFV1" s="2235"/>
      <c r="SFW1" s="2235"/>
      <c r="SFX1" s="2235"/>
      <c r="SFY1" s="2235"/>
      <c r="SFZ1" s="2235"/>
      <c r="SGA1" s="2235"/>
      <c r="SGB1" s="2235"/>
      <c r="SGC1" s="2235"/>
      <c r="SGD1" s="2235"/>
      <c r="SGE1" s="2235"/>
      <c r="SGF1" s="2235"/>
      <c r="SGG1" s="2235"/>
      <c r="SGH1" s="2235"/>
      <c r="SGI1" s="2235"/>
      <c r="SGJ1" s="2235"/>
      <c r="SGK1" s="2235"/>
      <c r="SGL1" s="2235"/>
      <c r="SGM1" s="2235"/>
      <c r="SGN1" s="2235"/>
      <c r="SGO1" s="2235"/>
      <c r="SGP1" s="2235"/>
      <c r="SGQ1" s="2235"/>
      <c r="SGR1" s="2235"/>
      <c r="SGS1" s="2235"/>
      <c r="SGT1" s="2235"/>
      <c r="SGU1" s="2235"/>
      <c r="SGV1" s="2235"/>
      <c r="SGW1" s="2235"/>
      <c r="SGX1" s="2235"/>
      <c r="SGY1" s="2235"/>
      <c r="SGZ1" s="2235"/>
      <c r="SHA1" s="2235"/>
      <c r="SHB1" s="2235"/>
      <c r="SHC1" s="2235"/>
      <c r="SHD1" s="2235"/>
      <c r="SHE1" s="2235"/>
      <c r="SHF1" s="2235"/>
      <c r="SHG1" s="2235"/>
      <c r="SHH1" s="2235"/>
      <c r="SHI1" s="2235"/>
      <c r="SHJ1" s="2235"/>
      <c r="SHK1" s="2235"/>
      <c r="SHL1" s="2235"/>
      <c r="SHM1" s="2235"/>
      <c r="SHN1" s="2235"/>
      <c r="SHO1" s="2235"/>
      <c r="SHP1" s="2235"/>
      <c r="SHQ1" s="2235"/>
      <c r="SHR1" s="2235"/>
      <c r="SHS1" s="2235"/>
      <c r="SHT1" s="2235"/>
      <c r="SHU1" s="2235"/>
      <c r="SHV1" s="2235"/>
      <c r="SHW1" s="2235"/>
      <c r="SHX1" s="2235"/>
      <c r="SHY1" s="2235"/>
      <c r="SHZ1" s="2235"/>
      <c r="SIA1" s="2235"/>
      <c r="SIB1" s="2235"/>
      <c r="SIC1" s="2235"/>
      <c r="SID1" s="2235"/>
      <c r="SIE1" s="2235"/>
      <c r="SIF1" s="2235"/>
      <c r="SIG1" s="2235"/>
      <c r="SIH1" s="2235"/>
      <c r="SII1" s="2235"/>
      <c r="SIJ1" s="2235"/>
      <c r="SIK1" s="2235"/>
      <c r="SIL1" s="2235"/>
      <c r="SIM1" s="2235"/>
      <c r="SIN1" s="2235"/>
      <c r="SIO1" s="2235"/>
      <c r="SIP1" s="2235"/>
      <c r="SIQ1" s="2235"/>
      <c r="SIR1" s="2235"/>
      <c r="SIS1" s="2235"/>
      <c r="SIT1" s="2235"/>
      <c r="SIU1" s="2235"/>
      <c r="SIV1" s="2235"/>
      <c r="SIW1" s="2235"/>
      <c r="SIX1" s="2235"/>
      <c r="SIY1" s="2235"/>
      <c r="SIZ1" s="2235"/>
      <c r="SJA1" s="2235"/>
      <c r="SJB1" s="2235"/>
      <c r="SJC1" s="2235"/>
      <c r="SJD1" s="2235"/>
      <c r="SJE1" s="2235"/>
      <c r="SJF1" s="2235"/>
      <c r="SJG1" s="2235"/>
      <c r="SJH1" s="2235"/>
      <c r="SJI1" s="2235"/>
      <c r="SJJ1" s="2235"/>
      <c r="SJK1" s="2235"/>
      <c r="SJL1" s="2235"/>
      <c r="SJM1" s="2235"/>
      <c r="SJN1" s="2235"/>
      <c r="SJO1" s="2235"/>
      <c r="SJP1" s="2235"/>
      <c r="SJQ1" s="2235"/>
      <c r="SJR1" s="2235"/>
      <c r="SJS1" s="2235"/>
      <c r="SJT1" s="2235"/>
      <c r="SJU1" s="2235"/>
      <c r="SJV1" s="2235"/>
      <c r="SJW1" s="2235"/>
      <c r="SJX1" s="2235"/>
      <c r="SJY1" s="2235"/>
      <c r="SJZ1" s="2235"/>
      <c r="SKA1" s="2235"/>
      <c r="SKB1" s="2235"/>
      <c r="SKC1" s="2235"/>
      <c r="SKD1" s="2235"/>
      <c r="SKE1" s="2235"/>
      <c r="SKF1" s="2235"/>
      <c r="SKG1" s="2235"/>
      <c r="SKH1" s="2235"/>
      <c r="SKI1" s="2235"/>
      <c r="SKJ1" s="2235"/>
      <c r="SKK1" s="2235"/>
      <c r="SKL1" s="2235"/>
      <c r="SKM1" s="2235"/>
      <c r="SKN1" s="2235"/>
      <c r="SKO1" s="2235"/>
      <c r="SKP1" s="2235"/>
      <c r="SKQ1" s="2235"/>
      <c r="SKR1" s="2235"/>
      <c r="SKS1" s="2235"/>
      <c r="SKT1" s="2235"/>
      <c r="SKU1" s="2235"/>
      <c r="SKV1" s="2235"/>
      <c r="SKW1" s="2235"/>
      <c r="SKX1" s="2235"/>
      <c r="SKY1" s="2235"/>
      <c r="SKZ1" s="2235"/>
      <c r="SLA1" s="2235"/>
      <c r="SLB1" s="2235"/>
      <c r="SLC1" s="2235"/>
      <c r="SLD1" s="2235"/>
      <c r="SLE1" s="2235"/>
      <c r="SLF1" s="2235"/>
      <c r="SLG1" s="2235"/>
      <c r="SLH1" s="2235"/>
      <c r="SLI1" s="2235"/>
      <c r="SLJ1" s="2235"/>
      <c r="SLK1" s="2235"/>
      <c r="SLL1" s="2235"/>
      <c r="SLM1" s="2235"/>
      <c r="SLN1" s="2235"/>
      <c r="SLO1" s="2235"/>
      <c r="SLP1" s="2235"/>
      <c r="SLQ1" s="2235"/>
      <c r="SLR1" s="2235"/>
      <c r="SLS1" s="2235"/>
      <c r="SLT1" s="2235"/>
      <c r="SLU1" s="2235"/>
      <c r="SLV1" s="2235"/>
      <c r="SLW1" s="2235"/>
      <c r="SLX1" s="2235"/>
      <c r="SLY1" s="2235"/>
      <c r="SLZ1" s="2235"/>
      <c r="SMA1" s="2235"/>
      <c r="SMB1" s="2235"/>
      <c r="SMC1" s="2235"/>
      <c r="SMD1" s="2235"/>
      <c r="SME1" s="2235"/>
      <c r="SMF1" s="2235"/>
      <c r="SMG1" s="2235"/>
      <c r="SMH1" s="2235"/>
      <c r="SMI1" s="2235"/>
      <c r="SMJ1" s="2235"/>
      <c r="SMK1" s="2235"/>
      <c r="SML1" s="2235"/>
      <c r="SMM1" s="2235"/>
      <c r="SMN1" s="2235"/>
      <c r="SMO1" s="2235"/>
      <c r="SMP1" s="2235"/>
      <c r="SMQ1" s="2235"/>
      <c r="SMR1" s="2235"/>
      <c r="SMS1" s="2235"/>
      <c r="SMT1" s="2235"/>
      <c r="SMU1" s="2235"/>
      <c r="SMV1" s="2235"/>
      <c r="SMW1" s="2235"/>
      <c r="SMX1" s="2235"/>
      <c r="SMY1" s="2235"/>
      <c r="SMZ1" s="2235"/>
      <c r="SNA1" s="2235"/>
      <c r="SNB1" s="2235"/>
      <c r="SNC1" s="2235"/>
      <c r="SND1" s="2235"/>
      <c r="SNE1" s="2235"/>
      <c r="SNF1" s="2235"/>
      <c r="SNG1" s="2235"/>
      <c r="SNH1" s="2235"/>
      <c r="SNI1" s="2235"/>
      <c r="SNJ1" s="2235"/>
      <c r="SNK1" s="2235"/>
      <c r="SNL1" s="2235"/>
      <c r="SNM1" s="2235"/>
      <c r="SNN1" s="2235"/>
      <c r="SNO1" s="2235"/>
      <c r="SNP1" s="2235"/>
      <c r="SNQ1" s="2235"/>
      <c r="SNR1" s="2235"/>
      <c r="SNS1" s="2235"/>
      <c r="SNT1" s="2235"/>
      <c r="SNU1" s="2235"/>
      <c r="SNV1" s="2235"/>
      <c r="SNW1" s="2235"/>
      <c r="SNX1" s="2235"/>
      <c r="SNY1" s="2235"/>
      <c r="SNZ1" s="2235"/>
      <c r="SOA1" s="2235"/>
      <c r="SOB1" s="2235"/>
      <c r="SOC1" s="2235"/>
      <c r="SOD1" s="2235"/>
      <c r="SOE1" s="2235"/>
      <c r="SOF1" s="2235"/>
      <c r="SOG1" s="2235"/>
      <c r="SOH1" s="2235"/>
      <c r="SOI1" s="2235"/>
      <c r="SOJ1" s="2235"/>
      <c r="SOK1" s="2235"/>
      <c r="SOL1" s="2235"/>
      <c r="SOM1" s="2235"/>
      <c r="SON1" s="2235"/>
      <c r="SOO1" s="2235"/>
      <c r="SOP1" s="2235"/>
      <c r="SOQ1" s="2235"/>
      <c r="SOR1" s="2235"/>
      <c r="SOS1" s="2235"/>
      <c r="SOT1" s="2235"/>
      <c r="SOU1" s="2235"/>
      <c r="SOV1" s="2235"/>
      <c r="SOW1" s="2235"/>
      <c r="SOX1" s="2235"/>
      <c r="SOY1" s="2235"/>
      <c r="SOZ1" s="2235"/>
      <c r="SPA1" s="2235"/>
      <c r="SPB1" s="2235"/>
      <c r="SPC1" s="2235"/>
      <c r="SPD1" s="2235"/>
      <c r="SPE1" s="2235"/>
      <c r="SPF1" s="2235"/>
      <c r="SPG1" s="2235"/>
      <c r="SPH1" s="2235"/>
      <c r="SPI1" s="2235"/>
      <c r="SPJ1" s="2235"/>
      <c r="SPK1" s="2235"/>
      <c r="SPL1" s="2235"/>
      <c r="SPM1" s="2235"/>
      <c r="SPN1" s="2235"/>
      <c r="SPO1" s="2235"/>
      <c r="SPP1" s="2235"/>
      <c r="SPQ1" s="2235"/>
      <c r="SPR1" s="2235"/>
      <c r="SPS1" s="2235"/>
      <c r="SPT1" s="2235"/>
      <c r="SPU1" s="2235"/>
      <c r="SPV1" s="2235"/>
      <c r="SPW1" s="2235"/>
      <c r="SPX1" s="2235"/>
      <c r="SPY1" s="2235"/>
      <c r="SPZ1" s="2235"/>
      <c r="SQA1" s="2235"/>
      <c r="SQB1" s="2235"/>
      <c r="SQC1" s="2235"/>
      <c r="SQD1" s="2235"/>
      <c r="SQE1" s="2235"/>
      <c r="SQF1" s="2235"/>
      <c r="SQG1" s="2235"/>
      <c r="SQH1" s="2235"/>
      <c r="SQI1" s="2235"/>
      <c r="SQJ1" s="2235"/>
      <c r="SQK1" s="2235"/>
      <c r="SQL1" s="2235"/>
      <c r="SQM1" s="2235"/>
      <c r="SQN1" s="2235"/>
      <c r="SQO1" s="2235"/>
      <c r="SQP1" s="2235"/>
      <c r="SQQ1" s="2235"/>
      <c r="SQR1" s="2235"/>
      <c r="SQS1" s="2235"/>
      <c r="SQT1" s="2235"/>
      <c r="SQU1" s="2235"/>
      <c r="SQV1" s="2235"/>
      <c r="SQW1" s="2235"/>
      <c r="SQX1" s="2235"/>
      <c r="SQY1" s="2235"/>
      <c r="SQZ1" s="2235"/>
      <c r="SRA1" s="2235"/>
      <c r="SRB1" s="2235"/>
      <c r="SRC1" s="2235"/>
      <c r="SRD1" s="2235"/>
      <c r="SRE1" s="2235"/>
      <c r="SRF1" s="2235"/>
      <c r="SRG1" s="2235"/>
      <c r="SRH1" s="2235"/>
      <c r="SRI1" s="2235"/>
      <c r="SRJ1" s="2235"/>
      <c r="SRK1" s="2235"/>
      <c r="SRL1" s="2235"/>
      <c r="SRM1" s="2235"/>
      <c r="SRN1" s="2235"/>
      <c r="SRO1" s="2235"/>
      <c r="SRP1" s="2235"/>
      <c r="SRQ1" s="2235"/>
      <c r="SRR1" s="2235"/>
      <c r="SRS1" s="2235"/>
      <c r="SRT1" s="2235"/>
      <c r="SRU1" s="2235"/>
      <c r="SRV1" s="2235"/>
      <c r="SRW1" s="2235"/>
      <c r="SRX1" s="2235"/>
      <c r="SRY1" s="2235"/>
      <c r="SRZ1" s="2235"/>
      <c r="SSA1" s="2235"/>
      <c r="SSB1" s="2235"/>
      <c r="SSC1" s="2235"/>
      <c r="SSD1" s="2235"/>
      <c r="SSE1" s="2235"/>
      <c r="SSF1" s="2235"/>
      <c r="SSG1" s="2235"/>
      <c r="SSH1" s="2235"/>
      <c r="SSI1" s="2235"/>
      <c r="SSJ1" s="2235"/>
      <c r="SSK1" s="2235"/>
      <c r="SSL1" s="2235"/>
      <c r="SSM1" s="2235"/>
      <c r="SSN1" s="2235"/>
      <c r="SSO1" s="2235"/>
      <c r="SSP1" s="2235"/>
      <c r="SSQ1" s="2235"/>
      <c r="SSR1" s="2235"/>
      <c r="SSS1" s="2235"/>
      <c r="SST1" s="2235"/>
      <c r="SSU1" s="2235"/>
      <c r="SSV1" s="2235"/>
      <c r="SSW1" s="2235"/>
      <c r="SSX1" s="2235"/>
      <c r="SSY1" s="2235"/>
      <c r="SSZ1" s="2235"/>
      <c r="STA1" s="2235"/>
      <c r="STB1" s="2235"/>
      <c r="STC1" s="2235"/>
      <c r="STD1" s="2235"/>
      <c r="STE1" s="2235"/>
      <c r="STF1" s="2235"/>
      <c r="STG1" s="2235"/>
      <c r="STH1" s="2235"/>
      <c r="STI1" s="2235"/>
      <c r="STJ1" s="2235"/>
      <c r="STK1" s="2235"/>
      <c r="STL1" s="2235"/>
      <c r="STM1" s="2235"/>
      <c r="STN1" s="2235"/>
      <c r="STO1" s="2235"/>
      <c r="STP1" s="2235"/>
      <c r="STQ1" s="2235"/>
      <c r="STR1" s="2235"/>
      <c r="STS1" s="2235"/>
      <c r="STT1" s="2235"/>
      <c r="STU1" s="2235"/>
      <c r="STV1" s="2235"/>
      <c r="STW1" s="2235"/>
      <c r="STX1" s="2235"/>
      <c r="STY1" s="2235"/>
      <c r="STZ1" s="2235"/>
      <c r="SUA1" s="2235"/>
      <c r="SUB1" s="2235"/>
      <c r="SUC1" s="2235"/>
      <c r="SUD1" s="2235"/>
      <c r="SUE1" s="2235"/>
      <c r="SUF1" s="2235"/>
      <c r="SUG1" s="2235"/>
      <c r="SUH1" s="2235"/>
      <c r="SUI1" s="2235"/>
      <c r="SUJ1" s="2235"/>
      <c r="SUK1" s="2235"/>
      <c r="SUL1" s="2235"/>
      <c r="SUM1" s="2235"/>
      <c r="SUN1" s="2235"/>
      <c r="SUO1" s="2235"/>
      <c r="SUP1" s="2235"/>
      <c r="SUQ1" s="2235"/>
      <c r="SUR1" s="2235"/>
      <c r="SUS1" s="2235"/>
      <c r="SUT1" s="2235"/>
      <c r="SUU1" s="2235"/>
      <c r="SUV1" s="2235"/>
      <c r="SUW1" s="2235"/>
      <c r="SUX1" s="2235"/>
      <c r="SUY1" s="2235"/>
      <c r="SUZ1" s="2235"/>
      <c r="SVA1" s="2235"/>
      <c r="SVB1" s="2235"/>
      <c r="SVC1" s="2235"/>
      <c r="SVD1" s="2235"/>
      <c r="SVE1" s="2235"/>
      <c r="SVF1" s="2235"/>
      <c r="SVG1" s="2235"/>
      <c r="SVH1" s="2235"/>
      <c r="SVI1" s="2235"/>
      <c r="SVJ1" s="2235"/>
      <c r="SVK1" s="2235"/>
      <c r="SVL1" s="2235"/>
      <c r="SVM1" s="2235"/>
      <c r="SVN1" s="2235"/>
      <c r="SVO1" s="2235"/>
      <c r="SVP1" s="2235"/>
      <c r="SVQ1" s="2235"/>
      <c r="SVR1" s="2235"/>
      <c r="SVS1" s="2235"/>
      <c r="SVT1" s="2235"/>
      <c r="SVU1" s="2235"/>
      <c r="SVV1" s="2235"/>
      <c r="SVW1" s="2235"/>
      <c r="SVX1" s="2235"/>
      <c r="SVY1" s="2235"/>
      <c r="SVZ1" s="2235"/>
      <c r="SWA1" s="2235"/>
      <c r="SWB1" s="2235"/>
      <c r="SWC1" s="2235"/>
      <c r="SWD1" s="2235"/>
      <c r="SWE1" s="2235"/>
      <c r="SWF1" s="2235"/>
      <c r="SWG1" s="2235"/>
      <c r="SWH1" s="2235"/>
      <c r="SWI1" s="2235"/>
      <c r="SWJ1" s="2235"/>
      <c r="SWK1" s="2235"/>
      <c r="SWL1" s="2235"/>
      <c r="SWM1" s="2235"/>
      <c r="SWN1" s="2235"/>
      <c r="SWO1" s="2235"/>
      <c r="SWP1" s="2235"/>
      <c r="SWQ1" s="2235"/>
      <c r="SWR1" s="2235"/>
      <c r="SWS1" s="2235"/>
      <c r="SWT1" s="2235"/>
      <c r="SWU1" s="2235"/>
      <c r="SWV1" s="2235"/>
      <c r="SWW1" s="2235"/>
      <c r="SWX1" s="2235"/>
      <c r="SWY1" s="2235"/>
      <c r="SWZ1" s="2235"/>
      <c r="SXA1" s="2235"/>
      <c r="SXB1" s="2235"/>
      <c r="SXC1" s="2235"/>
      <c r="SXD1" s="2235"/>
      <c r="SXE1" s="2235"/>
      <c r="SXF1" s="2235"/>
      <c r="SXG1" s="2235"/>
      <c r="SXH1" s="2235"/>
      <c r="SXI1" s="2235"/>
      <c r="SXJ1" s="2235"/>
      <c r="SXK1" s="2235"/>
      <c r="SXL1" s="2235"/>
      <c r="SXM1" s="2235"/>
      <c r="SXN1" s="2235"/>
      <c r="SXO1" s="2235"/>
      <c r="SXP1" s="2235"/>
      <c r="SXQ1" s="2235"/>
      <c r="SXR1" s="2235"/>
      <c r="SXS1" s="2235"/>
      <c r="SXT1" s="2235"/>
      <c r="SXU1" s="2235"/>
      <c r="SXV1" s="2235"/>
      <c r="SXW1" s="2235"/>
      <c r="SXX1" s="2235"/>
      <c r="SXY1" s="2235"/>
      <c r="SXZ1" s="2235"/>
      <c r="SYA1" s="2235"/>
      <c r="SYB1" s="2235"/>
      <c r="SYC1" s="2235"/>
      <c r="SYD1" s="2235"/>
      <c r="SYE1" s="2235"/>
      <c r="SYF1" s="2235"/>
      <c r="SYG1" s="2235"/>
      <c r="SYH1" s="2235"/>
      <c r="SYI1" s="2235"/>
      <c r="SYJ1" s="2235"/>
      <c r="SYK1" s="2235"/>
      <c r="SYL1" s="2235"/>
      <c r="SYM1" s="2235"/>
      <c r="SYN1" s="2235"/>
      <c r="SYO1" s="2235"/>
      <c r="SYP1" s="2235"/>
      <c r="SYQ1" s="2235"/>
      <c r="SYR1" s="2235"/>
      <c r="SYS1" s="2235"/>
      <c r="SYT1" s="2235"/>
      <c r="SYU1" s="2235"/>
      <c r="SYV1" s="2235"/>
      <c r="SYW1" s="2235"/>
      <c r="SYX1" s="2235"/>
      <c r="SYY1" s="2235"/>
      <c r="SYZ1" s="2235"/>
      <c r="SZA1" s="2235"/>
      <c r="SZB1" s="2235"/>
      <c r="SZC1" s="2235"/>
      <c r="SZD1" s="2235"/>
      <c r="SZE1" s="2235"/>
      <c r="SZF1" s="2235"/>
      <c r="SZG1" s="2235"/>
      <c r="SZH1" s="2235"/>
      <c r="SZI1" s="2235"/>
      <c r="SZJ1" s="2235"/>
      <c r="SZK1" s="2235"/>
      <c r="SZL1" s="2235"/>
      <c r="SZM1" s="2235"/>
      <c r="SZN1" s="2235"/>
      <c r="SZO1" s="2235"/>
      <c r="SZP1" s="2235"/>
      <c r="SZQ1" s="2235"/>
      <c r="SZR1" s="2235"/>
      <c r="SZS1" s="2235"/>
      <c r="SZT1" s="2235"/>
      <c r="SZU1" s="2235"/>
      <c r="SZV1" s="2235"/>
      <c r="SZW1" s="2235"/>
      <c r="SZX1" s="2235"/>
      <c r="SZY1" s="2235"/>
      <c r="SZZ1" s="2235"/>
      <c r="TAA1" s="2235"/>
      <c r="TAB1" s="2235"/>
      <c r="TAC1" s="2235"/>
      <c r="TAD1" s="2235"/>
      <c r="TAE1" s="2235"/>
      <c r="TAF1" s="2235"/>
      <c r="TAG1" s="2235"/>
      <c r="TAH1" s="2235"/>
      <c r="TAI1" s="2235"/>
      <c r="TAJ1" s="2235"/>
      <c r="TAK1" s="2235"/>
      <c r="TAL1" s="2235"/>
      <c r="TAM1" s="2235"/>
      <c r="TAN1" s="2235"/>
      <c r="TAO1" s="2235"/>
      <c r="TAP1" s="2235"/>
      <c r="TAQ1" s="2235"/>
      <c r="TAR1" s="2235"/>
      <c r="TAS1" s="2235"/>
      <c r="TAT1" s="2235"/>
      <c r="TAU1" s="2235"/>
      <c r="TAV1" s="2235"/>
      <c r="TAW1" s="2235"/>
      <c r="TAX1" s="2235"/>
      <c r="TAY1" s="2235"/>
      <c r="TAZ1" s="2235"/>
      <c r="TBA1" s="2235"/>
      <c r="TBB1" s="2235"/>
      <c r="TBC1" s="2235"/>
      <c r="TBD1" s="2235"/>
      <c r="TBE1" s="2235"/>
      <c r="TBF1" s="2235"/>
      <c r="TBG1" s="2235"/>
      <c r="TBH1" s="2235"/>
      <c r="TBI1" s="2235"/>
      <c r="TBJ1" s="2235"/>
      <c r="TBK1" s="2235"/>
      <c r="TBL1" s="2235"/>
      <c r="TBM1" s="2235"/>
      <c r="TBN1" s="2235"/>
      <c r="TBO1" s="2235"/>
      <c r="TBP1" s="2235"/>
      <c r="TBQ1" s="2235"/>
      <c r="TBR1" s="2235"/>
      <c r="TBS1" s="2235"/>
      <c r="TBT1" s="2235"/>
      <c r="TBU1" s="2235"/>
      <c r="TBV1" s="2235"/>
      <c r="TBW1" s="2235"/>
      <c r="TBX1" s="2235"/>
      <c r="TBY1" s="2235"/>
      <c r="TBZ1" s="2235"/>
      <c r="TCA1" s="2235"/>
      <c r="TCB1" s="2235"/>
      <c r="TCC1" s="2235"/>
      <c r="TCD1" s="2235"/>
      <c r="TCE1" s="2235"/>
      <c r="TCF1" s="2235"/>
      <c r="TCG1" s="2235"/>
      <c r="TCH1" s="2235"/>
      <c r="TCI1" s="2235"/>
      <c r="TCJ1" s="2235"/>
      <c r="TCK1" s="2235"/>
      <c r="TCL1" s="2235"/>
      <c r="TCM1" s="2235"/>
      <c r="TCN1" s="2235"/>
      <c r="TCO1" s="2235"/>
      <c r="TCP1" s="2235"/>
      <c r="TCQ1" s="2235"/>
      <c r="TCR1" s="2235"/>
      <c r="TCS1" s="2235"/>
      <c r="TCT1" s="2235"/>
      <c r="TCU1" s="2235"/>
      <c r="TCV1" s="2235"/>
      <c r="TCW1" s="2235"/>
      <c r="TCX1" s="2235"/>
      <c r="TCY1" s="2235"/>
      <c r="TCZ1" s="2235"/>
      <c r="TDA1" s="2235"/>
      <c r="TDB1" s="2235"/>
      <c r="TDC1" s="2235"/>
      <c r="TDD1" s="2235"/>
      <c r="TDE1" s="2235"/>
      <c r="TDF1" s="2235"/>
      <c r="TDG1" s="2235"/>
      <c r="TDH1" s="2235"/>
      <c r="TDI1" s="2235"/>
      <c r="TDJ1" s="2235"/>
      <c r="TDK1" s="2235"/>
      <c r="TDL1" s="2235"/>
      <c r="TDM1" s="2235"/>
      <c r="TDN1" s="2235"/>
      <c r="TDO1" s="2235"/>
      <c r="TDP1" s="2235"/>
      <c r="TDQ1" s="2235"/>
      <c r="TDR1" s="2235"/>
      <c r="TDS1" s="2235"/>
      <c r="TDT1" s="2235"/>
      <c r="TDU1" s="2235"/>
      <c r="TDV1" s="2235"/>
      <c r="TDW1" s="2235"/>
      <c r="TDX1" s="2235"/>
      <c r="TDY1" s="2235"/>
      <c r="TDZ1" s="2235"/>
      <c r="TEA1" s="2235"/>
      <c r="TEB1" s="2235"/>
      <c r="TEC1" s="2235"/>
      <c r="TED1" s="2235"/>
      <c r="TEE1" s="2235"/>
      <c r="TEF1" s="2235"/>
      <c r="TEG1" s="2235"/>
      <c r="TEH1" s="2235"/>
      <c r="TEI1" s="2235"/>
      <c r="TEJ1" s="2235"/>
      <c r="TEK1" s="2235"/>
      <c r="TEL1" s="2235"/>
      <c r="TEM1" s="2235"/>
      <c r="TEN1" s="2235"/>
      <c r="TEO1" s="2235"/>
      <c r="TEP1" s="2235"/>
      <c r="TEQ1" s="2235"/>
      <c r="TER1" s="2235"/>
      <c r="TES1" s="2235"/>
      <c r="TET1" s="2235"/>
      <c r="TEU1" s="2235"/>
      <c r="TEV1" s="2235"/>
      <c r="TEW1" s="2235"/>
      <c r="TEX1" s="2235"/>
      <c r="TEY1" s="2235"/>
      <c r="TEZ1" s="2235"/>
      <c r="TFA1" s="2235"/>
      <c r="TFB1" s="2235"/>
      <c r="TFC1" s="2235"/>
      <c r="TFD1" s="2235"/>
      <c r="TFE1" s="2235"/>
      <c r="TFF1" s="2235"/>
      <c r="TFG1" s="2235"/>
      <c r="TFH1" s="2235"/>
      <c r="TFI1" s="2235"/>
      <c r="TFJ1" s="2235"/>
      <c r="TFK1" s="2235"/>
      <c r="TFL1" s="2235"/>
      <c r="TFM1" s="2235"/>
      <c r="TFN1" s="2235"/>
      <c r="TFO1" s="2235"/>
      <c r="TFP1" s="2235"/>
      <c r="TFQ1" s="2235"/>
      <c r="TFR1" s="2235"/>
      <c r="TFS1" s="2235"/>
      <c r="TFT1" s="2235"/>
      <c r="TFU1" s="2235"/>
      <c r="TFV1" s="2235"/>
      <c r="TFW1" s="2235"/>
      <c r="TFX1" s="2235"/>
      <c r="TFY1" s="2235"/>
      <c r="TFZ1" s="2235"/>
      <c r="TGA1" s="2235"/>
      <c r="TGB1" s="2235"/>
      <c r="TGC1" s="2235"/>
      <c r="TGD1" s="2235"/>
      <c r="TGE1" s="2235"/>
      <c r="TGF1" s="2235"/>
      <c r="TGG1" s="2235"/>
      <c r="TGH1" s="2235"/>
      <c r="TGI1" s="2235"/>
      <c r="TGJ1" s="2235"/>
      <c r="TGK1" s="2235"/>
      <c r="TGL1" s="2235"/>
      <c r="TGM1" s="2235"/>
      <c r="TGN1" s="2235"/>
      <c r="TGO1" s="2235"/>
      <c r="TGP1" s="2235"/>
      <c r="TGQ1" s="2235"/>
      <c r="TGR1" s="2235"/>
      <c r="TGS1" s="2235"/>
      <c r="TGT1" s="2235"/>
      <c r="TGU1" s="2235"/>
      <c r="TGV1" s="2235"/>
      <c r="TGW1" s="2235"/>
      <c r="TGX1" s="2235"/>
      <c r="TGY1" s="2235"/>
      <c r="TGZ1" s="2235"/>
      <c r="THA1" s="2235"/>
      <c r="THB1" s="2235"/>
      <c r="THC1" s="2235"/>
      <c r="THD1" s="2235"/>
      <c r="THE1" s="2235"/>
      <c r="THF1" s="2235"/>
      <c r="THG1" s="2235"/>
      <c r="THH1" s="2235"/>
      <c r="THI1" s="2235"/>
      <c r="THJ1" s="2235"/>
      <c r="THK1" s="2235"/>
      <c r="THL1" s="2235"/>
      <c r="THM1" s="2235"/>
      <c r="THN1" s="2235"/>
      <c r="THO1" s="2235"/>
      <c r="THP1" s="2235"/>
      <c r="THQ1" s="2235"/>
      <c r="THR1" s="2235"/>
      <c r="THS1" s="2235"/>
      <c r="THT1" s="2235"/>
      <c r="THU1" s="2235"/>
      <c r="THV1" s="2235"/>
      <c r="THW1" s="2235"/>
      <c r="THX1" s="2235"/>
      <c r="THY1" s="2235"/>
      <c r="THZ1" s="2235"/>
      <c r="TIA1" s="2235"/>
      <c r="TIB1" s="2235"/>
      <c r="TIC1" s="2235"/>
      <c r="TID1" s="2235"/>
      <c r="TIE1" s="2235"/>
      <c r="TIF1" s="2235"/>
      <c r="TIG1" s="2235"/>
      <c r="TIH1" s="2235"/>
      <c r="TII1" s="2235"/>
      <c r="TIJ1" s="2235"/>
      <c r="TIK1" s="2235"/>
      <c r="TIL1" s="2235"/>
      <c r="TIM1" s="2235"/>
      <c r="TIN1" s="2235"/>
      <c r="TIO1" s="2235"/>
      <c r="TIP1" s="2235"/>
      <c r="TIQ1" s="2235"/>
      <c r="TIR1" s="2235"/>
      <c r="TIS1" s="2235"/>
      <c r="TIT1" s="2235"/>
      <c r="TIU1" s="2235"/>
      <c r="TIV1" s="2235"/>
      <c r="TIW1" s="2235"/>
      <c r="TIX1" s="2235"/>
      <c r="TIY1" s="2235"/>
      <c r="TIZ1" s="2235"/>
      <c r="TJA1" s="2235"/>
      <c r="TJB1" s="2235"/>
      <c r="TJC1" s="2235"/>
      <c r="TJD1" s="2235"/>
      <c r="TJE1" s="2235"/>
      <c r="TJF1" s="2235"/>
      <c r="TJG1" s="2235"/>
      <c r="TJH1" s="2235"/>
      <c r="TJI1" s="2235"/>
      <c r="TJJ1" s="2235"/>
      <c r="TJK1" s="2235"/>
      <c r="TJL1" s="2235"/>
      <c r="TJM1" s="2235"/>
      <c r="TJN1" s="2235"/>
      <c r="TJO1" s="2235"/>
      <c r="TJP1" s="2235"/>
      <c r="TJQ1" s="2235"/>
      <c r="TJR1" s="2235"/>
      <c r="TJS1" s="2235"/>
      <c r="TJT1" s="2235"/>
      <c r="TJU1" s="2235"/>
      <c r="TJV1" s="2235"/>
      <c r="TJW1" s="2235"/>
      <c r="TJX1" s="2235"/>
      <c r="TJY1" s="2235"/>
      <c r="TJZ1" s="2235"/>
      <c r="TKA1" s="2235"/>
      <c r="TKB1" s="2235"/>
      <c r="TKC1" s="2235"/>
      <c r="TKD1" s="2235"/>
      <c r="TKE1" s="2235"/>
      <c r="TKF1" s="2235"/>
      <c r="TKG1" s="2235"/>
      <c r="TKH1" s="2235"/>
      <c r="TKI1" s="2235"/>
      <c r="TKJ1" s="2235"/>
      <c r="TKK1" s="2235"/>
      <c r="TKL1" s="2235"/>
      <c r="TKM1" s="2235"/>
      <c r="TKN1" s="2235"/>
      <c r="TKO1" s="2235"/>
      <c r="TKP1" s="2235"/>
      <c r="TKQ1" s="2235"/>
      <c r="TKR1" s="2235"/>
      <c r="TKS1" s="2235"/>
      <c r="TKT1" s="2235"/>
      <c r="TKU1" s="2235"/>
      <c r="TKV1" s="2235"/>
      <c r="TKW1" s="2235"/>
      <c r="TKX1" s="2235"/>
      <c r="TKY1" s="2235"/>
      <c r="TKZ1" s="2235"/>
      <c r="TLA1" s="2235"/>
      <c r="TLB1" s="2235"/>
      <c r="TLC1" s="2235"/>
      <c r="TLD1" s="2235"/>
      <c r="TLE1" s="2235"/>
      <c r="TLF1" s="2235"/>
      <c r="TLG1" s="2235"/>
      <c r="TLH1" s="2235"/>
      <c r="TLI1" s="2235"/>
      <c r="TLJ1" s="2235"/>
      <c r="TLK1" s="2235"/>
      <c r="TLL1" s="2235"/>
      <c r="TLM1" s="2235"/>
      <c r="TLN1" s="2235"/>
      <c r="TLO1" s="2235"/>
      <c r="TLP1" s="2235"/>
      <c r="TLQ1" s="2235"/>
      <c r="TLR1" s="2235"/>
      <c r="TLS1" s="2235"/>
      <c r="TLT1" s="2235"/>
      <c r="TLU1" s="2235"/>
      <c r="TLV1" s="2235"/>
      <c r="TLW1" s="2235"/>
      <c r="TLX1" s="2235"/>
      <c r="TLY1" s="2235"/>
      <c r="TLZ1" s="2235"/>
      <c r="TMA1" s="2235"/>
      <c r="TMB1" s="2235"/>
      <c r="TMC1" s="2235"/>
      <c r="TMD1" s="2235"/>
      <c r="TME1" s="2235"/>
      <c r="TMF1" s="2235"/>
      <c r="TMG1" s="2235"/>
      <c r="TMH1" s="2235"/>
      <c r="TMI1" s="2235"/>
      <c r="TMJ1" s="2235"/>
      <c r="TMK1" s="2235"/>
      <c r="TML1" s="2235"/>
      <c r="TMM1" s="2235"/>
      <c r="TMN1" s="2235"/>
      <c r="TMO1" s="2235"/>
      <c r="TMP1" s="2235"/>
      <c r="TMQ1" s="2235"/>
      <c r="TMR1" s="2235"/>
      <c r="TMS1" s="2235"/>
      <c r="TMT1" s="2235"/>
      <c r="TMU1" s="2235"/>
      <c r="TMV1" s="2235"/>
      <c r="TMW1" s="2235"/>
      <c r="TMX1" s="2235"/>
      <c r="TMY1" s="2235"/>
      <c r="TMZ1" s="2235"/>
      <c r="TNA1" s="2235"/>
      <c r="TNB1" s="2235"/>
      <c r="TNC1" s="2235"/>
      <c r="TND1" s="2235"/>
      <c r="TNE1" s="2235"/>
      <c r="TNF1" s="2235"/>
      <c r="TNG1" s="2235"/>
      <c r="TNH1" s="2235"/>
      <c r="TNI1" s="2235"/>
      <c r="TNJ1" s="2235"/>
      <c r="TNK1" s="2235"/>
      <c r="TNL1" s="2235"/>
      <c r="TNM1" s="2235"/>
      <c r="TNN1" s="2235"/>
      <c r="TNO1" s="2235"/>
      <c r="TNP1" s="2235"/>
      <c r="TNQ1" s="2235"/>
      <c r="TNR1" s="2235"/>
      <c r="TNS1" s="2235"/>
      <c r="TNT1" s="2235"/>
      <c r="TNU1" s="2235"/>
      <c r="TNV1" s="2235"/>
      <c r="TNW1" s="2235"/>
      <c r="TNX1" s="2235"/>
      <c r="TNY1" s="2235"/>
      <c r="TNZ1" s="2235"/>
      <c r="TOA1" s="2235"/>
      <c r="TOB1" s="2235"/>
      <c r="TOC1" s="2235"/>
      <c r="TOD1" s="2235"/>
      <c r="TOE1" s="2235"/>
      <c r="TOF1" s="2235"/>
      <c r="TOG1" s="2235"/>
      <c r="TOH1" s="2235"/>
      <c r="TOI1" s="2235"/>
      <c r="TOJ1" s="2235"/>
      <c r="TOK1" s="2235"/>
      <c r="TOL1" s="2235"/>
      <c r="TOM1" s="2235"/>
      <c r="TON1" s="2235"/>
      <c r="TOO1" s="2235"/>
      <c r="TOP1" s="2235"/>
      <c r="TOQ1" s="2235"/>
      <c r="TOR1" s="2235"/>
      <c r="TOS1" s="2235"/>
      <c r="TOT1" s="2235"/>
      <c r="TOU1" s="2235"/>
      <c r="TOV1" s="2235"/>
      <c r="TOW1" s="2235"/>
      <c r="TOX1" s="2235"/>
      <c r="TOY1" s="2235"/>
      <c r="TOZ1" s="2235"/>
      <c r="TPA1" s="2235"/>
      <c r="TPB1" s="2235"/>
      <c r="TPC1" s="2235"/>
      <c r="TPD1" s="2235"/>
      <c r="TPE1" s="2235"/>
      <c r="TPF1" s="2235"/>
      <c r="TPG1" s="2235"/>
      <c r="TPH1" s="2235"/>
      <c r="TPI1" s="2235"/>
      <c r="TPJ1" s="2235"/>
      <c r="TPK1" s="2235"/>
      <c r="TPL1" s="2235"/>
      <c r="TPM1" s="2235"/>
      <c r="TPN1" s="2235"/>
      <c r="TPO1" s="2235"/>
      <c r="TPP1" s="2235"/>
      <c r="TPQ1" s="2235"/>
      <c r="TPR1" s="2235"/>
      <c r="TPS1" s="2235"/>
      <c r="TPT1" s="2235"/>
      <c r="TPU1" s="2235"/>
      <c r="TPV1" s="2235"/>
      <c r="TPW1" s="2235"/>
      <c r="TPX1" s="2235"/>
      <c r="TPY1" s="2235"/>
      <c r="TPZ1" s="2235"/>
      <c r="TQA1" s="2235"/>
      <c r="TQB1" s="2235"/>
      <c r="TQC1" s="2235"/>
      <c r="TQD1" s="2235"/>
      <c r="TQE1" s="2235"/>
      <c r="TQF1" s="2235"/>
      <c r="TQG1" s="2235"/>
      <c r="TQH1" s="2235"/>
      <c r="TQI1" s="2235"/>
      <c r="TQJ1" s="2235"/>
      <c r="TQK1" s="2235"/>
      <c r="TQL1" s="2235"/>
      <c r="TQM1" s="2235"/>
      <c r="TQN1" s="2235"/>
      <c r="TQO1" s="2235"/>
      <c r="TQP1" s="2235"/>
      <c r="TQQ1" s="2235"/>
      <c r="TQR1" s="2235"/>
      <c r="TQS1" s="2235"/>
      <c r="TQT1" s="2235"/>
      <c r="TQU1" s="2235"/>
      <c r="TQV1" s="2235"/>
      <c r="TQW1" s="2235"/>
      <c r="TQX1" s="2235"/>
      <c r="TQY1" s="2235"/>
      <c r="TQZ1" s="2235"/>
      <c r="TRA1" s="2235"/>
      <c r="TRB1" s="2235"/>
      <c r="TRC1" s="2235"/>
      <c r="TRD1" s="2235"/>
      <c r="TRE1" s="2235"/>
      <c r="TRF1" s="2235"/>
      <c r="TRG1" s="2235"/>
      <c r="TRH1" s="2235"/>
      <c r="TRI1" s="2235"/>
      <c r="TRJ1" s="2235"/>
      <c r="TRK1" s="2235"/>
      <c r="TRL1" s="2235"/>
      <c r="TRM1" s="2235"/>
      <c r="TRN1" s="2235"/>
      <c r="TRO1" s="2235"/>
      <c r="TRP1" s="2235"/>
      <c r="TRQ1" s="2235"/>
      <c r="TRR1" s="2235"/>
      <c r="TRS1" s="2235"/>
      <c r="TRT1" s="2235"/>
      <c r="TRU1" s="2235"/>
      <c r="TRV1" s="2235"/>
      <c r="TRW1" s="2235"/>
      <c r="TRX1" s="2235"/>
      <c r="TRY1" s="2235"/>
      <c r="TRZ1" s="2235"/>
      <c r="TSA1" s="2235"/>
      <c r="TSB1" s="2235"/>
      <c r="TSC1" s="2235"/>
      <c r="TSD1" s="2235"/>
      <c r="TSE1" s="2235"/>
      <c r="TSF1" s="2235"/>
      <c r="TSG1" s="2235"/>
      <c r="TSH1" s="2235"/>
      <c r="TSI1" s="2235"/>
      <c r="TSJ1" s="2235"/>
      <c r="TSK1" s="2235"/>
      <c r="TSL1" s="2235"/>
      <c r="TSM1" s="2235"/>
      <c r="TSN1" s="2235"/>
      <c r="TSO1" s="2235"/>
      <c r="TSP1" s="2235"/>
      <c r="TSQ1" s="2235"/>
      <c r="TSR1" s="2235"/>
      <c r="TSS1" s="2235"/>
      <c r="TST1" s="2235"/>
      <c r="TSU1" s="2235"/>
      <c r="TSV1" s="2235"/>
      <c r="TSW1" s="2235"/>
      <c r="TSX1" s="2235"/>
      <c r="TSY1" s="2235"/>
      <c r="TSZ1" s="2235"/>
      <c r="TTA1" s="2235"/>
      <c r="TTB1" s="2235"/>
      <c r="TTC1" s="2235"/>
      <c r="TTD1" s="2235"/>
      <c r="TTE1" s="2235"/>
      <c r="TTF1" s="2235"/>
      <c r="TTG1" s="2235"/>
      <c r="TTH1" s="2235"/>
      <c r="TTI1" s="2235"/>
      <c r="TTJ1" s="2235"/>
      <c r="TTK1" s="2235"/>
      <c r="TTL1" s="2235"/>
      <c r="TTM1" s="2235"/>
      <c r="TTN1" s="2235"/>
      <c r="TTO1" s="2235"/>
      <c r="TTP1" s="2235"/>
      <c r="TTQ1" s="2235"/>
      <c r="TTR1" s="2235"/>
      <c r="TTS1" s="2235"/>
      <c r="TTT1" s="2235"/>
      <c r="TTU1" s="2235"/>
      <c r="TTV1" s="2235"/>
      <c r="TTW1" s="2235"/>
      <c r="TTX1" s="2235"/>
      <c r="TTY1" s="2235"/>
      <c r="TTZ1" s="2235"/>
      <c r="TUA1" s="2235"/>
      <c r="TUB1" s="2235"/>
      <c r="TUC1" s="2235"/>
      <c r="TUD1" s="2235"/>
      <c r="TUE1" s="2235"/>
      <c r="TUF1" s="2235"/>
      <c r="TUG1" s="2235"/>
      <c r="TUH1" s="2235"/>
      <c r="TUI1" s="2235"/>
      <c r="TUJ1" s="2235"/>
      <c r="TUK1" s="2235"/>
      <c r="TUL1" s="2235"/>
      <c r="TUM1" s="2235"/>
      <c r="TUN1" s="2235"/>
      <c r="TUO1" s="2235"/>
      <c r="TUP1" s="2235"/>
      <c r="TUQ1" s="2235"/>
      <c r="TUR1" s="2235"/>
      <c r="TUS1" s="2235"/>
      <c r="TUT1" s="2235"/>
      <c r="TUU1" s="2235"/>
      <c r="TUV1" s="2235"/>
      <c r="TUW1" s="2235"/>
      <c r="TUX1" s="2235"/>
      <c r="TUY1" s="2235"/>
      <c r="TUZ1" s="2235"/>
      <c r="TVA1" s="2235"/>
      <c r="TVB1" s="2235"/>
      <c r="TVC1" s="2235"/>
      <c r="TVD1" s="2235"/>
      <c r="TVE1" s="2235"/>
      <c r="TVF1" s="2235"/>
      <c r="TVG1" s="2235"/>
      <c r="TVH1" s="2235"/>
      <c r="TVI1" s="2235"/>
      <c r="TVJ1" s="2235"/>
      <c r="TVK1" s="2235"/>
      <c r="TVL1" s="2235"/>
      <c r="TVM1" s="2235"/>
      <c r="TVN1" s="2235"/>
      <c r="TVO1" s="2235"/>
      <c r="TVP1" s="2235"/>
      <c r="TVQ1" s="2235"/>
      <c r="TVR1" s="2235"/>
      <c r="TVS1" s="2235"/>
      <c r="TVT1" s="2235"/>
      <c r="TVU1" s="2235"/>
      <c r="TVV1" s="2235"/>
      <c r="TVW1" s="2235"/>
      <c r="TVX1" s="2235"/>
      <c r="TVY1" s="2235"/>
      <c r="TVZ1" s="2235"/>
      <c r="TWA1" s="2235"/>
      <c r="TWB1" s="2235"/>
      <c r="TWC1" s="2235"/>
      <c r="TWD1" s="2235"/>
      <c r="TWE1" s="2235"/>
      <c r="TWF1" s="2235"/>
      <c r="TWG1" s="2235"/>
      <c r="TWH1" s="2235"/>
      <c r="TWI1" s="2235"/>
      <c r="TWJ1" s="2235"/>
      <c r="TWK1" s="2235"/>
      <c r="TWL1" s="2235"/>
      <c r="TWM1" s="2235"/>
      <c r="TWN1" s="2235"/>
      <c r="TWO1" s="2235"/>
      <c r="TWP1" s="2235"/>
      <c r="TWQ1" s="2235"/>
      <c r="TWR1" s="2235"/>
      <c r="TWS1" s="2235"/>
      <c r="TWT1" s="2235"/>
      <c r="TWU1" s="2235"/>
      <c r="TWV1" s="2235"/>
      <c r="TWW1" s="2235"/>
      <c r="TWX1" s="2235"/>
      <c r="TWY1" s="2235"/>
      <c r="TWZ1" s="2235"/>
      <c r="TXA1" s="2235"/>
      <c r="TXB1" s="2235"/>
      <c r="TXC1" s="2235"/>
      <c r="TXD1" s="2235"/>
      <c r="TXE1" s="2235"/>
      <c r="TXF1" s="2235"/>
      <c r="TXG1" s="2235"/>
      <c r="TXH1" s="2235"/>
      <c r="TXI1" s="2235"/>
      <c r="TXJ1" s="2235"/>
      <c r="TXK1" s="2235"/>
      <c r="TXL1" s="2235"/>
      <c r="TXM1" s="2235"/>
      <c r="TXN1" s="2235"/>
      <c r="TXO1" s="2235"/>
      <c r="TXP1" s="2235"/>
      <c r="TXQ1" s="2235"/>
      <c r="TXR1" s="2235"/>
      <c r="TXS1" s="2235"/>
      <c r="TXT1" s="2235"/>
      <c r="TXU1" s="2235"/>
      <c r="TXV1" s="2235"/>
      <c r="TXW1" s="2235"/>
      <c r="TXX1" s="2235"/>
      <c r="TXY1" s="2235"/>
      <c r="TXZ1" s="2235"/>
      <c r="TYA1" s="2235"/>
      <c r="TYB1" s="2235"/>
      <c r="TYC1" s="2235"/>
      <c r="TYD1" s="2235"/>
      <c r="TYE1" s="2235"/>
      <c r="TYF1" s="2235"/>
      <c r="TYG1" s="2235"/>
      <c r="TYH1" s="2235"/>
      <c r="TYI1" s="2235"/>
      <c r="TYJ1" s="2235"/>
      <c r="TYK1" s="2235"/>
      <c r="TYL1" s="2235"/>
      <c r="TYM1" s="2235"/>
      <c r="TYN1" s="2235"/>
      <c r="TYO1" s="2235"/>
      <c r="TYP1" s="2235"/>
      <c r="TYQ1" s="2235"/>
      <c r="TYR1" s="2235"/>
      <c r="TYS1" s="2235"/>
      <c r="TYT1" s="2235"/>
      <c r="TYU1" s="2235"/>
      <c r="TYV1" s="2235"/>
      <c r="TYW1" s="2235"/>
      <c r="TYX1" s="2235"/>
      <c r="TYY1" s="2235"/>
      <c r="TYZ1" s="2235"/>
      <c r="TZA1" s="2235"/>
      <c r="TZB1" s="2235"/>
      <c r="TZC1" s="2235"/>
      <c r="TZD1" s="2235"/>
      <c r="TZE1" s="2235"/>
      <c r="TZF1" s="2235"/>
      <c r="TZG1" s="2235"/>
      <c r="TZH1" s="2235"/>
      <c r="TZI1" s="2235"/>
      <c r="TZJ1" s="2235"/>
      <c r="TZK1" s="2235"/>
      <c r="TZL1" s="2235"/>
      <c r="TZM1" s="2235"/>
      <c r="TZN1" s="2235"/>
      <c r="TZO1" s="2235"/>
      <c r="TZP1" s="2235"/>
      <c r="TZQ1" s="2235"/>
      <c r="TZR1" s="2235"/>
      <c r="TZS1" s="2235"/>
      <c r="TZT1" s="2235"/>
      <c r="TZU1" s="2235"/>
      <c r="TZV1" s="2235"/>
      <c r="TZW1" s="2235"/>
      <c r="TZX1" s="2235"/>
      <c r="TZY1" s="2235"/>
      <c r="TZZ1" s="2235"/>
      <c r="UAA1" s="2235"/>
      <c r="UAB1" s="2235"/>
      <c r="UAC1" s="2235"/>
      <c r="UAD1" s="2235"/>
      <c r="UAE1" s="2235"/>
      <c r="UAF1" s="2235"/>
      <c r="UAG1" s="2235"/>
      <c r="UAH1" s="2235"/>
      <c r="UAI1" s="2235"/>
      <c r="UAJ1" s="2235"/>
      <c r="UAK1" s="2235"/>
      <c r="UAL1" s="2235"/>
      <c r="UAM1" s="2235"/>
      <c r="UAN1" s="2235"/>
      <c r="UAO1" s="2235"/>
      <c r="UAP1" s="2235"/>
      <c r="UAQ1" s="2235"/>
      <c r="UAR1" s="2235"/>
      <c r="UAS1" s="2235"/>
      <c r="UAT1" s="2235"/>
      <c r="UAU1" s="2235"/>
      <c r="UAV1" s="2235"/>
      <c r="UAW1" s="2235"/>
      <c r="UAX1" s="2235"/>
      <c r="UAY1" s="2235"/>
      <c r="UAZ1" s="2235"/>
      <c r="UBA1" s="2235"/>
      <c r="UBB1" s="2235"/>
      <c r="UBC1" s="2235"/>
      <c r="UBD1" s="2235"/>
      <c r="UBE1" s="2235"/>
      <c r="UBF1" s="2235"/>
      <c r="UBG1" s="2235"/>
      <c r="UBH1" s="2235"/>
      <c r="UBI1" s="2235"/>
      <c r="UBJ1" s="2235"/>
      <c r="UBK1" s="2235"/>
      <c r="UBL1" s="2235"/>
      <c r="UBM1" s="2235"/>
      <c r="UBN1" s="2235"/>
      <c r="UBO1" s="2235"/>
      <c r="UBP1" s="2235"/>
      <c r="UBQ1" s="2235"/>
      <c r="UBR1" s="2235"/>
      <c r="UBS1" s="2235"/>
      <c r="UBT1" s="2235"/>
      <c r="UBU1" s="2235"/>
      <c r="UBV1" s="2235"/>
      <c r="UBW1" s="2235"/>
      <c r="UBX1" s="2235"/>
      <c r="UBY1" s="2235"/>
      <c r="UBZ1" s="2235"/>
      <c r="UCA1" s="2235"/>
      <c r="UCB1" s="2235"/>
      <c r="UCC1" s="2235"/>
      <c r="UCD1" s="2235"/>
      <c r="UCE1" s="2235"/>
      <c r="UCF1" s="2235"/>
      <c r="UCG1" s="2235"/>
      <c r="UCH1" s="2235"/>
      <c r="UCI1" s="2235"/>
      <c r="UCJ1" s="2235"/>
      <c r="UCK1" s="2235"/>
      <c r="UCL1" s="2235"/>
      <c r="UCM1" s="2235"/>
      <c r="UCN1" s="2235"/>
      <c r="UCO1" s="2235"/>
      <c r="UCP1" s="2235"/>
      <c r="UCQ1" s="2235"/>
      <c r="UCR1" s="2235"/>
      <c r="UCS1" s="2235"/>
      <c r="UCT1" s="2235"/>
      <c r="UCU1" s="2235"/>
      <c r="UCV1" s="2235"/>
      <c r="UCW1" s="2235"/>
      <c r="UCX1" s="2235"/>
      <c r="UCY1" s="2235"/>
      <c r="UCZ1" s="2235"/>
      <c r="UDA1" s="2235"/>
      <c r="UDB1" s="2235"/>
      <c r="UDC1" s="2235"/>
      <c r="UDD1" s="2235"/>
      <c r="UDE1" s="2235"/>
      <c r="UDF1" s="2235"/>
      <c r="UDG1" s="2235"/>
      <c r="UDH1" s="2235"/>
      <c r="UDI1" s="2235"/>
      <c r="UDJ1" s="2235"/>
      <c r="UDK1" s="2235"/>
      <c r="UDL1" s="2235"/>
      <c r="UDM1" s="2235"/>
      <c r="UDN1" s="2235"/>
      <c r="UDO1" s="2235"/>
      <c r="UDP1" s="2235"/>
      <c r="UDQ1" s="2235"/>
      <c r="UDR1" s="2235"/>
      <c r="UDS1" s="2235"/>
      <c r="UDT1" s="2235"/>
      <c r="UDU1" s="2235"/>
      <c r="UDV1" s="2235"/>
      <c r="UDW1" s="2235"/>
      <c r="UDX1" s="2235"/>
      <c r="UDY1" s="2235"/>
      <c r="UDZ1" s="2235"/>
      <c r="UEA1" s="2235"/>
      <c r="UEB1" s="2235"/>
      <c r="UEC1" s="2235"/>
      <c r="UED1" s="2235"/>
      <c r="UEE1" s="2235"/>
      <c r="UEF1" s="2235"/>
      <c r="UEG1" s="2235"/>
      <c r="UEH1" s="2235"/>
      <c r="UEI1" s="2235"/>
      <c r="UEJ1" s="2235"/>
      <c r="UEK1" s="2235"/>
      <c r="UEL1" s="2235"/>
      <c r="UEM1" s="2235"/>
      <c r="UEN1" s="2235"/>
      <c r="UEO1" s="2235"/>
      <c r="UEP1" s="2235"/>
      <c r="UEQ1" s="2235"/>
      <c r="UER1" s="2235"/>
      <c r="UES1" s="2235"/>
      <c r="UET1" s="2235"/>
      <c r="UEU1" s="2235"/>
      <c r="UEV1" s="2235"/>
      <c r="UEW1" s="2235"/>
      <c r="UEX1" s="2235"/>
      <c r="UEY1" s="2235"/>
      <c r="UEZ1" s="2235"/>
      <c r="UFA1" s="2235"/>
      <c r="UFB1" s="2235"/>
      <c r="UFC1" s="2235"/>
      <c r="UFD1" s="2235"/>
      <c r="UFE1" s="2235"/>
      <c r="UFF1" s="2235"/>
      <c r="UFG1" s="2235"/>
      <c r="UFH1" s="2235"/>
      <c r="UFI1" s="2235"/>
      <c r="UFJ1" s="2235"/>
      <c r="UFK1" s="2235"/>
      <c r="UFL1" s="2235"/>
      <c r="UFM1" s="2235"/>
      <c r="UFN1" s="2235"/>
      <c r="UFO1" s="2235"/>
      <c r="UFP1" s="2235"/>
      <c r="UFQ1" s="2235"/>
      <c r="UFR1" s="2235"/>
      <c r="UFS1" s="2235"/>
      <c r="UFT1" s="2235"/>
      <c r="UFU1" s="2235"/>
      <c r="UFV1" s="2235"/>
      <c r="UFW1" s="2235"/>
      <c r="UFX1" s="2235"/>
      <c r="UFY1" s="2235"/>
      <c r="UFZ1" s="2235"/>
      <c r="UGA1" s="2235"/>
      <c r="UGB1" s="2235"/>
      <c r="UGC1" s="2235"/>
      <c r="UGD1" s="2235"/>
      <c r="UGE1" s="2235"/>
      <c r="UGF1" s="2235"/>
      <c r="UGG1" s="2235"/>
      <c r="UGH1" s="2235"/>
      <c r="UGI1" s="2235"/>
      <c r="UGJ1" s="2235"/>
      <c r="UGK1" s="2235"/>
      <c r="UGL1" s="2235"/>
      <c r="UGM1" s="2235"/>
      <c r="UGN1" s="2235"/>
      <c r="UGO1" s="2235"/>
      <c r="UGP1" s="2235"/>
      <c r="UGQ1" s="2235"/>
      <c r="UGR1" s="2235"/>
      <c r="UGS1" s="2235"/>
      <c r="UGT1" s="2235"/>
      <c r="UGU1" s="2235"/>
      <c r="UGV1" s="2235"/>
      <c r="UGW1" s="2235"/>
      <c r="UGX1" s="2235"/>
      <c r="UGY1" s="2235"/>
      <c r="UGZ1" s="2235"/>
      <c r="UHA1" s="2235"/>
      <c r="UHB1" s="2235"/>
      <c r="UHC1" s="2235"/>
      <c r="UHD1" s="2235"/>
      <c r="UHE1" s="2235"/>
      <c r="UHF1" s="2235"/>
      <c r="UHG1" s="2235"/>
      <c r="UHH1" s="2235"/>
      <c r="UHI1" s="2235"/>
      <c r="UHJ1" s="2235"/>
      <c r="UHK1" s="2235"/>
      <c r="UHL1" s="2235"/>
      <c r="UHM1" s="2235"/>
      <c r="UHN1" s="2235"/>
      <c r="UHO1" s="2235"/>
      <c r="UHP1" s="2235"/>
      <c r="UHQ1" s="2235"/>
      <c r="UHR1" s="2235"/>
      <c r="UHS1" s="2235"/>
      <c r="UHT1" s="2235"/>
      <c r="UHU1" s="2235"/>
      <c r="UHV1" s="2235"/>
      <c r="UHW1" s="2235"/>
      <c r="UHX1" s="2235"/>
      <c r="UHY1" s="2235"/>
      <c r="UHZ1" s="2235"/>
      <c r="UIA1" s="2235"/>
      <c r="UIB1" s="2235"/>
      <c r="UIC1" s="2235"/>
      <c r="UID1" s="2235"/>
      <c r="UIE1" s="2235"/>
      <c r="UIF1" s="2235"/>
      <c r="UIG1" s="2235"/>
      <c r="UIH1" s="2235"/>
      <c r="UII1" s="2235"/>
      <c r="UIJ1" s="2235"/>
      <c r="UIK1" s="2235"/>
      <c r="UIL1" s="2235"/>
      <c r="UIM1" s="2235"/>
      <c r="UIN1" s="2235"/>
      <c r="UIO1" s="2235"/>
      <c r="UIP1" s="2235"/>
      <c r="UIQ1" s="2235"/>
      <c r="UIR1" s="2235"/>
      <c r="UIS1" s="2235"/>
      <c r="UIT1" s="2235"/>
      <c r="UIU1" s="2235"/>
      <c r="UIV1" s="2235"/>
      <c r="UIW1" s="2235"/>
      <c r="UIX1" s="2235"/>
      <c r="UIY1" s="2235"/>
      <c r="UIZ1" s="2235"/>
      <c r="UJA1" s="2235"/>
      <c r="UJB1" s="2235"/>
      <c r="UJC1" s="2235"/>
      <c r="UJD1" s="2235"/>
      <c r="UJE1" s="2235"/>
      <c r="UJF1" s="2235"/>
      <c r="UJG1" s="2235"/>
      <c r="UJH1" s="2235"/>
      <c r="UJI1" s="2235"/>
      <c r="UJJ1" s="2235"/>
      <c r="UJK1" s="2235"/>
      <c r="UJL1" s="2235"/>
      <c r="UJM1" s="2235"/>
      <c r="UJN1" s="2235"/>
      <c r="UJO1" s="2235"/>
      <c r="UJP1" s="2235"/>
      <c r="UJQ1" s="2235"/>
      <c r="UJR1" s="2235"/>
      <c r="UJS1" s="2235"/>
      <c r="UJT1" s="2235"/>
      <c r="UJU1" s="2235"/>
      <c r="UJV1" s="2235"/>
      <c r="UJW1" s="2235"/>
      <c r="UJX1" s="2235"/>
      <c r="UJY1" s="2235"/>
      <c r="UJZ1" s="2235"/>
      <c r="UKA1" s="2235"/>
      <c r="UKB1" s="2235"/>
      <c r="UKC1" s="2235"/>
      <c r="UKD1" s="2235"/>
      <c r="UKE1" s="2235"/>
      <c r="UKF1" s="2235"/>
      <c r="UKG1" s="2235"/>
      <c r="UKH1" s="2235"/>
      <c r="UKI1" s="2235"/>
      <c r="UKJ1" s="2235"/>
      <c r="UKK1" s="2235"/>
      <c r="UKL1" s="2235"/>
      <c r="UKM1" s="2235"/>
      <c r="UKN1" s="2235"/>
      <c r="UKO1" s="2235"/>
      <c r="UKP1" s="2235"/>
      <c r="UKQ1" s="2235"/>
      <c r="UKR1" s="2235"/>
      <c r="UKS1" s="2235"/>
      <c r="UKT1" s="2235"/>
      <c r="UKU1" s="2235"/>
      <c r="UKV1" s="2235"/>
      <c r="UKW1" s="2235"/>
      <c r="UKX1" s="2235"/>
      <c r="UKY1" s="2235"/>
      <c r="UKZ1" s="2235"/>
      <c r="ULA1" s="2235"/>
      <c r="ULB1" s="2235"/>
      <c r="ULC1" s="2235"/>
      <c r="ULD1" s="2235"/>
      <c r="ULE1" s="2235"/>
      <c r="ULF1" s="2235"/>
      <c r="ULG1" s="2235"/>
      <c r="ULH1" s="2235"/>
      <c r="ULI1" s="2235"/>
      <c r="ULJ1" s="2235"/>
      <c r="ULK1" s="2235"/>
      <c r="ULL1" s="2235"/>
      <c r="ULM1" s="2235"/>
      <c r="ULN1" s="2235"/>
      <c r="ULO1" s="2235"/>
      <c r="ULP1" s="2235"/>
      <c r="ULQ1" s="2235"/>
      <c r="ULR1" s="2235"/>
      <c r="ULS1" s="2235"/>
      <c r="ULT1" s="2235"/>
      <c r="ULU1" s="2235"/>
      <c r="ULV1" s="2235"/>
      <c r="ULW1" s="2235"/>
      <c r="ULX1" s="2235"/>
      <c r="ULY1" s="2235"/>
      <c r="ULZ1" s="2235"/>
      <c r="UMA1" s="2235"/>
      <c r="UMB1" s="2235"/>
      <c r="UMC1" s="2235"/>
      <c r="UMD1" s="2235"/>
      <c r="UME1" s="2235"/>
      <c r="UMF1" s="2235"/>
      <c r="UMG1" s="2235"/>
      <c r="UMH1" s="2235"/>
      <c r="UMI1" s="2235"/>
      <c r="UMJ1" s="2235"/>
      <c r="UMK1" s="2235"/>
      <c r="UML1" s="2235"/>
      <c r="UMM1" s="2235"/>
      <c r="UMN1" s="2235"/>
      <c r="UMO1" s="2235"/>
      <c r="UMP1" s="2235"/>
      <c r="UMQ1" s="2235"/>
      <c r="UMR1" s="2235"/>
      <c r="UMS1" s="2235"/>
      <c r="UMT1" s="2235"/>
      <c r="UMU1" s="2235"/>
      <c r="UMV1" s="2235"/>
      <c r="UMW1" s="2235"/>
      <c r="UMX1" s="2235"/>
      <c r="UMY1" s="2235"/>
      <c r="UMZ1" s="2235"/>
      <c r="UNA1" s="2235"/>
      <c r="UNB1" s="2235"/>
      <c r="UNC1" s="2235"/>
      <c r="UND1" s="2235"/>
      <c r="UNE1" s="2235"/>
      <c r="UNF1" s="2235"/>
      <c r="UNG1" s="2235"/>
      <c r="UNH1" s="2235"/>
      <c r="UNI1" s="2235"/>
      <c r="UNJ1" s="2235"/>
      <c r="UNK1" s="2235"/>
      <c r="UNL1" s="2235"/>
      <c r="UNM1" s="2235"/>
      <c r="UNN1" s="2235"/>
      <c r="UNO1" s="2235"/>
      <c r="UNP1" s="2235"/>
      <c r="UNQ1" s="2235"/>
      <c r="UNR1" s="2235"/>
      <c r="UNS1" s="2235"/>
      <c r="UNT1" s="2235"/>
      <c r="UNU1" s="2235"/>
      <c r="UNV1" s="2235"/>
      <c r="UNW1" s="2235"/>
      <c r="UNX1" s="2235"/>
      <c r="UNY1" s="2235"/>
      <c r="UNZ1" s="2235"/>
      <c r="UOA1" s="2235"/>
      <c r="UOB1" s="2235"/>
      <c r="UOC1" s="2235"/>
      <c r="UOD1" s="2235"/>
      <c r="UOE1" s="2235"/>
      <c r="UOF1" s="2235"/>
      <c r="UOG1" s="2235"/>
      <c r="UOH1" s="2235"/>
      <c r="UOI1" s="2235"/>
      <c r="UOJ1" s="2235"/>
      <c r="UOK1" s="2235"/>
      <c r="UOL1" s="2235"/>
      <c r="UOM1" s="2235"/>
      <c r="UON1" s="2235"/>
      <c r="UOO1" s="2235"/>
      <c r="UOP1" s="2235"/>
      <c r="UOQ1" s="2235"/>
      <c r="UOR1" s="2235"/>
      <c r="UOS1" s="2235"/>
      <c r="UOT1" s="2235"/>
      <c r="UOU1" s="2235"/>
      <c r="UOV1" s="2235"/>
      <c r="UOW1" s="2235"/>
      <c r="UOX1" s="2235"/>
      <c r="UOY1" s="2235"/>
      <c r="UOZ1" s="2235"/>
      <c r="UPA1" s="2235"/>
      <c r="UPB1" s="2235"/>
      <c r="UPC1" s="2235"/>
      <c r="UPD1" s="2235"/>
      <c r="UPE1" s="2235"/>
      <c r="UPF1" s="2235"/>
      <c r="UPG1" s="2235"/>
      <c r="UPH1" s="2235"/>
      <c r="UPI1" s="2235"/>
      <c r="UPJ1" s="2235"/>
      <c r="UPK1" s="2235"/>
      <c r="UPL1" s="2235"/>
      <c r="UPM1" s="2235"/>
      <c r="UPN1" s="2235"/>
      <c r="UPO1" s="2235"/>
      <c r="UPP1" s="2235"/>
      <c r="UPQ1" s="2235"/>
      <c r="UPR1" s="2235"/>
      <c r="UPS1" s="2235"/>
      <c r="UPT1" s="2235"/>
      <c r="UPU1" s="2235"/>
      <c r="UPV1" s="2235"/>
      <c r="UPW1" s="2235"/>
      <c r="UPX1" s="2235"/>
      <c r="UPY1" s="2235"/>
      <c r="UPZ1" s="2235"/>
      <c r="UQA1" s="2235"/>
      <c r="UQB1" s="2235"/>
      <c r="UQC1" s="2235"/>
      <c r="UQD1" s="2235"/>
      <c r="UQE1" s="2235"/>
      <c r="UQF1" s="2235"/>
      <c r="UQG1" s="2235"/>
      <c r="UQH1" s="2235"/>
      <c r="UQI1" s="2235"/>
      <c r="UQJ1" s="2235"/>
      <c r="UQK1" s="2235"/>
      <c r="UQL1" s="2235"/>
      <c r="UQM1" s="2235"/>
      <c r="UQN1" s="2235"/>
      <c r="UQO1" s="2235"/>
      <c r="UQP1" s="2235"/>
      <c r="UQQ1" s="2235"/>
      <c r="UQR1" s="2235"/>
      <c r="UQS1" s="2235"/>
      <c r="UQT1" s="2235"/>
      <c r="UQU1" s="2235"/>
      <c r="UQV1" s="2235"/>
      <c r="UQW1" s="2235"/>
      <c r="UQX1" s="2235"/>
      <c r="UQY1" s="2235"/>
      <c r="UQZ1" s="2235"/>
      <c r="URA1" s="2235"/>
      <c r="URB1" s="2235"/>
      <c r="URC1" s="2235"/>
      <c r="URD1" s="2235"/>
      <c r="URE1" s="2235"/>
      <c r="URF1" s="2235"/>
      <c r="URG1" s="2235"/>
      <c r="URH1" s="2235"/>
      <c r="URI1" s="2235"/>
      <c r="URJ1" s="2235"/>
      <c r="URK1" s="2235"/>
      <c r="URL1" s="2235"/>
      <c r="URM1" s="2235"/>
      <c r="URN1" s="2235"/>
      <c r="URO1" s="2235"/>
      <c r="URP1" s="2235"/>
      <c r="URQ1" s="2235"/>
      <c r="URR1" s="2235"/>
      <c r="URS1" s="2235"/>
      <c r="URT1" s="2235"/>
      <c r="URU1" s="2235"/>
      <c r="URV1" s="2235"/>
      <c r="URW1" s="2235"/>
      <c r="URX1" s="2235"/>
      <c r="URY1" s="2235"/>
      <c r="URZ1" s="2235"/>
      <c r="USA1" s="2235"/>
      <c r="USB1" s="2235"/>
      <c r="USC1" s="2235"/>
      <c r="USD1" s="2235"/>
      <c r="USE1" s="2235"/>
      <c r="USF1" s="2235"/>
      <c r="USG1" s="2235"/>
      <c r="USH1" s="2235"/>
      <c r="USI1" s="2235"/>
      <c r="USJ1" s="2235"/>
      <c r="USK1" s="2235"/>
      <c r="USL1" s="2235"/>
      <c r="USM1" s="2235"/>
      <c r="USN1" s="2235"/>
      <c r="USO1" s="2235"/>
      <c r="USP1" s="2235"/>
      <c r="USQ1" s="2235"/>
      <c r="USR1" s="2235"/>
      <c r="USS1" s="2235"/>
      <c r="UST1" s="2235"/>
      <c r="USU1" s="2235"/>
      <c r="USV1" s="2235"/>
      <c r="USW1" s="2235"/>
      <c r="USX1" s="2235"/>
      <c r="USY1" s="2235"/>
      <c r="USZ1" s="2235"/>
      <c r="UTA1" s="2235"/>
      <c r="UTB1" s="2235"/>
      <c r="UTC1" s="2235"/>
      <c r="UTD1" s="2235"/>
      <c r="UTE1" s="2235"/>
      <c r="UTF1" s="2235"/>
      <c r="UTG1" s="2235"/>
      <c r="UTH1" s="2235"/>
      <c r="UTI1" s="2235"/>
      <c r="UTJ1" s="2235"/>
      <c r="UTK1" s="2235"/>
      <c r="UTL1" s="2235"/>
      <c r="UTM1" s="2235"/>
      <c r="UTN1" s="2235"/>
      <c r="UTO1" s="2235"/>
      <c r="UTP1" s="2235"/>
      <c r="UTQ1" s="2235"/>
      <c r="UTR1" s="2235"/>
      <c r="UTS1" s="2235"/>
      <c r="UTT1" s="2235"/>
      <c r="UTU1" s="2235"/>
      <c r="UTV1" s="2235"/>
      <c r="UTW1" s="2235"/>
      <c r="UTX1" s="2235"/>
      <c r="UTY1" s="2235"/>
      <c r="UTZ1" s="2235"/>
      <c r="UUA1" s="2235"/>
      <c r="UUB1" s="2235"/>
      <c r="UUC1" s="2235"/>
      <c r="UUD1" s="2235"/>
      <c r="UUE1" s="2235"/>
      <c r="UUF1" s="2235"/>
      <c r="UUG1" s="2235"/>
      <c r="UUH1" s="2235"/>
      <c r="UUI1" s="2235"/>
      <c r="UUJ1" s="2235"/>
      <c r="UUK1" s="2235"/>
      <c r="UUL1" s="2235"/>
      <c r="UUM1" s="2235"/>
      <c r="UUN1" s="2235"/>
      <c r="UUO1" s="2235"/>
      <c r="UUP1" s="2235"/>
      <c r="UUQ1" s="2235"/>
      <c r="UUR1" s="2235"/>
      <c r="UUS1" s="2235"/>
      <c r="UUT1" s="2235"/>
      <c r="UUU1" s="2235"/>
      <c r="UUV1" s="2235"/>
      <c r="UUW1" s="2235"/>
      <c r="UUX1" s="2235"/>
      <c r="UUY1" s="2235"/>
      <c r="UUZ1" s="2235"/>
      <c r="UVA1" s="2235"/>
      <c r="UVB1" s="2235"/>
      <c r="UVC1" s="2235"/>
      <c r="UVD1" s="2235"/>
      <c r="UVE1" s="2235"/>
      <c r="UVF1" s="2235"/>
      <c r="UVG1" s="2235"/>
      <c r="UVH1" s="2235"/>
      <c r="UVI1" s="2235"/>
      <c r="UVJ1" s="2235"/>
      <c r="UVK1" s="2235"/>
      <c r="UVL1" s="2235"/>
      <c r="UVM1" s="2235"/>
      <c r="UVN1" s="2235"/>
      <c r="UVO1" s="2235"/>
      <c r="UVP1" s="2235"/>
      <c r="UVQ1" s="2235"/>
      <c r="UVR1" s="2235"/>
      <c r="UVS1" s="2235"/>
      <c r="UVT1" s="2235"/>
      <c r="UVU1" s="2235"/>
      <c r="UVV1" s="2235"/>
      <c r="UVW1" s="2235"/>
      <c r="UVX1" s="2235"/>
      <c r="UVY1" s="2235"/>
      <c r="UVZ1" s="2235"/>
      <c r="UWA1" s="2235"/>
      <c r="UWB1" s="2235"/>
      <c r="UWC1" s="2235"/>
      <c r="UWD1" s="2235"/>
      <c r="UWE1" s="2235"/>
      <c r="UWF1" s="2235"/>
      <c r="UWG1" s="2235"/>
      <c r="UWH1" s="2235"/>
      <c r="UWI1" s="2235"/>
      <c r="UWJ1" s="2235"/>
      <c r="UWK1" s="2235"/>
      <c r="UWL1" s="2235"/>
      <c r="UWM1" s="2235"/>
      <c r="UWN1" s="2235"/>
      <c r="UWO1" s="2235"/>
      <c r="UWP1" s="2235"/>
      <c r="UWQ1" s="2235"/>
      <c r="UWR1" s="2235"/>
      <c r="UWS1" s="2235"/>
      <c r="UWT1" s="2235"/>
      <c r="UWU1" s="2235"/>
      <c r="UWV1" s="2235"/>
      <c r="UWW1" s="2235"/>
      <c r="UWX1" s="2235"/>
      <c r="UWY1" s="2235"/>
      <c r="UWZ1" s="2235"/>
      <c r="UXA1" s="2235"/>
      <c r="UXB1" s="2235"/>
      <c r="UXC1" s="2235"/>
      <c r="UXD1" s="2235"/>
      <c r="UXE1" s="2235"/>
      <c r="UXF1" s="2235"/>
      <c r="UXG1" s="2235"/>
      <c r="UXH1" s="2235"/>
      <c r="UXI1" s="2235"/>
      <c r="UXJ1" s="2235"/>
      <c r="UXK1" s="2235"/>
      <c r="UXL1" s="2235"/>
      <c r="UXM1" s="2235"/>
      <c r="UXN1" s="2235"/>
      <c r="UXO1" s="2235"/>
      <c r="UXP1" s="2235"/>
      <c r="UXQ1" s="2235"/>
      <c r="UXR1" s="2235"/>
      <c r="UXS1" s="2235"/>
      <c r="UXT1" s="2235"/>
      <c r="UXU1" s="2235"/>
      <c r="UXV1" s="2235"/>
      <c r="UXW1" s="2235"/>
      <c r="UXX1" s="2235"/>
      <c r="UXY1" s="2235"/>
      <c r="UXZ1" s="2235"/>
      <c r="UYA1" s="2235"/>
      <c r="UYB1" s="2235"/>
      <c r="UYC1" s="2235"/>
      <c r="UYD1" s="2235"/>
      <c r="UYE1" s="2235"/>
      <c r="UYF1" s="2235"/>
      <c r="UYG1" s="2235"/>
      <c r="UYH1" s="2235"/>
      <c r="UYI1" s="2235"/>
      <c r="UYJ1" s="2235"/>
      <c r="UYK1" s="2235"/>
      <c r="UYL1" s="2235"/>
      <c r="UYM1" s="2235"/>
      <c r="UYN1" s="2235"/>
      <c r="UYO1" s="2235"/>
      <c r="UYP1" s="2235"/>
      <c r="UYQ1" s="2235"/>
      <c r="UYR1" s="2235"/>
      <c r="UYS1" s="2235"/>
      <c r="UYT1" s="2235"/>
      <c r="UYU1" s="2235"/>
      <c r="UYV1" s="2235"/>
      <c r="UYW1" s="2235"/>
      <c r="UYX1" s="2235"/>
      <c r="UYY1" s="2235"/>
      <c r="UYZ1" s="2235"/>
      <c r="UZA1" s="2235"/>
      <c r="UZB1" s="2235"/>
      <c r="UZC1" s="2235"/>
      <c r="UZD1" s="2235"/>
      <c r="UZE1" s="2235"/>
      <c r="UZF1" s="2235"/>
      <c r="UZG1" s="2235"/>
      <c r="UZH1" s="2235"/>
      <c r="UZI1" s="2235"/>
      <c r="UZJ1" s="2235"/>
      <c r="UZK1" s="2235"/>
      <c r="UZL1" s="2235"/>
      <c r="UZM1" s="2235"/>
      <c r="UZN1" s="2235"/>
      <c r="UZO1" s="2235"/>
      <c r="UZP1" s="2235"/>
      <c r="UZQ1" s="2235"/>
      <c r="UZR1" s="2235"/>
      <c r="UZS1" s="2235"/>
      <c r="UZT1" s="2235"/>
      <c r="UZU1" s="2235"/>
      <c r="UZV1" s="2235"/>
      <c r="UZW1" s="2235"/>
      <c r="UZX1" s="2235"/>
      <c r="UZY1" s="2235"/>
      <c r="UZZ1" s="2235"/>
      <c r="VAA1" s="2235"/>
      <c r="VAB1" s="2235"/>
      <c r="VAC1" s="2235"/>
      <c r="VAD1" s="2235"/>
      <c r="VAE1" s="2235"/>
      <c r="VAF1" s="2235"/>
      <c r="VAG1" s="2235"/>
      <c r="VAH1" s="2235"/>
      <c r="VAI1" s="2235"/>
      <c r="VAJ1" s="2235"/>
      <c r="VAK1" s="2235"/>
      <c r="VAL1" s="2235"/>
      <c r="VAM1" s="2235"/>
      <c r="VAN1" s="2235"/>
      <c r="VAO1" s="2235"/>
      <c r="VAP1" s="2235"/>
      <c r="VAQ1" s="2235"/>
      <c r="VAR1" s="2235"/>
      <c r="VAS1" s="2235"/>
      <c r="VAT1" s="2235"/>
      <c r="VAU1" s="2235"/>
      <c r="VAV1" s="2235"/>
      <c r="VAW1" s="2235"/>
      <c r="VAX1" s="2235"/>
      <c r="VAY1" s="2235"/>
      <c r="VAZ1" s="2235"/>
      <c r="VBA1" s="2235"/>
      <c r="VBB1" s="2235"/>
      <c r="VBC1" s="2235"/>
      <c r="VBD1" s="2235"/>
      <c r="VBE1" s="2235"/>
      <c r="VBF1" s="2235"/>
      <c r="VBG1" s="2235"/>
      <c r="VBH1" s="2235"/>
      <c r="VBI1" s="2235"/>
      <c r="VBJ1" s="2235"/>
      <c r="VBK1" s="2235"/>
      <c r="VBL1" s="2235"/>
      <c r="VBM1" s="2235"/>
      <c r="VBN1" s="2235"/>
      <c r="VBO1" s="2235"/>
      <c r="VBP1" s="2235"/>
      <c r="VBQ1" s="2235"/>
      <c r="VBR1" s="2235"/>
      <c r="VBS1" s="2235"/>
      <c r="VBT1" s="2235"/>
      <c r="VBU1" s="2235"/>
      <c r="VBV1" s="2235"/>
      <c r="VBW1" s="2235"/>
      <c r="VBX1" s="2235"/>
      <c r="VBY1" s="2235"/>
      <c r="VBZ1" s="2235"/>
      <c r="VCA1" s="2235"/>
      <c r="VCB1" s="2235"/>
      <c r="VCC1" s="2235"/>
      <c r="VCD1" s="2235"/>
      <c r="VCE1" s="2235"/>
      <c r="VCF1" s="2235"/>
      <c r="VCG1" s="2235"/>
      <c r="VCH1" s="2235"/>
      <c r="VCI1" s="2235"/>
      <c r="VCJ1" s="2235"/>
      <c r="VCK1" s="2235"/>
      <c r="VCL1" s="2235"/>
      <c r="VCM1" s="2235"/>
      <c r="VCN1" s="2235"/>
      <c r="VCO1" s="2235"/>
      <c r="VCP1" s="2235"/>
      <c r="VCQ1" s="2235"/>
      <c r="VCR1" s="2235"/>
      <c r="VCS1" s="2235"/>
      <c r="VCT1" s="2235"/>
      <c r="VCU1" s="2235"/>
      <c r="VCV1" s="2235"/>
      <c r="VCW1" s="2235"/>
      <c r="VCX1" s="2235"/>
      <c r="VCY1" s="2235"/>
      <c r="VCZ1" s="2235"/>
      <c r="VDA1" s="2235"/>
      <c r="VDB1" s="2235"/>
      <c r="VDC1" s="2235"/>
      <c r="VDD1" s="2235"/>
      <c r="VDE1" s="2235"/>
      <c r="VDF1" s="2235"/>
      <c r="VDG1" s="2235"/>
      <c r="VDH1" s="2235"/>
      <c r="VDI1" s="2235"/>
      <c r="VDJ1" s="2235"/>
      <c r="VDK1" s="2235"/>
      <c r="VDL1" s="2235"/>
      <c r="VDM1" s="2235"/>
      <c r="VDN1" s="2235"/>
      <c r="VDO1" s="2235"/>
      <c r="VDP1" s="2235"/>
      <c r="VDQ1" s="2235"/>
      <c r="VDR1" s="2235"/>
      <c r="VDS1" s="2235"/>
      <c r="VDT1" s="2235"/>
      <c r="VDU1" s="2235"/>
      <c r="VDV1" s="2235"/>
      <c r="VDW1" s="2235"/>
      <c r="VDX1" s="2235"/>
      <c r="VDY1" s="2235"/>
      <c r="VDZ1" s="2235"/>
      <c r="VEA1" s="2235"/>
      <c r="VEB1" s="2235"/>
      <c r="VEC1" s="2235"/>
      <c r="VED1" s="2235"/>
      <c r="VEE1" s="2235"/>
      <c r="VEF1" s="2235"/>
      <c r="VEG1" s="2235"/>
      <c r="VEH1" s="2235"/>
      <c r="VEI1" s="2235"/>
      <c r="VEJ1" s="2235"/>
      <c r="VEK1" s="2235"/>
      <c r="VEL1" s="2235"/>
      <c r="VEM1" s="2235"/>
      <c r="VEN1" s="2235"/>
      <c r="VEO1" s="2235"/>
      <c r="VEP1" s="2235"/>
      <c r="VEQ1" s="2235"/>
      <c r="VER1" s="2235"/>
      <c r="VES1" s="2235"/>
      <c r="VET1" s="2235"/>
      <c r="VEU1" s="2235"/>
      <c r="VEV1" s="2235"/>
      <c r="VEW1" s="2235"/>
      <c r="VEX1" s="2235"/>
      <c r="VEY1" s="2235"/>
      <c r="VEZ1" s="2235"/>
      <c r="VFA1" s="2235"/>
      <c r="VFB1" s="2235"/>
      <c r="VFC1" s="2235"/>
      <c r="VFD1" s="2235"/>
      <c r="VFE1" s="2235"/>
      <c r="VFF1" s="2235"/>
      <c r="VFG1" s="2235"/>
      <c r="VFH1" s="2235"/>
      <c r="VFI1" s="2235"/>
      <c r="VFJ1" s="2235"/>
      <c r="VFK1" s="2235"/>
      <c r="VFL1" s="2235"/>
      <c r="VFM1" s="2235"/>
      <c r="VFN1" s="2235"/>
      <c r="VFO1" s="2235"/>
      <c r="VFP1" s="2235"/>
      <c r="VFQ1" s="2235"/>
      <c r="VFR1" s="2235"/>
      <c r="VFS1" s="2235"/>
      <c r="VFT1" s="2235"/>
      <c r="VFU1" s="2235"/>
      <c r="VFV1" s="2235"/>
      <c r="VFW1" s="2235"/>
      <c r="VFX1" s="2235"/>
      <c r="VFY1" s="2235"/>
      <c r="VFZ1" s="2235"/>
      <c r="VGA1" s="2235"/>
      <c r="VGB1" s="2235"/>
      <c r="VGC1" s="2235"/>
      <c r="VGD1" s="2235"/>
      <c r="VGE1" s="2235"/>
      <c r="VGF1" s="2235"/>
      <c r="VGG1" s="2235"/>
      <c r="VGH1" s="2235"/>
      <c r="VGI1" s="2235"/>
      <c r="VGJ1" s="2235"/>
      <c r="VGK1" s="2235"/>
      <c r="VGL1" s="2235"/>
      <c r="VGM1" s="2235"/>
      <c r="VGN1" s="2235"/>
      <c r="VGO1" s="2235"/>
      <c r="VGP1" s="2235"/>
      <c r="VGQ1" s="2235"/>
      <c r="VGR1" s="2235"/>
      <c r="VGS1" s="2235"/>
      <c r="VGT1" s="2235"/>
      <c r="VGU1" s="2235"/>
      <c r="VGV1" s="2235"/>
      <c r="VGW1" s="2235"/>
      <c r="VGX1" s="2235"/>
      <c r="VGY1" s="2235"/>
      <c r="VGZ1" s="2235"/>
      <c r="VHA1" s="2235"/>
      <c r="VHB1" s="2235"/>
      <c r="VHC1" s="2235"/>
      <c r="VHD1" s="2235"/>
      <c r="VHE1" s="2235"/>
      <c r="VHF1" s="2235"/>
      <c r="VHG1" s="2235"/>
      <c r="VHH1" s="2235"/>
      <c r="VHI1" s="2235"/>
      <c r="VHJ1" s="2235"/>
      <c r="VHK1" s="2235"/>
      <c r="VHL1" s="2235"/>
      <c r="VHM1" s="2235"/>
      <c r="VHN1" s="2235"/>
      <c r="VHO1" s="2235"/>
      <c r="VHP1" s="2235"/>
      <c r="VHQ1" s="2235"/>
      <c r="VHR1" s="2235"/>
      <c r="VHS1" s="2235"/>
      <c r="VHT1" s="2235"/>
      <c r="VHU1" s="2235"/>
      <c r="VHV1" s="2235"/>
      <c r="VHW1" s="2235"/>
      <c r="VHX1" s="2235"/>
      <c r="VHY1" s="2235"/>
      <c r="VHZ1" s="2235"/>
      <c r="VIA1" s="2235"/>
      <c r="VIB1" s="2235"/>
      <c r="VIC1" s="2235"/>
      <c r="VID1" s="2235"/>
      <c r="VIE1" s="2235"/>
      <c r="VIF1" s="2235"/>
      <c r="VIG1" s="2235"/>
      <c r="VIH1" s="2235"/>
      <c r="VII1" s="2235"/>
      <c r="VIJ1" s="2235"/>
      <c r="VIK1" s="2235"/>
      <c r="VIL1" s="2235"/>
      <c r="VIM1" s="2235"/>
      <c r="VIN1" s="2235"/>
      <c r="VIO1" s="2235"/>
      <c r="VIP1" s="2235"/>
      <c r="VIQ1" s="2235"/>
      <c r="VIR1" s="2235"/>
      <c r="VIS1" s="2235"/>
      <c r="VIT1" s="2235"/>
      <c r="VIU1" s="2235"/>
      <c r="VIV1" s="2235"/>
      <c r="VIW1" s="2235"/>
      <c r="VIX1" s="2235"/>
      <c r="VIY1" s="2235"/>
      <c r="VIZ1" s="2235"/>
      <c r="VJA1" s="2235"/>
      <c r="VJB1" s="2235"/>
      <c r="VJC1" s="2235"/>
      <c r="VJD1" s="2235"/>
      <c r="VJE1" s="2235"/>
      <c r="VJF1" s="2235"/>
      <c r="VJG1" s="2235"/>
      <c r="VJH1" s="2235"/>
      <c r="VJI1" s="2235"/>
      <c r="VJJ1" s="2235"/>
      <c r="VJK1" s="2235"/>
      <c r="VJL1" s="2235"/>
      <c r="VJM1" s="2235"/>
      <c r="VJN1" s="2235"/>
      <c r="VJO1" s="2235"/>
      <c r="VJP1" s="2235"/>
      <c r="VJQ1" s="2235"/>
      <c r="VJR1" s="2235"/>
      <c r="VJS1" s="2235"/>
      <c r="VJT1" s="2235"/>
      <c r="VJU1" s="2235"/>
      <c r="VJV1" s="2235"/>
      <c r="VJW1" s="2235"/>
      <c r="VJX1" s="2235"/>
      <c r="VJY1" s="2235"/>
      <c r="VJZ1" s="2235"/>
      <c r="VKA1" s="2235"/>
      <c r="VKB1" s="2235"/>
      <c r="VKC1" s="2235"/>
      <c r="VKD1" s="2235"/>
      <c r="VKE1" s="2235"/>
      <c r="VKF1" s="2235"/>
      <c r="VKG1" s="2235"/>
      <c r="VKH1" s="2235"/>
      <c r="VKI1" s="2235"/>
      <c r="VKJ1" s="2235"/>
      <c r="VKK1" s="2235"/>
      <c r="VKL1" s="2235"/>
      <c r="VKM1" s="2235"/>
      <c r="VKN1" s="2235"/>
      <c r="VKO1" s="2235"/>
      <c r="VKP1" s="2235"/>
      <c r="VKQ1" s="2235"/>
      <c r="VKR1" s="2235"/>
      <c r="VKS1" s="2235"/>
      <c r="VKT1" s="2235"/>
      <c r="VKU1" s="2235"/>
      <c r="VKV1" s="2235"/>
      <c r="VKW1" s="2235"/>
      <c r="VKX1" s="2235"/>
      <c r="VKY1" s="2235"/>
      <c r="VKZ1" s="2235"/>
      <c r="VLA1" s="2235"/>
      <c r="VLB1" s="2235"/>
      <c r="VLC1" s="2235"/>
      <c r="VLD1" s="2235"/>
      <c r="VLE1" s="2235"/>
      <c r="VLF1" s="2235"/>
      <c r="VLG1" s="2235"/>
      <c r="VLH1" s="2235"/>
      <c r="VLI1" s="2235"/>
      <c r="VLJ1" s="2235"/>
      <c r="VLK1" s="2235"/>
      <c r="VLL1" s="2235"/>
      <c r="VLM1" s="2235"/>
      <c r="VLN1" s="2235"/>
      <c r="VLO1" s="2235"/>
      <c r="VLP1" s="2235"/>
      <c r="VLQ1" s="2235"/>
      <c r="VLR1" s="2235"/>
      <c r="VLS1" s="2235"/>
      <c r="VLT1" s="2235"/>
      <c r="VLU1" s="2235"/>
      <c r="VLV1" s="2235"/>
      <c r="VLW1" s="2235"/>
      <c r="VLX1" s="2235"/>
      <c r="VLY1" s="2235"/>
      <c r="VLZ1" s="2235"/>
      <c r="VMA1" s="2235"/>
      <c r="VMB1" s="2235"/>
      <c r="VMC1" s="2235"/>
      <c r="VMD1" s="2235"/>
      <c r="VME1" s="2235"/>
      <c r="VMF1" s="2235"/>
      <c r="VMG1" s="2235"/>
      <c r="VMH1" s="2235"/>
      <c r="VMI1" s="2235"/>
      <c r="VMJ1" s="2235"/>
      <c r="VMK1" s="2235"/>
      <c r="VML1" s="2235"/>
      <c r="VMM1" s="2235"/>
      <c r="VMN1" s="2235"/>
      <c r="VMO1" s="2235"/>
      <c r="VMP1" s="2235"/>
      <c r="VMQ1" s="2235"/>
      <c r="VMR1" s="2235"/>
      <c r="VMS1" s="2235"/>
      <c r="VMT1" s="2235"/>
      <c r="VMU1" s="2235"/>
      <c r="VMV1" s="2235"/>
      <c r="VMW1" s="2235"/>
      <c r="VMX1" s="2235"/>
      <c r="VMY1" s="2235"/>
      <c r="VMZ1" s="2235"/>
      <c r="VNA1" s="2235"/>
      <c r="VNB1" s="2235"/>
      <c r="VNC1" s="2235"/>
      <c r="VND1" s="2235"/>
      <c r="VNE1" s="2235"/>
      <c r="VNF1" s="2235"/>
      <c r="VNG1" s="2235"/>
      <c r="VNH1" s="2235"/>
      <c r="VNI1" s="2235"/>
      <c r="VNJ1" s="2235"/>
      <c r="VNK1" s="2235"/>
      <c r="VNL1" s="2235"/>
      <c r="VNM1" s="2235"/>
      <c r="VNN1" s="2235"/>
      <c r="VNO1" s="2235"/>
      <c r="VNP1" s="2235"/>
      <c r="VNQ1" s="2235"/>
      <c r="VNR1" s="2235"/>
      <c r="VNS1" s="2235"/>
      <c r="VNT1" s="2235"/>
      <c r="VNU1" s="2235"/>
      <c r="VNV1" s="2235"/>
      <c r="VNW1" s="2235"/>
      <c r="VNX1" s="2235"/>
      <c r="VNY1" s="2235"/>
      <c r="VNZ1" s="2235"/>
      <c r="VOA1" s="2235"/>
      <c r="VOB1" s="2235"/>
      <c r="VOC1" s="2235"/>
      <c r="VOD1" s="2235"/>
      <c r="VOE1" s="2235"/>
      <c r="VOF1" s="2235"/>
      <c r="VOG1" s="2235"/>
      <c r="VOH1" s="2235"/>
      <c r="VOI1" s="2235"/>
      <c r="VOJ1" s="2235"/>
      <c r="VOK1" s="2235"/>
      <c r="VOL1" s="2235"/>
      <c r="VOM1" s="2235"/>
      <c r="VON1" s="2235"/>
      <c r="VOO1" s="2235"/>
      <c r="VOP1" s="2235"/>
      <c r="VOQ1" s="2235"/>
      <c r="VOR1" s="2235"/>
      <c r="VOS1" s="2235"/>
      <c r="VOT1" s="2235"/>
      <c r="VOU1" s="2235"/>
      <c r="VOV1" s="2235"/>
      <c r="VOW1" s="2235"/>
      <c r="VOX1" s="2235"/>
      <c r="VOY1" s="2235"/>
      <c r="VOZ1" s="2235"/>
      <c r="VPA1" s="2235"/>
      <c r="VPB1" s="2235"/>
      <c r="VPC1" s="2235"/>
      <c r="VPD1" s="2235"/>
      <c r="VPE1" s="2235"/>
      <c r="VPF1" s="2235"/>
      <c r="VPG1" s="2235"/>
      <c r="VPH1" s="2235"/>
      <c r="VPI1" s="2235"/>
      <c r="VPJ1" s="2235"/>
      <c r="VPK1" s="2235"/>
      <c r="VPL1" s="2235"/>
      <c r="VPM1" s="2235"/>
      <c r="VPN1" s="2235"/>
      <c r="VPO1" s="2235"/>
      <c r="VPP1" s="2235"/>
      <c r="VPQ1" s="2235"/>
      <c r="VPR1" s="2235"/>
      <c r="VPS1" s="2235"/>
      <c r="VPT1" s="2235"/>
      <c r="VPU1" s="2235"/>
      <c r="VPV1" s="2235"/>
      <c r="VPW1" s="2235"/>
      <c r="VPX1" s="2235"/>
      <c r="VPY1" s="2235"/>
      <c r="VPZ1" s="2235"/>
      <c r="VQA1" s="2235"/>
      <c r="VQB1" s="2235"/>
      <c r="VQC1" s="2235"/>
      <c r="VQD1" s="2235"/>
      <c r="VQE1" s="2235"/>
      <c r="VQF1" s="2235"/>
      <c r="VQG1" s="2235"/>
      <c r="VQH1" s="2235"/>
      <c r="VQI1" s="2235"/>
      <c r="VQJ1" s="2235"/>
      <c r="VQK1" s="2235"/>
      <c r="VQL1" s="2235"/>
      <c r="VQM1" s="2235"/>
      <c r="VQN1" s="2235"/>
      <c r="VQO1" s="2235"/>
      <c r="VQP1" s="2235"/>
      <c r="VQQ1" s="2235"/>
      <c r="VQR1" s="2235"/>
      <c r="VQS1" s="2235"/>
      <c r="VQT1" s="2235"/>
      <c r="VQU1" s="2235"/>
      <c r="VQV1" s="2235"/>
      <c r="VQW1" s="2235"/>
      <c r="VQX1" s="2235"/>
      <c r="VQY1" s="2235"/>
      <c r="VQZ1" s="2235"/>
      <c r="VRA1" s="2235"/>
      <c r="VRB1" s="2235"/>
      <c r="VRC1" s="2235"/>
      <c r="VRD1" s="2235"/>
      <c r="VRE1" s="2235"/>
      <c r="VRF1" s="2235"/>
      <c r="VRG1" s="2235"/>
      <c r="VRH1" s="2235"/>
      <c r="VRI1" s="2235"/>
      <c r="VRJ1" s="2235"/>
      <c r="VRK1" s="2235"/>
      <c r="VRL1" s="2235"/>
      <c r="VRM1" s="2235"/>
      <c r="VRN1" s="2235"/>
      <c r="VRO1" s="2235"/>
      <c r="VRP1" s="2235"/>
      <c r="VRQ1" s="2235"/>
      <c r="VRR1" s="2235"/>
      <c r="VRS1" s="2235"/>
      <c r="VRT1" s="2235"/>
      <c r="VRU1" s="2235"/>
      <c r="VRV1" s="2235"/>
      <c r="VRW1" s="2235"/>
      <c r="VRX1" s="2235"/>
      <c r="VRY1" s="2235"/>
      <c r="VRZ1" s="2235"/>
      <c r="VSA1" s="2235"/>
      <c r="VSB1" s="2235"/>
      <c r="VSC1" s="2235"/>
      <c r="VSD1" s="2235"/>
      <c r="VSE1" s="2235"/>
      <c r="VSF1" s="2235"/>
      <c r="VSG1" s="2235"/>
      <c r="VSH1" s="2235"/>
      <c r="VSI1" s="2235"/>
      <c r="VSJ1" s="2235"/>
      <c r="VSK1" s="2235"/>
      <c r="VSL1" s="2235"/>
      <c r="VSM1" s="2235"/>
      <c r="VSN1" s="2235"/>
      <c r="VSO1" s="2235"/>
      <c r="VSP1" s="2235"/>
      <c r="VSQ1" s="2235"/>
      <c r="VSR1" s="2235"/>
      <c r="VSS1" s="2235"/>
      <c r="VST1" s="2235"/>
      <c r="VSU1" s="2235"/>
      <c r="VSV1" s="2235"/>
      <c r="VSW1" s="2235"/>
      <c r="VSX1" s="2235"/>
      <c r="VSY1" s="2235"/>
      <c r="VSZ1" s="2235"/>
      <c r="VTA1" s="2235"/>
      <c r="VTB1" s="2235"/>
      <c r="VTC1" s="2235"/>
      <c r="VTD1" s="2235"/>
      <c r="VTE1" s="2235"/>
      <c r="VTF1" s="2235"/>
      <c r="VTG1" s="2235"/>
      <c r="VTH1" s="2235"/>
      <c r="VTI1" s="2235"/>
      <c r="VTJ1" s="2235"/>
      <c r="VTK1" s="2235"/>
      <c r="VTL1" s="2235"/>
      <c r="VTM1" s="2235"/>
      <c r="VTN1" s="2235"/>
      <c r="VTO1" s="2235"/>
      <c r="VTP1" s="2235"/>
      <c r="VTQ1" s="2235"/>
      <c r="VTR1" s="2235"/>
      <c r="VTS1" s="2235"/>
      <c r="VTT1" s="2235"/>
      <c r="VTU1" s="2235"/>
      <c r="VTV1" s="2235"/>
      <c r="VTW1" s="2235"/>
      <c r="VTX1" s="2235"/>
      <c r="VTY1" s="2235"/>
      <c r="VTZ1" s="2235"/>
      <c r="VUA1" s="2235"/>
      <c r="VUB1" s="2235"/>
      <c r="VUC1" s="2235"/>
      <c r="VUD1" s="2235"/>
      <c r="VUE1" s="2235"/>
      <c r="VUF1" s="2235"/>
      <c r="VUG1" s="2235"/>
      <c r="VUH1" s="2235"/>
      <c r="VUI1" s="2235"/>
      <c r="VUJ1" s="2235"/>
      <c r="VUK1" s="2235"/>
      <c r="VUL1" s="2235"/>
      <c r="VUM1" s="2235"/>
      <c r="VUN1" s="2235"/>
      <c r="VUO1" s="2235"/>
      <c r="VUP1" s="2235"/>
      <c r="VUQ1" s="2235"/>
      <c r="VUR1" s="2235"/>
      <c r="VUS1" s="2235"/>
      <c r="VUT1" s="2235"/>
      <c r="VUU1" s="2235"/>
      <c r="VUV1" s="2235"/>
      <c r="VUW1" s="2235"/>
      <c r="VUX1" s="2235"/>
      <c r="VUY1" s="2235"/>
      <c r="VUZ1" s="2235"/>
      <c r="VVA1" s="2235"/>
      <c r="VVB1" s="2235"/>
      <c r="VVC1" s="2235"/>
      <c r="VVD1" s="2235"/>
      <c r="VVE1" s="2235"/>
      <c r="VVF1" s="2235"/>
      <c r="VVG1" s="2235"/>
      <c r="VVH1" s="2235"/>
      <c r="VVI1" s="2235"/>
      <c r="VVJ1" s="2235"/>
      <c r="VVK1" s="2235"/>
      <c r="VVL1" s="2235"/>
      <c r="VVM1" s="2235"/>
      <c r="VVN1" s="2235"/>
      <c r="VVO1" s="2235"/>
      <c r="VVP1" s="2235"/>
      <c r="VVQ1" s="2235"/>
      <c r="VVR1" s="2235"/>
      <c r="VVS1" s="2235"/>
      <c r="VVT1" s="2235"/>
      <c r="VVU1" s="2235"/>
      <c r="VVV1" s="2235"/>
      <c r="VVW1" s="2235"/>
      <c r="VVX1" s="2235"/>
      <c r="VVY1" s="2235"/>
      <c r="VVZ1" s="2235"/>
      <c r="VWA1" s="2235"/>
      <c r="VWB1" s="2235"/>
      <c r="VWC1" s="2235"/>
      <c r="VWD1" s="2235"/>
      <c r="VWE1" s="2235"/>
      <c r="VWF1" s="2235"/>
      <c r="VWG1" s="2235"/>
      <c r="VWH1" s="2235"/>
      <c r="VWI1" s="2235"/>
      <c r="VWJ1" s="2235"/>
      <c r="VWK1" s="2235"/>
      <c r="VWL1" s="2235"/>
      <c r="VWM1" s="2235"/>
      <c r="VWN1" s="2235"/>
      <c r="VWO1" s="2235"/>
      <c r="VWP1" s="2235"/>
      <c r="VWQ1" s="2235"/>
      <c r="VWR1" s="2235"/>
      <c r="VWS1" s="2235"/>
      <c r="VWT1" s="2235"/>
      <c r="VWU1" s="2235"/>
      <c r="VWV1" s="2235"/>
      <c r="VWW1" s="2235"/>
      <c r="VWX1" s="2235"/>
      <c r="VWY1" s="2235"/>
      <c r="VWZ1" s="2235"/>
      <c r="VXA1" s="2235"/>
      <c r="VXB1" s="2235"/>
      <c r="VXC1" s="2235"/>
      <c r="VXD1" s="2235"/>
      <c r="VXE1" s="2235"/>
      <c r="VXF1" s="2235"/>
      <c r="VXG1" s="2235"/>
      <c r="VXH1" s="2235"/>
      <c r="VXI1" s="2235"/>
      <c r="VXJ1" s="2235"/>
      <c r="VXK1" s="2235"/>
      <c r="VXL1" s="2235"/>
      <c r="VXM1" s="2235"/>
      <c r="VXN1" s="2235"/>
      <c r="VXO1" s="2235"/>
      <c r="VXP1" s="2235"/>
      <c r="VXQ1" s="2235"/>
      <c r="VXR1" s="2235"/>
      <c r="VXS1" s="2235"/>
      <c r="VXT1" s="2235"/>
      <c r="VXU1" s="2235"/>
      <c r="VXV1" s="2235"/>
      <c r="VXW1" s="2235"/>
      <c r="VXX1" s="2235"/>
      <c r="VXY1" s="2235"/>
      <c r="VXZ1" s="2235"/>
      <c r="VYA1" s="2235"/>
      <c r="VYB1" s="2235"/>
      <c r="VYC1" s="2235"/>
      <c r="VYD1" s="2235"/>
      <c r="VYE1" s="2235"/>
      <c r="VYF1" s="2235"/>
      <c r="VYG1" s="2235"/>
      <c r="VYH1" s="2235"/>
      <c r="VYI1" s="2235"/>
      <c r="VYJ1" s="2235"/>
      <c r="VYK1" s="2235"/>
      <c r="VYL1" s="2235"/>
      <c r="VYM1" s="2235"/>
      <c r="VYN1" s="2235"/>
      <c r="VYO1" s="2235"/>
      <c r="VYP1" s="2235"/>
      <c r="VYQ1" s="2235"/>
      <c r="VYR1" s="2235"/>
      <c r="VYS1" s="2235"/>
      <c r="VYT1" s="2235"/>
      <c r="VYU1" s="2235"/>
      <c r="VYV1" s="2235"/>
      <c r="VYW1" s="2235"/>
      <c r="VYX1" s="2235"/>
      <c r="VYY1" s="2235"/>
      <c r="VYZ1" s="2235"/>
      <c r="VZA1" s="2235"/>
      <c r="VZB1" s="2235"/>
      <c r="VZC1" s="2235"/>
      <c r="VZD1" s="2235"/>
      <c r="VZE1" s="2235"/>
      <c r="VZF1" s="2235"/>
      <c r="VZG1" s="2235"/>
      <c r="VZH1" s="2235"/>
      <c r="VZI1" s="2235"/>
      <c r="VZJ1" s="2235"/>
      <c r="VZK1" s="2235"/>
      <c r="VZL1" s="2235"/>
      <c r="VZM1" s="2235"/>
      <c r="VZN1" s="2235"/>
      <c r="VZO1" s="2235"/>
      <c r="VZP1" s="2235"/>
      <c r="VZQ1" s="2235"/>
      <c r="VZR1" s="2235"/>
      <c r="VZS1" s="2235"/>
      <c r="VZT1" s="2235"/>
      <c r="VZU1" s="2235"/>
      <c r="VZV1" s="2235"/>
      <c r="VZW1" s="2235"/>
      <c r="VZX1" s="2235"/>
      <c r="VZY1" s="2235"/>
      <c r="VZZ1" s="2235"/>
      <c r="WAA1" s="2235"/>
      <c r="WAB1" s="2235"/>
      <c r="WAC1" s="2235"/>
      <c r="WAD1" s="2235"/>
      <c r="WAE1" s="2235"/>
      <c r="WAF1" s="2235"/>
      <c r="WAG1" s="2235"/>
      <c r="WAH1" s="2235"/>
      <c r="WAI1" s="2235"/>
      <c r="WAJ1" s="2235"/>
      <c r="WAK1" s="2235"/>
      <c r="WAL1" s="2235"/>
      <c r="WAM1" s="2235"/>
      <c r="WAN1" s="2235"/>
      <c r="WAO1" s="2235"/>
      <c r="WAP1" s="2235"/>
      <c r="WAQ1" s="2235"/>
      <c r="WAR1" s="2235"/>
      <c r="WAS1" s="2235"/>
      <c r="WAT1" s="2235"/>
      <c r="WAU1" s="2235"/>
      <c r="WAV1" s="2235"/>
      <c r="WAW1" s="2235"/>
      <c r="WAX1" s="2235"/>
      <c r="WAY1" s="2235"/>
      <c r="WAZ1" s="2235"/>
      <c r="WBA1" s="2235"/>
      <c r="WBB1" s="2235"/>
      <c r="WBC1" s="2235"/>
      <c r="WBD1" s="2235"/>
      <c r="WBE1" s="2235"/>
      <c r="WBF1" s="2235"/>
      <c r="WBG1" s="2235"/>
      <c r="WBH1" s="2235"/>
      <c r="WBI1" s="2235"/>
      <c r="WBJ1" s="2235"/>
      <c r="WBK1" s="2235"/>
      <c r="WBL1" s="2235"/>
      <c r="WBM1" s="2235"/>
      <c r="WBN1" s="2235"/>
      <c r="WBO1" s="2235"/>
      <c r="WBP1" s="2235"/>
      <c r="WBQ1" s="2235"/>
      <c r="WBR1" s="2235"/>
      <c r="WBS1" s="2235"/>
      <c r="WBT1" s="2235"/>
      <c r="WBU1" s="2235"/>
      <c r="WBV1" s="2235"/>
      <c r="WBW1" s="2235"/>
      <c r="WBX1" s="2235"/>
      <c r="WBY1" s="2235"/>
      <c r="WBZ1" s="2235"/>
      <c r="WCA1" s="2235"/>
      <c r="WCB1" s="2235"/>
      <c r="WCC1" s="2235"/>
      <c r="WCD1" s="2235"/>
      <c r="WCE1" s="2235"/>
      <c r="WCF1" s="2235"/>
      <c r="WCG1" s="2235"/>
      <c r="WCH1" s="2235"/>
      <c r="WCI1" s="2235"/>
      <c r="WCJ1" s="2235"/>
      <c r="WCK1" s="2235"/>
      <c r="WCL1" s="2235"/>
      <c r="WCM1" s="2235"/>
      <c r="WCN1" s="2235"/>
      <c r="WCO1" s="2235"/>
      <c r="WCP1" s="2235"/>
      <c r="WCQ1" s="2235"/>
      <c r="WCR1" s="2235"/>
      <c r="WCS1" s="2235"/>
      <c r="WCT1" s="2235"/>
      <c r="WCU1" s="2235"/>
      <c r="WCV1" s="2235"/>
      <c r="WCW1" s="2235"/>
      <c r="WCX1" s="2235"/>
      <c r="WCY1" s="2235"/>
      <c r="WCZ1" s="2235"/>
      <c r="WDA1" s="2235"/>
      <c r="WDB1" s="2235"/>
      <c r="WDC1" s="2235"/>
      <c r="WDD1" s="2235"/>
      <c r="WDE1" s="2235"/>
      <c r="WDF1" s="2235"/>
      <c r="WDG1" s="2235"/>
      <c r="WDH1" s="2235"/>
      <c r="WDI1" s="2235"/>
      <c r="WDJ1" s="2235"/>
      <c r="WDK1" s="2235"/>
      <c r="WDL1" s="2235"/>
      <c r="WDM1" s="2235"/>
      <c r="WDN1" s="2235"/>
      <c r="WDO1" s="2235"/>
      <c r="WDP1" s="2235"/>
      <c r="WDQ1" s="2235"/>
      <c r="WDR1" s="2235"/>
      <c r="WDS1" s="2235"/>
      <c r="WDT1" s="2235"/>
      <c r="WDU1" s="2235"/>
      <c r="WDV1" s="2235"/>
      <c r="WDW1" s="2235"/>
      <c r="WDX1" s="2235"/>
      <c r="WDY1" s="2235"/>
      <c r="WDZ1" s="2235"/>
      <c r="WEA1" s="2235"/>
      <c r="WEB1" s="2235"/>
      <c r="WEC1" s="2235"/>
      <c r="WED1" s="2235"/>
      <c r="WEE1" s="2235"/>
      <c r="WEF1" s="2235"/>
      <c r="WEG1" s="2235"/>
      <c r="WEH1" s="2235"/>
      <c r="WEI1" s="2235"/>
      <c r="WEJ1" s="2235"/>
      <c r="WEK1" s="2235"/>
      <c r="WEL1" s="2235"/>
      <c r="WEM1" s="2235"/>
      <c r="WEN1" s="2235"/>
      <c r="WEO1" s="2235"/>
      <c r="WEP1" s="2235"/>
      <c r="WEQ1" s="2235"/>
      <c r="WER1" s="2235"/>
      <c r="WES1" s="2235"/>
      <c r="WET1" s="2235"/>
      <c r="WEU1" s="2235"/>
      <c r="WEV1" s="2235"/>
      <c r="WEW1" s="2235"/>
      <c r="WEX1" s="2235"/>
      <c r="WEY1" s="2235"/>
      <c r="WEZ1" s="2235"/>
      <c r="WFA1" s="2235"/>
      <c r="WFB1" s="2235"/>
      <c r="WFC1" s="2235"/>
      <c r="WFD1" s="2235"/>
      <c r="WFE1" s="2235"/>
      <c r="WFF1" s="2235"/>
      <c r="WFG1" s="2235"/>
      <c r="WFH1" s="2235"/>
      <c r="WFI1" s="2235"/>
      <c r="WFJ1" s="2235"/>
      <c r="WFK1" s="2235"/>
      <c r="WFL1" s="2235"/>
      <c r="WFM1" s="2235"/>
      <c r="WFN1" s="2235"/>
      <c r="WFO1" s="2235"/>
      <c r="WFP1" s="2235"/>
      <c r="WFQ1" s="2235"/>
      <c r="WFR1" s="2235"/>
      <c r="WFS1" s="2235"/>
      <c r="WFT1" s="2235"/>
      <c r="WFU1" s="2235"/>
      <c r="WFV1" s="2235"/>
      <c r="WFW1" s="2235"/>
      <c r="WFX1" s="2235"/>
      <c r="WFY1" s="2235"/>
      <c r="WFZ1" s="2235"/>
      <c r="WGA1" s="2235"/>
      <c r="WGB1" s="2235"/>
      <c r="WGC1" s="2235"/>
      <c r="WGD1" s="2235"/>
      <c r="WGE1" s="2235"/>
      <c r="WGF1" s="2235"/>
      <c r="WGG1" s="2235"/>
      <c r="WGH1" s="2235"/>
      <c r="WGI1" s="2235"/>
      <c r="WGJ1" s="2235"/>
      <c r="WGK1" s="2235"/>
      <c r="WGL1" s="2235"/>
      <c r="WGM1" s="2235"/>
      <c r="WGN1" s="2235"/>
      <c r="WGO1" s="2235"/>
      <c r="WGP1" s="2235"/>
      <c r="WGQ1" s="2235"/>
      <c r="WGR1" s="2235"/>
      <c r="WGS1" s="2235"/>
      <c r="WGT1" s="2235"/>
      <c r="WGU1" s="2235"/>
      <c r="WGV1" s="2235"/>
      <c r="WGW1" s="2235"/>
      <c r="WGX1" s="2235"/>
      <c r="WGY1" s="2235"/>
      <c r="WGZ1" s="2235"/>
      <c r="WHA1" s="2235"/>
      <c r="WHB1" s="2235"/>
      <c r="WHC1" s="2235"/>
      <c r="WHD1" s="2235"/>
      <c r="WHE1" s="2235"/>
      <c r="WHF1" s="2235"/>
      <c r="WHG1" s="2235"/>
      <c r="WHH1" s="2235"/>
      <c r="WHI1" s="2235"/>
      <c r="WHJ1" s="2235"/>
      <c r="WHK1" s="2235"/>
      <c r="WHL1" s="2235"/>
      <c r="WHM1" s="2235"/>
      <c r="WHN1" s="2235"/>
      <c r="WHO1" s="2235"/>
      <c r="WHP1" s="2235"/>
      <c r="WHQ1" s="2235"/>
      <c r="WHR1" s="2235"/>
      <c r="WHS1" s="2235"/>
      <c r="WHT1" s="2235"/>
      <c r="WHU1" s="2235"/>
      <c r="WHV1" s="2235"/>
      <c r="WHW1" s="2235"/>
      <c r="WHX1" s="2235"/>
      <c r="WHY1" s="2235"/>
      <c r="WHZ1" s="2235"/>
      <c r="WIA1" s="2235"/>
      <c r="WIB1" s="2235"/>
      <c r="WIC1" s="2235"/>
      <c r="WID1" s="2235"/>
      <c r="WIE1" s="2235"/>
      <c r="WIF1" s="2235"/>
      <c r="WIG1" s="2235"/>
      <c r="WIH1" s="2235"/>
      <c r="WII1" s="2235"/>
      <c r="WIJ1" s="2235"/>
      <c r="WIK1" s="2235"/>
      <c r="WIL1" s="2235"/>
      <c r="WIM1" s="2235"/>
      <c r="WIN1" s="2235"/>
      <c r="WIO1" s="2235"/>
      <c r="WIP1" s="2235"/>
      <c r="WIQ1" s="2235"/>
      <c r="WIR1" s="2235"/>
      <c r="WIS1" s="2235"/>
      <c r="WIT1" s="2235"/>
      <c r="WIU1" s="2235"/>
      <c r="WIV1" s="2235"/>
      <c r="WIW1" s="2235"/>
      <c r="WIX1" s="2235"/>
      <c r="WIY1" s="2235"/>
      <c r="WIZ1" s="2235"/>
      <c r="WJA1" s="2235"/>
      <c r="WJB1" s="2235"/>
      <c r="WJC1" s="2235"/>
      <c r="WJD1" s="2235"/>
      <c r="WJE1" s="2235"/>
      <c r="WJF1" s="2235"/>
      <c r="WJG1" s="2235"/>
      <c r="WJH1" s="2235"/>
      <c r="WJI1" s="2235"/>
      <c r="WJJ1" s="2235"/>
      <c r="WJK1" s="2235"/>
      <c r="WJL1" s="2235"/>
      <c r="WJM1" s="2235"/>
      <c r="WJN1" s="2235"/>
      <c r="WJO1" s="2235"/>
      <c r="WJP1" s="2235"/>
      <c r="WJQ1" s="2235"/>
      <c r="WJR1" s="2235"/>
      <c r="WJS1" s="2235"/>
      <c r="WJT1" s="2235"/>
      <c r="WJU1" s="2235"/>
      <c r="WJV1" s="2235"/>
      <c r="WJW1" s="2235"/>
      <c r="WJX1" s="2235"/>
      <c r="WJY1" s="2235"/>
      <c r="WJZ1" s="2235"/>
      <c r="WKA1" s="2235"/>
      <c r="WKB1" s="2235"/>
      <c r="WKC1" s="2235"/>
      <c r="WKD1" s="2235"/>
      <c r="WKE1" s="2235"/>
      <c r="WKF1" s="2235"/>
      <c r="WKG1" s="2235"/>
      <c r="WKH1" s="2235"/>
      <c r="WKI1" s="2235"/>
      <c r="WKJ1" s="2235"/>
      <c r="WKK1" s="2235"/>
      <c r="WKL1" s="2235"/>
      <c r="WKM1" s="2235"/>
      <c r="WKN1" s="2235"/>
      <c r="WKO1" s="2235"/>
      <c r="WKP1" s="2235"/>
      <c r="WKQ1" s="2235"/>
      <c r="WKR1" s="2235"/>
      <c r="WKS1" s="2235"/>
      <c r="WKT1" s="2235"/>
      <c r="WKU1" s="2235"/>
      <c r="WKV1" s="2235"/>
      <c r="WKW1" s="2235"/>
      <c r="WKX1" s="2235"/>
      <c r="WKY1" s="2235"/>
      <c r="WKZ1" s="2235"/>
      <c r="WLA1" s="2235"/>
      <c r="WLB1" s="2235"/>
      <c r="WLC1" s="2235"/>
      <c r="WLD1" s="2235"/>
      <c r="WLE1" s="2235"/>
      <c r="WLF1" s="2235"/>
      <c r="WLG1" s="2235"/>
      <c r="WLH1" s="2235"/>
      <c r="WLI1" s="2235"/>
      <c r="WLJ1" s="2235"/>
      <c r="WLK1" s="2235"/>
      <c r="WLL1" s="2235"/>
      <c r="WLM1" s="2235"/>
      <c r="WLN1" s="2235"/>
      <c r="WLO1" s="2235"/>
      <c r="WLP1" s="2235"/>
      <c r="WLQ1" s="2235"/>
      <c r="WLR1" s="2235"/>
      <c r="WLS1" s="2235"/>
      <c r="WLT1" s="2235"/>
      <c r="WLU1" s="2235"/>
      <c r="WLV1" s="2235"/>
      <c r="WLW1" s="2235"/>
      <c r="WLX1" s="2235"/>
      <c r="WLY1" s="2235"/>
      <c r="WLZ1" s="2235"/>
      <c r="WMA1" s="2235"/>
      <c r="WMB1" s="2235"/>
      <c r="WMC1" s="2235"/>
      <c r="WMD1" s="2235"/>
      <c r="WME1" s="2235"/>
      <c r="WMF1" s="2235"/>
      <c r="WMG1" s="2235"/>
      <c r="WMH1" s="2235"/>
      <c r="WMI1" s="2235"/>
      <c r="WMJ1" s="2235"/>
      <c r="WMK1" s="2235"/>
      <c r="WML1" s="2235"/>
      <c r="WMM1" s="2235"/>
      <c r="WMN1" s="2235"/>
      <c r="WMO1" s="2235"/>
      <c r="WMP1" s="2235"/>
      <c r="WMQ1" s="2235"/>
      <c r="WMR1" s="2235"/>
      <c r="WMS1" s="2235"/>
      <c r="WMT1" s="2235"/>
      <c r="WMU1" s="2235"/>
      <c r="WMV1" s="2235"/>
      <c r="WMW1" s="2235"/>
      <c r="WMX1" s="2235"/>
      <c r="WMY1" s="2235"/>
      <c r="WMZ1" s="2235"/>
      <c r="WNA1" s="2235"/>
      <c r="WNB1" s="2235"/>
      <c r="WNC1" s="2235"/>
      <c r="WND1" s="2235"/>
      <c r="WNE1" s="2235"/>
      <c r="WNF1" s="2235"/>
      <c r="WNG1" s="2235"/>
      <c r="WNH1" s="2235"/>
      <c r="WNI1" s="2235"/>
      <c r="WNJ1" s="2235"/>
      <c r="WNK1" s="2235"/>
      <c r="WNL1" s="2235"/>
      <c r="WNM1" s="2235"/>
      <c r="WNN1" s="2235"/>
      <c r="WNO1" s="2235"/>
      <c r="WNP1" s="2235"/>
      <c r="WNQ1" s="2235"/>
      <c r="WNR1" s="2235"/>
      <c r="WNS1" s="2235"/>
      <c r="WNT1" s="2235"/>
      <c r="WNU1" s="2235"/>
      <c r="WNV1" s="2235"/>
      <c r="WNW1" s="2235"/>
      <c r="WNX1" s="2235"/>
      <c r="WNY1" s="2235"/>
      <c r="WNZ1" s="2235"/>
      <c r="WOA1" s="2235"/>
      <c r="WOB1" s="2235"/>
      <c r="WOC1" s="2235"/>
      <c r="WOD1" s="2235"/>
      <c r="WOE1" s="2235"/>
      <c r="WOF1" s="2235"/>
      <c r="WOG1" s="2235"/>
      <c r="WOH1" s="2235"/>
      <c r="WOI1" s="2235"/>
      <c r="WOJ1" s="2235"/>
      <c r="WOK1" s="2235"/>
      <c r="WOL1" s="2235"/>
      <c r="WOM1" s="2235"/>
      <c r="WON1" s="2235"/>
      <c r="WOO1" s="2235"/>
      <c r="WOP1" s="2235"/>
      <c r="WOQ1" s="2235"/>
      <c r="WOR1" s="2235"/>
      <c r="WOS1" s="2235"/>
      <c r="WOT1" s="2235"/>
      <c r="WOU1" s="2235"/>
      <c r="WOV1" s="2235"/>
      <c r="WOW1" s="2235"/>
      <c r="WOX1" s="2235"/>
      <c r="WOY1" s="2235"/>
      <c r="WOZ1" s="2235"/>
      <c r="WPA1" s="2235"/>
      <c r="WPB1" s="2235"/>
      <c r="WPC1" s="2235"/>
      <c r="WPD1" s="2235"/>
      <c r="WPE1" s="2235"/>
      <c r="WPF1" s="2235"/>
      <c r="WPG1" s="2235"/>
      <c r="WPH1" s="2235"/>
      <c r="WPI1" s="2235"/>
      <c r="WPJ1" s="2235"/>
      <c r="WPK1" s="2235"/>
      <c r="WPL1" s="2235"/>
      <c r="WPM1" s="2235"/>
      <c r="WPN1" s="2235"/>
      <c r="WPO1" s="2235"/>
      <c r="WPP1" s="2235"/>
      <c r="WPQ1" s="2235"/>
      <c r="WPR1" s="2235"/>
      <c r="WPS1" s="2235"/>
      <c r="WPT1" s="2235"/>
      <c r="WPU1" s="2235"/>
      <c r="WPV1" s="2235"/>
      <c r="WPW1" s="2235"/>
      <c r="WPX1" s="2235"/>
      <c r="WPY1" s="2235"/>
      <c r="WPZ1" s="2235"/>
      <c r="WQA1" s="2235"/>
      <c r="WQB1" s="2235"/>
      <c r="WQC1" s="2235"/>
      <c r="WQD1" s="2235"/>
      <c r="WQE1" s="2235"/>
      <c r="WQF1" s="2235"/>
      <c r="WQG1" s="2235"/>
      <c r="WQH1" s="2235"/>
      <c r="WQI1" s="2235"/>
      <c r="WQJ1" s="2235"/>
      <c r="WQK1" s="2235"/>
      <c r="WQL1" s="2235"/>
      <c r="WQM1" s="2235"/>
      <c r="WQN1" s="2235"/>
      <c r="WQO1" s="2235"/>
      <c r="WQP1" s="2235"/>
      <c r="WQQ1" s="2235"/>
      <c r="WQR1" s="2235"/>
      <c r="WQS1" s="2235"/>
      <c r="WQT1" s="2235"/>
      <c r="WQU1" s="2235"/>
      <c r="WQV1" s="2235"/>
      <c r="WQW1" s="2235"/>
      <c r="WQX1" s="2235"/>
      <c r="WQY1" s="2235"/>
      <c r="WQZ1" s="2235"/>
      <c r="WRA1" s="2235"/>
      <c r="WRB1" s="2235"/>
      <c r="WRC1" s="2235"/>
      <c r="WRD1" s="2235"/>
      <c r="WRE1" s="2235"/>
      <c r="WRF1" s="2235"/>
      <c r="WRG1" s="2235"/>
      <c r="WRH1" s="2235"/>
      <c r="WRI1" s="2235"/>
      <c r="WRJ1" s="2235"/>
      <c r="WRK1" s="2235"/>
      <c r="WRL1" s="2235"/>
      <c r="WRM1" s="2235"/>
      <c r="WRN1" s="2235"/>
      <c r="WRO1" s="2235"/>
      <c r="WRP1" s="2235"/>
      <c r="WRQ1" s="2235"/>
      <c r="WRR1" s="2235"/>
      <c r="WRS1" s="2235"/>
      <c r="WRT1" s="2235"/>
      <c r="WRU1" s="2235"/>
      <c r="WRV1" s="2235"/>
      <c r="WRW1" s="2235"/>
      <c r="WRX1" s="2235"/>
      <c r="WRY1" s="2235"/>
      <c r="WRZ1" s="2235"/>
      <c r="WSA1" s="2235"/>
      <c r="WSB1" s="2235"/>
      <c r="WSC1" s="2235"/>
      <c r="WSD1" s="2235"/>
      <c r="WSE1" s="2235"/>
      <c r="WSF1" s="2235"/>
      <c r="WSG1" s="2235"/>
      <c r="WSH1" s="2235"/>
      <c r="WSI1" s="2235"/>
      <c r="WSJ1" s="2235"/>
      <c r="WSK1" s="2235"/>
      <c r="WSL1" s="2235"/>
      <c r="WSM1" s="2235"/>
      <c r="WSN1" s="2235"/>
      <c r="WSO1" s="2235"/>
      <c r="WSP1" s="2235"/>
      <c r="WSQ1" s="2235"/>
      <c r="WSR1" s="2235"/>
      <c r="WSS1" s="2235"/>
      <c r="WST1" s="2235"/>
      <c r="WSU1" s="2235"/>
      <c r="WSV1" s="2235"/>
      <c r="WSW1" s="2235"/>
      <c r="WSX1" s="2235"/>
      <c r="WSY1" s="2235"/>
      <c r="WSZ1" s="2235"/>
      <c r="WTA1" s="2235"/>
      <c r="WTB1" s="2235"/>
      <c r="WTC1" s="2235"/>
      <c r="WTD1" s="2235"/>
      <c r="WTE1" s="2235"/>
      <c r="WTF1" s="2235"/>
      <c r="WTG1" s="2235"/>
      <c r="WTH1" s="2235"/>
      <c r="WTI1" s="2235"/>
      <c r="WTJ1" s="2235"/>
      <c r="WTK1" s="2235"/>
      <c r="WTL1" s="2235"/>
      <c r="WTM1" s="2235"/>
      <c r="WTN1" s="2235"/>
      <c r="WTO1" s="2235"/>
      <c r="WTP1" s="2235"/>
      <c r="WTQ1" s="2235"/>
      <c r="WTR1" s="2235"/>
      <c r="WTS1" s="2235"/>
      <c r="WTT1" s="2235"/>
      <c r="WTU1" s="2235"/>
      <c r="WTV1" s="2235"/>
      <c r="WTW1" s="2235"/>
      <c r="WTX1" s="2235"/>
      <c r="WTY1" s="2235"/>
      <c r="WTZ1" s="2235"/>
      <c r="WUA1" s="2235"/>
      <c r="WUB1" s="2235"/>
      <c r="WUC1" s="2235"/>
      <c r="WUD1" s="2235"/>
      <c r="WUE1" s="2235"/>
      <c r="WUF1" s="2235"/>
      <c r="WUG1" s="2235"/>
      <c r="WUH1" s="2235"/>
      <c r="WUI1" s="2235"/>
      <c r="WUJ1" s="2235"/>
      <c r="WUK1" s="2235"/>
      <c r="WUL1" s="2235"/>
      <c r="WUM1" s="2235"/>
      <c r="WUN1" s="2235"/>
      <c r="WUO1" s="2235"/>
      <c r="WUP1" s="2235"/>
      <c r="WUQ1" s="2235"/>
      <c r="WUR1" s="2235"/>
      <c r="WUS1" s="2235"/>
      <c r="WUT1" s="2235"/>
      <c r="WUU1" s="2235"/>
      <c r="WUV1" s="2235"/>
      <c r="WUW1" s="2235"/>
      <c r="WUX1" s="2235"/>
      <c r="WUY1" s="2235"/>
      <c r="WUZ1" s="2235"/>
      <c r="WVA1" s="2235"/>
      <c r="WVB1" s="2235"/>
      <c r="WVC1" s="2235"/>
      <c r="WVD1" s="2235"/>
      <c r="WVE1" s="2235"/>
      <c r="WVF1" s="2235"/>
      <c r="WVG1" s="2235"/>
      <c r="WVH1" s="2235"/>
      <c r="WVI1" s="2235"/>
      <c r="WVJ1" s="2235"/>
      <c r="WVK1" s="2235"/>
      <c r="WVL1" s="2235"/>
      <c r="WVM1" s="2235"/>
      <c r="WVN1" s="2235"/>
      <c r="WVO1" s="2235"/>
      <c r="WVP1" s="2235"/>
      <c r="WVQ1" s="2235"/>
      <c r="WVR1" s="2235"/>
      <c r="WVS1" s="2235"/>
      <c r="WVT1" s="2235"/>
      <c r="WVU1" s="2235"/>
      <c r="WVV1" s="2235"/>
      <c r="WVW1" s="2235"/>
      <c r="WVX1" s="2235"/>
      <c r="WVY1" s="2235"/>
      <c r="WVZ1" s="2235"/>
      <c r="WWA1" s="2235"/>
      <c r="WWB1" s="2235"/>
      <c r="WWC1" s="2235"/>
      <c r="WWD1" s="2235"/>
      <c r="WWE1" s="2235"/>
      <c r="WWF1" s="2235"/>
      <c r="WWG1" s="2235"/>
      <c r="WWH1" s="2235"/>
      <c r="WWI1" s="2235"/>
      <c r="WWJ1" s="2235"/>
      <c r="WWK1" s="2235"/>
      <c r="WWL1" s="2235"/>
      <c r="WWM1" s="2235"/>
      <c r="WWN1" s="2235"/>
      <c r="WWO1" s="2235"/>
      <c r="WWP1" s="2235"/>
      <c r="WWQ1" s="2235"/>
      <c r="WWR1" s="2235"/>
      <c r="WWS1" s="2235"/>
      <c r="WWT1" s="2235"/>
      <c r="WWU1" s="2235"/>
      <c r="WWV1" s="2235"/>
      <c r="WWW1" s="2235"/>
      <c r="WWX1" s="2235"/>
      <c r="WWY1" s="2235"/>
      <c r="WWZ1" s="2235"/>
      <c r="WXA1" s="2235"/>
      <c r="WXB1" s="2235"/>
      <c r="WXC1" s="2235"/>
      <c r="WXD1" s="2235"/>
      <c r="WXE1" s="2235"/>
      <c r="WXF1" s="2235"/>
      <c r="WXG1" s="2235"/>
      <c r="WXH1" s="2235"/>
      <c r="WXI1" s="2235"/>
      <c r="WXJ1" s="2235"/>
      <c r="WXK1" s="2235"/>
      <c r="WXL1" s="2235"/>
      <c r="WXM1" s="2235"/>
      <c r="WXN1" s="2235"/>
      <c r="WXO1" s="2235"/>
      <c r="WXP1" s="2235"/>
      <c r="WXQ1" s="2235"/>
      <c r="WXR1" s="2235"/>
      <c r="WXS1" s="2235"/>
      <c r="WXT1" s="2235"/>
      <c r="WXU1" s="2235"/>
      <c r="WXV1" s="2235"/>
      <c r="WXW1" s="2235"/>
      <c r="WXX1" s="2235"/>
      <c r="WXY1" s="2235"/>
      <c r="WXZ1" s="2235"/>
      <c r="WYA1" s="2235"/>
      <c r="WYB1" s="2235"/>
      <c r="WYC1" s="2235"/>
      <c r="WYD1" s="2235"/>
      <c r="WYE1" s="2235"/>
      <c r="WYF1" s="2235"/>
      <c r="WYG1" s="2235"/>
      <c r="WYH1" s="2235"/>
      <c r="WYI1" s="2235"/>
      <c r="WYJ1" s="2235"/>
      <c r="WYK1" s="2235"/>
      <c r="WYL1" s="2235"/>
      <c r="WYM1" s="2235"/>
      <c r="WYN1" s="2235"/>
      <c r="WYO1" s="2235"/>
      <c r="WYP1" s="2235"/>
      <c r="WYQ1" s="2235"/>
      <c r="WYR1" s="2235"/>
      <c r="WYS1" s="2235"/>
      <c r="WYT1" s="2235"/>
      <c r="WYU1" s="2235"/>
      <c r="WYV1" s="2235"/>
      <c r="WYW1" s="2235"/>
      <c r="WYX1" s="2235"/>
      <c r="WYY1" s="2235"/>
      <c r="WYZ1" s="2235"/>
      <c r="WZA1" s="2235"/>
      <c r="WZB1" s="2235"/>
      <c r="WZC1" s="2235"/>
      <c r="WZD1" s="2235"/>
      <c r="WZE1" s="2235"/>
      <c r="WZF1" s="2235"/>
      <c r="WZG1" s="2235"/>
      <c r="WZH1" s="2235"/>
      <c r="WZI1" s="2235"/>
      <c r="WZJ1" s="2235"/>
      <c r="WZK1" s="2235"/>
      <c r="WZL1" s="2235"/>
      <c r="WZM1" s="2235"/>
      <c r="WZN1" s="2235"/>
      <c r="WZO1" s="2235"/>
      <c r="WZP1" s="2235"/>
      <c r="WZQ1" s="2235"/>
      <c r="WZR1" s="2235"/>
      <c r="WZS1" s="2235"/>
      <c r="WZT1" s="2235"/>
      <c r="WZU1" s="2235"/>
      <c r="WZV1" s="2235"/>
      <c r="WZW1" s="2235"/>
      <c r="WZX1" s="2235"/>
      <c r="WZY1" s="2235"/>
      <c r="WZZ1" s="2235"/>
      <c r="XAA1" s="2235"/>
      <c r="XAB1" s="2235"/>
      <c r="XAC1" s="2235"/>
      <c r="XAD1" s="2235"/>
      <c r="XAE1" s="2235"/>
      <c r="XAF1" s="2235"/>
      <c r="XAG1" s="2235"/>
      <c r="XAH1" s="2235"/>
      <c r="XAI1" s="2235"/>
      <c r="XAJ1" s="2235"/>
      <c r="XAK1" s="2235"/>
      <c r="XAL1" s="2235"/>
      <c r="XAM1" s="2235"/>
      <c r="XAN1" s="2235"/>
      <c r="XAO1" s="2235"/>
      <c r="XAP1" s="2235"/>
      <c r="XAQ1" s="2235"/>
      <c r="XAR1" s="2235"/>
      <c r="XAS1" s="2235"/>
      <c r="XAT1" s="2235"/>
      <c r="XAU1" s="2235"/>
      <c r="XAV1" s="2235"/>
      <c r="XAW1" s="2235"/>
      <c r="XAX1" s="2235"/>
      <c r="XAY1" s="2235"/>
      <c r="XAZ1" s="2235"/>
      <c r="XBA1" s="2235"/>
      <c r="XBB1" s="2235"/>
      <c r="XBC1" s="2235"/>
      <c r="XBD1" s="2235"/>
      <c r="XBE1" s="2235"/>
      <c r="XBF1" s="2235"/>
      <c r="XBG1" s="2235"/>
      <c r="XBH1" s="2235"/>
      <c r="XBI1" s="2235"/>
      <c r="XBJ1" s="2235"/>
      <c r="XBK1" s="2235"/>
      <c r="XBL1" s="2235"/>
      <c r="XBM1" s="2235"/>
      <c r="XBN1" s="2235"/>
      <c r="XBO1" s="2235"/>
      <c r="XBP1" s="2235"/>
      <c r="XBQ1" s="2235"/>
      <c r="XBR1" s="2235"/>
      <c r="XBS1" s="2235"/>
      <c r="XBT1" s="2235"/>
      <c r="XBU1" s="2235"/>
      <c r="XBV1" s="2235"/>
      <c r="XBW1" s="2235"/>
      <c r="XBX1" s="2235"/>
      <c r="XBY1" s="2235"/>
      <c r="XBZ1" s="2235"/>
      <c r="XCA1" s="2235"/>
      <c r="XCB1" s="2235"/>
      <c r="XCC1" s="2235"/>
      <c r="XCD1" s="2235"/>
      <c r="XCE1" s="2235"/>
      <c r="XCF1" s="2235"/>
      <c r="XCG1" s="2235"/>
      <c r="XCH1" s="2235"/>
      <c r="XCI1" s="2235"/>
      <c r="XCJ1" s="2235"/>
      <c r="XCK1" s="2235"/>
      <c r="XCL1" s="2235"/>
      <c r="XCM1" s="2235"/>
      <c r="XCN1" s="2235"/>
      <c r="XCO1" s="2235"/>
      <c r="XCP1" s="2235"/>
      <c r="XCQ1" s="2235"/>
      <c r="XCR1" s="2235"/>
      <c r="XCS1" s="2235"/>
      <c r="XCT1" s="2235"/>
      <c r="XCU1" s="2235"/>
      <c r="XCV1" s="2235"/>
      <c r="XCW1" s="2235"/>
      <c r="XCX1" s="2235"/>
      <c r="XCY1" s="2235"/>
      <c r="XCZ1" s="2235"/>
      <c r="XDA1" s="2235"/>
      <c r="XDB1" s="2235"/>
      <c r="XDC1" s="2235"/>
      <c r="XDD1" s="2235"/>
      <c r="XDE1" s="2235"/>
      <c r="XDF1" s="2235"/>
      <c r="XDG1" s="2235"/>
      <c r="XDH1" s="2235"/>
      <c r="XDI1" s="2235"/>
      <c r="XDJ1" s="2235"/>
      <c r="XDK1" s="2235"/>
      <c r="XDL1" s="2235"/>
      <c r="XDM1" s="2235"/>
      <c r="XDN1" s="2235"/>
      <c r="XDO1" s="2235"/>
      <c r="XDP1" s="2235"/>
      <c r="XDQ1" s="2235"/>
      <c r="XDR1" s="2235"/>
      <c r="XDS1" s="2235"/>
      <c r="XDT1" s="2235"/>
      <c r="XDU1" s="2235"/>
      <c r="XDV1" s="2235"/>
      <c r="XDW1" s="2235"/>
      <c r="XDX1" s="2235"/>
      <c r="XDY1" s="2235"/>
    </row>
    <row r="2" spans="1:16353" ht="27">
      <c r="A2" s="3714"/>
      <c r="B2" s="3714"/>
      <c r="C2" s="3717"/>
      <c r="D2" s="3714"/>
      <c r="E2" s="3714"/>
      <c r="F2" s="3713"/>
      <c r="G2" s="3714"/>
      <c r="H2" s="3714"/>
      <c r="I2" s="3713"/>
      <c r="J2" s="3714"/>
      <c r="K2" s="3714"/>
      <c r="L2" s="3401" t="s">
        <v>3371</v>
      </c>
      <c r="M2" s="3401" t="s">
        <v>3372</v>
      </c>
      <c r="N2" s="3713"/>
      <c r="O2" s="3714"/>
      <c r="P2" s="3715"/>
      <c r="Q2" s="3714"/>
      <c r="R2" s="2235" t="s">
        <v>3373</v>
      </c>
      <c r="S2" s="2235" t="s">
        <v>3374</v>
      </c>
      <c r="T2" s="2235"/>
      <c r="U2" s="2235"/>
      <c r="V2" s="2235"/>
      <c r="W2" s="2235"/>
      <c r="X2" s="2235"/>
      <c r="Y2" s="2235"/>
      <c r="Z2" s="2235"/>
      <c r="AA2" s="2235"/>
      <c r="AB2" s="2235"/>
      <c r="AC2" s="2235"/>
      <c r="AD2" s="2235"/>
      <c r="AE2" s="2235"/>
      <c r="AF2" s="2235"/>
      <c r="AG2" s="2235"/>
      <c r="AH2" s="2235"/>
      <c r="AI2" s="2235"/>
      <c r="AJ2" s="2235"/>
      <c r="AK2" s="2235"/>
      <c r="AL2" s="2235"/>
      <c r="AM2" s="2235"/>
      <c r="AN2" s="2235"/>
      <c r="AO2" s="2235"/>
      <c r="AP2" s="2235"/>
      <c r="AQ2" s="2235"/>
      <c r="AR2" s="2235"/>
      <c r="AS2" s="2235"/>
      <c r="AT2" s="2235"/>
      <c r="AU2" s="2235"/>
      <c r="AV2" s="2235"/>
      <c r="AW2" s="2235"/>
      <c r="AX2" s="2235"/>
      <c r="AY2" s="2235"/>
      <c r="AZ2" s="2235"/>
      <c r="BA2" s="2235"/>
      <c r="BB2" s="2235"/>
      <c r="BC2" s="2235"/>
      <c r="BD2" s="2235"/>
      <c r="BE2" s="2235"/>
      <c r="BF2" s="2235"/>
      <c r="BG2" s="2235"/>
      <c r="BH2" s="2235"/>
      <c r="BI2" s="2235"/>
      <c r="BJ2" s="2235"/>
      <c r="BK2" s="2235"/>
      <c r="BL2" s="2235"/>
      <c r="BM2" s="2235"/>
      <c r="BN2" s="2235"/>
      <c r="BO2" s="2235"/>
      <c r="BP2" s="2235"/>
      <c r="BQ2" s="2235"/>
      <c r="BR2" s="2235"/>
      <c r="BS2" s="2235"/>
      <c r="BT2" s="2235"/>
      <c r="BU2" s="2235"/>
      <c r="BV2" s="2235"/>
      <c r="BW2" s="2235"/>
      <c r="BX2" s="2235"/>
      <c r="BY2" s="2235"/>
      <c r="BZ2" s="2235"/>
      <c r="CA2" s="2235"/>
      <c r="CB2" s="2235"/>
      <c r="CC2" s="2235"/>
      <c r="CD2" s="2235"/>
      <c r="CE2" s="2235"/>
      <c r="CF2" s="2235"/>
      <c r="CG2" s="2235"/>
      <c r="CH2" s="2235"/>
      <c r="CI2" s="2235"/>
      <c r="CJ2" s="2235"/>
      <c r="CK2" s="2235"/>
      <c r="CL2" s="2235"/>
      <c r="CM2" s="2235"/>
      <c r="CN2" s="2235"/>
      <c r="CO2" s="2235"/>
      <c r="CP2" s="2235"/>
      <c r="CQ2" s="2235"/>
      <c r="CR2" s="2235"/>
      <c r="CS2" s="2235"/>
      <c r="CT2" s="2235"/>
      <c r="CU2" s="2235"/>
      <c r="CV2" s="2235"/>
      <c r="CW2" s="2235"/>
      <c r="CX2" s="2235"/>
      <c r="CY2" s="2235"/>
      <c r="CZ2" s="2235"/>
      <c r="DA2" s="2235"/>
      <c r="DB2" s="2235"/>
      <c r="DC2" s="2235"/>
      <c r="DD2" s="2235"/>
      <c r="DE2" s="2235"/>
      <c r="DF2" s="2235"/>
      <c r="DG2" s="2235"/>
      <c r="DH2" s="2235"/>
      <c r="DI2" s="2235"/>
      <c r="DJ2" s="2235"/>
      <c r="DK2" s="2235"/>
      <c r="DL2" s="2235"/>
      <c r="DM2" s="2235"/>
      <c r="DN2" s="2235"/>
      <c r="DO2" s="2235"/>
      <c r="DP2" s="2235"/>
      <c r="DQ2" s="2235"/>
      <c r="DR2" s="2235"/>
      <c r="DS2" s="2235"/>
      <c r="DT2" s="2235"/>
      <c r="DU2" s="2235"/>
      <c r="DV2" s="2235"/>
      <c r="DW2" s="2235"/>
      <c r="DX2" s="2235"/>
      <c r="DY2" s="2235"/>
      <c r="DZ2" s="2235"/>
      <c r="EA2" s="2235"/>
      <c r="EB2" s="2235"/>
      <c r="EC2" s="2235"/>
      <c r="ED2" s="2235"/>
      <c r="EE2" s="2235"/>
      <c r="EF2" s="2235"/>
      <c r="EG2" s="2235"/>
      <c r="EH2" s="2235"/>
      <c r="EI2" s="2235"/>
      <c r="EJ2" s="2235"/>
      <c r="EK2" s="2235"/>
      <c r="EL2" s="2235"/>
      <c r="EM2" s="2235"/>
      <c r="EN2" s="2235"/>
      <c r="EO2" s="2235"/>
      <c r="EP2" s="2235"/>
      <c r="EQ2" s="2235"/>
      <c r="ER2" s="2235"/>
      <c r="ES2" s="2235"/>
      <c r="ET2" s="2235"/>
      <c r="EU2" s="2235"/>
      <c r="EV2" s="2235"/>
      <c r="EW2" s="2235"/>
      <c r="EX2" s="2235"/>
      <c r="EY2" s="2235"/>
      <c r="EZ2" s="2235"/>
      <c r="FA2" s="2235"/>
      <c r="FB2" s="2235"/>
      <c r="FC2" s="2235"/>
      <c r="FD2" s="2235"/>
      <c r="FE2" s="2235"/>
      <c r="FF2" s="2235"/>
      <c r="FG2" s="2235"/>
      <c r="FH2" s="2235"/>
      <c r="FI2" s="2235"/>
      <c r="FJ2" s="2235"/>
      <c r="FK2" s="2235"/>
      <c r="FL2" s="2235"/>
      <c r="FM2" s="2235"/>
      <c r="FN2" s="2235"/>
      <c r="FO2" s="2235"/>
      <c r="FP2" s="2235"/>
      <c r="FQ2" s="2235"/>
      <c r="FR2" s="2235"/>
      <c r="FS2" s="2235"/>
      <c r="FT2" s="2235"/>
      <c r="FU2" s="2235"/>
      <c r="FV2" s="2235"/>
      <c r="FW2" s="2235"/>
      <c r="FX2" s="2235"/>
      <c r="FY2" s="2235"/>
      <c r="FZ2" s="2235"/>
      <c r="GA2" s="2235"/>
      <c r="GB2" s="2235"/>
      <c r="GC2" s="2235"/>
      <c r="GD2" s="2235"/>
      <c r="GE2" s="2235"/>
      <c r="GF2" s="2235"/>
      <c r="GG2" s="2235"/>
      <c r="GH2" s="2235"/>
      <c r="GI2" s="2235"/>
      <c r="GJ2" s="2235"/>
      <c r="GK2" s="2235"/>
      <c r="GL2" s="2235"/>
      <c r="GM2" s="2235"/>
      <c r="GN2" s="2235"/>
      <c r="GO2" s="2235"/>
      <c r="GP2" s="2235"/>
      <c r="GQ2" s="2235"/>
      <c r="GR2" s="2235"/>
      <c r="GS2" s="2235"/>
      <c r="GT2" s="2235"/>
      <c r="GU2" s="2235"/>
      <c r="GV2" s="2235"/>
      <c r="GW2" s="2235"/>
      <c r="GX2" s="2235"/>
      <c r="GY2" s="2235"/>
      <c r="GZ2" s="2235"/>
      <c r="HA2" s="2235"/>
      <c r="HB2" s="2235"/>
      <c r="HC2" s="2235"/>
      <c r="HD2" s="2235"/>
      <c r="HE2" s="2235"/>
      <c r="HF2" s="2235"/>
      <c r="HG2" s="2235"/>
      <c r="HH2" s="2235"/>
      <c r="HI2" s="2235"/>
      <c r="HJ2" s="2235"/>
      <c r="HK2" s="2235"/>
      <c r="HL2" s="2235"/>
      <c r="HM2" s="2235"/>
      <c r="HN2" s="2235"/>
      <c r="HO2" s="2235"/>
      <c r="HP2" s="2235"/>
      <c r="HQ2" s="2235"/>
      <c r="HR2" s="2235"/>
      <c r="HS2" s="2235"/>
      <c r="HT2" s="2235"/>
      <c r="HU2" s="2235"/>
      <c r="HV2" s="2235"/>
      <c r="HW2" s="2235"/>
      <c r="HX2" s="2235"/>
      <c r="HY2" s="2235"/>
      <c r="HZ2" s="2235"/>
      <c r="IA2" s="2235"/>
      <c r="IB2" s="2235"/>
      <c r="IC2" s="2235"/>
      <c r="ID2" s="2235"/>
      <c r="IE2" s="2235"/>
      <c r="IF2" s="2235"/>
      <c r="IG2" s="2235"/>
      <c r="IH2" s="2235"/>
      <c r="II2" s="2235"/>
      <c r="IJ2" s="2235"/>
      <c r="IK2" s="2235"/>
      <c r="IL2" s="2235"/>
      <c r="IM2" s="2235"/>
      <c r="IN2" s="2235"/>
      <c r="IO2" s="2235"/>
      <c r="IP2" s="2235"/>
      <c r="IQ2" s="2235"/>
      <c r="IR2" s="2235"/>
      <c r="IS2" s="2235"/>
      <c r="IT2" s="2235"/>
      <c r="IU2" s="2235"/>
      <c r="IV2" s="2235"/>
      <c r="IW2" s="2235"/>
      <c r="IX2" s="2235"/>
      <c r="IY2" s="2235"/>
      <c r="IZ2" s="2235"/>
      <c r="JA2" s="2235"/>
      <c r="JB2" s="2235"/>
      <c r="JC2" s="2235"/>
      <c r="JD2" s="2235"/>
      <c r="JE2" s="2235"/>
      <c r="JF2" s="2235"/>
      <c r="JG2" s="2235"/>
      <c r="JH2" s="2235"/>
      <c r="JI2" s="2235"/>
      <c r="JJ2" s="2235"/>
      <c r="JK2" s="2235"/>
      <c r="JL2" s="2235"/>
      <c r="JM2" s="2235"/>
      <c r="JN2" s="2235"/>
      <c r="JO2" s="2235"/>
      <c r="JP2" s="2235"/>
      <c r="JQ2" s="2235"/>
      <c r="JR2" s="2235"/>
      <c r="JS2" s="2235"/>
      <c r="JT2" s="2235"/>
      <c r="JU2" s="2235"/>
      <c r="JV2" s="2235"/>
      <c r="JW2" s="2235"/>
      <c r="JX2" s="2235"/>
      <c r="JY2" s="2235"/>
      <c r="JZ2" s="2235"/>
      <c r="KA2" s="2235"/>
      <c r="KB2" s="2235"/>
      <c r="KC2" s="2235"/>
      <c r="KD2" s="2235"/>
      <c r="KE2" s="2235"/>
      <c r="KF2" s="2235"/>
      <c r="KG2" s="2235"/>
      <c r="KH2" s="2235"/>
      <c r="KI2" s="2235"/>
      <c r="KJ2" s="2235"/>
      <c r="KK2" s="2235"/>
      <c r="KL2" s="2235"/>
      <c r="KM2" s="2235"/>
      <c r="KN2" s="2235"/>
      <c r="KO2" s="2235"/>
      <c r="KP2" s="2235"/>
      <c r="KQ2" s="2235"/>
      <c r="KR2" s="2235"/>
      <c r="KS2" s="2235"/>
      <c r="KT2" s="2235"/>
      <c r="KU2" s="2235"/>
      <c r="KV2" s="2235"/>
      <c r="KW2" s="2235"/>
      <c r="KX2" s="2235"/>
      <c r="KY2" s="2235"/>
      <c r="KZ2" s="2235"/>
      <c r="LA2" s="2235"/>
      <c r="LB2" s="2235"/>
      <c r="LC2" s="2235"/>
      <c r="LD2" s="2235"/>
      <c r="LE2" s="2235"/>
      <c r="LF2" s="2235"/>
      <c r="LG2" s="2235"/>
      <c r="LH2" s="2235"/>
      <c r="LI2" s="2235"/>
      <c r="LJ2" s="2235"/>
      <c r="LK2" s="2235"/>
      <c r="LL2" s="2235"/>
      <c r="LM2" s="2235"/>
      <c r="LN2" s="2235"/>
      <c r="LO2" s="2235"/>
      <c r="LP2" s="2235"/>
      <c r="LQ2" s="2235"/>
      <c r="LR2" s="2235"/>
      <c r="LS2" s="2235"/>
      <c r="LT2" s="2235"/>
      <c r="LU2" s="2235"/>
      <c r="LV2" s="2235"/>
      <c r="LW2" s="2235"/>
      <c r="LX2" s="2235"/>
      <c r="LY2" s="2235"/>
      <c r="LZ2" s="2235"/>
      <c r="MA2" s="2235"/>
      <c r="MB2" s="2235"/>
      <c r="MC2" s="2235"/>
      <c r="MD2" s="2235"/>
      <c r="ME2" s="2235"/>
      <c r="MF2" s="2235"/>
      <c r="MG2" s="2235"/>
      <c r="MH2" s="2235"/>
      <c r="MI2" s="2235"/>
      <c r="MJ2" s="2235"/>
      <c r="MK2" s="2235"/>
      <c r="ML2" s="2235"/>
      <c r="MM2" s="2235"/>
      <c r="MN2" s="2235"/>
      <c r="MO2" s="2235"/>
      <c r="MP2" s="2235"/>
      <c r="MQ2" s="2235"/>
      <c r="MR2" s="2235"/>
      <c r="MS2" s="2235"/>
      <c r="MT2" s="2235"/>
      <c r="MU2" s="2235"/>
      <c r="MV2" s="2235"/>
      <c r="MW2" s="2235"/>
      <c r="MX2" s="2235"/>
      <c r="MY2" s="2235"/>
      <c r="MZ2" s="2235"/>
      <c r="NA2" s="2235"/>
      <c r="NB2" s="2235"/>
      <c r="NC2" s="2235"/>
      <c r="ND2" s="2235"/>
      <c r="NE2" s="2235"/>
      <c r="NF2" s="2235"/>
      <c r="NG2" s="2235"/>
      <c r="NH2" s="2235"/>
      <c r="NI2" s="2235"/>
      <c r="NJ2" s="2235"/>
      <c r="NK2" s="2235"/>
      <c r="NL2" s="2235"/>
      <c r="NM2" s="2235"/>
      <c r="NN2" s="2235"/>
      <c r="NO2" s="2235"/>
      <c r="NP2" s="2235"/>
      <c r="NQ2" s="2235"/>
      <c r="NR2" s="2235"/>
      <c r="NS2" s="2235"/>
      <c r="NT2" s="2235"/>
      <c r="NU2" s="2235"/>
      <c r="NV2" s="2235"/>
      <c r="NW2" s="2235"/>
      <c r="NX2" s="2235"/>
      <c r="NY2" s="2235"/>
      <c r="NZ2" s="2235"/>
      <c r="OA2" s="2235"/>
      <c r="OB2" s="2235"/>
      <c r="OC2" s="2235"/>
      <c r="OD2" s="2235"/>
      <c r="OE2" s="2235"/>
      <c r="OF2" s="2235"/>
      <c r="OG2" s="2235"/>
      <c r="OH2" s="2235"/>
      <c r="OI2" s="2235"/>
      <c r="OJ2" s="2235"/>
      <c r="OK2" s="2235"/>
      <c r="OL2" s="2235"/>
      <c r="OM2" s="2235"/>
      <c r="ON2" s="2235"/>
      <c r="OO2" s="2235"/>
      <c r="OP2" s="2235"/>
      <c r="OQ2" s="2235"/>
      <c r="OR2" s="2235"/>
      <c r="OS2" s="2235"/>
      <c r="OT2" s="2235"/>
      <c r="OU2" s="2235"/>
      <c r="OV2" s="2235"/>
      <c r="OW2" s="2235"/>
      <c r="OX2" s="2235"/>
      <c r="OY2" s="2235"/>
      <c r="OZ2" s="2235"/>
      <c r="PA2" s="2235"/>
      <c r="PB2" s="2235"/>
      <c r="PC2" s="2235"/>
      <c r="PD2" s="2235"/>
      <c r="PE2" s="2235"/>
      <c r="PF2" s="2235"/>
      <c r="PG2" s="2235"/>
      <c r="PH2" s="2235"/>
      <c r="PI2" s="2235"/>
      <c r="PJ2" s="2235"/>
      <c r="PK2" s="2235"/>
      <c r="PL2" s="2235"/>
      <c r="PM2" s="2235"/>
      <c r="PN2" s="2235"/>
      <c r="PO2" s="2235"/>
      <c r="PP2" s="2235"/>
      <c r="PQ2" s="2235"/>
      <c r="PR2" s="2235"/>
      <c r="PS2" s="2235"/>
      <c r="PT2" s="2235"/>
      <c r="PU2" s="2235"/>
      <c r="PV2" s="2235"/>
      <c r="PW2" s="2235"/>
      <c r="PX2" s="2235"/>
      <c r="PY2" s="2235"/>
      <c r="PZ2" s="2235"/>
      <c r="QA2" s="2235"/>
      <c r="QB2" s="2235"/>
      <c r="QC2" s="2235"/>
      <c r="QD2" s="2235"/>
      <c r="QE2" s="2235"/>
      <c r="QF2" s="2235"/>
      <c r="QG2" s="2235"/>
      <c r="QH2" s="2235"/>
      <c r="QI2" s="2235"/>
      <c r="QJ2" s="2235"/>
      <c r="QK2" s="2235"/>
      <c r="QL2" s="2235"/>
      <c r="QM2" s="2235"/>
      <c r="QN2" s="2235"/>
      <c r="QO2" s="2235"/>
      <c r="QP2" s="2235"/>
      <c r="QQ2" s="2235"/>
      <c r="QR2" s="2235"/>
      <c r="QS2" s="2235"/>
      <c r="QT2" s="2235"/>
      <c r="QU2" s="2235"/>
      <c r="QV2" s="2235"/>
      <c r="QW2" s="2235"/>
      <c r="QX2" s="2235"/>
      <c r="QY2" s="2235"/>
      <c r="QZ2" s="2235"/>
      <c r="RA2" s="2235"/>
      <c r="RB2" s="2235"/>
      <c r="RC2" s="2235"/>
      <c r="RD2" s="2235"/>
      <c r="RE2" s="2235"/>
      <c r="RF2" s="2235"/>
      <c r="RG2" s="2235"/>
      <c r="RH2" s="2235"/>
      <c r="RI2" s="2235"/>
      <c r="RJ2" s="2235"/>
      <c r="RK2" s="2235"/>
      <c r="RL2" s="2235"/>
      <c r="RM2" s="2235"/>
      <c r="RN2" s="2235"/>
      <c r="RO2" s="2235"/>
      <c r="RP2" s="2235"/>
      <c r="RQ2" s="2235"/>
      <c r="RR2" s="2235"/>
      <c r="RS2" s="2235"/>
      <c r="RT2" s="2235"/>
      <c r="RU2" s="2235"/>
      <c r="RV2" s="2235"/>
      <c r="RW2" s="2235"/>
      <c r="RX2" s="2235"/>
      <c r="RY2" s="2235"/>
      <c r="RZ2" s="2235"/>
      <c r="SA2" s="2235"/>
      <c r="SB2" s="2235"/>
      <c r="SC2" s="2235"/>
      <c r="SD2" s="2235"/>
      <c r="SE2" s="2235"/>
      <c r="SF2" s="2235"/>
      <c r="SG2" s="2235"/>
      <c r="SH2" s="2235"/>
      <c r="SI2" s="2235"/>
      <c r="SJ2" s="2235"/>
      <c r="SK2" s="2235"/>
      <c r="SL2" s="2235"/>
      <c r="SM2" s="2235"/>
      <c r="SN2" s="2235"/>
      <c r="SO2" s="2235"/>
      <c r="SP2" s="2235"/>
      <c r="SQ2" s="2235"/>
      <c r="SR2" s="2235"/>
      <c r="SS2" s="2235"/>
      <c r="ST2" s="2235"/>
      <c r="SU2" s="2235"/>
      <c r="SV2" s="2235"/>
      <c r="SW2" s="2235"/>
      <c r="SX2" s="2235"/>
      <c r="SY2" s="2235"/>
      <c r="SZ2" s="2235"/>
      <c r="TA2" s="2235"/>
      <c r="TB2" s="2235"/>
      <c r="TC2" s="2235"/>
      <c r="TD2" s="2235"/>
      <c r="TE2" s="2235"/>
      <c r="TF2" s="2235"/>
      <c r="TG2" s="2235"/>
      <c r="TH2" s="2235"/>
      <c r="TI2" s="2235"/>
      <c r="TJ2" s="2235"/>
      <c r="TK2" s="2235"/>
      <c r="TL2" s="2235"/>
      <c r="TM2" s="2235"/>
      <c r="TN2" s="2235"/>
      <c r="TO2" s="2235"/>
      <c r="TP2" s="2235"/>
      <c r="TQ2" s="2235"/>
      <c r="TR2" s="2235"/>
      <c r="TS2" s="2235"/>
      <c r="TT2" s="2235"/>
      <c r="TU2" s="2235"/>
      <c r="TV2" s="2235"/>
      <c r="TW2" s="2235"/>
      <c r="TX2" s="2235"/>
      <c r="TY2" s="2235"/>
      <c r="TZ2" s="2235"/>
      <c r="UA2" s="2235"/>
      <c r="UB2" s="2235"/>
      <c r="UC2" s="2235"/>
      <c r="UD2" s="2235"/>
      <c r="UE2" s="2235"/>
      <c r="UF2" s="2235"/>
      <c r="UG2" s="2235"/>
      <c r="UH2" s="2235"/>
      <c r="UI2" s="2235"/>
      <c r="UJ2" s="2235"/>
      <c r="UK2" s="2235"/>
      <c r="UL2" s="2235"/>
      <c r="UM2" s="2235"/>
      <c r="UN2" s="2235"/>
      <c r="UO2" s="2235"/>
      <c r="UP2" s="2235"/>
      <c r="UQ2" s="2235"/>
      <c r="UR2" s="2235"/>
      <c r="US2" s="2235"/>
      <c r="UT2" s="2235"/>
      <c r="UU2" s="2235"/>
      <c r="UV2" s="2235"/>
      <c r="UW2" s="2235"/>
      <c r="UX2" s="2235"/>
      <c r="UY2" s="2235"/>
      <c r="UZ2" s="2235"/>
      <c r="VA2" s="2235"/>
      <c r="VB2" s="2235"/>
      <c r="VC2" s="2235"/>
      <c r="VD2" s="2235"/>
      <c r="VE2" s="2235"/>
      <c r="VF2" s="2235"/>
      <c r="VG2" s="2235"/>
      <c r="VH2" s="2235"/>
      <c r="VI2" s="2235"/>
      <c r="VJ2" s="2235"/>
      <c r="VK2" s="2235"/>
      <c r="VL2" s="2235"/>
      <c r="VM2" s="2235"/>
      <c r="VN2" s="2235"/>
      <c r="VO2" s="2235"/>
      <c r="VP2" s="2235"/>
      <c r="VQ2" s="2235"/>
      <c r="VR2" s="2235"/>
      <c r="VS2" s="2235"/>
      <c r="VT2" s="2235"/>
      <c r="VU2" s="2235"/>
      <c r="VV2" s="2235"/>
      <c r="VW2" s="2235"/>
      <c r="VX2" s="2235"/>
      <c r="VY2" s="2235"/>
      <c r="VZ2" s="2235"/>
      <c r="WA2" s="2235"/>
      <c r="WB2" s="2235"/>
      <c r="WC2" s="2235"/>
      <c r="WD2" s="2235"/>
      <c r="WE2" s="2235"/>
      <c r="WF2" s="2235"/>
      <c r="WG2" s="2235"/>
      <c r="WH2" s="2235"/>
      <c r="WI2" s="2235"/>
      <c r="WJ2" s="2235"/>
      <c r="WK2" s="2235"/>
      <c r="WL2" s="2235"/>
      <c r="WM2" s="2235"/>
      <c r="WN2" s="2235"/>
      <c r="WO2" s="2235"/>
      <c r="WP2" s="2235"/>
      <c r="WQ2" s="2235"/>
      <c r="WR2" s="2235"/>
      <c r="WS2" s="2235"/>
      <c r="WT2" s="2235"/>
      <c r="WU2" s="2235"/>
      <c r="WV2" s="2235"/>
      <c r="WW2" s="2235"/>
      <c r="WX2" s="2235"/>
      <c r="WY2" s="2235"/>
      <c r="WZ2" s="2235"/>
      <c r="XA2" s="2235"/>
      <c r="XB2" s="2235"/>
      <c r="XC2" s="2235"/>
      <c r="XD2" s="2235"/>
      <c r="XE2" s="2235"/>
      <c r="XF2" s="2235"/>
      <c r="XG2" s="2235"/>
      <c r="XH2" s="2235"/>
      <c r="XI2" s="2235"/>
      <c r="XJ2" s="2235"/>
      <c r="XK2" s="2235"/>
      <c r="XL2" s="2235"/>
      <c r="XM2" s="2235"/>
      <c r="XN2" s="2235"/>
      <c r="XO2" s="2235"/>
      <c r="XP2" s="2235"/>
      <c r="XQ2" s="2235"/>
      <c r="XR2" s="2235"/>
      <c r="XS2" s="2235"/>
      <c r="XT2" s="2235"/>
      <c r="XU2" s="2235"/>
      <c r="XV2" s="2235"/>
      <c r="XW2" s="2235"/>
      <c r="XX2" s="2235"/>
      <c r="XY2" s="2235"/>
      <c r="XZ2" s="2235"/>
      <c r="YA2" s="2235"/>
      <c r="YB2" s="2235"/>
      <c r="YC2" s="2235"/>
      <c r="YD2" s="2235"/>
      <c r="YE2" s="2235"/>
      <c r="YF2" s="2235"/>
      <c r="YG2" s="2235"/>
      <c r="YH2" s="2235"/>
      <c r="YI2" s="2235"/>
      <c r="YJ2" s="2235"/>
      <c r="YK2" s="2235"/>
      <c r="YL2" s="2235"/>
      <c r="YM2" s="2235"/>
      <c r="YN2" s="2235"/>
      <c r="YO2" s="2235"/>
      <c r="YP2" s="2235"/>
      <c r="YQ2" s="2235"/>
      <c r="YR2" s="2235"/>
      <c r="YS2" s="2235"/>
      <c r="YT2" s="2235"/>
      <c r="YU2" s="2235"/>
      <c r="YV2" s="2235"/>
      <c r="YW2" s="2235"/>
      <c r="YX2" s="2235"/>
      <c r="YY2" s="2235"/>
      <c r="YZ2" s="2235"/>
      <c r="ZA2" s="2235"/>
      <c r="ZB2" s="2235"/>
      <c r="ZC2" s="2235"/>
      <c r="ZD2" s="2235"/>
      <c r="ZE2" s="2235"/>
      <c r="ZF2" s="2235"/>
      <c r="ZG2" s="2235"/>
      <c r="ZH2" s="2235"/>
      <c r="ZI2" s="2235"/>
      <c r="ZJ2" s="2235"/>
      <c r="ZK2" s="2235"/>
      <c r="ZL2" s="2235"/>
      <c r="ZM2" s="2235"/>
      <c r="ZN2" s="2235"/>
      <c r="ZO2" s="2235"/>
      <c r="ZP2" s="2235"/>
      <c r="ZQ2" s="2235"/>
      <c r="ZR2" s="2235"/>
      <c r="ZS2" s="2235"/>
      <c r="ZT2" s="2235"/>
      <c r="ZU2" s="2235"/>
      <c r="ZV2" s="2235"/>
      <c r="ZW2" s="2235"/>
      <c r="ZX2" s="2235"/>
      <c r="ZY2" s="2235"/>
      <c r="ZZ2" s="2235"/>
      <c r="AAA2" s="2235"/>
      <c r="AAB2" s="2235"/>
      <c r="AAC2" s="2235"/>
      <c r="AAD2" s="2235"/>
      <c r="AAE2" s="2235"/>
      <c r="AAF2" s="2235"/>
      <c r="AAG2" s="2235"/>
      <c r="AAH2" s="2235"/>
      <c r="AAI2" s="2235"/>
      <c r="AAJ2" s="2235"/>
      <c r="AAK2" s="2235"/>
      <c r="AAL2" s="2235"/>
      <c r="AAM2" s="2235"/>
      <c r="AAN2" s="2235"/>
      <c r="AAO2" s="2235"/>
      <c r="AAP2" s="2235"/>
      <c r="AAQ2" s="2235"/>
      <c r="AAR2" s="2235"/>
      <c r="AAS2" s="2235"/>
      <c r="AAT2" s="2235"/>
      <c r="AAU2" s="2235"/>
      <c r="AAV2" s="2235"/>
      <c r="AAW2" s="2235"/>
      <c r="AAX2" s="2235"/>
      <c r="AAY2" s="2235"/>
      <c r="AAZ2" s="2235"/>
      <c r="ABA2" s="2235"/>
      <c r="ABB2" s="2235"/>
      <c r="ABC2" s="2235"/>
      <c r="ABD2" s="2235"/>
      <c r="ABE2" s="2235"/>
      <c r="ABF2" s="2235"/>
      <c r="ABG2" s="2235"/>
      <c r="ABH2" s="2235"/>
      <c r="ABI2" s="2235"/>
      <c r="ABJ2" s="2235"/>
      <c r="ABK2" s="2235"/>
      <c r="ABL2" s="2235"/>
      <c r="ABM2" s="2235"/>
      <c r="ABN2" s="2235"/>
      <c r="ABO2" s="2235"/>
      <c r="ABP2" s="2235"/>
      <c r="ABQ2" s="2235"/>
      <c r="ABR2" s="2235"/>
      <c r="ABS2" s="2235"/>
      <c r="ABT2" s="2235"/>
      <c r="ABU2" s="2235"/>
      <c r="ABV2" s="2235"/>
      <c r="ABW2" s="2235"/>
      <c r="ABX2" s="2235"/>
      <c r="ABY2" s="2235"/>
      <c r="ABZ2" s="2235"/>
      <c r="ACA2" s="2235"/>
      <c r="ACB2" s="2235"/>
      <c r="ACC2" s="2235"/>
      <c r="ACD2" s="2235"/>
      <c r="ACE2" s="2235"/>
      <c r="ACF2" s="2235"/>
      <c r="ACG2" s="2235"/>
      <c r="ACH2" s="2235"/>
      <c r="ACI2" s="2235"/>
      <c r="ACJ2" s="2235"/>
      <c r="ACK2" s="2235"/>
      <c r="ACL2" s="2235"/>
      <c r="ACM2" s="2235"/>
      <c r="ACN2" s="2235"/>
      <c r="ACO2" s="2235"/>
      <c r="ACP2" s="2235"/>
      <c r="ACQ2" s="2235"/>
      <c r="ACR2" s="2235"/>
      <c r="ACS2" s="2235"/>
      <c r="ACT2" s="2235"/>
      <c r="ACU2" s="2235"/>
      <c r="ACV2" s="2235"/>
      <c r="ACW2" s="2235"/>
      <c r="ACX2" s="2235"/>
      <c r="ACY2" s="2235"/>
      <c r="ACZ2" s="2235"/>
      <c r="ADA2" s="2235"/>
      <c r="ADB2" s="2235"/>
      <c r="ADC2" s="2235"/>
      <c r="ADD2" s="2235"/>
      <c r="ADE2" s="2235"/>
      <c r="ADF2" s="2235"/>
      <c r="ADG2" s="2235"/>
      <c r="ADH2" s="2235"/>
      <c r="ADI2" s="2235"/>
      <c r="ADJ2" s="2235"/>
      <c r="ADK2" s="2235"/>
      <c r="ADL2" s="2235"/>
      <c r="ADM2" s="2235"/>
      <c r="ADN2" s="2235"/>
      <c r="ADO2" s="2235"/>
      <c r="ADP2" s="2235"/>
      <c r="ADQ2" s="2235"/>
      <c r="ADR2" s="2235"/>
      <c r="ADS2" s="2235"/>
      <c r="ADT2" s="2235"/>
      <c r="ADU2" s="2235"/>
      <c r="ADV2" s="2235"/>
      <c r="ADW2" s="2235"/>
      <c r="ADX2" s="2235"/>
      <c r="ADY2" s="2235"/>
      <c r="ADZ2" s="2235"/>
      <c r="AEA2" s="2235"/>
      <c r="AEB2" s="2235"/>
      <c r="AEC2" s="2235"/>
      <c r="AED2" s="2235"/>
      <c r="AEE2" s="2235"/>
      <c r="AEF2" s="2235"/>
      <c r="AEG2" s="2235"/>
      <c r="AEH2" s="2235"/>
      <c r="AEI2" s="2235"/>
      <c r="AEJ2" s="2235"/>
      <c r="AEK2" s="2235"/>
      <c r="AEL2" s="2235"/>
      <c r="AEM2" s="2235"/>
      <c r="AEN2" s="2235"/>
      <c r="AEO2" s="2235"/>
      <c r="AEP2" s="2235"/>
      <c r="AEQ2" s="2235"/>
      <c r="AER2" s="2235"/>
      <c r="AES2" s="2235"/>
      <c r="AET2" s="2235"/>
      <c r="AEU2" s="2235"/>
      <c r="AEV2" s="2235"/>
      <c r="AEW2" s="2235"/>
      <c r="AEX2" s="2235"/>
      <c r="AEY2" s="2235"/>
      <c r="AEZ2" s="2235"/>
      <c r="AFA2" s="2235"/>
      <c r="AFB2" s="2235"/>
      <c r="AFC2" s="2235"/>
      <c r="AFD2" s="2235"/>
      <c r="AFE2" s="2235"/>
      <c r="AFF2" s="2235"/>
      <c r="AFG2" s="2235"/>
      <c r="AFH2" s="2235"/>
      <c r="AFI2" s="2235"/>
      <c r="AFJ2" s="2235"/>
      <c r="AFK2" s="2235"/>
      <c r="AFL2" s="2235"/>
      <c r="AFM2" s="2235"/>
      <c r="AFN2" s="2235"/>
      <c r="AFO2" s="2235"/>
      <c r="AFP2" s="2235"/>
      <c r="AFQ2" s="2235"/>
      <c r="AFR2" s="2235"/>
      <c r="AFS2" s="2235"/>
      <c r="AFT2" s="2235"/>
      <c r="AFU2" s="2235"/>
      <c r="AFV2" s="2235"/>
      <c r="AFW2" s="2235"/>
      <c r="AFX2" s="2235"/>
      <c r="AFY2" s="2235"/>
      <c r="AFZ2" s="2235"/>
      <c r="AGA2" s="2235"/>
      <c r="AGB2" s="2235"/>
      <c r="AGC2" s="2235"/>
      <c r="AGD2" s="2235"/>
      <c r="AGE2" s="2235"/>
      <c r="AGF2" s="2235"/>
      <c r="AGG2" s="2235"/>
      <c r="AGH2" s="2235"/>
      <c r="AGI2" s="2235"/>
      <c r="AGJ2" s="2235"/>
      <c r="AGK2" s="2235"/>
      <c r="AGL2" s="2235"/>
      <c r="AGM2" s="2235"/>
      <c r="AGN2" s="2235"/>
      <c r="AGO2" s="2235"/>
      <c r="AGP2" s="2235"/>
      <c r="AGQ2" s="2235"/>
      <c r="AGR2" s="2235"/>
      <c r="AGS2" s="2235"/>
      <c r="AGT2" s="2235"/>
      <c r="AGU2" s="2235"/>
      <c r="AGV2" s="2235"/>
      <c r="AGW2" s="2235"/>
      <c r="AGX2" s="2235"/>
      <c r="AGY2" s="2235"/>
      <c r="AGZ2" s="2235"/>
      <c r="AHA2" s="2235"/>
      <c r="AHB2" s="2235"/>
      <c r="AHC2" s="2235"/>
      <c r="AHD2" s="2235"/>
      <c r="AHE2" s="2235"/>
      <c r="AHF2" s="2235"/>
      <c r="AHG2" s="2235"/>
      <c r="AHH2" s="2235"/>
      <c r="AHI2" s="2235"/>
      <c r="AHJ2" s="2235"/>
      <c r="AHK2" s="2235"/>
      <c r="AHL2" s="2235"/>
      <c r="AHM2" s="2235"/>
      <c r="AHN2" s="2235"/>
      <c r="AHO2" s="2235"/>
      <c r="AHP2" s="2235"/>
      <c r="AHQ2" s="2235"/>
      <c r="AHR2" s="2235"/>
      <c r="AHS2" s="2235"/>
      <c r="AHT2" s="2235"/>
      <c r="AHU2" s="2235"/>
      <c r="AHV2" s="2235"/>
      <c r="AHW2" s="2235"/>
      <c r="AHX2" s="2235"/>
      <c r="AHY2" s="2235"/>
      <c r="AHZ2" s="2235"/>
      <c r="AIA2" s="2235"/>
      <c r="AIB2" s="2235"/>
      <c r="AIC2" s="2235"/>
      <c r="AID2" s="2235"/>
      <c r="AIE2" s="2235"/>
      <c r="AIF2" s="2235"/>
      <c r="AIG2" s="2235"/>
      <c r="AIH2" s="2235"/>
      <c r="AII2" s="2235"/>
      <c r="AIJ2" s="2235"/>
      <c r="AIK2" s="2235"/>
      <c r="AIL2" s="2235"/>
      <c r="AIM2" s="2235"/>
      <c r="AIN2" s="2235"/>
      <c r="AIO2" s="2235"/>
      <c r="AIP2" s="2235"/>
      <c r="AIQ2" s="2235"/>
      <c r="AIR2" s="2235"/>
      <c r="AIS2" s="2235"/>
      <c r="AIT2" s="2235"/>
      <c r="AIU2" s="2235"/>
      <c r="AIV2" s="2235"/>
      <c r="AIW2" s="2235"/>
      <c r="AIX2" s="2235"/>
      <c r="AIY2" s="2235"/>
      <c r="AIZ2" s="2235"/>
      <c r="AJA2" s="2235"/>
      <c r="AJB2" s="2235"/>
      <c r="AJC2" s="2235"/>
      <c r="AJD2" s="2235"/>
      <c r="AJE2" s="2235"/>
      <c r="AJF2" s="2235"/>
      <c r="AJG2" s="2235"/>
      <c r="AJH2" s="2235"/>
      <c r="AJI2" s="2235"/>
      <c r="AJJ2" s="2235"/>
      <c r="AJK2" s="2235"/>
      <c r="AJL2" s="2235"/>
      <c r="AJM2" s="2235"/>
      <c r="AJN2" s="2235"/>
      <c r="AJO2" s="2235"/>
      <c r="AJP2" s="2235"/>
      <c r="AJQ2" s="2235"/>
      <c r="AJR2" s="2235"/>
      <c r="AJS2" s="2235"/>
      <c r="AJT2" s="2235"/>
      <c r="AJU2" s="2235"/>
      <c r="AJV2" s="2235"/>
      <c r="AJW2" s="2235"/>
      <c r="AJX2" s="2235"/>
      <c r="AJY2" s="2235"/>
      <c r="AJZ2" s="2235"/>
      <c r="AKA2" s="2235"/>
      <c r="AKB2" s="2235"/>
      <c r="AKC2" s="2235"/>
      <c r="AKD2" s="2235"/>
      <c r="AKE2" s="2235"/>
      <c r="AKF2" s="2235"/>
      <c r="AKG2" s="2235"/>
      <c r="AKH2" s="2235"/>
      <c r="AKI2" s="2235"/>
      <c r="AKJ2" s="2235"/>
      <c r="AKK2" s="2235"/>
      <c r="AKL2" s="2235"/>
      <c r="AKM2" s="2235"/>
      <c r="AKN2" s="2235"/>
      <c r="AKO2" s="2235"/>
      <c r="AKP2" s="2235"/>
      <c r="AKQ2" s="2235"/>
      <c r="AKR2" s="2235"/>
      <c r="AKS2" s="2235"/>
      <c r="AKT2" s="2235"/>
      <c r="AKU2" s="2235"/>
      <c r="AKV2" s="2235"/>
      <c r="AKW2" s="2235"/>
      <c r="AKX2" s="2235"/>
      <c r="AKY2" s="2235"/>
      <c r="AKZ2" s="2235"/>
      <c r="ALA2" s="2235"/>
      <c r="ALB2" s="2235"/>
      <c r="ALC2" s="2235"/>
      <c r="ALD2" s="2235"/>
      <c r="ALE2" s="2235"/>
      <c r="ALF2" s="2235"/>
      <c r="ALG2" s="2235"/>
      <c r="ALH2" s="2235"/>
      <c r="ALI2" s="2235"/>
      <c r="ALJ2" s="2235"/>
      <c r="ALK2" s="2235"/>
      <c r="ALL2" s="2235"/>
      <c r="ALM2" s="2235"/>
      <c r="ALN2" s="2235"/>
      <c r="ALO2" s="2235"/>
      <c r="ALP2" s="2235"/>
      <c r="ALQ2" s="2235"/>
      <c r="ALR2" s="2235"/>
      <c r="ALS2" s="2235"/>
      <c r="ALT2" s="2235"/>
      <c r="ALU2" s="2235"/>
      <c r="ALV2" s="2235"/>
      <c r="ALW2" s="2235"/>
      <c r="ALX2" s="2235"/>
      <c r="ALY2" s="2235"/>
      <c r="ALZ2" s="2235"/>
      <c r="AMA2" s="2235"/>
      <c r="AMB2" s="2235"/>
      <c r="AMC2" s="2235"/>
      <c r="AMD2" s="2235"/>
      <c r="AME2" s="2235"/>
      <c r="AMF2" s="2235"/>
      <c r="AMG2" s="2235"/>
      <c r="AMH2" s="2235"/>
      <c r="AMI2" s="2235"/>
      <c r="AMJ2" s="2235"/>
      <c r="AMK2" s="2235"/>
      <c r="AML2" s="2235"/>
      <c r="AMM2" s="2235"/>
      <c r="AMN2" s="2235"/>
      <c r="AMO2" s="2235"/>
      <c r="AMP2" s="2235"/>
      <c r="AMQ2" s="2235"/>
      <c r="AMR2" s="2235"/>
      <c r="AMS2" s="2235"/>
      <c r="AMT2" s="2235"/>
      <c r="AMU2" s="2235"/>
      <c r="AMV2" s="2235"/>
      <c r="AMW2" s="2235"/>
      <c r="AMX2" s="2235"/>
      <c r="AMY2" s="2235"/>
      <c r="AMZ2" s="2235"/>
      <c r="ANA2" s="2235"/>
      <c r="ANB2" s="2235"/>
      <c r="ANC2" s="2235"/>
      <c r="AND2" s="2235"/>
      <c r="ANE2" s="2235"/>
      <c r="ANF2" s="2235"/>
      <c r="ANG2" s="2235"/>
      <c r="ANH2" s="2235"/>
      <c r="ANI2" s="2235"/>
      <c r="ANJ2" s="2235"/>
      <c r="ANK2" s="2235"/>
      <c r="ANL2" s="2235"/>
      <c r="ANM2" s="2235"/>
      <c r="ANN2" s="2235"/>
      <c r="ANO2" s="2235"/>
      <c r="ANP2" s="2235"/>
      <c r="ANQ2" s="2235"/>
      <c r="ANR2" s="2235"/>
      <c r="ANS2" s="2235"/>
      <c r="ANT2" s="2235"/>
      <c r="ANU2" s="2235"/>
      <c r="ANV2" s="2235"/>
      <c r="ANW2" s="2235"/>
      <c r="ANX2" s="2235"/>
      <c r="ANY2" s="2235"/>
      <c r="ANZ2" s="2235"/>
      <c r="AOA2" s="2235"/>
      <c r="AOB2" s="2235"/>
      <c r="AOC2" s="2235"/>
      <c r="AOD2" s="2235"/>
      <c r="AOE2" s="2235"/>
      <c r="AOF2" s="2235"/>
      <c r="AOG2" s="2235"/>
      <c r="AOH2" s="2235"/>
      <c r="AOI2" s="2235"/>
      <c r="AOJ2" s="2235"/>
      <c r="AOK2" s="2235"/>
      <c r="AOL2" s="2235"/>
      <c r="AOM2" s="2235"/>
      <c r="AON2" s="2235"/>
      <c r="AOO2" s="2235"/>
      <c r="AOP2" s="2235"/>
      <c r="AOQ2" s="2235"/>
      <c r="AOR2" s="2235"/>
      <c r="AOS2" s="2235"/>
      <c r="AOT2" s="2235"/>
      <c r="AOU2" s="2235"/>
      <c r="AOV2" s="2235"/>
      <c r="AOW2" s="2235"/>
      <c r="AOX2" s="2235"/>
      <c r="AOY2" s="2235"/>
      <c r="AOZ2" s="2235"/>
      <c r="APA2" s="2235"/>
      <c r="APB2" s="2235"/>
      <c r="APC2" s="2235"/>
      <c r="APD2" s="2235"/>
      <c r="APE2" s="2235"/>
      <c r="APF2" s="2235"/>
      <c r="APG2" s="2235"/>
      <c r="APH2" s="2235"/>
      <c r="API2" s="2235"/>
      <c r="APJ2" s="2235"/>
      <c r="APK2" s="2235"/>
      <c r="APL2" s="2235"/>
      <c r="APM2" s="2235"/>
      <c r="APN2" s="2235"/>
      <c r="APO2" s="2235"/>
      <c r="APP2" s="2235"/>
      <c r="APQ2" s="2235"/>
      <c r="APR2" s="2235"/>
      <c r="APS2" s="2235"/>
      <c r="APT2" s="2235"/>
      <c r="APU2" s="2235"/>
      <c r="APV2" s="2235"/>
      <c r="APW2" s="2235"/>
      <c r="APX2" s="2235"/>
      <c r="APY2" s="2235"/>
      <c r="APZ2" s="2235"/>
      <c r="AQA2" s="2235"/>
      <c r="AQB2" s="2235"/>
      <c r="AQC2" s="2235"/>
      <c r="AQD2" s="2235"/>
      <c r="AQE2" s="2235"/>
      <c r="AQF2" s="2235"/>
      <c r="AQG2" s="2235"/>
      <c r="AQH2" s="2235"/>
      <c r="AQI2" s="2235"/>
      <c r="AQJ2" s="2235"/>
      <c r="AQK2" s="2235"/>
      <c r="AQL2" s="2235"/>
      <c r="AQM2" s="2235"/>
      <c r="AQN2" s="2235"/>
      <c r="AQO2" s="2235"/>
      <c r="AQP2" s="2235"/>
      <c r="AQQ2" s="2235"/>
      <c r="AQR2" s="2235"/>
      <c r="AQS2" s="2235"/>
      <c r="AQT2" s="2235"/>
      <c r="AQU2" s="2235"/>
      <c r="AQV2" s="2235"/>
      <c r="AQW2" s="2235"/>
      <c r="AQX2" s="2235"/>
      <c r="AQY2" s="2235"/>
      <c r="AQZ2" s="2235"/>
      <c r="ARA2" s="2235"/>
      <c r="ARB2" s="2235"/>
      <c r="ARC2" s="2235"/>
      <c r="ARD2" s="2235"/>
      <c r="ARE2" s="2235"/>
      <c r="ARF2" s="2235"/>
      <c r="ARG2" s="2235"/>
      <c r="ARH2" s="2235"/>
      <c r="ARI2" s="2235"/>
      <c r="ARJ2" s="2235"/>
      <c r="ARK2" s="2235"/>
      <c r="ARL2" s="2235"/>
      <c r="ARM2" s="2235"/>
      <c r="ARN2" s="2235"/>
      <c r="ARO2" s="2235"/>
      <c r="ARP2" s="2235"/>
      <c r="ARQ2" s="2235"/>
      <c r="ARR2" s="2235"/>
      <c r="ARS2" s="2235"/>
      <c r="ART2" s="2235"/>
      <c r="ARU2" s="2235"/>
      <c r="ARV2" s="2235"/>
      <c r="ARW2" s="2235"/>
      <c r="ARX2" s="2235"/>
      <c r="ARY2" s="2235"/>
      <c r="ARZ2" s="2235"/>
      <c r="ASA2" s="2235"/>
      <c r="ASB2" s="2235"/>
      <c r="ASC2" s="2235"/>
      <c r="ASD2" s="2235"/>
      <c r="ASE2" s="2235"/>
      <c r="ASF2" s="2235"/>
      <c r="ASG2" s="2235"/>
      <c r="ASH2" s="2235"/>
      <c r="ASI2" s="2235"/>
      <c r="ASJ2" s="2235"/>
      <c r="ASK2" s="2235"/>
      <c r="ASL2" s="2235"/>
      <c r="ASM2" s="2235"/>
      <c r="ASN2" s="2235"/>
      <c r="ASO2" s="2235"/>
      <c r="ASP2" s="2235"/>
      <c r="ASQ2" s="2235"/>
      <c r="ASR2" s="2235"/>
      <c r="ASS2" s="2235"/>
      <c r="AST2" s="2235"/>
      <c r="ASU2" s="2235"/>
      <c r="ASV2" s="2235"/>
      <c r="ASW2" s="2235"/>
      <c r="ASX2" s="2235"/>
      <c r="ASY2" s="2235"/>
      <c r="ASZ2" s="2235"/>
      <c r="ATA2" s="2235"/>
      <c r="ATB2" s="2235"/>
      <c r="ATC2" s="2235"/>
      <c r="ATD2" s="2235"/>
      <c r="ATE2" s="2235"/>
      <c r="ATF2" s="2235"/>
      <c r="ATG2" s="2235"/>
      <c r="ATH2" s="2235"/>
      <c r="ATI2" s="2235"/>
      <c r="ATJ2" s="2235"/>
      <c r="ATK2" s="2235"/>
      <c r="ATL2" s="2235"/>
      <c r="ATM2" s="2235"/>
      <c r="ATN2" s="2235"/>
      <c r="ATO2" s="2235"/>
      <c r="ATP2" s="2235"/>
      <c r="ATQ2" s="2235"/>
      <c r="ATR2" s="2235"/>
      <c r="ATS2" s="2235"/>
      <c r="ATT2" s="2235"/>
      <c r="ATU2" s="2235"/>
      <c r="ATV2" s="2235"/>
      <c r="ATW2" s="2235"/>
      <c r="ATX2" s="2235"/>
      <c r="ATY2" s="2235"/>
      <c r="ATZ2" s="2235"/>
      <c r="AUA2" s="2235"/>
      <c r="AUB2" s="2235"/>
      <c r="AUC2" s="2235"/>
      <c r="AUD2" s="2235"/>
      <c r="AUE2" s="2235"/>
      <c r="AUF2" s="2235"/>
      <c r="AUG2" s="2235"/>
      <c r="AUH2" s="2235"/>
      <c r="AUI2" s="2235"/>
      <c r="AUJ2" s="2235"/>
      <c r="AUK2" s="2235"/>
      <c r="AUL2" s="2235"/>
      <c r="AUM2" s="2235"/>
      <c r="AUN2" s="2235"/>
      <c r="AUO2" s="2235"/>
      <c r="AUP2" s="2235"/>
      <c r="AUQ2" s="2235"/>
      <c r="AUR2" s="2235"/>
      <c r="AUS2" s="2235"/>
      <c r="AUT2" s="2235"/>
      <c r="AUU2" s="2235"/>
      <c r="AUV2" s="2235"/>
      <c r="AUW2" s="2235"/>
      <c r="AUX2" s="2235"/>
      <c r="AUY2" s="2235"/>
      <c r="AUZ2" s="2235"/>
      <c r="AVA2" s="2235"/>
      <c r="AVB2" s="2235"/>
      <c r="AVC2" s="2235"/>
      <c r="AVD2" s="2235"/>
      <c r="AVE2" s="2235"/>
      <c r="AVF2" s="2235"/>
      <c r="AVG2" s="2235"/>
      <c r="AVH2" s="2235"/>
      <c r="AVI2" s="2235"/>
      <c r="AVJ2" s="2235"/>
      <c r="AVK2" s="2235"/>
      <c r="AVL2" s="2235"/>
      <c r="AVM2" s="2235"/>
      <c r="AVN2" s="2235"/>
      <c r="AVO2" s="2235"/>
      <c r="AVP2" s="2235"/>
      <c r="AVQ2" s="2235"/>
      <c r="AVR2" s="2235"/>
      <c r="AVS2" s="2235"/>
      <c r="AVT2" s="2235"/>
      <c r="AVU2" s="2235"/>
      <c r="AVV2" s="2235"/>
      <c r="AVW2" s="2235"/>
      <c r="AVX2" s="2235"/>
      <c r="AVY2" s="2235"/>
      <c r="AVZ2" s="2235"/>
      <c r="AWA2" s="2235"/>
      <c r="AWB2" s="2235"/>
      <c r="AWC2" s="2235"/>
      <c r="AWD2" s="2235"/>
      <c r="AWE2" s="2235"/>
      <c r="AWF2" s="2235"/>
      <c r="AWG2" s="2235"/>
      <c r="AWH2" s="2235"/>
      <c r="AWI2" s="2235"/>
      <c r="AWJ2" s="2235"/>
      <c r="AWK2" s="2235"/>
      <c r="AWL2" s="2235"/>
      <c r="AWM2" s="2235"/>
      <c r="AWN2" s="2235"/>
      <c r="AWO2" s="2235"/>
      <c r="AWP2" s="2235"/>
      <c r="AWQ2" s="2235"/>
      <c r="AWR2" s="2235"/>
      <c r="AWS2" s="2235"/>
      <c r="AWT2" s="2235"/>
      <c r="AWU2" s="2235"/>
      <c r="AWV2" s="2235"/>
      <c r="AWW2" s="2235"/>
      <c r="AWX2" s="2235"/>
      <c r="AWY2" s="2235"/>
      <c r="AWZ2" s="2235"/>
      <c r="AXA2" s="2235"/>
      <c r="AXB2" s="2235"/>
      <c r="AXC2" s="2235"/>
      <c r="AXD2" s="2235"/>
      <c r="AXE2" s="2235"/>
      <c r="AXF2" s="2235"/>
      <c r="AXG2" s="2235"/>
      <c r="AXH2" s="2235"/>
      <c r="AXI2" s="2235"/>
      <c r="AXJ2" s="2235"/>
      <c r="AXK2" s="2235"/>
      <c r="AXL2" s="2235"/>
      <c r="AXM2" s="2235"/>
      <c r="AXN2" s="2235"/>
      <c r="AXO2" s="2235"/>
      <c r="AXP2" s="2235"/>
      <c r="AXQ2" s="2235"/>
      <c r="AXR2" s="2235"/>
      <c r="AXS2" s="2235"/>
      <c r="AXT2" s="2235"/>
      <c r="AXU2" s="2235"/>
      <c r="AXV2" s="2235"/>
      <c r="AXW2" s="2235"/>
      <c r="AXX2" s="2235"/>
      <c r="AXY2" s="2235"/>
      <c r="AXZ2" s="2235"/>
      <c r="AYA2" s="2235"/>
      <c r="AYB2" s="2235"/>
      <c r="AYC2" s="2235"/>
      <c r="AYD2" s="2235"/>
      <c r="AYE2" s="2235"/>
      <c r="AYF2" s="2235"/>
      <c r="AYG2" s="2235"/>
      <c r="AYH2" s="2235"/>
      <c r="AYI2" s="2235"/>
      <c r="AYJ2" s="2235"/>
      <c r="AYK2" s="2235"/>
      <c r="AYL2" s="2235"/>
      <c r="AYM2" s="2235"/>
      <c r="AYN2" s="2235"/>
      <c r="AYO2" s="2235"/>
      <c r="AYP2" s="2235"/>
      <c r="AYQ2" s="2235"/>
      <c r="AYR2" s="2235"/>
      <c r="AYS2" s="2235"/>
      <c r="AYT2" s="2235"/>
      <c r="AYU2" s="2235"/>
      <c r="AYV2" s="2235"/>
      <c r="AYW2" s="2235"/>
      <c r="AYX2" s="2235"/>
      <c r="AYY2" s="2235"/>
      <c r="AYZ2" s="2235"/>
      <c r="AZA2" s="2235"/>
      <c r="AZB2" s="2235"/>
      <c r="AZC2" s="2235"/>
      <c r="AZD2" s="2235"/>
      <c r="AZE2" s="2235"/>
      <c r="AZF2" s="2235"/>
      <c r="AZG2" s="2235"/>
      <c r="AZH2" s="2235"/>
      <c r="AZI2" s="2235"/>
      <c r="AZJ2" s="2235"/>
      <c r="AZK2" s="2235"/>
      <c r="AZL2" s="2235"/>
      <c r="AZM2" s="2235"/>
      <c r="AZN2" s="2235"/>
      <c r="AZO2" s="2235"/>
      <c r="AZP2" s="2235"/>
      <c r="AZQ2" s="2235"/>
      <c r="AZR2" s="2235"/>
      <c r="AZS2" s="2235"/>
      <c r="AZT2" s="2235"/>
      <c r="AZU2" s="2235"/>
      <c r="AZV2" s="2235"/>
      <c r="AZW2" s="2235"/>
      <c r="AZX2" s="2235"/>
      <c r="AZY2" s="2235"/>
      <c r="AZZ2" s="2235"/>
      <c r="BAA2" s="2235"/>
      <c r="BAB2" s="2235"/>
      <c r="BAC2" s="2235"/>
      <c r="BAD2" s="2235"/>
      <c r="BAE2" s="2235"/>
      <c r="BAF2" s="2235"/>
      <c r="BAG2" s="2235"/>
      <c r="BAH2" s="2235"/>
      <c r="BAI2" s="2235"/>
      <c r="BAJ2" s="2235"/>
      <c r="BAK2" s="2235"/>
      <c r="BAL2" s="2235"/>
      <c r="BAM2" s="2235"/>
      <c r="BAN2" s="2235"/>
      <c r="BAO2" s="2235"/>
      <c r="BAP2" s="2235"/>
      <c r="BAQ2" s="2235"/>
      <c r="BAR2" s="2235"/>
      <c r="BAS2" s="2235"/>
      <c r="BAT2" s="2235"/>
      <c r="BAU2" s="2235"/>
      <c r="BAV2" s="2235"/>
      <c r="BAW2" s="2235"/>
      <c r="BAX2" s="2235"/>
      <c r="BAY2" s="2235"/>
      <c r="BAZ2" s="2235"/>
      <c r="BBA2" s="2235"/>
      <c r="BBB2" s="2235"/>
      <c r="BBC2" s="2235"/>
      <c r="BBD2" s="2235"/>
      <c r="BBE2" s="2235"/>
      <c r="BBF2" s="2235"/>
      <c r="BBG2" s="2235"/>
      <c r="BBH2" s="2235"/>
      <c r="BBI2" s="2235"/>
      <c r="BBJ2" s="2235"/>
      <c r="BBK2" s="2235"/>
      <c r="BBL2" s="2235"/>
      <c r="BBM2" s="2235"/>
      <c r="BBN2" s="2235"/>
      <c r="BBO2" s="2235"/>
      <c r="BBP2" s="2235"/>
      <c r="BBQ2" s="2235"/>
      <c r="BBR2" s="2235"/>
      <c r="BBS2" s="2235"/>
      <c r="BBT2" s="2235"/>
      <c r="BBU2" s="2235"/>
      <c r="BBV2" s="2235"/>
      <c r="BBW2" s="2235"/>
      <c r="BBX2" s="2235"/>
      <c r="BBY2" s="2235"/>
      <c r="BBZ2" s="2235"/>
      <c r="BCA2" s="2235"/>
      <c r="BCB2" s="2235"/>
      <c r="BCC2" s="2235"/>
      <c r="BCD2" s="2235"/>
      <c r="BCE2" s="2235"/>
      <c r="BCF2" s="2235"/>
      <c r="BCG2" s="2235"/>
      <c r="BCH2" s="2235"/>
      <c r="BCI2" s="2235"/>
      <c r="BCJ2" s="2235"/>
      <c r="BCK2" s="2235"/>
      <c r="BCL2" s="2235"/>
      <c r="BCM2" s="2235"/>
      <c r="BCN2" s="2235"/>
      <c r="BCO2" s="2235"/>
      <c r="BCP2" s="2235"/>
      <c r="BCQ2" s="2235"/>
      <c r="BCR2" s="2235"/>
      <c r="BCS2" s="2235"/>
      <c r="BCT2" s="2235"/>
      <c r="BCU2" s="2235"/>
      <c r="BCV2" s="2235"/>
      <c r="BCW2" s="2235"/>
      <c r="BCX2" s="2235"/>
      <c r="BCY2" s="2235"/>
      <c r="BCZ2" s="2235"/>
      <c r="BDA2" s="2235"/>
      <c r="BDB2" s="2235"/>
      <c r="BDC2" s="2235"/>
      <c r="BDD2" s="2235"/>
      <c r="BDE2" s="2235"/>
      <c r="BDF2" s="2235"/>
      <c r="BDG2" s="2235"/>
      <c r="BDH2" s="2235"/>
      <c r="BDI2" s="2235"/>
      <c r="BDJ2" s="2235"/>
      <c r="BDK2" s="2235"/>
      <c r="BDL2" s="2235"/>
      <c r="BDM2" s="2235"/>
      <c r="BDN2" s="2235"/>
      <c r="BDO2" s="2235"/>
      <c r="BDP2" s="2235"/>
      <c r="BDQ2" s="2235"/>
      <c r="BDR2" s="2235"/>
      <c r="BDS2" s="2235"/>
      <c r="BDT2" s="2235"/>
      <c r="BDU2" s="2235"/>
      <c r="BDV2" s="2235"/>
      <c r="BDW2" s="2235"/>
      <c r="BDX2" s="2235"/>
      <c r="BDY2" s="2235"/>
      <c r="BDZ2" s="2235"/>
      <c r="BEA2" s="2235"/>
      <c r="BEB2" s="2235"/>
      <c r="BEC2" s="2235"/>
      <c r="BED2" s="2235"/>
      <c r="BEE2" s="2235"/>
      <c r="BEF2" s="2235"/>
      <c r="BEG2" s="2235"/>
      <c r="BEH2" s="2235"/>
      <c r="BEI2" s="2235"/>
      <c r="BEJ2" s="2235"/>
      <c r="BEK2" s="2235"/>
      <c r="BEL2" s="2235"/>
      <c r="BEM2" s="2235"/>
      <c r="BEN2" s="2235"/>
      <c r="BEO2" s="2235"/>
      <c r="BEP2" s="2235"/>
      <c r="BEQ2" s="2235"/>
      <c r="BER2" s="2235"/>
      <c r="BES2" s="2235"/>
      <c r="BET2" s="2235"/>
      <c r="BEU2" s="2235"/>
      <c r="BEV2" s="2235"/>
      <c r="BEW2" s="2235"/>
      <c r="BEX2" s="2235"/>
      <c r="BEY2" s="2235"/>
      <c r="BEZ2" s="2235"/>
      <c r="BFA2" s="2235"/>
      <c r="BFB2" s="2235"/>
      <c r="BFC2" s="2235"/>
      <c r="BFD2" s="2235"/>
      <c r="BFE2" s="2235"/>
      <c r="BFF2" s="2235"/>
      <c r="BFG2" s="2235"/>
      <c r="BFH2" s="2235"/>
      <c r="BFI2" s="2235"/>
      <c r="BFJ2" s="2235"/>
      <c r="BFK2" s="2235"/>
      <c r="BFL2" s="2235"/>
      <c r="BFM2" s="2235"/>
      <c r="BFN2" s="2235"/>
      <c r="BFO2" s="2235"/>
      <c r="BFP2" s="2235"/>
      <c r="BFQ2" s="2235"/>
      <c r="BFR2" s="2235"/>
      <c r="BFS2" s="2235"/>
      <c r="BFT2" s="2235"/>
      <c r="BFU2" s="2235"/>
      <c r="BFV2" s="2235"/>
      <c r="BFW2" s="2235"/>
      <c r="BFX2" s="2235"/>
      <c r="BFY2" s="2235"/>
      <c r="BFZ2" s="2235"/>
      <c r="BGA2" s="2235"/>
      <c r="BGB2" s="2235"/>
      <c r="BGC2" s="2235"/>
      <c r="BGD2" s="2235"/>
      <c r="BGE2" s="2235"/>
      <c r="BGF2" s="2235"/>
      <c r="BGG2" s="2235"/>
      <c r="BGH2" s="2235"/>
      <c r="BGI2" s="2235"/>
      <c r="BGJ2" s="2235"/>
      <c r="BGK2" s="2235"/>
      <c r="BGL2" s="2235"/>
      <c r="BGM2" s="2235"/>
      <c r="BGN2" s="2235"/>
      <c r="BGO2" s="2235"/>
      <c r="BGP2" s="2235"/>
      <c r="BGQ2" s="2235"/>
      <c r="BGR2" s="2235"/>
      <c r="BGS2" s="2235"/>
      <c r="BGT2" s="2235"/>
      <c r="BGU2" s="2235"/>
      <c r="BGV2" s="2235"/>
      <c r="BGW2" s="2235"/>
      <c r="BGX2" s="2235"/>
      <c r="BGY2" s="2235"/>
      <c r="BGZ2" s="2235"/>
      <c r="BHA2" s="2235"/>
      <c r="BHB2" s="2235"/>
      <c r="BHC2" s="2235"/>
      <c r="BHD2" s="2235"/>
      <c r="BHE2" s="2235"/>
      <c r="BHF2" s="2235"/>
      <c r="BHG2" s="2235"/>
      <c r="BHH2" s="2235"/>
      <c r="BHI2" s="2235"/>
      <c r="BHJ2" s="2235"/>
      <c r="BHK2" s="2235"/>
      <c r="BHL2" s="2235"/>
      <c r="BHM2" s="2235"/>
      <c r="BHN2" s="2235"/>
      <c r="BHO2" s="2235"/>
      <c r="BHP2" s="2235"/>
      <c r="BHQ2" s="2235"/>
      <c r="BHR2" s="2235"/>
      <c r="BHS2" s="2235"/>
      <c r="BHT2" s="2235"/>
      <c r="BHU2" s="2235"/>
      <c r="BHV2" s="2235"/>
      <c r="BHW2" s="2235"/>
      <c r="BHX2" s="2235"/>
      <c r="BHY2" s="2235"/>
      <c r="BHZ2" s="2235"/>
      <c r="BIA2" s="2235"/>
      <c r="BIB2" s="2235"/>
      <c r="BIC2" s="2235"/>
      <c r="BID2" s="2235"/>
      <c r="BIE2" s="2235"/>
      <c r="BIF2" s="2235"/>
      <c r="BIG2" s="2235"/>
      <c r="BIH2" s="2235"/>
      <c r="BII2" s="2235"/>
      <c r="BIJ2" s="2235"/>
      <c r="BIK2" s="2235"/>
      <c r="BIL2" s="2235"/>
      <c r="BIM2" s="2235"/>
      <c r="BIN2" s="2235"/>
      <c r="BIO2" s="2235"/>
      <c r="BIP2" s="2235"/>
      <c r="BIQ2" s="2235"/>
      <c r="BIR2" s="2235"/>
      <c r="BIS2" s="2235"/>
      <c r="BIT2" s="2235"/>
      <c r="BIU2" s="2235"/>
      <c r="BIV2" s="2235"/>
      <c r="BIW2" s="2235"/>
      <c r="BIX2" s="2235"/>
      <c r="BIY2" s="2235"/>
      <c r="BIZ2" s="2235"/>
      <c r="BJA2" s="2235"/>
      <c r="BJB2" s="2235"/>
      <c r="BJC2" s="2235"/>
      <c r="BJD2" s="2235"/>
      <c r="BJE2" s="2235"/>
      <c r="BJF2" s="2235"/>
      <c r="BJG2" s="2235"/>
      <c r="BJH2" s="2235"/>
      <c r="BJI2" s="2235"/>
      <c r="BJJ2" s="2235"/>
      <c r="BJK2" s="2235"/>
      <c r="BJL2" s="2235"/>
      <c r="BJM2" s="2235"/>
      <c r="BJN2" s="2235"/>
      <c r="BJO2" s="2235"/>
      <c r="BJP2" s="2235"/>
      <c r="BJQ2" s="2235"/>
      <c r="BJR2" s="2235"/>
      <c r="BJS2" s="2235"/>
      <c r="BJT2" s="2235"/>
      <c r="BJU2" s="2235"/>
      <c r="BJV2" s="2235"/>
      <c r="BJW2" s="2235"/>
      <c r="BJX2" s="2235"/>
      <c r="BJY2" s="2235"/>
      <c r="BJZ2" s="2235"/>
      <c r="BKA2" s="2235"/>
      <c r="BKB2" s="2235"/>
      <c r="BKC2" s="2235"/>
      <c r="BKD2" s="2235"/>
      <c r="BKE2" s="2235"/>
      <c r="BKF2" s="2235"/>
      <c r="BKG2" s="2235"/>
      <c r="BKH2" s="2235"/>
      <c r="BKI2" s="2235"/>
      <c r="BKJ2" s="2235"/>
      <c r="BKK2" s="2235"/>
      <c r="BKL2" s="2235"/>
      <c r="BKM2" s="2235"/>
      <c r="BKN2" s="2235"/>
      <c r="BKO2" s="2235"/>
      <c r="BKP2" s="2235"/>
      <c r="BKQ2" s="2235"/>
      <c r="BKR2" s="2235"/>
      <c r="BKS2" s="2235"/>
      <c r="BKT2" s="2235"/>
      <c r="BKU2" s="2235"/>
      <c r="BKV2" s="2235"/>
      <c r="BKW2" s="2235"/>
      <c r="BKX2" s="2235"/>
      <c r="BKY2" s="2235"/>
      <c r="BKZ2" s="2235"/>
      <c r="BLA2" s="2235"/>
      <c r="BLB2" s="2235"/>
      <c r="BLC2" s="2235"/>
      <c r="BLD2" s="2235"/>
      <c r="BLE2" s="2235"/>
      <c r="BLF2" s="2235"/>
      <c r="BLG2" s="2235"/>
      <c r="BLH2" s="2235"/>
      <c r="BLI2" s="2235"/>
      <c r="BLJ2" s="2235"/>
      <c r="BLK2" s="2235"/>
      <c r="BLL2" s="2235"/>
      <c r="BLM2" s="2235"/>
      <c r="BLN2" s="2235"/>
      <c r="BLO2" s="2235"/>
      <c r="BLP2" s="2235"/>
      <c r="BLQ2" s="2235"/>
      <c r="BLR2" s="2235"/>
      <c r="BLS2" s="2235"/>
      <c r="BLT2" s="2235"/>
      <c r="BLU2" s="2235"/>
      <c r="BLV2" s="2235"/>
      <c r="BLW2" s="2235"/>
      <c r="BLX2" s="2235"/>
      <c r="BLY2" s="2235"/>
      <c r="BLZ2" s="2235"/>
      <c r="BMA2" s="2235"/>
      <c r="BMB2" s="2235"/>
      <c r="BMC2" s="2235"/>
      <c r="BMD2" s="2235"/>
      <c r="BME2" s="2235"/>
      <c r="BMF2" s="2235"/>
      <c r="BMG2" s="2235"/>
      <c r="BMH2" s="2235"/>
      <c r="BMI2" s="2235"/>
      <c r="BMJ2" s="2235"/>
      <c r="BMK2" s="2235"/>
      <c r="BML2" s="2235"/>
      <c r="BMM2" s="2235"/>
      <c r="BMN2" s="2235"/>
      <c r="BMO2" s="2235"/>
      <c r="BMP2" s="2235"/>
      <c r="BMQ2" s="2235"/>
      <c r="BMR2" s="2235"/>
      <c r="BMS2" s="2235"/>
      <c r="BMT2" s="2235"/>
      <c r="BMU2" s="2235"/>
      <c r="BMV2" s="2235"/>
      <c r="BMW2" s="2235"/>
      <c r="BMX2" s="2235"/>
      <c r="BMY2" s="2235"/>
      <c r="BMZ2" s="2235"/>
      <c r="BNA2" s="2235"/>
      <c r="BNB2" s="2235"/>
      <c r="BNC2" s="2235"/>
      <c r="BND2" s="2235"/>
      <c r="BNE2" s="2235"/>
      <c r="BNF2" s="2235"/>
      <c r="BNG2" s="2235"/>
      <c r="BNH2" s="2235"/>
      <c r="BNI2" s="2235"/>
      <c r="BNJ2" s="2235"/>
      <c r="BNK2" s="2235"/>
      <c r="BNL2" s="2235"/>
      <c r="BNM2" s="2235"/>
      <c r="BNN2" s="2235"/>
      <c r="BNO2" s="2235"/>
      <c r="BNP2" s="2235"/>
      <c r="BNQ2" s="2235"/>
      <c r="BNR2" s="2235"/>
      <c r="BNS2" s="2235"/>
      <c r="BNT2" s="2235"/>
      <c r="BNU2" s="2235"/>
      <c r="BNV2" s="2235"/>
      <c r="BNW2" s="2235"/>
      <c r="BNX2" s="2235"/>
      <c r="BNY2" s="2235"/>
      <c r="BNZ2" s="2235"/>
      <c r="BOA2" s="2235"/>
      <c r="BOB2" s="2235"/>
      <c r="BOC2" s="2235"/>
      <c r="BOD2" s="2235"/>
      <c r="BOE2" s="2235"/>
      <c r="BOF2" s="2235"/>
      <c r="BOG2" s="2235"/>
      <c r="BOH2" s="2235"/>
      <c r="BOI2" s="2235"/>
      <c r="BOJ2" s="2235"/>
      <c r="BOK2" s="2235"/>
      <c r="BOL2" s="2235"/>
      <c r="BOM2" s="2235"/>
      <c r="BON2" s="2235"/>
      <c r="BOO2" s="2235"/>
      <c r="BOP2" s="2235"/>
      <c r="BOQ2" s="2235"/>
      <c r="BOR2" s="2235"/>
      <c r="BOS2" s="2235"/>
      <c r="BOT2" s="2235"/>
      <c r="BOU2" s="2235"/>
      <c r="BOV2" s="2235"/>
      <c r="BOW2" s="2235"/>
      <c r="BOX2" s="2235"/>
      <c r="BOY2" s="2235"/>
      <c r="BOZ2" s="2235"/>
      <c r="BPA2" s="2235"/>
      <c r="BPB2" s="2235"/>
      <c r="BPC2" s="2235"/>
      <c r="BPD2" s="2235"/>
      <c r="BPE2" s="2235"/>
      <c r="BPF2" s="2235"/>
      <c r="BPG2" s="2235"/>
      <c r="BPH2" s="2235"/>
      <c r="BPI2" s="2235"/>
      <c r="BPJ2" s="2235"/>
      <c r="BPK2" s="2235"/>
      <c r="BPL2" s="2235"/>
      <c r="BPM2" s="2235"/>
      <c r="BPN2" s="2235"/>
      <c r="BPO2" s="2235"/>
      <c r="BPP2" s="2235"/>
      <c r="BPQ2" s="2235"/>
      <c r="BPR2" s="2235"/>
      <c r="BPS2" s="2235"/>
      <c r="BPT2" s="2235"/>
      <c r="BPU2" s="2235"/>
      <c r="BPV2" s="2235"/>
      <c r="BPW2" s="2235"/>
      <c r="BPX2" s="2235"/>
      <c r="BPY2" s="2235"/>
      <c r="BPZ2" s="2235"/>
      <c r="BQA2" s="2235"/>
      <c r="BQB2" s="2235"/>
      <c r="BQC2" s="2235"/>
      <c r="BQD2" s="2235"/>
      <c r="BQE2" s="2235"/>
      <c r="BQF2" s="2235"/>
      <c r="BQG2" s="2235"/>
      <c r="BQH2" s="2235"/>
      <c r="BQI2" s="2235"/>
      <c r="BQJ2" s="2235"/>
      <c r="BQK2" s="2235"/>
      <c r="BQL2" s="2235"/>
      <c r="BQM2" s="2235"/>
      <c r="BQN2" s="2235"/>
      <c r="BQO2" s="2235"/>
      <c r="BQP2" s="2235"/>
      <c r="BQQ2" s="2235"/>
      <c r="BQR2" s="2235"/>
      <c r="BQS2" s="2235"/>
      <c r="BQT2" s="2235"/>
      <c r="BQU2" s="2235"/>
      <c r="BQV2" s="2235"/>
      <c r="BQW2" s="2235"/>
      <c r="BQX2" s="2235"/>
      <c r="BQY2" s="2235"/>
      <c r="BQZ2" s="2235"/>
      <c r="BRA2" s="2235"/>
      <c r="BRB2" s="2235"/>
      <c r="BRC2" s="2235"/>
      <c r="BRD2" s="2235"/>
      <c r="BRE2" s="2235"/>
      <c r="BRF2" s="2235"/>
      <c r="BRG2" s="2235"/>
      <c r="BRH2" s="2235"/>
      <c r="BRI2" s="2235"/>
      <c r="BRJ2" s="2235"/>
      <c r="BRK2" s="2235"/>
      <c r="BRL2" s="2235"/>
      <c r="BRM2" s="2235"/>
      <c r="BRN2" s="2235"/>
      <c r="BRO2" s="2235"/>
      <c r="BRP2" s="2235"/>
      <c r="BRQ2" s="2235"/>
      <c r="BRR2" s="2235"/>
      <c r="BRS2" s="2235"/>
      <c r="BRT2" s="2235"/>
      <c r="BRU2" s="2235"/>
      <c r="BRV2" s="2235"/>
      <c r="BRW2" s="2235"/>
      <c r="BRX2" s="2235"/>
      <c r="BRY2" s="2235"/>
      <c r="BRZ2" s="2235"/>
      <c r="BSA2" s="2235"/>
      <c r="BSB2" s="2235"/>
      <c r="BSC2" s="2235"/>
      <c r="BSD2" s="2235"/>
      <c r="BSE2" s="2235"/>
      <c r="BSF2" s="2235"/>
      <c r="BSG2" s="2235"/>
      <c r="BSH2" s="2235"/>
      <c r="BSI2" s="2235"/>
      <c r="BSJ2" s="2235"/>
      <c r="BSK2" s="2235"/>
      <c r="BSL2" s="2235"/>
      <c r="BSM2" s="2235"/>
      <c r="BSN2" s="2235"/>
      <c r="BSO2" s="2235"/>
      <c r="BSP2" s="2235"/>
      <c r="BSQ2" s="2235"/>
      <c r="BSR2" s="2235"/>
      <c r="BSS2" s="2235"/>
      <c r="BST2" s="2235"/>
      <c r="BSU2" s="2235"/>
      <c r="BSV2" s="2235"/>
      <c r="BSW2" s="2235"/>
      <c r="BSX2" s="2235"/>
      <c r="BSY2" s="2235"/>
      <c r="BSZ2" s="2235"/>
      <c r="BTA2" s="2235"/>
      <c r="BTB2" s="2235"/>
      <c r="BTC2" s="2235"/>
      <c r="BTD2" s="2235"/>
      <c r="BTE2" s="2235"/>
      <c r="BTF2" s="2235"/>
      <c r="BTG2" s="2235"/>
      <c r="BTH2" s="2235"/>
      <c r="BTI2" s="2235"/>
      <c r="BTJ2" s="2235"/>
      <c r="BTK2" s="2235"/>
      <c r="BTL2" s="2235"/>
      <c r="BTM2" s="2235"/>
      <c r="BTN2" s="2235"/>
      <c r="BTO2" s="2235"/>
      <c r="BTP2" s="2235"/>
      <c r="BTQ2" s="2235"/>
      <c r="BTR2" s="2235"/>
      <c r="BTS2" s="2235"/>
      <c r="BTT2" s="2235"/>
      <c r="BTU2" s="2235"/>
      <c r="BTV2" s="2235"/>
      <c r="BTW2" s="2235"/>
      <c r="BTX2" s="2235"/>
      <c r="BTY2" s="2235"/>
      <c r="BTZ2" s="2235"/>
      <c r="BUA2" s="2235"/>
      <c r="BUB2" s="2235"/>
      <c r="BUC2" s="2235"/>
      <c r="BUD2" s="2235"/>
      <c r="BUE2" s="2235"/>
      <c r="BUF2" s="2235"/>
      <c r="BUG2" s="2235"/>
      <c r="BUH2" s="2235"/>
      <c r="BUI2" s="2235"/>
      <c r="BUJ2" s="2235"/>
      <c r="BUK2" s="2235"/>
      <c r="BUL2" s="2235"/>
      <c r="BUM2" s="2235"/>
      <c r="BUN2" s="2235"/>
      <c r="BUO2" s="2235"/>
      <c r="BUP2" s="2235"/>
      <c r="BUQ2" s="2235"/>
      <c r="BUR2" s="2235"/>
      <c r="BUS2" s="2235"/>
      <c r="BUT2" s="2235"/>
      <c r="BUU2" s="2235"/>
      <c r="BUV2" s="2235"/>
      <c r="BUW2" s="2235"/>
      <c r="BUX2" s="2235"/>
      <c r="BUY2" s="2235"/>
      <c r="BUZ2" s="2235"/>
      <c r="BVA2" s="2235"/>
      <c r="BVB2" s="2235"/>
      <c r="BVC2" s="2235"/>
      <c r="BVD2" s="2235"/>
      <c r="BVE2" s="2235"/>
      <c r="BVF2" s="2235"/>
      <c r="BVG2" s="2235"/>
      <c r="BVH2" s="2235"/>
      <c r="BVI2" s="2235"/>
      <c r="BVJ2" s="2235"/>
      <c r="BVK2" s="2235"/>
      <c r="BVL2" s="2235"/>
      <c r="BVM2" s="2235"/>
      <c r="BVN2" s="2235"/>
      <c r="BVO2" s="2235"/>
      <c r="BVP2" s="2235"/>
      <c r="BVQ2" s="2235"/>
      <c r="BVR2" s="2235"/>
      <c r="BVS2" s="2235"/>
      <c r="BVT2" s="2235"/>
      <c r="BVU2" s="2235"/>
      <c r="BVV2" s="2235"/>
      <c r="BVW2" s="2235"/>
      <c r="BVX2" s="2235"/>
      <c r="BVY2" s="2235"/>
      <c r="BVZ2" s="2235"/>
      <c r="BWA2" s="2235"/>
      <c r="BWB2" s="2235"/>
      <c r="BWC2" s="2235"/>
      <c r="BWD2" s="2235"/>
      <c r="BWE2" s="2235"/>
      <c r="BWF2" s="2235"/>
      <c r="BWG2" s="2235"/>
      <c r="BWH2" s="2235"/>
      <c r="BWI2" s="2235"/>
      <c r="BWJ2" s="2235"/>
      <c r="BWK2" s="2235"/>
      <c r="BWL2" s="2235"/>
      <c r="BWM2" s="2235"/>
      <c r="BWN2" s="2235"/>
      <c r="BWO2" s="2235"/>
      <c r="BWP2" s="2235"/>
      <c r="BWQ2" s="2235"/>
      <c r="BWR2" s="2235"/>
      <c r="BWS2" s="2235"/>
      <c r="BWT2" s="2235"/>
      <c r="BWU2" s="2235"/>
      <c r="BWV2" s="2235"/>
      <c r="BWW2" s="2235"/>
      <c r="BWX2" s="2235"/>
      <c r="BWY2" s="2235"/>
      <c r="BWZ2" s="2235"/>
      <c r="BXA2" s="2235"/>
      <c r="BXB2" s="2235"/>
      <c r="BXC2" s="2235"/>
      <c r="BXD2" s="2235"/>
      <c r="BXE2" s="2235"/>
      <c r="BXF2" s="2235"/>
      <c r="BXG2" s="2235"/>
      <c r="BXH2" s="2235"/>
      <c r="BXI2" s="2235"/>
      <c r="BXJ2" s="2235"/>
      <c r="BXK2" s="2235"/>
      <c r="BXL2" s="2235"/>
      <c r="BXM2" s="2235"/>
      <c r="BXN2" s="2235"/>
      <c r="BXO2" s="2235"/>
      <c r="BXP2" s="2235"/>
      <c r="BXQ2" s="2235"/>
      <c r="BXR2" s="2235"/>
      <c r="BXS2" s="2235"/>
      <c r="BXT2" s="2235"/>
      <c r="BXU2" s="2235"/>
      <c r="BXV2" s="2235"/>
      <c r="BXW2" s="2235"/>
      <c r="BXX2" s="2235"/>
      <c r="BXY2" s="2235"/>
      <c r="BXZ2" s="2235"/>
      <c r="BYA2" s="2235"/>
      <c r="BYB2" s="2235"/>
      <c r="BYC2" s="2235"/>
      <c r="BYD2" s="2235"/>
      <c r="BYE2" s="2235"/>
      <c r="BYF2" s="2235"/>
      <c r="BYG2" s="2235"/>
      <c r="BYH2" s="2235"/>
      <c r="BYI2" s="2235"/>
      <c r="BYJ2" s="2235"/>
      <c r="BYK2" s="2235"/>
      <c r="BYL2" s="2235"/>
      <c r="BYM2" s="2235"/>
      <c r="BYN2" s="2235"/>
      <c r="BYO2" s="2235"/>
      <c r="BYP2" s="2235"/>
      <c r="BYQ2" s="2235"/>
      <c r="BYR2" s="2235"/>
      <c r="BYS2" s="2235"/>
      <c r="BYT2" s="2235"/>
      <c r="BYU2" s="2235"/>
      <c r="BYV2" s="2235"/>
      <c r="BYW2" s="2235"/>
      <c r="BYX2" s="2235"/>
      <c r="BYY2" s="2235"/>
      <c r="BYZ2" s="2235"/>
      <c r="BZA2" s="2235"/>
      <c r="BZB2" s="2235"/>
      <c r="BZC2" s="2235"/>
      <c r="BZD2" s="2235"/>
      <c r="BZE2" s="2235"/>
      <c r="BZF2" s="2235"/>
      <c r="BZG2" s="2235"/>
      <c r="BZH2" s="2235"/>
      <c r="BZI2" s="2235"/>
      <c r="BZJ2" s="2235"/>
      <c r="BZK2" s="2235"/>
      <c r="BZL2" s="2235"/>
      <c r="BZM2" s="2235"/>
      <c r="BZN2" s="2235"/>
      <c r="BZO2" s="2235"/>
      <c r="BZP2" s="2235"/>
      <c r="BZQ2" s="2235"/>
      <c r="BZR2" s="2235"/>
      <c r="BZS2" s="2235"/>
      <c r="BZT2" s="2235"/>
      <c r="BZU2" s="2235"/>
      <c r="BZV2" s="2235"/>
      <c r="BZW2" s="2235"/>
      <c r="BZX2" s="2235"/>
      <c r="BZY2" s="2235"/>
      <c r="BZZ2" s="2235"/>
      <c r="CAA2" s="2235"/>
      <c r="CAB2" s="2235"/>
      <c r="CAC2" s="2235"/>
      <c r="CAD2" s="2235"/>
      <c r="CAE2" s="2235"/>
      <c r="CAF2" s="2235"/>
      <c r="CAG2" s="2235"/>
      <c r="CAH2" s="2235"/>
      <c r="CAI2" s="2235"/>
      <c r="CAJ2" s="2235"/>
      <c r="CAK2" s="2235"/>
      <c r="CAL2" s="2235"/>
      <c r="CAM2" s="2235"/>
      <c r="CAN2" s="2235"/>
      <c r="CAO2" s="2235"/>
      <c r="CAP2" s="2235"/>
      <c r="CAQ2" s="2235"/>
      <c r="CAR2" s="2235"/>
      <c r="CAS2" s="2235"/>
      <c r="CAT2" s="2235"/>
      <c r="CAU2" s="2235"/>
      <c r="CAV2" s="2235"/>
      <c r="CAW2" s="2235"/>
      <c r="CAX2" s="2235"/>
      <c r="CAY2" s="2235"/>
      <c r="CAZ2" s="2235"/>
      <c r="CBA2" s="2235"/>
      <c r="CBB2" s="2235"/>
      <c r="CBC2" s="2235"/>
      <c r="CBD2" s="2235"/>
      <c r="CBE2" s="2235"/>
      <c r="CBF2" s="2235"/>
      <c r="CBG2" s="2235"/>
      <c r="CBH2" s="2235"/>
      <c r="CBI2" s="2235"/>
      <c r="CBJ2" s="2235"/>
      <c r="CBK2" s="2235"/>
      <c r="CBL2" s="2235"/>
      <c r="CBM2" s="2235"/>
      <c r="CBN2" s="2235"/>
      <c r="CBO2" s="2235"/>
      <c r="CBP2" s="2235"/>
      <c r="CBQ2" s="2235"/>
      <c r="CBR2" s="2235"/>
      <c r="CBS2" s="2235"/>
      <c r="CBT2" s="2235"/>
      <c r="CBU2" s="2235"/>
      <c r="CBV2" s="2235"/>
      <c r="CBW2" s="2235"/>
      <c r="CBX2" s="2235"/>
      <c r="CBY2" s="2235"/>
      <c r="CBZ2" s="2235"/>
      <c r="CCA2" s="2235"/>
      <c r="CCB2" s="2235"/>
      <c r="CCC2" s="2235"/>
      <c r="CCD2" s="2235"/>
      <c r="CCE2" s="2235"/>
      <c r="CCF2" s="2235"/>
      <c r="CCG2" s="2235"/>
      <c r="CCH2" s="2235"/>
      <c r="CCI2" s="2235"/>
      <c r="CCJ2" s="2235"/>
      <c r="CCK2" s="2235"/>
      <c r="CCL2" s="2235"/>
      <c r="CCM2" s="2235"/>
      <c r="CCN2" s="2235"/>
      <c r="CCO2" s="2235"/>
      <c r="CCP2" s="2235"/>
      <c r="CCQ2" s="2235"/>
      <c r="CCR2" s="2235"/>
      <c r="CCS2" s="2235"/>
      <c r="CCT2" s="2235"/>
      <c r="CCU2" s="2235"/>
      <c r="CCV2" s="2235"/>
      <c r="CCW2" s="2235"/>
      <c r="CCX2" s="2235"/>
      <c r="CCY2" s="2235"/>
      <c r="CCZ2" s="2235"/>
      <c r="CDA2" s="2235"/>
      <c r="CDB2" s="2235"/>
      <c r="CDC2" s="2235"/>
      <c r="CDD2" s="2235"/>
      <c r="CDE2" s="2235"/>
      <c r="CDF2" s="2235"/>
      <c r="CDG2" s="2235"/>
      <c r="CDH2" s="2235"/>
      <c r="CDI2" s="2235"/>
      <c r="CDJ2" s="2235"/>
      <c r="CDK2" s="2235"/>
      <c r="CDL2" s="2235"/>
      <c r="CDM2" s="2235"/>
      <c r="CDN2" s="2235"/>
      <c r="CDO2" s="2235"/>
      <c r="CDP2" s="2235"/>
      <c r="CDQ2" s="2235"/>
      <c r="CDR2" s="2235"/>
      <c r="CDS2" s="2235"/>
      <c r="CDT2" s="2235"/>
      <c r="CDU2" s="2235"/>
      <c r="CDV2" s="2235"/>
      <c r="CDW2" s="2235"/>
      <c r="CDX2" s="2235"/>
      <c r="CDY2" s="2235"/>
      <c r="CDZ2" s="2235"/>
      <c r="CEA2" s="2235"/>
      <c r="CEB2" s="2235"/>
      <c r="CEC2" s="2235"/>
      <c r="CED2" s="2235"/>
      <c r="CEE2" s="2235"/>
      <c r="CEF2" s="2235"/>
      <c r="CEG2" s="2235"/>
      <c r="CEH2" s="2235"/>
      <c r="CEI2" s="2235"/>
      <c r="CEJ2" s="2235"/>
      <c r="CEK2" s="2235"/>
      <c r="CEL2" s="2235"/>
      <c r="CEM2" s="2235"/>
      <c r="CEN2" s="2235"/>
      <c r="CEO2" s="2235"/>
      <c r="CEP2" s="2235"/>
      <c r="CEQ2" s="2235"/>
      <c r="CER2" s="2235"/>
      <c r="CES2" s="2235"/>
      <c r="CET2" s="2235"/>
      <c r="CEU2" s="2235"/>
      <c r="CEV2" s="2235"/>
      <c r="CEW2" s="2235"/>
      <c r="CEX2" s="2235"/>
      <c r="CEY2" s="2235"/>
      <c r="CEZ2" s="2235"/>
      <c r="CFA2" s="2235"/>
      <c r="CFB2" s="2235"/>
      <c r="CFC2" s="2235"/>
      <c r="CFD2" s="2235"/>
      <c r="CFE2" s="2235"/>
      <c r="CFF2" s="2235"/>
      <c r="CFG2" s="2235"/>
      <c r="CFH2" s="2235"/>
      <c r="CFI2" s="2235"/>
      <c r="CFJ2" s="2235"/>
      <c r="CFK2" s="2235"/>
      <c r="CFL2" s="2235"/>
      <c r="CFM2" s="2235"/>
      <c r="CFN2" s="2235"/>
      <c r="CFO2" s="2235"/>
      <c r="CFP2" s="2235"/>
      <c r="CFQ2" s="2235"/>
      <c r="CFR2" s="2235"/>
      <c r="CFS2" s="2235"/>
      <c r="CFT2" s="2235"/>
      <c r="CFU2" s="2235"/>
      <c r="CFV2" s="2235"/>
      <c r="CFW2" s="2235"/>
      <c r="CFX2" s="2235"/>
      <c r="CFY2" s="2235"/>
      <c r="CFZ2" s="2235"/>
      <c r="CGA2" s="2235"/>
      <c r="CGB2" s="2235"/>
      <c r="CGC2" s="2235"/>
      <c r="CGD2" s="2235"/>
      <c r="CGE2" s="2235"/>
      <c r="CGF2" s="2235"/>
      <c r="CGG2" s="2235"/>
      <c r="CGH2" s="2235"/>
      <c r="CGI2" s="2235"/>
      <c r="CGJ2" s="2235"/>
      <c r="CGK2" s="2235"/>
      <c r="CGL2" s="2235"/>
      <c r="CGM2" s="2235"/>
      <c r="CGN2" s="2235"/>
      <c r="CGO2" s="2235"/>
      <c r="CGP2" s="2235"/>
      <c r="CGQ2" s="2235"/>
      <c r="CGR2" s="2235"/>
      <c r="CGS2" s="2235"/>
      <c r="CGT2" s="2235"/>
      <c r="CGU2" s="2235"/>
      <c r="CGV2" s="2235"/>
      <c r="CGW2" s="2235"/>
      <c r="CGX2" s="2235"/>
      <c r="CGY2" s="2235"/>
      <c r="CGZ2" s="2235"/>
      <c r="CHA2" s="2235"/>
      <c r="CHB2" s="2235"/>
      <c r="CHC2" s="2235"/>
      <c r="CHD2" s="2235"/>
      <c r="CHE2" s="2235"/>
      <c r="CHF2" s="2235"/>
      <c r="CHG2" s="2235"/>
      <c r="CHH2" s="2235"/>
      <c r="CHI2" s="2235"/>
      <c r="CHJ2" s="2235"/>
      <c r="CHK2" s="2235"/>
      <c r="CHL2" s="2235"/>
      <c r="CHM2" s="2235"/>
      <c r="CHN2" s="2235"/>
      <c r="CHO2" s="2235"/>
      <c r="CHP2" s="2235"/>
      <c r="CHQ2" s="2235"/>
      <c r="CHR2" s="2235"/>
      <c r="CHS2" s="2235"/>
      <c r="CHT2" s="2235"/>
      <c r="CHU2" s="2235"/>
      <c r="CHV2" s="2235"/>
      <c r="CHW2" s="2235"/>
      <c r="CHX2" s="2235"/>
      <c r="CHY2" s="2235"/>
      <c r="CHZ2" s="2235"/>
      <c r="CIA2" s="2235"/>
      <c r="CIB2" s="2235"/>
      <c r="CIC2" s="2235"/>
      <c r="CID2" s="2235"/>
      <c r="CIE2" s="2235"/>
      <c r="CIF2" s="2235"/>
      <c r="CIG2" s="2235"/>
      <c r="CIH2" s="2235"/>
      <c r="CII2" s="2235"/>
      <c r="CIJ2" s="2235"/>
      <c r="CIK2" s="2235"/>
      <c r="CIL2" s="2235"/>
      <c r="CIM2" s="2235"/>
      <c r="CIN2" s="2235"/>
      <c r="CIO2" s="2235"/>
      <c r="CIP2" s="2235"/>
      <c r="CIQ2" s="2235"/>
      <c r="CIR2" s="2235"/>
      <c r="CIS2" s="2235"/>
      <c r="CIT2" s="2235"/>
      <c r="CIU2" s="2235"/>
      <c r="CIV2" s="2235"/>
      <c r="CIW2" s="2235"/>
      <c r="CIX2" s="2235"/>
      <c r="CIY2" s="2235"/>
      <c r="CIZ2" s="2235"/>
      <c r="CJA2" s="2235"/>
      <c r="CJB2" s="2235"/>
      <c r="CJC2" s="2235"/>
      <c r="CJD2" s="2235"/>
      <c r="CJE2" s="2235"/>
      <c r="CJF2" s="2235"/>
      <c r="CJG2" s="2235"/>
      <c r="CJH2" s="2235"/>
      <c r="CJI2" s="2235"/>
      <c r="CJJ2" s="2235"/>
      <c r="CJK2" s="2235"/>
      <c r="CJL2" s="2235"/>
      <c r="CJM2" s="2235"/>
      <c r="CJN2" s="2235"/>
      <c r="CJO2" s="2235"/>
      <c r="CJP2" s="2235"/>
      <c r="CJQ2" s="2235"/>
      <c r="CJR2" s="2235"/>
      <c r="CJS2" s="2235"/>
      <c r="CJT2" s="2235"/>
      <c r="CJU2" s="2235"/>
      <c r="CJV2" s="2235"/>
      <c r="CJW2" s="2235"/>
      <c r="CJX2" s="2235"/>
      <c r="CJY2" s="2235"/>
      <c r="CJZ2" s="2235"/>
      <c r="CKA2" s="2235"/>
      <c r="CKB2" s="2235"/>
      <c r="CKC2" s="2235"/>
      <c r="CKD2" s="2235"/>
      <c r="CKE2" s="2235"/>
      <c r="CKF2" s="2235"/>
      <c r="CKG2" s="2235"/>
      <c r="CKH2" s="2235"/>
      <c r="CKI2" s="2235"/>
      <c r="CKJ2" s="2235"/>
      <c r="CKK2" s="2235"/>
      <c r="CKL2" s="2235"/>
      <c r="CKM2" s="2235"/>
      <c r="CKN2" s="2235"/>
      <c r="CKO2" s="2235"/>
      <c r="CKP2" s="2235"/>
      <c r="CKQ2" s="2235"/>
      <c r="CKR2" s="2235"/>
      <c r="CKS2" s="2235"/>
      <c r="CKT2" s="2235"/>
      <c r="CKU2" s="2235"/>
      <c r="CKV2" s="2235"/>
      <c r="CKW2" s="2235"/>
      <c r="CKX2" s="2235"/>
      <c r="CKY2" s="2235"/>
      <c r="CKZ2" s="2235"/>
      <c r="CLA2" s="2235"/>
      <c r="CLB2" s="2235"/>
      <c r="CLC2" s="2235"/>
      <c r="CLD2" s="2235"/>
      <c r="CLE2" s="2235"/>
      <c r="CLF2" s="2235"/>
      <c r="CLG2" s="2235"/>
      <c r="CLH2" s="2235"/>
      <c r="CLI2" s="2235"/>
      <c r="CLJ2" s="2235"/>
      <c r="CLK2" s="2235"/>
      <c r="CLL2" s="2235"/>
      <c r="CLM2" s="2235"/>
      <c r="CLN2" s="2235"/>
      <c r="CLO2" s="2235"/>
      <c r="CLP2" s="2235"/>
      <c r="CLQ2" s="2235"/>
      <c r="CLR2" s="2235"/>
      <c r="CLS2" s="2235"/>
      <c r="CLT2" s="2235"/>
      <c r="CLU2" s="2235"/>
      <c r="CLV2" s="2235"/>
      <c r="CLW2" s="2235"/>
      <c r="CLX2" s="2235"/>
      <c r="CLY2" s="2235"/>
      <c r="CLZ2" s="2235"/>
      <c r="CMA2" s="2235"/>
      <c r="CMB2" s="2235"/>
      <c r="CMC2" s="2235"/>
      <c r="CMD2" s="2235"/>
      <c r="CME2" s="2235"/>
      <c r="CMF2" s="2235"/>
      <c r="CMG2" s="2235"/>
      <c r="CMH2" s="2235"/>
      <c r="CMI2" s="2235"/>
      <c r="CMJ2" s="2235"/>
      <c r="CMK2" s="2235"/>
      <c r="CML2" s="2235"/>
      <c r="CMM2" s="2235"/>
      <c r="CMN2" s="2235"/>
      <c r="CMO2" s="2235"/>
      <c r="CMP2" s="2235"/>
      <c r="CMQ2" s="2235"/>
      <c r="CMR2" s="2235"/>
      <c r="CMS2" s="2235"/>
      <c r="CMT2" s="2235"/>
      <c r="CMU2" s="2235"/>
      <c r="CMV2" s="2235"/>
      <c r="CMW2" s="2235"/>
      <c r="CMX2" s="2235"/>
      <c r="CMY2" s="2235"/>
      <c r="CMZ2" s="2235"/>
      <c r="CNA2" s="2235"/>
      <c r="CNB2" s="2235"/>
      <c r="CNC2" s="2235"/>
      <c r="CND2" s="2235"/>
      <c r="CNE2" s="2235"/>
      <c r="CNF2" s="2235"/>
      <c r="CNG2" s="2235"/>
      <c r="CNH2" s="2235"/>
      <c r="CNI2" s="2235"/>
      <c r="CNJ2" s="2235"/>
      <c r="CNK2" s="2235"/>
      <c r="CNL2" s="2235"/>
      <c r="CNM2" s="2235"/>
      <c r="CNN2" s="2235"/>
      <c r="CNO2" s="2235"/>
      <c r="CNP2" s="2235"/>
      <c r="CNQ2" s="2235"/>
      <c r="CNR2" s="2235"/>
      <c r="CNS2" s="2235"/>
      <c r="CNT2" s="2235"/>
      <c r="CNU2" s="2235"/>
      <c r="CNV2" s="2235"/>
      <c r="CNW2" s="2235"/>
      <c r="CNX2" s="2235"/>
      <c r="CNY2" s="2235"/>
      <c r="CNZ2" s="2235"/>
      <c r="COA2" s="2235"/>
      <c r="COB2" s="2235"/>
      <c r="COC2" s="2235"/>
      <c r="COD2" s="2235"/>
      <c r="COE2" s="2235"/>
      <c r="COF2" s="2235"/>
      <c r="COG2" s="2235"/>
      <c r="COH2" s="2235"/>
      <c r="COI2" s="2235"/>
      <c r="COJ2" s="2235"/>
      <c r="COK2" s="2235"/>
      <c r="COL2" s="2235"/>
      <c r="COM2" s="2235"/>
      <c r="CON2" s="2235"/>
      <c r="COO2" s="2235"/>
      <c r="COP2" s="2235"/>
      <c r="COQ2" s="2235"/>
      <c r="COR2" s="2235"/>
      <c r="COS2" s="2235"/>
      <c r="COT2" s="2235"/>
      <c r="COU2" s="2235"/>
      <c r="COV2" s="2235"/>
      <c r="COW2" s="2235"/>
      <c r="COX2" s="2235"/>
      <c r="COY2" s="2235"/>
      <c r="COZ2" s="2235"/>
      <c r="CPA2" s="2235"/>
      <c r="CPB2" s="2235"/>
      <c r="CPC2" s="2235"/>
      <c r="CPD2" s="2235"/>
      <c r="CPE2" s="2235"/>
      <c r="CPF2" s="2235"/>
      <c r="CPG2" s="2235"/>
      <c r="CPH2" s="2235"/>
      <c r="CPI2" s="2235"/>
      <c r="CPJ2" s="2235"/>
      <c r="CPK2" s="2235"/>
      <c r="CPL2" s="2235"/>
      <c r="CPM2" s="2235"/>
      <c r="CPN2" s="2235"/>
      <c r="CPO2" s="2235"/>
      <c r="CPP2" s="2235"/>
      <c r="CPQ2" s="2235"/>
      <c r="CPR2" s="2235"/>
      <c r="CPS2" s="2235"/>
      <c r="CPT2" s="2235"/>
      <c r="CPU2" s="2235"/>
      <c r="CPV2" s="2235"/>
      <c r="CPW2" s="2235"/>
      <c r="CPX2" s="2235"/>
      <c r="CPY2" s="2235"/>
      <c r="CPZ2" s="2235"/>
      <c r="CQA2" s="2235"/>
      <c r="CQB2" s="2235"/>
      <c r="CQC2" s="2235"/>
      <c r="CQD2" s="2235"/>
      <c r="CQE2" s="2235"/>
      <c r="CQF2" s="2235"/>
      <c r="CQG2" s="2235"/>
      <c r="CQH2" s="2235"/>
      <c r="CQI2" s="2235"/>
      <c r="CQJ2" s="2235"/>
      <c r="CQK2" s="2235"/>
      <c r="CQL2" s="2235"/>
      <c r="CQM2" s="2235"/>
      <c r="CQN2" s="2235"/>
      <c r="CQO2" s="2235"/>
      <c r="CQP2" s="2235"/>
      <c r="CQQ2" s="2235"/>
      <c r="CQR2" s="2235"/>
      <c r="CQS2" s="2235"/>
      <c r="CQT2" s="2235"/>
      <c r="CQU2" s="2235"/>
      <c r="CQV2" s="2235"/>
      <c r="CQW2" s="2235"/>
      <c r="CQX2" s="2235"/>
      <c r="CQY2" s="2235"/>
      <c r="CQZ2" s="2235"/>
      <c r="CRA2" s="2235"/>
      <c r="CRB2" s="2235"/>
      <c r="CRC2" s="2235"/>
      <c r="CRD2" s="2235"/>
      <c r="CRE2" s="2235"/>
      <c r="CRF2" s="2235"/>
      <c r="CRG2" s="2235"/>
      <c r="CRH2" s="2235"/>
      <c r="CRI2" s="2235"/>
      <c r="CRJ2" s="2235"/>
      <c r="CRK2" s="2235"/>
      <c r="CRL2" s="2235"/>
      <c r="CRM2" s="2235"/>
      <c r="CRN2" s="2235"/>
      <c r="CRO2" s="2235"/>
      <c r="CRP2" s="2235"/>
      <c r="CRQ2" s="2235"/>
      <c r="CRR2" s="2235"/>
      <c r="CRS2" s="2235"/>
      <c r="CRT2" s="2235"/>
      <c r="CRU2" s="2235"/>
      <c r="CRV2" s="2235"/>
      <c r="CRW2" s="2235"/>
      <c r="CRX2" s="2235"/>
      <c r="CRY2" s="2235"/>
      <c r="CRZ2" s="2235"/>
      <c r="CSA2" s="2235"/>
      <c r="CSB2" s="2235"/>
      <c r="CSC2" s="2235"/>
      <c r="CSD2" s="2235"/>
      <c r="CSE2" s="2235"/>
      <c r="CSF2" s="2235"/>
      <c r="CSG2" s="2235"/>
      <c r="CSH2" s="2235"/>
      <c r="CSI2" s="2235"/>
      <c r="CSJ2" s="2235"/>
      <c r="CSK2" s="2235"/>
      <c r="CSL2" s="2235"/>
      <c r="CSM2" s="2235"/>
      <c r="CSN2" s="2235"/>
      <c r="CSO2" s="2235"/>
      <c r="CSP2" s="2235"/>
      <c r="CSQ2" s="2235"/>
      <c r="CSR2" s="2235"/>
      <c r="CSS2" s="2235"/>
      <c r="CST2" s="2235"/>
      <c r="CSU2" s="2235"/>
      <c r="CSV2" s="2235"/>
      <c r="CSW2" s="2235"/>
      <c r="CSX2" s="2235"/>
      <c r="CSY2" s="2235"/>
      <c r="CSZ2" s="2235"/>
      <c r="CTA2" s="2235"/>
      <c r="CTB2" s="2235"/>
      <c r="CTC2" s="2235"/>
      <c r="CTD2" s="2235"/>
      <c r="CTE2" s="2235"/>
      <c r="CTF2" s="2235"/>
      <c r="CTG2" s="2235"/>
      <c r="CTH2" s="2235"/>
      <c r="CTI2" s="2235"/>
      <c r="CTJ2" s="2235"/>
      <c r="CTK2" s="2235"/>
      <c r="CTL2" s="2235"/>
      <c r="CTM2" s="2235"/>
      <c r="CTN2" s="2235"/>
      <c r="CTO2" s="2235"/>
      <c r="CTP2" s="2235"/>
      <c r="CTQ2" s="2235"/>
      <c r="CTR2" s="2235"/>
      <c r="CTS2" s="2235"/>
      <c r="CTT2" s="2235"/>
      <c r="CTU2" s="2235"/>
      <c r="CTV2" s="2235"/>
      <c r="CTW2" s="2235"/>
      <c r="CTX2" s="2235"/>
      <c r="CTY2" s="2235"/>
      <c r="CTZ2" s="2235"/>
      <c r="CUA2" s="2235"/>
      <c r="CUB2" s="2235"/>
      <c r="CUC2" s="2235"/>
      <c r="CUD2" s="2235"/>
      <c r="CUE2" s="2235"/>
      <c r="CUF2" s="2235"/>
      <c r="CUG2" s="2235"/>
      <c r="CUH2" s="2235"/>
      <c r="CUI2" s="2235"/>
      <c r="CUJ2" s="2235"/>
      <c r="CUK2" s="2235"/>
      <c r="CUL2" s="2235"/>
      <c r="CUM2" s="2235"/>
      <c r="CUN2" s="2235"/>
      <c r="CUO2" s="2235"/>
      <c r="CUP2" s="2235"/>
      <c r="CUQ2" s="2235"/>
      <c r="CUR2" s="2235"/>
      <c r="CUS2" s="2235"/>
      <c r="CUT2" s="2235"/>
      <c r="CUU2" s="2235"/>
      <c r="CUV2" s="2235"/>
      <c r="CUW2" s="2235"/>
      <c r="CUX2" s="2235"/>
      <c r="CUY2" s="2235"/>
      <c r="CUZ2" s="2235"/>
      <c r="CVA2" s="2235"/>
      <c r="CVB2" s="2235"/>
      <c r="CVC2" s="2235"/>
      <c r="CVD2" s="2235"/>
      <c r="CVE2" s="2235"/>
      <c r="CVF2" s="2235"/>
      <c r="CVG2" s="2235"/>
      <c r="CVH2" s="2235"/>
      <c r="CVI2" s="2235"/>
      <c r="CVJ2" s="2235"/>
      <c r="CVK2" s="2235"/>
      <c r="CVL2" s="2235"/>
      <c r="CVM2" s="2235"/>
      <c r="CVN2" s="2235"/>
      <c r="CVO2" s="2235"/>
      <c r="CVP2" s="2235"/>
      <c r="CVQ2" s="2235"/>
      <c r="CVR2" s="2235"/>
      <c r="CVS2" s="2235"/>
      <c r="CVT2" s="2235"/>
      <c r="CVU2" s="2235"/>
      <c r="CVV2" s="2235"/>
      <c r="CVW2" s="2235"/>
      <c r="CVX2" s="2235"/>
      <c r="CVY2" s="2235"/>
      <c r="CVZ2" s="2235"/>
      <c r="CWA2" s="2235"/>
      <c r="CWB2" s="2235"/>
      <c r="CWC2" s="2235"/>
      <c r="CWD2" s="2235"/>
      <c r="CWE2" s="2235"/>
      <c r="CWF2" s="2235"/>
      <c r="CWG2" s="2235"/>
      <c r="CWH2" s="2235"/>
      <c r="CWI2" s="2235"/>
      <c r="CWJ2" s="2235"/>
      <c r="CWK2" s="2235"/>
      <c r="CWL2" s="2235"/>
      <c r="CWM2" s="2235"/>
      <c r="CWN2" s="2235"/>
      <c r="CWO2" s="2235"/>
      <c r="CWP2" s="2235"/>
      <c r="CWQ2" s="2235"/>
      <c r="CWR2" s="2235"/>
      <c r="CWS2" s="2235"/>
      <c r="CWT2" s="2235"/>
      <c r="CWU2" s="2235"/>
      <c r="CWV2" s="2235"/>
      <c r="CWW2" s="2235"/>
      <c r="CWX2" s="2235"/>
      <c r="CWY2" s="2235"/>
      <c r="CWZ2" s="2235"/>
      <c r="CXA2" s="2235"/>
      <c r="CXB2" s="2235"/>
      <c r="CXC2" s="2235"/>
      <c r="CXD2" s="2235"/>
      <c r="CXE2" s="2235"/>
      <c r="CXF2" s="2235"/>
      <c r="CXG2" s="2235"/>
      <c r="CXH2" s="2235"/>
      <c r="CXI2" s="2235"/>
      <c r="CXJ2" s="2235"/>
      <c r="CXK2" s="2235"/>
      <c r="CXL2" s="2235"/>
      <c r="CXM2" s="2235"/>
      <c r="CXN2" s="2235"/>
      <c r="CXO2" s="2235"/>
      <c r="CXP2" s="2235"/>
      <c r="CXQ2" s="2235"/>
      <c r="CXR2" s="2235"/>
      <c r="CXS2" s="2235"/>
      <c r="CXT2" s="2235"/>
      <c r="CXU2" s="2235"/>
      <c r="CXV2" s="2235"/>
      <c r="CXW2" s="2235"/>
      <c r="CXX2" s="2235"/>
      <c r="CXY2" s="2235"/>
      <c r="CXZ2" s="2235"/>
      <c r="CYA2" s="2235"/>
      <c r="CYB2" s="2235"/>
      <c r="CYC2" s="2235"/>
      <c r="CYD2" s="2235"/>
      <c r="CYE2" s="2235"/>
      <c r="CYF2" s="2235"/>
      <c r="CYG2" s="2235"/>
      <c r="CYH2" s="2235"/>
      <c r="CYI2" s="2235"/>
      <c r="CYJ2" s="2235"/>
      <c r="CYK2" s="2235"/>
      <c r="CYL2" s="2235"/>
      <c r="CYM2" s="2235"/>
      <c r="CYN2" s="2235"/>
      <c r="CYO2" s="2235"/>
      <c r="CYP2" s="2235"/>
      <c r="CYQ2" s="2235"/>
      <c r="CYR2" s="2235"/>
      <c r="CYS2" s="2235"/>
      <c r="CYT2" s="2235"/>
      <c r="CYU2" s="2235"/>
      <c r="CYV2" s="2235"/>
      <c r="CYW2" s="2235"/>
      <c r="CYX2" s="2235"/>
      <c r="CYY2" s="2235"/>
      <c r="CYZ2" s="2235"/>
      <c r="CZA2" s="2235"/>
      <c r="CZB2" s="2235"/>
      <c r="CZC2" s="2235"/>
      <c r="CZD2" s="2235"/>
      <c r="CZE2" s="2235"/>
      <c r="CZF2" s="2235"/>
      <c r="CZG2" s="2235"/>
      <c r="CZH2" s="2235"/>
      <c r="CZI2" s="2235"/>
      <c r="CZJ2" s="2235"/>
      <c r="CZK2" s="2235"/>
      <c r="CZL2" s="2235"/>
      <c r="CZM2" s="2235"/>
      <c r="CZN2" s="2235"/>
      <c r="CZO2" s="2235"/>
      <c r="CZP2" s="2235"/>
      <c r="CZQ2" s="2235"/>
      <c r="CZR2" s="2235"/>
      <c r="CZS2" s="2235"/>
      <c r="CZT2" s="2235"/>
      <c r="CZU2" s="2235"/>
      <c r="CZV2" s="2235"/>
      <c r="CZW2" s="2235"/>
      <c r="CZX2" s="2235"/>
      <c r="CZY2" s="2235"/>
      <c r="CZZ2" s="2235"/>
      <c r="DAA2" s="2235"/>
      <c r="DAB2" s="2235"/>
      <c r="DAC2" s="2235"/>
      <c r="DAD2" s="2235"/>
      <c r="DAE2" s="2235"/>
      <c r="DAF2" s="2235"/>
      <c r="DAG2" s="2235"/>
      <c r="DAH2" s="2235"/>
      <c r="DAI2" s="2235"/>
      <c r="DAJ2" s="2235"/>
      <c r="DAK2" s="2235"/>
      <c r="DAL2" s="2235"/>
      <c r="DAM2" s="2235"/>
      <c r="DAN2" s="2235"/>
      <c r="DAO2" s="2235"/>
      <c r="DAP2" s="2235"/>
      <c r="DAQ2" s="2235"/>
      <c r="DAR2" s="2235"/>
      <c r="DAS2" s="2235"/>
      <c r="DAT2" s="2235"/>
      <c r="DAU2" s="2235"/>
      <c r="DAV2" s="2235"/>
      <c r="DAW2" s="2235"/>
      <c r="DAX2" s="2235"/>
      <c r="DAY2" s="2235"/>
      <c r="DAZ2" s="2235"/>
      <c r="DBA2" s="2235"/>
      <c r="DBB2" s="2235"/>
      <c r="DBC2" s="2235"/>
      <c r="DBD2" s="2235"/>
      <c r="DBE2" s="2235"/>
      <c r="DBF2" s="2235"/>
      <c r="DBG2" s="2235"/>
      <c r="DBH2" s="2235"/>
      <c r="DBI2" s="2235"/>
      <c r="DBJ2" s="2235"/>
      <c r="DBK2" s="2235"/>
      <c r="DBL2" s="2235"/>
      <c r="DBM2" s="2235"/>
      <c r="DBN2" s="2235"/>
      <c r="DBO2" s="2235"/>
      <c r="DBP2" s="2235"/>
      <c r="DBQ2" s="2235"/>
      <c r="DBR2" s="2235"/>
      <c r="DBS2" s="2235"/>
      <c r="DBT2" s="2235"/>
      <c r="DBU2" s="2235"/>
      <c r="DBV2" s="2235"/>
      <c r="DBW2" s="2235"/>
      <c r="DBX2" s="2235"/>
      <c r="DBY2" s="2235"/>
      <c r="DBZ2" s="2235"/>
      <c r="DCA2" s="2235"/>
      <c r="DCB2" s="2235"/>
      <c r="DCC2" s="2235"/>
      <c r="DCD2" s="2235"/>
      <c r="DCE2" s="2235"/>
      <c r="DCF2" s="2235"/>
      <c r="DCG2" s="2235"/>
      <c r="DCH2" s="2235"/>
      <c r="DCI2" s="2235"/>
      <c r="DCJ2" s="2235"/>
      <c r="DCK2" s="2235"/>
      <c r="DCL2" s="2235"/>
      <c r="DCM2" s="2235"/>
      <c r="DCN2" s="2235"/>
      <c r="DCO2" s="2235"/>
      <c r="DCP2" s="2235"/>
      <c r="DCQ2" s="2235"/>
      <c r="DCR2" s="2235"/>
      <c r="DCS2" s="2235"/>
      <c r="DCT2" s="2235"/>
      <c r="DCU2" s="2235"/>
      <c r="DCV2" s="2235"/>
      <c r="DCW2" s="2235"/>
      <c r="DCX2" s="2235"/>
      <c r="DCY2" s="2235"/>
      <c r="DCZ2" s="2235"/>
      <c r="DDA2" s="2235"/>
      <c r="DDB2" s="2235"/>
      <c r="DDC2" s="2235"/>
      <c r="DDD2" s="2235"/>
      <c r="DDE2" s="2235"/>
      <c r="DDF2" s="2235"/>
      <c r="DDG2" s="2235"/>
      <c r="DDH2" s="2235"/>
      <c r="DDI2" s="2235"/>
      <c r="DDJ2" s="2235"/>
      <c r="DDK2" s="2235"/>
      <c r="DDL2" s="2235"/>
      <c r="DDM2" s="2235"/>
      <c r="DDN2" s="2235"/>
      <c r="DDO2" s="2235"/>
      <c r="DDP2" s="2235"/>
      <c r="DDQ2" s="2235"/>
      <c r="DDR2" s="2235"/>
      <c r="DDS2" s="2235"/>
      <c r="DDT2" s="2235"/>
      <c r="DDU2" s="2235"/>
      <c r="DDV2" s="2235"/>
      <c r="DDW2" s="2235"/>
      <c r="DDX2" s="2235"/>
      <c r="DDY2" s="2235"/>
      <c r="DDZ2" s="2235"/>
      <c r="DEA2" s="2235"/>
      <c r="DEB2" s="2235"/>
      <c r="DEC2" s="2235"/>
      <c r="DED2" s="2235"/>
      <c r="DEE2" s="2235"/>
      <c r="DEF2" s="2235"/>
      <c r="DEG2" s="2235"/>
      <c r="DEH2" s="2235"/>
      <c r="DEI2" s="2235"/>
      <c r="DEJ2" s="2235"/>
      <c r="DEK2" s="2235"/>
      <c r="DEL2" s="2235"/>
      <c r="DEM2" s="2235"/>
      <c r="DEN2" s="2235"/>
      <c r="DEO2" s="2235"/>
      <c r="DEP2" s="2235"/>
      <c r="DEQ2" s="2235"/>
      <c r="DER2" s="2235"/>
      <c r="DES2" s="2235"/>
      <c r="DET2" s="2235"/>
      <c r="DEU2" s="2235"/>
      <c r="DEV2" s="2235"/>
      <c r="DEW2" s="2235"/>
      <c r="DEX2" s="2235"/>
      <c r="DEY2" s="2235"/>
      <c r="DEZ2" s="2235"/>
      <c r="DFA2" s="2235"/>
      <c r="DFB2" s="2235"/>
      <c r="DFC2" s="2235"/>
      <c r="DFD2" s="2235"/>
      <c r="DFE2" s="2235"/>
      <c r="DFF2" s="2235"/>
      <c r="DFG2" s="2235"/>
      <c r="DFH2" s="2235"/>
      <c r="DFI2" s="2235"/>
      <c r="DFJ2" s="2235"/>
      <c r="DFK2" s="2235"/>
      <c r="DFL2" s="2235"/>
      <c r="DFM2" s="2235"/>
      <c r="DFN2" s="2235"/>
      <c r="DFO2" s="2235"/>
      <c r="DFP2" s="2235"/>
      <c r="DFQ2" s="2235"/>
      <c r="DFR2" s="2235"/>
      <c r="DFS2" s="2235"/>
      <c r="DFT2" s="2235"/>
      <c r="DFU2" s="2235"/>
      <c r="DFV2" s="2235"/>
      <c r="DFW2" s="2235"/>
      <c r="DFX2" s="2235"/>
      <c r="DFY2" s="2235"/>
      <c r="DFZ2" s="2235"/>
      <c r="DGA2" s="2235"/>
      <c r="DGB2" s="2235"/>
      <c r="DGC2" s="2235"/>
      <c r="DGD2" s="2235"/>
      <c r="DGE2" s="2235"/>
      <c r="DGF2" s="2235"/>
      <c r="DGG2" s="2235"/>
      <c r="DGH2" s="2235"/>
      <c r="DGI2" s="2235"/>
      <c r="DGJ2" s="2235"/>
      <c r="DGK2" s="2235"/>
      <c r="DGL2" s="2235"/>
      <c r="DGM2" s="2235"/>
      <c r="DGN2" s="2235"/>
      <c r="DGO2" s="2235"/>
      <c r="DGP2" s="2235"/>
      <c r="DGQ2" s="2235"/>
      <c r="DGR2" s="2235"/>
      <c r="DGS2" s="2235"/>
      <c r="DGT2" s="2235"/>
      <c r="DGU2" s="2235"/>
      <c r="DGV2" s="2235"/>
      <c r="DGW2" s="2235"/>
      <c r="DGX2" s="2235"/>
      <c r="DGY2" s="2235"/>
      <c r="DGZ2" s="2235"/>
      <c r="DHA2" s="2235"/>
      <c r="DHB2" s="2235"/>
      <c r="DHC2" s="2235"/>
      <c r="DHD2" s="2235"/>
      <c r="DHE2" s="2235"/>
      <c r="DHF2" s="2235"/>
      <c r="DHG2" s="2235"/>
      <c r="DHH2" s="2235"/>
      <c r="DHI2" s="2235"/>
      <c r="DHJ2" s="2235"/>
      <c r="DHK2" s="2235"/>
      <c r="DHL2" s="2235"/>
      <c r="DHM2" s="2235"/>
      <c r="DHN2" s="2235"/>
      <c r="DHO2" s="2235"/>
      <c r="DHP2" s="2235"/>
      <c r="DHQ2" s="2235"/>
      <c r="DHR2" s="2235"/>
      <c r="DHS2" s="2235"/>
      <c r="DHT2" s="2235"/>
      <c r="DHU2" s="2235"/>
      <c r="DHV2" s="2235"/>
      <c r="DHW2" s="2235"/>
      <c r="DHX2" s="2235"/>
      <c r="DHY2" s="2235"/>
      <c r="DHZ2" s="2235"/>
      <c r="DIA2" s="2235"/>
      <c r="DIB2" s="2235"/>
      <c r="DIC2" s="2235"/>
      <c r="DID2" s="2235"/>
      <c r="DIE2" s="2235"/>
      <c r="DIF2" s="2235"/>
      <c r="DIG2" s="2235"/>
      <c r="DIH2" s="2235"/>
      <c r="DII2" s="2235"/>
      <c r="DIJ2" s="2235"/>
      <c r="DIK2" s="2235"/>
      <c r="DIL2" s="2235"/>
      <c r="DIM2" s="2235"/>
      <c r="DIN2" s="2235"/>
      <c r="DIO2" s="2235"/>
      <c r="DIP2" s="2235"/>
      <c r="DIQ2" s="2235"/>
      <c r="DIR2" s="2235"/>
      <c r="DIS2" s="2235"/>
      <c r="DIT2" s="2235"/>
      <c r="DIU2" s="2235"/>
      <c r="DIV2" s="2235"/>
      <c r="DIW2" s="2235"/>
      <c r="DIX2" s="2235"/>
      <c r="DIY2" s="2235"/>
      <c r="DIZ2" s="2235"/>
      <c r="DJA2" s="2235"/>
      <c r="DJB2" s="2235"/>
      <c r="DJC2" s="2235"/>
      <c r="DJD2" s="2235"/>
      <c r="DJE2" s="2235"/>
      <c r="DJF2" s="2235"/>
      <c r="DJG2" s="2235"/>
      <c r="DJH2" s="2235"/>
      <c r="DJI2" s="2235"/>
      <c r="DJJ2" s="2235"/>
      <c r="DJK2" s="2235"/>
      <c r="DJL2" s="2235"/>
      <c r="DJM2" s="2235"/>
      <c r="DJN2" s="2235"/>
      <c r="DJO2" s="2235"/>
      <c r="DJP2" s="2235"/>
      <c r="DJQ2" s="2235"/>
      <c r="DJR2" s="2235"/>
      <c r="DJS2" s="2235"/>
      <c r="DJT2" s="2235"/>
      <c r="DJU2" s="2235"/>
      <c r="DJV2" s="2235"/>
      <c r="DJW2" s="2235"/>
      <c r="DJX2" s="2235"/>
      <c r="DJY2" s="2235"/>
      <c r="DJZ2" s="2235"/>
      <c r="DKA2" s="2235"/>
      <c r="DKB2" s="2235"/>
      <c r="DKC2" s="2235"/>
      <c r="DKD2" s="2235"/>
      <c r="DKE2" s="2235"/>
      <c r="DKF2" s="2235"/>
      <c r="DKG2" s="2235"/>
      <c r="DKH2" s="2235"/>
      <c r="DKI2" s="2235"/>
      <c r="DKJ2" s="2235"/>
      <c r="DKK2" s="2235"/>
      <c r="DKL2" s="2235"/>
      <c r="DKM2" s="2235"/>
      <c r="DKN2" s="2235"/>
      <c r="DKO2" s="2235"/>
      <c r="DKP2" s="2235"/>
      <c r="DKQ2" s="2235"/>
      <c r="DKR2" s="2235"/>
      <c r="DKS2" s="2235"/>
      <c r="DKT2" s="2235"/>
      <c r="DKU2" s="2235"/>
      <c r="DKV2" s="2235"/>
      <c r="DKW2" s="2235"/>
      <c r="DKX2" s="2235"/>
      <c r="DKY2" s="2235"/>
      <c r="DKZ2" s="2235"/>
      <c r="DLA2" s="2235"/>
      <c r="DLB2" s="2235"/>
      <c r="DLC2" s="2235"/>
      <c r="DLD2" s="2235"/>
      <c r="DLE2" s="2235"/>
      <c r="DLF2" s="2235"/>
      <c r="DLG2" s="2235"/>
      <c r="DLH2" s="2235"/>
      <c r="DLI2" s="2235"/>
      <c r="DLJ2" s="2235"/>
      <c r="DLK2" s="2235"/>
      <c r="DLL2" s="2235"/>
      <c r="DLM2" s="2235"/>
      <c r="DLN2" s="2235"/>
      <c r="DLO2" s="2235"/>
      <c r="DLP2" s="2235"/>
      <c r="DLQ2" s="2235"/>
      <c r="DLR2" s="2235"/>
      <c r="DLS2" s="2235"/>
      <c r="DLT2" s="2235"/>
      <c r="DLU2" s="2235"/>
      <c r="DLV2" s="2235"/>
      <c r="DLW2" s="2235"/>
      <c r="DLX2" s="2235"/>
      <c r="DLY2" s="2235"/>
      <c r="DLZ2" s="2235"/>
      <c r="DMA2" s="2235"/>
      <c r="DMB2" s="2235"/>
      <c r="DMC2" s="2235"/>
      <c r="DMD2" s="2235"/>
      <c r="DME2" s="2235"/>
      <c r="DMF2" s="2235"/>
      <c r="DMG2" s="2235"/>
      <c r="DMH2" s="2235"/>
      <c r="DMI2" s="2235"/>
      <c r="DMJ2" s="2235"/>
      <c r="DMK2" s="2235"/>
      <c r="DML2" s="2235"/>
      <c r="DMM2" s="2235"/>
      <c r="DMN2" s="2235"/>
      <c r="DMO2" s="2235"/>
      <c r="DMP2" s="2235"/>
      <c r="DMQ2" s="2235"/>
      <c r="DMR2" s="2235"/>
      <c r="DMS2" s="2235"/>
      <c r="DMT2" s="2235"/>
      <c r="DMU2" s="2235"/>
      <c r="DMV2" s="2235"/>
      <c r="DMW2" s="2235"/>
      <c r="DMX2" s="2235"/>
      <c r="DMY2" s="2235"/>
      <c r="DMZ2" s="2235"/>
      <c r="DNA2" s="2235"/>
      <c r="DNB2" s="2235"/>
      <c r="DNC2" s="2235"/>
      <c r="DND2" s="2235"/>
      <c r="DNE2" s="2235"/>
      <c r="DNF2" s="2235"/>
      <c r="DNG2" s="2235"/>
      <c r="DNH2" s="2235"/>
      <c r="DNI2" s="2235"/>
      <c r="DNJ2" s="2235"/>
      <c r="DNK2" s="2235"/>
      <c r="DNL2" s="2235"/>
      <c r="DNM2" s="2235"/>
      <c r="DNN2" s="2235"/>
      <c r="DNO2" s="2235"/>
      <c r="DNP2" s="2235"/>
      <c r="DNQ2" s="2235"/>
      <c r="DNR2" s="2235"/>
      <c r="DNS2" s="2235"/>
      <c r="DNT2" s="2235"/>
      <c r="DNU2" s="2235"/>
      <c r="DNV2" s="2235"/>
      <c r="DNW2" s="2235"/>
      <c r="DNX2" s="2235"/>
      <c r="DNY2" s="2235"/>
      <c r="DNZ2" s="2235"/>
      <c r="DOA2" s="2235"/>
      <c r="DOB2" s="2235"/>
      <c r="DOC2" s="2235"/>
      <c r="DOD2" s="2235"/>
      <c r="DOE2" s="2235"/>
      <c r="DOF2" s="2235"/>
      <c r="DOG2" s="2235"/>
      <c r="DOH2" s="2235"/>
      <c r="DOI2" s="2235"/>
      <c r="DOJ2" s="2235"/>
      <c r="DOK2" s="2235"/>
      <c r="DOL2" s="2235"/>
      <c r="DOM2" s="2235"/>
      <c r="DON2" s="2235"/>
      <c r="DOO2" s="2235"/>
      <c r="DOP2" s="2235"/>
      <c r="DOQ2" s="2235"/>
      <c r="DOR2" s="2235"/>
      <c r="DOS2" s="2235"/>
      <c r="DOT2" s="2235"/>
      <c r="DOU2" s="2235"/>
      <c r="DOV2" s="2235"/>
      <c r="DOW2" s="2235"/>
      <c r="DOX2" s="2235"/>
      <c r="DOY2" s="2235"/>
      <c r="DOZ2" s="2235"/>
      <c r="DPA2" s="2235"/>
      <c r="DPB2" s="2235"/>
      <c r="DPC2" s="2235"/>
      <c r="DPD2" s="2235"/>
      <c r="DPE2" s="2235"/>
      <c r="DPF2" s="2235"/>
      <c r="DPG2" s="2235"/>
      <c r="DPH2" s="2235"/>
      <c r="DPI2" s="2235"/>
      <c r="DPJ2" s="2235"/>
      <c r="DPK2" s="2235"/>
      <c r="DPL2" s="2235"/>
      <c r="DPM2" s="2235"/>
      <c r="DPN2" s="2235"/>
      <c r="DPO2" s="2235"/>
      <c r="DPP2" s="2235"/>
      <c r="DPQ2" s="2235"/>
      <c r="DPR2" s="2235"/>
      <c r="DPS2" s="2235"/>
      <c r="DPT2" s="2235"/>
      <c r="DPU2" s="2235"/>
      <c r="DPV2" s="2235"/>
      <c r="DPW2" s="2235"/>
      <c r="DPX2" s="2235"/>
      <c r="DPY2" s="2235"/>
      <c r="DPZ2" s="2235"/>
      <c r="DQA2" s="2235"/>
      <c r="DQB2" s="2235"/>
      <c r="DQC2" s="2235"/>
      <c r="DQD2" s="2235"/>
      <c r="DQE2" s="2235"/>
      <c r="DQF2" s="2235"/>
      <c r="DQG2" s="2235"/>
      <c r="DQH2" s="2235"/>
      <c r="DQI2" s="2235"/>
      <c r="DQJ2" s="2235"/>
      <c r="DQK2" s="2235"/>
      <c r="DQL2" s="2235"/>
      <c r="DQM2" s="2235"/>
      <c r="DQN2" s="2235"/>
      <c r="DQO2" s="2235"/>
      <c r="DQP2" s="2235"/>
      <c r="DQQ2" s="2235"/>
      <c r="DQR2" s="2235"/>
      <c r="DQS2" s="2235"/>
      <c r="DQT2" s="2235"/>
      <c r="DQU2" s="2235"/>
      <c r="DQV2" s="2235"/>
      <c r="DQW2" s="2235"/>
      <c r="DQX2" s="2235"/>
      <c r="DQY2" s="2235"/>
      <c r="DQZ2" s="2235"/>
      <c r="DRA2" s="2235"/>
      <c r="DRB2" s="2235"/>
      <c r="DRC2" s="2235"/>
      <c r="DRD2" s="2235"/>
      <c r="DRE2" s="2235"/>
      <c r="DRF2" s="2235"/>
      <c r="DRG2" s="2235"/>
      <c r="DRH2" s="2235"/>
      <c r="DRI2" s="2235"/>
      <c r="DRJ2" s="2235"/>
      <c r="DRK2" s="2235"/>
      <c r="DRL2" s="2235"/>
      <c r="DRM2" s="2235"/>
      <c r="DRN2" s="2235"/>
      <c r="DRO2" s="2235"/>
      <c r="DRP2" s="2235"/>
      <c r="DRQ2" s="2235"/>
      <c r="DRR2" s="2235"/>
      <c r="DRS2" s="2235"/>
      <c r="DRT2" s="2235"/>
      <c r="DRU2" s="2235"/>
      <c r="DRV2" s="2235"/>
      <c r="DRW2" s="2235"/>
      <c r="DRX2" s="2235"/>
      <c r="DRY2" s="2235"/>
      <c r="DRZ2" s="2235"/>
      <c r="DSA2" s="2235"/>
      <c r="DSB2" s="2235"/>
      <c r="DSC2" s="2235"/>
      <c r="DSD2" s="2235"/>
      <c r="DSE2" s="2235"/>
      <c r="DSF2" s="2235"/>
      <c r="DSG2" s="2235"/>
      <c r="DSH2" s="2235"/>
      <c r="DSI2" s="2235"/>
      <c r="DSJ2" s="2235"/>
      <c r="DSK2" s="2235"/>
      <c r="DSL2" s="2235"/>
      <c r="DSM2" s="2235"/>
      <c r="DSN2" s="2235"/>
      <c r="DSO2" s="2235"/>
      <c r="DSP2" s="2235"/>
      <c r="DSQ2" s="2235"/>
      <c r="DSR2" s="2235"/>
      <c r="DSS2" s="2235"/>
      <c r="DST2" s="2235"/>
      <c r="DSU2" s="2235"/>
      <c r="DSV2" s="2235"/>
      <c r="DSW2" s="2235"/>
      <c r="DSX2" s="2235"/>
      <c r="DSY2" s="2235"/>
      <c r="DSZ2" s="2235"/>
      <c r="DTA2" s="2235"/>
      <c r="DTB2" s="2235"/>
      <c r="DTC2" s="2235"/>
      <c r="DTD2" s="2235"/>
      <c r="DTE2" s="2235"/>
      <c r="DTF2" s="2235"/>
      <c r="DTG2" s="2235"/>
      <c r="DTH2" s="2235"/>
      <c r="DTI2" s="2235"/>
      <c r="DTJ2" s="2235"/>
      <c r="DTK2" s="2235"/>
      <c r="DTL2" s="2235"/>
      <c r="DTM2" s="2235"/>
      <c r="DTN2" s="2235"/>
      <c r="DTO2" s="2235"/>
      <c r="DTP2" s="2235"/>
      <c r="DTQ2" s="2235"/>
      <c r="DTR2" s="2235"/>
      <c r="DTS2" s="2235"/>
      <c r="DTT2" s="2235"/>
      <c r="DTU2" s="2235"/>
      <c r="DTV2" s="2235"/>
      <c r="DTW2" s="2235"/>
      <c r="DTX2" s="2235"/>
      <c r="DTY2" s="2235"/>
      <c r="DTZ2" s="2235"/>
      <c r="DUA2" s="2235"/>
      <c r="DUB2" s="2235"/>
      <c r="DUC2" s="2235"/>
      <c r="DUD2" s="2235"/>
      <c r="DUE2" s="2235"/>
      <c r="DUF2" s="2235"/>
      <c r="DUG2" s="2235"/>
      <c r="DUH2" s="2235"/>
      <c r="DUI2" s="2235"/>
      <c r="DUJ2" s="2235"/>
      <c r="DUK2" s="2235"/>
      <c r="DUL2" s="2235"/>
      <c r="DUM2" s="2235"/>
      <c r="DUN2" s="2235"/>
      <c r="DUO2" s="2235"/>
      <c r="DUP2" s="2235"/>
      <c r="DUQ2" s="2235"/>
      <c r="DUR2" s="2235"/>
      <c r="DUS2" s="2235"/>
      <c r="DUT2" s="2235"/>
      <c r="DUU2" s="2235"/>
      <c r="DUV2" s="2235"/>
      <c r="DUW2" s="2235"/>
      <c r="DUX2" s="2235"/>
      <c r="DUY2" s="2235"/>
      <c r="DUZ2" s="2235"/>
      <c r="DVA2" s="2235"/>
      <c r="DVB2" s="2235"/>
      <c r="DVC2" s="2235"/>
      <c r="DVD2" s="2235"/>
      <c r="DVE2" s="2235"/>
      <c r="DVF2" s="2235"/>
      <c r="DVG2" s="2235"/>
      <c r="DVH2" s="2235"/>
      <c r="DVI2" s="2235"/>
      <c r="DVJ2" s="2235"/>
      <c r="DVK2" s="2235"/>
      <c r="DVL2" s="2235"/>
      <c r="DVM2" s="2235"/>
      <c r="DVN2" s="2235"/>
      <c r="DVO2" s="2235"/>
      <c r="DVP2" s="2235"/>
      <c r="DVQ2" s="2235"/>
      <c r="DVR2" s="2235"/>
      <c r="DVS2" s="2235"/>
      <c r="DVT2" s="2235"/>
      <c r="DVU2" s="2235"/>
      <c r="DVV2" s="2235"/>
      <c r="DVW2" s="2235"/>
      <c r="DVX2" s="2235"/>
      <c r="DVY2" s="2235"/>
      <c r="DVZ2" s="2235"/>
      <c r="DWA2" s="2235"/>
      <c r="DWB2" s="2235"/>
      <c r="DWC2" s="2235"/>
      <c r="DWD2" s="2235"/>
      <c r="DWE2" s="2235"/>
      <c r="DWF2" s="2235"/>
      <c r="DWG2" s="2235"/>
      <c r="DWH2" s="2235"/>
      <c r="DWI2" s="2235"/>
      <c r="DWJ2" s="2235"/>
      <c r="DWK2" s="2235"/>
      <c r="DWL2" s="2235"/>
      <c r="DWM2" s="2235"/>
      <c r="DWN2" s="2235"/>
      <c r="DWO2" s="2235"/>
      <c r="DWP2" s="2235"/>
      <c r="DWQ2" s="2235"/>
      <c r="DWR2" s="2235"/>
      <c r="DWS2" s="2235"/>
      <c r="DWT2" s="2235"/>
      <c r="DWU2" s="2235"/>
      <c r="DWV2" s="2235"/>
      <c r="DWW2" s="2235"/>
      <c r="DWX2" s="2235"/>
      <c r="DWY2" s="2235"/>
      <c r="DWZ2" s="2235"/>
      <c r="DXA2" s="2235"/>
      <c r="DXB2" s="2235"/>
      <c r="DXC2" s="2235"/>
      <c r="DXD2" s="2235"/>
      <c r="DXE2" s="2235"/>
      <c r="DXF2" s="2235"/>
      <c r="DXG2" s="2235"/>
      <c r="DXH2" s="2235"/>
      <c r="DXI2" s="2235"/>
      <c r="DXJ2" s="2235"/>
      <c r="DXK2" s="2235"/>
      <c r="DXL2" s="2235"/>
      <c r="DXM2" s="2235"/>
      <c r="DXN2" s="2235"/>
      <c r="DXO2" s="2235"/>
      <c r="DXP2" s="2235"/>
      <c r="DXQ2" s="2235"/>
      <c r="DXR2" s="2235"/>
      <c r="DXS2" s="2235"/>
      <c r="DXT2" s="2235"/>
      <c r="DXU2" s="2235"/>
      <c r="DXV2" s="2235"/>
      <c r="DXW2" s="2235"/>
      <c r="DXX2" s="2235"/>
      <c r="DXY2" s="2235"/>
      <c r="DXZ2" s="2235"/>
      <c r="DYA2" s="2235"/>
      <c r="DYB2" s="2235"/>
      <c r="DYC2" s="2235"/>
      <c r="DYD2" s="2235"/>
      <c r="DYE2" s="2235"/>
      <c r="DYF2" s="2235"/>
      <c r="DYG2" s="2235"/>
      <c r="DYH2" s="2235"/>
      <c r="DYI2" s="2235"/>
      <c r="DYJ2" s="2235"/>
      <c r="DYK2" s="2235"/>
      <c r="DYL2" s="2235"/>
      <c r="DYM2" s="2235"/>
      <c r="DYN2" s="2235"/>
      <c r="DYO2" s="2235"/>
      <c r="DYP2" s="2235"/>
      <c r="DYQ2" s="2235"/>
      <c r="DYR2" s="2235"/>
      <c r="DYS2" s="2235"/>
      <c r="DYT2" s="2235"/>
      <c r="DYU2" s="2235"/>
      <c r="DYV2" s="2235"/>
      <c r="DYW2" s="2235"/>
      <c r="DYX2" s="2235"/>
      <c r="DYY2" s="2235"/>
      <c r="DYZ2" s="2235"/>
      <c r="DZA2" s="2235"/>
      <c r="DZB2" s="2235"/>
      <c r="DZC2" s="2235"/>
      <c r="DZD2" s="2235"/>
      <c r="DZE2" s="2235"/>
      <c r="DZF2" s="2235"/>
      <c r="DZG2" s="2235"/>
      <c r="DZH2" s="2235"/>
      <c r="DZI2" s="2235"/>
      <c r="DZJ2" s="2235"/>
      <c r="DZK2" s="2235"/>
      <c r="DZL2" s="2235"/>
      <c r="DZM2" s="2235"/>
      <c r="DZN2" s="2235"/>
      <c r="DZO2" s="2235"/>
      <c r="DZP2" s="2235"/>
      <c r="DZQ2" s="2235"/>
      <c r="DZR2" s="2235"/>
      <c r="DZS2" s="2235"/>
      <c r="DZT2" s="2235"/>
      <c r="DZU2" s="2235"/>
      <c r="DZV2" s="2235"/>
      <c r="DZW2" s="2235"/>
      <c r="DZX2" s="2235"/>
      <c r="DZY2" s="2235"/>
      <c r="DZZ2" s="2235"/>
      <c r="EAA2" s="2235"/>
      <c r="EAB2" s="2235"/>
      <c r="EAC2" s="2235"/>
      <c r="EAD2" s="2235"/>
      <c r="EAE2" s="2235"/>
      <c r="EAF2" s="2235"/>
      <c r="EAG2" s="2235"/>
      <c r="EAH2" s="2235"/>
      <c r="EAI2" s="2235"/>
      <c r="EAJ2" s="2235"/>
      <c r="EAK2" s="2235"/>
      <c r="EAL2" s="2235"/>
      <c r="EAM2" s="2235"/>
      <c r="EAN2" s="2235"/>
      <c r="EAO2" s="2235"/>
      <c r="EAP2" s="2235"/>
      <c r="EAQ2" s="2235"/>
      <c r="EAR2" s="2235"/>
      <c r="EAS2" s="2235"/>
      <c r="EAT2" s="2235"/>
      <c r="EAU2" s="2235"/>
      <c r="EAV2" s="2235"/>
      <c r="EAW2" s="2235"/>
      <c r="EAX2" s="2235"/>
      <c r="EAY2" s="2235"/>
      <c r="EAZ2" s="2235"/>
      <c r="EBA2" s="2235"/>
      <c r="EBB2" s="2235"/>
      <c r="EBC2" s="2235"/>
      <c r="EBD2" s="2235"/>
      <c r="EBE2" s="2235"/>
      <c r="EBF2" s="2235"/>
      <c r="EBG2" s="2235"/>
      <c r="EBH2" s="2235"/>
      <c r="EBI2" s="2235"/>
      <c r="EBJ2" s="2235"/>
      <c r="EBK2" s="2235"/>
      <c r="EBL2" s="2235"/>
      <c r="EBM2" s="2235"/>
      <c r="EBN2" s="2235"/>
      <c r="EBO2" s="2235"/>
      <c r="EBP2" s="2235"/>
      <c r="EBQ2" s="2235"/>
      <c r="EBR2" s="2235"/>
      <c r="EBS2" s="2235"/>
      <c r="EBT2" s="2235"/>
      <c r="EBU2" s="2235"/>
      <c r="EBV2" s="2235"/>
      <c r="EBW2" s="2235"/>
      <c r="EBX2" s="2235"/>
      <c r="EBY2" s="2235"/>
      <c r="EBZ2" s="2235"/>
      <c r="ECA2" s="2235"/>
      <c r="ECB2" s="2235"/>
      <c r="ECC2" s="2235"/>
      <c r="ECD2" s="2235"/>
      <c r="ECE2" s="2235"/>
      <c r="ECF2" s="2235"/>
      <c r="ECG2" s="2235"/>
      <c r="ECH2" s="2235"/>
      <c r="ECI2" s="2235"/>
      <c r="ECJ2" s="2235"/>
      <c r="ECK2" s="2235"/>
      <c r="ECL2" s="2235"/>
      <c r="ECM2" s="2235"/>
      <c r="ECN2" s="2235"/>
      <c r="ECO2" s="2235"/>
      <c r="ECP2" s="2235"/>
      <c r="ECQ2" s="2235"/>
      <c r="ECR2" s="2235"/>
      <c r="ECS2" s="2235"/>
      <c r="ECT2" s="2235"/>
      <c r="ECU2" s="2235"/>
      <c r="ECV2" s="2235"/>
      <c r="ECW2" s="2235"/>
      <c r="ECX2" s="2235"/>
      <c r="ECY2" s="2235"/>
      <c r="ECZ2" s="2235"/>
      <c r="EDA2" s="2235"/>
      <c r="EDB2" s="2235"/>
      <c r="EDC2" s="2235"/>
      <c r="EDD2" s="2235"/>
      <c r="EDE2" s="2235"/>
      <c r="EDF2" s="2235"/>
      <c r="EDG2" s="2235"/>
      <c r="EDH2" s="2235"/>
      <c r="EDI2" s="2235"/>
      <c r="EDJ2" s="2235"/>
      <c r="EDK2" s="2235"/>
      <c r="EDL2" s="2235"/>
      <c r="EDM2" s="2235"/>
      <c r="EDN2" s="2235"/>
      <c r="EDO2" s="2235"/>
      <c r="EDP2" s="2235"/>
      <c r="EDQ2" s="2235"/>
      <c r="EDR2" s="2235"/>
      <c r="EDS2" s="2235"/>
      <c r="EDT2" s="2235"/>
      <c r="EDU2" s="2235"/>
      <c r="EDV2" s="2235"/>
      <c r="EDW2" s="2235"/>
      <c r="EDX2" s="2235"/>
      <c r="EDY2" s="2235"/>
      <c r="EDZ2" s="2235"/>
      <c r="EEA2" s="2235"/>
      <c r="EEB2" s="2235"/>
      <c r="EEC2" s="2235"/>
      <c r="EED2" s="2235"/>
      <c r="EEE2" s="2235"/>
      <c r="EEF2" s="2235"/>
      <c r="EEG2" s="2235"/>
      <c r="EEH2" s="2235"/>
      <c r="EEI2" s="2235"/>
      <c r="EEJ2" s="2235"/>
      <c r="EEK2" s="2235"/>
      <c r="EEL2" s="2235"/>
      <c r="EEM2" s="2235"/>
      <c r="EEN2" s="2235"/>
      <c r="EEO2" s="2235"/>
      <c r="EEP2" s="2235"/>
      <c r="EEQ2" s="2235"/>
      <c r="EER2" s="2235"/>
      <c r="EES2" s="2235"/>
      <c r="EET2" s="2235"/>
      <c r="EEU2" s="2235"/>
      <c r="EEV2" s="2235"/>
      <c r="EEW2" s="2235"/>
      <c r="EEX2" s="2235"/>
      <c r="EEY2" s="2235"/>
      <c r="EEZ2" s="2235"/>
      <c r="EFA2" s="2235"/>
      <c r="EFB2" s="2235"/>
      <c r="EFC2" s="2235"/>
      <c r="EFD2" s="2235"/>
      <c r="EFE2" s="2235"/>
      <c r="EFF2" s="2235"/>
      <c r="EFG2" s="2235"/>
      <c r="EFH2" s="2235"/>
      <c r="EFI2" s="2235"/>
      <c r="EFJ2" s="2235"/>
      <c r="EFK2" s="2235"/>
      <c r="EFL2" s="2235"/>
      <c r="EFM2" s="2235"/>
      <c r="EFN2" s="2235"/>
      <c r="EFO2" s="2235"/>
      <c r="EFP2" s="2235"/>
      <c r="EFQ2" s="2235"/>
      <c r="EFR2" s="2235"/>
      <c r="EFS2" s="2235"/>
      <c r="EFT2" s="2235"/>
      <c r="EFU2" s="2235"/>
      <c r="EFV2" s="2235"/>
      <c r="EFW2" s="2235"/>
      <c r="EFX2" s="2235"/>
      <c r="EFY2" s="2235"/>
      <c r="EFZ2" s="2235"/>
      <c r="EGA2" s="2235"/>
      <c r="EGB2" s="2235"/>
      <c r="EGC2" s="2235"/>
      <c r="EGD2" s="2235"/>
      <c r="EGE2" s="2235"/>
      <c r="EGF2" s="2235"/>
      <c r="EGG2" s="2235"/>
      <c r="EGH2" s="2235"/>
      <c r="EGI2" s="2235"/>
      <c r="EGJ2" s="2235"/>
      <c r="EGK2" s="2235"/>
      <c r="EGL2" s="2235"/>
      <c r="EGM2" s="2235"/>
      <c r="EGN2" s="2235"/>
      <c r="EGO2" s="2235"/>
      <c r="EGP2" s="2235"/>
      <c r="EGQ2" s="2235"/>
      <c r="EGR2" s="2235"/>
      <c r="EGS2" s="2235"/>
      <c r="EGT2" s="2235"/>
      <c r="EGU2" s="2235"/>
      <c r="EGV2" s="2235"/>
      <c r="EGW2" s="2235"/>
      <c r="EGX2" s="2235"/>
      <c r="EGY2" s="2235"/>
      <c r="EGZ2" s="2235"/>
      <c r="EHA2" s="2235"/>
      <c r="EHB2" s="2235"/>
      <c r="EHC2" s="2235"/>
      <c r="EHD2" s="2235"/>
      <c r="EHE2" s="2235"/>
      <c r="EHF2" s="2235"/>
      <c r="EHG2" s="2235"/>
      <c r="EHH2" s="2235"/>
      <c r="EHI2" s="2235"/>
      <c r="EHJ2" s="2235"/>
      <c r="EHK2" s="2235"/>
      <c r="EHL2" s="2235"/>
      <c r="EHM2" s="2235"/>
      <c r="EHN2" s="2235"/>
      <c r="EHO2" s="2235"/>
      <c r="EHP2" s="2235"/>
      <c r="EHQ2" s="2235"/>
      <c r="EHR2" s="2235"/>
      <c r="EHS2" s="2235"/>
      <c r="EHT2" s="2235"/>
      <c r="EHU2" s="2235"/>
      <c r="EHV2" s="2235"/>
      <c r="EHW2" s="2235"/>
      <c r="EHX2" s="2235"/>
      <c r="EHY2" s="2235"/>
      <c r="EHZ2" s="2235"/>
      <c r="EIA2" s="2235"/>
      <c r="EIB2" s="2235"/>
      <c r="EIC2" s="2235"/>
      <c r="EID2" s="2235"/>
      <c r="EIE2" s="2235"/>
      <c r="EIF2" s="2235"/>
      <c r="EIG2" s="2235"/>
      <c r="EIH2" s="2235"/>
      <c r="EII2" s="2235"/>
      <c r="EIJ2" s="2235"/>
      <c r="EIK2" s="2235"/>
      <c r="EIL2" s="2235"/>
      <c r="EIM2" s="2235"/>
      <c r="EIN2" s="2235"/>
      <c r="EIO2" s="2235"/>
      <c r="EIP2" s="2235"/>
      <c r="EIQ2" s="2235"/>
      <c r="EIR2" s="2235"/>
      <c r="EIS2" s="2235"/>
      <c r="EIT2" s="2235"/>
      <c r="EIU2" s="2235"/>
      <c r="EIV2" s="2235"/>
      <c r="EIW2" s="2235"/>
      <c r="EIX2" s="2235"/>
      <c r="EIY2" s="2235"/>
      <c r="EIZ2" s="2235"/>
      <c r="EJA2" s="2235"/>
      <c r="EJB2" s="2235"/>
      <c r="EJC2" s="2235"/>
      <c r="EJD2" s="2235"/>
      <c r="EJE2" s="2235"/>
      <c r="EJF2" s="2235"/>
      <c r="EJG2" s="2235"/>
      <c r="EJH2" s="2235"/>
      <c r="EJI2" s="2235"/>
      <c r="EJJ2" s="2235"/>
      <c r="EJK2" s="2235"/>
      <c r="EJL2" s="2235"/>
      <c r="EJM2" s="2235"/>
      <c r="EJN2" s="2235"/>
      <c r="EJO2" s="2235"/>
      <c r="EJP2" s="2235"/>
      <c r="EJQ2" s="2235"/>
      <c r="EJR2" s="2235"/>
      <c r="EJS2" s="2235"/>
      <c r="EJT2" s="2235"/>
      <c r="EJU2" s="2235"/>
      <c r="EJV2" s="2235"/>
      <c r="EJW2" s="2235"/>
      <c r="EJX2" s="2235"/>
      <c r="EJY2" s="2235"/>
      <c r="EJZ2" s="2235"/>
      <c r="EKA2" s="2235"/>
      <c r="EKB2" s="2235"/>
      <c r="EKC2" s="2235"/>
      <c r="EKD2" s="2235"/>
      <c r="EKE2" s="2235"/>
      <c r="EKF2" s="2235"/>
      <c r="EKG2" s="2235"/>
      <c r="EKH2" s="2235"/>
      <c r="EKI2" s="2235"/>
      <c r="EKJ2" s="2235"/>
      <c r="EKK2" s="2235"/>
      <c r="EKL2" s="2235"/>
      <c r="EKM2" s="2235"/>
      <c r="EKN2" s="2235"/>
      <c r="EKO2" s="2235"/>
      <c r="EKP2" s="2235"/>
      <c r="EKQ2" s="2235"/>
      <c r="EKR2" s="2235"/>
      <c r="EKS2" s="2235"/>
      <c r="EKT2" s="2235"/>
      <c r="EKU2" s="2235"/>
      <c r="EKV2" s="2235"/>
      <c r="EKW2" s="2235"/>
      <c r="EKX2" s="2235"/>
      <c r="EKY2" s="2235"/>
      <c r="EKZ2" s="2235"/>
      <c r="ELA2" s="2235"/>
      <c r="ELB2" s="2235"/>
      <c r="ELC2" s="2235"/>
      <c r="ELD2" s="2235"/>
      <c r="ELE2" s="2235"/>
      <c r="ELF2" s="2235"/>
      <c r="ELG2" s="2235"/>
      <c r="ELH2" s="2235"/>
      <c r="ELI2" s="2235"/>
      <c r="ELJ2" s="2235"/>
      <c r="ELK2" s="2235"/>
      <c r="ELL2" s="2235"/>
      <c r="ELM2" s="2235"/>
      <c r="ELN2" s="2235"/>
      <c r="ELO2" s="2235"/>
      <c r="ELP2" s="2235"/>
      <c r="ELQ2" s="2235"/>
      <c r="ELR2" s="2235"/>
      <c r="ELS2" s="2235"/>
      <c r="ELT2" s="2235"/>
      <c r="ELU2" s="2235"/>
      <c r="ELV2" s="2235"/>
      <c r="ELW2" s="2235"/>
      <c r="ELX2" s="2235"/>
      <c r="ELY2" s="2235"/>
      <c r="ELZ2" s="2235"/>
      <c r="EMA2" s="2235"/>
      <c r="EMB2" s="2235"/>
      <c r="EMC2" s="2235"/>
      <c r="EMD2" s="2235"/>
      <c r="EME2" s="2235"/>
      <c r="EMF2" s="2235"/>
      <c r="EMG2" s="2235"/>
      <c r="EMH2" s="2235"/>
      <c r="EMI2" s="2235"/>
      <c r="EMJ2" s="2235"/>
      <c r="EMK2" s="2235"/>
      <c r="EML2" s="2235"/>
      <c r="EMM2" s="2235"/>
      <c r="EMN2" s="2235"/>
      <c r="EMO2" s="2235"/>
      <c r="EMP2" s="2235"/>
      <c r="EMQ2" s="2235"/>
      <c r="EMR2" s="2235"/>
      <c r="EMS2" s="2235"/>
      <c r="EMT2" s="2235"/>
      <c r="EMU2" s="2235"/>
      <c r="EMV2" s="2235"/>
      <c r="EMW2" s="2235"/>
      <c r="EMX2" s="2235"/>
      <c r="EMY2" s="2235"/>
      <c r="EMZ2" s="2235"/>
      <c r="ENA2" s="2235"/>
      <c r="ENB2" s="2235"/>
      <c r="ENC2" s="2235"/>
      <c r="END2" s="2235"/>
      <c r="ENE2" s="2235"/>
      <c r="ENF2" s="2235"/>
      <c r="ENG2" s="2235"/>
      <c r="ENH2" s="2235"/>
      <c r="ENI2" s="2235"/>
      <c r="ENJ2" s="2235"/>
      <c r="ENK2" s="2235"/>
      <c r="ENL2" s="2235"/>
      <c r="ENM2" s="2235"/>
      <c r="ENN2" s="2235"/>
      <c r="ENO2" s="2235"/>
      <c r="ENP2" s="2235"/>
      <c r="ENQ2" s="2235"/>
      <c r="ENR2" s="2235"/>
      <c r="ENS2" s="2235"/>
      <c r="ENT2" s="2235"/>
      <c r="ENU2" s="2235"/>
      <c r="ENV2" s="2235"/>
      <c r="ENW2" s="2235"/>
      <c r="ENX2" s="2235"/>
      <c r="ENY2" s="2235"/>
      <c r="ENZ2" s="2235"/>
      <c r="EOA2" s="2235"/>
      <c r="EOB2" s="2235"/>
      <c r="EOC2" s="2235"/>
      <c r="EOD2" s="2235"/>
      <c r="EOE2" s="2235"/>
      <c r="EOF2" s="2235"/>
      <c r="EOG2" s="2235"/>
      <c r="EOH2" s="2235"/>
      <c r="EOI2" s="2235"/>
      <c r="EOJ2" s="2235"/>
      <c r="EOK2" s="2235"/>
      <c r="EOL2" s="2235"/>
      <c r="EOM2" s="2235"/>
      <c r="EON2" s="2235"/>
      <c r="EOO2" s="2235"/>
      <c r="EOP2" s="2235"/>
      <c r="EOQ2" s="2235"/>
      <c r="EOR2" s="2235"/>
      <c r="EOS2" s="2235"/>
      <c r="EOT2" s="2235"/>
      <c r="EOU2" s="2235"/>
      <c r="EOV2" s="2235"/>
      <c r="EOW2" s="2235"/>
      <c r="EOX2" s="2235"/>
      <c r="EOY2" s="2235"/>
      <c r="EOZ2" s="2235"/>
      <c r="EPA2" s="2235"/>
      <c r="EPB2" s="2235"/>
      <c r="EPC2" s="2235"/>
      <c r="EPD2" s="2235"/>
      <c r="EPE2" s="2235"/>
      <c r="EPF2" s="2235"/>
      <c r="EPG2" s="2235"/>
      <c r="EPH2" s="2235"/>
      <c r="EPI2" s="2235"/>
      <c r="EPJ2" s="2235"/>
      <c r="EPK2" s="2235"/>
      <c r="EPL2" s="2235"/>
      <c r="EPM2" s="2235"/>
      <c r="EPN2" s="2235"/>
      <c r="EPO2" s="2235"/>
      <c r="EPP2" s="2235"/>
      <c r="EPQ2" s="2235"/>
      <c r="EPR2" s="2235"/>
      <c r="EPS2" s="2235"/>
      <c r="EPT2" s="2235"/>
      <c r="EPU2" s="2235"/>
      <c r="EPV2" s="2235"/>
      <c r="EPW2" s="2235"/>
      <c r="EPX2" s="2235"/>
      <c r="EPY2" s="2235"/>
      <c r="EPZ2" s="2235"/>
      <c r="EQA2" s="2235"/>
      <c r="EQB2" s="2235"/>
      <c r="EQC2" s="2235"/>
      <c r="EQD2" s="2235"/>
      <c r="EQE2" s="2235"/>
      <c r="EQF2" s="2235"/>
      <c r="EQG2" s="2235"/>
      <c r="EQH2" s="2235"/>
      <c r="EQI2" s="2235"/>
      <c r="EQJ2" s="2235"/>
      <c r="EQK2" s="2235"/>
      <c r="EQL2" s="2235"/>
      <c r="EQM2" s="2235"/>
      <c r="EQN2" s="2235"/>
      <c r="EQO2" s="2235"/>
      <c r="EQP2" s="2235"/>
      <c r="EQQ2" s="2235"/>
      <c r="EQR2" s="2235"/>
      <c r="EQS2" s="2235"/>
      <c r="EQT2" s="2235"/>
      <c r="EQU2" s="2235"/>
      <c r="EQV2" s="2235"/>
      <c r="EQW2" s="2235"/>
      <c r="EQX2" s="2235"/>
      <c r="EQY2" s="2235"/>
      <c r="EQZ2" s="2235"/>
      <c r="ERA2" s="2235"/>
      <c r="ERB2" s="2235"/>
      <c r="ERC2" s="2235"/>
      <c r="ERD2" s="2235"/>
      <c r="ERE2" s="2235"/>
      <c r="ERF2" s="2235"/>
      <c r="ERG2" s="2235"/>
      <c r="ERH2" s="2235"/>
      <c r="ERI2" s="2235"/>
      <c r="ERJ2" s="2235"/>
      <c r="ERK2" s="2235"/>
      <c r="ERL2" s="2235"/>
      <c r="ERM2" s="2235"/>
      <c r="ERN2" s="2235"/>
      <c r="ERO2" s="2235"/>
      <c r="ERP2" s="2235"/>
      <c r="ERQ2" s="2235"/>
      <c r="ERR2" s="2235"/>
      <c r="ERS2" s="2235"/>
      <c r="ERT2" s="2235"/>
      <c r="ERU2" s="2235"/>
      <c r="ERV2" s="2235"/>
      <c r="ERW2" s="2235"/>
      <c r="ERX2" s="2235"/>
      <c r="ERY2" s="2235"/>
      <c r="ERZ2" s="2235"/>
      <c r="ESA2" s="2235"/>
      <c r="ESB2" s="2235"/>
      <c r="ESC2" s="2235"/>
      <c r="ESD2" s="2235"/>
      <c r="ESE2" s="2235"/>
      <c r="ESF2" s="2235"/>
      <c r="ESG2" s="2235"/>
      <c r="ESH2" s="2235"/>
      <c r="ESI2" s="2235"/>
      <c r="ESJ2" s="2235"/>
      <c r="ESK2" s="2235"/>
      <c r="ESL2" s="2235"/>
      <c r="ESM2" s="2235"/>
      <c r="ESN2" s="2235"/>
      <c r="ESO2" s="2235"/>
      <c r="ESP2" s="2235"/>
      <c r="ESQ2" s="2235"/>
      <c r="ESR2" s="2235"/>
      <c r="ESS2" s="2235"/>
      <c r="EST2" s="2235"/>
      <c r="ESU2" s="2235"/>
      <c r="ESV2" s="2235"/>
      <c r="ESW2" s="2235"/>
      <c r="ESX2" s="2235"/>
      <c r="ESY2" s="2235"/>
      <c r="ESZ2" s="2235"/>
      <c r="ETA2" s="2235"/>
      <c r="ETB2" s="2235"/>
      <c r="ETC2" s="2235"/>
      <c r="ETD2" s="2235"/>
      <c r="ETE2" s="2235"/>
      <c r="ETF2" s="2235"/>
      <c r="ETG2" s="2235"/>
      <c r="ETH2" s="2235"/>
      <c r="ETI2" s="2235"/>
      <c r="ETJ2" s="2235"/>
      <c r="ETK2" s="2235"/>
      <c r="ETL2" s="2235"/>
      <c r="ETM2" s="2235"/>
      <c r="ETN2" s="2235"/>
      <c r="ETO2" s="2235"/>
      <c r="ETP2" s="2235"/>
      <c r="ETQ2" s="2235"/>
      <c r="ETR2" s="2235"/>
      <c r="ETS2" s="2235"/>
      <c r="ETT2" s="2235"/>
      <c r="ETU2" s="2235"/>
      <c r="ETV2" s="2235"/>
      <c r="ETW2" s="2235"/>
      <c r="ETX2" s="2235"/>
      <c r="ETY2" s="2235"/>
      <c r="ETZ2" s="2235"/>
      <c r="EUA2" s="2235"/>
      <c r="EUB2" s="2235"/>
      <c r="EUC2" s="2235"/>
      <c r="EUD2" s="2235"/>
      <c r="EUE2" s="2235"/>
      <c r="EUF2" s="2235"/>
      <c r="EUG2" s="2235"/>
      <c r="EUH2" s="2235"/>
      <c r="EUI2" s="2235"/>
      <c r="EUJ2" s="2235"/>
      <c r="EUK2" s="2235"/>
      <c r="EUL2" s="2235"/>
      <c r="EUM2" s="2235"/>
      <c r="EUN2" s="2235"/>
      <c r="EUO2" s="2235"/>
      <c r="EUP2" s="2235"/>
      <c r="EUQ2" s="2235"/>
      <c r="EUR2" s="2235"/>
      <c r="EUS2" s="2235"/>
      <c r="EUT2" s="2235"/>
      <c r="EUU2" s="2235"/>
      <c r="EUV2" s="2235"/>
      <c r="EUW2" s="2235"/>
      <c r="EUX2" s="2235"/>
      <c r="EUY2" s="2235"/>
      <c r="EUZ2" s="2235"/>
      <c r="EVA2" s="2235"/>
      <c r="EVB2" s="2235"/>
      <c r="EVC2" s="2235"/>
      <c r="EVD2" s="2235"/>
      <c r="EVE2" s="2235"/>
      <c r="EVF2" s="2235"/>
      <c r="EVG2" s="2235"/>
      <c r="EVH2" s="2235"/>
      <c r="EVI2" s="2235"/>
      <c r="EVJ2" s="2235"/>
      <c r="EVK2" s="2235"/>
      <c r="EVL2" s="2235"/>
      <c r="EVM2" s="2235"/>
      <c r="EVN2" s="2235"/>
      <c r="EVO2" s="2235"/>
      <c r="EVP2" s="2235"/>
      <c r="EVQ2" s="2235"/>
      <c r="EVR2" s="2235"/>
      <c r="EVS2" s="2235"/>
      <c r="EVT2" s="2235"/>
      <c r="EVU2" s="2235"/>
      <c r="EVV2" s="2235"/>
      <c r="EVW2" s="2235"/>
      <c r="EVX2" s="2235"/>
      <c r="EVY2" s="2235"/>
      <c r="EVZ2" s="2235"/>
      <c r="EWA2" s="2235"/>
      <c r="EWB2" s="2235"/>
      <c r="EWC2" s="2235"/>
      <c r="EWD2" s="2235"/>
      <c r="EWE2" s="2235"/>
      <c r="EWF2" s="2235"/>
      <c r="EWG2" s="2235"/>
      <c r="EWH2" s="2235"/>
      <c r="EWI2" s="2235"/>
      <c r="EWJ2" s="2235"/>
      <c r="EWK2" s="2235"/>
      <c r="EWL2" s="2235"/>
      <c r="EWM2" s="2235"/>
      <c r="EWN2" s="2235"/>
      <c r="EWO2" s="2235"/>
      <c r="EWP2" s="2235"/>
      <c r="EWQ2" s="2235"/>
      <c r="EWR2" s="2235"/>
      <c r="EWS2" s="2235"/>
      <c r="EWT2" s="2235"/>
      <c r="EWU2" s="2235"/>
      <c r="EWV2" s="2235"/>
      <c r="EWW2" s="2235"/>
      <c r="EWX2" s="2235"/>
      <c r="EWY2" s="2235"/>
      <c r="EWZ2" s="2235"/>
      <c r="EXA2" s="2235"/>
      <c r="EXB2" s="2235"/>
      <c r="EXC2" s="2235"/>
      <c r="EXD2" s="2235"/>
      <c r="EXE2" s="2235"/>
      <c r="EXF2" s="2235"/>
      <c r="EXG2" s="2235"/>
      <c r="EXH2" s="2235"/>
      <c r="EXI2" s="2235"/>
      <c r="EXJ2" s="2235"/>
      <c r="EXK2" s="2235"/>
      <c r="EXL2" s="2235"/>
      <c r="EXM2" s="2235"/>
      <c r="EXN2" s="2235"/>
      <c r="EXO2" s="2235"/>
      <c r="EXP2" s="2235"/>
      <c r="EXQ2" s="2235"/>
      <c r="EXR2" s="2235"/>
      <c r="EXS2" s="2235"/>
      <c r="EXT2" s="2235"/>
      <c r="EXU2" s="2235"/>
      <c r="EXV2" s="2235"/>
      <c r="EXW2" s="2235"/>
      <c r="EXX2" s="2235"/>
      <c r="EXY2" s="2235"/>
      <c r="EXZ2" s="2235"/>
      <c r="EYA2" s="2235"/>
      <c r="EYB2" s="2235"/>
      <c r="EYC2" s="2235"/>
      <c r="EYD2" s="2235"/>
      <c r="EYE2" s="2235"/>
      <c r="EYF2" s="2235"/>
      <c r="EYG2" s="2235"/>
      <c r="EYH2" s="2235"/>
      <c r="EYI2" s="2235"/>
      <c r="EYJ2" s="2235"/>
      <c r="EYK2" s="2235"/>
      <c r="EYL2" s="2235"/>
      <c r="EYM2" s="2235"/>
      <c r="EYN2" s="2235"/>
      <c r="EYO2" s="2235"/>
      <c r="EYP2" s="2235"/>
      <c r="EYQ2" s="2235"/>
      <c r="EYR2" s="2235"/>
      <c r="EYS2" s="2235"/>
      <c r="EYT2" s="2235"/>
      <c r="EYU2" s="2235"/>
      <c r="EYV2" s="2235"/>
      <c r="EYW2" s="2235"/>
      <c r="EYX2" s="2235"/>
      <c r="EYY2" s="2235"/>
      <c r="EYZ2" s="2235"/>
      <c r="EZA2" s="2235"/>
      <c r="EZB2" s="2235"/>
      <c r="EZC2" s="2235"/>
      <c r="EZD2" s="2235"/>
      <c r="EZE2" s="2235"/>
      <c r="EZF2" s="2235"/>
      <c r="EZG2" s="2235"/>
      <c r="EZH2" s="2235"/>
      <c r="EZI2" s="2235"/>
      <c r="EZJ2" s="2235"/>
      <c r="EZK2" s="2235"/>
      <c r="EZL2" s="2235"/>
      <c r="EZM2" s="2235"/>
      <c r="EZN2" s="2235"/>
      <c r="EZO2" s="2235"/>
      <c r="EZP2" s="2235"/>
      <c r="EZQ2" s="2235"/>
      <c r="EZR2" s="2235"/>
      <c r="EZS2" s="2235"/>
      <c r="EZT2" s="2235"/>
      <c r="EZU2" s="2235"/>
      <c r="EZV2" s="2235"/>
      <c r="EZW2" s="2235"/>
      <c r="EZX2" s="2235"/>
      <c r="EZY2" s="2235"/>
      <c r="EZZ2" s="2235"/>
      <c r="FAA2" s="2235"/>
      <c r="FAB2" s="2235"/>
      <c r="FAC2" s="2235"/>
      <c r="FAD2" s="2235"/>
      <c r="FAE2" s="2235"/>
      <c r="FAF2" s="2235"/>
      <c r="FAG2" s="2235"/>
      <c r="FAH2" s="2235"/>
      <c r="FAI2" s="2235"/>
      <c r="FAJ2" s="2235"/>
      <c r="FAK2" s="2235"/>
      <c r="FAL2" s="2235"/>
      <c r="FAM2" s="2235"/>
      <c r="FAN2" s="2235"/>
      <c r="FAO2" s="2235"/>
      <c r="FAP2" s="2235"/>
      <c r="FAQ2" s="2235"/>
      <c r="FAR2" s="2235"/>
      <c r="FAS2" s="2235"/>
      <c r="FAT2" s="2235"/>
      <c r="FAU2" s="2235"/>
      <c r="FAV2" s="2235"/>
      <c r="FAW2" s="2235"/>
      <c r="FAX2" s="2235"/>
      <c r="FAY2" s="2235"/>
      <c r="FAZ2" s="2235"/>
      <c r="FBA2" s="2235"/>
      <c r="FBB2" s="2235"/>
      <c r="FBC2" s="2235"/>
      <c r="FBD2" s="2235"/>
      <c r="FBE2" s="2235"/>
      <c r="FBF2" s="2235"/>
      <c r="FBG2" s="2235"/>
      <c r="FBH2" s="2235"/>
      <c r="FBI2" s="2235"/>
      <c r="FBJ2" s="2235"/>
      <c r="FBK2" s="2235"/>
      <c r="FBL2" s="2235"/>
      <c r="FBM2" s="2235"/>
      <c r="FBN2" s="2235"/>
      <c r="FBO2" s="2235"/>
      <c r="FBP2" s="2235"/>
      <c r="FBQ2" s="2235"/>
      <c r="FBR2" s="2235"/>
      <c r="FBS2" s="2235"/>
      <c r="FBT2" s="2235"/>
      <c r="FBU2" s="2235"/>
      <c r="FBV2" s="2235"/>
      <c r="FBW2" s="2235"/>
      <c r="FBX2" s="2235"/>
      <c r="FBY2" s="2235"/>
      <c r="FBZ2" s="2235"/>
      <c r="FCA2" s="2235"/>
      <c r="FCB2" s="2235"/>
      <c r="FCC2" s="2235"/>
      <c r="FCD2" s="2235"/>
      <c r="FCE2" s="2235"/>
      <c r="FCF2" s="2235"/>
      <c r="FCG2" s="2235"/>
      <c r="FCH2" s="2235"/>
      <c r="FCI2" s="2235"/>
      <c r="FCJ2" s="2235"/>
      <c r="FCK2" s="2235"/>
      <c r="FCL2" s="2235"/>
      <c r="FCM2" s="2235"/>
      <c r="FCN2" s="2235"/>
      <c r="FCO2" s="2235"/>
      <c r="FCP2" s="2235"/>
      <c r="FCQ2" s="2235"/>
      <c r="FCR2" s="2235"/>
      <c r="FCS2" s="2235"/>
      <c r="FCT2" s="2235"/>
      <c r="FCU2" s="2235"/>
      <c r="FCV2" s="2235"/>
      <c r="FCW2" s="2235"/>
      <c r="FCX2" s="2235"/>
      <c r="FCY2" s="2235"/>
      <c r="FCZ2" s="2235"/>
      <c r="FDA2" s="2235"/>
      <c r="FDB2" s="2235"/>
      <c r="FDC2" s="2235"/>
      <c r="FDD2" s="2235"/>
      <c r="FDE2" s="2235"/>
      <c r="FDF2" s="2235"/>
      <c r="FDG2" s="2235"/>
      <c r="FDH2" s="2235"/>
      <c r="FDI2" s="2235"/>
      <c r="FDJ2" s="2235"/>
      <c r="FDK2" s="2235"/>
      <c r="FDL2" s="2235"/>
      <c r="FDM2" s="2235"/>
      <c r="FDN2" s="2235"/>
      <c r="FDO2" s="2235"/>
      <c r="FDP2" s="2235"/>
      <c r="FDQ2" s="2235"/>
      <c r="FDR2" s="2235"/>
      <c r="FDS2" s="2235"/>
      <c r="FDT2" s="2235"/>
      <c r="FDU2" s="2235"/>
      <c r="FDV2" s="2235"/>
      <c r="FDW2" s="2235"/>
      <c r="FDX2" s="2235"/>
      <c r="FDY2" s="2235"/>
      <c r="FDZ2" s="2235"/>
      <c r="FEA2" s="2235"/>
      <c r="FEB2" s="2235"/>
      <c r="FEC2" s="2235"/>
      <c r="FED2" s="2235"/>
      <c r="FEE2" s="2235"/>
      <c r="FEF2" s="2235"/>
      <c r="FEG2" s="2235"/>
      <c r="FEH2" s="2235"/>
      <c r="FEI2" s="2235"/>
      <c r="FEJ2" s="2235"/>
      <c r="FEK2" s="2235"/>
      <c r="FEL2" s="2235"/>
      <c r="FEM2" s="2235"/>
      <c r="FEN2" s="2235"/>
      <c r="FEO2" s="2235"/>
      <c r="FEP2" s="2235"/>
      <c r="FEQ2" s="2235"/>
      <c r="FER2" s="2235"/>
      <c r="FES2" s="2235"/>
      <c r="FET2" s="2235"/>
      <c r="FEU2" s="2235"/>
      <c r="FEV2" s="2235"/>
      <c r="FEW2" s="2235"/>
      <c r="FEX2" s="2235"/>
      <c r="FEY2" s="2235"/>
      <c r="FEZ2" s="2235"/>
      <c r="FFA2" s="2235"/>
      <c r="FFB2" s="2235"/>
      <c r="FFC2" s="2235"/>
      <c r="FFD2" s="2235"/>
      <c r="FFE2" s="2235"/>
      <c r="FFF2" s="2235"/>
      <c r="FFG2" s="2235"/>
      <c r="FFH2" s="2235"/>
      <c r="FFI2" s="2235"/>
      <c r="FFJ2" s="2235"/>
      <c r="FFK2" s="2235"/>
      <c r="FFL2" s="2235"/>
      <c r="FFM2" s="2235"/>
      <c r="FFN2" s="2235"/>
      <c r="FFO2" s="2235"/>
      <c r="FFP2" s="2235"/>
      <c r="FFQ2" s="2235"/>
      <c r="FFR2" s="2235"/>
      <c r="FFS2" s="2235"/>
      <c r="FFT2" s="2235"/>
      <c r="FFU2" s="2235"/>
      <c r="FFV2" s="2235"/>
      <c r="FFW2" s="2235"/>
      <c r="FFX2" s="2235"/>
      <c r="FFY2" s="2235"/>
      <c r="FFZ2" s="2235"/>
      <c r="FGA2" s="2235"/>
      <c r="FGB2" s="2235"/>
      <c r="FGC2" s="2235"/>
      <c r="FGD2" s="2235"/>
      <c r="FGE2" s="2235"/>
      <c r="FGF2" s="2235"/>
      <c r="FGG2" s="2235"/>
      <c r="FGH2" s="2235"/>
      <c r="FGI2" s="2235"/>
      <c r="FGJ2" s="2235"/>
      <c r="FGK2" s="2235"/>
      <c r="FGL2" s="2235"/>
      <c r="FGM2" s="2235"/>
      <c r="FGN2" s="2235"/>
      <c r="FGO2" s="2235"/>
      <c r="FGP2" s="2235"/>
      <c r="FGQ2" s="2235"/>
      <c r="FGR2" s="2235"/>
      <c r="FGS2" s="2235"/>
      <c r="FGT2" s="2235"/>
      <c r="FGU2" s="2235"/>
      <c r="FGV2" s="2235"/>
      <c r="FGW2" s="2235"/>
      <c r="FGX2" s="2235"/>
      <c r="FGY2" s="2235"/>
      <c r="FGZ2" s="2235"/>
      <c r="FHA2" s="2235"/>
      <c r="FHB2" s="2235"/>
      <c r="FHC2" s="2235"/>
      <c r="FHD2" s="2235"/>
      <c r="FHE2" s="2235"/>
      <c r="FHF2" s="2235"/>
      <c r="FHG2" s="2235"/>
      <c r="FHH2" s="2235"/>
      <c r="FHI2" s="2235"/>
      <c r="FHJ2" s="2235"/>
      <c r="FHK2" s="2235"/>
      <c r="FHL2" s="2235"/>
      <c r="FHM2" s="2235"/>
      <c r="FHN2" s="2235"/>
      <c r="FHO2" s="2235"/>
      <c r="FHP2" s="2235"/>
      <c r="FHQ2" s="2235"/>
      <c r="FHR2" s="2235"/>
      <c r="FHS2" s="2235"/>
      <c r="FHT2" s="2235"/>
      <c r="FHU2" s="2235"/>
      <c r="FHV2" s="2235"/>
      <c r="FHW2" s="2235"/>
      <c r="FHX2" s="2235"/>
      <c r="FHY2" s="2235"/>
      <c r="FHZ2" s="2235"/>
      <c r="FIA2" s="2235"/>
      <c r="FIB2" s="2235"/>
      <c r="FIC2" s="2235"/>
      <c r="FID2" s="2235"/>
      <c r="FIE2" s="2235"/>
      <c r="FIF2" s="2235"/>
      <c r="FIG2" s="2235"/>
      <c r="FIH2" s="2235"/>
      <c r="FII2" s="2235"/>
      <c r="FIJ2" s="2235"/>
      <c r="FIK2" s="2235"/>
      <c r="FIL2" s="2235"/>
      <c r="FIM2" s="2235"/>
      <c r="FIN2" s="2235"/>
      <c r="FIO2" s="2235"/>
      <c r="FIP2" s="2235"/>
      <c r="FIQ2" s="2235"/>
      <c r="FIR2" s="2235"/>
      <c r="FIS2" s="2235"/>
      <c r="FIT2" s="2235"/>
      <c r="FIU2" s="2235"/>
      <c r="FIV2" s="2235"/>
      <c r="FIW2" s="2235"/>
      <c r="FIX2" s="2235"/>
      <c r="FIY2" s="2235"/>
      <c r="FIZ2" s="2235"/>
      <c r="FJA2" s="2235"/>
      <c r="FJB2" s="2235"/>
      <c r="FJC2" s="2235"/>
      <c r="FJD2" s="2235"/>
      <c r="FJE2" s="2235"/>
      <c r="FJF2" s="2235"/>
      <c r="FJG2" s="2235"/>
      <c r="FJH2" s="2235"/>
      <c r="FJI2" s="2235"/>
      <c r="FJJ2" s="2235"/>
      <c r="FJK2" s="2235"/>
      <c r="FJL2" s="2235"/>
      <c r="FJM2" s="2235"/>
      <c r="FJN2" s="2235"/>
      <c r="FJO2" s="2235"/>
      <c r="FJP2" s="2235"/>
      <c r="FJQ2" s="2235"/>
      <c r="FJR2" s="2235"/>
      <c r="FJS2" s="2235"/>
      <c r="FJT2" s="2235"/>
      <c r="FJU2" s="2235"/>
      <c r="FJV2" s="2235"/>
      <c r="FJW2" s="2235"/>
      <c r="FJX2" s="2235"/>
      <c r="FJY2" s="2235"/>
      <c r="FJZ2" s="2235"/>
      <c r="FKA2" s="2235"/>
      <c r="FKB2" s="2235"/>
      <c r="FKC2" s="2235"/>
      <c r="FKD2" s="2235"/>
      <c r="FKE2" s="2235"/>
      <c r="FKF2" s="2235"/>
      <c r="FKG2" s="2235"/>
      <c r="FKH2" s="2235"/>
      <c r="FKI2" s="2235"/>
      <c r="FKJ2" s="2235"/>
      <c r="FKK2" s="2235"/>
      <c r="FKL2" s="2235"/>
      <c r="FKM2" s="2235"/>
      <c r="FKN2" s="2235"/>
      <c r="FKO2" s="2235"/>
      <c r="FKP2" s="2235"/>
      <c r="FKQ2" s="2235"/>
      <c r="FKR2" s="2235"/>
      <c r="FKS2" s="2235"/>
      <c r="FKT2" s="2235"/>
      <c r="FKU2" s="2235"/>
      <c r="FKV2" s="2235"/>
      <c r="FKW2" s="2235"/>
      <c r="FKX2" s="2235"/>
      <c r="FKY2" s="2235"/>
      <c r="FKZ2" s="2235"/>
      <c r="FLA2" s="2235"/>
      <c r="FLB2" s="2235"/>
      <c r="FLC2" s="2235"/>
      <c r="FLD2" s="2235"/>
      <c r="FLE2" s="2235"/>
      <c r="FLF2" s="2235"/>
      <c r="FLG2" s="2235"/>
      <c r="FLH2" s="2235"/>
      <c r="FLI2" s="2235"/>
      <c r="FLJ2" s="2235"/>
      <c r="FLK2" s="2235"/>
      <c r="FLL2" s="2235"/>
      <c r="FLM2" s="2235"/>
      <c r="FLN2" s="2235"/>
      <c r="FLO2" s="2235"/>
      <c r="FLP2" s="2235"/>
      <c r="FLQ2" s="2235"/>
      <c r="FLR2" s="2235"/>
      <c r="FLS2" s="2235"/>
      <c r="FLT2" s="2235"/>
      <c r="FLU2" s="2235"/>
      <c r="FLV2" s="2235"/>
      <c r="FLW2" s="2235"/>
      <c r="FLX2" s="2235"/>
      <c r="FLY2" s="2235"/>
      <c r="FLZ2" s="2235"/>
      <c r="FMA2" s="2235"/>
      <c r="FMB2" s="2235"/>
      <c r="FMC2" s="2235"/>
      <c r="FMD2" s="2235"/>
      <c r="FME2" s="2235"/>
      <c r="FMF2" s="2235"/>
      <c r="FMG2" s="2235"/>
      <c r="FMH2" s="2235"/>
      <c r="FMI2" s="2235"/>
      <c r="FMJ2" s="2235"/>
      <c r="FMK2" s="2235"/>
      <c r="FML2" s="2235"/>
      <c r="FMM2" s="2235"/>
      <c r="FMN2" s="2235"/>
      <c r="FMO2" s="2235"/>
      <c r="FMP2" s="2235"/>
      <c r="FMQ2" s="2235"/>
      <c r="FMR2" s="2235"/>
      <c r="FMS2" s="2235"/>
      <c r="FMT2" s="2235"/>
      <c r="FMU2" s="2235"/>
      <c r="FMV2" s="2235"/>
      <c r="FMW2" s="2235"/>
      <c r="FMX2" s="2235"/>
      <c r="FMY2" s="2235"/>
      <c r="FMZ2" s="2235"/>
      <c r="FNA2" s="2235"/>
      <c r="FNB2" s="2235"/>
      <c r="FNC2" s="2235"/>
      <c r="FND2" s="2235"/>
      <c r="FNE2" s="2235"/>
      <c r="FNF2" s="2235"/>
      <c r="FNG2" s="2235"/>
      <c r="FNH2" s="2235"/>
      <c r="FNI2" s="2235"/>
      <c r="FNJ2" s="2235"/>
      <c r="FNK2" s="2235"/>
      <c r="FNL2" s="2235"/>
      <c r="FNM2" s="2235"/>
      <c r="FNN2" s="2235"/>
      <c r="FNO2" s="2235"/>
      <c r="FNP2" s="2235"/>
      <c r="FNQ2" s="2235"/>
      <c r="FNR2" s="2235"/>
      <c r="FNS2" s="2235"/>
      <c r="FNT2" s="2235"/>
      <c r="FNU2" s="2235"/>
      <c r="FNV2" s="2235"/>
      <c r="FNW2" s="2235"/>
      <c r="FNX2" s="2235"/>
      <c r="FNY2" s="2235"/>
      <c r="FNZ2" s="2235"/>
      <c r="FOA2" s="2235"/>
      <c r="FOB2" s="2235"/>
      <c r="FOC2" s="2235"/>
      <c r="FOD2" s="2235"/>
      <c r="FOE2" s="2235"/>
      <c r="FOF2" s="2235"/>
      <c r="FOG2" s="2235"/>
      <c r="FOH2" s="2235"/>
      <c r="FOI2" s="2235"/>
      <c r="FOJ2" s="2235"/>
      <c r="FOK2" s="2235"/>
      <c r="FOL2" s="2235"/>
      <c r="FOM2" s="2235"/>
      <c r="FON2" s="2235"/>
      <c r="FOO2" s="2235"/>
      <c r="FOP2" s="2235"/>
      <c r="FOQ2" s="2235"/>
      <c r="FOR2" s="2235"/>
      <c r="FOS2" s="2235"/>
      <c r="FOT2" s="2235"/>
      <c r="FOU2" s="2235"/>
      <c r="FOV2" s="2235"/>
      <c r="FOW2" s="2235"/>
      <c r="FOX2" s="2235"/>
      <c r="FOY2" s="2235"/>
      <c r="FOZ2" s="2235"/>
      <c r="FPA2" s="2235"/>
      <c r="FPB2" s="2235"/>
      <c r="FPC2" s="2235"/>
      <c r="FPD2" s="2235"/>
      <c r="FPE2" s="2235"/>
      <c r="FPF2" s="2235"/>
      <c r="FPG2" s="2235"/>
      <c r="FPH2" s="2235"/>
      <c r="FPI2" s="2235"/>
      <c r="FPJ2" s="2235"/>
      <c r="FPK2" s="2235"/>
      <c r="FPL2" s="2235"/>
      <c r="FPM2" s="2235"/>
      <c r="FPN2" s="2235"/>
      <c r="FPO2" s="2235"/>
      <c r="FPP2" s="2235"/>
      <c r="FPQ2" s="2235"/>
      <c r="FPR2" s="2235"/>
      <c r="FPS2" s="2235"/>
      <c r="FPT2" s="2235"/>
      <c r="FPU2" s="2235"/>
      <c r="FPV2" s="2235"/>
      <c r="FPW2" s="2235"/>
      <c r="FPX2" s="2235"/>
      <c r="FPY2" s="2235"/>
      <c r="FPZ2" s="2235"/>
      <c r="FQA2" s="2235"/>
      <c r="FQB2" s="2235"/>
      <c r="FQC2" s="2235"/>
      <c r="FQD2" s="2235"/>
      <c r="FQE2" s="2235"/>
      <c r="FQF2" s="2235"/>
      <c r="FQG2" s="2235"/>
      <c r="FQH2" s="2235"/>
      <c r="FQI2" s="2235"/>
      <c r="FQJ2" s="2235"/>
      <c r="FQK2" s="2235"/>
      <c r="FQL2" s="2235"/>
      <c r="FQM2" s="2235"/>
      <c r="FQN2" s="2235"/>
      <c r="FQO2" s="2235"/>
      <c r="FQP2" s="2235"/>
      <c r="FQQ2" s="2235"/>
      <c r="FQR2" s="2235"/>
      <c r="FQS2" s="2235"/>
      <c r="FQT2" s="2235"/>
      <c r="FQU2" s="2235"/>
      <c r="FQV2" s="2235"/>
      <c r="FQW2" s="2235"/>
      <c r="FQX2" s="2235"/>
      <c r="FQY2" s="2235"/>
      <c r="FQZ2" s="2235"/>
      <c r="FRA2" s="2235"/>
      <c r="FRB2" s="2235"/>
      <c r="FRC2" s="2235"/>
      <c r="FRD2" s="2235"/>
      <c r="FRE2" s="2235"/>
      <c r="FRF2" s="2235"/>
      <c r="FRG2" s="2235"/>
      <c r="FRH2" s="2235"/>
      <c r="FRI2" s="2235"/>
      <c r="FRJ2" s="2235"/>
      <c r="FRK2" s="2235"/>
      <c r="FRL2" s="2235"/>
      <c r="FRM2" s="2235"/>
      <c r="FRN2" s="2235"/>
      <c r="FRO2" s="2235"/>
      <c r="FRP2" s="2235"/>
      <c r="FRQ2" s="2235"/>
      <c r="FRR2" s="2235"/>
      <c r="FRS2" s="2235"/>
      <c r="FRT2" s="2235"/>
      <c r="FRU2" s="2235"/>
      <c r="FRV2" s="2235"/>
      <c r="FRW2" s="2235"/>
      <c r="FRX2" s="2235"/>
      <c r="FRY2" s="2235"/>
      <c r="FRZ2" s="2235"/>
      <c r="FSA2" s="2235"/>
      <c r="FSB2" s="2235"/>
      <c r="FSC2" s="2235"/>
      <c r="FSD2" s="2235"/>
      <c r="FSE2" s="2235"/>
      <c r="FSF2" s="2235"/>
      <c r="FSG2" s="2235"/>
      <c r="FSH2" s="2235"/>
      <c r="FSI2" s="2235"/>
      <c r="FSJ2" s="2235"/>
      <c r="FSK2" s="2235"/>
      <c r="FSL2" s="2235"/>
      <c r="FSM2" s="2235"/>
      <c r="FSN2" s="2235"/>
      <c r="FSO2" s="2235"/>
      <c r="FSP2" s="2235"/>
      <c r="FSQ2" s="2235"/>
      <c r="FSR2" s="2235"/>
      <c r="FSS2" s="2235"/>
      <c r="FST2" s="2235"/>
      <c r="FSU2" s="2235"/>
      <c r="FSV2" s="2235"/>
      <c r="FSW2" s="2235"/>
      <c r="FSX2" s="2235"/>
      <c r="FSY2" s="2235"/>
      <c r="FSZ2" s="2235"/>
      <c r="FTA2" s="2235"/>
      <c r="FTB2" s="2235"/>
      <c r="FTC2" s="2235"/>
      <c r="FTD2" s="2235"/>
      <c r="FTE2" s="2235"/>
      <c r="FTF2" s="2235"/>
      <c r="FTG2" s="2235"/>
      <c r="FTH2" s="2235"/>
      <c r="FTI2" s="2235"/>
      <c r="FTJ2" s="2235"/>
      <c r="FTK2" s="2235"/>
      <c r="FTL2" s="2235"/>
      <c r="FTM2" s="2235"/>
      <c r="FTN2" s="2235"/>
      <c r="FTO2" s="2235"/>
      <c r="FTP2" s="2235"/>
      <c r="FTQ2" s="2235"/>
      <c r="FTR2" s="2235"/>
      <c r="FTS2" s="2235"/>
      <c r="FTT2" s="2235"/>
      <c r="FTU2" s="2235"/>
      <c r="FTV2" s="2235"/>
      <c r="FTW2" s="2235"/>
      <c r="FTX2" s="2235"/>
      <c r="FTY2" s="2235"/>
      <c r="FTZ2" s="2235"/>
      <c r="FUA2" s="2235"/>
      <c r="FUB2" s="2235"/>
      <c r="FUC2" s="2235"/>
      <c r="FUD2" s="2235"/>
      <c r="FUE2" s="2235"/>
      <c r="FUF2" s="2235"/>
      <c r="FUG2" s="2235"/>
      <c r="FUH2" s="2235"/>
      <c r="FUI2" s="2235"/>
      <c r="FUJ2" s="2235"/>
      <c r="FUK2" s="2235"/>
      <c r="FUL2" s="2235"/>
      <c r="FUM2" s="2235"/>
      <c r="FUN2" s="2235"/>
      <c r="FUO2" s="2235"/>
      <c r="FUP2" s="2235"/>
      <c r="FUQ2" s="2235"/>
      <c r="FUR2" s="2235"/>
      <c r="FUS2" s="2235"/>
      <c r="FUT2" s="2235"/>
      <c r="FUU2" s="2235"/>
      <c r="FUV2" s="2235"/>
      <c r="FUW2" s="2235"/>
      <c r="FUX2" s="2235"/>
      <c r="FUY2" s="2235"/>
      <c r="FUZ2" s="2235"/>
      <c r="FVA2" s="2235"/>
      <c r="FVB2" s="2235"/>
      <c r="FVC2" s="2235"/>
      <c r="FVD2" s="2235"/>
      <c r="FVE2" s="2235"/>
      <c r="FVF2" s="2235"/>
      <c r="FVG2" s="2235"/>
      <c r="FVH2" s="2235"/>
      <c r="FVI2" s="2235"/>
      <c r="FVJ2" s="2235"/>
      <c r="FVK2" s="2235"/>
      <c r="FVL2" s="2235"/>
      <c r="FVM2" s="2235"/>
      <c r="FVN2" s="2235"/>
      <c r="FVO2" s="2235"/>
      <c r="FVP2" s="2235"/>
      <c r="FVQ2" s="2235"/>
      <c r="FVR2" s="2235"/>
      <c r="FVS2" s="2235"/>
      <c r="FVT2" s="2235"/>
      <c r="FVU2" s="2235"/>
      <c r="FVV2" s="2235"/>
      <c r="FVW2" s="2235"/>
      <c r="FVX2" s="2235"/>
      <c r="FVY2" s="2235"/>
      <c r="FVZ2" s="2235"/>
      <c r="FWA2" s="2235"/>
      <c r="FWB2" s="2235"/>
      <c r="FWC2" s="2235"/>
      <c r="FWD2" s="2235"/>
      <c r="FWE2" s="2235"/>
      <c r="FWF2" s="2235"/>
      <c r="FWG2" s="2235"/>
      <c r="FWH2" s="2235"/>
      <c r="FWI2" s="2235"/>
      <c r="FWJ2" s="2235"/>
      <c r="FWK2" s="2235"/>
      <c r="FWL2" s="2235"/>
      <c r="FWM2" s="2235"/>
      <c r="FWN2" s="2235"/>
      <c r="FWO2" s="2235"/>
      <c r="FWP2" s="2235"/>
      <c r="FWQ2" s="2235"/>
      <c r="FWR2" s="2235"/>
      <c r="FWS2" s="2235"/>
      <c r="FWT2" s="2235"/>
      <c r="FWU2" s="2235"/>
      <c r="FWV2" s="2235"/>
      <c r="FWW2" s="2235"/>
      <c r="FWX2" s="2235"/>
      <c r="FWY2" s="2235"/>
      <c r="FWZ2" s="2235"/>
      <c r="FXA2" s="2235"/>
      <c r="FXB2" s="2235"/>
      <c r="FXC2" s="2235"/>
      <c r="FXD2" s="2235"/>
      <c r="FXE2" s="2235"/>
      <c r="FXF2" s="2235"/>
      <c r="FXG2" s="2235"/>
      <c r="FXH2" s="2235"/>
      <c r="FXI2" s="2235"/>
      <c r="FXJ2" s="2235"/>
      <c r="FXK2" s="2235"/>
      <c r="FXL2" s="2235"/>
      <c r="FXM2" s="2235"/>
      <c r="FXN2" s="2235"/>
      <c r="FXO2" s="2235"/>
      <c r="FXP2" s="2235"/>
      <c r="FXQ2" s="2235"/>
      <c r="FXR2" s="2235"/>
      <c r="FXS2" s="2235"/>
      <c r="FXT2" s="2235"/>
      <c r="FXU2" s="2235"/>
      <c r="FXV2" s="2235"/>
      <c r="FXW2" s="2235"/>
      <c r="FXX2" s="2235"/>
      <c r="FXY2" s="2235"/>
      <c r="FXZ2" s="2235"/>
      <c r="FYA2" s="2235"/>
      <c r="FYB2" s="2235"/>
      <c r="FYC2" s="2235"/>
      <c r="FYD2" s="2235"/>
      <c r="FYE2" s="2235"/>
      <c r="FYF2" s="2235"/>
      <c r="FYG2" s="2235"/>
      <c r="FYH2" s="2235"/>
      <c r="FYI2" s="2235"/>
      <c r="FYJ2" s="2235"/>
      <c r="FYK2" s="2235"/>
      <c r="FYL2" s="2235"/>
      <c r="FYM2" s="2235"/>
      <c r="FYN2" s="2235"/>
      <c r="FYO2" s="2235"/>
      <c r="FYP2" s="2235"/>
      <c r="FYQ2" s="2235"/>
      <c r="FYR2" s="2235"/>
      <c r="FYS2" s="2235"/>
      <c r="FYT2" s="2235"/>
      <c r="FYU2" s="2235"/>
      <c r="FYV2" s="2235"/>
      <c r="FYW2" s="2235"/>
      <c r="FYX2" s="2235"/>
      <c r="FYY2" s="2235"/>
      <c r="FYZ2" s="2235"/>
      <c r="FZA2" s="2235"/>
      <c r="FZB2" s="2235"/>
      <c r="FZC2" s="2235"/>
      <c r="FZD2" s="2235"/>
      <c r="FZE2" s="2235"/>
      <c r="FZF2" s="2235"/>
      <c r="FZG2" s="2235"/>
      <c r="FZH2" s="2235"/>
      <c r="FZI2" s="2235"/>
      <c r="FZJ2" s="2235"/>
      <c r="FZK2" s="2235"/>
      <c r="FZL2" s="2235"/>
      <c r="FZM2" s="2235"/>
      <c r="FZN2" s="2235"/>
      <c r="FZO2" s="2235"/>
      <c r="FZP2" s="2235"/>
      <c r="FZQ2" s="2235"/>
      <c r="FZR2" s="2235"/>
      <c r="FZS2" s="2235"/>
      <c r="FZT2" s="2235"/>
      <c r="FZU2" s="2235"/>
      <c r="FZV2" s="2235"/>
      <c r="FZW2" s="2235"/>
      <c r="FZX2" s="2235"/>
      <c r="FZY2" s="2235"/>
      <c r="FZZ2" s="2235"/>
      <c r="GAA2" s="2235"/>
      <c r="GAB2" s="2235"/>
      <c r="GAC2" s="2235"/>
      <c r="GAD2" s="2235"/>
      <c r="GAE2" s="2235"/>
      <c r="GAF2" s="2235"/>
      <c r="GAG2" s="2235"/>
      <c r="GAH2" s="2235"/>
      <c r="GAI2" s="2235"/>
      <c r="GAJ2" s="2235"/>
      <c r="GAK2" s="2235"/>
      <c r="GAL2" s="2235"/>
      <c r="GAM2" s="2235"/>
      <c r="GAN2" s="2235"/>
      <c r="GAO2" s="2235"/>
      <c r="GAP2" s="2235"/>
      <c r="GAQ2" s="2235"/>
      <c r="GAR2" s="2235"/>
      <c r="GAS2" s="2235"/>
      <c r="GAT2" s="2235"/>
      <c r="GAU2" s="2235"/>
      <c r="GAV2" s="2235"/>
      <c r="GAW2" s="2235"/>
      <c r="GAX2" s="2235"/>
      <c r="GAY2" s="2235"/>
      <c r="GAZ2" s="2235"/>
      <c r="GBA2" s="2235"/>
      <c r="GBB2" s="2235"/>
      <c r="GBC2" s="2235"/>
      <c r="GBD2" s="2235"/>
      <c r="GBE2" s="2235"/>
      <c r="GBF2" s="2235"/>
      <c r="GBG2" s="2235"/>
      <c r="GBH2" s="2235"/>
      <c r="GBI2" s="2235"/>
      <c r="GBJ2" s="2235"/>
      <c r="GBK2" s="2235"/>
      <c r="GBL2" s="2235"/>
      <c r="GBM2" s="2235"/>
      <c r="GBN2" s="2235"/>
      <c r="GBO2" s="2235"/>
      <c r="GBP2" s="2235"/>
      <c r="GBQ2" s="2235"/>
      <c r="GBR2" s="2235"/>
      <c r="GBS2" s="2235"/>
      <c r="GBT2" s="2235"/>
      <c r="GBU2" s="2235"/>
      <c r="GBV2" s="2235"/>
      <c r="GBW2" s="2235"/>
      <c r="GBX2" s="2235"/>
      <c r="GBY2" s="2235"/>
      <c r="GBZ2" s="2235"/>
      <c r="GCA2" s="2235"/>
      <c r="GCB2" s="2235"/>
      <c r="GCC2" s="2235"/>
      <c r="GCD2" s="2235"/>
      <c r="GCE2" s="2235"/>
      <c r="GCF2" s="2235"/>
      <c r="GCG2" s="2235"/>
      <c r="GCH2" s="2235"/>
      <c r="GCI2" s="2235"/>
      <c r="GCJ2" s="2235"/>
      <c r="GCK2" s="2235"/>
      <c r="GCL2" s="2235"/>
      <c r="GCM2" s="2235"/>
      <c r="GCN2" s="2235"/>
      <c r="GCO2" s="2235"/>
      <c r="GCP2" s="2235"/>
      <c r="GCQ2" s="2235"/>
      <c r="GCR2" s="2235"/>
      <c r="GCS2" s="2235"/>
      <c r="GCT2" s="2235"/>
      <c r="GCU2" s="2235"/>
      <c r="GCV2" s="2235"/>
      <c r="GCW2" s="2235"/>
      <c r="GCX2" s="2235"/>
      <c r="GCY2" s="2235"/>
      <c r="GCZ2" s="2235"/>
      <c r="GDA2" s="2235"/>
      <c r="GDB2" s="2235"/>
      <c r="GDC2" s="2235"/>
      <c r="GDD2" s="2235"/>
      <c r="GDE2" s="2235"/>
      <c r="GDF2" s="2235"/>
      <c r="GDG2" s="2235"/>
      <c r="GDH2" s="2235"/>
      <c r="GDI2" s="2235"/>
      <c r="GDJ2" s="2235"/>
      <c r="GDK2" s="2235"/>
      <c r="GDL2" s="2235"/>
      <c r="GDM2" s="2235"/>
      <c r="GDN2" s="2235"/>
      <c r="GDO2" s="2235"/>
      <c r="GDP2" s="2235"/>
      <c r="GDQ2" s="2235"/>
      <c r="GDR2" s="2235"/>
      <c r="GDS2" s="2235"/>
      <c r="GDT2" s="2235"/>
      <c r="GDU2" s="2235"/>
      <c r="GDV2" s="2235"/>
      <c r="GDW2" s="2235"/>
      <c r="GDX2" s="2235"/>
      <c r="GDY2" s="2235"/>
      <c r="GDZ2" s="2235"/>
      <c r="GEA2" s="2235"/>
      <c r="GEB2" s="2235"/>
      <c r="GEC2" s="2235"/>
      <c r="GED2" s="2235"/>
      <c r="GEE2" s="2235"/>
      <c r="GEF2" s="2235"/>
      <c r="GEG2" s="2235"/>
      <c r="GEH2" s="2235"/>
      <c r="GEI2" s="2235"/>
      <c r="GEJ2" s="2235"/>
      <c r="GEK2" s="2235"/>
      <c r="GEL2" s="2235"/>
      <c r="GEM2" s="2235"/>
      <c r="GEN2" s="2235"/>
      <c r="GEO2" s="2235"/>
      <c r="GEP2" s="2235"/>
      <c r="GEQ2" s="2235"/>
      <c r="GER2" s="2235"/>
      <c r="GES2" s="2235"/>
      <c r="GET2" s="2235"/>
      <c r="GEU2" s="2235"/>
      <c r="GEV2" s="2235"/>
      <c r="GEW2" s="2235"/>
      <c r="GEX2" s="2235"/>
      <c r="GEY2" s="2235"/>
      <c r="GEZ2" s="2235"/>
      <c r="GFA2" s="2235"/>
      <c r="GFB2" s="2235"/>
      <c r="GFC2" s="2235"/>
      <c r="GFD2" s="2235"/>
      <c r="GFE2" s="2235"/>
      <c r="GFF2" s="2235"/>
      <c r="GFG2" s="2235"/>
      <c r="GFH2" s="2235"/>
      <c r="GFI2" s="2235"/>
      <c r="GFJ2" s="2235"/>
      <c r="GFK2" s="2235"/>
      <c r="GFL2" s="2235"/>
      <c r="GFM2" s="2235"/>
      <c r="GFN2" s="2235"/>
      <c r="GFO2" s="2235"/>
      <c r="GFP2" s="2235"/>
      <c r="GFQ2" s="2235"/>
      <c r="GFR2" s="2235"/>
      <c r="GFS2" s="2235"/>
      <c r="GFT2" s="2235"/>
      <c r="GFU2" s="2235"/>
      <c r="GFV2" s="2235"/>
      <c r="GFW2" s="2235"/>
      <c r="GFX2" s="2235"/>
      <c r="GFY2" s="2235"/>
      <c r="GFZ2" s="2235"/>
      <c r="GGA2" s="2235"/>
      <c r="GGB2" s="2235"/>
      <c r="GGC2" s="2235"/>
      <c r="GGD2" s="2235"/>
      <c r="GGE2" s="2235"/>
      <c r="GGF2" s="2235"/>
      <c r="GGG2" s="2235"/>
      <c r="GGH2" s="2235"/>
      <c r="GGI2" s="2235"/>
      <c r="GGJ2" s="2235"/>
      <c r="GGK2" s="2235"/>
      <c r="GGL2" s="2235"/>
      <c r="GGM2" s="2235"/>
      <c r="GGN2" s="2235"/>
      <c r="GGO2" s="2235"/>
      <c r="GGP2" s="2235"/>
      <c r="GGQ2" s="2235"/>
      <c r="GGR2" s="2235"/>
      <c r="GGS2" s="2235"/>
      <c r="GGT2" s="2235"/>
      <c r="GGU2" s="2235"/>
      <c r="GGV2" s="2235"/>
      <c r="GGW2" s="2235"/>
      <c r="GGX2" s="2235"/>
      <c r="GGY2" s="2235"/>
      <c r="GGZ2" s="2235"/>
      <c r="GHA2" s="2235"/>
      <c r="GHB2" s="2235"/>
      <c r="GHC2" s="2235"/>
      <c r="GHD2" s="2235"/>
      <c r="GHE2" s="2235"/>
      <c r="GHF2" s="2235"/>
      <c r="GHG2" s="2235"/>
      <c r="GHH2" s="2235"/>
      <c r="GHI2" s="2235"/>
      <c r="GHJ2" s="2235"/>
      <c r="GHK2" s="2235"/>
      <c r="GHL2" s="2235"/>
      <c r="GHM2" s="2235"/>
      <c r="GHN2" s="2235"/>
      <c r="GHO2" s="2235"/>
      <c r="GHP2" s="2235"/>
      <c r="GHQ2" s="2235"/>
      <c r="GHR2" s="2235"/>
      <c r="GHS2" s="2235"/>
      <c r="GHT2" s="2235"/>
      <c r="GHU2" s="2235"/>
      <c r="GHV2" s="2235"/>
      <c r="GHW2" s="2235"/>
      <c r="GHX2" s="2235"/>
      <c r="GHY2" s="2235"/>
      <c r="GHZ2" s="2235"/>
      <c r="GIA2" s="2235"/>
      <c r="GIB2" s="2235"/>
      <c r="GIC2" s="2235"/>
      <c r="GID2" s="2235"/>
      <c r="GIE2" s="2235"/>
      <c r="GIF2" s="2235"/>
      <c r="GIG2" s="2235"/>
      <c r="GIH2" s="2235"/>
      <c r="GII2" s="2235"/>
      <c r="GIJ2" s="2235"/>
      <c r="GIK2" s="2235"/>
      <c r="GIL2" s="2235"/>
      <c r="GIM2" s="2235"/>
      <c r="GIN2" s="2235"/>
      <c r="GIO2" s="2235"/>
      <c r="GIP2" s="2235"/>
      <c r="GIQ2" s="2235"/>
      <c r="GIR2" s="2235"/>
      <c r="GIS2" s="2235"/>
      <c r="GIT2" s="2235"/>
      <c r="GIU2" s="2235"/>
      <c r="GIV2" s="2235"/>
      <c r="GIW2" s="2235"/>
      <c r="GIX2" s="2235"/>
      <c r="GIY2" s="2235"/>
      <c r="GIZ2" s="2235"/>
      <c r="GJA2" s="2235"/>
      <c r="GJB2" s="2235"/>
      <c r="GJC2" s="2235"/>
      <c r="GJD2" s="2235"/>
      <c r="GJE2" s="2235"/>
      <c r="GJF2" s="2235"/>
      <c r="GJG2" s="2235"/>
      <c r="GJH2" s="2235"/>
      <c r="GJI2" s="2235"/>
      <c r="GJJ2" s="2235"/>
      <c r="GJK2" s="2235"/>
      <c r="GJL2" s="2235"/>
      <c r="GJM2" s="2235"/>
      <c r="GJN2" s="2235"/>
      <c r="GJO2" s="2235"/>
      <c r="GJP2" s="2235"/>
      <c r="GJQ2" s="2235"/>
      <c r="GJR2" s="2235"/>
      <c r="GJS2" s="2235"/>
      <c r="GJT2" s="2235"/>
      <c r="GJU2" s="2235"/>
      <c r="GJV2" s="2235"/>
      <c r="GJW2" s="2235"/>
      <c r="GJX2" s="2235"/>
      <c r="GJY2" s="2235"/>
      <c r="GJZ2" s="2235"/>
      <c r="GKA2" s="2235"/>
      <c r="GKB2" s="2235"/>
      <c r="GKC2" s="2235"/>
      <c r="GKD2" s="2235"/>
      <c r="GKE2" s="2235"/>
      <c r="GKF2" s="2235"/>
      <c r="GKG2" s="2235"/>
      <c r="GKH2" s="2235"/>
      <c r="GKI2" s="2235"/>
      <c r="GKJ2" s="2235"/>
      <c r="GKK2" s="2235"/>
      <c r="GKL2" s="2235"/>
      <c r="GKM2" s="2235"/>
      <c r="GKN2" s="2235"/>
      <c r="GKO2" s="2235"/>
      <c r="GKP2" s="2235"/>
      <c r="GKQ2" s="2235"/>
      <c r="GKR2" s="2235"/>
      <c r="GKS2" s="2235"/>
      <c r="GKT2" s="2235"/>
      <c r="GKU2" s="2235"/>
      <c r="GKV2" s="2235"/>
      <c r="GKW2" s="2235"/>
      <c r="GKX2" s="2235"/>
      <c r="GKY2" s="2235"/>
      <c r="GKZ2" s="2235"/>
      <c r="GLA2" s="2235"/>
      <c r="GLB2" s="2235"/>
      <c r="GLC2" s="2235"/>
      <c r="GLD2" s="2235"/>
      <c r="GLE2" s="2235"/>
      <c r="GLF2" s="2235"/>
      <c r="GLG2" s="2235"/>
      <c r="GLH2" s="2235"/>
      <c r="GLI2" s="2235"/>
      <c r="GLJ2" s="2235"/>
      <c r="GLK2" s="2235"/>
      <c r="GLL2" s="2235"/>
      <c r="GLM2" s="2235"/>
      <c r="GLN2" s="2235"/>
      <c r="GLO2" s="2235"/>
      <c r="GLP2" s="2235"/>
      <c r="GLQ2" s="2235"/>
      <c r="GLR2" s="2235"/>
      <c r="GLS2" s="2235"/>
      <c r="GLT2" s="2235"/>
      <c r="GLU2" s="2235"/>
      <c r="GLV2" s="2235"/>
      <c r="GLW2" s="2235"/>
      <c r="GLX2" s="2235"/>
      <c r="GLY2" s="2235"/>
      <c r="GLZ2" s="2235"/>
      <c r="GMA2" s="2235"/>
      <c r="GMB2" s="2235"/>
      <c r="GMC2" s="2235"/>
      <c r="GMD2" s="2235"/>
      <c r="GME2" s="2235"/>
      <c r="GMF2" s="2235"/>
      <c r="GMG2" s="2235"/>
      <c r="GMH2" s="2235"/>
      <c r="GMI2" s="2235"/>
      <c r="GMJ2" s="2235"/>
      <c r="GMK2" s="2235"/>
      <c r="GML2" s="2235"/>
      <c r="GMM2" s="2235"/>
      <c r="GMN2" s="2235"/>
      <c r="GMO2" s="2235"/>
      <c r="GMP2" s="2235"/>
      <c r="GMQ2" s="2235"/>
      <c r="GMR2" s="2235"/>
      <c r="GMS2" s="2235"/>
      <c r="GMT2" s="2235"/>
      <c r="GMU2" s="2235"/>
      <c r="GMV2" s="2235"/>
      <c r="GMW2" s="2235"/>
      <c r="GMX2" s="2235"/>
      <c r="GMY2" s="2235"/>
      <c r="GMZ2" s="2235"/>
      <c r="GNA2" s="2235"/>
      <c r="GNB2" s="2235"/>
      <c r="GNC2" s="2235"/>
      <c r="GND2" s="2235"/>
      <c r="GNE2" s="2235"/>
      <c r="GNF2" s="2235"/>
      <c r="GNG2" s="2235"/>
      <c r="GNH2" s="2235"/>
      <c r="GNI2" s="2235"/>
      <c r="GNJ2" s="2235"/>
      <c r="GNK2" s="2235"/>
      <c r="GNL2" s="2235"/>
      <c r="GNM2" s="2235"/>
      <c r="GNN2" s="2235"/>
      <c r="GNO2" s="2235"/>
      <c r="GNP2" s="2235"/>
      <c r="GNQ2" s="2235"/>
      <c r="GNR2" s="2235"/>
      <c r="GNS2" s="2235"/>
      <c r="GNT2" s="2235"/>
      <c r="GNU2" s="2235"/>
      <c r="GNV2" s="2235"/>
      <c r="GNW2" s="2235"/>
      <c r="GNX2" s="2235"/>
      <c r="GNY2" s="2235"/>
      <c r="GNZ2" s="2235"/>
      <c r="GOA2" s="2235"/>
      <c r="GOB2" s="2235"/>
      <c r="GOC2" s="2235"/>
      <c r="GOD2" s="2235"/>
      <c r="GOE2" s="2235"/>
      <c r="GOF2" s="2235"/>
      <c r="GOG2" s="2235"/>
      <c r="GOH2" s="2235"/>
      <c r="GOI2" s="2235"/>
      <c r="GOJ2" s="2235"/>
      <c r="GOK2" s="2235"/>
      <c r="GOL2" s="2235"/>
      <c r="GOM2" s="2235"/>
      <c r="GON2" s="2235"/>
      <c r="GOO2" s="2235"/>
      <c r="GOP2" s="2235"/>
      <c r="GOQ2" s="2235"/>
      <c r="GOR2" s="2235"/>
      <c r="GOS2" s="2235"/>
      <c r="GOT2" s="2235"/>
      <c r="GOU2" s="2235"/>
      <c r="GOV2" s="2235"/>
      <c r="GOW2" s="2235"/>
      <c r="GOX2" s="2235"/>
      <c r="GOY2" s="2235"/>
      <c r="GOZ2" s="2235"/>
      <c r="GPA2" s="2235"/>
      <c r="GPB2" s="2235"/>
      <c r="GPC2" s="2235"/>
      <c r="GPD2" s="2235"/>
      <c r="GPE2" s="2235"/>
      <c r="GPF2" s="2235"/>
      <c r="GPG2" s="2235"/>
      <c r="GPH2" s="2235"/>
      <c r="GPI2" s="2235"/>
      <c r="GPJ2" s="2235"/>
      <c r="GPK2" s="2235"/>
      <c r="GPL2" s="2235"/>
      <c r="GPM2" s="2235"/>
      <c r="GPN2" s="2235"/>
      <c r="GPO2" s="2235"/>
      <c r="GPP2" s="2235"/>
      <c r="GPQ2" s="2235"/>
      <c r="GPR2" s="2235"/>
      <c r="GPS2" s="2235"/>
      <c r="GPT2" s="2235"/>
      <c r="GPU2" s="2235"/>
      <c r="GPV2" s="2235"/>
      <c r="GPW2" s="2235"/>
      <c r="GPX2" s="2235"/>
      <c r="GPY2" s="2235"/>
      <c r="GPZ2" s="2235"/>
      <c r="GQA2" s="2235"/>
      <c r="GQB2" s="2235"/>
      <c r="GQC2" s="2235"/>
      <c r="GQD2" s="2235"/>
      <c r="GQE2" s="2235"/>
      <c r="GQF2" s="2235"/>
      <c r="GQG2" s="2235"/>
      <c r="GQH2" s="2235"/>
      <c r="GQI2" s="2235"/>
      <c r="GQJ2" s="2235"/>
      <c r="GQK2" s="2235"/>
      <c r="GQL2" s="2235"/>
      <c r="GQM2" s="2235"/>
      <c r="GQN2" s="2235"/>
      <c r="GQO2" s="2235"/>
      <c r="GQP2" s="2235"/>
      <c r="GQQ2" s="2235"/>
      <c r="GQR2" s="2235"/>
      <c r="GQS2" s="2235"/>
      <c r="GQT2" s="2235"/>
      <c r="GQU2" s="2235"/>
      <c r="GQV2" s="2235"/>
      <c r="GQW2" s="2235"/>
      <c r="GQX2" s="2235"/>
      <c r="GQY2" s="2235"/>
      <c r="GQZ2" s="2235"/>
      <c r="GRA2" s="2235"/>
      <c r="GRB2" s="2235"/>
      <c r="GRC2" s="2235"/>
      <c r="GRD2" s="2235"/>
      <c r="GRE2" s="2235"/>
      <c r="GRF2" s="2235"/>
      <c r="GRG2" s="2235"/>
      <c r="GRH2" s="2235"/>
      <c r="GRI2" s="2235"/>
      <c r="GRJ2" s="2235"/>
      <c r="GRK2" s="2235"/>
      <c r="GRL2" s="2235"/>
      <c r="GRM2" s="2235"/>
      <c r="GRN2" s="2235"/>
      <c r="GRO2" s="2235"/>
      <c r="GRP2" s="2235"/>
      <c r="GRQ2" s="2235"/>
      <c r="GRR2" s="2235"/>
      <c r="GRS2" s="2235"/>
      <c r="GRT2" s="2235"/>
      <c r="GRU2" s="2235"/>
      <c r="GRV2" s="2235"/>
      <c r="GRW2" s="2235"/>
      <c r="GRX2" s="2235"/>
      <c r="GRY2" s="2235"/>
      <c r="GRZ2" s="2235"/>
      <c r="GSA2" s="2235"/>
      <c r="GSB2" s="2235"/>
      <c r="GSC2" s="2235"/>
      <c r="GSD2" s="2235"/>
      <c r="GSE2" s="2235"/>
      <c r="GSF2" s="2235"/>
      <c r="GSG2" s="2235"/>
      <c r="GSH2" s="2235"/>
      <c r="GSI2" s="2235"/>
      <c r="GSJ2" s="2235"/>
      <c r="GSK2" s="2235"/>
      <c r="GSL2" s="2235"/>
      <c r="GSM2" s="2235"/>
      <c r="GSN2" s="2235"/>
      <c r="GSO2" s="2235"/>
      <c r="GSP2" s="2235"/>
      <c r="GSQ2" s="2235"/>
      <c r="GSR2" s="2235"/>
      <c r="GSS2" s="2235"/>
      <c r="GST2" s="2235"/>
      <c r="GSU2" s="2235"/>
      <c r="GSV2" s="2235"/>
      <c r="GSW2" s="2235"/>
      <c r="GSX2" s="2235"/>
      <c r="GSY2" s="2235"/>
      <c r="GSZ2" s="2235"/>
      <c r="GTA2" s="2235"/>
      <c r="GTB2" s="2235"/>
      <c r="GTC2" s="2235"/>
      <c r="GTD2" s="2235"/>
      <c r="GTE2" s="2235"/>
      <c r="GTF2" s="2235"/>
      <c r="GTG2" s="2235"/>
      <c r="GTH2" s="2235"/>
      <c r="GTI2" s="2235"/>
      <c r="GTJ2" s="2235"/>
      <c r="GTK2" s="2235"/>
      <c r="GTL2" s="2235"/>
      <c r="GTM2" s="2235"/>
      <c r="GTN2" s="2235"/>
      <c r="GTO2" s="2235"/>
      <c r="GTP2" s="2235"/>
      <c r="GTQ2" s="2235"/>
      <c r="GTR2" s="2235"/>
      <c r="GTS2" s="2235"/>
      <c r="GTT2" s="2235"/>
      <c r="GTU2" s="2235"/>
      <c r="GTV2" s="2235"/>
      <c r="GTW2" s="2235"/>
      <c r="GTX2" s="2235"/>
      <c r="GTY2" s="2235"/>
      <c r="GTZ2" s="2235"/>
      <c r="GUA2" s="2235"/>
      <c r="GUB2" s="2235"/>
      <c r="GUC2" s="2235"/>
      <c r="GUD2" s="2235"/>
      <c r="GUE2" s="2235"/>
      <c r="GUF2" s="2235"/>
      <c r="GUG2" s="2235"/>
      <c r="GUH2" s="2235"/>
      <c r="GUI2" s="2235"/>
      <c r="GUJ2" s="2235"/>
      <c r="GUK2" s="2235"/>
      <c r="GUL2" s="2235"/>
      <c r="GUM2" s="2235"/>
      <c r="GUN2" s="2235"/>
      <c r="GUO2" s="2235"/>
      <c r="GUP2" s="2235"/>
      <c r="GUQ2" s="2235"/>
      <c r="GUR2" s="2235"/>
      <c r="GUS2" s="2235"/>
      <c r="GUT2" s="2235"/>
      <c r="GUU2" s="2235"/>
      <c r="GUV2" s="2235"/>
      <c r="GUW2" s="2235"/>
      <c r="GUX2" s="2235"/>
      <c r="GUY2" s="2235"/>
      <c r="GUZ2" s="2235"/>
      <c r="GVA2" s="2235"/>
      <c r="GVB2" s="2235"/>
      <c r="GVC2" s="2235"/>
      <c r="GVD2" s="2235"/>
      <c r="GVE2" s="2235"/>
      <c r="GVF2" s="2235"/>
      <c r="GVG2" s="2235"/>
      <c r="GVH2" s="2235"/>
      <c r="GVI2" s="2235"/>
      <c r="GVJ2" s="2235"/>
      <c r="GVK2" s="2235"/>
      <c r="GVL2" s="2235"/>
      <c r="GVM2" s="2235"/>
      <c r="GVN2" s="2235"/>
      <c r="GVO2" s="2235"/>
      <c r="GVP2" s="2235"/>
      <c r="GVQ2" s="2235"/>
      <c r="GVR2" s="2235"/>
      <c r="GVS2" s="2235"/>
      <c r="GVT2" s="2235"/>
      <c r="GVU2" s="2235"/>
      <c r="GVV2" s="2235"/>
      <c r="GVW2" s="2235"/>
      <c r="GVX2" s="2235"/>
      <c r="GVY2" s="2235"/>
      <c r="GVZ2" s="2235"/>
      <c r="GWA2" s="2235"/>
      <c r="GWB2" s="2235"/>
      <c r="GWC2" s="2235"/>
      <c r="GWD2" s="2235"/>
      <c r="GWE2" s="2235"/>
      <c r="GWF2" s="2235"/>
      <c r="GWG2" s="2235"/>
      <c r="GWH2" s="2235"/>
      <c r="GWI2" s="2235"/>
      <c r="GWJ2" s="2235"/>
      <c r="GWK2" s="2235"/>
      <c r="GWL2" s="2235"/>
      <c r="GWM2" s="2235"/>
      <c r="GWN2" s="2235"/>
      <c r="GWO2" s="2235"/>
      <c r="GWP2" s="2235"/>
      <c r="GWQ2" s="2235"/>
      <c r="GWR2" s="2235"/>
      <c r="GWS2" s="2235"/>
      <c r="GWT2" s="2235"/>
      <c r="GWU2" s="2235"/>
      <c r="GWV2" s="2235"/>
      <c r="GWW2" s="2235"/>
      <c r="GWX2" s="2235"/>
      <c r="GWY2" s="2235"/>
      <c r="GWZ2" s="2235"/>
      <c r="GXA2" s="2235"/>
      <c r="GXB2" s="2235"/>
      <c r="GXC2" s="2235"/>
      <c r="GXD2" s="2235"/>
      <c r="GXE2" s="2235"/>
      <c r="GXF2" s="2235"/>
      <c r="GXG2" s="2235"/>
      <c r="GXH2" s="2235"/>
      <c r="GXI2" s="2235"/>
      <c r="GXJ2" s="2235"/>
      <c r="GXK2" s="2235"/>
      <c r="GXL2" s="2235"/>
      <c r="GXM2" s="2235"/>
      <c r="GXN2" s="2235"/>
      <c r="GXO2" s="2235"/>
      <c r="GXP2" s="2235"/>
      <c r="GXQ2" s="2235"/>
      <c r="GXR2" s="2235"/>
      <c r="GXS2" s="2235"/>
      <c r="GXT2" s="2235"/>
      <c r="GXU2" s="2235"/>
      <c r="GXV2" s="2235"/>
      <c r="GXW2" s="2235"/>
      <c r="GXX2" s="2235"/>
      <c r="GXY2" s="2235"/>
      <c r="GXZ2" s="2235"/>
      <c r="GYA2" s="2235"/>
      <c r="GYB2" s="2235"/>
      <c r="GYC2" s="2235"/>
      <c r="GYD2" s="2235"/>
      <c r="GYE2" s="2235"/>
      <c r="GYF2" s="2235"/>
      <c r="GYG2" s="2235"/>
      <c r="GYH2" s="2235"/>
      <c r="GYI2" s="2235"/>
      <c r="GYJ2" s="2235"/>
      <c r="GYK2" s="2235"/>
      <c r="GYL2" s="2235"/>
      <c r="GYM2" s="2235"/>
      <c r="GYN2" s="2235"/>
      <c r="GYO2" s="2235"/>
      <c r="GYP2" s="2235"/>
      <c r="GYQ2" s="2235"/>
      <c r="GYR2" s="2235"/>
      <c r="GYS2" s="2235"/>
      <c r="GYT2" s="2235"/>
      <c r="GYU2" s="2235"/>
      <c r="GYV2" s="2235"/>
      <c r="GYW2" s="2235"/>
      <c r="GYX2" s="2235"/>
      <c r="GYY2" s="2235"/>
      <c r="GYZ2" s="2235"/>
      <c r="GZA2" s="2235"/>
      <c r="GZB2" s="2235"/>
      <c r="GZC2" s="2235"/>
      <c r="GZD2" s="2235"/>
      <c r="GZE2" s="2235"/>
      <c r="GZF2" s="2235"/>
      <c r="GZG2" s="2235"/>
      <c r="GZH2" s="2235"/>
      <c r="GZI2" s="2235"/>
      <c r="GZJ2" s="2235"/>
      <c r="GZK2" s="2235"/>
      <c r="GZL2" s="2235"/>
      <c r="GZM2" s="2235"/>
      <c r="GZN2" s="2235"/>
      <c r="GZO2" s="2235"/>
      <c r="GZP2" s="2235"/>
      <c r="GZQ2" s="2235"/>
      <c r="GZR2" s="2235"/>
      <c r="GZS2" s="2235"/>
      <c r="GZT2" s="2235"/>
      <c r="GZU2" s="2235"/>
      <c r="GZV2" s="2235"/>
      <c r="GZW2" s="2235"/>
      <c r="GZX2" s="2235"/>
      <c r="GZY2" s="2235"/>
      <c r="GZZ2" s="2235"/>
      <c r="HAA2" s="2235"/>
      <c r="HAB2" s="2235"/>
      <c r="HAC2" s="2235"/>
      <c r="HAD2" s="2235"/>
      <c r="HAE2" s="2235"/>
      <c r="HAF2" s="2235"/>
      <c r="HAG2" s="2235"/>
      <c r="HAH2" s="2235"/>
      <c r="HAI2" s="2235"/>
      <c r="HAJ2" s="2235"/>
      <c r="HAK2" s="2235"/>
      <c r="HAL2" s="2235"/>
      <c r="HAM2" s="2235"/>
      <c r="HAN2" s="2235"/>
      <c r="HAO2" s="2235"/>
      <c r="HAP2" s="2235"/>
      <c r="HAQ2" s="2235"/>
      <c r="HAR2" s="2235"/>
      <c r="HAS2" s="2235"/>
      <c r="HAT2" s="2235"/>
      <c r="HAU2" s="2235"/>
      <c r="HAV2" s="2235"/>
      <c r="HAW2" s="2235"/>
      <c r="HAX2" s="2235"/>
      <c r="HAY2" s="2235"/>
      <c r="HAZ2" s="2235"/>
      <c r="HBA2" s="2235"/>
      <c r="HBB2" s="2235"/>
      <c r="HBC2" s="2235"/>
      <c r="HBD2" s="2235"/>
      <c r="HBE2" s="2235"/>
      <c r="HBF2" s="2235"/>
      <c r="HBG2" s="2235"/>
      <c r="HBH2" s="2235"/>
      <c r="HBI2" s="2235"/>
      <c r="HBJ2" s="2235"/>
      <c r="HBK2" s="2235"/>
      <c r="HBL2" s="2235"/>
      <c r="HBM2" s="2235"/>
      <c r="HBN2" s="2235"/>
      <c r="HBO2" s="2235"/>
      <c r="HBP2" s="2235"/>
      <c r="HBQ2" s="2235"/>
      <c r="HBR2" s="2235"/>
      <c r="HBS2" s="2235"/>
      <c r="HBT2" s="2235"/>
      <c r="HBU2" s="2235"/>
      <c r="HBV2" s="2235"/>
      <c r="HBW2" s="2235"/>
      <c r="HBX2" s="2235"/>
      <c r="HBY2" s="2235"/>
      <c r="HBZ2" s="2235"/>
      <c r="HCA2" s="2235"/>
      <c r="HCB2" s="2235"/>
      <c r="HCC2" s="2235"/>
      <c r="HCD2" s="2235"/>
      <c r="HCE2" s="2235"/>
      <c r="HCF2" s="2235"/>
      <c r="HCG2" s="2235"/>
      <c r="HCH2" s="2235"/>
      <c r="HCI2" s="2235"/>
      <c r="HCJ2" s="2235"/>
      <c r="HCK2" s="2235"/>
      <c r="HCL2" s="2235"/>
      <c r="HCM2" s="2235"/>
      <c r="HCN2" s="2235"/>
      <c r="HCO2" s="2235"/>
      <c r="HCP2" s="2235"/>
      <c r="HCQ2" s="2235"/>
      <c r="HCR2" s="2235"/>
      <c r="HCS2" s="2235"/>
      <c r="HCT2" s="2235"/>
      <c r="HCU2" s="2235"/>
      <c r="HCV2" s="2235"/>
      <c r="HCW2" s="2235"/>
      <c r="HCX2" s="2235"/>
      <c r="HCY2" s="2235"/>
      <c r="HCZ2" s="2235"/>
      <c r="HDA2" s="2235"/>
      <c r="HDB2" s="2235"/>
      <c r="HDC2" s="2235"/>
      <c r="HDD2" s="2235"/>
      <c r="HDE2" s="2235"/>
      <c r="HDF2" s="2235"/>
      <c r="HDG2" s="2235"/>
      <c r="HDH2" s="2235"/>
      <c r="HDI2" s="2235"/>
      <c r="HDJ2" s="2235"/>
      <c r="HDK2" s="2235"/>
      <c r="HDL2" s="2235"/>
      <c r="HDM2" s="2235"/>
      <c r="HDN2" s="2235"/>
      <c r="HDO2" s="2235"/>
      <c r="HDP2" s="2235"/>
      <c r="HDQ2" s="2235"/>
      <c r="HDR2" s="2235"/>
      <c r="HDS2" s="2235"/>
      <c r="HDT2" s="2235"/>
      <c r="HDU2" s="2235"/>
      <c r="HDV2" s="2235"/>
      <c r="HDW2" s="2235"/>
      <c r="HDX2" s="2235"/>
      <c r="HDY2" s="2235"/>
      <c r="HDZ2" s="2235"/>
      <c r="HEA2" s="2235"/>
      <c r="HEB2" s="2235"/>
      <c r="HEC2" s="2235"/>
      <c r="HED2" s="2235"/>
      <c r="HEE2" s="2235"/>
      <c r="HEF2" s="2235"/>
      <c r="HEG2" s="2235"/>
      <c r="HEH2" s="2235"/>
      <c r="HEI2" s="2235"/>
      <c r="HEJ2" s="2235"/>
      <c r="HEK2" s="2235"/>
      <c r="HEL2" s="2235"/>
      <c r="HEM2" s="2235"/>
      <c r="HEN2" s="2235"/>
      <c r="HEO2" s="2235"/>
      <c r="HEP2" s="2235"/>
      <c r="HEQ2" s="2235"/>
      <c r="HER2" s="2235"/>
      <c r="HES2" s="2235"/>
      <c r="HET2" s="2235"/>
      <c r="HEU2" s="2235"/>
      <c r="HEV2" s="2235"/>
      <c r="HEW2" s="2235"/>
      <c r="HEX2" s="2235"/>
      <c r="HEY2" s="2235"/>
      <c r="HEZ2" s="2235"/>
      <c r="HFA2" s="2235"/>
      <c r="HFB2" s="2235"/>
      <c r="HFC2" s="2235"/>
      <c r="HFD2" s="2235"/>
      <c r="HFE2" s="2235"/>
      <c r="HFF2" s="2235"/>
      <c r="HFG2" s="2235"/>
      <c r="HFH2" s="2235"/>
      <c r="HFI2" s="2235"/>
      <c r="HFJ2" s="2235"/>
      <c r="HFK2" s="2235"/>
      <c r="HFL2" s="2235"/>
      <c r="HFM2" s="2235"/>
      <c r="HFN2" s="2235"/>
      <c r="HFO2" s="2235"/>
      <c r="HFP2" s="2235"/>
      <c r="HFQ2" s="2235"/>
      <c r="HFR2" s="2235"/>
      <c r="HFS2" s="2235"/>
      <c r="HFT2" s="2235"/>
      <c r="HFU2" s="2235"/>
      <c r="HFV2" s="2235"/>
      <c r="HFW2" s="2235"/>
      <c r="HFX2" s="2235"/>
      <c r="HFY2" s="2235"/>
      <c r="HFZ2" s="2235"/>
      <c r="HGA2" s="2235"/>
      <c r="HGB2" s="2235"/>
      <c r="HGC2" s="2235"/>
      <c r="HGD2" s="2235"/>
      <c r="HGE2" s="2235"/>
      <c r="HGF2" s="2235"/>
      <c r="HGG2" s="2235"/>
      <c r="HGH2" s="2235"/>
      <c r="HGI2" s="2235"/>
      <c r="HGJ2" s="2235"/>
      <c r="HGK2" s="2235"/>
      <c r="HGL2" s="2235"/>
      <c r="HGM2" s="2235"/>
      <c r="HGN2" s="2235"/>
      <c r="HGO2" s="2235"/>
      <c r="HGP2" s="2235"/>
      <c r="HGQ2" s="2235"/>
      <c r="HGR2" s="2235"/>
      <c r="HGS2" s="2235"/>
      <c r="HGT2" s="2235"/>
      <c r="HGU2" s="2235"/>
      <c r="HGV2" s="2235"/>
      <c r="HGW2" s="2235"/>
      <c r="HGX2" s="2235"/>
      <c r="HGY2" s="2235"/>
      <c r="HGZ2" s="2235"/>
      <c r="HHA2" s="2235"/>
      <c r="HHB2" s="2235"/>
      <c r="HHC2" s="2235"/>
      <c r="HHD2" s="2235"/>
      <c r="HHE2" s="2235"/>
      <c r="HHF2" s="2235"/>
      <c r="HHG2" s="2235"/>
      <c r="HHH2" s="2235"/>
      <c r="HHI2" s="2235"/>
      <c r="HHJ2" s="2235"/>
      <c r="HHK2" s="2235"/>
      <c r="HHL2" s="2235"/>
      <c r="HHM2" s="2235"/>
      <c r="HHN2" s="2235"/>
      <c r="HHO2" s="2235"/>
      <c r="HHP2" s="2235"/>
      <c r="HHQ2" s="2235"/>
      <c r="HHR2" s="2235"/>
      <c r="HHS2" s="2235"/>
      <c r="HHT2" s="2235"/>
      <c r="HHU2" s="2235"/>
      <c r="HHV2" s="2235"/>
      <c r="HHW2" s="2235"/>
      <c r="HHX2" s="2235"/>
      <c r="HHY2" s="2235"/>
      <c r="HHZ2" s="2235"/>
      <c r="HIA2" s="2235"/>
      <c r="HIB2" s="2235"/>
      <c r="HIC2" s="2235"/>
      <c r="HID2" s="2235"/>
      <c r="HIE2" s="2235"/>
      <c r="HIF2" s="2235"/>
      <c r="HIG2" s="2235"/>
      <c r="HIH2" s="2235"/>
      <c r="HII2" s="2235"/>
      <c r="HIJ2" s="2235"/>
      <c r="HIK2" s="2235"/>
      <c r="HIL2" s="2235"/>
      <c r="HIM2" s="2235"/>
      <c r="HIN2" s="2235"/>
      <c r="HIO2" s="2235"/>
      <c r="HIP2" s="2235"/>
      <c r="HIQ2" s="2235"/>
      <c r="HIR2" s="2235"/>
      <c r="HIS2" s="2235"/>
      <c r="HIT2" s="2235"/>
      <c r="HIU2" s="2235"/>
      <c r="HIV2" s="2235"/>
      <c r="HIW2" s="2235"/>
      <c r="HIX2" s="2235"/>
      <c r="HIY2" s="2235"/>
      <c r="HIZ2" s="2235"/>
      <c r="HJA2" s="2235"/>
      <c r="HJB2" s="2235"/>
      <c r="HJC2" s="2235"/>
      <c r="HJD2" s="2235"/>
      <c r="HJE2" s="2235"/>
      <c r="HJF2" s="2235"/>
      <c r="HJG2" s="2235"/>
      <c r="HJH2" s="2235"/>
      <c r="HJI2" s="2235"/>
      <c r="HJJ2" s="2235"/>
      <c r="HJK2" s="2235"/>
      <c r="HJL2" s="2235"/>
      <c r="HJM2" s="2235"/>
      <c r="HJN2" s="2235"/>
      <c r="HJO2" s="2235"/>
      <c r="HJP2" s="2235"/>
      <c r="HJQ2" s="2235"/>
      <c r="HJR2" s="2235"/>
      <c r="HJS2" s="2235"/>
      <c r="HJT2" s="2235"/>
      <c r="HJU2" s="2235"/>
      <c r="HJV2" s="2235"/>
      <c r="HJW2" s="2235"/>
      <c r="HJX2" s="2235"/>
      <c r="HJY2" s="2235"/>
      <c r="HJZ2" s="2235"/>
      <c r="HKA2" s="2235"/>
      <c r="HKB2" s="2235"/>
      <c r="HKC2" s="2235"/>
      <c r="HKD2" s="2235"/>
      <c r="HKE2" s="2235"/>
      <c r="HKF2" s="2235"/>
      <c r="HKG2" s="2235"/>
      <c r="HKH2" s="2235"/>
      <c r="HKI2" s="2235"/>
      <c r="HKJ2" s="2235"/>
      <c r="HKK2" s="2235"/>
      <c r="HKL2" s="2235"/>
      <c r="HKM2" s="2235"/>
      <c r="HKN2" s="2235"/>
      <c r="HKO2" s="2235"/>
      <c r="HKP2" s="2235"/>
      <c r="HKQ2" s="2235"/>
      <c r="HKR2" s="2235"/>
      <c r="HKS2" s="2235"/>
      <c r="HKT2" s="2235"/>
      <c r="HKU2" s="2235"/>
      <c r="HKV2" s="2235"/>
      <c r="HKW2" s="2235"/>
      <c r="HKX2" s="2235"/>
      <c r="HKY2" s="2235"/>
      <c r="HKZ2" s="2235"/>
      <c r="HLA2" s="2235"/>
      <c r="HLB2" s="2235"/>
      <c r="HLC2" s="2235"/>
      <c r="HLD2" s="2235"/>
      <c r="HLE2" s="2235"/>
      <c r="HLF2" s="2235"/>
      <c r="HLG2" s="2235"/>
      <c r="HLH2" s="2235"/>
      <c r="HLI2" s="2235"/>
      <c r="HLJ2" s="2235"/>
      <c r="HLK2" s="2235"/>
      <c r="HLL2" s="2235"/>
      <c r="HLM2" s="2235"/>
      <c r="HLN2" s="2235"/>
      <c r="HLO2" s="2235"/>
      <c r="HLP2" s="2235"/>
      <c r="HLQ2" s="2235"/>
      <c r="HLR2" s="2235"/>
      <c r="HLS2" s="2235"/>
      <c r="HLT2" s="2235"/>
      <c r="HLU2" s="2235"/>
      <c r="HLV2" s="2235"/>
      <c r="HLW2" s="2235"/>
      <c r="HLX2" s="2235"/>
      <c r="HLY2" s="2235"/>
      <c r="HLZ2" s="2235"/>
      <c r="HMA2" s="2235"/>
      <c r="HMB2" s="2235"/>
      <c r="HMC2" s="2235"/>
      <c r="HMD2" s="2235"/>
      <c r="HME2" s="2235"/>
      <c r="HMF2" s="2235"/>
      <c r="HMG2" s="2235"/>
      <c r="HMH2" s="2235"/>
      <c r="HMI2" s="2235"/>
      <c r="HMJ2" s="2235"/>
      <c r="HMK2" s="2235"/>
      <c r="HML2" s="2235"/>
      <c r="HMM2" s="2235"/>
      <c r="HMN2" s="2235"/>
      <c r="HMO2" s="2235"/>
      <c r="HMP2" s="2235"/>
      <c r="HMQ2" s="2235"/>
      <c r="HMR2" s="2235"/>
      <c r="HMS2" s="2235"/>
      <c r="HMT2" s="2235"/>
      <c r="HMU2" s="2235"/>
      <c r="HMV2" s="2235"/>
      <c r="HMW2" s="2235"/>
      <c r="HMX2" s="2235"/>
      <c r="HMY2" s="2235"/>
      <c r="HMZ2" s="2235"/>
      <c r="HNA2" s="2235"/>
      <c r="HNB2" s="2235"/>
      <c r="HNC2" s="2235"/>
      <c r="HND2" s="2235"/>
      <c r="HNE2" s="2235"/>
      <c r="HNF2" s="2235"/>
      <c r="HNG2" s="2235"/>
      <c r="HNH2" s="2235"/>
      <c r="HNI2" s="2235"/>
      <c r="HNJ2" s="2235"/>
      <c r="HNK2" s="2235"/>
      <c r="HNL2" s="2235"/>
      <c r="HNM2" s="2235"/>
      <c r="HNN2" s="2235"/>
      <c r="HNO2" s="2235"/>
      <c r="HNP2" s="2235"/>
      <c r="HNQ2" s="2235"/>
      <c r="HNR2" s="2235"/>
      <c r="HNS2" s="2235"/>
      <c r="HNT2" s="2235"/>
      <c r="HNU2" s="2235"/>
      <c r="HNV2" s="2235"/>
      <c r="HNW2" s="2235"/>
      <c r="HNX2" s="2235"/>
      <c r="HNY2" s="2235"/>
      <c r="HNZ2" s="2235"/>
      <c r="HOA2" s="2235"/>
      <c r="HOB2" s="2235"/>
      <c r="HOC2" s="2235"/>
      <c r="HOD2" s="2235"/>
      <c r="HOE2" s="2235"/>
      <c r="HOF2" s="2235"/>
      <c r="HOG2" s="2235"/>
      <c r="HOH2" s="2235"/>
      <c r="HOI2" s="2235"/>
      <c r="HOJ2" s="2235"/>
      <c r="HOK2" s="2235"/>
      <c r="HOL2" s="2235"/>
      <c r="HOM2" s="2235"/>
      <c r="HON2" s="2235"/>
      <c r="HOO2" s="2235"/>
      <c r="HOP2" s="2235"/>
      <c r="HOQ2" s="2235"/>
      <c r="HOR2" s="2235"/>
      <c r="HOS2" s="2235"/>
      <c r="HOT2" s="2235"/>
      <c r="HOU2" s="2235"/>
      <c r="HOV2" s="2235"/>
      <c r="HOW2" s="2235"/>
      <c r="HOX2" s="2235"/>
      <c r="HOY2" s="2235"/>
      <c r="HOZ2" s="2235"/>
      <c r="HPA2" s="2235"/>
      <c r="HPB2" s="2235"/>
      <c r="HPC2" s="2235"/>
      <c r="HPD2" s="2235"/>
      <c r="HPE2" s="2235"/>
      <c r="HPF2" s="2235"/>
      <c r="HPG2" s="2235"/>
      <c r="HPH2" s="2235"/>
      <c r="HPI2" s="2235"/>
      <c r="HPJ2" s="2235"/>
      <c r="HPK2" s="2235"/>
      <c r="HPL2" s="2235"/>
      <c r="HPM2" s="2235"/>
      <c r="HPN2" s="2235"/>
      <c r="HPO2" s="2235"/>
      <c r="HPP2" s="2235"/>
      <c r="HPQ2" s="2235"/>
      <c r="HPR2" s="2235"/>
      <c r="HPS2" s="2235"/>
      <c r="HPT2" s="2235"/>
      <c r="HPU2" s="2235"/>
      <c r="HPV2" s="2235"/>
      <c r="HPW2" s="2235"/>
      <c r="HPX2" s="2235"/>
      <c r="HPY2" s="2235"/>
      <c r="HPZ2" s="2235"/>
      <c r="HQA2" s="2235"/>
      <c r="HQB2" s="2235"/>
      <c r="HQC2" s="2235"/>
      <c r="HQD2" s="2235"/>
      <c r="HQE2" s="2235"/>
      <c r="HQF2" s="2235"/>
      <c r="HQG2" s="2235"/>
      <c r="HQH2" s="2235"/>
      <c r="HQI2" s="2235"/>
      <c r="HQJ2" s="2235"/>
      <c r="HQK2" s="2235"/>
      <c r="HQL2" s="2235"/>
      <c r="HQM2" s="2235"/>
      <c r="HQN2" s="2235"/>
      <c r="HQO2" s="2235"/>
      <c r="HQP2" s="2235"/>
      <c r="HQQ2" s="2235"/>
      <c r="HQR2" s="2235"/>
      <c r="HQS2" s="2235"/>
      <c r="HQT2" s="2235"/>
      <c r="HQU2" s="2235"/>
      <c r="HQV2" s="2235"/>
      <c r="HQW2" s="2235"/>
      <c r="HQX2" s="2235"/>
      <c r="HQY2" s="2235"/>
      <c r="HQZ2" s="2235"/>
      <c r="HRA2" s="2235"/>
      <c r="HRB2" s="2235"/>
      <c r="HRC2" s="2235"/>
      <c r="HRD2" s="2235"/>
      <c r="HRE2" s="2235"/>
      <c r="HRF2" s="2235"/>
      <c r="HRG2" s="2235"/>
      <c r="HRH2" s="2235"/>
      <c r="HRI2" s="2235"/>
      <c r="HRJ2" s="2235"/>
      <c r="HRK2" s="2235"/>
      <c r="HRL2" s="2235"/>
      <c r="HRM2" s="2235"/>
      <c r="HRN2" s="2235"/>
      <c r="HRO2" s="2235"/>
      <c r="HRP2" s="2235"/>
      <c r="HRQ2" s="2235"/>
      <c r="HRR2" s="2235"/>
      <c r="HRS2" s="2235"/>
      <c r="HRT2" s="2235"/>
      <c r="HRU2" s="2235"/>
      <c r="HRV2" s="2235"/>
      <c r="HRW2" s="2235"/>
      <c r="HRX2" s="2235"/>
      <c r="HRY2" s="2235"/>
      <c r="HRZ2" s="2235"/>
      <c r="HSA2" s="2235"/>
      <c r="HSB2" s="2235"/>
      <c r="HSC2" s="2235"/>
      <c r="HSD2" s="2235"/>
      <c r="HSE2" s="2235"/>
      <c r="HSF2" s="2235"/>
      <c r="HSG2" s="2235"/>
      <c r="HSH2" s="2235"/>
      <c r="HSI2" s="2235"/>
      <c r="HSJ2" s="2235"/>
      <c r="HSK2" s="2235"/>
      <c r="HSL2" s="2235"/>
      <c r="HSM2" s="2235"/>
      <c r="HSN2" s="2235"/>
      <c r="HSO2" s="2235"/>
      <c r="HSP2" s="2235"/>
      <c r="HSQ2" s="2235"/>
      <c r="HSR2" s="2235"/>
      <c r="HSS2" s="2235"/>
      <c r="HST2" s="2235"/>
      <c r="HSU2" s="2235"/>
      <c r="HSV2" s="2235"/>
      <c r="HSW2" s="2235"/>
      <c r="HSX2" s="2235"/>
      <c r="HSY2" s="2235"/>
      <c r="HSZ2" s="2235"/>
      <c r="HTA2" s="2235"/>
      <c r="HTB2" s="2235"/>
      <c r="HTC2" s="2235"/>
      <c r="HTD2" s="2235"/>
      <c r="HTE2" s="2235"/>
      <c r="HTF2" s="2235"/>
      <c r="HTG2" s="2235"/>
      <c r="HTH2" s="2235"/>
      <c r="HTI2" s="2235"/>
      <c r="HTJ2" s="2235"/>
      <c r="HTK2" s="2235"/>
      <c r="HTL2" s="2235"/>
      <c r="HTM2" s="2235"/>
      <c r="HTN2" s="2235"/>
      <c r="HTO2" s="2235"/>
      <c r="HTP2" s="2235"/>
      <c r="HTQ2" s="2235"/>
      <c r="HTR2" s="2235"/>
      <c r="HTS2" s="2235"/>
      <c r="HTT2" s="2235"/>
      <c r="HTU2" s="2235"/>
      <c r="HTV2" s="2235"/>
      <c r="HTW2" s="2235"/>
      <c r="HTX2" s="2235"/>
      <c r="HTY2" s="2235"/>
      <c r="HTZ2" s="2235"/>
      <c r="HUA2" s="2235"/>
      <c r="HUB2" s="2235"/>
      <c r="HUC2" s="2235"/>
      <c r="HUD2" s="2235"/>
      <c r="HUE2" s="2235"/>
      <c r="HUF2" s="2235"/>
      <c r="HUG2" s="2235"/>
      <c r="HUH2" s="2235"/>
      <c r="HUI2" s="2235"/>
      <c r="HUJ2" s="2235"/>
      <c r="HUK2" s="2235"/>
      <c r="HUL2" s="2235"/>
      <c r="HUM2" s="2235"/>
      <c r="HUN2" s="2235"/>
      <c r="HUO2" s="2235"/>
      <c r="HUP2" s="2235"/>
      <c r="HUQ2" s="2235"/>
      <c r="HUR2" s="2235"/>
      <c r="HUS2" s="2235"/>
      <c r="HUT2" s="2235"/>
      <c r="HUU2" s="2235"/>
      <c r="HUV2" s="2235"/>
      <c r="HUW2" s="2235"/>
      <c r="HUX2" s="2235"/>
      <c r="HUY2" s="2235"/>
      <c r="HUZ2" s="2235"/>
      <c r="HVA2" s="2235"/>
      <c r="HVB2" s="2235"/>
      <c r="HVC2" s="2235"/>
      <c r="HVD2" s="2235"/>
      <c r="HVE2" s="2235"/>
      <c r="HVF2" s="2235"/>
      <c r="HVG2" s="2235"/>
      <c r="HVH2" s="2235"/>
      <c r="HVI2" s="2235"/>
      <c r="HVJ2" s="2235"/>
      <c r="HVK2" s="2235"/>
      <c r="HVL2" s="2235"/>
      <c r="HVM2" s="2235"/>
      <c r="HVN2" s="2235"/>
      <c r="HVO2" s="2235"/>
      <c r="HVP2" s="2235"/>
      <c r="HVQ2" s="2235"/>
      <c r="HVR2" s="2235"/>
      <c r="HVS2" s="2235"/>
      <c r="HVT2" s="2235"/>
      <c r="HVU2" s="2235"/>
      <c r="HVV2" s="2235"/>
      <c r="HVW2" s="2235"/>
      <c r="HVX2" s="2235"/>
      <c r="HVY2" s="2235"/>
      <c r="HVZ2" s="2235"/>
      <c r="HWA2" s="2235"/>
      <c r="HWB2" s="2235"/>
      <c r="HWC2" s="2235"/>
      <c r="HWD2" s="2235"/>
      <c r="HWE2" s="2235"/>
      <c r="HWF2" s="2235"/>
      <c r="HWG2" s="2235"/>
      <c r="HWH2" s="2235"/>
      <c r="HWI2" s="2235"/>
      <c r="HWJ2" s="2235"/>
      <c r="HWK2" s="2235"/>
      <c r="HWL2" s="2235"/>
      <c r="HWM2" s="2235"/>
      <c r="HWN2" s="2235"/>
      <c r="HWO2" s="2235"/>
      <c r="HWP2" s="2235"/>
      <c r="HWQ2" s="2235"/>
      <c r="HWR2" s="2235"/>
      <c r="HWS2" s="2235"/>
      <c r="HWT2" s="2235"/>
      <c r="HWU2" s="2235"/>
      <c r="HWV2" s="2235"/>
      <c r="HWW2" s="2235"/>
      <c r="HWX2" s="2235"/>
      <c r="HWY2" s="2235"/>
      <c r="HWZ2" s="2235"/>
      <c r="HXA2" s="2235"/>
      <c r="HXB2" s="2235"/>
      <c r="HXC2" s="2235"/>
      <c r="HXD2" s="2235"/>
      <c r="HXE2" s="2235"/>
      <c r="HXF2" s="2235"/>
      <c r="HXG2" s="2235"/>
      <c r="HXH2" s="2235"/>
      <c r="HXI2" s="2235"/>
      <c r="HXJ2" s="2235"/>
      <c r="HXK2" s="2235"/>
      <c r="HXL2" s="2235"/>
      <c r="HXM2" s="2235"/>
      <c r="HXN2" s="2235"/>
      <c r="HXO2" s="2235"/>
      <c r="HXP2" s="2235"/>
      <c r="HXQ2" s="2235"/>
      <c r="HXR2" s="2235"/>
      <c r="HXS2" s="2235"/>
      <c r="HXT2" s="2235"/>
      <c r="HXU2" s="2235"/>
      <c r="HXV2" s="2235"/>
      <c r="HXW2" s="2235"/>
      <c r="HXX2" s="2235"/>
      <c r="HXY2" s="2235"/>
      <c r="HXZ2" s="2235"/>
      <c r="HYA2" s="2235"/>
      <c r="HYB2" s="2235"/>
      <c r="HYC2" s="2235"/>
      <c r="HYD2" s="2235"/>
      <c r="HYE2" s="2235"/>
      <c r="HYF2" s="2235"/>
      <c r="HYG2" s="2235"/>
      <c r="HYH2" s="2235"/>
      <c r="HYI2" s="2235"/>
      <c r="HYJ2" s="2235"/>
      <c r="HYK2" s="2235"/>
      <c r="HYL2" s="2235"/>
      <c r="HYM2" s="2235"/>
      <c r="HYN2" s="2235"/>
      <c r="HYO2" s="2235"/>
      <c r="HYP2" s="2235"/>
      <c r="HYQ2" s="2235"/>
      <c r="HYR2" s="2235"/>
      <c r="HYS2" s="2235"/>
      <c r="HYT2" s="2235"/>
      <c r="HYU2" s="2235"/>
      <c r="HYV2" s="2235"/>
      <c r="HYW2" s="2235"/>
      <c r="HYX2" s="2235"/>
      <c r="HYY2" s="2235"/>
      <c r="HYZ2" s="2235"/>
      <c r="HZA2" s="2235"/>
      <c r="HZB2" s="2235"/>
      <c r="HZC2" s="2235"/>
      <c r="HZD2" s="2235"/>
      <c r="HZE2" s="2235"/>
      <c r="HZF2" s="2235"/>
      <c r="HZG2" s="2235"/>
      <c r="HZH2" s="2235"/>
      <c r="HZI2" s="2235"/>
      <c r="HZJ2" s="2235"/>
      <c r="HZK2" s="2235"/>
      <c r="HZL2" s="2235"/>
      <c r="HZM2" s="2235"/>
      <c r="HZN2" s="2235"/>
      <c r="HZO2" s="2235"/>
      <c r="HZP2" s="2235"/>
      <c r="HZQ2" s="2235"/>
      <c r="HZR2" s="2235"/>
      <c r="HZS2" s="2235"/>
      <c r="HZT2" s="2235"/>
      <c r="HZU2" s="2235"/>
      <c r="HZV2" s="2235"/>
      <c r="HZW2" s="2235"/>
      <c r="HZX2" s="2235"/>
      <c r="HZY2" s="2235"/>
      <c r="HZZ2" s="2235"/>
      <c r="IAA2" s="2235"/>
      <c r="IAB2" s="2235"/>
      <c r="IAC2" s="2235"/>
      <c r="IAD2" s="2235"/>
      <c r="IAE2" s="2235"/>
      <c r="IAF2" s="2235"/>
      <c r="IAG2" s="2235"/>
      <c r="IAH2" s="2235"/>
      <c r="IAI2" s="2235"/>
      <c r="IAJ2" s="2235"/>
      <c r="IAK2" s="2235"/>
      <c r="IAL2" s="2235"/>
      <c r="IAM2" s="2235"/>
      <c r="IAN2" s="2235"/>
      <c r="IAO2" s="2235"/>
      <c r="IAP2" s="2235"/>
      <c r="IAQ2" s="2235"/>
      <c r="IAR2" s="2235"/>
      <c r="IAS2" s="2235"/>
      <c r="IAT2" s="2235"/>
      <c r="IAU2" s="2235"/>
      <c r="IAV2" s="2235"/>
      <c r="IAW2" s="2235"/>
      <c r="IAX2" s="2235"/>
      <c r="IAY2" s="2235"/>
      <c r="IAZ2" s="2235"/>
      <c r="IBA2" s="2235"/>
      <c r="IBB2" s="2235"/>
      <c r="IBC2" s="2235"/>
      <c r="IBD2" s="2235"/>
      <c r="IBE2" s="2235"/>
      <c r="IBF2" s="2235"/>
      <c r="IBG2" s="2235"/>
      <c r="IBH2" s="2235"/>
      <c r="IBI2" s="2235"/>
      <c r="IBJ2" s="2235"/>
      <c r="IBK2" s="2235"/>
      <c r="IBL2" s="2235"/>
      <c r="IBM2" s="2235"/>
      <c r="IBN2" s="2235"/>
      <c r="IBO2" s="2235"/>
      <c r="IBP2" s="2235"/>
      <c r="IBQ2" s="2235"/>
      <c r="IBR2" s="2235"/>
      <c r="IBS2" s="2235"/>
      <c r="IBT2" s="2235"/>
      <c r="IBU2" s="2235"/>
      <c r="IBV2" s="2235"/>
      <c r="IBW2" s="2235"/>
      <c r="IBX2" s="2235"/>
      <c r="IBY2" s="2235"/>
      <c r="IBZ2" s="2235"/>
      <c r="ICA2" s="2235"/>
      <c r="ICB2" s="2235"/>
      <c r="ICC2" s="2235"/>
      <c r="ICD2" s="2235"/>
      <c r="ICE2" s="2235"/>
      <c r="ICF2" s="2235"/>
      <c r="ICG2" s="2235"/>
      <c r="ICH2" s="2235"/>
      <c r="ICI2" s="2235"/>
      <c r="ICJ2" s="2235"/>
      <c r="ICK2" s="2235"/>
      <c r="ICL2" s="2235"/>
      <c r="ICM2" s="2235"/>
      <c r="ICN2" s="2235"/>
      <c r="ICO2" s="2235"/>
      <c r="ICP2" s="2235"/>
      <c r="ICQ2" s="2235"/>
      <c r="ICR2" s="2235"/>
      <c r="ICS2" s="2235"/>
      <c r="ICT2" s="2235"/>
      <c r="ICU2" s="2235"/>
      <c r="ICV2" s="2235"/>
      <c r="ICW2" s="2235"/>
      <c r="ICX2" s="2235"/>
      <c r="ICY2" s="2235"/>
      <c r="ICZ2" s="2235"/>
      <c r="IDA2" s="2235"/>
      <c r="IDB2" s="2235"/>
      <c r="IDC2" s="2235"/>
      <c r="IDD2" s="2235"/>
      <c r="IDE2" s="2235"/>
      <c r="IDF2" s="2235"/>
      <c r="IDG2" s="2235"/>
      <c r="IDH2" s="2235"/>
      <c r="IDI2" s="2235"/>
      <c r="IDJ2" s="2235"/>
      <c r="IDK2" s="2235"/>
      <c r="IDL2" s="2235"/>
      <c r="IDM2" s="2235"/>
      <c r="IDN2" s="2235"/>
      <c r="IDO2" s="2235"/>
      <c r="IDP2" s="2235"/>
      <c r="IDQ2" s="2235"/>
      <c r="IDR2" s="2235"/>
      <c r="IDS2" s="2235"/>
      <c r="IDT2" s="2235"/>
      <c r="IDU2" s="2235"/>
      <c r="IDV2" s="2235"/>
      <c r="IDW2" s="2235"/>
      <c r="IDX2" s="2235"/>
      <c r="IDY2" s="2235"/>
      <c r="IDZ2" s="2235"/>
      <c r="IEA2" s="2235"/>
      <c r="IEB2" s="2235"/>
      <c r="IEC2" s="2235"/>
      <c r="IED2" s="2235"/>
      <c r="IEE2" s="2235"/>
      <c r="IEF2" s="2235"/>
      <c r="IEG2" s="2235"/>
      <c r="IEH2" s="2235"/>
      <c r="IEI2" s="2235"/>
      <c r="IEJ2" s="2235"/>
      <c r="IEK2" s="2235"/>
      <c r="IEL2" s="2235"/>
      <c r="IEM2" s="2235"/>
      <c r="IEN2" s="2235"/>
      <c r="IEO2" s="2235"/>
      <c r="IEP2" s="2235"/>
      <c r="IEQ2" s="2235"/>
      <c r="IER2" s="2235"/>
      <c r="IES2" s="2235"/>
      <c r="IET2" s="2235"/>
      <c r="IEU2" s="2235"/>
      <c r="IEV2" s="2235"/>
      <c r="IEW2" s="2235"/>
      <c r="IEX2" s="2235"/>
      <c r="IEY2" s="2235"/>
      <c r="IEZ2" s="2235"/>
      <c r="IFA2" s="2235"/>
      <c r="IFB2" s="2235"/>
      <c r="IFC2" s="2235"/>
      <c r="IFD2" s="2235"/>
      <c r="IFE2" s="2235"/>
      <c r="IFF2" s="2235"/>
      <c r="IFG2" s="2235"/>
      <c r="IFH2" s="2235"/>
      <c r="IFI2" s="2235"/>
      <c r="IFJ2" s="2235"/>
      <c r="IFK2" s="2235"/>
      <c r="IFL2" s="2235"/>
      <c r="IFM2" s="2235"/>
      <c r="IFN2" s="2235"/>
      <c r="IFO2" s="2235"/>
      <c r="IFP2" s="2235"/>
      <c r="IFQ2" s="2235"/>
      <c r="IFR2" s="2235"/>
      <c r="IFS2" s="2235"/>
      <c r="IFT2" s="2235"/>
      <c r="IFU2" s="2235"/>
      <c r="IFV2" s="2235"/>
      <c r="IFW2" s="2235"/>
      <c r="IFX2" s="2235"/>
      <c r="IFY2" s="2235"/>
      <c r="IFZ2" s="2235"/>
      <c r="IGA2" s="2235"/>
      <c r="IGB2" s="2235"/>
      <c r="IGC2" s="2235"/>
      <c r="IGD2" s="2235"/>
      <c r="IGE2" s="2235"/>
      <c r="IGF2" s="2235"/>
      <c r="IGG2" s="2235"/>
      <c r="IGH2" s="2235"/>
      <c r="IGI2" s="2235"/>
      <c r="IGJ2" s="2235"/>
      <c r="IGK2" s="2235"/>
      <c r="IGL2" s="2235"/>
      <c r="IGM2" s="2235"/>
      <c r="IGN2" s="2235"/>
      <c r="IGO2" s="2235"/>
      <c r="IGP2" s="2235"/>
      <c r="IGQ2" s="2235"/>
      <c r="IGR2" s="2235"/>
      <c r="IGS2" s="2235"/>
      <c r="IGT2" s="2235"/>
      <c r="IGU2" s="2235"/>
      <c r="IGV2" s="2235"/>
      <c r="IGW2" s="2235"/>
      <c r="IGX2" s="2235"/>
      <c r="IGY2" s="2235"/>
      <c r="IGZ2" s="2235"/>
      <c r="IHA2" s="2235"/>
      <c r="IHB2" s="2235"/>
      <c r="IHC2" s="2235"/>
      <c r="IHD2" s="2235"/>
      <c r="IHE2" s="2235"/>
      <c r="IHF2" s="2235"/>
      <c r="IHG2" s="2235"/>
      <c r="IHH2" s="2235"/>
      <c r="IHI2" s="2235"/>
      <c r="IHJ2" s="2235"/>
      <c r="IHK2" s="2235"/>
      <c r="IHL2" s="2235"/>
      <c r="IHM2" s="2235"/>
      <c r="IHN2" s="2235"/>
      <c r="IHO2" s="2235"/>
      <c r="IHP2" s="2235"/>
      <c r="IHQ2" s="2235"/>
      <c r="IHR2" s="2235"/>
      <c r="IHS2" s="2235"/>
      <c r="IHT2" s="2235"/>
      <c r="IHU2" s="2235"/>
      <c r="IHV2" s="2235"/>
      <c r="IHW2" s="2235"/>
      <c r="IHX2" s="2235"/>
      <c r="IHY2" s="2235"/>
      <c r="IHZ2" s="2235"/>
      <c r="IIA2" s="2235"/>
      <c r="IIB2" s="2235"/>
      <c r="IIC2" s="2235"/>
      <c r="IID2" s="2235"/>
      <c r="IIE2" s="2235"/>
      <c r="IIF2" s="2235"/>
      <c r="IIG2" s="2235"/>
      <c r="IIH2" s="2235"/>
      <c r="III2" s="2235"/>
      <c r="IIJ2" s="2235"/>
      <c r="IIK2" s="2235"/>
      <c r="IIL2" s="2235"/>
      <c r="IIM2" s="2235"/>
      <c r="IIN2" s="2235"/>
      <c r="IIO2" s="2235"/>
      <c r="IIP2" s="2235"/>
      <c r="IIQ2" s="2235"/>
      <c r="IIR2" s="2235"/>
      <c r="IIS2" s="2235"/>
      <c r="IIT2" s="2235"/>
      <c r="IIU2" s="2235"/>
      <c r="IIV2" s="2235"/>
      <c r="IIW2" s="2235"/>
      <c r="IIX2" s="2235"/>
      <c r="IIY2" s="2235"/>
      <c r="IIZ2" s="2235"/>
      <c r="IJA2" s="2235"/>
      <c r="IJB2" s="2235"/>
      <c r="IJC2" s="2235"/>
      <c r="IJD2" s="2235"/>
      <c r="IJE2" s="2235"/>
      <c r="IJF2" s="2235"/>
      <c r="IJG2" s="2235"/>
      <c r="IJH2" s="2235"/>
      <c r="IJI2" s="2235"/>
      <c r="IJJ2" s="2235"/>
      <c r="IJK2" s="2235"/>
      <c r="IJL2" s="2235"/>
      <c r="IJM2" s="2235"/>
      <c r="IJN2" s="2235"/>
      <c r="IJO2" s="2235"/>
      <c r="IJP2" s="2235"/>
      <c r="IJQ2" s="2235"/>
      <c r="IJR2" s="2235"/>
      <c r="IJS2" s="2235"/>
      <c r="IJT2" s="2235"/>
      <c r="IJU2" s="2235"/>
      <c r="IJV2" s="2235"/>
      <c r="IJW2" s="2235"/>
      <c r="IJX2" s="2235"/>
      <c r="IJY2" s="2235"/>
      <c r="IJZ2" s="2235"/>
      <c r="IKA2" s="2235"/>
      <c r="IKB2" s="2235"/>
      <c r="IKC2" s="2235"/>
      <c r="IKD2" s="2235"/>
      <c r="IKE2" s="2235"/>
      <c r="IKF2" s="2235"/>
      <c r="IKG2" s="2235"/>
      <c r="IKH2" s="2235"/>
      <c r="IKI2" s="2235"/>
      <c r="IKJ2" s="2235"/>
      <c r="IKK2" s="2235"/>
      <c r="IKL2" s="2235"/>
      <c r="IKM2" s="2235"/>
      <c r="IKN2" s="2235"/>
      <c r="IKO2" s="2235"/>
      <c r="IKP2" s="2235"/>
      <c r="IKQ2" s="2235"/>
      <c r="IKR2" s="2235"/>
      <c r="IKS2" s="2235"/>
      <c r="IKT2" s="2235"/>
      <c r="IKU2" s="2235"/>
      <c r="IKV2" s="2235"/>
      <c r="IKW2" s="2235"/>
      <c r="IKX2" s="2235"/>
      <c r="IKY2" s="2235"/>
      <c r="IKZ2" s="2235"/>
      <c r="ILA2" s="2235"/>
      <c r="ILB2" s="2235"/>
      <c r="ILC2" s="2235"/>
      <c r="ILD2" s="2235"/>
      <c r="ILE2" s="2235"/>
      <c r="ILF2" s="2235"/>
      <c r="ILG2" s="2235"/>
      <c r="ILH2" s="2235"/>
      <c r="ILI2" s="2235"/>
      <c r="ILJ2" s="2235"/>
      <c r="ILK2" s="2235"/>
      <c r="ILL2" s="2235"/>
      <c r="ILM2" s="2235"/>
      <c r="ILN2" s="2235"/>
      <c r="ILO2" s="2235"/>
      <c r="ILP2" s="2235"/>
      <c r="ILQ2" s="2235"/>
      <c r="ILR2" s="2235"/>
      <c r="ILS2" s="2235"/>
      <c r="ILT2" s="2235"/>
      <c r="ILU2" s="2235"/>
      <c r="ILV2" s="2235"/>
      <c r="ILW2" s="2235"/>
      <c r="ILX2" s="2235"/>
      <c r="ILY2" s="2235"/>
      <c r="ILZ2" s="2235"/>
      <c r="IMA2" s="2235"/>
      <c r="IMB2" s="2235"/>
      <c r="IMC2" s="2235"/>
      <c r="IMD2" s="2235"/>
      <c r="IME2" s="2235"/>
      <c r="IMF2" s="2235"/>
      <c r="IMG2" s="2235"/>
      <c r="IMH2" s="2235"/>
      <c r="IMI2" s="2235"/>
      <c r="IMJ2" s="2235"/>
      <c r="IMK2" s="2235"/>
      <c r="IML2" s="2235"/>
      <c r="IMM2" s="2235"/>
      <c r="IMN2" s="2235"/>
      <c r="IMO2" s="2235"/>
      <c r="IMP2" s="2235"/>
      <c r="IMQ2" s="2235"/>
      <c r="IMR2" s="2235"/>
      <c r="IMS2" s="2235"/>
      <c r="IMT2" s="2235"/>
      <c r="IMU2" s="2235"/>
      <c r="IMV2" s="2235"/>
      <c r="IMW2" s="2235"/>
      <c r="IMX2" s="2235"/>
      <c r="IMY2" s="2235"/>
      <c r="IMZ2" s="2235"/>
      <c r="INA2" s="2235"/>
      <c r="INB2" s="2235"/>
      <c r="INC2" s="2235"/>
      <c r="IND2" s="2235"/>
      <c r="INE2" s="2235"/>
      <c r="INF2" s="2235"/>
      <c r="ING2" s="2235"/>
      <c r="INH2" s="2235"/>
      <c r="INI2" s="2235"/>
      <c r="INJ2" s="2235"/>
      <c r="INK2" s="2235"/>
      <c r="INL2" s="2235"/>
      <c r="INM2" s="2235"/>
      <c r="INN2" s="2235"/>
      <c r="INO2" s="2235"/>
      <c r="INP2" s="2235"/>
      <c r="INQ2" s="2235"/>
      <c r="INR2" s="2235"/>
      <c r="INS2" s="2235"/>
      <c r="INT2" s="2235"/>
      <c r="INU2" s="2235"/>
      <c r="INV2" s="2235"/>
      <c r="INW2" s="2235"/>
      <c r="INX2" s="2235"/>
      <c r="INY2" s="2235"/>
      <c r="INZ2" s="2235"/>
      <c r="IOA2" s="2235"/>
      <c r="IOB2" s="2235"/>
      <c r="IOC2" s="2235"/>
      <c r="IOD2" s="2235"/>
      <c r="IOE2" s="2235"/>
      <c r="IOF2" s="2235"/>
      <c r="IOG2" s="2235"/>
      <c r="IOH2" s="2235"/>
      <c r="IOI2" s="2235"/>
      <c r="IOJ2" s="2235"/>
      <c r="IOK2" s="2235"/>
      <c r="IOL2" s="2235"/>
      <c r="IOM2" s="2235"/>
      <c r="ION2" s="2235"/>
      <c r="IOO2" s="2235"/>
      <c r="IOP2" s="2235"/>
      <c r="IOQ2" s="2235"/>
      <c r="IOR2" s="2235"/>
      <c r="IOS2" s="2235"/>
      <c r="IOT2" s="2235"/>
      <c r="IOU2" s="2235"/>
      <c r="IOV2" s="2235"/>
      <c r="IOW2" s="2235"/>
      <c r="IOX2" s="2235"/>
      <c r="IOY2" s="2235"/>
      <c r="IOZ2" s="2235"/>
      <c r="IPA2" s="2235"/>
      <c r="IPB2" s="2235"/>
      <c r="IPC2" s="2235"/>
      <c r="IPD2" s="2235"/>
      <c r="IPE2" s="2235"/>
      <c r="IPF2" s="2235"/>
      <c r="IPG2" s="2235"/>
      <c r="IPH2" s="2235"/>
      <c r="IPI2" s="2235"/>
      <c r="IPJ2" s="2235"/>
      <c r="IPK2" s="2235"/>
      <c r="IPL2" s="2235"/>
      <c r="IPM2" s="2235"/>
      <c r="IPN2" s="2235"/>
      <c r="IPO2" s="2235"/>
      <c r="IPP2" s="2235"/>
      <c r="IPQ2" s="2235"/>
      <c r="IPR2" s="2235"/>
      <c r="IPS2" s="2235"/>
      <c r="IPT2" s="2235"/>
      <c r="IPU2" s="2235"/>
      <c r="IPV2" s="2235"/>
      <c r="IPW2" s="2235"/>
      <c r="IPX2" s="2235"/>
      <c r="IPY2" s="2235"/>
      <c r="IPZ2" s="2235"/>
      <c r="IQA2" s="2235"/>
      <c r="IQB2" s="2235"/>
      <c r="IQC2" s="2235"/>
      <c r="IQD2" s="2235"/>
      <c r="IQE2" s="2235"/>
      <c r="IQF2" s="2235"/>
      <c r="IQG2" s="2235"/>
      <c r="IQH2" s="2235"/>
      <c r="IQI2" s="2235"/>
      <c r="IQJ2" s="2235"/>
      <c r="IQK2" s="2235"/>
      <c r="IQL2" s="2235"/>
      <c r="IQM2" s="2235"/>
      <c r="IQN2" s="2235"/>
      <c r="IQO2" s="2235"/>
      <c r="IQP2" s="2235"/>
      <c r="IQQ2" s="2235"/>
      <c r="IQR2" s="2235"/>
      <c r="IQS2" s="2235"/>
      <c r="IQT2" s="2235"/>
      <c r="IQU2" s="2235"/>
      <c r="IQV2" s="2235"/>
      <c r="IQW2" s="2235"/>
      <c r="IQX2" s="2235"/>
      <c r="IQY2" s="2235"/>
      <c r="IQZ2" s="2235"/>
      <c r="IRA2" s="2235"/>
      <c r="IRB2" s="2235"/>
      <c r="IRC2" s="2235"/>
      <c r="IRD2" s="2235"/>
      <c r="IRE2" s="2235"/>
      <c r="IRF2" s="2235"/>
      <c r="IRG2" s="2235"/>
      <c r="IRH2" s="2235"/>
      <c r="IRI2" s="2235"/>
      <c r="IRJ2" s="2235"/>
      <c r="IRK2" s="2235"/>
      <c r="IRL2" s="2235"/>
      <c r="IRM2" s="2235"/>
      <c r="IRN2" s="2235"/>
      <c r="IRO2" s="2235"/>
      <c r="IRP2" s="2235"/>
      <c r="IRQ2" s="2235"/>
      <c r="IRR2" s="2235"/>
      <c r="IRS2" s="2235"/>
      <c r="IRT2" s="2235"/>
      <c r="IRU2" s="2235"/>
      <c r="IRV2" s="2235"/>
      <c r="IRW2" s="2235"/>
      <c r="IRX2" s="2235"/>
      <c r="IRY2" s="2235"/>
      <c r="IRZ2" s="2235"/>
      <c r="ISA2" s="2235"/>
      <c r="ISB2" s="2235"/>
      <c r="ISC2" s="2235"/>
      <c r="ISD2" s="2235"/>
      <c r="ISE2" s="2235"/>
      <c r="ISF2" s="2235"/>
      <c r="ISG2" s="2235"/>
      <c r="ISH2" s="2235"/>
      <c r="ISI2" s="2235"/>
      <c r="ISJ2" s="2235"/>
      <c r="ISK2" s="2235"/>
      <c r="ISL2" s="2235"/>
      <c r="ISM2" s="2235"/>
      <c r="ISN2" s="2235"/>
      <c r="ISO2" s="2235"/>
      <c r="ISP2" s="2235"/>
      <c r="ISQ2" s="2235"/>
      <c r="ISR2" s="2235"/>
      <c r="ISS2" s="2235"/>
      <c r="IST2" s="2235"/>
      <c r="ISU2" s="2235"/>
      <c r="ISV2" s="2235"/>
      <c r="ISW2" s="2235"/>
      <c r="ISX2" s="2235"/>
      <c r="ISY2" s="2235"/>
      <c r="ISZ2" s="2235"/>
      <c r="ITA2" s="2235"/>
      <c r="ITB2" s="2235"/>
      <c r="ITC2" s="2235"/>
      <c r="ITD2" s="2235"/>
      <c r="ITE2" s="2235"/>
      <c r="ITF2" s="2235"/>
      <c r="ITG2" s="2235"/>
      <c r="ITH2" s="2235"/>
      <c r="ITI2" s="2235"/>
      <c r="ITJ2" s="2235"/>
      <c r="ITK2" s="2235"/>
      <c r="ITL2" s="2235"/>
      <c r="ITM2" s="2235"/>
      <c r="ITN2" s="2235"/>
      <c r="ITO2" s="2235"/>
      <c r="ITP2" s="2235"/>
      <c r="ITQ2" s="2235"/>
      <c r="ITR2" s="2235"/>
      <c r="ITS2" s="2235"/>
      <c r="ITT2" s="2235"/>
      <c r="ITU2" s="2235"/>
      <c r="ITV2" s="2235"/>
      <c r="ITW2" s="2235"/>
      <c r="ITX2" s="2235"/>
      <c r="ITY2" s="2235"/>
      <c r="ITZ2" s="2235"/>
      <c r="IUA2" s="2235"/>
      <c r="IUB2" s="2235"/>
      <c r="IUC2" s="2235"/>
      <c r="IUD2" s="2235"/>
      <c r="IUE2" s="2235"/>
      <c r="IUF2" s="2235"/>
      <c r="IUG2" s="2235"/>
      <c r="IUH2" s="2235"/>
      <c r="IUI2" s="2235"/>
      <c r="IUJ2" s="2235"/>
      <c r="IUK2" s="2235"/>
      <c r="IUL2" s="2235"/>
      <c r="IUM2" s="2235"/>
      <c r="IUN2" s="2235"/>
      <c r="IUO2" s="2235"/>
      <c r="IUP2" s="2235"/>
      <c r="IUQ2" s="2235"/>
      <c r="IUR2" s="2235"/>
      <c r="IUS2" s="2235"/>
      <c r="IUT2" s="2235"/>
      <c r="IUU2" s="2235"/>
      <c r="IUV2" s="2235"/>
      <c r="IUW2" s="2235"/>
      <c r="IUX2" s="2235"/>
      <c r="IUY2" s="2235"/>
      <c r="IUZ2" s="2235"/>
      <c r="IVA2" s="2235"/>
      <c r="IVB2" s="2235"/>
      <c r="IVC2" s="2235"/>
      <c r="IVD2" s="2235"/>
      <c r="IVE2" s="2235"/>
      <c r="IVF2" s="2235"/>
      <c r="IVG2" s="2235"/>
      <c r="IVH2" s="2235"/>
      <c r="IVI2" s="2235"/>
      <c r="IVJ2" s="2235"/>
      <c r="IVK2" s="2235"/>
      <c r="IVL2" s="2235"/>
      <c r="IVM2" s="2235"/>
      <c r="IVN2" s="2235"/>
      <c r="IVO2" s="2235"/>
      <c r="IVP2" s="2235"/>
      <c r="IVQ2" s="2235"/>
      <c r="IVR2" s="2235"/>
      <c r="IVS2" s="2235"/>
      <c r="IVT2" s="2235"/>
      <c r="IVU2" s="2235"/>
      <c r="IVV2" s="2235"/>
      <c r="IVW2" s="2235"/>
      <c r="IVX2" s="2235"/>
      <c r="IVY2" s="2235"/>
      <c r="IVZ2" s="2235"/>
      <c r="IWA2" s="2235"/>
      <c r="IWB2" s="2235"/>
      <c r="IWC2" s="2235"/>
      <c r="IWD2" s="2235"/>
      <c r="IWE2" s="2235"/>
      <c r="IWF2" s="2235"/>
      <c r="IWG2" s="2235"/>
      <c r="IWH2" s="2235"/>
      <c r="IWI2" s="2235"/>
      <c r="IWJ2" s="2235"/>
      <c r="IWK2" s="2235"/>
      <c r="IWL2" s="2235"/>
      <c r="IWM2" s="2235"/>
      <c r="IWN2" s="2235"/>
      <c r="IWO2" s="2235"/>
      <c r="IWP2" s="2235"/>
      <c r="IWQ2" s="2235"/>
      <c r="IWR2" s="2235"/>
      <c r="IWS2" s="2235"/>
      <c r="IWT2" s="2235"/>
      <c r="IWU2" s="2235"/>
      <c r="IWV2" s="2235"/>
      <c r="IWW2" s="2235"/>
      <c r="IWX2" s="2235"/>
      <c r="IWY2" s="2235"/>
      <c r="IWZ2" s="2235"/>
      <c r="IXA2" s="2235"/>
      <c r="IXB2" s="2235"/>
      <c r="IXC2" s="2235"/>
      <c r="IXD2" s="2235"/>
      <c r="IXE2" s="2235"/>
      <c r="IXF2" s="2235"/>
      <c r="IXG2" s="2235"/>
      <c r="IXH2" s="2235"/>
      <c r="IXI2" s="2235"/>
      <c r="IXJ2" s="2235"/>
      <c r="IXK2" s="2235"/>
      <c r="IXL2" s="2235"/>
      <c r="IXM2" s="2235"/>
      <c r="IXN2" s="2235"/>
      <c r="IXO2" s="2235"/>
      <c r="IXP2" s="2235"/>
      <c r="IXQ2" s="2235"/>
      <c r="IXR2" s="2235"/>
      <c r="IXS2" s="2235"/>
      <c r="IXT2" s="2235"/>
      <c r="IXU2" s="2235"/>
      <c r="IXV2" s="2235"/>
      <c r="IXW2" s="2235"/>
      <c r="IXX2" s="2235"/>
      <c r="IXY2" s="2235"/>
      <c r="IXZ2" s="2235"/>
      <c r="IYA2" s="2235"/>
      <c r="IYB2" s="2235"/>
      <c r="IYC2" s="2235"/>
      <c r="IYD2" s="2235"/>
      <c r="IYE2" s="2235"/>
      <c r="IYF2" s="2235"/>
      <c r="IYG2" s="2235"/>
      <c r="IYH2" s="2235"/>
      <c r="IYI2" s="2235"/>
      <c r="IYJ2" s="2235"/>
      <c r="IYK2" s="2235"/>
      <c r="IYL2" s="2235"/>
      <c r="IYM2" s="2235"/>
      <c r="IYN2" s="2235"/>
      <c r="IYO2" s="2235"/>
      <c r="IYP2" s="2235"/>
      <c r="IYQ2" s="2235"/>
      <c r="IYR2" s="2235"/>
      <c r="IYS2" s="2235"/>
      <c r="IYT2" s="2235"/>
      <c r="IYU2" s="2235"/>
      <c r="IYV2" s="2235"/>
      <c r="IYW2" s="2235"/>
      <c r="IYX2" s="2235"/>
      <c r="IYY2" s="2235"/>
      <c r="IYZ2" s="2235"/>
      <c r="IZA2" s="2235"/>
      <c r="IZB2" s="2235"/>
      <c r="IZC2" s="2235"/>
      <c r="IZD2" s="2235"/>
      <c r="IZE2" s="2235"/>
      <c r="IZF2" s="2235"/>
      <c r="IZG2" s="2235"/>
      <c r="IZH2" s="2235"/>
      <c r="IZI2" s="2235"/>
      <c r="IZJ2" s="2235"/>
      <c r="IZK2" s="2235"/>
      <c r="IZL2" s="2235"/>
      <c r="IZM2" s="2235"/>
      <c r="IZN2" s="2235"/>
      <c r="IZO2" s="2235"/>
      <c r="IZP2" s="2235"/>
      <c r="IZQ2" s="2235"/>
      <c r="IZR2" s="2235"/>
      <c r="IZS2" s="2235"/>
      <c r="IZT2" s="2235"/>
      <c r="IZU2" s="2235"/>
      <c r="IZV2" s="2235"/>
      <c r="IZW2" s="2235"/>
      <c r="IZX2" s="2235"/>
      <c r="IZY2" s="2235"/>
      <c r="IZZ2" s="2235"/>
      <c r="JAA2" s="2235"/>
      <c r="JAB2" s="2235"/>
      <c r="JAC2" s="2235"/>
      <c r="JAD2" s="2235"/>
      <c r="JAE2" s="2235"/>
      <c r="JAF2" s="2235"/>
      <c r="JAG2" s="2235"/>
      <c r="JAH2" s="2235"/>
      <c r="JAI2" s="2235"/>
      <c r="JAJ2" s="2235"/>
      <c r="JAK2" s="2235"/>
      <c r="JAL2" s="2235"/>
      <c r="JAM2" s="2235"/>
      <c r="JAN2" s="2235"/>
      <c r="JAO2" s="2235"/>
      <c r="JAP2" s="2235"/>
      <c r="JAQ2" s="2235"/>
      <c r="JAR2" s="2235"/>
      <c r="JAS2" s="2235"/>
      <c r="JAT2" s="2235"/>
      <c r="JAU2" s="2235"/>
      <c r="JAV2" s="2235"/>
      <c r="JAW2" s="2235"/>
      <c r="JAX2" s="2235"/>
      <c r="JAY2" s="2235"/>
      <c r="JAZ2" s="2235"/>
      <c r="JBA2" s="2235"/>
      <c r="JBB2" s="2235"/>
      <c r="JBC2" s="2235"/>
      <c r="JBD2" s="2235"/>
      <c r="JBE2" s="2235"/>
      <c r="JBF2" s="2235"/>
      <c r="JBG2" s="2235"/>
      <c r="JBH2" s="2235"/>
      <c r="JBI2" s="2235"/>
      <c r="JBJ2" s="2235"/>
      <c r="JBK2" s="2235"/>
      <c r="JBL2" s="2235"/>
      <c r="JBM2" s="2235"/>
      <c r="JBN2" s="2235"/>
      <c r="JBO2" s="2235"/>
      <c r="JBP2" s="2235"/>
      <c r="JBQ2" s="2235"/>
      <c r="JBR2" s="2235"/>
      <c r="JBS2" s="2235"/>
      <c r="JBT2" s="2235"/>
      <c r="JBU2" s="2235"/>
      <c r="JBV2" s="2235"/>
      <c r="JBW2" s="2235"/>
      <c r="JBX2" s="2235"/>
      <c r="JBY2" s="2235"/>
      <c r="JBZ2" s="2235"/>
      <c r="JCA2" s="2235"/>
      <c r="JCB2" s="2235"/>
      <c r="JCC2" s="2235"/>
      <c r="JCD2" s="2235"/>
      <c r="JCE2" s="2235"/>
      <c r="JCF2" s="2235"/>
      <c r="JCG2" s="2235"/>
      <c r="JCH2" s="2235"/>
      <c r="JCI2" s="2235"/>
      <c r="JCJ2" s="2235"/>
      <c r="JCK2" s="2235"/>
      <c r="JCL2" s="2235"/>
      <c r="JCM2" s="2235"/>
      <c r="JCN2" s="2235"/>
      <c r="JCO2" s="2235"/>
      <c r="JCP2" s="2235"/>
      <c r="JCQ2" s="2235"/>
      <c r="JCR2" s="2235"/>
      <c r="JCS2" s="2235"/>
      <c r="JCT2" s="2235"/>
      <c r="JCU2" s="2235"/>
      <c r="JCV2" s="2235"/>
      <c r="JCW2" s="2235"/>
      <c r="JCX2" s="2235"/>
      <c r="JCY2" s="2235"/>
      <c r="JCZ2" s="2235"/>
      <c r="JDA2" s="2235"/>
      <c r="JDB2" s="2235"/>
      <c r="JDC2" s="2235"/>
      <c r="JDD2" s="2235"/>
      <c r="JDE2" s="2235"/>
      <c r="JDF2" s="2235"/>
      <c r="JDG2" s="2235"/>
      <c r="JDH2" s="2235"/>
      <c r="JDI2" s="2235"/>
      <c r="JDJ2" s="2235"/>
      <c r="JDK2" s="2235"/>
      <c r="JDL2" s="2235"/>
      <c r="JDM2" s="2235"/>
      <c r="JDN2" s="2235"/>
      <c r="JDO2" s="2235"/>
      <c r="JDP2" s="2235"/>
      <c r="JDQ2" s="2235"/>
      <c r="JDR2" s="2235"/>
      <c r="JDS2" s="2235"/>
      <c r="JDT2" s="2235"/>
      <c r="JDU2" s="2235"/>
      <c r="JDV2" s="2235"/>
      <c r="JDW2" s="2235"/>
      <c r="JDX2" s="2235"/>
      <c r="JDY2" s="2235"/>
      <c r="JDZ2" s="2235"/>
      <c r="JEA2" s="2235"/>
      <c r="JEB2" s="2235"/>
      <c r="JEC2" s="2235"/>
      <c r="JED2" s="2235"/>
      <c r="JEE2" s="2235"/>
      <c r="JEF2" s="2235"/>
      <c r="JEG2" s="2235"/>
      <c r="JEH2" s="2235"/>
      <c r="JEI2" s="2235"/>
      <c r="JEJ2" s="2235"/>
      <c r="JEK2" s="2235"/>
      <c r="JEL2" s="2235"/>
      <c r="JEM2" s="2235"/>
      <c r="JEN2" s="2235"/>
      <c r="JEO2" s="2235"/>
      <c r="JEP2" s="2235"/>
      <c r="JEQ2" s="2235"/>
      <c r="JER2" s="2235"/>
      <c r="JES2" s="2235"/>
      <c r="JET2" s="2235"/>
      <c r="JEU2" s="2235"/>
      <c r="JEV2" s="2235"/>
      <c r="JEW2" s="2235"/>
      <c r="JEX2" s="2235"/>
      <c r="JEY2" s="2235"/>
      <c r="JEZ2" s="2235"/>
      <c r="JFA2" s="2235"/>
      <c r="JFB2" s="2235"/>
      <c r="JFC2" s="2235"/>
      <c r="JFD2" s="2235"/>
      <c r="JFE2" s="2235"/>
      <c r="JFF2" s="2235"/>
      <c r="JFG2" s="2235"/>
      <c r="JFH2" s="2235"/>
      <c r="JFI2" s="2235"/>
      <c r="JFJ2" s="2235"/>
      <c r="JFK2" s="2235"/>
      <c r="JFL2" s="2235"/>
      <c r="JFM2" s="2235"/>
      <c r="JFN2" s="2235"/>
      <c r="JFO2" s="2235"/>
      <c r="JFP2" s="2235"/>
      <c r="JFQ2" s="2235"/>
      <c r="JFR2" s="2235"/>
      <c r="JFS2" s="2235"/>
      <c r="JFT2" s="2235"/>
      <c r="JFU2" s="2235"/>
      <c r="JFV2" s="2235"/>
      <c r="JFW2" s="2235"/>
      <c r="JFX2" s="2235"/>
      <c r="JFY2" s="2235"/>
      <c r="JFZ2" s="2235"/>
      <c r="JGA2" s="2235"/>
      <c r="JGB2" s="2235"/>
      <c r="JGC2" s="2235"/>
      <c r="JGD2" s="2235"/>
      <c r="JGE2" s="2235"/>
      <c r="JGF2" s="2235"/>
      <c r="JGG2" s="2235"/>
      <c r="JGH2" s="2235"/>
      <c r="JGI2" s="2235"/>
      <c r="JGJ2" s="2235"/>
      <c r="JGK2" s="2235"/>
      <c r="JGL2" s="2235"/>
      <c r="JGM2" s="2235"/>
      <c r="JGN2" s="2235"/>
      <c r="JGO2" s="2235"/>
      <c r="JGP2" s="2235"/>
      <c r="JGQ2" s="2235"/>
      <c r="JGR2" s="2235"/>
      <c r="JGS2" s="2235"/>
      <c r="JGT2" s="2235"/>
      <c r="JGU2" s="2235"/>
      <c r="JGV2" s="2235"/>
      <c r="JGW2" s="2235"/>
      <c r="JGX2" s="2235"/>
      <c r="JGY2" s="2235"/>
      <c r="JGZ2" s="2235"/>
      <c r="JHA2" s="2235"/>
      <c r="JHB2" s="2235"/>
      <c r="JHC2" s="2235"/>
      <c r="JHD2" s="2235"/>
      <c r="JHE2" s="2235"/>
      <c r="JHF2" s="2235"/>
      <c r="JHG2" s="2235"/>
      <c r="JHH2" s="2235"/>
      <c r="JHI2" s="2235"/>
      <c r="JHJ2" s="2235"/>
      <c r="JHK2" s="2235"/>
      <c r="JHL2" s="2235"/>
      <c r="JHM2" s="2235"/>
      <c r="JHN2" s="2235"/>
      <c r="JHO2" s="2235"/>
      <c r="JHP2" s="2235"/>
      <c r="JHQ2" s="2235"/>
      <c r="JHR2" s="2235"/>
      <c r="JHS2" s="2235"/>
      <c r="JHT2" s="2235"/>
      <c r="JHU2" s="2235"/>
      <c r="JHV2" s="2235"/>
      <c r="JHW2" s="2235"/>
      <c r="JHX2" s="2235"/>
      <c r="JHY2" s="2235"/>
      <c r="JHZ2" s="2235"/>
      <c r="JIA2" s="2235"/>
      <c r="JIB2" s="2235"/>
      <c r="JIC2" s="2235"/>
      <c r="JID2" s="2235"/>
      <c r="JIE2" s="2235"/>
      <c r="JIF2" s="2235"/>
      <c r="JIG2" s="2235"/>
      <c r="JIH2" s="2235"/>
      <c r="JII2" s="2235"/>
      <c r="JIJ2" s="2235"/>
      <c r="JIK2" s="2235"/>
      <c r="JIL2" s="2235"/>
      <c r="JIM2" s="2235"/>
      <c r="JIN2" s="2235"/>
      <c r="JIO2" s="2235"/>
      <c r="JIP2" s="2235"/>
      <c r="JIQ2" s="2235"/>
      <c r="JIR2" s="2235"/>
      <c r="JIS2" s="2235"/>
      <c r="JIT2" s="2235"/>
      <c r="JIU2" s="2235"/>
      <c r="JIV2" s="2235"/>
      <c r="JIW2" s="2235"/>
      <c r="JIX2" s="2235"/>
      <c r="JIY2" s="2235"/>
      <c r="JIZ2" s="2235"/>
      <c r="JJA2" s="2235"/>
      <c r="JJB2" s="2235"/>
      <c r="JJC2" s="2235"/>
      <c r="JJD2" s="2235"/>
      <c r="JJE2" s="2235"/>
      <c r="JJF2" s="2235"/>
      <c r="JJG2" s="2235"/>
      <c r="JJH2" s="2235"/>
      <c r="JJI2" s="2235"/>
      <c r="JJJ2" s="2235"/>
      <c r="JJK2" s="2235"/>
      <c r="JJL2" s="2235"/>
      <c r="JJM2" s="2235"/>
      <c r="JJN2" s="2235"/>
      <c r="JJO2" s="2235"/>
      <c r="JJP2" s="2235"/>
      <c r="JJQ2" s="2235"/>
      <c r="JJR2" s="2235"/>
      <c r="JJS2" s="2235"/>
      <c r="JJT2" s="2235"/>
      <c r="JJU2" s="2235"/>
      <c r="JJV2" s="2235"/>
      <c r="JJW2" s="2235"/>
      <c r="JJX2" s="2235"/>
      <c r="JJY2" s="2235"/>
      <c r="JJZ2" s="2235"/>
      <c r="JKA2" s="2235"/>
      <c r="JKB2" s="2235"/>
      <c r="JKC2" s="2235"/>
      <c r="JKD2" s="2235"/>
      <c r="JKE2" s="2235"/>
      <c r="JKF2" s="2235"/>
      <c r="JKG2" s="2235"/>
      <c r="JKH2" s="2235"/>
      <c r="JKI2" s="2235"/>
      <c r="JKJ2" s="2235"/>
      <c r="JKK2" s="2235"/>
      <c r="JKL2" s="2235"/>
      <c r="JKM2" s="2235"/>
      <c r="JKN2" s="2235"/>
      <c r="JKO2" s="2235"/>
      <c r="JKP2" s="2235"/>
      <c r="JKQ2" s="2235"/>
      <c r="JKR2" s="2235"/>
      <c r="JKS2" s="2235"/>
      <c r="JKT2" s="2235"/>
      <c r="JKU2" s="2235"/>
      <c r="JKV2" s="2235"/>
      <c r="JKW2" s="2235"/>
      <c r="JKX2" s="2235"/>
      <c r="JKY2" s="2235"/>
      <c r="JKZ2" s="2235"/>
      <c r="JLA2" s="2235"/>
      <c r="JLB2" s="2235"/>
      <c r="JLC2" s="2235"/>
      <c r="JLD2" s="2235"/>
      <c r="JLE2" s="2235"/>
      <c r="JLF2" s="2235"/>
      <c r="JLG2" s="2235"/>
      <c r="JLH2" s="2235"/>
      <c r="JLI2" s="2235"/>
      <c r="JLJ2" s="2235"/>
      <c r="JLK2" s="2235"/>
      <c r="JLL2" s="2235"/>
      <c r="JLM2" s="2235"/>
      <c r="JLN2" s="2235"/>
      <c r="JLO2" s="2235"/>
      <c r="JLP2" s="2235"/>
      <c r="JLQ2" s="2235"/>
      <c r="JLR2" s="2235"/>
      <c r="JLS2" s="2235"/>
      <c r="JLT2" s="2235"/>
      <c r="JLU2" s="2235"/>
      <c r="JLV2" s="2235"/>
      <c r="JLW2" s="2235"/>
      <c r="JLX2" s="2235"/>
      <c r="JLY2" s="2235"/>
      <c r="JLZ2" s="2235"/>
      <c r="JMA2" s="2235"/>
      <c r="JMB2" s="2235"/>
      <c r="JMC2" s="2235"/>
      <c r="JMD2" s="2235"/>
      <c r="JME2" s="2235"/>
      <c r="JMF2" s="2235"/>
      <c r="JMG2" s="2235"/>
      <c r="JMH2" s="2235"/>
      <c r="JMI2" s="2235"/>
      <c r="JMJ2" s="2235"/>
      <c r="JMK2" s="2235"/>
      <c r="JML2" s="2235"/>
      <c r="JMM2" s="2235"/>
      <c r="JMN2" s="2235"/>
      <c r="JMO2" s="2235"/>
      <c r="JMP2" s="2235"/>
      <c r="JMQ2" s="2235"/>
      <c r="JMR2" s="2235"/>
      <c r="JMS2" s="2235"/>
      <c r="JMT2" s="2235"/>
      <c r="JMU2" s="2235"/>
      <c r="JMV2" s="2235"/>
      <c r="JMW2" s="2235"/>
      <c r="JMX2" s="2235"/>
      <c r="JMY2" s="2235"/>
      <c r="JMZ2" s="2235"/>
      <c r="JNA2" s="2235"/>
      <c r="JNB2" s="2235"/>
      <c r="JNC2" s="2235"/>
      <c r="JND2" s="2235"/>
      <c r="JNE2" s="2235"/>
      <c r="JNF2" s="2235"/>
      <c r="JNG2" s="2235"/>
      <c r="JNH2" s="2235"/>
      <c r="JNI2" s="2235"/>
      <c r="JNJ2" s="2235"/>
      <c r="JNK2" s="2235"/>
      <c r="JNL2" s="2235"/>
      <c r="JNM2" s="2235"/>
      <c r="JNN2" s="2235"/>
      <c r="JNO2" s="2235"/>
      <c r="JNP2" s="2235"/>
      <c r="JNQ2" s="2235"/>
      <c r="JNR2" s="2235"/>
      <c r="JNS2" s="2235"/>
      <c r="JNT2" s="2235"/>
      <c r="JNU2" s="2235"/>
      <c r="JNV2" s="2235"/>
      <c r="JNW2" s="2235"/>
      <c r="JNX2" s="2235"/>
      <c r="JNY2" s="2235"/>
      <c r="JNZ2" s="2235"/>
      <c r="JOA2" s="2235"/>
      <c r="JOB2" s="2235"/>
      <c r="JOC2" s="2235"/>
      <c r="JOD2" s="2235"/>
      <c r="JOE2" s="2235"/>
      <c r="JOF2" s="2235"/>
      <c r="JOG2" s="2235"/>
      <c r="JOH2" s="2235"/>
      <c r="JOI2" s="2235"/>
      <c r="JOJ2" s="2235"/>
      <c r="JOK2" s="2235"/>
      <c r="JOL2" s="2235"/>
      <c r="JOM2" s="2235"/>
      <c r="JON2" s="2235"/>
      <c r="JOO2" s="2235"/>
      <c r="JOP2" s="2235"/>
      <c r="JOQ2" s="2235"/>
      <c r="JOR2" s="2235"/>
      <c r="JOS2" s="2235"/>
      <c r="JOT2" s="2235"/>
      <c r="JOU2" s="2235"/>
      <c r="JOV2" s="2235"/>
      <c r="JOW2" s="2235"/>
      <c r="JOX2" s="2235"/>
      <c r="JOY2" s="2235"/>
      <c r="JOZ2" s="2235"/>
      <c r="JPA2" s="2235"/>
      <c r="JPB2" s="2235"/>
      <c r="JPC2" s="2235"/>
      <c r="JPD2" s="2235"/>
      <c r="JPE2" s="2235"/>
      <c r="JPF2" s="2235"/>
      <c r="JPG2" s="2235"/>
      <c r="JPH2" s="2235"/>
      <c r="JPI2" s="2235"/>
      <c r="JPJ2" s="2235"/>
      <c r="JPK2" s="2235"/>
      <c r="JPL2" s="2235"/>
      <c r="JPM2" s="2235"/>
      <c r="JPN2" s="2235"/>
      <c r="JPO2" s="2235"/>
      <c r="JPP2" s="2235"/>
      <c r="JPQ2" s="2235"/>
      <c r="JPR2" s="2235"/>
      <c r="JPS2" s="2235"/>
      <c r="JPT2" s="2235"/>
      <c r="JPU2" s="2235"/>
      <c r="JPV2" s="2235"/>
      <c r="JPW2" s="2235"/>
      <c r="JPX2" s="2235"/>
      <c r="JPY2" s="2235"/>
      <c r="JPZ2" s="2235"/>
      <c r="JQA2" s="2235"/>
      <c r="JQB2" s="2235"/>
      <c r="JQC2" s="2235"/>
      <c r="JQD2" s="2235"/>
      <c r="JQE2" s="2235"/>
      <c r="JQF2" s="2235"/>
      <c r="JQG2" s="2235"/>
      <c r="JQH2" s="2235"/>
      <c r="JQI2" s="2235"/>
      <c r="JQJ2" s="2235"/>
      <c r="JQK2" s="2235"/>
      <c r="JQL2" s="2235"/>
      <c r="JQM2" s="2235"/>
      <c r="JQN2" s="2235"/>
      <c r="JQO2" s="2235"/>
      <c r="JQP2" s="2235"/>
      <c r="JQQ2" s="2235"/>
      <c r="JQR2" s="2235"/>
      <c r="JQS2" s="2235"/>
      <c r="JQT2" s="2235"/>
      <c r="JQU2" s="2235"/>
      <c r="JQV2" s="2235"/>
      <c r="JQW2" s="2235"/>
      <c r="JQX2" s="2235"/>
      <c r="JQY2" s="2235"/>
      <c r="JQZ2" s="2235"/>
      <c r="JRA2" s="2235"/>
      <c r="JRB2" s="2235"/>
      <c r="JRC2" s="2235"/>
      <c r="JRD2" s="2235"/>
      <c r="JRE2" s="2235"/>
      <c r="JRF2" s="2235"/>
      <c r="JRG2" s="2235"/>
      <c r="JRH2" s="2235"/>
      <c r="JRI2" s="2235"/>
      <c r="JRJ2" s="2235"/>
      <c r="JRK2" s="2235"/>
      <c r="JRL2" s="2235"/>
      <c r="JRM2" s="2235"/>
      <c r="JRN2" s="2235"/>
      <c r="JRO2" s="2235"/>
      <c r="JRP2" s="2235"/>
      <c r="JRQ2" s="2235"/>
      <c r="JRR2" s="2235"/>
      <c r="JRS2" s="2235"/>
      <c r="JRT2" s="2235"/>
      <c r="JRU2" s="2235"/>
      <c r="JRV2" s="2235"/>
      <c r="JRW2" s="2235"/>
      <c r="JRX2" s="2235"/>
      <c r="JRY2" s="2235"/>
      <c r="JRZ2" s="2235"/>
      <c r="JSA2" s="2235"/>
      <c r="JSB2" s="2235"/>
      <c r="JSC2" s="2235"/>
      <c r="JSD2" s="2235"/>
      <c r="JSE2" s="2235"/>
      <c r="JSF2" s="2235"/>
      <c r="JSG2" s="2235"/>
      <c r="JSH2" s="2235"/>
      <c r="JSI2" s="2235"/>
      <c r="JSJ2" s="2235"/>
      <c r="JSK2" s="2235"/>
      <c r="JSL2" s="2235"/>
      <c r="JSM2" s="2235"/>
      <c r="JSN2" s="2235"/>
      <c r="JSO2" s="2235"/>
      <c r="JSP2" s="2235"/>
      <c r="JSQ2" s="2235"/>
      <c r="JSR2" s="2235"/>
      <c r="JSS2" s="2235"/>
      <c r="JST2" s="2235"/>
      <c r="JSU2" s="2235"/>
      <c r="JSV2" s="2235"/>
      <c r="JSW2" s="2235"/>
      <c r="JSX2" s="2235"/>
      <c r="JSY2" s="2235"/>
      <c r="JSZ2" s="2235"/>
      <c r="JTA2" s="2235"/>
      <c r="JTB2" s="2235"/>
      <c r="JTC2" s="2235"/>
      <c r="JTD2" s="2235"/>
      <c r="JTE2" s="2235"/>
      <c r="JTF2" s="2235"/>
      <c r="JTG2" s="2235"/>
      <c r="JTH2" s="2235"/>
      <c r="JTI2" s="2235"/>
      <c r="JTJ2" s="2235"/>
      <c r="JTK2" s="2235"/>
      <c r="JTL2" s="2235"/>
      <c r="JTM2" s="2235"/>
      <c r="JTN2" s="2235"/>
      <c r="JTO2" s="2235"/>
      <c r="JTP2" s="2235"/>
      <c r="JTQ2" s="2235"/>
      <c r="JTR2" s="2235"/>
      <c r="JTS2" s="2235"/>
      <c r="JTT2" s="2235"/>
      <c r="JTU2" s="2235"/>
      <c r="JTV2" s="2235"/>
      <c r="JTW2" s="2235"/>
      <c r="JTX2" s="2235"/>
      <c r="JTY2" s="2235"/>
      <c r="JTZ2" s="2235"/>
      <c r="JUA2" s="2235"/>
      <c r="JUB2" s="2235"/>
      <c r="JUC2" s="2235"/>
      <c r="JUD2" s="2235"/>
      <c r="JUE2" s="2235"/>
      <c r="JUF2" s="2235"/>
      <c r="JUG2" s="2235"/>
      <c r="JUH2" s="2235"/>
      <c r="JUI2" s="2235"/>
      <c r="JUJ2" s="2235"/>
      <c r="JUK2" s="2235"/>
      <c r="JUL2" s="2235"/>
      <c r="JUM2" s="2235"/>
      <c r="JUN2" s="2235"/>
      <c r="JUO2" s="2235"/>
      <c r="JUP2" s="2235"/>
      <c r="JUQ2" s="2235"/>
      <c r="JUR2" s="2235"/>
      <c r="JUS2" s="2235"/>
      <c r="JUT2" s="2235"/>
      <c r="JUU2" s="2235"/>
      <c r="JUV2" s="2235"/>
      <c r="JUW2" s="2235"/>
      <c r="JUX2" s="2235"/>
      <c r="JUY2" s="2235"/>
      <c r="JUZ2" s="2235"/>
      <c r="JVA2" s="2235"/>
      <c r="JVB2" s="2235"/>
      <c r="JVC2" s="2235"/>
      <c r="JVD2" s="2235"/>
      <c r="JVE2" s="2235"/>
      <c r="JVF2" s="2235"/>
      <c r="JVG2" s="2235"/>
      <c r="JVH2" s="2235"/>
      <c r="JVI2" s="2235"/>
      <c r="JVJ2" s="2235"/>
      <c r="JVK2" s="2235"/>
      <c r="JVL2" s="2235"/>
      <c r="JVM2" s="2235"/>
      <c r="JVN2" s="2235"/>
      <c r="JVO2" s="2235"/>
      <c r="JVP2" s="2235"/>
      <c r="JVQ2" s="2235"/>
      <c r="JVR2" s="2235"/>
      <c r="JVS2" s="2235"/>
      <c r="JVT2" s="2235"/>
      <c r="JVU2" s="2235"/>
      <c r="JVV2" s="2235"/>
      <c r="JVW2" s="2235"/>
      <c r="JVX2" s="2235"/>
      <c r="JVY2" s="2235"/>
      <c r="JVZ2" s="2235"/>
      <c r="JWA2" s="2235"/>
      <c r="JWB2" s="2235"/>
      <c r="JWC2" s="2235"/>
      <c r="JWD2" s="2235"/>
      <c r="JWE2" s="2235"/>
      <c r="JWF2" s="2235"/>
      <c r="JWG2" s="2235"/>
      <c r="JWH2" s="2235"/>
      <c r="JWI2" s="2235"/>
      <c r="JWJ2" s="2235"/>
      <c r="JWK2" s="2235"/>
      <c r="JWL2" s="2235"/>
      <c r="JWM2" s="2235"/>
      <c r="JWN2" s="2235"/>
      <c r="JWO2" s="2235"/>
      <c r="JWP2" s="2235"/>
      <c r="JWQ2" s="2235"/>
      <c r="JWR2" s="2235"/>
      <c r="JWS2" s="2235"/>
      <c r="JWT2" s="2235"/>
      <c r="JWU2" s="2235"/>
      <c r="JWV2" s="2235"/>
      <c r="JWW2" s="2235"/>
      <c r="JWX2" s="2235"/>
      <c r="JWY2" s="2235"/>
      <c r="JWZ2" s="2235"/>
      <c r="JXA2" s="2235"/>
      <c r="JXB2" s="2235"/>
      <c r="JXC2" s="2235"/>
      <c r="JXD2" s="2235"/>
      <c r="JXE2" s="2235"/>
      <c r="JXF2" s="2235"/>
      <c r="JXG2" s="2235"/>
      <c r="JXH2" s="2235"/>
      <c r="JXI2" s="2235"/>
      <c r="JXJ2" s="2235"/>
      <c r="JXK2" s="2235"/>
      <c r="JXL2" s="2235"/>
      <c r="JXM2" s="2235"/>
      <c r="JXN2" s="2235"/>
      <c r="JXO2" s="2235"/>
      <c r="JXP2" s="2235"/>
      <c r="JXQ2" s="2235"/>
      <c r="JXR2" s="2235"/>
      <c r="JXS2" s="2235"/>
      <c r="JXT2" s="2235"/>
      <c r="JXU2" s="2235"/>
      <c r="JXV2" s="2235"/>
      <c r="JXW2" s="2235"/>
      <c r="JXX2" s="2235"/>
      <c r="JXY2" s="2235"/>
      <c r="JXZ2" s="2235"/>
      <c r="JYA2" s="2235"/>
      <c r="JYB2" s="2235"/>
      <c r="JYC2" s="2235"/>
      <c r="JYD2" s="2235"/>
      <c r="JYE2" s="2235"/>
      <c r="JYF2" s="2235"/>
      <c r="JYG2" s="2235"/>
      <c r="JYH2" s="2235"/>
      <c r="JYI2" s="2235"/>
      <c r="JYJ2" s="2235"/>
      <c r="JYK2" s="2235"/>
      <c r="JYL2" s="2235"/>
      <c r="JYM2" s="2235"/>
      <c r="JYN2" s="2235"/>
      <c r="JYO2" s="2235"/>
      <c r="JYP2" s="2235"/>
      <c r="JYQ2" s="2235"/>
      <c r="JYR2" s="2235"/>
      <c r="JYS2" s="2235"/>
      <c r="JYT2" s="2235"/>
      <c r="JYU2" s="2235"/>
      <c r="JYV2" s="2235"/>
      <c r="JYW2" s="2235"/>
      <c r="JYX2" s="2235"/>
      <c r="JYY2" s="2235"/>
      <c r="JYZ2" s="2235"/>
      <c r="JZA2" s="2235"/>
      <c r="JZB2" s="2235"/>
      <c r="JZC2" s="2235"/>
      <c r="JZD2" s="2235"/>
      <c r="JZE2" s="2235"/>
      <c r="JZF2" s="2235"/>
      <c r="JZG2" s="2235"/>
      <c r="JZH2" s="2235"/>
      <c r="JZI2" s="2235"/>
      <c r="JZJ2" s="2235"/>
      <c r="JZK2" s="2235"/>
      <c r="JZL2" s="2235"/>
      <c r="JZM2" s="2235"/>
      <c r="JZN2" s="2235"/>
      <c r="JZO2" s="2235"/>
      <c r="JZP2" s="2235"/>
      <c r="JZQ2" s="2235"/>
      <c r="JZR2" s="2235"/>
      <c r="JZS2" s="2235"/>
      <c r="JZT2" s="2235"/>
      <c r="JZU2" s="2235"/>
      <c r="JZV2" s="2235"/>
      <c r="JZW2" s="2235"/>
      <c r="JZX2" s="2235"/>
      <c r="JZY2" s="2235"/>
      <c r="JZZ2" s="2235"/>
      <c r="KAA2" s="2235"/>
      <c r="KAB2" s="2235"/>
      <c r="KAC2" s="2235"/>
      <c r="KAD2" s="2235"/>
      <c r="KAE2" s="2235"/>
      <c r="KAF2" s="2235"/>
      <c r="KAG2" s="2235"/>
      <c r="KAH2" s="2235"/>
      <c r="KAI2" s="2235"/>
      <c r="KAJ2" s="2235"/>
      <c r="KAK2" s="2235"/>
      <c r="KAL2" s="2235"/>
      <c r="KAM2" s="2235"/>
      <c r="KAN2" s="2235"/>
      <c r="KAO2" s="2235"/>
      <c r="KAP2" s="2235"/>
      <c r="KAQ2" s="2235"/>
      <c r="KAR2" s="2235"/>
      <c r="KAS2" s="2235"/>
      <c r="KAT2" s="2235"/>
      <c r="KAU2" s="2235"/>
      <c r="KAV2" s="2235"/>
      <c r="KAW2" s="2235"/>
      <c r="KAX2" s="2235"/>
      <c r="KAY2" s="2235"/>
      <c r="KAZ2" s="2235"/>
      <c r="KBA2" s="2235"/>
      <c r="KBB2" s="2235"/>
      <c r="KBC2" s="2235"/>
      <c r="KBD2" s="2235"/>
      <c r="KBE2" s="2235"/>
      <c r="KBF2" s="2235"/>
      <c r="KBG2" s="2235"/>
      <c r="KBH2" s="2235"/>
      <c r="KBI2" s="2235"/>
      <c r="KBJ2" s="2235"/>
      <c r="KBK2" s="2235"/>
      <c r="KBL2" s="2235"/>
      <c r="KBM2" s="2235"/>
      <c r="KBN2" s="2235"/>
      <c r="KBO2" s="2235"/>
      <c r="KBP2" s="2235"/>
      <c r="KBQ2" s="2235"/>
      <c r="KBR2" s="2235"/>
      <c r="KBS2" s="2235"/>
      <c r="KBT2" s="2235"/>
      <c r="KBU2" s="2235"/>
      <c r="KBV2" s="2235"/>
      <c r="KBW2" s="2235"/>
      <c r="KBX2" s="2235"/>
      <c r="KBY2" s="2235"/>
      <c r="KBZ2" s="2235"/>
      <c r="KCA2" s="2235"/>
      <c r="KCB2" s="2235"/>
      <c r="KCC2" s="2235"/>
      <c r="KCD2" s="2235"/>
      <c r="KCE2" s="2235"/>
      <c r="KCF2" s="2235"/>
      <c r="KCG2" s="2235"/>
      <c r="KCH2" s="2235"/>
      <c r="KCI2" s="2235"/>
      <c r="KCJ2" s="2235"/>
      <c r="KCK2" s="2235"/>
      <c r="KCL2" s="2235"/>
      <c r="KCM2" s="2235"/>
      <c r="KCN2" s="2235"/>
      <c r="KCO2" s="2235"/>
      <c r="KCP2" s="2235"/>
      <c r="KCQ2" s="2235"/>
      <c r="KCR2" s="2235"/>
      <c r="KCS2" s="2235"/>
      <c r="KCT2" s="2235"/>
      <c r="KCU2" s="2235"/>
      <c r="KCV2" s="2235"/>
      <c r="KCW2" s="2235"/>
      <c r="KCX2" s="2235"/>
      <c r="KCY2" s="2235"/>
      <c r="KCZ2" s="2235"/>
      <c r="KDA2" s="2235"/>
      <c r="KDB2" s="2235"/>
      <c r="KDC2" s="2235"/>
      <c r="KDD2" s="2235"/>
      <c r="KDE2" s="2235"/>
      <c r="KDF2" s="2235"/>
      <c r="KDG2" s="2235"/>
      <c r="KDH2" s="2235"/>
      <c r="KDI2" s="2235"/>
      <c r="KDJ2" s="2235"/>
      <c r="KDK2" s="2235"/>
      <c r="KDL2" s="2235"/>
      <c r="KDM2" s="2235"/>
      <c r="KDN2" s="2235"/>
      <c r="KDO2" s="2235"/>
      <c r="KDP2" s="2235"/>
      <c r="KDQ2" s="2235"/>
      <c r="KDR2" s="2235"/>
      <c r="KDS2" s="2235"/>
      <c r="KDT2" s="2235"/>
      <c r="KDU2" s="2235"/>
      <c r="KDV2" s="2235"/>
      <c r="KDW2" s="2235"/>
      <c r="KDX2" s="2235"/>
      <c r="KDY2" s="2235"/>
      <c r="KDZ2" s="2235"/>
      <c r="KEA2" s="2235"/>
      <c r="KEB2" s="2235"/>
      <c r="KEC2" s="2235"/>
      <c r="KED2" s="2235"/>
      <c r="KEE2" s="2235"/>
      <c r="KEF2" s="2235"/>
      <c r="KEG2" s="2235"/>
      <c r="KEH2" s="2235"/>
      <c r="KEI2" s="2235"/>
      <c r="KEJ2" s="2235"/>
      <c r="KEK2" s="2235"/>
      <c r="KEL2" s="2235"/>
      <c r="KEM2" s="2235"/>
      <c r="KEN2" s="2235"/>
      <c r="KEO2" s="2235"/>
      <c r="KEP2" s="2235"/>
      <c r="KEQ2" s="2235"/>
      <c r="KER2" s="2235"/>
      <c r="KES2" s="2235"/>
      <c r="KET2" s="2235"/>
      <c r="KEU2" s="2235"/>
      <c r="KEV2" s="2235"/>
      <c r="KEW2" s="2235"/>
      <c r="KEX2" s="2235"/>
      <c r="KEY2" s="2235"/>
      <c r="KEZ2" s="2235"/>
      <c r="KFA2" s="2235"/>
      <c r="KFB2" s="2235"/>
      <c r="KFC2" s="2235"/>
      <c r="KFD2" s="2235"/>
      <c r="KFE2" s="2235"/>
      <c r="KFF2" s="2235"/>
      <c r="KFG2" s="2235"/>
      <c r="KFH2" s="2235"/>
      <c r="KFI2" s="2235"/>
      <c r="KFJ2" s="2235"/>
      <c r="KFK2" s="2235"/>
      <c r="KFL2" s="2235"/>
      <c r="KFM2" s="2235"/>
      <c r="KFN2" s="2235"/>
      <c r="KFO2" s="2235"/>
      <c r="KFP2" s="2235"/>
      <c r="KFQ2" s="2235"/>
      <c r="KFR2" s="2235"/>
      <c r="KFS2" s="2235"/>
      <c r="KFT2" s="2235"/>
      <c r="KFU2" s="2235"/>
      <c r="KFV2" s="2235"/>
      <c r="KFW2" s="2235"/>
      <c r="KFX2" s="2235"/>
      <c r="KFY2" s="2235"/>
      <c r="KFZ2" s="2235"/>
      <c r="KGA2" s="2235"/>
      <c r="KGB2" s="2235"/>
      <c r="KGC2" s="2235"/>
      <c r="KGD2" s="2235"/>
      <c r="KGE2" s="2235"/>
      <c r="KGF2" s="2235"/>
      <c r="KGG2" s="2235"/>
      <c r="KGH2" s="2235"/>
      <c r="KGI2" s="2235"/>
      <c r="KGJ2" s="2235"/>
      <c r="KGK2" s="2235"/>
      <c r="KGL2" s="2235"/>
      <c r="KGM2" s="2235"/>
      <c r="KGN2" s="2235"/>
      <c r="KGO2" s="2235"/>
      <c r="KGP2" s="2235"/>
      <c r="KGQ2" s="2235"/>
      <c r="KGR2" s="2235"/>
      <c r="KGS2" s="2235"/>
      <c r="KGT2" s="2235"/>
      <c r="KGU2" s="2235"/>
      <c r="KGV2" s="2235"/>
      <c r="KGW2" s="2235"/>
      <c r="KGX2" s="2235"/>
      <c r="KGY2" s="2235"/>
      <c r="KGZ2" s="2235"/>
      <c r="KHA2" s="2235"/>
      <c r="KHB2" s="2235"/>
      <c r="KHC2" s="2235"/>
      <c r="KHD2" s="2235"/>
      <c r="KHE2" s="2235"/>
      <c r="KHF2" s="2235"/>
      <c r="KHG2" s="2235"/>
      <c r="KHH2" s="2235"/>
      <c r="KHI2" s="2235"/>
      <c r="KHJ2" s="2235"/>
      <c r="KHK2" s="2235"/>
      <c r="KHL2" s="2235"/>
      <c r="KHM2" s="2235"/>
      <c r="KHN2" s="2235"/>
      <c r="KHO2" s="2235"/>
      <c r="KHP2" s="2235"/>
      <c r="KHQ2" s="2235"/>
      <c r="KHR2" s="2235"/>
      <c r="KHS2" s="2235"/>
      <c r="KHT2" s="2235"/>
      <c r="KHU2" s="2235"/>
      <c r="KHV2" s="2235"/>
      <c r="KHW2" s="2235"/>
      <c r="KHX2" s="2235"/>
      <c r="KHY2" s="2235"/>
      <c r="KHZ2" s="2235"/>
      <c r="KIA2" s="2235"/>
      <c r="KIB2" s="2235"/>
      <c r="KIC2" s="2235"/>
      <c r="KID2" s="2235"/>
      <c r="KIE2" s="2235"/>
      <c r="KIF2" s="2235"/>
      <c r="KIG2" s="2235"/>
      <c r="KIH2" s="2235"/>
      <c r="KII2" s="2235"/>
      <c r="KIJ2" s="2235"/>
      <c r="KIK2" s="2235"/>
      <c r="KIL2" s="2235"/>
      <c r="KIM2" s="2235"/>
      <c r="KIN2" s="2235"/>
      <c r="KIO2" s="2235"/>
      <c r="KIP2" s="2235"/>
      <c r="KIQ2" s="2235"/>
      <c r="KIR2" s="2235"/>
      <c r="KIS2" s="2235"/>
      <c r="KIT2" s="2235"/>
      <c r="KIU2" s="2235"/>
      <c r="KIV2" s="2235"/>
      <c r="KIW2" s="2235"/>
      <c r="KIX2" s="2235"/>
      <c r="KIY2" s="2235"/>
      <c r="KIZ2" s="2235"/>
      <c r="KJA2" s="2235"/>
      <c r="KJB2" s="2235"/>
      <c r="KJC2" s="2235"/>
      <c r="KJD2" s="2235"/>
      <c r="KJE2" s="2235"/>
      <c r="KJF2" s="2235"/>
      <c r="KJG2" s="2235"/>
      <c r="KJH2" s="2235"/>
      <c r="KJI2" s="2235"/>
      <c r="KJJ2" s="2235"/>
      <c r="KJK2" s="2235"/>
      <c r="KJL2" s="2235"/>
      <c r="KJM2" s="2235"/>
      <c r="KJN2" s="2235"/>
      <c r="KJO2" s="2235"/>
      <c r="KJP2" s="2235"/>
      <c r="KJQ2" s="2235"/>
      <c r="KJR2" s="2235"/>
      <c r="KJS2" s="2235"/>
      <c r="KJT2" s="2235"/>
      <c r="KJU2" s="2235"/>
      <c r="KJV2" s="2235"/>
      <c r="KJW2" s="2235"/>
      <c r="KJX2" s="2235"/>
      <c r="KJY2" s="2235"/>
      <c r="KJZ2" s="2235"/>
      <c r="KKA2" s="2235"/>
      <c r="KKB2" s="2235"/>
      <c r="KKC2" s="2235"/>
      <c r="KKD2" s="2235"/>
      <c r="KKE2" s="2235"/>
      <c r="KKF2" s="2235"/>
      <c r="KKG2" s="2235"/>
      <c r="KKH2" s="2235"/>
      <c r="KKI2" s="2235"/>
      <c r="KKJ2" s="2235"/>
      <c r="KKK2" s="2235"/>
      <c r="KKL2" s="2235"/>
      <c r="KKM2" s="2235"/>
      <c r="KKN2" s="2235"/>
      <c r="KKO2" s="2235"/>
      <c r="KKP2" s="2235"/>
      <c r="KKQ2" s="2235"/>
      <c r="KKR2" s="2235"/>
      <c r="KKS2" s="2235"/>
      <c r="KKT2" s="2235"/>
      <c r="KKU2" s="2235"/>
      <c r="KKV2" s="2235"/>
      <c r="KKW2" s="2235"/>
      <c r="KKX2" s="2235"/>
      <c r="KKY2" s="2235"/>
      <c r="KKZ2" s="2235"/>
      <c r="KLA2" s="2235"/>
      <c r="KLB2" s="2235"/>
      <c r="KLC2" s="2235"/>
      <c r="KLD2" s="2235"/>
      <c r="KLE2" s="2235"/>
      <c r="KLF2" s="2235"/>
      <c r="KLG2" s="2235"/>
      <c r="KLH2" s="2235"/>
      <c r="KLI2" s="2235"/>
      <c r="KLJ2" s="2235"/>
      <c r="KLK2" s="2235"/>
      <c r="KLL2" s="2235"/>
      <c r="KLM2" s="2235"/>
      <c r="KLN2" s="2235"/>
      <c r="KLO2" s="2235"/>
      <c r="KLP2" s="2235"/>
      <c r="KLQ2" s="2235"/>
      <c r="KLR2" s="2235"/>
      <c r="KLS2" s="2235"/>
      <c r="KLT2" s="2235"/>
      <c r="KLU2" s="2235"/>
      <c r="KLV2" s="2235"/>
      <c r="KLW2" s="2235"/>
      <c r="KLX2" s="2235"/>
      <c r="KLY2" s="2235"/>
      <c r="KLZ2" s="2235"/>
      <c r="KMA2" s="2235"/>
      <c r="KMB2" s="2235"/>
      <c r="KMC2" s="2235"/>
      <c r="KMD2" s="2235"/>
      <c r="KME2" s="2235"/>
      <c r="KMF2" s="2235"/>
      <c r="KMG2" s="2235"/>
      <c r="KMH2" s="2235"/>
      <c r="KMI2" s="2235"/>
      <c r="KMJ2" s="2235"/>
      <c r="KMK2" s="2235"/>
      <c r="KML2" s="2235"/>
      <c r="KMM2" s="2235"/>
      <c r="KMN2" s="2235"/>
      <c r="KMO2" s="2235"/>
      <c r="KMP2" s="2235"/>
      <c r="KMQ2" s="2235"/>
      <c r="KMR2" s="2235"/>
      <c r="KMS2" s="2235"/>
      <c r="KMT2" s="2235"/>
      <c r="KMU2" s="2235"/>
      <c r="KMV2" s="2235"/>
      <c r="KMW2" s="2235"/>
      <c r="KMX2" s="2235"/>
      <c r="KMY2" s="2235"/>
      <c r="KMZ2" s="2235"/>
      <c r="KNA2" s="2235"/>
      <c r="KNB2" s="2235"/>
      <c r="KNC2" s="2235"/>
      <c r="KND2" s="2235"/>
      <c r="KNE2" s="2235"/>
      <c r="KNF2" s="2235"/>
      <c r="KNG2" s="2235"/>
      <c r="KNH2" s="2235"/>
      <c r="KNI2" s="2235"/>
      <c r="KNJ2" s="2235"/>
      <c r="KNK2" s="2235"/>
      <c r="KNL2" s="2235"/>
      <c r="KNM2" s="2235"/>
      <c r="KNN2" s="2235"/>
      <c r="KNO2" s="2235"/>
      <c r="KNP2" s="2235"/>
      <c r="KNQ2" s="2235"/>
      <c r="KNR2" s="2235"/>
      <c r="KNS2" s="2235"/>
      <c r="KNT2" s="2235"/>
      <c r="KNU2" s="2235"/>
      <c r="KNV2" s="2235"/>
      <c r="KNW2" s="2235"/>
      <c r="KNX2" s="2235"/>
      <c r="KNY2" s="2235"/>
      <c r="KNZ2" s="2235"/>
      <c r="KOA2" s="2235"/>
      <c r="KOB2" s="2235"/>
      <c r="KOC2" s="2235"/>
      <c r="KOD2" s="2235"/>
      <c r="KOE2" s="2235"/>
      <c r="KOF2" s="2235"/>
      <c r="KOG2" s="2235"/>
      <c r="KOH2" s="2235"/>
      <c r="KOI2" s="2235"/>
      <c r="KOJ2" s="2235"/>
      <c r="KOK2" s="2235"/>
      <c r="KOL2" s="2235"/>
      <c r="KOM2" s="2235"/>
      <c r="KON2" s="2235"/>
      <c r="KOO2" s="2235"/>
      <c r="KOP2" s="2235"/>
      <c r="KOQ2" s="2235"/>
      <c r="KOR2" s="2235"/>
      <c r="KOS2" s="2235"/>
      <c r="KOT2" s="2235"/>
      <c r="KOU2" s="2235"/>
      <c r="KOV2" s="2235"/>
      <c r="KOW2" s="2235"/>
      <c r="KOX2" s="2235"/>
      <c r="KOY2" s="2235"/>
      <c r="KOZ2" s="2235"/>
      <c r="KPA2" s="2235"/>
      <c r="KPB2" s="2235"/>
      <c r="KPC2" s="2235"/>
      <c r="KPD2" s="2235"/>
      <c r="KPE2" s="2235"/>
      <c r="KPF2" s="2235"/>
      <c r="KPG2" s="2235"/>
      <c r="KPH2" s="2235"/>
      <c r="KPI2" s="2235"/>
      <c r="KPJ2" s="2235"/>
      <c r="KPK2" s="2235"/>
      <c r="KPL2" s="2235"/>
      <c r="KPM2" s="2235"/>
      <c r="KPN2" s="2235"/>
      <c r="KPO2" s="2235"/>
      <c r="KPP2" s="2235"/>
      <c r="KPQ2" s="2235"/>
      <c r="KPR2" s="2235"/>
      <c r="KPS2" s="2235"/>
      <c r="KPT2" s="2235"/>
      <c r="KPU2" s="2235"/>
      <c r="KPV2" s="2235"/>
      <c r="KPW2" s="2235"/>
      <c r="KPX2" s="2235"/>
      <c r="KPY2" s="2235"/>
      <c r="KPZ2" s="2235"/>
      <c r="KQA2" s="2235"/>
      <c r="KQB2" s="2235"/>
      <c r="KQC2" s="2235"/>
      <c r="KQD2" s="2235"/>
      <c r="KQE2" s="2235"/>
      <c r="KQF2" s="2235"/>
      <c r="KQG2" s="2235"/>
      <c r="KQH2" s="2235"/>
      <c r="KQI2" s="2235"/>
      <c r="KQJ2" s="2235"/>
      <c r="KQK2" s="2235"/>
      <c r="KQL2" s="2235"/>
      <c r="KQM2" s="2235"/>
      <c r="KQN2" s="2235"/>
      <c r="KQO2" s="2235"/>
      <c r="KQP2" s="2235"/>
      <c r="KQQ2" s="2235"/>
      <c r="KQR2" s="2235"/>
      <c r="KQS2" s="2235"/>
      <c r="KQT2" s="2235"/>
      <c r="KQU2" s="2235"/>
      <c r="KQV2" s="2235"/>
      <c r="KQW2" s="2235"/>
      <c r="KQX2" s="2235"/>
      <c r="KQY2" s="2235"/>
      <c r="KQZ2" s="2235"/>
      <c r="KRA2" s="2235"/>
      <c r="KRB2" s="2235"/>
      <c r="KRC2" s="2235"/>
      <c r="KRD2" s="2235"/>
      <c r="KRE2" s="2235"/>
      <c r="KRF2" s="2235"/>
      <c r="KRG2" s="2235"/>
      <c r="KRH2" s="2235"/>
      <c r="KRI2" s="2235"/>
      <c r="KRJ2" s="2235"/>
      <c r="KRK2" s="2235"/>
      <c r="KRL2" s="2235"/>
      <c r="KRM2" s="2235"/>
      <c r="KRN2" s="2235"/>
      <c r="KRO2" s="2235"/>
      <c r="KRP2" s="2235"/>
      <c r="KRQ2" s="2235"/>
      <c r="KRR2" s="2235"/>
      <c r="KRS2" s="2235"/>
      <c r="KRT2" s="2235"/>
      <c r="KRU2" s="2235"/>
      <c r="KRV2" s="2235"/>
      <c r="KRW2" s="2235"/>
      <c r="KRX2" s="2235"/>
      <c r="KRY2" s="2235"/>
      <c r="KRZ2" s="2235"/>
      <c r="KSA2" s="2235"/>
      <c r="KSB2" s="2235"/>
      <c r="KSC2" s="2235"/>
      <c r="KSD2" s="2235"/>
      <c r="KSE2" s="2235"/>
      <c r="KSF2" s="2235"/>
      <c r="KSG2" s="2235"/>
      <c r="KSH2" s="2235"/>
      <c r="KSI2" s="2235"/>
      <c r="KSJ2" s="2235"/>
      <c r="KSK2" s="2235"/>
      <c r="KSL2" s="2235"/>
      <c r="KSM2" s="2235"/>
      <c r="KSN2" s="2235"/>
      <c r="KSO2" s="2235"/>
      <c r="KSP2" s="2235"/>
      <c r="KSQ2" s="2235"/>
      <c r="KSR2" s="2235"/>
      <c r="KSS2" s="2235"/>
      <c r="KST2" s="2235"/>
      <c r="KSU2" s="2235"/>
      <c r="KSV2" s="2235"/>
      <c r="KSW2" s="2235"/>
      <c r="KSX2" s="2235"/>
      <c r="KSY2" s="2235"/>
      <c r="KSZ2" s="2235"/>
      <c r="KTA2" s="2235"/>
      <c r="KTB2" s="2235"/>
      <c r="KTC2" s="2235"/>
      <c r="KTD2" s="2235"/>
      <c r="KTE2" s="2235"/>
      <c r="KTF2" s="2235"/>
      <c r="KTG2" s="2235"/>
      <c r="KTH2" s="2235"/>
      <c r="KTI2" s="2235"/>
      <c r="KTJ2" s="2235"/>
      <c r="KTK2" s="2235"/>
      <c r="KTL2" s="2235"/>
      <c r="KTM2" s="2235"/>
      <c r="KTN2" s="2235"/>
      <c r="KTO2" s="2235"/>
      <c r="KTP2" s="2235"/>
      <c r="KTQ2" s="2235"/>
      <c r="KTR2" s="2235"/>
      <c r="KTS2" s="2235"/>
      <c r="KTT2" s="2235"/>
      <c r="KTU2" s="2235"/>
      <c r="KTV2" s="2235"/>
      <c r="KTW2" s="2235"/>
      <c r="KTX2" s="2235"/>
      <c r="KTY2" s="2235"/>
      <c r="KTZ2" s="2235"/>
      <c r="KUA2" s="2235"/>
      <c r="KUB2" s="2235"/>
      <c r="KUC2" s="2235"/>
      <c r="KUD2" s="2235"/>
      <c r="KUE2" s="2235"/>
      <c r="KUF2" s="2235"/>
      <c r="KUG2" s="2235"/>
      <c r="KUH2" s="2235"/>
      <c r="KUI2" s="2235"/>
      <c r="KUJ2" s="2235"/>
      <c r="KUK2" s="2235"/>
      <c r="KUL2" s="2235"/>
      <c r="KUM2" s="2235"/>
      <c r="KUN2" s="2235"/>
      <c r="KUO2" s="2235"/>
      <c r="KUP2" s="2235"/>
      <c r="KUQ2" s="2235"/>
      <c r="KUR2" s="2235"/>
      <c r="KUS2" s="2235"/>
      <c r="KUT2" s="2235"/>
      <c r="KUU2" s="2235"/>
      <c r="KUV2" s="2235"/>
      <c r="KUW2" s="2235"/>
      <c r="KUX2" s="2235"/>
      <c r="KUY2" s="2235"/>
      <c r="KUZ2" s="2235"/>
      <c r="KVA2" s="2235"/>
      <c r="KVB2" s="2235"/>
      <c r="KVC2" s="2235"/>
      <c r="KVD2" s="2235"/>
      <c r="KVE2" s="2235"/>
      <c r="KVF2" s="2235"/>
      <c r="KVG2" s="2235"/>
      <c r="KVH2" s="2235"/>
      <c r="KVI2" s="2235"/>
      <c r="KVJ2" s="2235"/>
      <c r="KVK2" s="2235"/>
      <c r="KVL2" s="2235"/>
      <c r="KVM2" s="2235"/>
      <c r="KVN2" s="2235"/>
      <c r="KVO2" s="2235"/>
      <c r="KVP2" s="2235"/>
      <c r="KVQ2" s="2235"/>
      <c r="KVR2" s="2235"/>
      <c r="KVS2" s="2235"/>
      <c r="KVT2" s="2235"/>
      <c r="KVU2" s="2235"/>
      <c r="KVV2" s="2235"/>
      <c r="KVW2" s="2235"/>
      <c r="KVX2" s="2235"/>
      <c r="KVY2" s="2235"/>
      <c r="KVZ2" s="2235"/>
      <c r="KWA2" s="2235"/>
      <c r="KWB2" s="2235"/>
      <c r="KWC2" s="2235"/>
      <c r="KWD2" s="2235"/>
      <c r="KWE2" s="2235"/>
      <c r="KWF2" s="2235"/>
      <c r="KWG2" s="2235"/>
      <c r="KWH2" s="2235"/>
      <c r="KWI2" s="2235"/>
      <c r="KWJ2" s="2235"/>
      <c r="KWK2" s="2235"/>
      <c r="KWL2" s="2235"/>
      <c r="KWM2" s="2235"/>
      <c r="KWN2" s="2235"/>
      <c r="KWO2" s="2235"/>
      <c r="KWP2" s="2235"/>
      <c r="KWQ2" s="2235"/>
      <c r="KWR2" s="2235"/>
      <c r="KWS2" s="2235"/>
      <c r="KWT2" s="2235"/>
      <c r="KWU2" s="2235"/>
      <c r="KWV2" s="2235"/>
      <c r="KWW2" s="2235"/>
      <c r="KWX2" s="2235"/>
      <c r="KWY2" s="2235"/>
      <c r="KWZ2" s="2235"/>
      <c r="KXA2" s="2235"/>
      <c r="KXB2" s="2235"/>
      <c r="KXC2" s="2235"/>
      <c r="KXD2" s="2235"/>
      <c r="KXE2" s="2235"/>
      <c r="KXF2" s="2235"/>
      <c r="KXG2" s="2235"/>
      <c r="KXH2" s="2235"/>
      <c r="KXI2" s="2235"/>
      <c r="KXJ2" s="2235"/>
      <c r="KXK2" s="2235"/>
      <c r="KXL2" s="2235"/>
      <c r="KXM2" s="2235"/>
      <c r="KXN2" s="2235"/>
      <c r="KXO2" s="2235"/>
      <c r="KXP2" s="2235"/>
      <c r="KXQ2" s="2235"/>
      <c r="KXR2" s="2235"/>
      <c r="KXS2" s="2235"/>
      <c r="KXT2" s="2235"/>
      <c r="KXU2" s="2235"/>
      <c r="KXV2" s="2235"/>
      <c r="KXW2" s="2235"/>
      <c r="KXX2" s="2235"/>
      <c r="KXY2" s="2235"/>
      <c r="KXZ2" s="2235"/>
      <c r="KYA2" s="2235"/>
      <c r="KYB2" s="2235"/>
      <c r="KYC2" s="2235"/>
      <c r="KYD2" s="2235"/>
      <c r="KYE2" s="2235"/>
      <c r="KYF2" s="2235"/>
      <c r="KYG2" s="2235"/>
      <c r="KYH2" s="2235"/>
      <c r="KYI2" s="2235"/>
      <c r="KYJ2" s="2235"/>
      <c r="KYK2" s="2235"/>
      <c r="KYL2" s="2235"/>
      <c r="KYM2" s="2235"/>
      <c r="KYN2" s="2235"/>
      <c r="KYO2" s="2235"/>
      <c r="KYP2" s="2235"/>
      <c r="KYQ2" s="2235"/>
      <c r="KYR2" s="2235"/>
      <c r="KYS2" s="2235"/>
      <c r="KYT2" s="2235"/>
      <c r="KYU2" s="2235"/>
      <c r="KYV2" s="2235"/>
      <c r="KYW2" s="2235"/>
      <c r="KYX2" s="2235"/>
      <c r="KYY2" s="2235"/>
      <c r="KYZ2" s="2235"/>
      <c r="KZA2" s="2235"/>
      <c r="KZB2" s="2235"/>
      <c r="KZC2" s="2235"/>
      <c r="KZD2" s="2235"/>
      <c r="KZE2" s="2235"/>
      <c r="KZF2" s="2235"/>
      <c r="KZG2" s="2235"/>
      <c r="KZH2" s="2235"/>
      <c r="KZI2" s="2235"/>
      <c r="KZJ2" s="2235"/>
      <c r="KZK2" s="2235"/>
      <c r="KZL2" s="2235"/>
      <c r="KZM2" s="2235"/>
      <c r="KZN2" s="2235"/>
      <c r="KZO2" s="2235"/>
      <c r="KZP2" s="2235"/>
      <c r="KZQ2" s="2235"/>
      <c r="KZR2" s="2235"/>
      <c r="KZS2" s="2235"/>
      <c r="KZT2" s="2235"/>
      <c r="KZU2" s="2235"/>
      <c r="KZV2" s="2235"/>
      <c r="KZW2" s="2235"/>
      <c r="KZX2" s="2235"/>
      <c r="KZY2" s="2235"/>
      <c r="KZZ2" s="2235"/>
      <c r="LAA2" s="2235"/>
      <c r="LAB2" s="2235"/>
      <c r="LAC2" s="2235"/>
      <c r="LAD2" s="2235"/>
      <c r="LAE2" s="2235"/>
      <c r="LAF2" s="2235"/>
      <c r="LAG2" s="2235"/>
      <c r="LAH2" s="2235"/>
      <c r="LAI2" s="2235"/>
      <c r="LAJ2" s="2235"/>
      <c r="LAK2" s="2235"/>
      <c r="LAL2" s="2235"/>
      <c r="LAM2" s="2235"/>
      <c r="LAN2" s="2235"/>
      <c r="LAO2" s="2235"/>
      <c r="LAP2" s="2235"/>
      <c r="LAQ2" s="2235"/>
      <c r="LAR2" s="2235"/>
      <c r="LAS2" s="2235"/>
      <c r="LAT2" s="2235"/>
      <c r="LAU2" s="2235"/>
      <c r="LAV2" s="2235"/>
      <c r="LAW2" s="2235"/>
      <c r="LAX2" s="2235"/>
      <c r="LAY2" s="2235"/>
      <c r="LAZ2" s="2235"/>
      <c r="LBA2" s="2235"/>
      <c r="LBB2" s="2235"/>
      <c r="LBC2" s="2235"/>
      <c r="LBD2" s="2235"/>
      <c r="LBE2" s="2235"/>
      <c r="LBF2" s="2235"/>
      <c r="LBG2" s="2235"/>
      <c r="LBH2" s="2235"/>
      <c r="LBI2" s="2235"/>
      <c r="LBJ2" s="2235"/>
      <c r="LBK2" s="2235"/>
      <c r="LBL2" s="2235"/>
      <c r="LBM2" s="2235"/>
      <c r="LBN2" s="2235"/>
      <c r="LBO2" s="2235"/>
      <c r="LBP2" s="2235"/>
      <c r="LBQ2" s="2235"/>
      <c r="LBR2" s="2235"/>
      <c r="LBS2" s="2235"/>
      <c r="LBT2" s="2235"/>
      <c r="LBU2" s="2235"/>
      <c r="LBV2" s="2235"/>
      <c r="LBW2" s="2235"/>
      <c r="LBX2" s="2235"/>
      <c r="LBY2" s="2235"/>
      <c r="LBZ2" s="2235"/>
      <c r="LCA2" s="2235"/>
      <c r="LCB2" s="2235"/>
      <c r="LCC2" s="2235"/>
      <c r="LCD2" s="2235"/>
      <c r="LCE2" s="2235"/>
      <c r="LCF2" s="2235"/>
      <c r="LCG2" s="2235"/>
      <c r="LCH2" s="2235"/>
      <c r="LCI2" s="2235"/>
      <c r="LCJ2" s="2235"/>
      <c r="LCK2" s="2235"/>
      <c r="LCL2" s="2235"/>
      <c r="LCM2" s="2235"/>
      <c r="LCN2" s="2235"/>
      <c r="LCO2" s="2235"/>
      <c r="LCP2" s="2235"/>
      <c r="LCQ2" s="2235"/>
      <c r="LCR2" s="2235"/>
      <c r="LCS2" s="2235"/>
      <c r="LCT2" s="2235"/>
      <c r="LCU2" s="2235"/>
      <c r="LCV2" s="2235"/>
      <c r="LCW2" s="2235"/>
      <c r="LCX2" s="2235"/>
      <c r="LCY2" s="2235"/>
      <c r="LCZ2" s="2235"/>
      <c r="LDA2" s="2235"/>
      <c r="LDB2" s="2235"/>
      <c r="LDC2" s="2235"/>
      <c r="LDD2" s="2235"/>
      <c r="LDE2" s="2235"/>
      <c r="LDF2" s="2235"/>
      <c r="LDG2" s="2235"/>
      <c r="LDH2" s="2235"/>
      <c r="LDI2" s="2235"/>
      <c r="LDJ2" s="2235"/>
      <c r="LDK2" s="2235"/>
      <c r="LDL2" s="2235"/>
      <c r="LDM2" s="2235"/>
      <c r="LDN2" s="2235"/>
      <c r="LDO2" s="2235"/>
      <c r="LDP2" s="2235"/>
      <c r="LDQ2" s="2235"/>
      <c r="LDR2" s="2235"/>
      <c r="LDS2" s="2235"/>
      <c r="LDT2" s="2235"/>
      <c r="LDU2" s="2235"/>
      <c r="LDV2" s="2235"/>
      <c r="LDW2" s="2235"/>
      <c r="LDX2" s="2235"/>
      <c r="LDY2" s="2235"/>
      <c r="LDZ2" s="2235"/>
      <c r="LEA2" s="2235"/>
      <c r="LEB2" s="2235"/>
      <c r="LEC2" s="2235"/>
      <c r="LED2" s="2235"/>
      <c r="LEE2" s="2235"/>
      <c r="LEF2" s="2235"/>
      <c r="LEG2" s="2235"/>
      <c r="LEH2" s="2235"/>
      <c r="LEI2" s="2235"/>
      <c r="LEJ2" s="2235"/>
      <c r="LEK2" s="2235"/>
      <c r="LEL2" s="2235"/>
      <c r="LEM2" s="2235"/>
      <c r="LEN2" s="2235"/>
      <c r="LEO2" s="2235"/>
      <c r="LEP2" s="2235"/>
      <c r="LEQ2" s="2235"/>
      <c r="LER2" s="2235"/>
      <c r="LES2" s="2235"/>
      <c r="LET2" s="2235"/>
      <c r="LEU2" s="2235"/>
      <c r="LEV2" s="2235"/>
      <c r="LEW2" s="2235"/>
      <c r="LEX2" s="2235"/>
      <c r="LEY2" s="2235"/>
      <c r="LEZ2" s="2235"/>
      <c r="LFA2" s="2235"/>
      <c r="LFB2" s="2235"/>
      <c r="LFC2" s="2235"/>
      <c r="LFD2" s="2235"/>
      <c r="LFE2" s="2235"/>
      <c r="LFF2" s="2235"/>
      <c r="LFG2" s="2235"/>
      <c r="LFH2" s="2235"/>
      <c r="LFI2" s="2235"/>
      <c r="LFJ2" s="2235"/>
      <c r="LFK2" s="2235"/>
      <c r="LFL2" s="2235"/>
      <c r="LFM2" s="2235"/>
      <c r="LFN2" s="2235"/>
      <c r="LFO2" s="2235"/>
      <c r="LFP2" s="2235"/>
      <c r="LFQ2" s="2235"/>
      <c r="LFR2" s="2235"/>
      <c r="LFS2" s="2235"/>
      <c r="LFT2" s="2235"/>
      <c r="LFU2" s="2235"/>
      <c r="LFV2" s="2235"/>
      <c r="LFW2" s="2235"/>
      <c r="LFX2" s="2235"/>
      <c r="LFY2" s="2235"/>
      <c r="LFZ2" s="2235"/>
      <c r="LGA2" s="2235"/>
      <c r="LGB2" s="2235"/>
      <c r="LGC2" s="2235"/>
      <c r="LGD2" s="2235"/>
      <c r="LGE2" s="2235"/>
      <c r="LGF2" s="2235"/>
      <c r="LGG2" s="2235"/>
      <c r="LGH2" s="2235"/>
      <c r="LGI2" s="2235"/>
      <c r="LGJ2" s="2235"/>
      <c r="LGK2" s="2235"/>
      <c r="LGL2" s="2235"/>
      <c r="LGM2" s="2235"/>
      <c r="LGN2" s="2235"/>
      <c r="LGO2" s="2235"/>
      <c r="LGP2" s="2235"/>
      <c r="LGQ2" s="2235"/>
      <c r="LGR2" s="2235"/>
      <c r="LGS2" s="2235"/>
      <c r="LGT2" s="2235"/>
      <c r="LGU2" s="2235"/>
      <c r="LGV2" s="2235"/>
      <c r="LGW2" s="2235"/>
      <c r="LGX2" s="2235"/>
      <c r="LGY2" s="2235"/>
      <c r="LGZ2" s="2235"/>
      <c r="LHA2" s="2235"/>
      <c r="LHB2" s="2235"/>
      <c r="LHC2" s="2235"/>
      <c r="LHD2" s="2235"/>
      <c r="LHE2" s="2235"/>
      <c r="LHF2" s="2235"/>
      <c r="LHG2" s="2235"/>
      <c r="LHH2" s="2235"/>
      <c r="LHI2" s="2235"/>
      <c r="LHJ2" s="2235"/>
      <c r="LHK2" s="2235"/>
      <c r="LHL2" s="2235"/>
      <c r="LHM2" s="2235"/>
      <c r="LHN2" s="2235"/>
      <c r="LHO2" s="2235"/>
      <c r="LHP2" s="2235"/>
      <c r="LHQ2" s="2235"/>
      <c r="LHR2" s="2235"/>
      <c r="LHS2" s="2235"/>
      <c r="LHT2" s="2235"/>
      <c r="LHU2" s="2235"/>
      <c r="LHV2" s="2235"/>
      <c r="LHW2" s="2235"/>
      <c r="LHX2" s="2235"/>
      <c r="LHY2" s="2235"/>
      <c r="LHZ2" s="2235"/>
      <c r="LIA2" s="2235"/>
      <c r="LIB2" s="2235"/>
      <c r="LIC2" s="2235"/>
      <c r="LID2" s="2235"/>
      <c r="LIE2" s="2235"/>
      <c r="LIF2" s="2235"/>
      <c r="LIG2" s="2235"/>
      <c r="LIH2" s="2235"/>
      <c r="LII2" s="2235"/>
      <c r="LIJ2" s="2235"/>
      <c r="LIK2" s="2235"/>
      <c r="LIL2" s="2235"/>
      <c r="LIM2" s="2235"/>
      <c r="LIN2" s="2235"/>
      <c r="LIO2" s="2235"/>
      <c r="LIP2" s="2235"/>
      <c r="LIQ2" s="2235"/>
      <c r="LIR2" s="2235"/>
      <c r="LIS2" s="2235"/>
      <c r="LIT2" s="2235"/>
      <c r="LIU2" s="2235"/>
      <c r="LIV2" s="2235"/>
      <c r="LIW2" s="2235"/>
      <c r="LIX2" s="2235"/>
      <c r="LIY2" s="2235"/>
      <c r="LIZ2" s="2235"/>
      <c r="LJA2" s="2235"/>
      <c r="LJB2" s="2235"/>
      <c r="LJC2" s="2235"/>
      <c r="LJD2" s="2235"/>
      <c r="LJE2" s="2235"/>
      <c r="LJF2" s="2235"/>
      <c r="LJG2" s="2235"/>
      <c r="LJH2" s="2235"/>
      <c r="LJI2" s="2235"/>
      <c r="LJJ2" s="2235"/>
      <c r="LJK2" s="2235"/>
      <c r="LJL2" s="2235"/>
      <c r="LJM2" s="2235"/>
      <c r="LJN2" s="2235"/>
      <c r="LJO2" s="2235"/>
      <c r="LJP2" s="2235"/>
      <c r="LJQ2" s="2235"/>
      <c r="LJR2" s="2235"/>
      <c r="LJS2" s="2235"/>
      <c r="LJT2" s="2235"/>
      <c r="LJU2" s="2235"/>
      <c r="LJV2" s="2235"/>
      <c r="LJW2" s="2235"/>
      <c r="LJX2" s="2235"/>
      <c r="LJY2" s="2235"/>
      <c r="LJZ2" s="2235"/>
      <c r="LKA2" s="2235"/>
      <c r="LKB2" s="2235"/>
      <c r="LKC2" s="2235"/>
      <c r="LKD2" s="2235"/>
      <c r="LKE2" s="2235"/>
      <c r="LKF2" s="2235"/>
      <c r="LKG2" s="2235"/>
      <c r="LKH2" s="2235"/>
      <c r="LKI2" s="2235"/>
      <c r="LKJ2" s="2235"/>
      <c r="LKK2" s="2235"/>
      <c r="LKL2" s="2235"/>
      <c r="LKM2" s="2235"/>
      <c r="LKN2" s="2235"/>
      <c r="LKO2" s="2235"/>
      <c r="LKP2" s="2235"/>
      <c r="LKQ2" s="2235"/>
      <c r="LKR2" s="2235"/>
      <c r="LKS2" s="2235"/>
      <c r="LKT2" s="2235"/>
      <c r="LKU2" s="2235"/>
      <c r="LKV2" s="2235"/>
      <c r="LKW2" s="2235"/>
      <c r="LKX2" s="2235"/>
      <c r="LKY2" s="2235"/>
      <c r="LKZ2" s="2235"/>
      <c r="LLA2" s="2235"/>
      <c r="LLB2" s="2235"/>
      <c r="LLC2" s="2235"/>
      <c r="LLD2" s="2235"/>
      <c r="LLE2" s="2235"/>
      <c r="LLF2" s="2235"/>
      <c r="LLG2" s="2235"/>
      <c r="LLH2" s="2235"/>
      <c r="LLI2" s="2235"/>
      <c r="LLJ2" s="2235"/>
      <c r="LLK2" s="2235"/>
      <c r="LLL2" s="2235"/>
      <c r="LLM2" s="2235"/>
      <c r="LLN2" s="2235"/>
      <c r="LLO2" s="2235"/>
      <c r="LLP2" s="2235"/>
      <c r="LLQ2" s="2235"/>
      <c r="LLR2" s="2235"/>
      <c r="LLS2" s="2235"/>
      <c r="LLT2" s="2235"/>
      <c r="LLU2" s="2235"/>
      <c r="LLV2" s="2235"/>
      <c r="LLW2" s="2235"/>
      <c r="LLX2" s="2235"/>
      <c r="LLY2" s="2235"/>
      <c r="LLZ2" s="2235"/>
      <c r="LMA2" s="2235"/>
      <c r="LMB2" s="2235"/>
      <c r="LMC2" s="2235"/>
      <c r="LMD2" s="2235"/>
      <c r="LME2" s="2235"/>
      <c r="LMF2" s="2235"/>
      <c r="LMG2" s="2235"/>
      <c r="LMH2" s="2235"/>
      <c r="LMI2" s="2235"/>
      <c r="LMJ2" s="2235"/>
      <c r="LMK2" s="2235"/>
      <c r="LML2" s="2235"/>
      <c r="LMM2" s="2235"/>
      <c r="LMN2" s="2235"/>
      <c r="LMO2" s="2235"/>
      <c r="LMP2" s="2235"/>
      <c r="LMQ2" s="2235"/>
      <c r="LMR2" s="2235"/>
      <c r="LMS2" s="2235"/>
      <c r="LMT2" s="2235"/>
      <c r="LMU2" s="2235"/>
      <c r="LMV2" s="2235"/>
      <c r="LMW2" s="2235"/>
      <c r="LMX2" s="2235"/>
      <c r="LMY2" s="2235"/>
      <c r="LMZ2" s="2235"/>
      <c r="LNA2" s="2235"/>
      <c r="LNB2" s="2235"/>
      <c r="LNC2" s="2235"/>
      <c r="LND2" s="2235"/>
      <c r="LNE2" s="2235"/>
      <c r="LNF2" s="2235"/>
      <c r="LNG2" s="2235"/>
      <c r="LNH2" s="2235"/>
      <c r="LNI2" s="2235"/>
      <c r="LNJ2" s="2235"/>
      <c r="LNK2" s="2235"/>
      <c r="LNL2" s="2235"/>
      <c r="LNM2" s="2235"/>
      <c r="LNN2" s="2235"/>
      <c r="LNO2" s="2235"/>
      <c r="LNP2" s="2235"/>
      <c r="LNQ2" s="2235"/>
      <c r="LNR2" s="2235"/>
      <c r="LNS2" s="2235"/>
      <c r="LNT2" s="2235"/>
      <c r="LNU2" s="2235"/>
      <c r="LNV2" s="2235"/>
      <c r="LNW2" s="2235"/>
      <c r="LNX2" s="2235"/>
      <c r="LNY2" s="2235"/>
      <c r="LNZ2" s="2235"/>
      <c r="LOA2" s="2235"/>
      <c r="LOB2" s="2235"/>
      <c r="LOC2" s="2235"/>
      <c r="LOD2" s="2235"/>
      <c r="LOE2" s="2235"/>
      <c r="LOF2" s="2235"/>
      <c r="LOG2" s="2235"/>
      <c r="LOH2" s="2235"/>
      <c r="LOI2" s="2235"/>
      <c r="LOJ2" s="2235"/>
      <c r="LOK2" s="2235"/>
      <c r="LOL2" s="2235"/>
      <c r="LOM2" s="2235"/>
      <c r="LON2" s="2235"/>
      <c r="LOO2" s="2235"/>
      <c r="LOP2" s="2235"/>
      <c r="LOQ2" s="2235"/>
      <c r="LOR2" s="2235"/>
      <c r="LOS2" s="2235"/>
      <c r="LOT2" s="2235"/>
      <c r="LOU2" s="2235"/>
      <c r="LOV2" s="2235"/>
      <c r="LOW2" s="2235"/>
      <c r="LOX2" s="2235"/>
      <c r="LOY2" s="2235"/>
      <c r="LOZ2" s="2235"/>
      <c r="LPA2" s="2235"/>
      <c r="LPB2" s="2235"/>
      <c r="LPC2" s="2235"/>
      <c r="LPD2" s="2235"/>
      <c r="LPE2" s="2235"/>
      <c r="LPF2" s="2235"/>
      <c r="LPG2" s="2235"/>
      <c r="LPH2" s="2235"/>
      <c r="LPI2" s="2235"/>
      <c r="LPJ2" s="2235"/>
      <c r="LPK2" s="2235"/>
      <c r="LPL2" s="2235"/>
      <c r="LPM2" s="2235"/>
      <c r="LPN2" s="2235"/>
      <c r="LPO2" s="2235"/>
      <c r="LPP2" s="2235"/>
      <c r="LPQ2" s="2235"/>
      <c r="LPR2" s="2235"/>
      <c r="LPS2" s="2235"/>
      <c r="LPT2" s="2235"/>
      <c r="LPU2" s="2235"/>
      <c r="LPV2" s="2235"/>
      <c r="LPW2" s="2235"/>
      <c r="LPX2" s="2235"/>
      <c r="LPY2" s="2235"/>
      <c r="LPZ2" s="2235"/>
      <c r="LQA2" s="2235"/>
      <c r="LQB2" s="2235"/>
      <c r="LQC2" s="2235"/>
      <c r="LQD2" s="2235"/>
      <c r="LQE2" s="2235"/>
      <c r="LQF2" s="2235"/>
      <c r="LQG2" s="2235"/>
      <c r="LQH2" s="2235"/>
      <c r="LQI2" s="2235"/>
      <c r="LQJ2" s="2235"/>
      <c r="LQK2" s="2235"/>
      <c r="LQL2" s="2235"/>
      <c r="LQM2" s="2235"/>
      <c r="LQN2" s="2235"/>
      <c r="LQO2" s="2235"/>
      <c r="LQP2" s="2235"/>
      <c r="LQQ2" s="2235"/>
      <c r="LQR2" s="2235"/>
      <c r="LQS2" s="2235"/>
      <c r="LQT2" s="2235"/>
      <c r="LQU2" s="2235"/>
      <c r="LQV2" s="2235"/>
      <c r="LQW2" s="2235"/>
      <c r="LQX2" s="2235"/>
      <c r="LQY2" s="2235"/>
      <c r="LQZ2" s="2235"/>
      <c r="LRA2" s="2235"/>
      <c r="LRB2" s="2235"/>
      <c r="LRC2" s="2235"/>
      <c r="LRD2" s="2235"/>
      <c r="LRE2" s="2235"/>
      <c r="LRF2" s="2235"/>
      <c r="LRG2" s="2235"/>
      <c r="LRH2" s="2235"/>
      <c r="LRI2" s="2235"/>
      <c r="LRJ2" s="2235"/>
      <c r="LRK2" s="2235"/>
      <c r="LRL2" s="2235"/>
      <c r="LRM2" s="2235"/>
      <c r="LRN2" s="2235"/>
      <c r="LRO2" s="2235"/>
      <c r="LRP2" s="2235"/>
      <c r="LRQ2" s="2235"/>
      <c r="LRR2" s="2235"/>
      <c r="LRS2" s="2235"/>
      <c r="LRT2" s="2235"/>
      <c r="LRU2" s="2235"/>
      <c r="LRV2" s="2235"/>
      <c r="LRW2" s="2235"/>
      <c r="LRX2" s="2235"/>
      <c r="LRY2" s="2235"/>
      <c r="LRZ2" s="2235"/>
      <c r="LSA2" s="2235"/>
      <c r="LSB2" s="2235"/>
      <c r="LSC2" s="2235"/>
      <c r="LSD2" s="2235"/>
      <c r="LSE2" s="2235"/>
      <c r="LSF2" s="2235"/>
      <c r="LSG2" s="2235"/>
      <c r="LSH2" s="2235"/>
      <c r="LSI2" s="2235"/>
      <c r="LSJ2" s="2235"/>
      <c r="LSK2" s="2235"/>
      <c r="LSL2" s="2235"/>
      <c r="LSM2" s="2235"/>
      <c r="LSN2" s="2235"/>
      <c r="LSO2" s="2235"/>
      <c r="LSP2" s="2235"/>
      <c r="LSQ2" s="2235"/>
      <c r="LSR2" s="2235"/>
      <c r="LSS2" s="2235"/>
      <c r="LST2" s="2235"/>
      <c r="LSU2" s="2235"/>
      <c r="LSV2" s="2235"/>
      <c r="LSW2" s="2235"/>
      <c r="LSX2" s="2235"/>
      <c r="LSY2" s="2235"/>
      <c r="LSZ2" s="2235"/>
      <c r="LTA2" s="2235"/>
      <c r="LTB2" s="2235"/>
      <c r="LTC2" s="2235"/>
      <c r="LTD2" s="2235"/>
      <c r="LTE2" s="2235"/>
      <c r="LTF2" s="2235"/>
      <c r="LTG2" s="2235"/>
      <c r="LTH2" s="2235"/>
      <c r="LTI2" s="2235"/>
      <c r="LTJ2" s="2235"/>
      <c r="LTK2" s="2235"/>
      <c r="LTL2" s="2235"/>
      <c r="LTM2" s="2235"/>
      <c r="LTN2" s="2235"/>
      <c r="LTO2" s="2235"/>
      <c r="LTP2" s="2235"/>
      <c r="LTQ2" s="2235"/>
      <c r="LTR2" s="2235"/>
      <c r="LTS2" s="2235"/>
      <c r="LTT2" s="2235"/>
      <c r="LTU2" s="2235"/>
      <c r="LTV2" s="2235"/>
      <c r="LTW2" s="2235"/>
      <c r="LTX2" s="2235"/>
      <c r="LTY2" s="2235"/>
      <c r="LTZ2" s="2235"/>
      <c r="LUA2" s="2235"/>
      <c r="LUB2" s="2235"/>
      <c r="LUC2" s="2235"/>
      <c r="LUD2" s="2235"/>
      <c r="LUE2" s="2235"/>
      <c r="LUF2" s="2235"/>
      <c r="LUG2" s="2235"/>
      <c r="LUH2" s="2235"/>
      <c r="LUI2" s="2235"/>
      <c r="LUJ2" s="2235"/>
      <c r="LUK2" s="2235"/>
      <c r="LUL2" s="2235"/>
      <c r="LUM2" s="2235"/>
      <c r="LUN2" s="2235"/>
      <c r="LUO2" s="2235"/>
      <c r="LUP2" s="2235"/>
      <c r="LUQ2" s="2235"/>
      <c r="LUR2" s="2235"/>
      <c r="LUS2" s="2235"/>
      <c r="LUT2" s="2235"/>
      <c r="LUU2" s="2235"/>
      <c r="LUV2" s="2235"/>
      <c r="LUW2" s="2235"/>
      <c r="LUX2" s="2235"/>
      <c r="LUY2" s="2235"/>
      <c r="LUZ2" s="2235"/>
      <c r="LVA2" s="2235"/>
      <c r="LVB2" s="2235"/>
      <c r="LVC2" s="2235"/>
      <c r="LVD2" s="2235"/>
      <c r="LVE2" s="2235"/>
      <c r="LVF2" s="2235"/>
      <c r="LVG2" s="2235"/>
      <c r="LVH2" s="2235"/>
      <c r="LVI2" s="2235"/>
      <c r="LVJ2" s="2235"/>
      <c r="LVK2" s="2235"/>
      <c r="LVL2" s="2235"/>
      <c r="LVM2" s="2235"/>
      <c r="LVN2" s="2235"/>
      <c r="LVO2" s="2235"/>
      <c r="LVP2" s="2235"/>
      <c r="LVQ2" s="2235"/>
      <c r="LVR2" s="2235"/>
      <c r="LVS2" s="2235"/>
      <c r="LVT2" s="2235"/>
      <c r="LVU2" s="2235"/>
      <c r="LVV2" s="2235"/>
      <c r="LVW2" s="2235"/>
      <c r="LVX2" s="2235"/>
      <c r="LVY2" s="2235"/>
      <c r="LVZ2" s="2235"/>
      <c r="LWA2" s="2235"/>
      <c r="LWB2" s="2235"/>
      <c r="LWC2" s="2235"/>
      <c r="LWD2" s="2235"/>
      <c r="LWE2" s="2235"/>
      <c r="LWF2" s="2235"/>
      <c r="LWG2" s="2235"/>
      <c r="LWH2" s="2235"/>
      <c r="LWI2" s="2235"/>
      <c r="LWJ2" s="2235"/>
      <c r="LWK2" s="2235"/>
      <c r="LWL2" s="2235"/>
      <c r="LWM2" s="2235"/>
      <c r="LWN2" s="2235"/>
      <c r="LWO2" s="2235"/>
      <c r="LWP2" s="2235"/>
      <c r="LWQ2" s="2235"/>
      <c r="LWR2" s="2235"/>
      <c r="LWS2" s="2235"/>
      <c r="LWT2" s="2235"/>
      <c r="LWU2" s="2235"/>
      <c r="LWV2" s="2235"/>
      <c r="LWW2" s="2235"/>
      <c r="LWX2" s="2235"/>
      <c r="LWY2" s="2235"/>
      <c r="LWZ2" s="2235"/>
      <c r="LXA2" s="2235"/>
      <c r="LXB2" s="2235"/>
      <c r="LXC2" s="2235"/>
      <c r="LXD2" s="2235"/>
      <c r="LXE2" s="2235"/>
      <c r="LXF2" s="2235"/>
      <c r="LXG2" s="2235"/>
      <c r="LXH2" s="2235"/>
      <c r="LXI2" s="2235"/>
      <c r="LXJ2" s="2235"/>
      <c r="LXK2" s="2235"/>
      <c r="LXL2" s="2235"/>
      <c r="LXM2" s="2235"/>
      <c r="LXN2" s="2235"/>
      <c r="LXO2" s="2235"/>
      <c r="LXP2" s="2235"/>
      <c r="LXQ2" s="2235"/>
      <c r="LXR2" s="2235"/>
      <c r="LXS2" s="2235"/>
      <c r="LXT2" s="2235"/>
      <c r="LXU2" s="2235"/>
      <c r="LXV2" s="2235"/>
      <c r="LXW2" s="2235"/>
      <c r="LXX2" s="2235"/>
      <c r="LXY2" s="2235"/>
      <c r="LXZ2" s="2235"/>
      <c r="LYA2" s="2235"/>
      <c r="LYB2" s="2235"/>
      <c r="LYC2" s="2235"/>
      <c r="LYD2" s="2235"/>
      <c r="LYE2" s="2235"/>
      <c r="LYF2" s="2235"/>
      <c r="LYG2" s="2235"/>
      <c r="LYH2" s="2235"/>
      <c r="LYI2" s="2235"/>
      <c r="LYJ2" s="2235"/>
      <c r="LYK2" s="2235"/>
      <c r="LYL2" s="2235"/>
      <c r="LYM2" s="2235"/>
      <c r="LYN2" s="2235"/>
      <c r="LYO2" s="2235"/>
      <c r="LYP2" s="2235"/>
      <c r="LYQ2" s="2235"/>
      <c r="LYR2" s="2235"/>
      <c r="LYS2" s="2235"/>
      <c r="LYT2" s="2235"/>
      <c r="LYU2" s="2235"/>
      <c r="LYV2" s="2235"/>
      <c r="LYW2" s="2235"/>
      <c r="LYX2" s="2235"/>
      <c r="LYY2" s="2235"/>
      <c r="LYZ2" s="2235"/>
      <c r="LZA2" s="2235"/>
      <c r="LZB2" s="2235"/>
      <c r="LZC2" s="2235"/>
      <c r="LZD2" s="2235"/>
      <c r="LZE2" s="2235"/>
      <c r="LZF2" s="2235"/>
      <c r="LZG2" s="2235"/>
      <c r="LZH2" s="2235"/>
      <c r="LZI2" s="2235"/>
      <c r="LZJ2" s="2235"/>
      <c r="LZK2" s="2235"/>
      <c r="LZL2" s="2235"/>
      <c r="LZM2" s="2235"/>
      <c r="LZN2" s="2235"/>
      <c r="LZO2" s="2235"/>
      <c r="LZP2" s="2235"/>
      <c r="LZQ2" s="2235"/>
      <c r="LZR2" s="2235"/>
      <c r="LZS2" s="2235"/>
      <c r="LZT2" s="2235"/>
      <c r="LZU2" s="2235"/>
      <c r="LZV2" s="2235"/>
      <c r="LZW2" s="2235"/>
      <c r="LZX2" s="2235"/>
      <c r="LZY2" s="2235"/>
      <c r="LZZ2" s="2235"/>
      <c r="MAA2" s="2235"/>
      <c r="MAB2" s="2235"/>
      <c r="MAC2" s="2235"/>
      <c r="MAD2" s="2235"/>
      <c r="MAE2" s="2235"/>
      <c r="MAF2" s="2235"/>
      <c r="MAG2" s="2235"/>
      <c r="MAH2" s="2235"/>
      <c r="MAI2" s="2235"/>
      <c r="MAJ2" s="2235"/>
      <c r="MAK2" s="2235"/>
      <c r="MAL2" s="2235"/>
      <c r="MAM2" s="2235"/>
      <c r="MAN2" s="2235"/>
      <c r="MAO2" s="2235"/>
      <c r="MAP2" s="2235"/>
      <c r="MAQ2" s="2235"/>
      <c r="MAR2" s="2235"/>
      <c r="MAS2" s="2235"/>
      <c r="MAT2" s="2235"/>
      <c r="MAU2" s="2235"/>
      <c r="MAV2" s="2235"/>
      <c r="MAW2" s="2235"/>
      <c r="MAX2" s="2235"/>
      <c r="MAY2" s="2235"/>
      <c r="MAZ2" s="2235"/>
      <c r="MBA2" s="2235"/>
      <c r="MBB2" s="2235"/>
      <c r="MBC2" s="2235"/>
      <c r="MBD2" s="2235"/>
      <c r="MBE2" s="2235"/>
      <c r="MBF2" s="2235"/>
      <c r="MBG2" s="2235"/>
      <c r="MBH2" s="2235"/>
      <c r="MBI2" s="2235"/>
      <c r="MBJ2" s="2235"/>
      <c r="MBK2" s="2235"/>
      <c r="MBL2" s="2235"/>
      <c r="MBM2" s="2235"/>
      <c r="MBN2" s="2235"/>
      <c r="MBO2" s="2235"/>
      <c r="MBP2" s="2235"/>
      <c r="MBQ2" s="2235"/>
      <c r="MBR2" s="2235"/>
      <c r="MBS2" s="2235"/>
      <c r="MBT2" s="2235"/>
      <c r="MBU2" s="2235"/>
      <c r="MBV2" s="2235"/>
      <c r="MBW2" s="2235"/>
      <c r="MBX2" s="2235"/>
      <c r="MBY2" s="2235"/>
      <c r="MBZ2" s="2235"/>
      <c r="MCA2" s="2235"/>
      <c r="MCB2" s="2235"/>
      <c r="MCC2" s="2235"/>
      <c r="MCD2" s="2235"/>
      <c r="MCE2" s="2235"/>
      <c r="MCF2" s="2235"/>
      <c r="MCG2" s="2235"/>
      <c r="MCH2" s="2235"/>
      <c r="MCI2" s="2235"/>
      <c r="MCJ2" s="2235"/>
      <c r="MCK2" s="2235"/>
      <c r="MCL2" s="2235"/>
      <c r="MCM2" s="2235"/>
      <c r="MCN2" s="2235"/>
      <c r="MCO2" s="2235"/>
      <c r="MCP2" s="2235"/>
      <c r="MCQ2" s="2235"/>
      <c r="MCR2" s="2235"/>
      <c r="MCS2" s="2235"/>
      <c r="MCT2" s="2235"/>
      <c r="MCU2" s="2235"/>
      <c r="MCV2" s="2235"/>
      <c r="MCW2" s="2235"/>
      <c r="MCX2" s="2235"/>
      <c r="MCY2" s="2235"/>
      <c r="MCZ2" s="2235"/>
      <c r="MDA2" s="2235"/>
      <c r="MDB2" s="2235"/>
      <c r="MDC2" s="2235"/>
      <c r="MDD2" s="2235"/>
      <c r="MDE2" s="2235"/>
      <c r="MDF2" s="2235"/>
      <c r="MDG2" s="2235"/>
      <c r="MDH2" s="2235"/>
      <c r="MDI2" s="2235"/>
      <c r="MDJ2" s="2235"/>
      <c r="MDK2" s="2235"/>
      <c r="MDL2" s="2235"/>
      <c r="MDM2" s="2235"/>
      <c r="MDN2" s="2235"/>
      <c r="MDO2" s="2235"/>
      <c r="MDP2" s="2235"/>
      <c r="MDQ2" s="2235"/>
      <c r="MDR2" s="2235"/>
      <c r="MDS2" s="2235"/>
      <c r="MDT2" s="2235"/>
      <c r="MDU2" s="2235"/>
      <c r="MDV2" s="2235"/>
      <c r="MDW2" s="2235"/>
      <c r="MDX2" s="2235"/>
      <c r="MDY2" s="2235"/>
      <c r="MDZ2" s="2235"/>
      <c r="MEA2" s="2235"/>
      <c r="MEB2" s="2235"/>
      <c r="MEC2" s="2235"/>
      <c r="MED2" s="2235"/>
      <c r="MEE2" s="2235"/>
      <c r="MEF2" s="2235"/>
      <c r="MEG2" s="2235"/>
      <c r="MEH2" s="2235"/>
      <c r="MEI2" s="2235"/>
      <c r="MEJ2" s="2235"/>
      <c r="MEK2" s="2235"/>
      <c r="MEL2" s="2235"/>
      <c r="MEM2" s="2235"/>
      <c r="MEN2" s="2235"/>
      <c r="MEO2" s="2235"/>
      <c r="MEP2" s="2235"/>
      <c r="MEQ2" s="2235"/>
      <c r="MER2" s="2235"/>
      <c r="MES2" s="2235"/>
      <c r="MET2" s="2235"/>
      <c r="MEU2" s="2235"/>
      <c r="MEV2" s="2235"/>
      <c r="MEW2" s="2235"/>
      <c r="MEX2" s="2235"/>
      <c r="MEY2" s="2235"/>
      <c r="MEZ2" s="2235"/>
      <c r="MFA2" s="2235"/>
      <c r="MFB2" s="2235"/>
      <c r="MFC2" s="2235"/>
      <c r="MFD2" s="2235"/>
      <c r="MFE2" s="2235"/>
      <c r="MFF2" s="2235"/>
      <c r="MFG2" s="2235"/>
      <c r="MFH2" s="2235"/>
      <c r="MFI2" s="2235"/>
      <c r="MFJ2" s="2235"/>
      <c r="MFK2" s="2235"/>
      <c r="MFL2" s="2235"/>
      <c r="MFM2" s="2235"/>
      <c r="MFN2" s="2235"/>
      <c r="MFO2" s="2235"/>
      <c r="MFP2" s="2235"/>
      <c r="MFQ2" s="2235"/>
      <c r="MFR2" s="2235"/>
      <c r="MFS2" s="2235"/>
      <c r="MFT2" s="2235"/>
      <c r="MFU2" s="2235"/>
      <c r="MFV2" s="2235"/>
      <c r="MFW2" s="2235"/>
      <c r="MFX2" s="2235"/>
      <c r="MFY2" s="2235"/>
      <c r="MFZ2" s="2235"/>
      <c r="MGA2" s="2235"/>
      <c r="MGB2" s="2235"/>
      <c r="MGC2" s="2235"/>
      <c r="MGD2" s="2235"/>
      <c r="MGE2" s="2235"/>
      <c r="MGF2" s="2235"/>
      <c r="MGG2" s="2235"/>
      <c r="MGH2" s="2235"/>
      <c r="MGI2" s="2235"/>
      <c r="MGJ2" s="2235"/>
      <c r="MGK2" s="2235"/>
      <c r="MGL2" s="2235"/>
      <c r="MGM2" s="2235"/>
      <c r="MGN2" s="2235"/>
      <c r="MGO2" s="2235"/>
      <c r="MGP2" s="2235"/>
      <c r="MGQ2" s="2235"/>
      <c r="MGR2" s="2235"/>
      <c r="MGS2" s="2235"/>
      <c r="MGT2" s="2235"/>
      <c r="MGU2" s="2235"/>
      <c r="MGV2" s="2235"/>
      <c r="MGW2" s="2235"/>
      <c r="MGX2" s="2235"/>
      <c r="MGY2" s="2235"/>
      <c r="MGZ2" s="2235"/>
      <c r="MHA2" s="2235"/>
      <c r="MHB2" s="2235"/>
      <c r="MHC2" s="2235"/>
      <c r="MHD2" s="2235"/>
      <c r="MHE2" s="2235"/>
      <c r="MHF2" s="2235"/>
      <c r="MHG2" s="2235"/>
      <c r="MHH2" s="2235"/>
      <c r="MHI2" s="2235"/>
      <c r="MHJ2" s="2235"/>
      <c r="MHK2" s="2235"/>
      <c r="MHL2" s="2235"/>
      <c r="MHM2" s="2235"/>
      <c r="MHN2" s="2235"/>
      <c r="MHO2" s="2235"/>
      <c r="MHP2" s="2235"/>
      <c r="MHQ2" s="2235"/>
      <c r="MHR2" s="2235"/>
      <c r="MHS2" s="2235"/>
      <c r="MHT2" s="2235"/>
      <c r="MHU2" s="2235"/>
      <c r="MHV2" s="2235"/>
      <c r="MHW2" s="2235"/>
      <c r="MHX2" s="2235"/>
      <c r="MHY2" s="2235"/>
      <c r="MHZ2" s="2235"/>
      <c r="MIA2" s="2235"/>
      <c r="MIB2" s="2235"/>
      <c r="MIC2" s="2235"/>
      <c r="MID2" s="2235"/>
      <c r="MIE2" s="2235"/>
      <c r="MIF2" s="2235"/>
      <c r="MIG2" s="2235"/>
      <c r="MIH2" s="2235"/>
      <c r="MII2" s="2235"/>
      <c r="MIJ2" s="2235"/>
      <c r="MIK2" s="2235"/>
      <c r="MIL2" s="2235"/>
      <c r="MIM2" s="2235"/>
      <c r="MIN2" s="2235"/>
      <c r="MIO2" s="2235"/>
      <c r="MIP2" s="2235"/>
      <c r="MIQ2" s="2235"/>
      <c r="MIR2" s="2235"/>
      <c r="MIS2" s="2235"/>
      <c r="MIT2" s="2235"/>
      <c r="MIU2" s="2235"/>
      <c r="MIV2" s="2235"/>
      <c r="MIW2" s="2235"/>
      <c r="MIX2" s="2235"/>
      <c r="MIY2" s="2235"/>
      <c r="MIZ2" s="2235"/>
      <c r="MJA2" s="2235"/>
      <c r="MJB2" s="2235"/>
      <c r="MJC2" s="2235"/>
      <c r="MJD2" s="2235"/>
      <c r="MJE2" s="2235"/>
      <c r="MJF2" s="2235"/>
      <c r="MJG2" s="2235"/>
      <c r="MJH2" s="2235"/>
      <c r="MJI2" s="2235"/>
      <c r="MJJ2" s="2235"/>
      <c r="MJK2" s="2235"/>
      <c r="MJL2" s="2235"/>
      <c r="MJM2" s="2235"/>
      <c r="MJN2" s="2235"/>
      <c r="MJO2" s="2235"/>
      <c r="MJP2" s="2235"/>
      <c r="MJQ2" s="2235"/>
      <c r="MJR2" s="2235"/>
      <c r="MJS2" s="2235"/>
      <c r="MJT2" s="2235"/>
      <c r="MJU2" s="2235"/>
      <c r="MJV2" s="2235"/>
      <c r="MJW2" s="2235"/>
      <c r="MJX2" s="2235"/>
      <c r="MJY2" s="2235"/>
      <c r="MJZ2" s="2235"/>
      <c r="MKA2" s="2235"/>
      <c r="MKB2" s="2235"/>
      <c r="MKC2" s="2235"/>
      <c r="MKD2" s="2235"/>
      <c r="MKE2" s="2235"/>
      <c r="MKF2" s="2235"/>
      <c r="MKG2" s="2235"/>
      <c r="MKH2" s="2235"/>
      <c r="MKI2" s="2235"/>
      <c r="MKJ2" s="2235"/>
      <c r="MKK2" s="2235"/>
      <c r="MKL2" s="2235"/>
      <c r="MKM2" s="2235"/>
      <c r="MKN2" s="2235"/>
      <c r="MKO2" s="2235"/>
      <c r="MKP2" s="2235"/>
      <c r="MKQ2" s="2235"/>
      <c r="MKR2" s="2235"/>
      <c r="MKS2" s="2235"/>
      <c r="MKT2" s="2235"/>
      <c r="MKU2" s="2235"/>
      <c r="MKV2" s="2235"/>
      <c r="MKW2" s="2235"/>
      <c r="MKX2" s="2235"/>
      <c r="MKY2" s="2235"/>
      <c r="MKZ2" s="2235"/>
      <c r="MLA2" s="2235"/>
      <c r="MLB2" s="2235"/>
      <c r="MLC2" s="2235"/>
      <c r="MLD2" s="2235"/>
      <c r="MLE2" s="2235"/>
      <c r="MLF2" s="2235"/>
      <c r="MLG2" s="2235"/>
      <c r="MLH2" s="2235"/>
      <c r="MLI2" s="2235"/>
      <c r="MLJ2" s="2235"/>
      <c r="MLK2" s="2235"/>
      <c r="MLL2" s="2235"/>
      <c r="MLM2" s="2235"/>
      <c r="MLN2" s="2235"/>
      <c r="MLO2" s="2235"/>
      <c r="MLP2" s="2235"/>
      <c r="MLQ2" s="2235"/>
      <c r="MLR2" s="2235"/>
      <c r="MLS2" s="2235"/>
      <c r="MLT2" s="2235"/>
      <c r="MLU2" s="2235"/>
      <c r="MLV2" s="2235"/>
      <c r="MLW2" s="2235"/>
      <c r="MLX2" s="2235"/>
      <c r="MLY2" s="2235"/>
      <c r="MLZ2" s="2235"/>
      <c r="MMA2" s="2235"/>
      <c r="MMB2" s="2235"/>
      <c r="MMC2" s="2235"/>
      <c r="MMD2" s="2235"/>
      <c r="MME2" s="2235"/>
      <c r="MMF2" s="2235"/>
      <c r="MMG2" s="2235"/>
      <c r="MMH2" s="2235"/>
      <c r="MMI2" s="2235"/>
      <c r="MMJ2" s="2235"/>
      <c r="MMK2" s="2235"/>
      <c r="MML2" s="2235"/>
      <c r="MMM2" s="2235"/>
      <c r="MMN2" s="2235"/>
      <c r="MMO2" s="2235"/>
      <c r="MMP2" s="2235"/>
      <c r="MMQ2" s="2235"/>
      <c r="MMR2" s="2235"/>
      <c r="MMS2" s="2235"/>
      <c r="MMT2" s="2235"/>
      <c r="MMU2" s="2235"/>
      <c r="MMV2" s="2235"/>
      <c r="MMW2" s="2235"/>
      <c r="MMX2" s="2235"/>
      <c r="MMY2" s="2235"/>
      <c r="MMZ2" s="2235"/>
      <c r="MNA2" s="2235"/>
      <c r="MNB2" s="2235"/>
      <c r="MNC2" s="2235"/>
      <c r="MND2" s="2235"/>
      <c r="MNE2" s="2235"/>
      <c r="MNF2" s="2235"/>
      <c r="MNG2" s="2235"/>
      <c r="MNH2" s="2235"/>
      <c r="MNI2" s="2235"/>
      <c r="MNJ2" s="2235"/>
      <c r="MNK2" s="2235"/>
      <c r="MNL2" s="2235"/>
      <c r="MNM2" s="2235"/>
      <c r="MNN2" s="2235"/>
      <c r="MNO2" s="2235"/>
      <c r="MNP2" s="2235"/>
      <c r="MNQ2" s="2235"/>
      <c r="MNR2" s="2235"/>
      <c r="MNS2" s="2235"/>
      <c r="MNT2" s="2235"/>
      <c r="MNU2" s="2235"/>
      <c r="MNV2" s="2235"/>
      <c r="MNW2" s="2235"/>
      <c r="MNX2" s="2235"/>
      <c r="MNY2" s="2235"/>
      <c r="MNZ2" s="2235"/>
      <c r="MOA2" s="2235"/>
      <c r="MOB2" s="2235"/>
      <c r="MOC2" s="2235"/>
      <c r="MOD2" s="2235"/>
      <c r="MOE2" s="2235"/>
      <c r="MOF2" s="2235"/>
      <c r="MOG2" s="2235"/>
      <c r="MOH2" s="2235"/>
      <c r="MOI2" s="2235"/>
      <c r="MOJ2" s="2235"/>
      <c r="MOK2" s="2235"/>
      <c r="MOL2" s="2235"/>
      <c r="MOM2" s="2235"/>
      <c r="MON2" s="2235"/>
      <c r="MOO2" s="2235"/>
      <c r="MOP2" s="2235"/>
      <c r="MOQ2" s="2235"/>
      <c r="MOR2" s="2235"/>
      <c r="MOS2" s="2235"/>
      <c r="MOT2" s="2235"/>
      <c r="MOU2" s="2235"/>
      <c r="MOV2" s="2235"/>
      <c r="MOW2" s="2235"/>
      <c r="MOX2" s="2235"/>
      <c r="MOY2" s="2235"/>
      <c r="MOZ2" s="2235"/>
      <c r="MPA2" s="2235"/>
      <c r="MPB2" s="2235"/>
      <c r="MPC2" s="2235"/>
      <c r="MPD2" s="2235"/>
      <c r="MPE2" s="2235"/>
      <c r="MPF2" s="2235"/>
      <c r="MPG2" s="2235"/>
      <c r="MPH2" s="2235"/>
      <c r="MPI2" s="2235"/>
      <c r="MPJ2" s="2235"/>
      <c r="MPK2" s="2235"/>
      <c r="MPL2" s="2235"/>
      <c r="MPM2" s="2235"/>
      <c r="MPN2" s="2235"/>
      <c r="MPO2" s="2235"/>
      <c r="MPP2" s="2235"/>
      <c r="MPQ2" s="2235"/>
      <c r="MPR2" s="2235"/>
      <c r="MPS2" s="2235"/>
      <c r="MPT2" s="2235"/>
      <c r="MPU2" s="2235"/>
      <c r="MPV2" s="2235"/>
      <c r="MPW2" s="2235"/>
      <c r="MPX2" s="2235"/>
      <c r="MPY2" s="2235"/>
      <c r="MPZ2" s="2235"/>
      <c r="MQA2" s="2235"/>
      <c r="MQB2" s="2235"/>
      <c r="MQC2" s="2235"/>
      <c r="MQD2" s="2235"/>
      <c r="MQE2" s="2235"/>
      <c r="MQF2" s="2235"/>
      <c r="MQG2" s="2235"/>
      <c r="MQH2" s="2235"/>
      <c r="MQI2" s="2235"/>
      <c r="MQJ2" s="2235"/>
      <c r="MQK2" s="2235"/>
      <c r="MQL2" s="2235"/>
      <c r="MQM2" s="2235"/>
      <c r="MQN2" s="2235"/>
      <c r="MQO2" s="2235"/>
      <c r="MQP2" s="2235"/>
      <c r="MQQ2" s="2235"/>
      <c r="MQR2" s="2235"/>
      <c r="MQS2" s="2235"/>
      <c r="MQT2" s="2235"/>
      <c r="MQU2" s="2235"/>
      <c r="MQV2" s="2235"/>
      <c r="MQW2" s="2235"/>
      <c r="MQX2" s="2235"/>
      <c r="MQY2" s="2235"/>
      <c r="MQZ2" s="2235"/>
      <c r="MRA2" s="2235"/>
      <c r="MRB2" s="2235"/>
      <c r="MRC2" s="2235"/>
      <c r="MRD2" s="2235"/>
      <c r="MRE2" s="2235"/>
      <c r="MRF2" s="2235"/>
      <c r="MRG2" s="2235"/>
      <c r="MRH2" s="2235"/>
      <c r="MRI2" s="2235"/>
      <c r="MRJ2" s="2235"/>
      <c r="MRK2" s="2235"/>
      <c r="MRL2" s="2235"/>
      <c r="MRM2" s="2235"/>
      <c r="MRN2" s="2235"/>
      <c r="MRO2" s="2235"/>
      <c r="MRP2" s="2235"/>
      <c r="MRQ2" s="2235"/>
      <c r="MRR2" s="2235"/>
      <c r="MRS2" s="2235"/>
      <c r="MRT2" s="2235"/>
      <c r="MRU2" s="2235"/>
      <c r="MRV2" s="2235"/>
      <c r="MRW2" s="2235"/>
      <c r="MRX2" s="2235"/>
      <c r="MRY2" s="2235"/>
      <c r="MRZ2" s="2235"/>
      <c r="MSA2" s="2235"/>
      <c r="MSB2" s="2235"/>
      <c r="MSC2" s="2235"/>
      <c r="MSD2" s="2235"/>
      <c r="MSE2" s="2235"/>
      <c r="MSF2" s="2235"/>
      <c r="MSG2" s="2235"/>
      <c r="MSH2" s="2235"/>
      <c r="MSI2" s="2235"/>
      <c r="MSJ2" s="2235"/>
      <c r="MSK2" s="2235"/>
      <c r="MSL2" s="2235"/>
      <c r="MSM2" s="2235"/>
      <c r="MSN2" s="2235"/>
      <c r="MSO2" s="2235"/>
      <c r="MSP2" s="2235"/>
      <c r="MSQ2" s="2235"/>
      <c r="MSR2" s="2235"/>
      <c r="MSS2" s="2235"/>
      <c r="MST2" s="2235"/>
      <c r="MSU2" s="2235"/>
      <c r="MSV2" s="2235"/>
      <c r="MSW2" s="2235"/>
      <c r="MSX2" s="2235"/>
      <c r="MSY2" s="2235"/>
      <c r="MSZ2" s="2235"/>
      <c r="MTA2" s="2235"/>
      <c r="MTB2" s="2235"/>
      <c r="MTC2" s="2235"/>
      <c r="MTD2" s="2235"/>
      <c r="MTE2" s="2235"/>
      <c r="MTF2" s="2235"/>
      <c r="MTG2" s="2235"/>
      <c r="MTH2" s="2235"/>
      <c r="MTI2" s="2235"/>
      <c r="MTJ2" s="2235"/>
      <c r="MTK2" s="2235"/>
      <c r="MTL2" s="2235"/>
      <c r="MTM2" s="2235"/>
      <c r="MTN2" s="2235"/>
      <c r="MTO2" s="2235"/>
      <c r="MTP2" s="2235"/>
      <c r="MTQ2" s="2235"/>
      <c r="MTR2" s="2235"/>
      <c r="MTS2" s="2235"/>
      <c r="MTT2" s="2235"/>
      <c r="MTU2" s="2235"/>
      <c r="MTV2" s="2235"/>
      <c r="MTW2" s="2235"/>
      <c r="MTX2" s="2235"/>
      <c r="MTY2" s="2235"/>
      <c r="MTZ2" s="2235"/>
      <c r="MUA2" s="2235"/>
      <c r="MUB2" s="2235"/>
      <c r="MUC2" s="2235"/>
      <c r="MUD2" s="2235"/>
      <c r="MUE2" s="2235"/>
      <c r="MUF2" s="2235"/>
      <c r="MUG2" s="2235"/>
      <c r="MUH2" s="2235"/>
      <c r="MUI2" s="2235"/>
      <c r="MUJ2" s="2235"/>
      <c r="MUK2" s="2235"/>
      <c r="MUL2" s="2235"/>
      <c r="MUM2" s="2235"/>
      <c r="MUN2" s="2235"/>
      <c r="MUO2" s="2235"/>
      <c r="MUP2" s="2235"/>
      <c r="MUQ2" s="2235"/>
      <c r="MUR2" s="2235"/>
      <c r="MUS2" s="2235"/>
      <c r="MUT2" s="2235"/>
      <c r="MUU2" s="2235"/>
      <c r="MUV2" s="2235"/>
      <c r="MUW2" s="2235"/>
      <c r="MUX2" s="2235"/>
      <c r="MUY2" s="2235"/>
      <c r="MUZ2" s="2235"/>
      <c r="MVA2" s="2235"/>
      <c r="MVB2" s="2235"/>
      <c r="MVC2" s="2235"/>
      <c r="MVD2" s="2235"/>
      <c r="MVE2" s="2235"/>
      <c r="MVF2" s="2235"/>
      <c r="MVG2" s="2235"/>
      <c r="MVH2" s="2235"/>
      <c r="MVI2" s="2235"/>
      <c r="MVJ2" s="2235"/>
      <c r="MVK2" s="2235"/>
      <c r="MVL2" s="2235"/>
      <c r="MVM2" s="2235"/>
      <c r="MVN2" s="2235"/>
      <c r="MVO2" s="2235"/>
      <c r="MVP2" s="2235"/>
      <c r="MVQ2" s="2235"/>
      <c r="MVR2" s="2235"/>
      <c r="MVS2" s="2235"/>
      <c r="MVT2" s="2235"/>
      <c r="MVU2" s="2235"/>
      <c r="MVV2" s="2235"/>
      <c r="MVW2" s="2235"/>
      <c r="MVX2" s="2235"/>
      <c r="MVY2" s="2235"/>
      <c r="MVZ2" s="2235"/>
      <c r="MWA2" s="2235"/>
      <c r="MWB2" s="2235"/>
      <c r="MWC2" s="2235"/>
      <c r="MWD2" s="2235"/>
      <c r="MWE2" s="2235"/>
      <c r="MWF2" s="2235"/>
      <c r="MWG2" s="2235"/>
      <c r="MWH2" s="2235"/>
      <c r="MWI2" s="2235"/>
      <c r="MWJ2" s="2235"/>
      <c r="MWK2" s="2235"/>
      <c r="MWL2" s="2235"/>
      <c r="MWM2" s="2235"/>
      <c r="MWN2" s="2235"/>
      <c r="MWO2" s="2235"/>
      <c r="MWP2" s="2235"/>
      <c r="MWQ2" s="2235"/>
      <c r="MWR2" s="2235"/>
      <c r="MWS2" s="2235"/>
      <c r="MWT2" s="2235"/>
      <c r="MWU2" s="2235"/>
      <c r="MWV2" s="2235"/>
      <c r="MWW2" s="2235"/>
      <c r="MWX2" s="2235"/>
      <c r="MWY2" s="2235"/>
      <c r="MWZ2" s="2235"/>
      <c r="MXA2" s="2235"/>
      <c r="MXB2" s="2235"/>
      <c r="MXC2" s="2235"/>
      <c r="MXD2" s="2235"/>
      <c r="MXE2" s="2235"/>
      <c r="MXF2" s="2235"/>
      <c r="MXG2" s="2235"/>
      <c r="MXH2" s="2235"/>
      <c r="MXI2" s="2235"/>
      <c r="MXJ2" s="2235"/>
      <c r="MXK2" s="2235"/>
      <c r="MXL2" s="2235"/>
      <c r="MXM2" s="2235"/>
      <c r="MXN2" s="2235"/>
      <c r="MXO2" s="2235"/>
      <c r="MXP2" s="2235"/>
      <c r="MXQ2" s="2235"/>
      <c r="MXR2" s="2235"/>
      <c r="MXS2" s="2235"/>
      <c r="MXT2" s="2235"/>
      <c r="MXU2" s="2235"/>
      <c r="MXV2" s="2235"/>
      <c r="MXW2" s="2235"/>
      <c r="MXX2" s="2235"/>
      <c r="MXY2" s="2235"/>
      <c r="MXZ2" s="2235"/>
      <c r="MYA2" s="2235"/>
      <c r="MYB2" s="2235"/>
      <c r="MYC2" s="2235"/>
      <c r="MYD2" s="2235"/>
      <c r="MYE2" s="2235"/>
      <c r="MYF2" s="2235"/>
      <c r="MYG2" s="2235"/>
      <c r="MYH2" s="2235"/>
      <c r="MYI2" s="2235"/>
      <c r="MYJ2" s="2235"/>
      <c r="MYK2" s="2235"/>
      <c r="MYL2" s="2235"/>
      <c r="MYM2" s="2235"/>
      <c r="MYN2" s="2235"/>
      <c r="MYO2" s="2235"/>
      <c r="MYP2" s="2235"/>
      <c r="MYQ2" s="2235"/>
      <c r="MYR2" s="2235"/>
      <c r="MYS2" s="2235"/>
      <c r="MYT2" s="2235"/>
      <c r="MYU2" s="2235"/>
      <c r="MYV2" s="2235"/>
      <c r="MYW2" s="2235"/>
      <c r="MYX2" s="2235"/>
      <c r="MYY2" s="2235"/>
      <c r="MYZ2" s="2235"/>
      <c r="MZA2" s="2235"/>
      <c r="MZB2" s="2235"/>
      <c r="MZC2" s="2235"/>
      <c r="MZD2" s="2235"/>
      <c r="MZE2" s="2235"/>
      <c r="MZF2" s="2235"/>
      <c r="MZG2" s="2235"/>
      <c r="MZH2" s="2235"/>
      <c r="MZI2" s="2235"/>
      <c r="MZJ2" s="2235"/>
      <c r="MZK2" s="2235"/>
      <c r="MZL2" s="2235"/>
      <c r="MZM2" s="2235"/>
      <c r="MZN2" s="2235"/>
      <c r="MZO2" s="2235"/>
      <c r="MZP2" s="2235"/>
      <c r="MZQ2" s="2235"/>
      <c r="MZR2" s="2235"/>
      <c r="MZS2" s="2235"/>
      <c r="MZT2" s="2235"/>
      <c r="MZU2" s="2235"/>
      <c r="MZV2" s="2235"/>
      <c r="MZW2" s="2235"/>
      <c r="MZX2" s="2235"/>
      <c r="MZY2" s="2235"/>
      <c r="MZZ2" s="2235"/>
      <c r="NAA2" s="2235"/>
      <c r="NAB2" s="2235"/>
      <c r="NAC2" s="2235"/>
      <c r="NAD2" s="2235"/>
      <c r="NAE2" s="2235"/>
      <c r="NAF2" s="2235"/>
      <c r="NAG2" s="2235"/>
      <c r="NAH2" s="2235"/>
      <c r="NAI2" s="2235"/>
      <c r="NAJ2" s="2235"/>
      <c r="NAK2" s="2235"/>
      <c r="NAL2" s="2235"/>
      <c r="NAM2" s="2235"/>
      <c r="NAN2" s="2235"/>
      <c r="NAO2" s="2235"/>
      <c r="NAP2" s="2235"/>
      <c r="NAQ2" s="2235"/>
      <c r="NAR2" s="2235"/>
      <c r="NAS2" s="2235"/>
      <c r="NAT2" s="2235"/>
      <c r="NAU2" s="2235"/>
      <c r="NAV2" s="2235"/>
      <c r="NAW2" s="2235"/>
      <c r="NAX2" s="2235"/>
      <c r="NAY2" s="2235"/>
      <c r="NAZ2" s="2235"/>
      <c r="NBA2" s="2235"/>
      <c r="NBB2" s="2235"/>
      <c r="NBC2" s="2235"/>
      <c r="NBD2" s="2235"/>
      <c r="NBE2" s="2235"/>
      <c r="NBF2" s="2235"/>
      <c r="NBG2" s="2235"/>
      <c r="NBH2" s="2235"/>
      <c r="NBI2" s="2235"/>
      <c r="NBJ2" s="2235"/>
      <c r="NBK2" s="2235"/>
      <c r="NBL2" s="2235"/>
      <c r="NBM2" s="2235"/>
      <c r="NBN2" s="2235"/>
      <c r="NBO2" s="2235"/>
      <c r="NBP2" s="2235"/>
      <c r="NBQ2" s="2235"/>
      <c r="NBR2" s="2235"/>
      <c r="NBS2" s="2235"/>
      <c r="NBT2" s="2235"/>
      <c r="NBU2" s="2235"/>
      <c r="NBV2" s="2235"/>
      <c r="NBW2" s="2235"/>
      <c r="NBX2" s="2235"/>
      <c r="NBY2" s="2235"/>
      <c r="NBZ2" s="2235"/>
      <c r="NCA2" s="2235"/>
      <c r="NCB2" s="2235"/>
      <c r="NCC2" s="2235"/>
      <c r="NCD2" s="2235"/>
      <c r="NCE2" s="2235"/>
      <c r="NCF2" s="2235"/>
      <c r="NCG2" s="2235"/>
      <c r="NCH2" s="2235"/>
      <c r="NCI2" s="2235"/>
      <c r="NCJ2" s="2235"/>
      <c r="NCK2" s="2235"/>
      <c r="NCL2" s="2235"/>
      <c r="NCM2" s="2235"/>
      <c r="NCN2" s="2235"/>
      <c r="NCO2" s="2235"/>
      <c r="NCP2" s="2235"/>
      <c r="NCQ2" s="2235"/>
      <c r="NCR2" s="2235"/>
      <c r="NCS2" s="2235"/>
      <c r="NCT2" s="2235"/>
      <c r="NCU2" s="2235"/>
      <c r="NCV2" s="2235"/>
      <c r="NCW2" s="2235"/>
      <c r="NCX2" s="2235"/>
      <c r="NCY2" s="2235"/>
      <c r="NCZ2" s="2235"/>
      <c r="NDA2" s="2235"/>
      <c r="NDB2" s="2235"/>
      <c r="NDC2" s="2235"/>
      <c r="NDD2" s="2235"/>
      <c r="NDE2" s="2235"/>
      <c r="NDF2" s="2235"/>
      <c r="NDG2" s="2235"/>
      <c r="NDH2" s="2235"/>
      <c r="NDI2" s="2235"/>
      <c r="NDJ2" s="2235"/>
      <c r="NDK2" s="2235"/>
      <c r="NDL2" s="2235"/>
      <c r="NDM2" s="2235"/>
      <c r="NDN2" s="2235"/>
      <c r="NDO2" s="2235"/>
      <c r="NDP2" s="2235"/>
      <c r="NDQ2" s="2235"/>
      <c r="NDR2" s="2235"/>
      <c r="NDS2" s="2235"/>
      <c r="NDT2" s="2235"/>
      <c r="NDU2" s="2235"/>
      <c r="NDV2" s="2235"/>
      <c r="NDW2" s="2235"/>
      <c r="NDX2" s="2235"/>
      <c r="NDY2" s="2235"/>
      <c r="NDZ2" s="2235"/>
      <c r="NEA2" s="2235"/>
      <c r="NEB2" s="2235"/>
      <c r="NEC2" s="2235"/>
      <c r="NED2" s="2235"/>
      <c r="NEE2" s="2235"/>
      <c r="NEF2" s="2235"/>
      <c r="NEG2" s="2235"/>
      <c r="NEH2" s="2235"/>
      <c r="NEI2" s="2235"/>
      <c r="NEJ2" s="2235"/>
      <c r="NEK2" s="2235"/>
      <c r="NEL2" s="2235"/>
      <c r="NEM2" s="2235"/>
      <c r="NEN2" s="2235"/>
      <c r="NEO2" s="2235"/>
      <c r="NEP2" s="2235"/>
      <c r="NEQ2" s="2235"/>
      <c r="NER2" s="2235"/>
      <c r="NES2" s="2235"/>
      <c r="NET2" s="2235"/>
      <c r="NEU2" s="2235"/>
      <c r="NEV2" s="2235"/>
      <c r="NEW2" s="2235"/>
      <c r="NEX2" s="2235"/>
      <c r="NEY2" s="2235"/>
      <c r="NEZ2" s="2235"/>
      <c r="NFA2" s="2235"/>
      <c r="NFB2" s="2235"/>
      <c r="NFC2" s="2235"/>
      <c r="NFD2" s="2235"/>
      <c r="NFE2" s="2235"/>
      <c r="NFF2" s="2235"/>
      <c r="NFG2" s="2235"/>
      <c r="NFH2" s="2235"/>
      <c r="NFI2" s="2235"/>
      <c r="NFJ2" s="2235"/>
      <c r="NFK2" s="2235"/>
      <c r="NFL2" s="2235"/>
      <c r="NFM2" s="2235"/>
      <c r="NFN2" s="2235"/>
      <c r="NFO2" s="2235"/>
      <c r="NFP2" s="2235"/>
      <c r="NFQ2" s="2235"/>
      <c r="NFR2" s="2235"/>
      <c r="NFS2" s="2235"/>
      <c r="NFT2" s="2235"/>
      <c r="NFU2" s="2235"/>
      <c r="NFV2" s="2235"/>
      <c r="NFW2" s="2235"/>
      <c r="NFX2" s="2235"/>
      <c r="NFY2" s="2235"/>
      <c r="NFZ2" s="2235"/>
      <c r="NGA2" s="2235"/>
      <c r="NGB2" s="2235"/>
      <c r="NGC2" s="2235"/>
      <c r="NGD2" s="2235"/>
      <c r="NGE2" s="2235"/>
      <c r="NGF2" s="2235"/>
      <c r="NGG2" s="2235"/>
      <c r="NGH2" s="2235"/>
      <c r="NGI2" s="2235"/>
      <c r="NGJ2" s="2235"/>
      <c r="NGK2" s="2235"/>
      <c r="NGL2" s="2235"/>
      <c r="NGM2" s="2235"/>
      <c r="NGN2" s="2235"/>
      <c r="NGO2" s="2235"/>
      <c r="NGP2" s="2235"/>
      <c r="NGQ2" s="2235"/>
      <c r="NGR2" s="2235"/>
      <c r="NGS2" s="2235"/>
      <c r="NGT2" s="2235"/>
      <c r="NGU2" s="2235"/>
      <c r="NGV2" s="2235"/>
      <c r="NGW2" s="2235"/>
      <c r="NGX2" s="2235"/>
      <c r="NGY2" s="2235"/>
      <c r="NGZ2" s="2235"/>
      <c r="NHA2" s="2235"/>
      <c r="NHB2" s="2235"/>
      <c r="NHC2" s="2235"/>
      <c r="NHD2" s="2235"/>
      <c r="NHE2" s="2235"/>
      <c r="NHF2" s="2235"/>
      <c r="NHG2" s="2235"/>
      <c r="NHH2" s="2235"/>
      <c r="NHI2" s="2235"/>
      <c r="NHJ2" s="2235"/>
      <c r="NHK2" s="2235"/>
      <c r="NHL2" s="2235"/>
      <c r="NHM2" s="2235"/>
      <c r="NHN2" s="2235"/>
      <c r="NHO2" s="2235"/>
      <c r="NHP2" s="2235"/>
      <c r="NHQ2" s="2235"/>
      <c r="NHR2" s="2235"/>
      <c r="NHS2" s="2235"/>
      <c r="NHT2" s="2235"/>
      <c r="NHU2" s="2235"/>
      <c r="NHV2" s="2235"/>
      <c r="NHW2" s="2235"/>
      <c r="NHX2" s="2235"/>
      <c r="NHY2" s="2235"/>
      <c r="NHZ2" s="2235"/>
      <c r="NIA2" s="2235"/>
      <c r="NIB2" s="2235"/>
      <c r="NIC2" s="2235"/>
      <c r="NID2" s="2235"/>
      <c r="NIE2" s="2235"/>
      <c r="NIF2" s="2235"/>
      <c r="NIG2" s="2235"/>
      <c r="NIH2" s="2235"/>
      <c r="NII2" s="2235"/>
      <c r="NIJ2" s="2235"/>
      <c r="NIK2" s="2235"/>
      <c r="NIL2" s="2235"/>
      <c r="NIM2" s="2235"/>
      <c r="NIN2" s="2235"/>
      <c r="NIO2" s="2235"/>
      <c r="NIP2" s="2235"/>
      <c r="NIQ2" s="2235"/>
      <c r="NIR2" s="2235"/>
      <c r="NIS2" s="2235"/>
      <c r="NIT2" s="2235"/>
      <c r="NIU2" s="2235"/>
      <c r="NIV2" s="2235"/>
      <c r="NIW2" s="2235"/>
      <c r="NIX2" s="2235"/>
      <c r="NIY2" s="2235"/>
      <c r="NIZ2" s="2235"/>
      <c r="NJA2" s="2235"/>
      <c r="NJB2" s="2235"/>
      <c r="NJC2" s="2235"/>
      <c r="NJD2" s="2235"/>
      <c r="NJE2" s="2235"/>
      <c r="NJF2" s="2235"/>
      <c r="NJG2" s="2235"/>
      <c r="NJH2" s="2235"/>
      <c r="NJI2" s="2235"/>
      <c r="NJJ2" s="2235"/>
      <c r="NJK2" s="2235"/>
      <c r="NJL2" s="2235"/>
      <c r="NJM2" s="2235"/>
      <c r="NJN2" s="2235"/>
      <c r="NJO2" s="2235"/>
      <c r="NJP2" s="2235"/>
      <c r="NJQ2" s="2235"/>
      <c r="NJR2" s="2235"/>
      <c r="NJS2" s="2235"/>
      <c r="NJT2" s="2235"/>
      <c r="NJU2" s="2235"/>
      <c r="NJV2" s="2235"/>
      <c r="NJW2" s="2235"/>
      <c r="NJX2" s="2235"/>
      <c r="NJY2" s="2235"/>
      <c r="NJZ2" s="2235"/>
      <c r="NKA2" s="2235"/>
      <c r="NKB2" s="2235"/>
      <c r="NKC2" s="2235"/>
      <c r="NKD2" s="2235"/>
      <c r="NKE2" s="2235"/>
      <c r="NKF2" s="2235"/>
      <c r="NKG2" s="2235"/>
      <c r="NKH2" s="2235"/>
      <c r="NKI2" s="2235"/>
      <c r="NKJ2" s="2235"/>
      <c r="NKK2" s="2235"/>
      <c r="NKL2" s="2235"/>
      <c r="NKM2" s="2235"/>
      <c r="NKN2" s="2235"/>
      <c r="NKO2" s="2235"/>
      <c r="NKP2" s="2235"/>
      <c r="NKQ2" s="2235"/>
      <c r="NKR2" s="2235"/>
      <c r="NKS2" s="2235"/>
      <c r="NKT2" s="2235"/>
      <c r="NKU2" s="2235"/>
      <c r="NKV2" s="2235"/>
      <c r="NKW2" s="2235"/>
      <c r="NKX2" s="2235"/>
      <c r="NKY2" s="2235"/>
      <c r="NKZ2" s="2235"/>
      <c r="NLA2" s="2235"/>
      <c r="NLB2" s="2235"/>
      <c r="NLC2" s="2235"/>
      <c r="NLD2" s="2235"/>
      <c r="NLE2" s="2235"/>
      <c r="NLF2" s="2235"/>
      <c r="NLG2" s="2235"/>
      <c r="NLH2" s="2235"/>
      <c r="NLI2" s="2235"/>
      <c r="NLJ2" s="2235"/>
      <c r="NLK2" s="2235"/>
      <c r="NLL2" s="2235"/>
      <c r="NLM2" s="2235"/>
      <c r="NLN2" s="2235"/>
      <c r="NLO2" s="2235"/>
      <c r="NLP2" s="2235"/>
      <c r="NLQ2" s="2235"/>
      <c r="NLR2" s="2235"/>
      <c r="NLS2" s="2235"/>
      <c r="NLT2" s="2235"/>
      <c r="NLU2" s="2235"/>
      <c r="NLV2" s="2235"/>
      <c r="NLW2" s="2235"/>
      <c r="NLX2" s="2235"/>
      <c r="NLY2" s="2235"/>
      <c r="NLZ2" s="2235"/>
      <c r="NMA2" s="2235"/>
      <c r="NMB2" s="2235"/>
      <c r="NMC2" s="2235"/>
      <c r="NMD2" s="2235"/>
      <c r="NME2" s="2235"/>
      <c r="NMF2" s="2235"/>
      <c r="NMG2" s="2235"/>
      <c r="NMH2" s="2235"/>
      <c r="NMI2" s="2235"/>
      <c r="NMJ2" s="2235"/>
      <c r="NMK2" s="2235"/>
      <c r="NML2" s="2235"/>
      <c r="NMM2" s="2235"/>
      <c r="NMN2" s="2235"/>
      <c r="NMO2" s="2235"/>
      <c r="NMP2" s="2235"/>
      <c r="NMQ2" s="2235"/>
      <c r="NMR2" s="2235"/>
      <c r="NMS2" s="2235"/>
      <c r="NMT2" s="2235"/>
      <c r="NMU2" s="2235"/>
      <c r="NMV2" s="2235"/>
      <c r="NMW2" s="2235"/>
      <c r="NMX2" s="2235"/>
      <c r="NMY2" s="2235"/>
      <c r="NMZ2" s="2235"/>
      <c r="NNA2" s="2235"/>
      <c r="NNB2" s="2235"/>
      <c r="NNC2" s="2235"/>
      <c r="NND2" s="2235"/>
      <c r="NNE2" s="2235"/>
      <c r="NNF2" s="2235"/>
      <c r="NNG2" s="2235"/>
      <c r="NNH2" s="2235"/>
      <c r="NNI2" s="2235"/>
      <c r="NNJ2" s="2235"/>
      <c r="NNK2" s="2235"/>
      <c r="NNL2" s="2235"/>
      <c r="NNM2" s="2235"/>
      <c r="NNN2" s="2235"/>
      <c r="NNO2" s="2235"/>
      <c r="NNP2" s="2235"/>
      <c r="NNQ2" s="2235"/>
      <c r="NNR2" s="2235"/>
      <c r="NNS2" s="2235"/>
      <c r="NNT2" s="2235"/>
      <c r="NNU2" s="2235"/>
      <c r="NNV2" s="2235"/>
      <c r="NNW2" s="2235"/>
      <c r="NNX2" s="2235"/>
      <c r="NNY2" s="2235"/>
      <c r="NNZ2" s="2235"/>
      <c r="NOA2" s="2235"/>
      <c r="NOB2" s="2235"/>
      <c r="NOC2" s="2235"/>
      <c r="NOD2" s="2235"/>
      <c r="NOE2" s="2235"/>
      <c r="NOF2" s="2235"/>
      <c r="NOG2" s="2235"/>
      <c r="NOH2" s="2235"/>
      <c r="NOI2" s="2235"/>
      <c r="NOJ2" s="2235"/>
      <c r="NOK2" s="2235"/>
      <c r="NOL2" s="2235"/>
      <c r="NOM2" s="2235"/>
      <c r="NON2" s="2235"/>
      <c r="NOO2" s="2235"/>
      <c r="NOP2" s="2235"/>
      <c r="NOQ2" s="2235"/>
      <c r="NOR2" s="2235"/>
      <c r="NOS2" s="2235"/>
      <c r="NOT2" s="2235"/>
      <c r="NOU2" s="2235"/>
      <c r="NOV2" s="2235"/>
      <c r="NOW2" s="2235"/>
      <c r="NOX2" s="2235"/>
      <c r="NOY2" s="2235"/>
      <c r="NOZ2" s="2235"/>
      <c r="NPA2" s="2235"/>
      <c r="NPB2" s="2235"/>
      <c r="NPC2" s="2235"/>
      <c r="NPD2" s="2235"/>
      <c r="NPE2" s="2235"/>
      <c r="NPF2" s="2235"/>
      <c r="NPG2" s="2235"/>
      <c r="NPH2" s="2235"/>
      <c r="NPI2" s="2235"/>
      <c r="NPJ2" s="2235"/>
      <c r="NPK2" s="2235"/>
      <c r="NPL2" s="2235"/>
      <c r="NPM2" s="2235"/>
      <c r="NPN2" s="2235"/>
      <c r="NPO2" s="2235"/>
      <c r="NPP2" s="2235"/>
      <c r="NPQ2" s="2235"/>
      <c r="NPR2" s="2235"/>
      <c r="NPS2" s="2235"/>
      <c r="NPT2" s="2235"/>
      <c r="NPU2" s="2235"/>
      <c r="NPV2" s="2235"/>
      <c r="NPW2" s="2235"/>
      <c r="NPX2" s="2235"/>
      <c r="NPY2" s="2235"/>
      <c r="NPZ2" s="2235"/>
      <c r="NQA2" s="2235"/>
      <c r="NQB2" s="2235"/>
      <c r="NQC2" s="2235"/>
      <c r="NQD2" s="2235"/>
      <c r="NQE2" s="2235"/>
      <c r="NQF2" s="2235"/>
      <c r="NQG2" s="2235"/>
      <c r="NQH2" s="2235"/>
      <c r="NQI2" s="2235"/>
      <c r="NQJ2" s="2235"/>
      <c r="NQK2" s="2235"/>
      <c r="NQL2" s="2235"/>
      <c r="NQM2" s="2235"/>
      <c r="NQN2" s="2235"/>
      <c r="NQO2" s="2235"/>
      <c r="NQP2" s="2235"/>
      <c r="NQQ2" s="2235"/>
      <c r="NQR2" s="2235"/>
      <c r="NQS2" s="2235"/>
      <c r="NQT2" s="2235"/>
      <c r="NQU2" s="2235"/>
      <c r="NQV2" s="2235"/>
      <c r="NQW2" s="2235"/>
      <c r="NQX2" s="2235"/>
      <c r="NQY2" s="2235"/>
      <c r="NQZ2" s="2235"/>
      <c r="NRA2" s="2235"/>
      <c r="NRB2" s="2235"/>
      <c r="NRC2" s="2235"/>
      <c r="NRD2" s="2235"/>
      <c r="NRE2" s="2235"/>
      <c r="NRF2" s="2235"/>
      <c r="NRG2" s="2235"/>
      <c r="NRH2" s="2235"/>
      <c r="NRI2" s="2235"/>
      <c r="NRJ2" s="2235"/>
      <c r="NRK2" s="2235"/>
      <c r="NRL2" s="2235"/>
      <c r="NRM2" s="2235"/>
      <c r="NRN2" s="2235"/>
      <c r="NRO2" s="2235"/>
      <c r="NRP2" s="2235"/>
      <c r="NRQ2" s="2235"/>
      <c r="NRR2" s="2235"/>
      <c r="NRS2" s="2235"/>
      <c r="NRT2" s="2235"/>
      <c r="NRU2" s="2235"/>
      <c r="NRV2" s="2235"/>
      <c r="NRW2" s="2235"/>
      <c r="NRX2" s="2235"/>
      <c r="NRY2" s="2235"/>
      <c r="NRZ2" s="2235"/>
      <c r="NSA2" s="2235"/>
      <c r="NSB2" s="2235"/>
      <c r="NSC2" s="2235"/>
      <c r="NSD2" s="2235"/>
      <c r="NSE2" s="2235"/>
      <c r="NSF2" s="2235"/>
      <c r="NSG2" s="2235"/>
      <c r="NSH2" s="2235"/>
      <c r="NSI2" s="2235"/>
      <c r="NSJ2" s="2235"/>
      <c r="NSK2" s="2235"/>
      <c r="NSL2" s="2235"/>
      <c r="NSM2" s="2235"/>
      <c r="NSN2" s="2235"/>
      <c r="NSO2" s="2235"/>
      <c r="NSP2" s="2235"/>
      <c r="NSQ2" s="2235"/>
      <c r="NSR2" s="2235"/>
      <c r="NSS2" s="2235"/>
      <c r="NST2" s="2235"/>
      <c r="NSU2" s="2235"/>
      <c r="NSV2" s="2235"/>
      <c r="NSW2" s="2235"/>
      <c r="NSX2" s="2235"/>
      <c r="NSY2" s="2235"/>
      <c r="NSZ2" s="2235"/>
      <c r="NTA2" s="2235"/>
      <c r="NTB2" s="2235"/>
      <c r="NTC2" s="2235"/>
      <c r="NTD2" s="2235"/>
      <c r="NTE2" s="2235"/>
      <c r="NTF2" s="2235"/>
      <c r="NTG2" s="2235"/>
      <c r="NTH2" s="2235"/>
      <c r="NTI2" s="2235"/>
      <c r="NTJ2" s="2235"/>
      <c r="NTK2" s="2235"/>
      <c r="NTL2" s="2235"/>
      <c r="NTM2" s="2235"/>
      <c r="NTN2" s="2235"/>
      <c r="NTO2" s="2235"/>
      <c r="NTP2" s="2235"/>
      <c r="NTQ2" s="2235"/>
      <c r="NTR2" s="2235"/>
      <c r="NTS2" s="2235"/>
      <c r="NTT2" s="2235"/>
      <c r="NTU2" s="2235"/>
      <c r="NTV2" s="2235"/>
      <c r="NTW2" s="2235"/>
      <c r="NTX2" s="2235"/>
      <c r="NTY2" s="2235"/>
      <c r="NTZ2" s="2235"/>
      <c r="NUA2" s="2235"/>
      <c r="NUB2" s="2235"/>
      <c r="NUC2" s="2235"/>
      <c r="NUD2" s="2235"/>
      <c r="NUE2" s="2235"/>
      <c r="NUF2" s="2235"/>
      <c r="NUG2" s="2235"/>
      <c r="NUH2" s="2235"/>
      <c r="NUI2" s="2235"/>
      <c r="NUJ2" s="2235"/>
      <c r="NUK2" s="2235"/>
      <c r="NUL2" s="2235"/>
      <c r="NUM2" s="2235"/>
      <c r="NUN2" s="2235"/>
      <c r="NUO2" s="2235"/>
      <c r="NUP2" s="2235"/>
      <c r="NUQ2" s="2235"/>
      <c r="NUR2" s="2235"/>
      <c r="NUS2" s="2235"/>
      <c r="NUT2" s="2235"/>
      <c r="NUU2" s="2235"/>
      <c r="NUV2" s="2235"/>
      <c r="NUW2" s="2235"/>
      <c r="NUX2" s="2235"/>
      <c r="NUY2" s="2235"/>
      <c r="NUZ2" s="2235"/>
      <c r="NVA2" s="2235"/>
      <c r="NVB2" s="2235"/>
      <c r="NVC2" s="2235"/>
      <c r="NVD2" s="2235"/>
      <c r="NVE2" s="2235"/>
      <c r="NVF2" s="2235"/>
      <c r="NVG2" s="2235"/>
      <c r="NVH2" s="2235"/>
      <c r="NVI2" s="2235"/>
      <c r="NVJ2" s="2235"/>
      <c r="NVK2" s="2235"/>
      <c r="NVL2" s="2235"/>
      <c r="NVM2" s="2235"/>
      <c r="NVN2" s="2235"/>
      <c r="NVO2" s="2235"/>
      <c r="NVP2" s="2235"/>
      <c r="NVQ2" s="2235"/>
      <c r="NVR2" s="2235"/>
      <c r="NVS2" s="2235"/>
      <c r="NVT2" s="2235"/>
      <c r="NVU2" s="2235"/>
      <c r="NVV2" s="2235"/>
      <c r="NVW2" s="2235"/>
      <c r="NVX2" s="2235"/>
      <c r="NVY2" s="2235"/>
      <c r="NVZ2" s="2235"/>
      <c r="NWA2" s="2235"/>
      <c r="NWB2" s="2235"/>
      <c r="NWC2" s="2235"/>
      <c r="NWD2" s="2235"/>
      <c r="NWE2" s="2235"/>
      <c r="NWF2" s="2235"/>
      <c r="NWG2" s="2235"/>
      <c r="NWH2" s="2235"/>
      <c r="NWI2" s="2235"/>
      <c r="NWJ2" s="2235"/>
      <c r="NWK2" s="2235"/>
      <c r="NWL2" s="2235"/>
      <c r="NWM2" s="2235"/>
      <c r="NWN2" s="2235"/>
      <c r="NWO2" s="2235"/>
      <c r="NWP2" s="2235"/>
      <c r="NWQ2" s="2235"/>
      <c r="NWR2" s="2235"/>
      <c r="NWS2" s="2235"/>
      <c r="NWT2" s="2235"/>
      <c r="NWU2" s="2235"/>
      <c r="NWV2" s="2235"/>
      <c r="NWW2" s="2235"/>
      <c r="NWX2" s="2235"/>
      <c r="NWY2" s="2235"/>
      <c r="NWZ2" s="2235"/>
      <c r="NXA2" s="2235"/>
      <c r="NXB2" s="2235"/>
      <c r="NXC2" s="2235"/>
      <c r="NXD2" s="2235"/>
      <c r="NXE2" s="2235"/>
      <c r="NXF2" s="2235"/>
      <c r="NXG2" s="2235"/>
      <c r="NXH2" s="2235"/>
      <c r="NXI2" s="2235"/>
      <c r="NXJ2" s="2235"/>
      <c r="NXK2" s="2235"/>
      <c r="NXL2" s="2235"/>
      <c r="NXM2" s="2235"/>
      <c r="NXN2" s="2235"/>
      <c r="NXO2" s="2235"/>
      <c r="NXP2" s="2235"/>
      <c r="NXQ2" s="2235"/>
      <c r="NXR2" s="2235"/>
      <c r="NXS2" s="2235"/>
      <c r="NXT2" s="2235"/>
      <c r="NXU2" s="2235"/>
      <c r="NXV2" s="2235"/>
      <c r="NXW2" s="2235"/>
      <c r="NXX2" s="2235"/>
      <c r="NXY2" s="2235"/>
      <c r="NXZ2" s="2235"/>
      <c r="NYA2" s="2235"/>
      <c r="NYB2" s="2235"/>
      <c r="NYC2" s="2235"/>
      <c r="NYD2" s="2235"/>
      <c r="NYE2" s="2235"/>
      <c r="NYF2" s="2235"/>
      <c r="NYG2" s="2235"/>
      <c r="NYH2" s="2235"/>
      <c r="NYI2" s="2235"/>
      <c r="NYJ2" s="2235"/>
      <c r="NYK2" s="2235"/>
      <c r="NYL2" s="2235"/>
      <c r="NYM2" s="2235"/>
      <c r="NYN2" s="2235"/>
      <c r="NYO2" s="2235"/>
      <c r="NYP2" s="2235"/>
      <c r="NYQ2" s="2235"/>
      <c r="NYR2" s="2235"/>
      <c r="NYS2" s="2235"/>
      <c r="NYT2" s="2235"/>
      <c r="NYU2" s="2235"/>
      <c r="NYV2" s="2235"/>
      <c r="NYW2" s="2235"/>
      <c r="NYX2" s="2235"/>
      <c r="NYY2" s="2235"/>
      <c r="NYZ2" s="2235"/>
      <c r="NZA2" s="2235"/>
      <c r="NZB2" s="2235"/>
      <c r="NZC2" s="2235"/>
      <c r="NZD2" s="2235"/>
      <c r="NZE2" s="2235"/>
      <c r="NZF2" s="2235"/>
      <c r="NZG2" s="2235"/>
      <c r="NZH2" s="2235"/>
      <c r="NZI2" s="2235"/>
      <c r="NZJ2" s="2235"/>
      <c r="NZK2" s="2235"/>
      <c r="NZL2" s="2235"/>
      <c r="NZM2" s="2235"/>
      <c r="NZN2" s="2235"/>
      <c r="NZO2" s="2235"/>
      <c r="NZP2" s="2235"/>
      <c r="NZQ2" s="2235"/>
      <c r="NZR2" s="2235"/>
      <c r="NZS2" s="2235"/>
      <c r="NZT2" s="2235"/>
      <c r="NZU2" s="2235"/>
      <c r="NZV2" s="2235"/>
      <c r="NZW2" s="2235"/>
      <c r="NZX2" s="2235"/>
      <c r="NZY2" s="2235"/>
      <c r="NZZ2" s="2235"/>
      <c r="OAA2" s="2235"/>
      <c r="OAB2" s="2235"/>
      <c r="OAC2" s="2235"/>
      <c r="OAD2" s="2235"/>
      <c r="OAE2" s="2235"/>
      <c r="OAF2" s="2235"/>
      <c r="OAG2" s="2235"/>
      <c r="OAH2" s="2235"/>
      <c r="OAI2" s="2235"/>
      <c r="OAJ2" s="2235"/>
      <c r="OAK2" s="2235"/>
      <c r="OAL2" s="2235"/>
      <c r="OAM2" s="2235"/>
      <c r="OAN2" s="2235"/>
      <c r="OAO2" s="2235"/>
      <c r="OAP2" s="2235"/>
      <c r="OAQ2" s="2235"/>
      <c r="OAR2" s="2235"/>
      <c r="OAS2" s="2235"/>
      <c r="OAT2" s="2235"/>
      <c r="OAU2" s="2235"/>
      <c r="OAV2" s="2235"/>
      <c r="OAW2" s="2235"/>
      <c r="OAX2" s="2235"/>
      <c r="OAY2" s="2235"/>
      <c r="OAZ2" s="2235"/>
      <c r="OBA2" s="2235"/>
      <c r="OBB2" s="2235"/>
      <c r="OBC2" s="2235"/>
      <c r="OBD2" s="2235"/>
      <c r="OBE2" s="2235"/>
      <c r="OBF2" s="2235"/>
      <c r="OBG2" s="2235"/>
      <c r="OBH2" s="2235"/>
      <c r="OBI2" s="2235"/>
      <c r="OBJ2" s="2235"/>
      <c r="OBK2" s="2235"/>
      <c r="OBL2" s="2235"/>
      <c r="OBM2" s="2235"/>
      <c r="OBN2" s="2235"/>
      <c r="OBO2" s="2235"/>
      <c r="OBP2" s="2235"/>
      <c r="OBQ2" s="2235"/>
      <c r="OBR2" s="2235"/>
      <c r="OBS2" s="2235"/>
      <c r="OBT2" s="2235"/>
      <c r="OBU2" s="2235"/>
      <c r="OBV2" s="2235"/>
      <c r="OBW2" s="2235"/>
      <c r="OBX2" s="2235"/>
      <c r="OBY2" s="2235"/>
      <c r="OBZ2" s="2235"/>
      <c r="OCA2" s="2235"/>
      <c r="OCB2" s="2235"/>
      <c r="OCC2" s="2235"/>
      <c r="OCD2" s="2235"/>
      <c r="OCE2" s="2235"/>
      <c r="OCF2" s="2235"/>
      <c r="OCG2" s="2235"/>
      <c r="OCH2" s="2235"/>
      <c r="OCI2" s="2235"/>
      <c r="OCJ2" s="2235"/>
      <c r="OCK2" s="2235"/>
      <c r="OCL2" s="2235"/>
      <c r="OCM2" s="2235"/>
      <c r="OCN2" s="2235"/>
      <c r="OCO2" s="2235"/>
      <c r="OCP2" s="2235"/>
      <c r="OCQ2" s="2235"/>
      <c r="OCR2" s="2235"/>
      <c r="OCS2" s="2235"/>
      <c r="OCT2" s="2235"/>
      <c r="OCU2" s="2235"/>
      <c r="OCV2" s="2235"/>
      <c r="OCW2" s="2235"/>
      <c r="OCX2" s="2235"/>
      <c r="OCY2" s="2235"/>
      <c r="OCZ2" s="2235"/>
      <c r="ODA2" s="2235"/>
      <c r="ODB2" s="2235"/>
      <c r="ODC2" s="2235"/>
      <c r="ODD2" s="2235"/>
      <c r="ODE2" s="2235"/>
      <c r="ODF2" s="2235"/>
      <c r="ODG2" s="2235"/>
      <c r="ODH2" s="2235"/>
      <c r="ODI2" s="2235"/>
      <c r="ODJ2" s="2235"/>
      <c r="ODK2" s="2235"/>
      <c r="ODL2" s="2235"/>
      <c r="ODM2" s="2235"/>
      <c r="ODN2" s="2235"/>
      <c r="ODO2" s="2235"/>
      <c r="ODP2" s="2235"/>
      <c r="ODQ2" s="2235"/>
      <c r="ODR2" s="2235"/>
      <c r="ODS2" s="2235"/>
      <c r="ODT2" s="2235"/>
      <c r="ODU2" s="2235"/>
      <c r="ODV2" s="2235"/>
      <c r="ODW2" s="2235"/>
      <c r="ODX2" s="2235"/>
      <c r="ODY2" s="2235"/>
      <c r="ODZ2" s="2235"/>
      <c r="OEA2" s="2235"/>
      <c r="OEB2" s="2235"/>
      <c r="OEC2" s="2235"/>
      <c r="OED2" s="2235"/>
      <c r="OEE2" s="2235"/>
      <c r="OEF2" s="2235"/>
      <c r="OEG2" s="2235"/>
      <c r="OEH2" s="2235"/>
      <c r="OEI2" s="2235"/>
      <c r="OEJ2" s="2235"/>
      <c r="OEK2" s="2235"/>
      <c r="OEL2" s="2235"/>
      <c r="OEM2" s="2235"/>
      <c r="OEN2" s="2235"/>
      <c r="OEO2" s="2235"/>
      <c r="OEP2" s="2235"/>
      <c r="OEQ2" s="2235"/>
      <c r="OER2" s="2235"/>
      <c r="OES2" s="2235"/>
      <c r="OET2" s="2235"/>
      <c r="OEU2" s="2235"/>
      <c r="OEV2" s="2235"/>
      <c r="OEW2" s="2235"/>
      <c r="OEX2" s="2235"/>
      <c r="OEY2" s="2235"/>
      <c r="OEZ2" s="2235"/>
      <c r="OFA2" s="2235"/>
      <c r="OFB2" s="2235"/>
      <c r="OFC2" s="2235"/>
      <c r="OFD2" s="2235"/>
      <c r="OFE2" s="2235"/>
      <c r="OFF2" s="2235"/>
      <c r="OFG2" s="2235"/>
      <c r="OFH2" s="2235"/>
      <c r="OFI2" s="2235"/>
      <c r="OFJ2" s="2235"/>
      <c r="OFK2" s="2235"/>
      <c r="OFL2" s="2235"/>
      <c r="OFM2" s="2235"/>
      <c r="OFN2" s="2235"/>
      <c r="OFO2" s="2235"/>
      <c r="OFP2" s="2235"/>
      <c r="OFQ2" s="2235"/>
      <c r="OFR2" s="2235"/>
      <c r="OFS2" s="2235"/>
      <c r="OFT2" s="2235"/>
      <c r="OFU2" s="2235"/>
      <c r="OFV2" s="2235"/>
      <c r="OFW2" s="2235"/>
      <c r="OFX2" s="2235"/>
      <c r="OFY2" s="2235"/>
      <c r="OFZ2" s="2235"/>
      <c r="OGA2" s="2235"/>
      <c r="OGB2" s="2235"/>
      <c r="OGC2" s="2235"/>
      <c r="OGD2" s="2235"/>
      <c r="OGE2" s="2235"/>
      <c r="OGF2" s="2235"/>
      <c r="OGG2" s="2235"/>
      <c r="OGH2" s="2235"/>
      <c r="OGI2" s="2235"/>
      <c r="OGJ2" s="2235"/>
      <c r="OGK2" s="2235"/>
      <c r="OGL2" s="2235"/>
      <c r="OGM2" s="2235"/>
      <c r="OGN2" s="2235"/>
      <c r="OGO2" s="2235"/>
      <c r="OGP2" s="2235"/>
      <c r="OGQ2" s="2235"/>
      <c r="OGR2" s="2235"/>
      <c r="OGS2" s="2235"/>
      <c r="OGT2" s="2235"/>
      <c r="OGU2" s="2235"/>
      <c r="OGV2" s="2235"/>
      <c r="OGW2" s="2235"/>
      <c r="OGX2" s="2235"/>
      <c r="OGY2" s="2235"/>
      <c r="OGZ2" s="2235"/>
      <c r="OHA2" s="2235"/>
      <c r="OHB2" s="2235"/>
      <c r="OHC2" s="2235"/>
      <c r="OHD2" s="2235"/>
      <c r="OHE2" s="2235"/>
      <c r="OHF2" s="2235"/>
      <c r="OHG2" s="2235"/>
      <c r="OHH2" s="2235"/>
      <c r="OHI2" s="2235"/>
      <c r="OHJ2" s="2235"/>
      <c r="OHK2" s="2235"/>
      <c r="OHL2" s="2235"/>
      <c r="OHM2" s="2235"/>
      <c r="OHN2" s="2235"/>
      <c r="OHO2" s="2235"/>
      <c r="OHP2" s="2235"/>
      <c r="OHQ2" s="2235"/>
      <c r="OHR2" s="2235"/>
      <c r="OHS2" s="2235"/>
      <c r="OHT2" s="2235"/>
      <c r="OHU2" s="2235"/>
      <c r="OHV2" s="2235"/>
      <c r="OHW2" s="2235"/>
      <c r="OHX2" s="2235"/>
      <c r="OHY2" s="2235"/>
      <c r="OHZ2" s="2235"/>
      <c r="OIA2" s="2235"/>
      <c r="OIB2" s="2235"/>
      <c r="OIC2" s="2235"/>
      <c r="OID2" s="2235"/>
      <c r="OIE2" s="2235"/>
      <c r="OIF2" s="2235"/>
      <c r="OIG2" s="2235"/>
      <c r="OIH2" s="2235"/>
      <c r="OII2" s="2235"/>
      <c r="OIJ2" s="2235"/>
      <c r="OIK2" s="2235"/>
      <c r="OIL2" s="2235"/>
      <c r="OIM2" s="2235"/>
      <c r="OIN2" s="2235"/>
      <c r="OIO2" s="2235"/>
      <c r="OIP2" s="2235"/>
      <c r="OIQ2" s="2235"/>
      <c r="OIR2" s="2235"/>
      <c r="OIS2" s="2235"/>
      <c r="OIT2" s="2235"/>
      <c r="OIU2" s="2235"/>
      <c r="OIV2" s="2235"/>
      <c r="OIW2" s="2235"/>
      <c r="OIX2" s="2235"/>
      <c r="OIY2" s="2235"/>
      <c r="OIZ2" s="2235"/>
      <c r="OJA2" s="2235"/>
      <c r="OJB2" s="2235"/>
      <c r="OJC2" s="2235"/>
      <c r="OJD2" s="2235"/>
      <c r="OJE2" s="2235"/>
      <c r="OJF2" s="2235"/>
      <c r="OJG2" s="2235"/>
      <c r="OJH2" s="2235"/>
      <c r="OJI2" s="2235"/>
      <c r="OJJ2" s="2235"/>
      <c r="OJK2" s="2235"/>
      <c r="OJL2" s="2235"/>
      <c r="OJM2" s="2235"/>
      <c r="OJN2" s="2235"/>
      <c r="OJO2" s="2235"/>
      <c r="OJP2" s="2235"/>
      <c r="OJQ2" s="2235"/>
      <c r="OJR2" s="2235"/>
      <c r="OJS2" s="2235"/>
      <c r="OJT2" s="2235"/>
      <c r="OJU2" s="2235"/>
      <c r="OJV2" s="2235"/>
      <c r="OJW2" s="2235"/>
      <c r="OJX2" s="2235"/>
      <c r="OJY2" s="2235"/>
      <c r="OJZ2" s="2235"/>
      <c r="OKA2" s="2235"/>
      <c r="OKB2" s="2235"/>
      <c r="OKC2" s="2235"/>
      <c r="OKD2" s="2235"/>
      <c r="OKE2" s="2235"/>
      <c r="OKF2" s="2235"/>
      <c r="OKG2" s="2235"/>
      <c r="OKH2" s="2235"/>
      <c r="OKI2" s="2235"/>
      <c r="OKJ2" s="2235"/>
      <c r="OKK2" s="2235"/>
      <c r="OKL2" s="2235"/>
      <c r="OKM2" s="2235"/>
      <c r="OKN2" s="2235"/>
      <c r="OKO2" s="2235"/>
      <c r="OKP2" s="2235"/>
      <c r="OKQ2" s="2235"/>
      <c r="OKR2" s="2235"/>
      <c r="OKS2" s="2235"/>
      <c r="OKT2" s="2235"/>
      <c r="OKU2" s="2235"/>
      <c r="OKV2" s="2235"/>
      <c r="OKW2" s="2235"/>
      <c r="OKX2" s="2235"/>
      <c r="OKY2" s="2235"/>
      <c r="OKZ2" s="2235"/>
      <c r="OLA2" s="2235"/>
      <c r="OLB2" s="2235"/>
      <c r="OLC2" s="2235"/>
      <c r="OLD2" s="2235"/>
      <c r="OLE2" s="2235"/>
      <c r="OLF2" s="2235"/>
      <c r="OLG2" s="2235"/>
      <c r="OLH2" s="2235"/>
      <c r="OLI2" s="2235"/>
      <c r="OLJ2" s="2235"/>
      <c r="OLK2" s="2235"/>
      <c r="OLL2" s="2235"/>
      <c r="OLM2" s="2235"/>
      <c r="OLN2" s="2235"/>
      <c r="OLO2" s="2235"/>
      <c r="OLP2" s="2235"/>
      <c r="OLQ2" s="2235"/>
      <c r="OLR2" s="2235"/>
      <c r="OLS2" s="2235"/>
      <c r="OLT2" s="2235"/>
      <c r="OLU2" s="2235"/>
      <c r="OLV2" s="2235"/>
      <c r="OLW2" s="2235"/>
      <c r="OLX2" s="2235"/>
      <c r="OLY2" s="2235"/>
      <c r="OLZ2" s="2235"/>
      <c r="OMA2" s="2235"/>
      <c r="OMB2" s="2235"/>
      <c r="OMC2" s="2235"/>
      <c r="OMD2" s="2235"/>
      <c r="OME2" s="2235"/>
      <c r="OMF2" s="2235"/>
      <c r="OMG2" s="2235"/>
      <c r="OMH2" s="2235"/>
      <c r="OMI2" s="2235"/>
      <c r="OMJ2" s="2235"/>
      <c r="OMK2" s="2235"/>
      <c r="OML2" s="2235"/>
      <c r="OMM2" s="2235"/>
      <c r="OMN2" s="2235"/>
      <c r="OMO2" s="2235"/>
      <c r="OMP2" s="2235"/>
      <c r="OMQ2" s="2235"/>
      <c r="OMR2" s="2235"/>
      <c r="OMS2" s="2235"/>
      <c r="OMT2" s="2235"/>
      <c r="OMU2" s="2235"/>
      <c r="OMV2" s="2235"/>
      <c r="OMW2" s="2235"/>
      <c r="OMX2" s="2235"/>
      <c r="OMY2" s="2235"/>
      <c r="OMZ2" s="2235"/>
      <c r="ONA2" s="2235"/>
      <c r="ONB2" s="2235"/>
      <c r="ONC2" s="2235"/>
      <c r="OND2" s="2235"/>
      <c r="ONE2" s="2235"/>
      <c r="ONF2" s="2235"/>
      <c r="ONG2" s="2235"/>
      <c r="ONH2" s="2235"/>
      <c r="ONI2" s="2235"/>
      <c r="ONJ2" s="2235"/>
      <c r="ONK2" s="2235"/>
      <c r="ONL2" s="2235"/>
      <c r="ONM2" s="2235"/>
      <c r="ONN2" s="2235"/>
      <c r="ONO2" s="2235"/>
      <c r="ONP2" s="2235"/>
      <c r="ONQ2" s="2235"/>
      <c r="ONR2" s="2235"/>
      <c r="ONS2" s="2235"/>
      <c r="ONT2" s="2235"/>
      <c r="ONU2" s="2235"/>
      <c r="ONV2" s="2235"/>
      <c r="ONW2" s="2235"/>
      <c r="ONX2" s="2235"/>
      <c r="ONY2" s="2235"/>
      <c r="ONZ2" s="2235"/>
      <c r="OOA2" s="2235"/>
      <c r="OOB2" s="2235"/>
      <c r="OOC2" s="2235"/>
      <c r="OOD2" s="2235"/>
      <c r="OOE2" s="2235"/>
      <c r="OOF2" s="2235"/>
      <c r="OOG2" s="2235"/>
      <c r="OOH2" s="2235"/>
      <c r="OOI2" s="2235"/>
      <c r="OOJ2" s="2235"/>
      <c r="OOK2" s="2235"/>
      <c r="OOL2" s="2235"/>
      <c r="OOM2" s="2235"/>
      <c r="OON2" s="2235"/>
      <c r="OOO2" s="2235"/>
      <c r="OOP2" s="2235"/>
      <c r="OOQ2" s="2235"/>
      <c r="OOR2" s="2235"/>
      <c r="OOS2" s="2235"/>
      <c r="OOT2" s="2235"/>
      <c r="OOU2" s="2235"/>
      <c r="OOV2" s="2235"/>
      <c r="OOW2" s="2235"/>
      <c r="OOX2" s="2235"/>
      <c r="OOY2" s="2235"/>
      <c r="OOZ2" s="2235"/>
      <c r="OPA2" s="2235"/>
      <c r="OPB2" s="2235"/>
      <c r="OPC2" s="2235"/>
      <c r="OPD2" s="2235"/>
      <c r="OPE2" s="2235"/>
      <c r="OPF2" s="2235"/>
      <c r="OPG2" s="2235"/>
      <c r="OPH2" s="2235"/>
      <c r="OPI2" s="2235"/>
      <c r="OPJ2" s="2235"/>
      <c r="OPK2" s="2235"/>
      <c r="OPL2" s="2235"/>
      <c r="OPM2" s="2235"/>
      <c r="OPN2" s="2235"/>
      <c r="OPO2" s="2235"/>
      <c r="OPP2" s="2235"/>
      <c r="OPQ2" s="2235"/>
      <c r="OPR2" s="2235"/>
      <c r="OPS2" s="2235"/>
      <c r="OPT2" s="2235"/>
      <c r="OPU2" s="2235"/>
      <c r="OPV2" s="2235"/>
      <c r="OPW2" s="2235"/>
      <c r="OPX2" s="2235"/>
      <c r="OPY2" s="2235"/>
      <c r="OPZ2" s="2235"/>
      <c r="OQA2" s="2235"/>
      <c r="OQB2" s="2235"/>
      <c r="OQC2" s="2235"/>
      <c r="OQD2" s="2235"/>
      <c r="OQE2" s="2235"/>
      <c r="OQF2" s="2235"/>
      <c r="OQG2" s="2235"/>
      <c r="OQH2" s="2235"/>
      <c r="OQI2" s="2235"/>
      <c r="OQJ2" s="2235"/>
      <c r="OQK2" s="2235"/>
      <c r="OQL2" s="2235"/>
      <c r="OQM2" s="2235"/>
      <c r="OQN2" s="2235"/>
      <c r="OQO2" s="2235"/>
      <c r="OQP2" s="2235"/>
      <c r="OQQ2" s="2235"/>
      <c r="OQR2" s="2235"/>
      <c r="OQS2" s="2235"/>
      <c r="OQT2" s="2235"/>
      <c r="OQU2" s="2235"/>
      <c r="OQV2" s="2235"/>
      <c r="OQW2" s="2235"/>
      <c r="OQX2" s="2235"/>
      <c r="OQY2" s="2235"/>
      <c r="OQZ2" s="2235"/>
      <c r="ORA2" s="2235"/>
      <c r="ORB2" s="2235"/>
      <c r="ORC2" s="2235"/>
      <c r="ORD2" s="2235"/>
      <c r="ORE2" s="2235"/>
      <c r="ORF2" s="2235"/>
      <c r="ORG2" s="2235"/>
      <c r="ORH2" s="2235"/>
      <c r="ORI2" s="2235"/>
      <c r="ORJ2" s="2235"/>
      <c r="ORK2" s="2235"/>
      <c r="ORL2" s="2235"/>
      <c r="ORM2" s="2235"/>
      <c r="ORN2" s="2235"/>
      <c r="ORO2" s="2235"/>
      <c r="ORP2" s="2235"/>
      <c r="ORQ2" s="2235"/>
      <c r="ORR2" s="2235"/>
      <c r="ORS2" s="2235"/>
      <c r="ORT2" s="2235"/>
      <c r="ORU2" s="2235"/>
      <c r="ORV2" s="2235"/>
      <c r="ORW2" s="2235"/>
      <c r="ORX2" s="2235"/>
      <c r="ORY2" s="2235"/>
      <c r="ORZ2" s="2235"/>
      <c r="OSA2" s="2235"/>
      <c r="OSB2" s="2235"/>
      <c r="OSC2" s="2235"/>
      <c r="OSD2" s="2235"/>
      <c r="OSE2" s="2235"/>
      <c r="OSF2" s="2235"/>
      <c r="OSG2" s="2235"/>
      <c r="OSH2" s="2235"/>
      <c r="OSI2" s="2235"/>
      <c r="OSJ2" s="2235"/>
      <c r="OSK2" s="2235"/>
      <c r="OSL2" s="2235"/>
      <c r="OSM2" s="2235"/>
      <c r="OSN2" s="2235"/>
      <c r="OSO2" s="2235"/>
      <c r="OSP2" s="2235"/>
      <c r="OSQ2" s="2235"/>
      <c r="OSR2" s="2235"/>
      <c r="OSS2" s="2235"/>
      <c r="OST2" s="2235"/>
      <c r="OSU2" s="2235"/>
      <c r="OSV2" s="2235"/>
      <c r="OSW2" s="2235"/>
      <c r="OSX2" s="2235"/>
      <c r="OSY2" s="2235"/>
      <c r="OSZ2" s="2235"/>
      <c r="OTA2" s="2235"/>
      <c r="OTB2" s="2235"/>
      <c r="OTC2" s="2235"/>
      <c r="OTD2" s="2235"/>
      <c r="OTE2" s="2235"/>
      <c r="OTF2" s="2235"/>
      <c r="OTG2" s="2235"/>
      <c r="OTH2" s="2235"/>
      <c r="OTI2" s="2235"/>
      <c r="OTJ2" s="2235"/>
      <c r="OTK2" s="2235"/>
      <c r="OTL2" s="2235"/>
      <c r="OTM2" s="2235"/>
      <c r="OTN2" s="2235"/>
      <c r="OTO2" s="2235"/>
      <c r="OTP2" s="2235"/>
      <c r="OTQ2" s="2235"/>
      <c r="OTR2" s="2235"/>
      <c r="OTS2" s="2235"/>
      <c r="OTT2" s="2235"/>
      <c r="OTU2" s="2235"/>
      <c r="OTV2" s="2235"/>
      <c r="OTW2" s="2235"/>
      <c r="OTX2" s="2235"/>
      <c r="OTY2" s="2235"/>
      <c r="OTZ2" s="2235"/>
      <c r="OUA2" s="2235"/>
      <c r="OUB2" s="2235"/>
      <c r="OUC2" s="2235"/>
      <c r="OUD2" s="2235"/>
      <c r="OUE2" s="2235"/>
      <c r="OUF2" s="2235"/>
      <c r="OUG2" s="2235"/>
      <c r="OUH2" s="2235"/>
      <c r="OUI2" s="2235"/>
      <c r="OUJ2" s="2235"/>
      <c r="OUK2" s="2235"/>
      <c r="OUL2" s="2235"/>
      <c r="OUM2" s="2235"/>
      <c r="OUN2" s="2235"/>
      <c r="OUO2" s="2235"/>
      <c r="OUP2" s="2235"/>
      <c r="OUQ2" s="2235"/>
      <c r="OUR2" s="2235"/>
      <c r="OUS2" s="2235"/>
      <c r="OUT2" s="2235"/>
      <c r="OUU2" s="2235"/>
      <c r="OUV2" s="2235"/>
      <c r="OUW2" s="2235"/>
      <c r="OUX2" s="2235"/>
      <c r="OUY2" s="2235"/>
      <c r="OUZ2" s="2235"/>
      <c r="OVA2" s="2235"/>
      <c r="OVB2" s="2235"/>
      <c r="OVC2" s="2235"/>
      <c r="OVD2" s="2235"/>
      <c r="OVE2" s="2235"/>
      <c r="OVF2" s="2235"/>
      <c r="OVG2" s="2235"/>
      <c r="OVH2" s="2235"/>
      <c r="OVI2" s="2235"/>
      <c r="OVJ2" s="2235"/>
      <c r="OVK2" s="2235"/>
      <c r="OVL2" s="2235"/>
      <c r="OVM2" s="2235"/>
      <c r="OVN2" s="2235"/>
      <c r="OVO2" s="2235"/>
      <c r="OVP2" s="2235"/>
      <c r="OVQ2" s="2235"/>
      <c r="OVR2" s="2235"/>
      <c r="OVS2" s="2235"/>
      <c r="OVT2" s="2235"/>
      <c r="OVU2" s="2235"/>
      <c r="OVV2" s="2235"/>
      <c r="OVW2" s="2235"/>
      <c r="OVX2" s="2235"/>
      <c r="OVY2" s="2235"/>
      <c r="OVZ2" s="2235"/>
      <c r="OWA2" s="2235"/>
      <c r="OWB2" s="2235"/>
      <c r="OWC2" s="2235"/>
      <c r="OWD2" s="2235"/>
      <c r="OWE2" s="2235"/>
      <c r="OWF2" s="2235"/>
      <c r="OWG2" s="2235"/>
      <c r="OWH2" s="2235"/>
      <c r="OWI2" s="2235"/>
      <c r="OWJ2" s="2235"/>
      <c r="OWK2" s="2235"/>
      <c r="OWL2" s="2235"/>
      <c r="OWM2" s="2235"/>
      <c r="OWN2" s="2235"/>
      <c r="OWO2" s="2235"/>
      <c r="OWP2" s="2235"/>
      <c r="OWQ2" s="2235"/>
      <c r="OWR2" s="2235"/>
      <c r="OWS2" s="2235"/>
      <c r="OWT2" s="2235"/>
      <c r="OWU2" s="2235"/>
      <c r="OWV2" s="2235"/>
      <c r="OWW2" s="2235"/>
      <c r="OWX2" s="2235"/>
      <c r="OWY2" s="2235"/>
      <c r="OWZ2" s="2235"/>
      <c r="OXA2" s="2235"/>
      <c r="OXB2" s="2235"/>
      <c r="OXC2" s="2235"/>
      <c r="OXD2" s="2235"/>
      <c r="OXE2" s="2235"/>
      <c r="OXF2" s="2235"/>
      <c r="OXG2" s="2235"/>
      <c r="OXH2" s="2235"/>
      <c r="OXI2" s="2235"/>
      <c r="OXJ2" s="2235"/>
      <c r="OXK2" s="2235"/>
      <c r="OXL2" s="2235"/>
      <c r="OXM2" s="2235"/>
      <c r="OXN2" s="2235"/>
      <c r="OXO2" s="2235"/>
      <c r="OXP2" s="2235"/>
      <c r="OXQ2" s="2235"/>
      <c r="OXR2" s="2235"/>
      <c r="OXS2" s="2235"/>
      <c r="OXT2" s="2235"/>
      <c r="OXU2" s="2235"/>
      <c r="OXV2" s="2235"/>
      <c r="OXW2" s="2235"/>
      <c r="OXX2" s="2235"/>
      <c r="OXY2" s="2235"/>
      <c r="OXZ2" s="2235"/>
      <c r="OYA2" s="2235"/>
      <c r="OYB2" s="2235"/>
      <c r="OYC2" s="2235"/>
      <c r="OYD2" s="2235"/>
      <c r="OYE2" s="2235"/>
      <c r="OYF2" s="2235"/>
      <c r="OYG2" s="2235"/>
      <c r="OYH2" s="2235"/>
      <c r="OYI2" s="2235"/>
      <c r="OYJ2" s="2235"/>
      <c r="OYK2" s="2235"/>
      <c r="OYL2" s="2235"/>
      <c r="OYM2" s="2235"/>
      <c r="OYN2" s="2235"/>
      <c r="OYO2" s="2235"/>
      <c r="OYP2" s="2235"/>
      <c r="OYQ2" s="2235"/>
      <c r="OYR2" s="2235"/>
      <c r="OYS2" s="2235"/>
      <c r="OYT2" s="2235"/>
      <c r="OYU2" s="2235"/>
      <c r="OYV2" s="2235"/>
      <c r="OYW2" s="2235"/>
      <c r="OYX2" s="2235"/>
      <c r="OYY2" s="2235"/>
      <c r="OYZ2" s="2235"/>
      <c r="OZA2" s="2235"/>
      <c r="OZB2" s="2235"/>
      <c r="OZC2" s="2235"/>
      <c r="OZD2" s="2235"/>
      <c r="OZE2" s="2235"/>
      <c r="OZF2" s="2235"/>
      <c r="OZG2" s="2235"/>
      <c r="OZH2" s="2235"/>
      <c r="OZI2" s="2235"/>
      <c r="OZJ2" s="2235"/>
      <c r="OZK2" s="2235"/>
      <c r="OZL2" s="2235"/>
      <c r="OZM2" s="2235"/>
      <c r="OZN2" s="2235"/>
      <c r="OZO2" s="2235"/>
      <c r="OZP2" s="2235"/>
      <c r="OZQ2" s="2235"/>
      <c r="OZR2" s="2235"/>
      <c r="OZS2" s="2235"/>
      <c r="OZT2" s="2235"/>
      <c r="OZU2" s="2235"/>
      <c r="OZV2" s="2235"/>
      <c r="OZW2" s="2235"/>
      <c r="OZX2" s="2235"/>
      <c r="OZY2" s="2235"/>
      <c r="OZZ2" s="2235"/>
      <c r="PAA2" s="2235"/>
      <c r="PAB2" s="2235"/>
      <c r="PAC2" s="2235"/>
      <c r="PAD2" s="2235"/>
      <c r="PAE2" s="2235"/>
      <c r="PAF2" s="2235"/>
      <c r="PAG2" s="2235"/>
      <c r="PAH2" s="2235"/>
      <c r="PAI2" s="2235"/>
      <c r="PAJ2" s="2235"/>
      <c r="PAK2" s="2235"/>
      <c r="PAL2" s="2235"/>
      <c r="PAM2" s="2235"/>
      <c r="PAN2" s="2235"/>
      <c r="PAO2" s="2235"/>
      <c r="PAP2" s="2235"/>
      <c r="PAQ2" s="2235"/>
      <c r="PAR2" s="2235"/>
      <c r="PAS2" s="2235"/>
      <c r="PAT2" s="2235"/>
      <c r="PAU2" s="2235"/>
      <c r="PAV2" s="2235"/>
      <c r="PAW2" s="2235"/>
      <c r="PAX2" s="2235"/>
      <c r="PAY2" s="2235"/>
      <c r="PAZ2" s="2235"/>
      <c r="PBA2" s="2235"/>
      <c r="PBB2" s="2235"/>
      <c r="PBC2" s="2235"/>
      <c r="PBD2" s="2235"/>
      <c r="PBE2" s="2235"/>
      <c r="PBF2" s="2235"/>
      <c r="PBG2" s="2235"/>
      <c r="PBH2" s="2235"/>
      <c r="PBI2" s="2235"/>
      <c r="PBJ2" s="2235"/>
      <c r="PBK2" s="2235"/>
      <c r="PBL2" s="2235"/>
      <c r="PBM2" s="2235"/>
      <c r="PBN2" s="2235"/>
      <c r="PBO2" s="2235"/>
      <c r="PBP2" s="2235"/>
      <c r="PBQ2" s="2235"/>
      <c r="PBR2" s="2235"/>
      <c r="PBS2" s="2235"/>
      <c r="PBT2" s="2235"/>
      <c r="PBU2" s="2235"/>
      <c r="PBV2" s="2235"/>
      <c r="PBW2" s="2235"/>
      <c r="PBX2" s="2235"/>
      <c r="PBY2" s="2235"/>
      <c r="PBZ2" s="2235"/>
      <c r="PCA2" s="2235"/>
      <c r="PCB2" s="2235"/>
      <c r="PCC2" s="2235"/>
      <c r="PCD2" s="2235"/>
      <c r="PCE2" s="2235"/>
      <c r="PCF2" s="2235"/>
      <c r="PCG2" s="2235"/>
      <c r="PCH2" s="2235"/>
      <c r="PCI2" s="2235"/>
      <c r="PCJ2" s="2235"/>
      <c r="PCK2" s="2235"/>
      <c r="PCL2" s="2235"/>
      <c r="PCM2" s="2235"/>
      <c r="PCN2" s="2235"/>
      <c r="PCO2" s="2235"/>
      <c r="PCP2" s="2235"/>
      <c r="PCQ2" s="2235"/>
      <c r="PCR2" s="2235"/>
      <c r="PCS2" s="2235"/>
      <c r="PCT2" s="2235"/>
      <c r="PCU2" s="2235"/>
      <c r="PCV2" s="2235"/>
      <c r="PCW2" s="2235"/>
      <c r="PCX2" s="2235"/>
      <c r="PCY2" s="2235"/>
      <c r="PCZ2" s="2235"/>
      <c r="PDA2" s="2235"/>
      <c r="PDB2" s="2235"/>
      <c r="PDC2" s="2235"/>
      <c r="PDD2" s="2235"/>
      <c r="PDE2" s="2235"/>
      <c r="PDF2" s="2235"/>
      <c r="PDG2" s="2235"/>
      <c r="PDH2" s="2235"/>
      <c r="PDI2" s="2235"/>
      <c r="PDJ2" s="2235"/>
      <c r="PDK2" s="2235"/>
      <c r="PDL2" s="2235"/>
      <c r="PDM2" s="2235"/>
      <c r="PDN2" s="2235"/>
      <c r="PDO2" s="2235"/>
      <c r="PDP2" s="2235"/>
      <c r="PDQ2" s="2235"/>
      <c r="PDR2" s="2235"/>
      <c r="PDS2" s="2235"/>
      <c r="PDT2" s="2235"/>
      <c r="PDU2" s="2235"/>
      <c r="PDV2" s="2235"/>
      <c r="PDW2" s="2235"/>
      <c r="PDX2" s="2235"/>
      <c r="PDY2" s="2235"/>
      <c r="PDZ2" s="2235"/>
      <c r="PEA2" s="2235"/>
      <c r="PEB2" s="2235"/>
      <c r="PEC2" s="2235"/>
      <c r="PED2" s="2235"/>
      <c r="PEE2" s="2235"/>
      <c r="PEF2" s="2235"/>
      <c r="PEG2" s="2235"/>
      <c r="PEH2" s="2235"/>
      <c r="PEI2" s="2235"/>
      <c r="PEJ2" s="2235"/>
      <c r="PEK2" s="2235"/>
      <c r="PEL2" s="2235"/>
      <c r="PEM2" s="2235"/>
      <c r="PEN2" s="2235"/>
      <c r="PEO2" s="2235"/>
      <c r="PEP2" s="2235"/>
      <c r="PEQ2" s="2235"/>
      <c r="PER2" s="2235"/>
      <c r="PES2" s="2235"/>
      <c r="PET2" s="2235"/>
      <c r="PEU2" s="2235"/>
      <c r="PEV2" s="2235"/>
      <c r="PEW2" s="2235"/>
      <c r="PEX2" s="2235"/>
      <c r="PEY2" s="2235"/>
      <c r="PEZ2" s="2235"/>
      <c r="PFA2" s="2235"/>
      <c r="PFB2" s="2235"/>
      <c r="PFC2" s="2235"/>
      <c r="PFD2" s="2235"/>
      <c r="PFE2" s="2235"/>
      <c r="PFF2" s="2235"/>
      <c r="PFG2" s="2235"/>
      <c r="PFH2" s="2235"/>
      <c r="PFI2" s="2235"/>
      <c r="PFJ2" s="2235"/>
      <c r="PFK2" s="2235"/>
      <c r="PFL2" s="2235"/>
      <c r="PFM2" s="2235"/>
      <c r="PFN2" s="2235"/>
      <c r="PFO2" s="2235"/>
      <c r="PFP2" s="2235"/>
      <c r="PFQ2" s="2235"/>
      <c r="PFR2" s="2235"/>
      <c r="PFS2" s="2235"/>
      <c r="PFT2" s="2235"/>
      <c r="PFU2" s="2235"/>
      <c r="PFV2" s="2235"/>
      <c r="PFW2" s="2235"/>
      <c r="PFX2" s="2235"/>
      <c r="PFY2" s="2235"/>
      <c r="PFZ2" s="2235"/>
      <c r="PGA2" s="2235"/>
      <c r="PGB2" s="2235"/>
      <c r="PGC2" s="2235"/>
      <c r="PGD2" s="2235"/>
      <c r="PGE2" s="2235"/>
      <c r="PGF2" s="2235"/>
      <c r="PGG2" s="2235"/>
      <c r="PGH2" s="2235"/>
      <c r="PGI2" s="2235"/>
      <c r="PGJ2" s="2235"/>
      <c r="PGK2" s="2235"/>
      <c r="PGL2" s="2235"/>
      <c r="PGM2" s="2235"/>
      <c r="PGN2" s="2235"/>
      <c r="PGO2" s="2235"/>
      <c r="PGP2" s="2235"/>
      <c r="PGQ2" s="2235"/>
      <c r="PGR2" s="2235"/>
      <c r="PGS2" s="2235"/>
      <c r="PGT2" s="2235"/>
      <c r="PGU2" s="2235"/>
      <c r="PGV2" s="2235"/>
      <c r="PGW2" s="2235"/>
      <c r="PGX2" s="2235"/>
      <c r="PGY2" s="2235"/>
      <c r="PGZ2" s="2235"/>
      <c r="PHA2" s="2235"/>
      <c r="PHB2" s="2235"/>
      <c r="PHC2" s="2235"/>
      <c r="PHD2" s="2235"/>
      <c r="PHE2" s="2235"/>
      <c r="PHF2" s="2235"/>
      <c r="PHG2" s="2235"/>
      <c r="PHH2" s="2235"/>
      <c r="PHI2" s="2235"/>
      <c r="PHJ2" s="2235"/>
      <c r="PHK2" s="2235"/>
      <c r="PHL2" s="2235"/>
      <c r="PHM2" s="2235"/>
      <c r="PHN2" s="2235"/>
      <c r="PHO2" s="2235"/>
      <c r="PHP2" s="2235"/>
      <c r="PHQ2" s="2235"/>
      <c r="PHR2" s="2235"/>
      <c r="PHS2" s="2235"/>
      <c r="PHT2" s="2235"/>
      <c r="PHU2" s="2235"/>
      <c r="PHV2" s="2235"/>
      <c r="PHW2" s="2235"/>
      <c r="PHX2" s="2235"/>
      <c r="PHY2" s="2235"/>
      <c r="PHZ2" s="2235"/>
      <c r="PIA2" s="2235"/>
      <c r="PIB2" s="2235"/>
      <c r="PIC2" s="2235"/>
      <c r="PID2" s="2235"/>
      <c r="PIE2" s="2235"/>
      <c r="PIF2" s="2235"/>
      <c r="PIG2" s="2235"/>
      <c r="PIH2" s="2235"/>
      <c r="PII2" s="2235"/>
      <c r="PIJ2" s="2235"/>
      <c r="PIK2" s="2235"/>
      <c r="PIL2" s="2235"/>
      <c r="PIM2" s="2235"/>
      <c r="PIN2" s="2235"/>
      <c r="PIO2" s="2235"/>
      <c r="PIP2" s="2235"/>
      <c r="PIQ2" s="2235"/>
      <c r="PIR2" s="2235"/>
      <c r="PIS2" s="2235"/>
      <c r="PIT2" s="2235"/>
      <c r="PIU2" s="2235"/>
      <c r="PIV2" s="2235"/>
      <c r="PIW2" s="2235"/>
      <c r="PIX2" s="2235"/>
      <c r="PIY2" s="2235"/>
      <c r="PIZ2" s="2235"/>
      <c r="PJA2" s="2235"/>
      <c r="PJB2" s="2235"/>
      <c r="PJC2" s="2235"/>
      <c r="PJD2" s="2235"/>
      <c r="PJE2" s="2235"/>
      <c r="PJF2" s="2235"/>
      <c r="PJG2" s="2235"/>
      <c r="PJH2" s="2235"/>
      <c r="PJI2" s="2235"/>
      <c r="PJJ2" s="2235"/>
      <c r="PJK2" s="2235"/>
      <c r="PJL2" s="2235"/>
      <c r="PJM2" s="2235"/>
      <c r="PJN2" s="2235"/>
      <c r="PJO2" s="2235"/>
      <c r="PJP2" s="2235"/>
      <c r="PJQ2" s="2235"/>
      <c r="PJR2" s="2235"/>
      <c r="PJS2" s="2235"/>
      <c r="PJT2" s="2235"/>
      <c r="PJU2" s="2235"/>
      <c r="PJV2" s="2235"/>
      <c r="PJW2" s="2235"/>
      <c r="PJX2" s="2235"/>
      <c r="PJY2" s="2235"/>
      <c r="PJZ2" s="2235"/>
      <c r="PKA2" s="2235"/>
      <c r="PKB2" s="2235"/>
      <c r="PKC2" s="2235"/>
      <c r="PKD2" s="2235"/>
      <c r="PKE2" s="2235"/>
      <c r="PKF2" s="2235"/>
      <c r="PKG2" s="2235"/>
      <c r="PKH2" s="2235"/>
      <c r="PKI2" s="2235"/>
      <c r="PKJ2" s="2235"/>
      <c r="PKK2" s="2235"/>
      <c r="PKL2" s="2235"/>
      <c r="PKM2" s="2235"/>
      <c r="PKN2" s="2235"/>
      <c r="PKO2" s="2235"/>
      <c r="PKP2" s="2235"/>
      <c r="PKQ2" s="2235"/>
      <c r="PKR2" s="2235"/>
      <c r="PKS2" s="2235"/>
      <c r="PKT2" s="2235"/>
      <c r="PKU2" s="2235"/>
      <c r="PKV2" s="2235"/>
      <c r="PKW2" s="2235"/>
      <c r="PKX2" s="2235"/>
      <c r="PKY2" s="2235"/>
      <c r="PKZ2" s="2235"/>
      <c r="PLA2" s="2235"/>
      <c r="PLB2" s="2235"/>
      <c r="PLC2" s="2235"/>
      <c r="PLD2" s="2235"/>
      <c r="PLE2" s="2235"/>
      <c r="PLF2" s="2235"/>
      <c r="PLG2" s="2235"/>
      <c r="PLH2" s="2235"/>
      <c r="PLI2" s="2235"/>
      <c r="PLJ2" s="2235"/>
      <c r="PLK2" s="2235"/>
      <c r="PLL2" s="2235"/>
      <c r="PLM2" s="2235"/>
      <c r="PLN2" s="2235"/>
      <c r="PLO2" s="2235"/>
      <c r="PLP2" s="2235"/>
      <c r="PLQ2" s="2235"/>
      <c r="PLR2" s="2235"/>
      <c r="PLS2" s="2235"/>
      <c r="PLT2" s="2235"/>
      <c r="PLU2" s="2235"/>
      <c r="PLV2" s="2235"/>
      <c r="PLW2" s="2235"/>
      <c r="PLX2" s="2235"/>
      <c r="PLY2" s="2235"/>
      <c r="PLZ2" s="2235"/>
      <c r="PMA2" s="2235"/>
      <c r="PMB2" s="2235"/>
      <c r="PMC2" s="2235"/>
      <c r="PMD2" s="2235"/>
      <c r="PME2" s="2235"/>
      <c r="PMF2" s="2235"/>
      <c r="PMG2" s="2235"/>
      <c r="PMH2" s="2235"/>
      <c r="PMI2" s="2235"/>
      <c r="PMJ2" s="2235"/>
      <c r="PMK2" s="2235"/>
      <c r="PML2" s="2235"/>
      <c r="PMM2" s="2235"/>
      <c r="PMN2" s="2235"/>
      <c r="PMO2" s="2235"/>
      <c r="PMP2" s="2235"/>
      <c r="PMQ2" s="2235"/>
      <c r="PMR2" s="2235"/>
      <c r="PMS2" s="2235"/>
      <c r="PMT2" s="2235"/>
      <c r="PMU2" s="2235"/>
      <c r="PMV2" s="2235"/>
      <c r="PMW2" s="2235"/>
      <c r="PMX2" s="2235"/>
      <c r="PMY2" s="2235"/>
      <c r="PMZ2" s="2235"/>
      <c r="PNA2" s="2235"/>
      <c r="PNB2" s="2235"/>
      <c r="PNC2" s="2235"/>
      <c r="PND2" s="2235"/>
      <c r="PNE2" s="2235"/>
      <c r="PNF2" s="2235"/>
      <c r="PNG2" s="2235"/>
      <c r="PNH2" s="2235"/>
      <c r="PNI2" s="2235"/>
      <c r="PNJ2" s="2235"/>
      <c r="PNK2" s="2235"/>
      <c r="PNL2" s="2235"/>
      <c r="PNM2" s="2235"/>
      <c r="PNN2" s="2235"/>
      <c r="PNO2" s="2235"/>
      <c r="PNP2" s="2235"/>
      <c r="PNQ2" s="2235"/>
      <c r="PNR2" s="2235"/>
      <c r="PNS2" s="2235"/>
      <c r="PNT2" s="2235"/>
      <c r="PNU2" s="2235"/>
      <c r="PNV2" s="2235"/>
      <c r="PNW2" s="2235"/>
      <c r="PNX2" s="2235"/>
      <c r="PNY2" s="2235"/>
      <c r="PNZ2" s="2235"/>
      <c r="POA2" s="2235"/>
      <c r="POB2" s="2235"/>
      <c r="POC2" s="2235"/>
      <c r="POD2" s="2235"/>
      <c r="POE2" s="2235"/>
      <c r="POF2" s="2235"/>
      <c r="POG2" s="2235"/>
      <c r="POH2" s="2235"/>
      <c r="POI2" s="2235"/>
      <c r="POJ2" s="2235"/>
      <c r="POK2" s="2235"/>
      <c r="POL2" s="2235"/>
      <c r="POM2" s="2235"/>
      <c r="PON2" s="2235"/>
      <c r="POO2" s="2235"/>
      <c r="POP2" s="2235"/>
      <c r="POQ2" s="2235"/>
      <c r="POR2" s="2235"/>
      <c r="POS2" s="2235"/>
      <c r="POT2" s="2235"/>
      <c r="POU2" s="2235"/>
      <c r="POV2" s="2235"/>
      <c r="POW2" s="2235"/>
      <c r="POX2" s="2235"/>
      <c r="POY2" s="2235"/>
      <c r="POZ2" s="2235"/>
      <c r="PPA2" s="2235"/>
      <c r="PPB2" s="2235"/>
      <c r="PPC2" s="2235"/>
      <c r="PPD2" s="2235"/>
      <c r="PPE2" s="2235"/>
      <c r="PPF2" s="2235"/>
      <c r="PPG2" s="2235"/>
      <c r="PPH2" s="2235"/>
      <c r="PPI2" s="2235"/>
      <c r="PPJ2" s="2235"/>
      <c r="PPK2" s="2235"/>
      <c r="PPL2" s="2235"/>
      <c r="PPM2" s="2235"/>
      <c r="PPN2" s="2235"/>
      <c r="PPO2" s="2235"/>
      <c r="PPP2" s="2235"/>
      <c r="PPQ2" s="2235"/>
      <c r="PPR2" s="2235"/>
      <c r="PPS2" s="2235"/>
      <c r="PPT2" s="2235"/>
      <c r="PPU2" s="2235"/>
      <c r="PPV2" s="2235"/>
      <c r="PPW2" s="2235"/>
      <c r="PPX2" s="2235"/>
      <c r="PPY2" s="2235"/>
      <c r="PPZ2" s="2235"/>
      <c r="PQA2" s="2235"/>
      <c r="PQB2" s="2235"/>
      <c r="PQC2" s="2235"/>
      <c r="PQD2" s="2235"/>
      <c r="PQE2" s="2235"/>
      <c r="PQF2" s="2235"/>
      <c r="PQG2" s="2235"/>
      <c r="PQH2" s="2235"/>
      <c r="PQI2" s="2235"/>
      <c r="PQJ2" s="2235"/>
      <c r="PQK2" s="2235"/>
      <c r="PQL2" s="2235"/>
      <c r="PQM2" s="2235"/>
      <c r="PQN2" s="2235"/>
      <c r="PQO2" s="2235"/>
      <c r="PQP2" s="2235"/>
      <c r="PQQ2" s="2235"/>
      <c r="PQR2" s="2235"/>
      <c r="PQS2" s="2235"/>
      <c r="PQT2" s="2235"/>
      <c r="PQU2" s="2235"/>
      <c r="PQV2" s="2235"/>
      <c r="PQW2" s="2235"/>
      <c r="PQX2" s="2235"/>
      <c r="PQY2" s="2235"/>
      <c r="PQZ2" s="2235"/>
      <c r="PRA2" s="2235"/>
      <c r="PRB2" s="2235"/>
      <c r="PRC2" s="2235"/>
      <c r="PRD2" s="2235"/>
      <c r="PRE2" s="2235"/>
      <c r="PRF2" s="2235"/>
      <c r="PRG2" s="2235"/>
      <c r="PRH2" s="2235"/>
      <c r="PRI2" s="2235"/>
      <c r="PRJ2" s="2235"/>
      <c r="PRK2" s="2235"/>
      <c r="PRL2" s="2235"/>
      <c r="PRM2" s="2235"/>
      <c r="PRN2" s="2235"/>
      <c r="PRO2" s="2235"/>
      <c r="PRP2" s="2235"/>
      <c r="PRQ2" s="2235"/>
      <c r="PRR2" s="2235"/>
      <c r="PRS2" s="2235"/>
      <c r="PRT2" s="2235"/>
      <c r="PRU2" s="2235"/>
      <c r="PRV2" s="2235"/>
      <c r="PRW2" s="2235"/>
      <c r="PRX2" s="2235"/>
      <c r="PRY2" s="2235"/>
      <c r="PRZ2" s="2235"/>
      <c r="PSA2" s="2235"/>
      <c r="PSB2" s="2235"/>
      <c r="PSC2" s="2235"/>
      <c r="PSD2" s="2235"/>
      <c r="PSE2" s="2235"/>
      <c r="PSF2" s="2235"/>
      <c r="PSG2" s="2235"/>
      <c r="PSH2" s="2235"/>
      <c r="PSI2" s="2235"/>
      <c r="PSJ2" s="2235"/>
      <c r="PSK2" s="2235"/>
      <c r="PSL2" s="2235"/>
      <c r="PSM2" s="2235"/>
      <c r="PSN2" s="2235"/>
      <c r="PSO2" s="2235"/>
      <c r="PSP2" s="2235"/>
      <c r="PSQ2" s="2235"/>
      <c r="PSR2" s="2235"/>
      <c r="PSS2" s="2235"/>
      <c r="PST2" s="2235"/>
      <c r="PSU2" s="2235"/>
      <c r="PSV2" s="2235"/>
      <c r="PSW2" s="2235"/>
      <c r="PSX2" s="2235"/>
      <c r="PSY2" s="2235"/>
      <c r="PSZ2" s="2235"/>
      <c r="PTA2" s="2235"/>
      <c r="PTB2" s="2235"/>
      <c r="PTC2" s="2235"/>
      <c r="PTD2" s="2235"/>
      <c r="PTE2" s="2235"/>
      <c r="PTF2" s="2235"/>
      <c r="PTG2" s="2235"/>
      <c r="PTH2" s="2235"/>
      <c r="PTI2" s="2235"/>
      <c r="PTJ2" s="2235"/>
      <c r="PTK2" s="2235"/>
      <c r="PTL2" s="2235"/>
      <c r="PTM2" s="2235"/>
      <c r="PTN2" s="2235"/>
      <c r="PTO2" s="2235"/>
      <c r="PTP2" s="2235"/>
      <c r="PTQ2" s="2235"/>
      <c r="PTR2" s="2235"/>
      <c r="PTS2" s="2235"/>
      <c r="PTT2" s="2235"/>
      <c r="PTU2" s="2235"/>
      <c r="PTV2" s="2235"/>
      <c r="PTW2" s="2235"/>
      <c r="PTX2" s="2235"/>
      <c r="PTY2" s="2235"/>
      <c r="PTZ2" s="2235"/>
      <c r="PUA2" s="2235"/>
      <c r="PUB2" s="2235"/>
      <c r="PUC2" s="2235"/>
      <c r="PUD2" s="2235"/>
      <c r="PUE2" s="2235"/>
      <c r="PUF2" s="2235"/>
      <c r="PUG2" s="2235"/>
      <c r="PUH2" s="2235"/>
      <c r="PUI2" s="2235"/>
      <c r="PUJ2" s="2235"/>
      <c r="PUK2" s="2235"/>
      <c r="PUL2" s="2235"/>
      <c r="PUM2" s="2235"/>
      <c r="PUN2" s="2235"/>
      <c r="PUO2" s="2235"/>
      <c r="PUP2" s="2235"/>
      <c r="PUQ2" s="2235"/>
      <c r="PUR2" s="2235"/>
      <c r="PUS2" s="2235"/>
      <c r="PUT2" s="2235"/>
      <c r="PUU2" s="2235"/>
      <c r="PUV2" s="2235"/>
      <c r="PUW2" s="2235"/>
      <c r="PUX2" s="2235"/>
      <c r="PUY2" s="2235"/>
      <c r="PUZ2" s="2235"/>
      <c r="PVA2" s="2235"/>
      <c r="PVB2" s="2235"/>
      <c r="PVC2" s="2235"/>
      <c r="PVD2" s="2235"/>
      <c r="PVE2" s="2235"/>
      <c r="PVF2" s="2235"/>
      <c r="PVG2" s="2235"/>
      <c r="PVH2" s="2235"/>
      <c r="PVI2" s="2235"/>
      <c r="PVJ2" s="2235"/>
      <c r="PVK2" s="2235"/>
      <c r="PVL2" s="2235"/>
      <c r="PVM2" s="2235"/>
      <c r="PVN2" s="2235"/>
      <c r="PVO2" s="2235"/>
      <c r="PVP2" s="2235"/>
      <c r="PVQ2" s="2235"/>
      <c r="PVR2" s="2235"/>
      <c r="PVS2" s="2235"/>
      <c r="PVT2" s="2235"/>
      <c r="PVU2" s="2235"/>
      <c r="PVV2" s="2235"/>
      <c r="PVW2" s="2235"/>
      <c r="PVX2" s="2235"/>
      <c r="PVY2" s="2235"/>
      <c r="PVZ2" s="2235"/>
      <c r="PWA2" s="2235"/>
      <c r="PWB2" s="2235"/>
      <c r="PWC2" s="2235"/>
      <c r="PWD2" s="2235"/>
      <c r="PWE2" s="2235"/>
      <c r="PWF2" s="2235"/>
      <c r="PWG2" s="2235"/>
      <c r="PWH2" s="2235"/>
      <c r="PWI2" s="2235"/>
      <c r="PWJ2" s="2235"/>
      <c r="PWK2" s="2235"/>
      <c r="PWL2" s="2235"/>
      <c r="PWM2" s="2235"/>
      <c r="PWN2" s="2235"/>
      <c r="PWO2" s="2235"/>
      <c r="PWP2" s="2235"/>
      <c r="PWQ2" s="2235"/>
      <c r="PWR2" s="2235"/>
      <c r="PWS2" s="2235"/>
      <c r="PWT2" s="2235"/>
      <c r="PWU2" s="2235"/>
      <c r="PWV2" s="2235"/>
      <c r="PWW2" s="2235"/>
      <c r="PWX2" s="2235"/>
      <c r="PWY2" s="2235"/>
      <c r="PWZ2" s="2235"/>
      <c r="PXA2" s="2235"/>
      <c r="PXB2" s="2235"/>
      <c r="PXC2" s="2235"/>
      <c r="PXD2" s="2235"/>
      <c r="PXE2" s="2235"/>
      <c r="PXF2" s="2235"/>
      <c r="PXG2" s="2235"/>
      <c r="PXH2" s="2235"/>
      <c r="PXI2" s="2235"/>
      <c r="PXJ2" s="2235"/>
      <c r="PXK2" s="2235"/>
      <c r="PXL2" s="2235"/>
      <c r="PXM2" s="2235"/>
      <c r="PXN2" s="2235"/>
      <c r="PXO2" s="2235"/>
      <c r="PXP2" s="2235"/>
      <c r="PXQ2" s="2235"/>
      <c r="PXR2" s="2235"/>
      <c r="PXS2" s="2235"/>
      <c r="PXT2" s="2235"/>
      <c r="PXU2" s="2235"/>
      <c r="PXV2" s="2235"/>
      <c r="PXW2" s="2235"/>
      <c r="PXX2" s="2235"/>
      <c r="PXY2" s="2235"/>
      <c r="PXZ2" s="2235"/>
      <c r="PYA2" s="2235"/>
      <c r="PYB2" s="2235"/>
      <c r="PYC2" s="2235"/>
      <c r="PYD2" s="2235"/>
      <c r="PYE2" s="2235"/>
      <c r="PYF2" s="2235"/>
      <c r="PYG2" s="2235"/>
      <c r="PYH2" s="2235"/>
      <c r="PYI2" s="2235"/>
      <c r="PYJ2" s="2235"/>
      <c r="PYK2" s="2235"/>
      <c r="PYL2" s="2235"/>
      <c r="PYM2" s="2235"/>
      <c r="PYN2" s="2235"/>
      <c r="PYO2" s="2235"/>
      <c r="PYP2" s="2235"/>
      <c r="PYQ2" s="2235"/>
      <c r="PYR2" s="2235"/>
      <c r="PYS2" s="2235"/>
      <c r="PYT2" s="2235"/>
      <c r="PYU2" s="2235"/>
      <c r="PYV2" s="2235"/>
      <c r="PYW2" s="2235"/>
      <c r="PYX2" s="2235"/>
      <c r="PYY2" s="2235"/>
      <c r="PYZ2" s="2235"/>
      <c r="PZA2" s="2235"/>
      <c r="PZB2" s="2235"/>
      <c r="PZC2" s="2235"/>
      <c r="PZD2" s="2235"/>
      <c r="PZE2" s="2235"/>
      <c r="PZF2" s="2235"/>
      <c r="PZG2" s="2235"/>
      <c r="PZH2" s="2235"/>
      <c r="PZI2" s="2235"/>
      <c r="PZJ2" s="2235"/>
      <c r="PZK2" s="2235"/>
      <c r="PZL2" s="2235"/>
      <c r="PZM2" s="2235"/>
      <c r="PZN2" s="2235"/>
      <c r="PZO2" s="2235"/>
      <c r="PZP2" s="2235"/>
      <c r="PZQ2" s="2235"/>
      <c r="PZR2" s="2235"/>
      <c r="PZS2" s="2235"/>
      <c r="PZT2" s="2235"/>
      <c r="PZU2" s="2235"/>
      <c r="PZV2" s="2235"/>
      <c r="PZW2" s="2235"/>
      <c r="PZX2" s="2235"/>
      <c r="PZY2" s="2235"/>
      <c r="PZZ2" s="2235"/>
      <c r="QAA2" s="2235"/>
      <c r="QAB2" s="2235"/>
      <c r="QAC2" s="2235"/>
      <c r="QAD2" s="2235"/>
      <c r="QAE2" s="2235"/>
      <c r="QAF2" s="2235"/>
      <c r="QAG2" s="2235"/>
      <c r="QAH2" s="2235"/>
      <c r="QAI2" s="2235"/>
      <c r="QAJ2" s="2235"/>
      <c r="QAK2" s="2235"/>
      <c r="QAL2" s="2235"/>
      <c r="QAM2" s="2235"/>
      <c r="QAN2" s="2235"/>
      <c r="QAO2" s="2235"/>
      <c r="QAP2" s="2235"/>
      <c r="QAQ2" s="2235"/>
      <c r="QAR2" s="2235"/>
      <c r="QAS2" s="2235"/>
      <c r="QAT2" s="2235"/>
      <c r="QAU2" s="2235"/>
      <c r="QAV2" s="2235"/>
      <c r="QAW2" s="2235"/>
      <c r="QAX2" s="2235"/>
      <c r="QAY2" s="2235"/>
      <c r="QAZ2" s="2235"/>
      <c r="QBA2" s="2235"/>
      <c r="QBB2" s="2235"/>
      <c r="QBC2" s="2235"/>
      <c r="QBD2" s="2235"/>
      <c r="QBE2" s="2235"/>
      <c r="QBF2" s="2235"/>
      <c r="QBG2" s="2235"/>
      <c r="QBH2" s="2235"/>
      <c r="QBI2" s="2235"/>
      <c r="QBJ2" s="2235"/>
      <c r="QBK2" s="2235"/>
      <c r="QBL2" s="2235"/>
      <c r="QBM2" s="2235"/>
      <c r="QBN2" s="2235"/>
      <c r="QBO2" s="2235"/>
      <c r="QBP2" s="2235"/>
      <c r="QBQ2" s="2235"/>
      <c r="QBR2" s="2235"/>
      <c r="QBS2" s="2235"/>
      <c r="QBT2" s="2235"/>
      <c r="QBU2" s="2235"/>
      <c r="QBV2" s="2235"/>
      <c r="QBW2" s="2235"/>
      <c r="QBX2" s="2235"/>
      <c r="QBY2" s="2235"/>
      <c r="QBZ2" s="2235"/>
      <c r="QCA2" s="2235"/>
      <c r="QCB2" s="2235"/>
      <c r="QCC2" s="2235"/>
      <c r="QCD2" s="2235"/>
      <c r="QCE2" s="2235"/>
      <c r="QCF2" s="2235"/>
      <c r="QCG2" s="2235"/>
      <c r="QCH2" s="2235"/>
      <c r="QCI2" s="2235"/>
      <c r="QCJ2" s="2235"/>
      <c r="QCK2" s="2235"/>
      <c r="QCL2" s="2235"/>
      <c r="QCM2" s="2235"/>
      <c r="QCN2" s="2235"/>
      <c r="QCO2" s="2235"/>
      <c r="QCP2" s="2235"/>
      <c r="QCQ2" s="2235"/>
      <c r="QCR2" s="2235"/>
      <c r="QCS2" s="2235"/>
      <c r="QCT2" s="2235"/>
      <c r="QCU2" s="2235"/>
      <c r="QCV2" s="2235"/>
      <c r="QCW2" s="2235"/>
      <c r="QCX2" s="2235"/>
      <c r="QCY2" s="2235"/>
      <c r="QCZ2" s="2235"/>
      <c r="QDA2" s="2235"/>
      <c r="QDB2" s="2235"/>
      <c r="QDC2" s="2235"/>
      <c r="QDD2" s="2235"/>
      <c r="QDE2" s="2235"/>
      <c r="QDF2" s="2235"/>
      <c r="QDG2" s="2235"/>
      <c r="QDH2" s="2235"/>
      <c r="QDI2" s="2235"/>
      <c r="QDJ2" s="2235"/>
      <c r="QDK2" s="2235"/>
      <c r="QDL2" s="2235"/>
      <c r="QDM2" s="2235"/>
      <c r="QDN2" s="2235"/>
      <c r="QDO2" s="2235"/>
      <c r="QDP2" s="2235"/>
      <c r="QDQ2" s="2235"/>
      <c r="QDR2" s="2235"/>
      <c r="QDS2" s="2235"/>
      <c r="QDT2" s="2235"/>
      <c r="QDU2" s="2235"/>
      <c r="QDV2" s="2235"/>
      <c r="QDW2" s="2235"/>
      <c r="QDX2" s="2235"/>
      <c r="QDY2" s="2235"/>
      <c r="QDZ2" s="2235"/>
      <c r="QEA2" s="2235"/>
      <c r="QEB2" s="2235"/>
      <c r="QEC2" s="2235"/>
      <c r="QED2" s="2235"/>
      <c r="QEE2" s="2235"/>
      <c r="QEF2" s="2235"/>
      <c r="QEG2" s="2235"/>
      <c r="QEH2" s="2235"/>
      <c r="QEI2" s="2235"/>
      <c r="QEJ2" s="2235"/>
      <c r="QEK2" s="2235"/>
      <c r="QEL2" s="2235"/>
      <c r="QEM2" s="2235"/>
      <c r="QEN2" s="2235"/>
      <c r="QEO2" s="2235"/>
      <c r="QEP2" s="2235"/>
      <c r="QEQ2" s="2235"/>
      <c r="QER2" s="2235"/>
      <c r="QES2" s="2235"/>
      <c r="QET2" s="2235"/>
      <c r="QEU2" s="2235"/>
      <c r="QEV2" s="2235"/>
      <c r="QEW2" s="2235"/>
      <c r="QEX2" s="2235"/>
      <c r="QEY2" s="2235"/>
      <c r="QEZ2" s="2235"/>
      <c r="QFA2" s="2235"/>
      <c r="QFB2" s="2235"/>
      <c r="QFC2" s="2235"/>
      <c r="QFD2" s="2235"/>
      <c r="QFE2" s="2235"/>
      <c r="QFF2" s="2235"/>
      <c r="QFG2" s="2235"/>
      <c r="QFH2" s="2235"/>
      <c r="QFI2" s="2235"/>
      <c r="QFJ2" s="2235"/>
      <c r="QFK2" s="2235"/>
      <c r="QFL2" s="2235"/>
      <c r="QFM2" s="2235"/>
      <c r="QFN2" s="2235"/>
      <c r="QFO2" s="2235"/>
      <c r="QFP2" s="2235"/>
      <c r="QFQ2" s="2235"/>
      <c r="QFR2" s="2235"/>
      <c r="QFS2" s="2235"/>
      <c r="QFT2" s="2235"/>
      <c r="QFU2" s="2235"/>
      <c r="QFV2" s="2235"/>
      <c r="QFW2" s="2235"/>
      <c r="QFX2" s="2235"/>
      <c r="QFY2" s="2235"/>
      <c r="QFZ2" s="2235"/>
      <c r="QGA2" s="2235"/>
      <c r="QGB2" s="2235"/>
      <c r="QGC2" s="2235"/>
      <c r="QGD2" s="2235"/>
      <c r="QGE2" s="2235"/>
      <c r="QGF2" s="2235"/>
      <c r="QGG2" s="2235"/>
      <c r="QGH2" s="2235"/>
      <c r="QGI2" s="2235"/>
      <c r="QGJ2" s="2235"/>
      <c r="QGK2" s="2235"/>
      <c r="QGL2" s="2235"/>
      <c r="QGM2" s="2235"/>
      <c r="QGN2" s="2235"/>
      <c r="QGO2" s="2235"/>
      <c r="QGP2" s="2235"/>
      <c r="QGQ2" s="2235"/>
      <c r="QGR2" s="2235"/>
      <c r="QGS2" s="2235"/>
      <c r="QGT2" s="2235"/>
      <c r="QGU2" s="2235"/>
      <c r="QGV2" s="2235"/>
      <c r="QGW2" s="2235"/>
      <c r="QGX2" s="2235"/>
      <c r="QGY2" s="2235"/>
      <c r="QGZ2" s="2235"/>
      <c r="QHA2" s="2235"/>
      <c r="QHB2" s="2235"/>
      <c r="QHC2" s="2235"/>
      <c r="QHD2" s="2235"/>
      <c r="QHE2" s="2235"/>
      <c r="QHF2" s="2235"/>
      <c r="QHG2" s="2235"/>
      <c r="QHH2" s="2235"/>
      <c r="QHI2" s="2235"/>
      <c r="QHJ2" s="2235"/>
      <c r="QHK2" s="2235"/>
      <c r="QHL2" s="2235"/>
      <c r="QHM2" s="2235"/>
      <c r="QHN2" s="2235"/>
      <c r="QHO2" s="2235"/>
      <c r="QHP2" s="2235"/>
      <c r="QHQ2" s="2235"/>
      <c r="QHR2" s="2235"/>
      <c r="QHS2" s="2235"/>
      <c r="QHT2" s="2235"/>
      <c r="QHU2" s="2235"/>
      <c r="QHV2" s="2235"/>
      <c r="QHW2" s="2235"/>
      <c r="QHX2" s="2235"/>
      <c r="QHY2" s="2235"/>
      <c r="QHZ2" s="2235"/>
      <c r="QIA2" s="2235"/>
      <c r="QIB2" s="2235"/>
      <c r="QIC2" s="2235"/>
      <c r="QID2" s="2235"/>
      <c r="QIE2" s="2235"/>
      <c r="QIF2" s="2235"/>
      <c r="QIG2" s="2235"/>
      <c r="QIH2" s="2235"/>
      <c r="QII2" s="2235"/>
      <c r="QIJ2" s="2235"/>
      <c r="QIK2" s="2235"/>
      <c r="QIL2" s="2235"/>
      <c r="QIM2" s="2235"/>
      <c r="QIN2" s="2235"/>
      <c r="QIO2" s="2235"/>
      <c r="QIP2" s="2235"/>
      <c r="QIQ2" s="2235"/>
      <c r="QIR2" s="2235"/>
      <c r="QIS2" s="2235"/>
      <c r="QIT2" s="2235"/>
      <c r="QIU2" s="2235"/>
      <c r="QIV2" s="2235"/>
      <c r="QIW2" s="2235"/>
      <c r="QIX2" s="2235"/>
      <c r="QIY2" s="2235"/>
      <c r="QIZ2" s="2235"/>
      <c r="QJA2" s="2235"/>
      <c r="QJB2" s="2235"/>
      <c r="QJC2" s="2235"/>
      <c r="QJD2" s="2235"/>
      <c r="QJE2" s="2235"/>
      <c r="QJF2" s="2235"/>
      <c r="QJG2" s="2235"/>
      <c r="QJH2" s="2235"/>
      <c r="QJI2" s="2235"/>
      <c r="QJJ2" s="2235"/>
      <c r="QJK2" s="2235"/>
      <c r="QJL2" s="2235"/>
      <c r="QJM2" s="2235"/>
      <c r="QJN2" s="2235"/>
      <c r="QJO2" s="2235"/>
      <c r="QJP2" s="2235"/>
      <c r="QJQ2" s="2235"/>
      <c r="QJR2" s="2235"/>
      <c r="QJS2" s="2235"/>
      <c r="QJT2" s="2235"/>
      <c r="QJU2" s="2235"/>
      <c r="QJV2" s="2235"/>
      <c r="QJW2" s="2235"/>
      <c r="QJX2" s="2235"/>
      <c r="QJY2" s="2235"/>
      <c r="QJZ2" s="2235"/>
      <c r="QKA2" s="2235"/>
      <c r="QKB2" s="2235"/>
      <c r="QKC2" s="2235"/>
      <c r="QKD2" s="2235"/>
      <c r="QKE2" s="2235"/>
      <c r="QKF2" s="2235"/>
      <c r="QKG2" s="2235"/>
      <c r="QKH2" s="2235"/>
      <c r="QKI2" s="2235"/>
      <c r="QKJ2" s="2235"/>
      <c r="QKK2" s="2235"/>
      <c r="QKL2" s="2235"/>
      <c r="QKM2" s="2235"/>
      <c r="QKN2" s="2235"/>
      <c r="QKO2" s="2235"/>
      <c r="QKP2" s="2235"/>
      <c r="QKQ2" s="2235"/>
      <c r="QKR2" s="2235"/>
      <c r="QKS2" s="2235"/>
      <c r="QKT2" s="2235"/>
      <c r="QKU2" s="2235"/>
      <c r="QKV2" s="2235"/>
      <c r="QKW2" s="2235"/>
      <c r="QKX2" s="2235"/>
      <c r="QKY2" s="2235"/>
      <c r="QKZ2" s="2235"/>
      <c r="QLA2" s="2235"/>
      <c r="QLB2" s="2235"/>
      <c r="QLC2" s="2235"/>
      <c r="QLD2" s="2235"/>
      <c r="QLE2" s="2235"/>
      <c r="QLF2" s="2235"/>
      <c r="QLG2" s="2235"/>
      <c r="QLH2" s="2235"/>
      <c r="QLI2" s="2235"/>
      <c r="QLJ2" s="2235"/>
      <c r="QLK2" s="2235"/>
      <c r="QLL2" s="2235"/>
      <c r="QLM2" s="2235"/>
      <c r="QLN2" s="2235"/>
      <c r="QLO2" s="2235"/>
      <c r="QLP2" s="2235"/>
      <c r="QLQ2" s="2235"/>
      <c r="QLR2" s="2235"/>
      <c r="QLS2" s="2235"/>
      <c r="QLT2" s="2235"/>
      <c r="QLU2" s="2235"/>
      <c r="QLV2" s="2235"/>
      <c r="QLW2" s="2235"/>
      <c r="QLX2" s="2235"/>
      <c r="QLY2" s="2235"/>
      <c r="QLZ2" s="2235"/>
      <c r="QMA2" s="2235"/>
      <c r="QMB2" s="2235"/>
      <c r="QMC2" s="2235"/>
      <c r="QMD2" s="2235"/>
      <c r="QME2" s="2235"/>
      <c r="QMF2" s="2235"/>
      <c r="QMG2" s="2235"/>
      <c r="QMH2" s="2235"/>
      <c r="QMI2" s="2235"/>
      <c r="QMJ2" s="2235"/>
      <c r="QMK2" s="2235"/>
      <c r="QML2" s="2235"/>
      <c r="QMM2" s="2235"/>
      <c r="QMN2" s="2235"/>
      <c r="QMO2" s="2235"/>
      <c r="QMP2" s="2235"/>
      <c r="QMQ2" s="2235"/>
      <c r="QMR2" s="2235"/>
      <c r="QMS2" s="2235"/>
      <c r="QMT2" s="2235"/>
      <c r="QMU2" s="2235"/>
      <c r="QMV2" s="2235"/>
      <c r="QMW2" s="2235"/>
      <c r="QMX2" s="2235"/>
      <c r="QMY2" s="2235"/>
      <c r="QMZ2" s="2235"/>
      <c r="QNA2" s="2235"/>
      <c r="QNB2" s="2235"/>
      <c r="QNC2" s="2235"/>
      <c r="QND2" s="2235"/>
      <c r="QNE2" s="2235"/>
      <c r="QNF2" s="2235"/>
      <c r="QNG2" s="2235"/>
      <c r="QNH2" s="2235"/>
      <c r="QNI2" s="2235"/>
      <c r="QNJ2" s="2235"/>
      <c r="QNK2" s="2235"/>
      <c r="QNL2" s="2235"/>
      <c r="QNM2" s="2235"/>
      <c r="QNN2" s="2235"/>
      <c r="QNO2" s="2235"/>
      <c r="QNP2" s="2235"/>
      <c r="QNQ2" s="2235"/>
      <c r="QNR2" s="2235"/>
      <c r="QNS2" s="2235"/>
      <c r="QNT2" s="2235"/>
      <c r="QNU2" s="2235"/>
      <c r="QNV2" s="2235"/>
      <c r="QNW2" s="2235"/>
      <c r="QNX2" s="2235"/>
      <c r="QNY2" s="2235"/>
      <c r="QNZ2" s="2235"/>
      <c r="QOA2" s="2235"/>
      <c r="QOB2" s="2235"/>
      <c r="QOC2" s="2235"/>
      <c r="QOD2" s="2235"/>
      <c r="QOE2" s="2235"/>
      <c r="QOF2" s="2235"/>
      <c r="QOG2" s="2235"/>
      <c r="QOH2" s="2235"/>
      <c r="QOI2" s="2235"/>
      <c r="QOJ2" s="2235"/>
      <c r="QOK2" s="2235"/>
      <c r="QOL2" s="2235"/>
      <c r="QOM2" s="2235"/>
      <c r="QON2" s="2235"/>
      <c r="QOO2" s="2235"/>
      <c r="QOP2" s="2235"/>
      <c r="QOQ2" s="2235"/>
      <c r="QOR2" s="2235"/>
      <c r="QOS2" s="2235"/>
      <c r="QOT2" s="2235"/>
      <c r="QOU2" s="2235"/>
      <c r="QOV2" s="2235"/>
      <c r="QOW2" s="2235"/>
      <c r="QOX2" s="2235"/>
      <c r="QOY2" s="2235"/>
      <c r="QOZ2" s="2235"/>
      <c r="QPA2" s="2235"/>
      <c r="QPB2" s="2235"/>
      <c r="QPC2" s="2235"/>
      <c r="QPD2" s="2235"/>
      <c r="QPE2" s="2235"/>
      <c r="QPF2" s="2235"/>
      <c r="QPG2" s="2235"/>
      <c r="QPH2" s="2235"/>
      <c r="QPI2" s="2235"/>
      <c r="QPJ2" s="2235"/>
      <c r="QPK2" s="2235"/>
      <c r="QPL2" s="2235"/>
      <c r="QPM2" s="2235"/>
      <c r="QPN2" s="2235"/>
      <c r="QPO2" s="2235"/>
      <c r="QPP2" s="2235"/>
      <c r="QPQ2" s="2235"/>
      <c r="QPR2" s="2235"/>
      <c r="QPS2" s="2235"/>
      <c r="QPT2" s="2235"/>
      <c r="QPU2" s="2235"/>
      <c r="QPV2" s="2235"/>
      <c r="QPW2" s="2235"/>
      <c r="QPX2" s="2235"/>
      <c r="QPY2" s="2235"/>
      <c r="QPZ2" s="2235"/>
      <c r="QQA2" s="2235"/>
      <c r="QQB2" s="2235"/>
      <c r="QQC2" s="2235"/>
      <c r="QQD2" s="2235"/>
      <c r="QQE2" s="2235"/>
      <c r="QQF2" s="2235"/>
      <c r="QQG2" s="2235"/>
      <c r="QQH2" s="2235"/>
      <c r="QQI2" s="2235"/>
      <c r="QQJ2" s="2235"/>
      <c r="QQK2" s="2235"/>
      <c r="QQL2" s="2235"/>
      <c r="QQM2" s="2235"/>
      <c r="QQN2" s="2235"/>
      <c r="QQO2" s="2235"/>
      <c r="QQP2" s="2235"/>
      <c r="QQQ2" s="2235"/>
      <c r="QQR2" s="2235"/>
      <c r="QQS2" s="2235"/>
      <c r="QQT2" s="2235"/>
      <c r="QQU2" s="2235"/>
      <c r="QQV2" s="2235"/>
      <c r="QQW2" s="2235"/>
      <c r="QQX2" s="2235"/>
      <c r="QQY2" s="2235"/>
      <c r="QQZ2" s="2235"/>
      <c r="QRA2" s="2235"/>
      <c r="QRB2" s="2235"/>
      <c r="QRC2" s="2235"/>
      <c r="QRD2" s="2235"/>
      <c r="QRE2" s="2235"/>
      <c r="QRF2" s="2235"/>
      <c r="QRG2" s="2235"/>
      <c r="QRH2" s="2235"/>
      <c r="QRI2" s="2235"/>
      <c r="QRJ2" s="2235"/>
      <c r="QRK2" s="2235"/>
      <c r="QRL2" s="2235"/>
      <c r="QRM2" s="2235"/>
      <c r="QRN2" s="2235"/>
      <c r="QRO2" s="2235"/>
      <c r="QRP2" s="2235"/>
      <c r="QRQ2" s="2235"/>
      <c r="QRR2" s="2235"/>
      <c r="QRS2" s="2235"/>
      <c r="QRT2" s="2235"/>
      <c r="QRU2" s="2235"/>
      <c r="QRV2" s="2235"/>
      <c r="QRW2" s="2235"/>
      <c r="QRX2" s="2235"/>
      <c r="QRY2" s="2235"/>
      <c r="QRZ2" s="2235"/>
      <c r="QSA2" s="2235"/>
      <c r="QSB2" s="2235"/>
      <c r="QSC2" s="2235"/>
      <c r="QSD2" s="2235"/>
      <c r="QSE2" s="2235"/>
      <c r="QSF2" s="2235"/>
      <c r="QSG2" s="2235"/>
      <c r="QSH2" s="2235"/>
      <c r="QSI2" s="2235"/>
      <c r="QSJ2" s="2235"/>
      <c r="QSK2" s="2235"/>
      <c r="QSL2" s="2235"/>
      <c r="QSM2" s="2235"/>
      <c r="QSN2" s="2235"/>
      <c r="QSO2" s="2235"/>
      <c r="QSP2" s="2235"/>
      <c r="QSQ2" s="2235"/>
      <c r="QSR2" s="2235"/>
      <c r="QSS2" s="2235"/>
      <c r="QST2" s="2235"/>
      <c r="QSU2" s="2235"/>
      <c r="QSV2" s="2235"/>
      <c r="QSW2" s="2235"/>
      <c r="QSX2" s="2235"/>
      <c r="QSY2" s="2235"/>
      <c r="QSZ2" s="2235"/>
      <c r="QTA2" s="2235"/>
      <c r="QTB2" s="2235"/>
      <c r="QTC2" s="2235"/>
      <c r="QTD2" s="2235"/>
      <c r="QTE2" s="2235"/>
      <c r="QTF2" s="2235"/>
      <c r="QTG2" s="2235"/>
      <c r="QTH2" s="2235"/>
      <c r="QTI2" s="2235"/>
      <c r="QTJ2" s="2235"/>
      <c r="QTK2" s="2235"/>
      <c r="QTL2" s="2235"/>
      <c r="QTM2" s="2235"/>
      <c r="QTN2" s="2235"/>
      <c r="QTO2" s="2235"/>
      <c r="QTP2" s="2235"/>
      <c r="QTQ2" s="2235"/>
      <c r="QTR2" s="2235"/>
      <c r="QTS2" s="2235"/>
      <c r="QTT2" s="2235"/>
      <c r="QTU2" s="2235"/>
      <c r="QTV2" s="2235"/>
      <c r="QTW2" s="2235"/>
      <c r="QTX2" s="2235"/>
      <c r="QTY2" s="2235"/>
      <c r="QTZ2" s="2235"/>
      <c r="QUA2" s="2235"/>
      <c r="QUB2" s="2235"/>
      <c r="QUC2" s="2235"/>
      <c r="QUD2" s="2235"/>
      <c r="QUE2" s="2235"/>
      <c r="QUF2" s="2235"/>
      <c r="QUG2" s="2235"/>
      <c r="QUH2" s="2235"/>
      <c r="QUI2" s="2235"/>
      <c r="QUJ2" s="2235"/>
      <c r="QUK2" s="2235"/>
      <c r="QUL2" s="2235"/>
      <c r="QUM2" s="2235"/>
      <c r="QUN2" s="2235"/>
      <c r="QUO2" s="2235"/>
      <c r="QUP2" s="2235"/>
      <c r="QUQ2" s="2235"/>
      <c r="QUR2" s="2235"/>
      <c r="QUS2" s="2235"/>
      <c r="QUT2" s="2235"/>
      <c r="QUU2" s="2235"/>
      <c r="QUV2" s="2235"/>
      <c r="QUW2" s="2235"/>
      <c r="QUX2" s="2235"/>
      <c r="QUY2" s="2235"/>
      <c r="QUZ2" s="2235"/>
      <c r="QVA2" s="2235"/>
      <c r="QVB2" s="2235"/>
      <c r="QVC2" s="2235"/>
      <c r="QVD2" s="2235"/>
      <c r="QVE2" s="2235"/>
      <c r="QVF2" s="2235"/>
      <c r="QVG2" s="2235"/>
      <c r="QVH2" s="2235"/>
      <c r="QVI2" s="2235"/>
      <c r="QVJ2" s="2235"/>
      <c r="QVK2" s="2235"/>
      <c r="QVL2" s="2235"/>
      <c r="QVM2" s="2235"/>
      <c r="QVN2" s="2235"/>
      <c r="QVO2" s="2235"/>
      <c r="QVP2" s="2235"/>
      <c r="QVQ2" s="2235"/>
      <c r="QVR2" s="2235"/>
      <c r="QVS2" s="2235"/>
      <c r="QVT2" s="2235"/>
      <c r="QVU2" s="2235"/>
      <c r="QVV2" s="2235"/>
      <c r="QVW2" s="2235"/>
      <c r="QVX2" s="2235"/>
      <c r="QVY2" s="2235"/>
      <c r="QVZ2" s="2235"/>
      <c r="QWA2" s="2235"/>
      <c r="QWB2" s="2235"/>
      <c r="QWC2" s="2235"/>
      <c r="QWD2" s="2235"/>
      <c r="QWE2" s="2235"/>
      <c r="QWF2" s="2235"/>
      <c r="QWG2" s="2235"/>
      <c r="QWH2" s="2235"/>
      <c r="QWI2" s="2235"/>
      <c r="QWJ2" s="2235"/>
      <c r="QWK2" s="2235"/>
      <c r="QWL2" s="2235"/>
      <c r="QWM2" s="2235"/>
      <c r="QWN2" s="2235"/>
      <c r="QWO2" s="2235"/>
      <c r="QWP2" s="2235"/>
      <c r="QWQ2" s="2235"/>
      <c r="QWR2" s="2235"/>
      <c r="QWS2" s="2235"/>
      <c r="QWT2" s="2235"/>
      <c r="QWU2" s="2235"/>
      <c r="QWV2" s="2235"/>
      <c r="QWW2" s="2235"/>
      <c r="QWX2" s="2235"/>
      <c r="QWY2" s="2235"/>
      <c r="QWZ2" s="2235"/>
      <c r="QXA2" s="2235"/>
      <c r="QXB2" s="2235"/>
      <c r="QXC2" s="2235"/>
      <c r="QXD2" s="2235"/>
      <c r="QXE2" s="2235"/>
      <c r="QXF2" s="2235"/>
      <c r="QXG2" s="2235"/>
      <c r="QXH2" s="2235"/>
      <c r="QXI2" s="2235"/>
      <c r="QXJ2" s="2235"/>
      <c r="QXK2" s="2235"/>
      <c r="QXL2" s="2235"/>
      <c r="QXM2" s="2235"/>
      <c r="QXN2" s="2235"/>
      <c r="QXO2" s="2235"/>
      <c r="QXP2" s="2235"/>
      <c r="QXQ2" s="2235"/>
      <c r="QXR2" s="2235"/>
      <c r="QXS2" s="2235"/>
      <c r="QXT2" s="2235"/>
      <c r="QXU2" s="2235"/>
      <c r="QXV2" s="2235"/>
      <c r="QXW2" s="2235"/>
      <c r="QXX2" s="2235"/>
      <c r="QXY2" s="2235"/>
      <c r="QXZ2" s="2235"/>
      <c r="QYA2" s="2235"/>
      <c r="QYB2" s="2235"/>
      <c r="QYC2" s="2235"/>
      <c r="QYD2" s="2235"/>
      <c r="QYE2" s="2235"/>
      <c r="QYF2" s="2235"/>
      <c r="QYG2" s="2235"/>
      <c r="QYH2" s="2235"/>
      <c r="QYI2" s="2235"/>
      <c r="QYJ2" s="2235"/>
      <c r="QYK2" s="2235"/>
      <c r="QYL2" s="2235"/>
      <c r="QYM2" s="2235"/>
      <c r="QYN2" s="2235"/>
      <c r="QYO2" s="2235"/>
      <c r="QYP2" s="2235"/>
      <c r="QYQ2" s="2235"/>
      <c r="QYR2" s="2235"/>
      <c r="QYS2" s="2235"/>
      <c r="QYT2" s="2235"/>
      <c r="QYU2" s="2235"/>
      <c r="QYV2" s="2235"/>
      <c r="QYW2" s="2235"/>
      <c r="QYX2" s="2235"/>
      <c r="QYY2" s="2235"/>
      <c r="QYZ2" s="2235"/>
      <c r="QZA2" s="2235"/>
      <c r="QZB2" s="2235"/>
      <c r="QZC2" s="2235"/>
      <c r="QZD2" s="2235"/>
      <c r="QZE2" s="2235"/>
      <c r="QZF2" s="2235"/>
      <c r="QZG2" s="2235"/>
      <c r="QZH2" s="2235"/>
      <c r="QZI2" s="2235"/>
      <c r="QZJ2" s="2235"/>
      <c r="QZK2" s="2235"/>
      <c r="QZL2" s="2235"/>
      <c r="QZM2" s="2235"/>
      <c r="QZN2" s="2235"/>
      <c r="QZO2" s="2235"/>
      <c r="QZP2" s="2235"/>
      <c r="QZQ2" s="2235"/>
      <c r="QZR2" s="2235"/>
      <c r="QZS2" s="2235"/>
      <c r="QZT2" s="2235"/>
      <c r="QZU2" s="2235"/>
      <c r="QZV2" s="2235"/>
      <c r="QZW2" s="2235"/>
      <c r="QZX2" s="2235"/>
      <c r="QZY2" s="2235"/>
      <c r="QZZ2" s="2235"/>
      <c r="RAA2" s="2235"/>
      <c r="RAB2" s="2235"/>
      <c r="RAC2" s="2235"/>
      <c r="RAD2" s="2235"/>
      <c r="RAE2" s="2235"/>
      <c r="RAF2" s="2235"/>
      <c r="RAG2" s="2235"/>
      <c r="RAH2" s="2235"/>
      <c r="RAI2" s="2235"/>
      <c r="RAJ2" s="2235"/>
      <c r="RAK2" s="2235"/>
      <c r="RAL2" s="2235"/>
      <c r="RAM2" s="2235"/>
      <c r="RAN2" s="2235"/>
      <c r="RAO2" s="2235"/>
      <c r="RAP2" s="2235"/>
      <c r="RAQ2" s="2235"/>
      <c r="RAR2" s="2235"/>
      <c r="RAS2" s="2235"/>
      <c r="RAT2" s="2235"/>
      <c r="RAU2" s="2235"/>
      <c r="RAV2" s="2235"/>
      <c r="RAW2" s="2235"/>
      <c r="RAX2" s="2235"/>
      <c r="RAY2" s="2235"/>
      <c r="RAZ2" s="2235"/>
      <c r="RBA2" s="2235"/>
      <c r="RBB2" s="2235"/>
      <c r="RBC2" s="2235"/>
      <c r="RBD2" s="2235"/>
      <c r="RBE2" s="2235"/>
      <c r="RBF2" s="2235"/>
      <c r="RBG2" s="2235"/>
      <c r="RBH2" s="2235"/>
      <c r="RBI2" s="2235"/>
      <c r="RBJ2" s="2235"/>
      <c r="RBK2" s="2235"/>
      <c r="RBL2" s="2235"/>
      <c r="RBM2" s="2235"/>
      <c r="RBN2" s="2235"/>
      <c r="RBO2" s="2235"/>
      <c r="RBP2" s="2235"/>
      <c r="RBQ2" s="2235"/>
      <c r="RBR2" s="2235"/>
      <c r="RBS2" s="2235"/>
      <c r="RBT2" s="2235"/>
      <c r="RBU2" s="2235"/>
      <c r="RBV2" s="2235"/>
      <c r="RBW2" s="2235"/>
      <c r="RBX2" s="2235"/>
      <c r="RBY2" s="2235"/>
      <c r="RBZ2" s="2235"/>
      <c r="RCA2" s="2235"/>
      <c r="RCB2" s="2235"/>
      <c r="RCC2" s="2235"/>
      <c r="RCD2" s="2235"/>
      <c r="RCE2" s="2235"/>
      <c r="RCF2" s="2235"/>
      <c r="RCG2" s="2235"/>
      <c r="RCH2" s="2235"/>
      <c r="RCI2" s="2235"/>
      <c r="RCJ2" s="2235"/>
      <c r="RCK2" s="2235"/>
      <c r="RCL2" s="2235"/>
      <c r="RCM2" s="2235"/>
      <c r="RCN2" s="2235"/>
      <c r="RCO2" s="2235"/>
      <c r="RCP2" s="2235"/>
      <c r="RCQ2" s="2235"/>
      <c r="RCR2" s="2235"/>
      <c r="RCS2" s="2235"/>
      <c r="RCT2" s="2235"/>
      <c r="RCU2" s="2235"/>
      <c r="RCV2" s="2235"/>
      <c r="RCW2" s="2235"/>
      <c r="RCX2" s="2235"/>
      <c r="RCY2" s="2235"/>
      <c r="RCZ2" s="2235"/>
      <c r="RDA2" s="2235"/>
      <c r="RDB2" s="2235"/>
      <c r="RDC2" s="2235"/>
      <c r="RDD2" s="2235"/>
      <c r="RDE2" s="2235"/>
      <c r="RDF2" s="2235"/>
      <c r="RDG2" s="2235"/>
      <c r="RDH2" s="2235"/>
      <c r="RDI2" s="2235"/>
      <c r="RDJ2" s="2235"/>
      <c r="RDK2" s="2235"/>
      <c r="RDL2" s="2235"/>
      <c r="RDM2" s="2235"/>
      <c r="RDN2" s="2235"/>
      <c r="RDO2" s="2235"/>
      <c r="RDP2" s="2235"/>
      <c r="RDQ2" s="2235"/>
      <c r="RDR2" s="2235"/>
      <c r="RDS2" s="2235"/>
      <c r="RDT2" s="2235"/>
      <c r="RDU2" s="2235"/>
      <c r="RDV2" s="2235"/>
      <c r="RDW2" s="2235"/>
      <c r="RDX2" s="2235"/>
      <c r="RDY2" s="2235"/>
      <c r="RDZ2" s="2235"/>
      <c r="REA2" s="2235"/>
      <c r="REB2" s="2235"/>
      <c r="REC2" s="2235"/>
      <c r="RED2" s="2235"/>
      <c r="REE2" s="2235"/>
      <c r="REF2" s="2235"/>
      <c r="REG2" s="2235"/>
      <c r="REH2" s="2235"/>
      <c r="REI2" s="2235"/>
      <c r="REJ2" s="2235"/>
      <c r="REK2" s="2235"/>
      <c r="REL2" s="2235"/>
      <c r="REM2" s="2235"/>
      <c r="REN2" s="2235"/>
      <c r="REO2" s="2235"/>
      <c r="REP2" s="2235"/>
      <c r="REQ2" s="2235"/>
      <c r="RER2" s="2235"/>
      <c r="RES2" s="2235"/>
      <c r="RET2" s="2235"/>
      <c r="REU2" s="2235"/>
      <c r="REV2" s="2235"/>
      <c r="REW2" s="2235"/>
      <c r="REX2" s="2235"/>
      <c r="REY2" s="2235"/>
      <c r="REZ2" s="2235"/>
      <c r="RFA2" s="2235"/>
      <c r="RFB2" s="2235"/>
      <c r="RFC2" s="2235"/>
      <c r="RFD2" s="2235"/>
      <c r="RFE2" s="2235"/>
      <c r="RFF2" s="2235"/>
      <c r="RFG2" s="2235"/>
      <c r="RFH2" s="2235"/>
      <c r="RFI2" s="2235"/>
      <c r="RFJ2" s="2235"/>
      <c r="RFK2" s="2235"/>
      <c r="RFL2" s="2235"/>
      <c r="RFM2" s="2235"/>
      <c r="RFN2" s="2235"/>
      <c r="RFO2" s="2235"/>
      <c r="RFP2" s="2235"/>
      <c r="RFQ2" s="2235"/>
      <c r="RFR2" s="2235"/>
      <c r="RFS2" s="2235"/>
      <c r="RFT2" s="2235"/>
      <c r="RFU2" s="2235"/>
      <c r="RFV2" s="2235"/>
      <c r="RFW2" s="2235"/>
      <c r="RFX2" s="2235"/>
      <c r="RFY2" s="2235"/>
      <c r="RFZ2" s="2235"/>
      <c r="RGA2" s="2235"/>
      <c r="RGB2" s="2235"/>
      <c r="RGC2" s="2235"/>
      <c r="RGD2" s="2235"/>
      <c r="RGE2" s="2235"/>
      <c r="RGF2" s="2235"/>
      <c r="RGG2" s="2235"/>
      <c r="RGH2" s="2235"/>
      <c r="RGI2" s="2235"/>
      <c r="RGJ2" s="2235"/>
      <c r="RGK2" s="2235"/>
      <c r="RGL2" s="2235"/>
      <c r="RGM2" s="2235"/>
      <c r="RGN2" s="2235"/>
      <c r="RGO2" s="2235"/>
      <c r="RGP2" s="2235"/>
      <c r="RGQ2" s="2235"/>
      <c r="RGR2" s="2235"/>
      <c r="RGS2" s="2235"/>
      <c r="RGT2" s="2235"/>
      <c r="RGU2" s="2235"/>
      <c r="RGV2" s="2235"/>
      <c r="RGW2" s="2235"/>
      <c r="RGX2" s="2235"/>
      <c r="RGY2" s="2235"/>
      <c r="RGZ2" s="2235"/>
      <c r="RHA2" s="2235"/>
      <c r="RHB2" s="2235"/>
      <c r="RHC2" s="2235"/>
      <c r="RHD2" s="2235"/>
      <c r="RHE2" s="2235"/>
      <c r="RHF2" s="2235"/>
      <c r="RHG2" s="2235"/>
      <c r="RHH2" s="2235"/>
      <c r="RHI2" s="2235"/>
      <c r="RHJ2" s="2235"/>
      <c r="RHK2" s="2235"/>
      <c r="RHL2" s="2235"/>
      <c r="RHM2" s="2235"/>
      <c r="RHN2" s="2235"/>
      <c r="RHO2" s="2235"/>
      <c r="RHP2" s="2235"/>
      <c r="RHQ2" s="2235"/>
      <c r="RHR2" s="2235"/>
      <c r="RHS2" s="2235"/>
      <c r="RHT2" s="2235"/>
      <c r="RHU2" s="2235"/>
      <c r="RHV2" s="2235"/>
      <c r="RHW2" s="2235"/>
      <c r="RHX2" s="2235"/>
      <c r="RHY2" s="2235"/>
      <c r="RHZ2" s="2235"/>
      <c r="RIA2" s="2235"/>
      <c r="RIB2" s="2235"/>
      <c r="RIC2" s="2235"/>
      <c r="RID2" s="2235"/>
      <c r="RIE2" s="2235"/>
      <c r="RIF2" s="2235"/>
      <c r="RIG2" s="2235"/>
      <c r="RIH2" s="2235"/>
      <c r="RII2" s="2235"/>
      <c r="RIJ2" s="2235"/>
      <c r="RIK2" s="2235"/>
      <c r="RIL2" s="2235"/>
      <c r="RIM2" s="2235"/>
      <c r="RIN2" s="2235"/>
      <c r="RIO2" s="2235"/>
      <c r="RIP2" s="2235"/>
      <c r="RIQ2" s="2235"/>
      <c r="RIR2" s="2235"/>
      <c r="RIS2" s="2235"/>
      <c r="RIT2" s="2235"/>
      <c r="RIU2" s="2235"/>
      <c r="RIV2" s="2235"/>
      <c r="RIW2" s="2235"/>
      <c r="RIX2" s="2235"/>
      <c r="RIY2" s="2235"/>
      <c r="RIZ2" s="2235"/>
      <c r="RJA2" s="2235"/>
      <c r="RJB2" s="2235"/>
      <c r="RJC2" s="2235"/>
      <c r="RJD2" s="2235"/>
      <c r="RJE2" s="2235"/>
      <c r="RJF2" s="2235"/>
      <c r="RJG2" s="2235"/>
      <c r="RJH2" s="2235"/>
      <c r="RJI2" s="2235"/>
      <c r="RJJ2" s="2235"/>
      <c r="RJK2" s="2235"/>
      <c r="RJL2" s="2235"/>
      <c r="RJM2" s="2235"/>
      <c r="RJN2" s="2235"/>
      <c r="RJO2" s="2235"/>
      <c r="RJP2" s="2235"/>
      <c r="RJQ2" s="2235"/>
      <c r="RJR2" s="2235"/>
      <c r="RJS2" s="2235"/>
      <c r="RJT2" s="2235"/>
      <c r="RJU2" s="2235"/>
      <c r="RJV2" s="2235"/>
      <c r="RJW2" s="2235"/>
      <c r="RJX2" s="2235"/>
      <c r="RJY2" s="2235"/>
      <c r="RJZ2" s="2235"/>
      <c r="RKA2" s="2235"/>
      <c r="RKB2" s="2235"/>
      <c r="RKC2" s="2235"/>
      <c r="RKD2" s="2235"/>
      <c r="RKE2" s="2235"/>
      <c r="RKF2" s="2235"/>
      <c r="RKG2" s="2235"/>
      <c r="RKH2" s="2235"/>
      <c r="RKI2" s="2235"/>
      <c r="RKJ2" s="2235"/>
      <c r="RKK2" s="2235"/>
      <c r="RKL2" s="2235"/>
      <c r="RKM2" s="2235"/>
      <c r="RKN2" s="2235"/>
      <c r="RKO2" s="2235"/>
      <c r="RKP2" s="2235"/>
      <c r="RKQ2" s="2235"/>
      <c r="RKR2" s="2235"/>
      <c r="RKS2" s="2235"/>
      <c r="RKT2" s="2235"/>
      <c r="RKU2" s="2235"/>
      <c r="RKV2" s="2235"/>
      <c r="RKW2" s="2235"/>
      <c r="RKX2" s="2235"/>
      <c r="RKY2" s="2235"/>
      <c r="RKZ2" s="2235"/>
      <c r="RLA2" s="2235"/>
      <c r="RLB2" s="2235"/>
      <c r="RLC2" s="2235"/>
      <c r="RLD2" s="2235"/>
      <c r="RLE2" s="2235"/>
      <c r="RLF2" s="2235"/>
      <c r="RLG2" s="2235"/>
      <c r="RLH2" s="2235"/>
      <c r="RLI2" s="2235"/>
      <c r="RLJ2" s="2235"/>
      <c r="RLK2" s="2235"/>
      <c r="RLL2" s="2235"/>
      <c r="RLM2" s="2235"/>
      <c r="RLN2" s="2235"/>
      <c r="RLO2" s="2235"/>
      <c r="RLP2" s="2235"/>
      <c r="RLQ2" s="2235"/>
      <c r="RLR2" s="2235"/>
      <c r="RLS2" s="2235"/>
      <c r="RLT2" s="2235"/>
      <c r="RLU2" s="2235"/>
      <c r="RLV2" s="2235"/>
      <c r="RLW2" s="2235"/>
      <c r="RLX2" s="2235"/>
      <c r="RLY2" s="2235"/>
      <c r="RLZ2" s="2235"/>
      <c r="RMA2" s="2235"/>
      <c r="RMB2" s="2235"/>
      <c r="RMC2" s="2235"/>
      <c r="RMD2" s="2235"/>
      <c r="RME2" s="2235"/>
      <c r="RMF2" s="2235"/>
      <c r="RMG2" s="2235"/>
      <c r="RMH2" s="2235"/>
      <c r="RMI2" s="2235"/>
      <c r="RMJ2" s="2235"/>
      <c r="RMK2" s="2235"/>
      <c r="RML2" s="2235"/>
      <c r="RMM2" s="2235"/>
      <c r="RMN2" s="2235"/>
      <c r="RMO2" s="2235"/>
      <c r="RMP2" s="2235"/>
      <c r="RMQ2" s="2235"/>
      <c r="RMR2" s="2235"/>
      <c r="RMS2" s="2235"/>
      <c r="RMT2" s="2235"/>
      <c r="RMU2" s="2235"/>
      <c r="RMV2" s="2235"/>
      <c r="RMW2" s="2235"/>
      <c r="RMX2" s="2235"/>
      <c r="RMY2" s="2235"/>
      <c r="RMZ2" s="2235"/>
      <c r="RNA2" s="2235"/>
      <c r="RNB2" s="2235"/>
      <c r="RNC2" s="2235"/>
      <c r="RND2" s="2235"/>
      <c r="RNE2" s="2235"/>
      <c r="RNF2" s="2235"/>
      <c r="RNG2" s="2235"/>
      <c r="RNH2" s="2235"/>
      <c r="RNI2" s="2235"/>
      <c r="RNJ2" s="2235"/>
      <c r="RNK2" s="2235"/>
      <c r="RNL2" s="2235"/>
      <c r="RNM2" s="2235"/>
      <c r="RNN2" s="2235"/>
      <c r="RNO2" s="2235"/>
      <c r="RNP2" s="2235"/>
      <c r="RNQ2" s="2235"/>
      <c r="RNR2" s="2235"/>
      <c r="RNS2" s="2235"/>
      <c r="RNT2" s="2235"/>
      <c r="RNU2" s="2235"/>
      <c r="RNV2" s="2235"/>
      <c r="RNW2" s="2235"/>
      <c r="RNX2" s="2235"/>
      <c r="RNY2" s="2235"/>
      <c r="RNZ2" s="2235"/>
      <c r="ROA2" s="2235"/>
      <c r="ROB2" s="2235"/>
      <c r="ROC2" s="2235"/>
      <c r="ROD2" s="2235"/>
      <c r="ROE2" s="2235"/>
      <c r="ROF2" s="2235"/>
      <c r="ROG2" s="2235"/>
      <c r="ROH2" s="2235"/>
      <c r="ROI2" s="2235"/>
      <c r="ROJ2" s="2235"/>
      <c r="ROK2" s="2235"/>
      <c r="ROL2" s="2235"/>
      <c r="ROM2" s="2235"/>
      <c r="RON2" s="2235"/>
      <c r="ROO2" s="2235"/>
      <c r="ROP2" s="2235"/>
      <c r="ROQ2" s="2235"/>
      <c r="ROR2" s="2235"/>
      <c r="ROS2" s="2235"/>
      <c r="ROT2" s="2235"/>
      <c r="ROU2" s="2235"/>
      <c r="ROV2" s="2235"/>
      <c r="ROW2" s="2235"/>
      <c r="ROX2" s="2235"/>
      <c r="ROY2" s="2235"/>
      <c r="ROZ2" s="2235"/>
      <c r="RPA2" s="2235"/>
      <c r="RPB2" s="2235"/>
      <c r="RPC2" s="2235"/>
      <c r="RPD2" s="2235"/>
      <c r="RPE2" s="2235"/>
      <c r="RPF2" s="2235"/>
      <c r="RPG2" s="2235"/>
      <c r="RPH2" s="2235"/>
      <c r="RPI2" s="2235"/>
      <c r="RPJ2" s="2235"/>
      <c r="RPK2" s="2235"/>
      <c r="RPL2" s="2235"/>
      <c r="RPM2" s="2235"/>
      <c r="RPN2" s="2235"/>
      <c r="RPO2" s="2235"/>
      <c r="RPP2" s="2235"/>
      <c r="RPQ2" s="2235"/>
      <c r="RPR2" s="2235"/>
      <c r="RPS2" s="2235"/>
      <c r="RPT2" s="2235"/>
      <c r="RPU2" s="2235"/>
      <c r="RPV2" s="2235"/>
      <c r="RPW2" s="2235"/>
      <c r="RPX2" s="2235"/>
      <c r="RPY2" s="2235"/>
      <c r="RPZ2" s="2235"/>
      <c r="RQA2" s="2235"/>
      <c r="RQB2" s="2235"/>
      <c r="RQC2" s="2235"/>
      <c r="RQD2" s="2235"/>
      <c r="RQE2" s="2235"/>
      <c r="RQF2" s="2235"/>
      <c r="RQG2" s="2235"/>
      <c r="RQH2" s="2235"/>
      <c r="RQI2" s="2235"/>
      <c r="RQJ2" s="2235"/>
      <c r="RQK2" s="2235"/>
      <c r="RQL2" s="2235"/>
      <c r="RQM2" s="2235"/>
      <c r="RQN2" s="2235"/>
      <c r="RQO2" s="2235"/>
      <c r="RQP2" s="2235"/>
      <c r="RQQ2" s="2235"/>
      <c r="RQR2" s="2235"/>
      <c r="RQS2" s="2235"/>
      <c r="RQT2" s="2235"/>
      <c r="RQU2" s="2235"/>
      <c r="RQV2" s="2235"/>
      <c r="RQW2" s="2235"/>
      <c r="RQX2" s="2235"/>
      <c r="RQY2" s="2235"/>
      <c r="RQZ2" s="2235"/>
      <c r="RRA2" s="2235"/>
      <c r="RRB2" s="2235"/>
      <c r="RRC2" s="2235"/>
      <c r="RRD2" s="2235"/>
      <c r="RRE2" s="2235"/>
      <c r="RRF2" s="2235"/>
      <c r="RRG2" s="2235"/>
      <c r="RRH2" s="2235"/>
      <c r="RRI2" s="2235"/>
      <c r="RRJ2" s="2235"/>
      <c r="RRK2" s="2235"/>
      <c r="RRL2" s="2235"/>
      <c r="RRM2" s="2235"/>
      <c r="RRN2" s="2235"/>
      <c r="RRO2" s="2235"/>
      <c r="RRP2" s="2235"/>
      <c r="RRQ2" s="2235"/>
      <c r="RRR2" s="2235"/>
      <c r="RRS2" s="2235"/>
      <c r="RRT2" s="2235"/>
      <c r="RRU2" s="2235"/>
      <c r="RRV2" s="2235"/>
      <c r="RRW2" s="2235"/>
      <c r="RRX2" s="2235"/>
      <c r="RRY2" s="2235"/>
      <c r="RRZ2" s="2235"/>
      <c r="RSA2" s="2235"/>
      <c r="RSB2" s="2235"/>
      <c r="RSC2" s="2235"/>
      <c r="RSD2" s="2235"/>
      <c r="RSE2" s="2235"/>
      <c r="RSF2" s="2235"/>
      <c r="RSG2" s="2235"/>
      <c r="RSH2" s="2235"/>
      <c r="RSI2" s="2235"/>
      <c r="RSJ2" s="2235"/>
      <c r="RSK2" s="2235"/>
      <c r="RSL2" s="2235"/>
      <c r="RSM2" s="2235"/>
      <c r="RSN2" s="2235"/>
      <c r="RSO2" s="2235"/>
      <c r="RSP2" s="2235"/>
      <c r="RSQ2" s="2235"/>
      <c r="RSR2" s="2235"/>
      <c r="RSS2" s="2235"/>
      <c r="RST2" s="2235"/>
      <c r="RSU2" s="2235"/>
      <c r="RSV2" s="2235"/>
      <c r="RSW2" s="2235"/>
      <c r="RSX2" s="2235"/>
      <c r="RSY2" s="2235"/>
      <c r="RSZ2" s="2235"/>
      <c r="RTA2" s="2235"/>
      <c r="RTB2" s="2235"/>
      <c r="RTC2" s="2235"/>
      <c r="RTD2" s="2235"/>
      <c r="RTE2" s="2235"/>
      <c r="RTF2" s="2235"/>
      <c r="RTG2" s="2235"/>
      <c r="RTH2" s="2235"/>
      <c r="RTI2" s="2235"/>
      <c r="RTJ2" s="2235"/>
      <c r="RTK2" s="2235"/>
      <c r="RTL2" s="2235"/>
      <c r="RTM2" s="2235"/>
      <c r="RTN2" s="2235"/>
      <c r="RTO2" s="2235"/>
      <c r="RTP2" s="2235"/>
      <c r="RTQ2" s="2235"/>
      <c r="RTR2" s="2235"/>
      <c r="RTS2" s="2235"/>
      <c r="RTT2" s="2235"/>
      <c r="RTU2" s="2235"/>
      <c r="RTV2" s="2235"/>
      <c r="RTW2" s="2235"/>
      <c r="RTX2" s="2235"/>
      <c r="RTY2" s="2235"/>
      <c r="RTZ2" s="2235"/>
      <c r="RUA2" s="2235"/>
      <c r="RUB2" s="2235"/>
      <c r="RUC2" s="2235"/>
      <c r="RUD2" s="2235"/>
      <c r="RUE2" s="2235"/>
      <c r="RUF2" s="2235"/>
      <c r="RUG2" s="2235"/>
      <c r="RUH2" s="2235"/>
      <c r="RUI2" s="2235"/>
      <c r="RUJ2" s="2235"/>
      <c r="RUK2" s="2235"/>
      <c r="RUL2" s="2235"/>
      <c r="RUM2" s="2235"/>
      <c r="RUN2" s="2235"/>
      <c r="RUO2" s="2235"/>
      <c r="RUP2" s="2235"/>
      <c r="RUQ2" s="2235"/>
      <c r="RUR2" s="2235"/>
      <c r="RUS2" s="2235"/>
      <c r="RUT2" s="2235"/>
      <c r="RUU2" s="2235"/>
      <c r="RUV2" s="2235"/>
      <c r="RUW2" s="2235"/>
      <c r="RUX2" s="2235"/>
      <c r="RUY2" s="2235"/>
      <c r="RUZ2" s="2235"/>
      <c r="RVA2" s="2235"/>
      <c r="RVB2" s="2235"/>
      <c r="RVC2" s="2235"/>
      <c r="RVD2" s="2235"/>
      <c r="RVE2" s="2235"/>
      <c r="RVF2" s="2235"/>
      <c r="RVG2" s="2235"/>
      <c r="RVH2" s="2235"/>
      <c r="RVI2" s="2235"/>
      <c r="RVJ2" s="2235"/>
      <c r="RVK2" s="2235"/>
      <c r="RVL2" s="2235"/>
      <c r="RVM2" s="2235"/>
      <c r="RVN2" s="2235"/>
      <c r="RVO2" s="2235"/>
      <c r="RVP2" s="2235"/>
      <c r="RVQ2" s="2235"/>
      <c r="RVR2" s="2235"/>
      <c r="RVS2" s="2235"/>
      <c r="RVT2" s="2235"/>
      <c r="RVU2" s="2235"/>
      <c r="RVV2" s="2235"/>
      <c r="RVW2" s="2235"/>
      <c r="RVX2" s="2235"/>
      <c r="RVY2" s="2235"/>
      <c r="RVZ2" s="2235"/>
      <c r="RWA2" s="2235"/>
      <c r="RWB2" s="2235"/>
      <c r="RWC2" s="2235"/>
      <c r="RWD2" s="2235"/>
      <c r="RWE2" s="2235"/>
      <c r="RWF2" s="2235"/>
      <c r="RWG2" s="2235"/>
      <c r="RWH2" s="2235"/>
      <c r="RWI2" s="2235"/>
      <c r="RWJ2" s="2235"/>
      <c r="RWK2" s="2235"/>
      <c r="RWL2" s="2235"/>
      <c r="RWM2" s="2235"/>
      <c r="RWN2" s="2235"/>
      <c r="RWO2" s="2235"/>
      <c r="RWP2" s="2235"/>
      <c r="RWQ2" s="2235"/>
      <c r="RWR2" s="2235"/>
      <c r="RWS2" s="2235"/>
      <c r="RWT2" s="2235"/>
      <c r="RWU2" s="2235"/>
      <c r="RWV2" s="2235"/>
      <c r="RWW2" s="2235"/>
      <c r="RWX2" s="2235"/>
      <c r="RWY2" s="2235"/>
      <c r="RWZ2" s="2235"/>
      <c r="RXA2" s="2235"/>
      <c r="RXB2" s="2235"/>
      <c r="RXC2" s="2235"/>
      <c r="RXD2" s="2235"/>
      <c r="RXE2" s="2235"/>
      <c r="RXF2" s="2235"/>
      <c r="RXG2" s="2235"/>
      <c r="RXH2" s="2235"/>
      <c r="RXI2" s="2235"/>
      <c r="RXJ2" s="2235"/>
      <c r="RXK2" s="2235"/>
      <c r="RXL2" s="2235"/>
      <c r="RXM2" s="2235"/>
      <c r="RXN2" s="2235"/>
      <c r="RXO2" s="2235"/>
      <c r="RXP2" s="2235"/>
      <c r="RXQ2" s="2235"/>
      <c r="RXR2" s="2235"/>
      <c r="RXS2" s="2235"/>
      <c r="RXT2" s="2235"/>
      <c r="RXU2" s="2235"/>
      <c r="RXV2" s="2235"/>
      <c r="RXW2" s="2235"/>
      <c r="RXX2" s="2235"/>
      <c r="RXY2" s="2235"/>
      <c r="RXZ2" s="2235"/>
      <c r="RYA2" s="2235"/>
      <c r="RYB2" s="2235"/>
      <c r="RYC2" s="2235"/>
      <c r="RYD2" s="2235"/>
      <c r="RYE2" s="2235"/>
      <c r="RYF2" s="2235"/>
      <c r="RYG2" s="2235"/>
      <c r="RYH2" s="2235"/>
      <c r="RYI2" s="2235"/>
      <c r="RYJ2" s="2235"/>
      <c r="RYK2" s="2235"/>
      <c r="RYL2" s="2235"/>
      <c r="RYM2" s="2235"/>
      <c r="RYN2" s="2235"/>
      <c r="RYO2" s="2235"/>
      <c r="RYP2" s="2235"/>
      <c r="RYQ2" s="2235"/>
      <c r="RYR2" s="2235"/>
      <c r="RYS2" s="2235"/>
      <c r="RYT2" s="2235"/>
      <c r="RYU2" s="2235"/>
      <c r="RYV2" s="2235"/>
      <c r="RYW2" s="2235"/>
      <c r="RYX2" s="2235"/>
      <c r="RYY2" s="2235"/>
      <c r="RYZ2" s="2235"/>
      <c r="RZA2" s="2235"/>
      <c r="RZB2" s="2235"/>
      <c r="RZC2" s="2235"/>
      <c r="RZD2" s="2235"/>
      <c r="RZE2" s="2235"/>
      <c r="RZF2" s="2235"/>
      <c r="RZG2" s="2235"/>
      <c r="RZH2" s="2235"/>
      <c r="RZI2" s="2235"/>
      <c r="RZJ2" s="2235"/>
      <c r="RZK2" s="2235"/>
      <c r="RZL2" s="2235"/>
      <c r="RZM2" s="2235"/>
      <c r="RZN2" s="2235"/>
      <c r="RZO2" s="2235"/>
      <c r="RZP2" s="2235"/>
      <c r="RZQ2" s="2235"/>
      <c r="RZR2" s="2235"/>
      <c r="RZS2" s="2235"/>
      <c r="RZT2" s="2235"/>
      <c r="RZU2" s="2235"/>
      <c r="RZV2" s="2235"/>
      <c r="RZW2" s="2235"/>
      <c r="RZX2" s="2235"/>
      <c r="RZY2" s="2235"/>
      <c r="RZZ2" s="2235"/>
      <c r="SAA2" s="2235"/>
      <c r="SAB2" s="2235"/>
      <c r="SAC2" s="2235"/>
      <c r="SAD2" s="2235"/>
      <c r="SAE2" s="2235"/>
      <c r="SAF2" s="2235"/>
      <c r="SAG2" s="2235"/>
      <c r="SAH2" s="2235"/>
      <c r="SAI2" s="2235"/>
      <c r="SAJ2" s="2235"/>
      <c r="SAK2" s="2235"/>
      <c r="SAL2" s="2235"/>
      <c r="SAM2" s="2235"/>
      <c r="SAN2" s="2235"/>
      <c r="SAO2" s="2235"/>
      <c r="SAP2" s="2235"/>
      <c r="SAQ2" s="2235"/>
      <c r="SAR2" s="2235"/>
      <c r="SAS2" s="2235"/>
      <c r="SAT2" s="2235"/>
      <c r="SAU2" s="2235"/>
      <c r="SAV2" s="2235"/>
      <c r="SAW2" s="2235"/>
      <c r="SAX2" s="2235"/>
      <c r="SAY2" s="2235"/>
      <c r="SAZ2" s="2235"/>
      <c r="SBA2" s="2235"/>
      <c r="SBB2" s="2235"/>
      <c r="SBC2" s="2235"/>
      <c r="SBD2" s="2235"/>
      <c r="SBE2" s="2235"/>
      <c r="SBF2" s="2235"/>
      <c r="SBG2" s="2235"/>
      <c r="SBH2" s="2235"/>
      <c r="SBI2" s="2235"/>
      <c r="SBJ2" s="2235"/>
      <c r="SBK2" s="2235"/>
      <c r="SBL2" s="2235"/>
      <c r="SBM2" s="2235"/>
      <c r="SBN2" s="2235"/>
      <c r="SBO2" s="2235"/>
      <c r="SBP2" s="2235"/>
      <c r="SBQ2" s="2235"/>
      <c r="SBR2" s="2235"/>
      <c r="SBS2" s="2235"/>
      <c r="SBT2" s="2235"/>
      <c r="SBU2" s="2235"/>
      <c r="SBV2" s="2235"/>
      <c r="SBW2" s="2235"/>
      <c r="SBX2" s="2235"/>
      <c r="SBY2" s="2235"/>
      <c r="SBZ2" s="2235"/>
      <c r="SCA2" s="2235"/>
      <c r="SCB2" s="2235"/>
      <c r="SCC2" s="2235"/>
      <c r="SCD2" s="2235"/>
      <c r="SCE2" s="2235"/>
      <c r="SCF2" s="2235"/>
      <c r="SCG2" s="2235"/>
      <c r="SCH2" s="2235"/>
      <c r="SCI2" s="2235"/>
      <c r="SCJ2" s="2235"/>
      <c r="SCK2" s="2235"/>
      <c r="SCL2" s="2235"/>
      <c r="SCM2" s="2235"/>
      <c r="SCN2" s="2235"/>
      <c r="SCO2" s="2235"/>
      <c r="SCP2" s="2235"/>
      <c r="SCQ2" s="2235"/>
      <c r="SCR2" s="2235"/>
      <c r="SCS2" s="2235"/>
      <c r="SCT2" s="2235"/>
      <c r="SCU2" s="2235"/>
      <c r="SCV2" s="2235"/>
      <c r="SCW2" s="2235"/>
      <c r="SCX2" s="2235"/>
      <c r="SCY2" s="2235"/>
      <c r="SCZ2" s="2235"/>
      <c r="SDA2" s="2235"/>
      <c r="SDB2" s="2235"/>
      <c r="SDC2" s="2235"/>
      <c r="SDD2" s="2235"/>
      <c r="SDE2" s="2235"/>
      <c r="SDF2" s="2235"/>
      <c r="SDG2" s="2235"/>
      <c r="SDH2" s="2235"/>
      <c r="SDI2" s="2235"/>
      <c r="SDJ2" s="2235"/>
      <c r="SDK2" s="2235"/>
      <c r="SDL2" s="2235"/>
      <c r="SDM2" s="2235"/>
      <c r="SDN2" s="2235"/>
      <c r="SDO2" s="2235"/>
      <c r="SDP2" s="2235"/>
      <c r="SDQ2" s="2235"/>
      <c r="SDR2" s="2235"/>
      <c r="SDS2" s="2235"/>
      <c r="SDT2" s="2235"/>
      <c r="SDU2" s="2235"/>
      <c r="SDV2" s="2235"/>
      <c r="SDW2" s="2235"/>
      <c r="SDX2" s="2235"/>
      <c r="SDY2" s="2235"/>
      <c r="SDZ2" s="2235"/>
      <c r="SEA2" s="2235"/>
      <c r="SEB2" s="2235"/>
      <c r="SEC2" s="2235"/>
      <c r="SED2" s="2235"/>
      <c r="SEE2" s="2235"/>
      <c r="SEF2" s="2235"/>
      <c r="SEG2" s="2235"/>
      <c r="SEH2" s="2235"/>
      <c r="SEI2" s="2235"/>
      <c r="SEJ2" s="2235"/>
      <c r="SEK2" s="2235"/>
      <c r="SEL2" s="2235"/>
      <c r="SEM2" s="2235"/>
      <c r="SEN2" s="2235"/>
      <c r="SEO2" s="2235"/>
      <c r="SEP2" s="2235"/>
      <c r="SEQ2" s="2235"/>
      <c r="SER2" s="2235"/>
      <c r="SES2" s="2235"/>
      <c r="SET2" s="2235"/>
      <c r="SEU2" s="2235"/>
      <c r="SEV2" s="2235"/>
      <c r="SEW2" s="2235"/>
      <c r="SEX2" s="2235"/>
      <c r="SEY2" s="2235"/>
      <c r="SEZ2" s="2235"/>
      <c r="SFA2" s="2235"/>
      <c r="SFB2" s="2235"/>
      <c r="SFC2" s="2235"/>
      <c r="SFD2" s="2235"/>
      <c r="SFE2" s="2235"/>
      <c r="SFF2" s="2235"/>
      <c r="SFG2" s="2235"/>
      <c r="SFH2" s="2235"/>
      <c r="SFI2" s="2235"/>
      <c r="SFJ2" s="2235"/>
      <c r="SFK2" s="2235"/>
      <c r="SFL2" s="2235"/>
      <c r="SFM2" s="2235"/>
      <c r="SFN2" s="2235"/>
      <c r="SFO2" s="2235"/>
      <c r="SFP2" s="2235"/>
      <c r="SFQ2" s="2235"/>
      <c r="SFR2" s="2235"/>
      <c r="SFS2" s="2235"/>
      <c r="SFT2" s="2235"/>
      <c r="SFU2" s="2235"/>
      <c r="SFV2" s="2235"/>
      <c r="SFW2" s="2235"/>
      <c r="SFX2" s="2235"/>
      <c r="SFY2" s="2235"/>
      <c r="SFZ2" s="2235"/>
      <c r="SGA2" s="2235"/>
      <c r="SGB2" s="2235"/>
      <c r="SGC2" s="2235"/>
      <c r="SGD2" s="2235"/>
      <c r="SGE2" s="2235"/>
      <c r="SGF2" s="2235"/>
      <c r="SGG2" s="2235"/>
      <c r="SGH2" s="2235"/>
      <c r="SGI2" s="2235"/>
      <c r="SGJ2" s="2235"/>
      <c r="SGK2" s="2235"/>
      <c r="SGL2" s="2235"/>
      <c r="SGM2" s="2235"/>
      <c r="SGN2" s="2235"/>
      <c r="SGO2" s="2235"/>
      <c r="SGP2" s="2235"/>
      <c r="SGQ2" s="2235"/>
      <c r="SGR2" s="2235"/>
      <c r="SGS2" s="2235"/>
      <c r="SGT2" s="2235"/>
      <c r="SGU2" s="2235"/>
      <c r="SGV2" s="2235"/>
      <c r="SGW2" s="2235"/>
      <c r="SGX2" s="2235"/>
      <c r="SGY2" s="2235"/>
      <c r="SGZ2" s="2235"/>
      <c r="SHA2" s="2235"/>
      <c r="SHB2" s="2235"/>
      <c r="SHC2" s="2235"/>
      <c r="SHD2" s="2235"/>
      <c r="SHE2" s="2235"/>
      <c r="SHF2" s="2235"/>
      <c r="SHG2" s="2235"/>
      <c r="SHH2" s="2235"/>
      <c r="SHI2" s="2235"/>
      <c r="SHJ2" s="2235"/>
      <c r="SHK2" s="2235"/>
      <c r="SHL2" s="2235"/>
      <c r="SHM2" s="2235"/>
      <c r="SHN2" s="2235"/>
      <c r="SHO2" s="2235"/>
      <c r="SHP2" s="2235"/>
      <c r="SHQ2" s="2235"/>
      <c r="SHR2" s="2235"/>
      <c r="SHS2" s="2235"/>
      <c r="SHT2" s="2235"/>
      <c r="SHU2" s="2235"/>
      <c r="SHV2" s="2235"/>
      <c r="SHW2" s="2235"/>
      <c r="SHX2" s="2235"/>
      <c r="SHY2" s="2235"/>
      <c r="SHZ2" s="2235"/>
      <c r="SIA2" s="2235"/>
      <c r="SIB2" s="2235"/>
      <c r="SIC2" s="2235"/>
      <c r="SID2" s="2235"/>
      <c r="SIE2" s="2235"/>
      <c r="SIF2" s="2235"/>
      <c r="SIG2" s="2235"/>
      <c r="SIH2" s="2235"/>
      <c r="SII2" s="2235"/>
      <c r="SIJ2" s="2235"/>
      <c r="SIK2" s="2235"/>
      <c r="SIL2" s="2235"/>
      <c r="SIM2" s="2235"/>
      <c r="SIN2" s="2235"/>
      <c r="SIO2" s="2235"/>
      <c r="SIP2" s="2235"/>
      <c r="SIQ2" s="2235"/>
      <c r="SIR2" s="2235"/>
      <c r="SIS2" s="2235"/>
      <c r="SIT2" s="2235"/>
      <c r="SIU2" s="2235"/>
      <c r="SIV2" s="2235"/>
      <c r="SIW2" s="2235"/>
      <c r="SIX2" s="2235"/>
      <c r="SIY2" s="2235"/>
      <c r="SIZ2" s="2235"/>
      <c r="SJA2" s="2235"/>
      <c r="SJB2" s="2235"/>
      <c r="SJC2" s="2235"/>
      <c r="SJD2" s="2235"/>
      <c r="SJE2" s="2235"/>
      <c r="SJF2" s="2235"/>
      <c r="SJG2" s="2235"/>
      <c r="SJH2" s="2235"/>
      <c r="SJI2" s="2235"/>
      <c r="SJJ2" s="2235"/>
      <c r="SJK2" s="2235"/>
      <c r="SJL2" s="2235"/>
      <c r="SJM2" s="2235"/>
      <c r="SJN2" s="2235"/>
      <c r="SJO2" s="2235"/>
      <c r="SJP2" s="2235"/>
      <c r="SJQ2" s="2235"/>
      <c r="SJR2" s="2235"/>
      <c r="SJS2" s="2235"/>
      <c r="SJT2" s="2235"/>
      <c r="SJU2" s="2235"/>
      <c r="SJV2" s="2235"/>
      <c r="SJW2" s="2235"/>
      <c r="SJX2" s="2235"/>
      <c r="SJY2" s="2235"/>
      <c r="SJZ2" s="2235"/>
      <c r="SKA2" s="2235"/>
      <c r="SKB2" s="2235"/>
      <c r="SKC2" s="2235"/>
      <c r="SKD2" s="2235"/>
      <c r="SKE2" s="2235"/>
      <c r="SKF2" s="2235"/>
      <c r="SKG2" s="2235"/>
      <c r="SKH2" s="2235"/>
      <c r="SKI2" s="2235"/>
      <c r="SKJ2" s="2235"/>
      <c r="SKK2" s="2235"/>
      <c r="SKL2" s="2235"/>
      <c r="SKM2" s="2235"/>
      <c r="SKN2" s="2235"/>
      <c r="SKO2" s="2235"/>
      <c r="SKP2" s="2235"/>
      <c r="SKQ2" s="2235"/>
      <c r="SKR2" s="2235"/>
      <c r="SKS2" s="2235"/>
      <c r="SKT2" s="2235"/>
      <c r="SKU2" s="2235"/>
      <c r="SKV2" s="2235"/>
      <c r="SKW2" s="2235"/>
      <c r="SKX2" s="2235"/>
      <c r="SKY2" s="2235"/>
      <c r="SKZ2" s="2235"/>
      <c r="SLA2" s="2235"/>
      <c r="SLB2" s="2235"/>
      <c r="SLC2" s="2235"/>
      <c r="SLD2" s="2235"/>
      <c r="SLE2" s="2235"/>
      <c r="SLF2" s="2235"/>
      <c r="SLG2" s="2235"/>
      <c r="SLH2" s="2235"/>
      <c r="SLI2" s="2235"/>
      <c r="SLJ2" s="2235"/>
      <c r="SLK2" s="2235"/>
      <c r="SLL2" s="2235"/>
      <c r="SLM2" s="2235"/>
      <c r="SLN2" s="2235"/>
      <c r="SLO2" s="2235"/>
      <c r="SLP2" s="2235"/>
      <c r="SLQ2" s="2235"/>
      <c r="SLR2" s="2235"/>
      <c r="SLS2" s="2235"/>
      <c r="SLT2" s="2235"/>
      <c r="SLU2" s="2235"/>
      <c r="SLV2" s="2235"/>
      <c r="SLW2" s="2235"/>
      <c r="SLX2" s="2235"/>
      <c r="SLY2" s="2235"/>
      <c r="SLZ2" s="2235"/>
      <c r="SMA2" s="2235"/>
      <c r="SMB2" s="2235"/>
      <c r="SMC2" s="2235"/>
      <c r="SMD2" s="2235"/>
      <c r="SME2" s="2235"/>
      <c r="SMF2" s="2235"/>
      <c r="SMG2" s="2235"/>
      <c r="SMH2" s="2235"/>
      <c r="SMI2" s="2235"/>
      <c r="SMJ2" s="2235"/>
      <c r="SMK2" s="2235"/>
      <c r="SML2" s="2235"/>
      <c r="SMM2" s="2235"/>
      <c r="SMN2" s="2235"/>
      <c r="SMO2" s="2235"/>
      <c r="SMP2" s="2235"/>
      <c r="SMQ2" s="2235"/>
      <c r="SMR2" s="2235"/>
      <c r="SMS2" s="2235"/>
      <c r="SMT2" s="2235"/>
      <c r="SMU2" s="2235"/>
      <c r="SMV2" s="2235"/>
      <c r="SMW2" s="2235"/>
      <c r="SMX2" s="2235"/>
      <c r="SMY2" s="2235"/>
      <c r="SMZ2" s="2235"/>
      <c r="SNA2" s="2235"/>
      <c r="SNB2" s="2235"/>
      <c r="SNC2" s="2235"/>
      <c r="SND2" s="2235"/>
      <c r="SNE2" s="2235"/>
      <c r="SNF2" s="2235"/>
      <c r="SNG2" s="2235"/>
      <c r="SNH2" s="2235"/>
      <c r="SNI2" s="2235"/>
      <c r="SNJ2" s="2235"/>
      <c r="SNK2" s="2235"/>
      <c r="SNL2" s="2235"/>
      <c r="SNM2" s="2235"/>
      <c r="SNN2" s="2235"/>
      <c r="SNO2" s="2235"/>
      <c r="SNP2" s="2235"/>
      <c r="SNQ2" s="2235"/>
      <c r="SNR2" s="2235"/>
      <c r="SNS2" s="2235"/>
      <c r="SNT2" s="2235"/>
      <c r="SNU2" s="2235"/>
      <c r="SNV2" s="2235"/>
      <c r="SNW2" s="2235"/>
      <c r="SNX2" s="2235"/>
      <c r="SNY2" s="2235"/>
      <c r="SNZ2" s="2235"/>
      <c r="SOA2" s="2235"/>
      <c r="SOB2" s="2235"/>
      <c r="SOC2" s="2235"/>
      <c r="SOD2" s="2235"/>
      <c r="SOE2" s="2235"/>
      <c r="SOF2" s="2235"/>
      <c r="SOG2" s="2235"/>
      <c r="SOH2" s="2235"/>
      <c r="SOI2" s="2235"/>
      <c r="SOJ2" s="2235"/>
      <c r="SOK2" s="2235"/>
      <c r="SOL2" s="2235"/>
      <c r="SOM2" s="2235"/>
      <c r="SON2" s="2235"/>
      <c r="SOO2" s="2235"/>
      <c r="SOP2" s="2235"/>
      <c r="SOQ2" s="2235"/>
      <c r="SOR2" s="2235"/>
      <c r="SOS2" s="2235"/>
      <c r="SOT2" s="2235"/>
      <c r="SOU2" s="2235"/>
      <c r="SOV2" s="2235"/>
      <c r="SOW2" s="2235"/>
      <c r="SOX2" s="2235"/>
      <c r="SOY2" s="2235"/>
      <c r="SOZ2" s="2235"/>
      <c r="SPA2" s="2235"/>
      <c r="SPB2" s="2235"/>
      <c r="SPC2" s="2235"/>
      <c r="SPD2" s="2235"/>
      <c r="SPE2" s="2235"/>
      <c r="SPF2" s="2235"/>
      <c r="SPG2" s="2235"/>
      <c r="SPH2" s="2235"/>
      <c r="SPI2" s="2235"/>
      <c r="SPJ2" s="2235"/>
      <c r="SPK2" s="2235"/>
      <c r="SPL2" s="2235"/>
      <c r="SPM2" s="2235"/>
      <c r="SPN2" s="2235"/>
      <c r="SPO2" s="2235"/>
      <c r="SPP2" s="2235"/>
      <c r="SPQ2" s="2235"/>
      <c r="SPR2" s="2235"/>
      <c r="SPS2" s="2235"/>
      <c r="SPT2" s="2235"/>
      <c r="SPU2" s="2235"/>
      <c r="SPV2" s="2235"/>
      <c r="SPW2" s="2235"/>
      <c r="SPX2" s="2235"/>
      <c r="SPY2" s="2235"/>
      <c r="SPZ2" s="2235"/>
      <c r="SQA2" s="2235"/>
      <c r="SQB2" s="2235"/>
      <c r="SQC2" s="2235"/>
      <c r="SQD2" s="2235"/>
      <c r="SQE2" s="2235"/>
      <c r="SQF2" s="2235"/>
      <c r="SQG2" s="2235"/>
      <c r="SQH2" s="2235"/>
      <c r="SQI2" s="2235"/>
      <c r="SQJ2" s="2235"/>
      <c r="SQK2" s="2235"/>
      <c r="SQL2" s="2235"/>
      <c r="SQM2" s="2235"/>
      <c r="SQN2" s="2235"/>
      <c r="SQO2" s="2235"/>
      <c r="SQP2" s="2235"/>
      <c r="SQQ2" s="2235"/>
      <c r="SQR2" s="2235"/>
      <c r="SQS2" s="2235"/>
      <c r="SQT2" s="2235"/>
      <c r="SQU2" s="2235"/>
      <c r="SQV2" s="2235"/>
      <c r="SQW2" s="2235"/>
      <c r="SQX2" s="2235"/>
      <c r="SQY2" s="2235"/>
      <c r="SQZ2" s="2235"/>
      <c r="SRA2" s="2235"/>
      <c r="SRB2" s="2235"/>
      <c r="SRC2" s="2235"/>
      <c r="SRD2" s="2235"/>
      <c r="SRE2" s="2235"/>
      <c r="SRF2" s="2235"/>
      <c r="SRG2" s="2235"/>
      <c r="SRH2" s="2235"/>
      <c r="SRI2" s="2235"/>
      <c r="SRJ2" s="2235"/>
      <c r="SRK2" s="2235"/>
      <c r="SRL2" s="2235"/>
      <c r="SRM2" s="2235"/>
      <c r="SRN2" s="2235"/>
      <c r="SRO2" s="2235"/>
      <c r="SRP2" s="2235"/>
      <c r="SRQ2" s="2235"/>
      <c r="SRR2" s="2235"/>
      <c r="SRS2" s="2235"/>
      <c r="SRT2" s="2235"/>
      <c r="SRU2" s="2235"/>
      <c r="SRV2" s="2235"/>
      <c r="SRW2" s="2235"/>
      <c r="SRX2" s="2235"/>
      <c r="SRY2" s="2235"/>
      <c r="SRZ2" s="2235"/>
      <c r="SSA2" s="2235"/>
      <c r="SSB2" s="2235"/>
      <c r="SSC2" s="2235"/>
      <c r="SSD2" s="2235"/>
      <c r="SSE2" s="2235"/>
      <c r="SSF2" s="2235"/>
      <c r="SSG2" s="2235"/>
      <c r="SSH2" s="2235"/>
      <c r="SSI2" s="2235"/>
      <c r="SSJ2" s="2235"/>
      <c r="SSK2" s="2235"/>
      <c r="SSL2" s="2235"/>
      <c r="SSM2" s="2235"/>
      <c r="SSN2" s="2235"/>
      <c r="SSO2" s="2235"/>
      <c r="SSP2" s="2235"/>
      <c r="SSQ2" s="2235"/>
      <c r="SSR2" s="2235"/>
      <c r="SSS2" s="2235"/>
      <c r="SST2" s="2235"/>
      <c r="SSU2" s="2235"/>
      <c r="SSV2" s="2235"/>
      <c r="SSW2" s="2235"/>
      <c r="SSX2" s="2235"/>
      <c r="SSY2" s="2235"/>
      <c r="SSZ2" s="2235"/>
      <c r="STA2" s="2235"/>
      <c r="STB2" s="2235"/>
      <c r="STC2" s="2235"/>
      <c r="STD2" s="2235"/>
      <c r="STE2" s="2235"/>
      <c r="STF2" s="2235"/>
      <c r="STG2" s="2235"/>
      <c r="STH2" s="2235"/>
      <c r="STI2" s="2235"/>
      <c r="STJ2" s="2235"/>
      <c r="STK2" s="2235"/>
      <c r="STL2" s="2235"/>
      <c r="STM2" s="2235"/>
      <c r="STN2" s="2235"/>
      <c r="STO2" s="2235"/>
      <c r="STP2" s="2235"/>
      <c r="STQ2" s="2235"/>
      <c r="STR2" s="2235"/>
      <c r="STS2" s="2235"/>
      <c r="STT2" s="2235"/>
      <c r="STU2" s="2235"/>
      <c r="STV2" s="2235"/>
      <c r="STW2" s="2235"/>
      <c r="STX2" s="2235"/>
      <c r="STY2" s="2235"/>
      <c r="STZ2" s="2235"/>
      <c r="SUA2" s="2235"/>
      <c r="SUB2" s="2235"/>
      <c r="SUC2" s="2235"/>
      <c r="SUD2" s="2235"/>
      <c r="SUE2" s="2235"/>
      <c r="SUF2" s="2235"/>
      <c r="SUG2" s="2235"/>
      <c r="SUH2" s="2235"/>
      <c r="SUI2" s="2235"/>
      <c r="SUJ2" s="2235"/>
      <c r="SUK2" s="2235"/>
      <c r="SUL2" s="2235"/>
      <c r="SUM2" s="2235"/>
      <c r="SUN2" s="2235"/>
      <c r="SUO2" s="2235"/>
      <c r="SUP2" s="2235"/>
      <c r="SUQ2" s="2235"/>
      <c r="SUR2" s="2235"/>
      <c r="SUS2" s="2235"/>
      <c r="SUT2" s="2235"/>
      <c r="SUU2" s="2235"/>
      <c r="SUV2" s="2235"/>
      <c r="SUW2" s="2235"/>
      <c r="SUX2" s="2235"/>
      <c r="SUY2" s="2235"/>
      <c r="SUZ2" s="2235"/>
      <c r="SVA2" s="2235"/>
      <c r="SVB2" s="2235"/>
      <c r="SVC2" s="2235"/>
      <c r="SVD2" s="2235"/>
      <c r="SVE2" s="2235"/>
      <c r="SVF2" s="2235"/>
      <c r="SVG2" s="2235"/>
      <c r="SVH2" s="2235"/>
      <c r="SVI2" s="2235"/>
      <c r="SVJ2" s="2235"/>
      <c r="SVK2" s="2235"/>
      <c r="SVL2" s="2235"/>
      <c r="SVM2" s="2235"/>
      <c r="SVN2" s="2235"/>
      <c r="SVO2" s="2235"/>
      <c r="SVP2" s="2235"/>
      <c r="SVQ2" s="2235"/>
      <c r="SVR2" s="2235"/>
      <c r="SVS2" s="2235"/>
      <c r="SVT2" s="2235"/>
      <c r="SVU2" s="2235"/>
      <c r="SVV2" s="2235"/>
      <c r="SVW2" s="2235"/>
      <c r="SVX2" s="2235"/>
      <c r="SVY2" s="2235"/>
      <c r="SVZ2" s="2235"/>
      <c r="SWA2" s="2235"/>
      <c r="SWB2" s="2235"/>
      <c r="SWC2" s="2235"/>
      <c r="SWD2" s="2235"/>
      <c r="SWE2" s="2235"/>
      <c r="SWF2" s="2235"/>
      <c r="SWG2" s="2235"/>
      <c r="SWH2" s="2235"/>
      <c r="SWI2" s="2235"/>
      <c r="SWJ2" s="2235"/>
      <c r="SWK2" s="2235"/>
      <c r="SWL2" s="2235"/>
      <c r="SWM2" s="2235"/>
      <c r="SWN2" s="2235"/>
      <c r="SWO2" s="2235"/>
      <c r="SWP2" s="2235"/>
      <c r="SWQ2" s="2235"/>
      <c r="SWR2" s="2235"/>
      <c r="SWS2" s="2235"/>
      <c r="SWT2" s="2235"/>
      <c r="SWU2" s="2235"/>
      <c r="SWV2" s="2235"/>
      <c r="SWW2" s="2235"/>
      <c r="SWX2" s="2235"/>
      <c r="SWY2" s="2235"/>
      <c r="SWZ2" s="2235"/>
      <c r="SXA2" s="2235"/>
      <c r="SXB2" s="2235"/>
      <c r="SXC2" s="2235"/>
      <c r="SXD2" s="2235"/>
      <c r="SXE2" s="2235"/>
      <c r="SXF2" s="2235"/>
      <c r="SXG2" s="2235"/>
      <c r="SXH2" s="2235"/>
      <c r="SXI2" s="2235"/>
      <c r="SXJ2" s="2235"/>
      <c r="SXK2" s="2235"/>
      <c r="SXL2" s="2235"/>
      <c r="SXM2" s="2235"/>
      <c r="SXN2" s="2235"/>
      <c r="SXO2" s="2235"/>
      <c r="SXP2" s="2235"/>
      <c r="SXQ2" s="2235"/>
      <c r="SXR2" s="2235"/>
      <c r="SXS2" s="2235"/>
      <c r="SXT2" s="2235"/>
      <c r="SXU2" s="2235"/>
      <c r="SXV2" s="2235"/>
      <c r="SXW2" s="2235"/>
      <c r="SXX2" s="2235"/>
      <c r="SXY2" s="2235"/>
      <c r="SXZ2" s="2235"/>
      <c r="SYA2" s="2235"/>
      <c r="SYB2" s="2235"/>
      <c r="SYC2" s="2235"/>
      <c r="SYD2" s="2235"/>
      <c r="SYE2" s="2235"/>
      <c r="SYF2" s="2235"/>
      <c r="SYG2" s="2235"/>
      <c r="SYH2" s="2235"/>
      <c r="SYI2" s="2235"/>
      <c r="SYJ2" s="2235"/>
      <c r="SYK2" s="2235"/>
      <c r="SYL2" s="2235"/>
      <c r="SYM2" s="2235"/>
      <c r="SYN2" s="2235"/>
      <c r="SYO2" s="2235"/>
      <c r="SYP2" s="2235"/>
      <c r="SYQ2" s="2235"/>
      <c r="SYR2" s="2235"/>
      <c r="SYS2" s="2235"/>
      <c r="SYT2" s="2235"/>
      <c r="SYU2" s="2235"/>
      <c r="SYV2" s="2235"/>
      <c r="SYW2" s="2235"/>
      <c r="SYX2" s="2235"/>
      <c r="SYY2" s="2235"/>
      <c r="SYZ2" s="2235"/>
      <c r="SZA2" s="2235"/>
      <c r="SZB2" s="2235"/>
      <c r="SZC2" s="2235"/>
      <c r="SZD2" s="2235"/>
      <c r="SZE2" s="2235"/>
      <c r="SZF2" s="2235"/>
      <c r="SZG2" s="2235"/>
      <c r="SZH2" s="2235"/>
      <c r="SZI2" s="2235"/>
      <c r="SZJ2" s="2235"/>
      <c r="SZK2" s="2235"/>
      <c r="SZL2" s="2235"/>
      <c r="SZM2" s="2235"/>
      <c r="SZN2" s="2235"/>
      <c r="SZO2" s="2235"/>
      <c r="SZP2" s="2235"/>
      <c r="SZQ2" s="2235"/>
      <c r="SZR2" s="2235"/>
      <c r="SZS2" s="2235"/>
      <c r="SZT2" s="2235"/>
      <c r="SZU2" s="2235"/>
      <c r="SZV2" s="2235"/>
      <c r="SZW2" s="2235"/>
      <c r="SZX2" s="2235"/>
      <c r="SZY2" s="2235"/>
      <c r="SZZ2" s="2235"/>
      <c r="TAA2" s="2235"/>
      <c r="TAB2" s="2235"/>
      <c r="TAC2" s="2235"/>
      <c r="TAD2" s="2235"/>
      <c r="TAE2" s="2235"/>
      <c r="TAF2" s="2235"/>
      <c r="TAG2" s="2235"/>
      <c r="TAH2" s="2235"/>
      <c r="TAI2" s="2235"/>
      <c r="TAJ2" s="2235"/>
      <c r="TAK2" s="2235"/>
      <c r="TAL2" s="2235"/>
      <c r="TAM2" s="2235"/>
      <c r="TAN2" s="2235"/>
      <c r="TAO2" s="2235"/>
      <c r="TAP2" s="2235"/>
      <c r="TAQ2" s="2235"/>
      <c r="TAR2" s="2235"/>
      <c r="TAS2" s="2235"/>
      <c r="TAT2" s="2235"/>
      <c r="TAU2" s="2235"/>
      <c r="TAV2" s="2235"/>
      <c r="TAW2" s="2235"/>
      <c r="TAX2" s="2235"/>
      <c r="TAY2" s="2235"/>
      <c r="TAZ2" s="2235"/>
      <c r="TBA2" s="2235"/>
      <c r="TBB2" s="2235"/>
      <c r="TBC2" s="2235"/>
      <c r="TBD2" s="2235"/>
      <c r="TBE2" s="2235"/>
      <c r="TBF2" s="2235"/>
      <c r="TBG2" s="2235"/>
      <c r="TBH2" s="2235"/>
      <c r="TBI2" s="2235"/>
      <c r="TBJ2" s="2235"/>
      <c r="TBK2" s="2235"/>
      <c r="TBL2" s="2235"/>
      <c r="TBM2" s="2235"/>
      <c r="TBN2" s="2235"/>
      <c r="TBO2" s="2235"/>
      <c r="TBP2" s="2235"/>
      <c r="TBQ2" s="2235"/>
      <c r="TBR2" s="2235"/>
      <c r="TBS2" s="2235"/>
      <c r="TBT2" s="2235"/>
      <c r="TBU2" s="2235"/>
      <c r="TBV2" s="2235"/>
      <c r="TBW2" s="2235"/>
      <c r="TBX2" s="2235"/>
      <c r="TBY2" s="2235"/>
      <c r="TBZ2" s="2235"/>
      <c r="TCA2" s="2235"/>
      <c r="TCB2" s="2235"/>
      <c r="TCC2" s="2235"/>
      <c r="TCD2" s="2235"/>
      <c r="TCE2" s="2235"/>
      <c r="TCF2" s="2235"/>
      <c r="TCG2" s="2235"/>
      <c r="TCH2" s="2235"/>
      <c r="TCI2" s="2235"/>
      <c r="TCJ2" s="2235"/>
      <c r="TCK2" s="2235"/>
      <c r="TCL2" s="2235"/>
      <c r="TCM2" s="2235"/>
      <c r="TCN2" s="2235"/>
      <c r="TCO2" s="2235"/>
      <c r="TCP2" s="2235"/>
      <c r="TCQ2" s="2235"/>
      <c r="TCR2" s="2235"/>
      <c r="TCS2" s="2235"/>
      <c r="TCT2" s="2235"/>
      <c r="TCU2" s="2235"/>
      <c r="TCV2" s="2235"/>
      <c r="TCW2" s="2235"/>
      <c r="TCX2" s="2235"/>
      <c r="TCY2" s="2235"/>
      <c r="TCZ2" s="2235"/>
      <c r="TDA2" s="2235"/>
      <c r="TDB2" s="2235"/>
      <c r="TDC2" s="2235"/>
      <c r="TDD2" s="2235"/>
      <c r="TDE2" s="2235"/>
      <c r="TDF2" s="2235"/>
      <c r="TDG2" s="2235"/>
      <c r="TDH2" s="2235"/>
      <c r="TDI2" s="2235"/>
      <c r="TDJ2" s="2235"/>
      <c r="TDK2" s="2235"/>
      <c r="TDL2" s="2235"/>
      <c r="TDM2" s="2235"/>
      <c r="TDN2" s="2235"/>
      <c r="TDO2" s="2235"/>
      <c r="TDP2" s="2235"/>
      <c r="TDQ2" s="2235"/>
      <c r="TDR2" s="2235"/>
      <c r="TDS2" s="2235"/>
      <c r="TDT2" s="2235"/>
      <c r="TDU2" s="2235"/>
      <c r="TDV2" s="2235"/>
      <c r="TDW2" s="2235"/>
      <c r="TDX2" s="2235"/>
      <c r="TDY2" s="2235"/>
      <c r="TDZ2" s="2235"/>
      <c r="TEA2" s="2235"/>
      <c r="TEB2" s="2235"/>
      <c r="TEC2" s="2235"/>
      <c r="TED2" s="2235"/>
      <c r="TEE2" s="2235"/>
      <c r="TEF2" s="2235"/>
      <c r="TEG2" s="2235"/>
      <c r="TEH2" s="2235"/>
      <c r="TEI2" s="2235"/>
      <c r="TEJ2" s="2235"/>
      <c r="TEK2" s="2235"/>
      <c r="TEL2" s="2235"/>
      <c r="TEM2" s="2235"/>
      <c r="TEN2" s="2235"/>
      <c r="TEO2" s="2235"/>
      <c r="TEP2" s="2235"/>
      <c r="TEQ2" s="2235"/>
      <c r="TER2" s="2235"/>
      <c r="TES2" s="2235"/>
      <c r="TET2" s="2235"/>
      <c r="TEU2" s="2235"/>
      <c r="TEV2" s="2235"/>
      <c r="TEW2" s="2235"/>
      <c r="TEX2" s="2235"/>
      <c r="TEY2" s="2235"/>
      <c r="TEZ2" s="2235"/>
      <c r="TFA2" s="2235"/>
      <c r="TFB2" s="2235"/>
      <c r="TFC2" s="2235"/>
      <c r="TFD2" s="2235"/>
      <c r="TFE2" s="2235"/>
      <c r="TFF2" s="2235"/>
      <c r="TFG2" s="2235"/>
      <c r="TFH2" s="2235"/>
      <c r="TFI2" s="2235"/>
      <c r="TFJ2" s="2235"/>
      <c r="TFK2" s="2235"/>
      <c r="TFL2" s="2235"/>
      <c r="TFM2" s="2235"/>
      <c r="TFN2" s="2235"/>
      <c r="TFO2" s="2235"/>
      <c r="TFP2" s="2235"/>
      <c r="TFQ2" s="2235"/>
      <c r="TFR2" s="2235"/>
      <c r="TFS2" s="2235"/>
      <c r="TFT2" s="2235"/>
      <c r="TFU2" s="2235"/>
      <c r="TFV2" s="2235"/>
      <c r="TFW2" s="2235"/>
      <c r="TFX2" s="2235"/>
      <c r="TFY2" s="2235"/>
      <c r="TFZ2" s="2235"/>
      <c r="TGA2" s="2235"/>
      <c r="TGB2" s="2235"/>
      <c r="TGC2" s="2235"/>
      <c r="TGD2" s="2235"/>
      <c r="TGE2" s="2235"/>
      <c r="TGF2" s="2235"/>
      <c r="TGG2" s="2235"/>
      <c r="TGH2" s="2235"/>
      <c r="TGI2" s="2235"/>
      <c r="TGJ2" s="2235"/>
      <c r="TGK2" s="2235"/>
      <c r="TGL2" s="2235"/>
      <c r="TGM2" s="2235"/>
      <c r="TGN2" s="2235"/>
      <c r="TGO2" s="2235"/>
      <c r="TGP2" s="2235"/>
      <c r="TGQ2" s="2235"/>
      <c r="TGR2" s="2235"/>
      <c r="TGS2" s="2235"/>
      <c r="TGT2" s="2235"/>
      <c r="TGU2" s="2235"/>
      <c r="TGV2" s="2235"/>
      <c r="TGW2" s="2235"/>
      <c r="TGX2" s="2235"/>
      <c r="TGY2" s="2235"/>
      <c r="TGZ2" s="2235"/>
      <c r="THA2" s="2235"/>
      <c r="THB2" s="2235"/>
      <c r="THC2" s="2235"/>
      <c r="THD2" s="2235"/>
      <c r="THE2" s="2235"/>
      <c r="THF2" s="2235"/>
      <c r="THG2" s="2235"/>
      <c r="THH2" s="2235"/>
      <c r="THI2" s="2235"/>
      <c r="THJ2" s="2235"/>
      <c r="THK2" s="2235"/>
      <c r="THL2" s="2235"/>
      <c r="THM2" s="2235"/>
      <c r="THN2" s="2235"/>
      <c r="THO2" s="2235"/>
      <c r="THP2" s="2235"/>
      <c r="THQ2" s="2235"/>
      <c r="THR2" s="2235"/>
      <c r="THS2" s="2235"/>
      <c r="THT2" s="2235"/>
      <c r="THU2" s="2235"/>
      <c r="THV2" s="2235"/>
      <c r="THW2" s="2235"/>
      <c r="THX2" s="2235"/>
      <c r="THY2" s="2235"/>
      <c r="THZ2" s="2235"/>
      <c r="TIA2" s="2235"/>
      <c r="TIB2" s="2235"/>
      <c r="TIC2" s="2235"/>
      <c r="TID2" s="2235"/>
      <c r="TIE2" s="2235"/>
      <c r="TIF2" s="2235"/>
      <c r="TIG2" s="2235"/>
      <c r="TIH2" s="2235"/>
      <c r="TII2" s="2235"/>
      <c r="TIJ2" s="2235"/>
      <c r="TIK2" s="2235"/>
      <c r="TIL2" s="2235"/>
      <c r="TIM2" s="2235"/>
      <c r="TIN2" s="2235"/>
      <c r="TIO2" s="2235"/>
      <c r="TIP2" s="2235"/>
      <c r="TIQ2" s="2235"/>
      <c r="TIR2" s="2235"/>
      <c r="TIS2" s="2235"/>
      <c r="TIT2" s="2235"/>
      <c r="TIU2" s="2235"/>
      <c r="TIV2" s="2235"/>
      <c r="TIW2" s="2235"/>
      <c r="TIX2" s="2235"/>
      <c r="TIY2" s="2235"/>
      <c r="TIZ2" s="2235"/>
      <c r="TJA2" s="2235"/>
      <c r="TJB2" s="2235"/>
      <c r="TJC2" s="2235"/>
      <c r="TJD2" s="2235"/>
      <c r="TJE2" s="2235"/>
      <c r="TJF2" s="2235"/>
      <c r="TJG2" s="2235"/>
      <c r="TJH2" s="2235"/>
      <c r="TJI2" s="2235"/>
      <c r="TJJ2" s="2235"/>
      <c r="TJK2" s="2235"/>
      <c r="TJL2" s="2235"/>
      <c r="TJM2" s="2235"/>
      <c r="TJN2" s="2235"/>
      <c r="TJO2" s="2235"/>
      <c r="TJP2" s="2235"/>
      <c r="TJQ2" s="2235"/>
      <c r="TJR2" s="2235"/>
      <c r="TJS2" s="2235"/>
      <c r="TJT2" s="2235"/>
      <c r="TJU2" s="2235"/>
      <c r="TJV2" s="2235"/>
      <c r="TJW2" s="2235"/>
      <c r="TJX2" s="2235"/>
      <c r="TJY2" s="2235"/>
      <c r="TJZ2" s="2235"/>
      <c r="TKA2" s="2235"/>
      <c r="TKB2" s="2235"/>
      <c r="TKC2" s="2235"/>
      <c r="TKD2" s="2235"/>
      <c r="TKE2" s="2235"/>
      <c r="TKF2" s="2235"/>
      <c r="TKG2" s="2235"/>
      <c r="TKH2" s="2235"/>
      <c r="TKI2" s="2235"/>
      <c r="TKJ2" s="2235"/>
      <c r="TKK2" s="2235"/>
      <c r="TKL2" s="2235"/>
      <c r="TKM2" s="2235"/>
      <c r="TKN2" s="2235"/>
      <c r="TKO2" s="2235"/>
      <c r="TKP2" s="2235"/>
      <c r="TKQ2" s="2235"/>
      <c r="TKR2" s="2235"/>
      <c r="TKS2" s="2235"/>
      <c r="TKT2" s="2235"/>
      <c r="TKU2" s="2235"/>
      <c r="TKV2" s="2235"/>
      <c r="TKW2" s="2235"/>
      <c r="TKX2" s="2235"/>
      <c r="TKY2" s="2235"/>
      <c r="TKZ2" s="2235"/>
      <c r="TLA2" s="2235"/>
      <c r="TLB2" s="2235"/>
      <c r="TLC2" s="2235"/>
      <c r="TLD2" s="2235"/>
      <c r="TLE2" s="2235"/>
      <c r="TLF2" s="2235"/>
      <c r="TLG2" s="2235"/>
      <c r="TLH2" s="2235"/>
      <c r="TLI2" s="2235"/>
      <c r="TLJ2" s="2235"/>
      <c r="TLK2" s="2235"/>
      <c r="TLL2" s="2235"/>
      <c r="TLM2" s="2235"/>
      <c r="TLN2" s="2235"/>
      <c r="TLO2" s="2235"/>
      <c r="TLP2" s="2235"/>
      <c r="TLQ2" s="2235"/>
      <c r="TLR2" s="2235"/>
      <c r="TLS2" s="2235"/>
      <c r="TLT2" s="2235"/>
      <c r="TLU2" s="2235"/>
      <c r="TLV2" s="2235"/>
      <c r="TLW2" s="2235"/>
      <c r="TLX2" s="2235"/>
      <c r="TLY2" s="2235"/>
      <c r="TLZ2" s="2235"/>
      <c r="TMA2" s="2235"/>
      <c r="TMB2" s="2235"/>
      <c r="TMC2" s="2235"/>
      <c r="TMD2" s="2235"/>
      <c r="TME2" s="2235"/>
      <c r="TMF2" s="2235"/>
      <c r="TMG2" s="2235"/>
      <c r="TMH2" s="2235"/>
      <c r="TMI2" s="2235"/>
      <c r="TMJ2" s="2235"/>
      <c r="TMK2" s="2235"/>
      <c r="TML2" s="2235"/>
      <c r="TMM2" s="2235"/>
      <c r="TMN2" s="2235"/>
      <c r="TMO2" s="2235"/>
      <c r="TMP2" s="2235"/>
      <c r="TMQ2" s="2235"/>
      <c r="TMR2" s="2235"/>
      <c r="TMS2" s="2235"/>
      <c r="TMT2" s="2235"/>
      <c r="TMU2" s="2235"/>
      <c r="TMV2" s="2235"/>
      <c r="TMW2" s="2235"/>
      <c r="TMX2" s="2235"/>
      <c r="TMY2" s="2235"/>
      <c r="TMZ2" s="2235"/>
      <c r="TNA2" s="2235"/>
      <c r="TNB2" s="2235"/>
      <c r="TNC2" s="2235"/>
      <c r="TND2" s="2235"/>
      <c r="TNE2" s="2235"/>
      <c r="TNF2" s="2235"/>
      <c r="TNG2" s="2235"/>
      <c r="TNH2" s="2235"/>
      <c r="TNI2" s="2235"/>
      <c r="TNJ2" s="2235"/>
      <c r="TNK2" s="2235"/>
      <c r="TNL2" s="2235"/>
      <c r="TNM2" s="2235"/>
      <c r="TNN2" s="2235"/>
      <c r="TNO2" s="2235"/>
      <c r="TNP2" s="2235"/>
      <c r="TNQ2" s="2235"/>
      <c r="TNR2" s="2235"/>
      <c r="TNS2" s="2235"/>
      <c r="TNT2" s="2235"/>
      <c r="TNU2" s="2235"/>
      <c r="TNV2" s="2235"/>
      <c r="TNW2" s="2235"/>
      <c r="TNX2" s="2235"/>
      <c r="TNY2" s="2235"/>
      <c r="TNZ2" s="2235"/>
      <c r="TOA2" s="2235"/>
      <c r="TOB2" s="2235"/>
      <c r="TOC2" s="2235"/>
      <c r="TOD2" s="2235"/>
      <c r="TOE2" s="2235"/>
      <c r="TOF2" s="2235"/>
      <c r="TOG2" s="2235"/>
      <c r="TOH2" s="2235"/>
      <c r="TOI2" s="2235"/>
      <c r="TOJ2" s="2235"/>
      <c r="TOK2" s="2235"/>
      <c r="TOL2" s="2235"/>
      <c r="TOM2" s="2235"/>
      <c r="TON2" s="2235"/>
      <c r="TOO2" s="2235"/>
      <c r="TOP2" s="2235"/>
      <c r="TOQ2" s="2235"/>
      <c r="TOR2" s="2235"/>
      <c r="TOS2" s="2235"/>
      <c r="TOT2" s="2235"/>
      <c r="TOU2" s="2235"/>
      <c r="TOV2" s="2235"/>
      <c r="TOW2" s="2235"/>
      <c r="TOX2" s="2235"/>
      <c r="TOY2" s="2235"/>
      <c r="TOZ2" s="2235"/>
      <c r="TPA2" s="2235"/>
      <c r="TPB2" s="2235"/>
      <c r="TPC2" s="2235"/>
      <c r="TPD2" s="2235"/>
      <c r="TPE2" s="2235"/>
      <c r="TPF2" s="2235"/>
      <c r="TPG2" s="2235"/>
      <c r="TPH2" s="2235"/>
      <c r="TPI2" s="2235"/>
      <c r="TPJ2" s="2235"/>
      <c r="TPK2" s="2235"/>
      <c r="TPL2" s="2235"/>
      <c r="TPM2" s="2235"/>
      <c r="TPN2" s="2235"/>
      <c r="TPO2" s="2235"/>
      <c r="TPP2" s="2235"/>
      <c r="TPQ2" s="2235"/>
      <c r="TPR2" s="2235"/>
      <c r="TPS2" s="2235"/>
      <c r="TPT2" s="2235"/>
      <c r="TPU2" s="2235"/>
      <c r="TPV2" s="2235"/>
      <c r="TPW2" s="2235"/>
      <c r="TPX2" s="2235"/>
      <c r="TPY2" s="2235"/>
      <c r="TPZ2" s="2235"/>
      <c r="TQA2" s="2235"/>
      <c r="TQB2" s="2235"/>
      <c r="TQC2" s="2235"/>
      <c r="TQD2" s="2235"/>
      <c r="TQE2" s="2235"/>
      <c r="TQF2" s="2235"/>
      <c r="TQG2" s="2235"/>
      <c r="TQH2" s="2235"/>
      <c r="TQI2" s="2235"/>
      <c r="TQJ2" s="2235"/>
      <c r="TQK2" s="2235"/>
      <c r="TQL2" s="2235"/>
      <c r="TQM2" s="2235"/>
      <c r="TQN2" s="2235"/>
      <c r="TQO2" s="2235"/>
      <c r="TQP2" s="2235"/>
      <c r="TQQ2" s="2235"/>
      <c r="TQR2" s="2235"/>
      <c r="TQS2" s="2235"/>
      <c r="TQT2" s="2235"/>
      <c r="TQU2" s="2235"/>
      <c r="TQV2" s="2235"/>
      <c r="TQW2" s="2235"/>
      <c r="TQX2" s="2235"/>
      <c r="TQY2" s="2235"/>
      <c r="TQZ2" s="2235"/>
      <c r="TRA2" s="2235"/>
      <c r="TRB2" s="2235"/>
      <c r="TRC2" s="2235"/>
      <c r="TRD2" s="2235"/>
      <c r="TRE2" s="2235"/>
      <c r="TRF2" s="2235"/>
      <c r="TRG2" s="2235"/>
      <c r="TRH2" s="2235"/>
      <c r="TRI2" s="2235"/>
      <c r="TRJ2" s="2235"/>
      <c r="TRK2" s="2235"/>
      <c r="TRL2" s="2235"/>
      <c r="TRM2" s="2235"/>
      <c r="TRN2" s="2235"/>
      <c r="TRO2" s="2235"/>
      <c r="TRP2" s="2235"/>
      <c r="TRQ2" s="2235"/>
      <c r="TRR2" s="2235"/>
      <c r="TRS2" s="2235"/>
      <c r="TRT2" s="2235"/>
      <c r="TRU2" s="2235"/>
      <c r="TRV2" s="2235"/>
      <c r="TRW2" s="2235"/>
      <c r="TRX2" s="2235"/>
      <c r="TRY2" s="2235"/>
      <c r="TRZ2" s="2235"/>
      <c r="TSA2" s="2235"/>
      <c r="TSB2" s="2235"/>
      <c r="TSC2" s="2235"/>
      <c r="TSD2" s="2235"/>
      <c r="TSE2" s="2235"/>
      <c r="TSF2" s="2235"/>
      <c r="TSG2" s="2235"/>
      <c r="TSH2" s="2235"/>
      <c r="TSI2" s="2235"/>
      <c r="TSJ2" s="2235"/>
      <c r="TSK2" s="2235"/>
      <c r="TSL2" s="2235"/>
      <c r="TSM2" s="2235"/>
      <c r="TSN2" s="2235"/>
      <c r="TSO2" s="2235"/>
      <c r="TSP2" s="2235"/>
      <c r="TSQ2" s="2235"/>
      <c r="TSR2" s="2235"/>
      <c r="TSS2" s="2235"/>
      <c r="TST2" s="2235"/>
      <c r="TSU2" s="2235"/>
      <c r="TSV2" s="2235"/>
      <c r="TSW2" s="2235"/>
      <c r="TSX2" s="2235"/>
      <c r="TSY2" s="2235"/>
      <c r="TSZ2" s="2235"/>
      <c r="TTA2" s="2235"/>
      <c r="TTB2" s="2235"/>
      <c r="TTC2" s="2235"/>
      <c r="TTD2" s="2235"/>
      <c r="TTE2" s="2235"/>
      <c r="TTF2" s="2235"/>
      <c r="TTG2" s="2235"/>
      <c r="TTH2" s="2235"/>
      <c r="TTI2" s="2235"/>
      <c r="TTJ2" s="2235"/>
      <c r="TTK2" s="2235"/>
      <c r="TTL2" s="2235"/>
      <c r="TTM2" s="2235"/>
      <c r="TTN2" s="2235"/>
      <c r="TTO2" s="2235"/>
      <c r="TTP2" s="2235"/>
      <c r="TTQ2" s="2235"/>
      <c r="TTR2" s="2235"/>
      <c r="TTS2" s="2235"/>
      <c r="TTT2" s="2235"/>
      <c r="TTU2" s="2235"/>
      <c r="TTV2" s="2235"/>
      <c r="TTW2" s="2235"/>
      <c r="TTX2" s="2235"/>
      <c r="TTY2" s="2235"/>
      <c r="TTZ2" s="2235"/>
      <c r="TUA2" s="2235"/>
      <c r="TUB2" s="2235"/>
      <c r="TUC2" s="2235"/>
      <c r="TUD2" s="2235"/>
      <c r="TUE2" s="2235"/>
      <c r="TUF2" s="2235"/>
      <c r="TUG2" s="2235"/>
      <c r="TUH2" s="2235"/>
      <c r="TUI2" s="2235"/>
      <c r="TUJ2" s="2235"/>
      <c r="TUK2" s="2235"/>
      <c r="TUL2" s="2235"/>
      <c r="TUM2" s="2235"/>
      <c r="TUN2" s="2235"/>
      <c r="TUO2" s="2235"/>
      <c r="TUP2" s="2235"/>
      <c r="TUQ2" s="2235"/>
      <c r="TUR2" s="2235"/>
      <c r="TUS2" s="2235"/>
      <c r="TUT2" s="2235"/>
      <c r="TUU2" s="2235"/>
      <c r="TUV2" s="2235"/>
      <c r="TUW2" s="2235"/>
      <c r="TUX2" s="2235"/>
      <c r="TUY2" s="2235"/>
      <c r="TUZ2" s="2235"/>
      <c r="TVA2" s="2235"/>
      <c r="TVB2" s="2235"/>
      <c r="TVC2" s="2235"/>
      <c r="TVD2" s="2235"/>
      <c r="TVE2" s="2235"/>
      <c r="TVF2" s="2235"/>
      <c r="TVG2" s="2235"/>
      <c r="TVH2" s="2235"/>
      <c r="TVI2" s="2235"/>
      <c r="TVJ2" s="2235"/>
      <c r="TVK2" s="2235"/>
      <c r="TVL2" s="2235"/>
      <c r="TVM2" s="2235"/>
      <c r="TVN2" s="2235"/>
      <c r="TVO2" s="2235"/>
      <c r="TVP2" s="2235"/>
      <c r="TVQ2" s="2235"/>
      <c r="TVR2" s="2235"/>
      <c r="TVS2" s="2235"/>
      <c r="TVT2" s="2235"/>
      <c r="TVU2" s="2235"/>
      <c r="TVV2" s="2235"/>
      <c r="TVW2" s="2235"/>
      <c r="TVX2" s="2235"/>
      <c r="TVY2" s="2235"/>
      <c r="TVZ2" s="2235"/>
      <c r="TWA2" s="2235"/>
      <c r="TWB2" s="2235"/>
      <c r="TWC2" s="2235"/>
      <c r="TWD2" s="2235"/>
      <c r="TWE2" s="2235"/>
      <c r="TWF2" s="2235"/>
      <c r="TWG2" s="2235"/>
      <c r="TWH2" s="2235"/>
      <c r="TWI2" s="2235"/>
      <c r="TWJ2" s="2235"/>
      <c r="TWK2" s="2235"/>
      <c r="TWL2" s="2235"/>
      <c r="TWM2" s="2235"/>
      <c r="TWN2" s="2235"/>
      <c r="TWO2" s="2235"/>
      <c r="TWP2" s="2235"/>
      <c r="TWQ2" s="2235"/>
      <c r="TWR2" s="2235"/>
      <c r="TWS2" s="2235"/>
      <c r="TWT2" s="2235"/>
      <c r="TWU2" s="2235"/>
      <c r="TWV2" s="2235"/>
      <c r="TWW2" s="2235"/>
      <c r="TWX2" s="2235"/>
      <c r="TWY2" s="2235"/>
      <c r="TWZ2" s="2235"/>
      <c r="TXA2" s="2235"/>
      <c r="TXB2" s="2235"/>
      <c r="TXC2" s="2235"/>
      <c r="TXD2" s="2235"/>
      <c r="TXE2" s="2235"/>
      <c r="TXF2" s="2235"/>
      <c r="TXG2" s="2235"/>
      <c r="TXH2" s="2235"/>
      <c r="TXI2" s="2235"/>
      <c r="TXJ2" s="2235"/>
      <c r="TXK2" s="2235"/>
      <c r="TXL2" s="2235"/>
      <c r="TXM2" s="2235"/>
      <c r="TXN2" s="2235"/>
      <c r="TXO2" s="2235"/>
      <c r="TXP2" s="2235"/>
      <c r="TXQ2" s="2235"/>
      <c r="TXR2" s="2235"/>
      <c r="TXS2" s="2235"/>
      <c r="TXT2" s="2235"/>
      <c r="TXU2" s="2235"/>
      <c r="TXV2" s="2235"/>
      <c r="TXW2" s="2235"/>
      <c r="TXX2" s="2235"/>
      <c r="TXY2" s="2235"/>
      <c r="TXZ2" s="2235"/>
      <c r="TYA2" s="2235"/>
      <c r="TYB2" s="2235"/>
      <c r="TYC2" s="2235"/>
      <c r="TYD2" s="2235"/>
      <c r="TYE2" s="2235"/>
      <c r="TYF2" s="2235"/>
      <c r="TYG2" s="2235"/>
      <c r="TYH2" s="2235"/>
      <c r="TYI2" s="2235"/>
      <c r="TYJ2" s="2235"/>
      <c r="TYK2" s="2235"/>
      <c r="TYL2" s="2235"/>
      <c r="TYM2" s="2235"/>
      <c r="TYN2" s="2235"/>
      <c r="TYO2" s="2235"/>
      <c r="TYP2" s="2235"/>
      <c r="TYQ2" s="2235"/>
      <c r="TYR2" s="2235"/>
      <c r="TYS2" s="2235"/>
      <c r="TYT2" s="2235"/>
      <c r="TYU2" s="2235"/>
      <c r="TYV2" s="2235"/>
      <c r="TYW2" s="2235"/>
      <c r="TYX2" s="2235"/>
      <c r="TYY2" s="2235"/>
      <c r="TYZ2" s="2235"/>
      <c r="TZA2" s="2235"/>
      <c r="TZB2" s="2235"/>
      <c r="TZC2" s="2235"/>
      <c r="TZD2" s="2235"/>
      <c r="TZE2" s="2235"/>
      <c r="TZF2" s="2235"/>
      <c r="TZG2" s="2235"/>
      <c r="TZH2" s="2235"/>
      <c r="TZI2" s="2235"/>
      <c r="TZJ2" s="2235"/>
      <c r="TZK2" s="2235"/>
      <c r="TZL2" s="2235"/>
      <c r="TZM2" s="2235"/>
      <c r="TZN2" s="2235"/>
      <c r="TZO2" s="2235"/>
      <c r="TZP2" s="2235"/>
      <c r="TZQ2" s="2235"/>
      <c r="TZR2" s="2235"/>
      <c r="TZS2" s="2235"/>
      <c r="TZT2" s="2235"/>
      <c r="TZU2" s="2235"/>
      <c r="TZV2" s="2235"/>
      <c r="TZW2" s="2235"/>
      <c r="TZX2" s="2235"/>
      <c r="TZY2" s="2235"/>
      <c r="TZZ2" s="2235"/>
      <c r="UAA2" s="2235"/>
      <c r="UAB2" s="2235"/>
      <c r="UAC2" s="2235"/>
      <c r="UAD2" s="2235"/>
      <c r="UAE2" s="2235"/>
      <c r="UAF2" s="2235"/>
      <c r="UAG2" s="2235"/>
      <c r="UAH2" s="2235"/>
      <c r="UAI2" s="2235"/>
      <c r="UAJ2" s="2235"/>
      <c r="UAK2" s="2235"/>
      <c r="UAL2" s="2235"/>
      <c r="UAM2" s="2235"/>
      <c r="UAN2" s="2235"/>
      <c r="UAO2" s="2235"/>
      <c r="UAP2" s="2235"/>
      <c r="UAQ2" s="2235"/>
      <c r="UAR2" s="2235"/>
      <c r="UAS2" s="2235"/>
      <c r="UAT2" s="2235"/>
      <c r="UAU2" s="2235"/>
      <c r="UAV2" s="2235"/>
      <c r="UAW2" s="2235"/>
      <c r="UAX2" s="2235"/>
      <c r="UAY2" s="2235"/>
      <c r="UAZ2" s="2235"/>
      <c r="UBA2" s="2235"/>
      <c r="UBB2" s="2235"/>
      <c r="UBC2" s="2235"/>
      <c r="UBD2" s="2235"/>
      <c r="UBE2" s="2235"/>
      <c r="UBF2" s="2235"/>
      <c r="UBG2" s="2235"/>
      <c r="UBH2" s="2235"/>
      <c r="UBI2" s="2235"/>
      <c r="UBJ2" s="2235"/>
      <c r="UBK2" s="2235"/>
      <c r="UBL2" s="2235"/>
      <c r="UBM2" s="2235"/>
      <c r="UBN2" s="2235"/>
      <c r="UBO2" s="2235"/>
      <c r="UBP2" s="2235"/>
      <c r="UBQ2" s="2235"/>
      <c r="UBR2" s="2235"/>
      <c r="UBS2" s="2235"/>
      <c r="UBT2" s="2235"/>
      <c r="UBU2" s="2235"/>
      <c r="UBV2" s="2235"/>
      <c r="UBW2" s="2235"/>
      <c r="UBX2" s="2235"/>
      <c r="UBY2" s="2235"/>
      <c r="UBZ2" s="2235"/>
      <c r="UCA2" s="2235"/>
      <c r="UCB2" s="2235"/>
      <c r="UCC2" s="2235"/>
      <c r="UCD2" s="2235"/>
      <c r="UCE2" s="2235"/>
      <c r="UCF2" s="2235"/>
      <c r="UCG2" s="2235"/>
      <c r="UCH2" s="2235"/>
      <c r="UCI2" s="2235"/>
      <c r="UCJ2" s="2235"/>
      <c r="UCK2" s="2235"/>
      <c r="UCL2" s="2235"/>
      <c r="UCM2" s="2235"/>
      <c r="UCN2" s="2235"/>
      <c r="UCO2" s="2235"/>
      <c r="UCP2" s="2235"/>
      <c r="UCQ2" s="2235"/>
      <c r="UCR2" s="2235"/>
      <c r="UCS2" s="2235"/>
      <c r="UCT2" s="2235"/>
      <c r="UCU2" s="2235"/>
      <c r="UCV2" s="2235"/>
      <c r="UCW2" s="2235"/>
      <c r="UCX2" s="2235"/>
      <c r="UCY2" s="2235"/>
      <c r="UCZ2" s="2235"/>
      <c r="UDA2" s="2235"/>
      <c r="UDB2" s="2235"/>
      <c r="UDC2" s="2235"/>
      <c r="UDD2" s="2235"/>
      <c r="UDE2" s="2235"/>
      <c r="UDF2" s="2235"/>
      <c r="UDG2" s="2235"/>
      <c r="UDH2" s="2235"/>
      <c r="UDI2" s="2235"/>
      <c r="UDJ2" s="2235"/>
      <c r="UDK2" s="2235"/>
      <c r="UDL2" s="2235"/>
      <c r="UDM2" s="2235"/>
      <c r="UDN2" s="2235"/>
      <c r="UDO2" s="2235"/>
      <c r="UDP2" s="2235"/>
      <c r="UDQ2" s="2235"/>
      <c r="UDR2" s="2235"/>
      <c r="UDS2" s="2235"/>
      <c r="UDT2" s="2235"/>
      <c r="UDU2" s="2235"/>
      <c r="UDV2" s="2235"/>
      <c r="UDW2" s="2235"/>
      <c r="UDX2" s="2235"/>
      <c r="UDY2" s="2235"/>
      <c r="UDZ2" s="2235"/>
      <c r="UEA2" s="2235"/>
      <c r="UEB2" s="2235"/>
      <c r="UEC2" s="2235"/>
      <c r="UED2" s="2235"/>
      <c r="UEE2" s="2235"/>
      <c r="UEF2" s="2235"/>
      <c r="UEG2" s="2235"/>
      <c r="UEH2" s="2235"/>
      <c r="UEI2" s="2235"/>
      <c r="UEJ2" s="2235"/>
      <c r="UEK2" s="2235"/>
      <c r="UEL2" s="2235"/>
      <c r="UEM2" s="2235"/>
      <c r="UEN2" s="2235"/>
      <c r="UEO2" s="2235"/>
      <c r="UEP2" s="2235"/>
      <c r="UEQ2" s="2235"/>
      <c r="UER2" s="2235"/>
      <c r="UES2" s="2235"/>
      <c r="UET2" s="2235"/>
      <c r="UEU2" s="2235"/>
      <c r="UEV2" s="2235"/>
      <c r="UEW2" s="2235"/>
      <c r="UEX2" s="2235"/>
      <c r="UEY2" s="2235"/>
      <c r="UEZ2" s="2235"/>
      <c r="UFA2" s="2235"/>
      <c r="UFB2" s="2235"/>
      <c r="UFC2" s="2235"/>
      <c r="UFD2" s="2235"/>
      <c r="UFE2" s="2235"/>
      <c r="UFF2" s="2235"/>
      <c r="UFG2" s="2235"/>
      <c r="UFH2" s="2235"/>
      <c r="UFI2" s="2235"/>
      <c r="UFJ2" s="2235"/>
      <c r="UFK2" s="2235"/>
      <c r="UFL2" s="2235"/>
      <c r="UFM2" s="2235"/>
      <c r="UFN2" s="2235"/>
      <c r="UFO2" s="2235"/>
      <c r="UFP2" s="2235"/>
      <c r="UFQ2" s="2235"/>
      <c r="UFR2" s="2235"/>
      <c r="UFS2" s="2235"/>
      <c r="UFT2" s="2235"/>
      <c r="UFU2" s="2235"/>
      <c r="UFV2" s="2235"/>
      <c r="UFW2" s="2235"/>
      <c r="UFX2" s="2235"/>
      <c r="UFY2" s="2235"/>
      <c r="UFZ2" s="2235"/>
      <c r="UGA2" s="2235"/>
      <c r="UGB2" s="2235"/>
      <c r="UGC2" s="2235"/>
      <c r="UGD2" s="2235"/>
      <c r="UGE2" s="2235"/>
      <c r="UGF2" s="2235"/>
      <c r="UGG2" s="2235"/>
      <c r="UGH2" s="2235"/>
      <c r="UGI2" s="2235"/>
      <c r="UGJ2" s="2235"/>
      <c r="UGK2" s="2235"/>
      <c r="UGL2" s="2235"/>
      <c r="UGM2" s="2235"/>
      <c r="UGN2" s="2235"/>
      <c r="UGO2" s="2235"/>
      <c r="UGP2" s="2235"/>
      <c r="UGQ2" s="2235"/>
      <c r="UGR2" s="2235"/>
      <c r="UGS2" s="2235"/>
      <c r="UGT2" s="2235"/>
      <c r="UGU2" s="2235"/>
      <c r="UGV2" s="2235"/>
      <c r="UGW2" s="2235"/>
      <c r="UGX2" s="2235"/>
      <c r="UGY2" s="2235"/>
      <c r="UGZ2" s="2235"/>
      <c r="UHA2" s="2235"/>
      <c r="UHB2" s="2235"/>
      <c r="UHC2" s="2235"/>
      <c r="UHD2" s="2235"/>
      <c r="UHE2" s="2235"/>
      <c r="UHF2" s="2235"/>
      <c r="UHG2" s="2235"/>
      <c r="UHH2" s="2235"/>
      <c r="UHI2" s="2235"/>
      <c r="UHJ2" s="2235"/>
      <c r="UHK2" s="2235"/>
      <c r="UHL2" s="2235"/>
      <c r="UHM2" s="2235"/>
      <c r="UHN2" s="2235"/>
      <c r="UHO2" s="2235"/>
      <c r="UHP2" s="2235"/>
      <c r="UHQ2" s="2235"/>
      <c r="UHR2" s="2235"/>
      <c r="UHS2" s="2235"/>
      <c r="UHT2" s="2235"/>
      <c r="UHU2" s="2235"/>
      <c r="UHV2" s="2235"/>
      <c r="UHW2" s="2235"/>
      <c r="UHX2" s="2235"/>
      <c r="UHY2" s="2235"/>
      <c r="UHZ2" s="2235"/>
      <c r="UIA2" s="2235"/>
      <c r="UIB2" s="2235"/>
      <c r="UIC2" s="2235"/>
      <c r="UID2" s="2235"/>
      <c r="UIE2" s="2235"/>
      <c r="UIF2" s="2235"/>
      <c r="UIG2" s="2235"/>
      <c r="UIH2" s="2235"/>
      <c r="UII2" s="2235"/>
      <c r="UIJ2" s="2235"/>
      <c r="UIK2" s="2235"/>
      <c r="UIL2" s="2235"/>
      <c r="UIM2" s="2235"/>
      <c r="UIN2" s="2235"/>
      <c r="UIO2" s="2235"/>
      <c r="UIP2" s="2235"/>
      <c r="UIQ2" s="2235"/>
      <c r="UIR2" s="2235"/>
      <c r="UIS2" s="2235"/>
      <c r="UIT2" s="2235"/>
      <c r="UIU2" s="2235"/>
      <c r="UIV2" s="2235"/>
      <c r="UIW2" s="2235"/>
      <c r="UIX2" s="2235"/>
      <c r="UIY2" s="2235"/>
      <c r="UIZ2" s="2235"/>
      <c r="UJA2" s="2235"/>
      <c r="UJB2" s="2235"/>
      <c r="UJC2" s="2235"/>
      <c r="UJD2" s="2235"/>
      <c r="UJE2" s="2235"/>
      <c r="UJF2" s="2235"/>
      <c r="UJG2" s="2235"/>
      <c r="UJH2" s="2235"/>
      <c r="UJI2" s="2235"/>
      <c r="UJJ2" s="2235"/>
      <c r="UJK2" s="2235"/>
      <c r="UJL2" s="2235"/>
      <c r="UJM2" s="2235"/>
      <c r="UJN2" s="2235"/>
      <c r="UJO2" s="2235"/>
      <c r="UJP2" s="2235"/>
      <c r="UJQ2" s="2235"/>
      <c r="UJR2" s="2235"/>
      <c r="UJS2" s="2235"/>
      <c r="UJT2" s="2235"/>
      <c r="UJU2" s="2235"/>
      <c r="UJV2" s="2235"/>
      <c r="UJW2" s="2235"/>
      <c r="UJX2" s="2235"/>
      <c r="UJY2" s="2235"/>
      <c r="UJZ2" s="2235"/>
      <c r="UKA2" s="2235"/>
      <c r="UKB2" s="2235"/>
      <c r="UKC2" s="2235"/>
      <c r="UKD2" s="2235"/>
      <c r="UKE2" s="2235"/>
      <c r="UKF2" s="2235"/>
      <c r="UKG2" s="2235"/>
      <c r="UKH2" s="2235"/>
      <c r="UKI2" s="2235"/>
      <c r="UKJ2" s="2235"/>
      <c r="UKK2" s="2235"/>
      <c r="UKL2" s="2235"/>
      <c r="UKM2" s="2235"/>
      <c r="UKN2" s="2235"/>
      <c r="UKO2" s="2235"/>
      <c r="UKP2" s="2235"/>
      <c r="UKQ2" s="2235"/>
      <c r="UKR2" s="2235"/>
      <c r="UKS2" s="2235"/>
      <c r="UKT2" s="2235"/>
      <c r="UKU2" s="2235"/>
      <c r="UKV2" s="2235"/>
      <c r="UKW2" s="2235"/>
      <c r="UKX2" s="2235"/>
      <c r="UKY2" s="2235"/>
      <c r="UKZ2" s="2235"/>
      <c r="ULA2" s="2235"/>
      <c r="ULB2" s="2235"/>
      <c r="ULC2" s="2235"/>
      <c r="ULD2" s="2235"/>
      <c r="ULE2" s="2235"/>
      <c r="ULF2" s="2235"/>
      <c r="ULG2" s="2235"/>
      <c r="ULH2" s="2235"/>
      <c r="ULI2" s="2235"/>
      <c r="ULJ2" s="2235"/>
      <c r="ULK2" s="2235"/>
      <c r="ULL2" s="2235"/>
      <c r="ULM2" s="2235"/>
      <c r="ULN2" s="2235"/>
      <c r="ULO2" s="2235"/>
      <c r="ULP2" s="2235"/>
      <c r="ULQ2" s="2235"/>
      <c r="ULR2" s="2235"/>
      <c r="ULS2" s="2235"/>
      <c r="ULT2" s="2235"/>
      <c r="ULU2" s="2235"/>
      <c r="ULV2" s="2235"/>
      <c r="ULW2" s="2235"/>
      <c r="ULX2" s="2235"/>
      <c r="ULY2" s="2235"/>
      <c r="ULZ2" s="2235"/>
      <c r="UMA2" s="2235"/>
      <c r="UMB2" s="2235"/>
      <c r="UMC2" s="2235"/>
      <c r="UMD2" s="2235"/>
      <c r="UME2" s="2235"/>
      <c r="UMF2" s="2235"/>
      <c r="UMG2" s="2235"/>
      <c r="UMH2" s="2235"/>
      <c r="UMI2" s="2235"/>
      <c r="UMJ2" s="2235"/>
      <c r="UMK2" s="2235"/>
      <c r="UML2" s="2235"/>
      <c r="UMM2" s="2235"/>
      <c r="UMN2" s="2235"/>
      <c r="UMO2" s="2235"/>
      <c r="UMP2" s="2235"/>
      <c r="UMQ2" s="2235"/>
      <c r="UMR2" s="2235"/>
      <c r="UMS2" s="2235"/>
      <c r="UMT2" s="2235"/>
      <c r="UMU2" s="2235"/>
      <c r="UMV2" s="2235"/>
      <c r="UMW2" s="2235"/>
      <c r="UMX2" s="2235"/>
      <c r="UMY2" s="2235"/>
      <c r="UMZ2" s="2235"/>
      <c r="UNA2" s="2235"/>
      <c r="UNB2" s="2235"/>
      <c r="UNC2" s="2235"/>
      <c r="UND2" s="2235"/>
      <c r="UNE2" s="2235"/>
      <c r="UNF2" s="2235"/>
      <c r="UNG2" s="2235"/>
      <c r="UNH2" s="2235"/>
      <c r="UNI2" s="2235"/>
      <c r="UNJ2" s="2235"/>
      <c r="UNK2" s="2235"/>
      <c r="UNL2" s="2235"/>
      <c r="UNM2" s="2235"/>
      <c r="UNN2" s="2235"/>
      <c r="UNO2" s="2235"/>
      <c r="UNP2" s="2235"/>
      <c r="UNQ2" s="2235"/>
      <c r="UNR2" s="2235"/>
      <c r="UNS2" s="2235"/>
      <c r="UNT2" s="2235"/>
      <c r="UNU2" s="2235"/>
      <c r="UNV2" s="2235"/>
      <c r="UNW2" s="2235"/>
      <c r="UNX2" s="2235"/>
      <c r="UNY2" s="2235"/>
      <c r="UNZ2" s="2235"/>
      <c r="UOA2" s="2235"/>
      <c r="UOB2" s="2235"/>
      <c r="UOC2" s="2235"/>
      <c r="UOD2" s="2235"/>
      <c r="UOE2" s="2235"/>
      <c r="UOF2" s="2235"/>
      <c r="UOG2" s="2235"/>
      <c r="UOH2" s="2235"/>
      <c r="UOI2" s="2235"/>
      <c r="UOJ2" s="2235"/>
      <c r="UOK2" s="2235"/>
      <c r="UOL2" s="2235"/>
      <c r="UOM2" s="2235"/>
      <c r="UON2" s="2235"/>
      <c r="UOO2" s="2235"/>
      <c r="UOP2" s="2235"/>
      <c r="UOQ2" s="2235"/>
      <c r="UOR2" s="2235"/>
      <c r="UOS2" s="2235"/>
      <c r="UOT2" s="2235"/>
      <c r="UOU2" s="2235"/>
      <c r="UOV2" s="2235"/>
      <c r="UOW2" s="2235"/>
      <c r="UOX2" s="2235"/>
      <c r="UOY2" s="2235"/>
      <c r="UOZ2" s="2235"/>
      <c r="UPA2" s="2235"/>
      <c r="UPB2" s="2235"/>
      <c r="UPC2" s="2235"/>
      <c r="UPD2" s="2235"/>
      <c r="UPE2" s="2235"/>
      <c r="UPF2" s="2235"/>
      <c r="UPG2" s="2235"/>
      <c r="UPH2" s="2235"/>
      <c r="UPI2" s="2235"/>
      <c r="UPJ2" s="2235"/>
      <c r="UPK2" s="2235"/>
      <c r="UPL2" s="2235"/>
      <c r="UPM2" s="2235"/>
      <c r="UPN2" s="2235"/>
      <c r="UPO2" s="2235"/>
      <c r="UPP2" s="2235"/>
      <c r="UPQ2" s="2235"/>
      <c r="UPR2" s="2235"/>
      <c r="UPS2" s="2235"/>
      <c r="UPT2" s="2235"/>
      <c r="UPU2" s="2235"/>
      <c r="UPV2" s="2235"/>
      <c r="UPW2" s="2235"/>
      <c r="UPX2" s="2235"/>
      <c r="UPY2" s="2235"/>
      <c r="UPZ2" s="2235"/>
      <c r="UQA2" s="2235"/>
      <c r="UQB2" s="2235"/>
      <c r="UQC2" s="2235"/>
      <c r="UQD2" s="2235"/>
      <c r="UQE2" s="2235"/>
      <c r="UQF2" s="2235"/>
      <c r="UQG2" s="2235"/>
      <c r="UQH2" s="2235"/>
      <c r="UQI2" s="2235"/>
      <c r="UQJ2" s="2235"/>
      <c r="UQK2" s="2235"/>
      <c r="UQL2" s="2235"/>
      <c r="UQM2" s="2235"/>
      <c r="UQN2" s="2235"/>
      <c r="UQO2" s="2235"/>
      <c r="UQP2" s="2235"/>
      <c r="UQQ2" s="2235"/>
      <c r="UQR2" s="2235"/>
      <c r="UQS2" s="2235"/>
      <c r="UQT2" s="2235"/>
      <c r="UQU2" s="2235"/>
      <c r="UQV2" s="2235"/>
      <c r="UQW2" s="2235"/>
      <c r="UQX2" s="2235"/>
      <c r="UQY2" s="2235"/>
      <c r="UQZ2" s="2235"/>
      <c r="URA2" s="2235"/>
      <c r="URB2" s="2235"/>
      <c r="URC2" s="2235"/>
      <c r="URD2" s="2235"/>
      <c r="URE2" s="2235"/>
      <c r="URF2" s="2235"/>
      <c r="URG2" s="2235"/>
      <c r="URH2" s="2235"/>
      <c r="URI2" s="2235"/>
      <c r="URJ2" s="2235"/>
      <c r="URK2" s="2235"/>
      <c r="URL2" s="2235"/>
      <c r="URM2" s="2235"/>
      <c r="URN2" s="2235"/>
      <c r="URO2" s="2235"/>
      <c r="URP2" s="2235"/>
      <c r="URQ2" s="2235"/>
      <c r="URR2" s="2235"/>
      <c r="URS2" s="2235"/>
      <c r="URT2" s="2235"/>
      <c r="URU2" s="2235"/>
      <c r="URV2" s="2235"/>
      <c r="URW2" s="2235"/>
      <c r="URX2" s="2235"/>
      <c r="URY2" s="2235"/>
      <c r="URZ2" s="2235"/>
      <c r="USA2" s="2235"/>
      <c r="USB2" s="2235"/>
      <c r="USC2" s="2235"/>
      <c r="USD2" s="2235"/>
      <c r="USE2" s="2235"/>
      <c r="USF2" s="2235"/>
      <c r="USG2" s="2235"/>
      <c r="USH2" s="2235"/>
      <c r="USI2" s="2235"/>
      <c r="USJ2" s="2235"/>
      <c r="USK2" s="2235"/>
      <c r="USL2" s="2235"/>
      <c r="USM2" s="2235"/>
      <c r="USN2" s="2235"/>
      <c r="USO2" s="2235"/>
      <c r="USP2" s="2235"/>
      <c r="USQ2" s="2235"/>
      <c r="USR2" s="2235"/>
      <c r="USS2" s="2235"/>
      <c r="UST2" s="2235"/>
      <c r="USU2" s="2235"/>
      <c r="USV2" s="2235"/>
      <c r="USW2" s="2235"/>
      <c r="USX2" s="2235"/>
      <c r="USY2" s="2235"/>
      <c r="USZ2" s="2235"/>
      <c r="UTA2" s="2235"/>
      <c r="UTB2" s="2235"/>
      <c r="UTC2" s="2235"/>
      <c r="UTD2" s="2235"/>
      <c r="UTE2" s="2235"/>
      <c r="UTF2" s="2235"/>
      <c r="UTG2" s="2235"/>
      <c r="UTH2" s="2235"/>
      <c r="UTI2" s="2235"/>
      <c r="UTJ2" s="2235"/>
      <c r="UTK2" s="2235"/>
      <c r="UTL2" s="2235"/>
      <c r="UTM2" s="2235"/>
      <c r="UTN2" s="2235"/>
      <c r="UTO2" s="2235"/>
      <c r="UTP2" s="2235"/>
      <c r="UTQ2" s="2235"/>
      <c r="UTR2" s="2235"/>
      <c r="UTS2" s="2235"/>
      <c r="UTT2" s="2235"/>
      <c r="UTU2" s="2235"/>
      <c r="UTV2" s="2235"/>
      <c r="UTW2" s="2235"/>
      <c r="UTX2" s="2235"/>
      <c r="UTY2" s="2235"/>
      <c r="UTZ2" s="2235"/>
      <c r="UUA2" s="2235"/>
      <c r="UUB2" s="2235"/>
      <c r="UUC2" s="2235"/>
      <c r="UUD2" s="2235"/>
      <c r="UUE2" s="2235"/>
      <c r="UUF2" s="2235"/>
      <c r="UUG2" s="2235"/>
      <c r="UUH2" s="2235"/>
      <c r="UUI2" s="2235"/>
      <c r="UUJ2" s="2235"/>
      <c r="UUK2" s="2235"/>
      <c r="UUL2" s="2235"/>
      <c r="UUM2" s="2235"/>
      <c r="UUN2" s="2235"/>
      <c r="UUO2" s="2235"/>
      <c r="UUP2" s="2235"/>
      <c r="UUQ2" s="2235"/>
      <c r="UUR2" s="2235"/>
      <c r="UUS2" s="2235"/>
      <c r="UUT2" s="2235"/>
      <c r="UUU2" s="2235"/>
      <c r="UUV2" s="2235"/>
      <c r="UUW2" s="2235"/>
      <c r="UUX2" s="2235"/>
      <c r="UUY2" s="2235"/>
      <c r="UUZ2" s="2235"/>
      <c r="UVA2" s="2235"/>
      <c r="UVB2" s="2235"/>
      <c r="UVC2" s="2235"/>
      <c r="UVD2" s="2235"/>
      <c r="UVE2" s="2235"/>
      <c r="UVF2" s="2235"/>
      <c r="UVG2" s="2235"/>
      <c r="UVH2" s="2235"/>
      <c r="UVI2" s="2235"/>
      <c r="UVJ2" s="2235"/>
      <c r="UVK2" s="2235"/>
      <c r="UVL2" s="2235"/>
      <c r="UVM2" s="2235"/>
      <c r="UVN2" s="2235"/>
      <c r="UVO2" s="2235"/>
      <c r="UVP2" s="2235"/>
      <c r="UVQ2" s="2235"/>
      <c r="UVR2" s="2235"/>
      <c r="UVS2" s="2235"/>
      <c r="UVT2" s="2235"/>
      <c r="UVU2" s="2235"/>
      <c r="UVV2" s="2235"/>
      <c r="UVW2" s="2235"/>
      <c r="UVX2" s="2235"/>
      <c r="UVY2" s="2235"/>
      <c r="UVZ2" s="2235"/>
      <c r="UWA2" s="2235"/>
      <c r="UWB2" s="2235"/>
      <c r="UWC2" s="2235"/>
      <c r="UWD2" s="2235"/>
      <c r="UWE2" s="2235"/>
      <c r="UWF2" s="2235"/>
      <c r="UWG2" s="2235"/>
      <c r="UWH2" s="2235"/>
      <c r="UWI2" s="2235"/>
      <c r="UWJ2" s="2235"/>
      <c r="UWK2" s="2235"/>
      <c r="UWL2" s="2235"/>
      <c r="UWM2" s="2235"/>
      <c r="UWN2" s="2235"/>
      <c r="UWO2" s="2235"/>
      <c r="UWP2" s="2235"/>
      <c r="UWQ2" s="2235"/>
      <c r="UWR2" s="2235"/>
      <c r="UWS2" s="2235"/>
      <c r="UWT2" s="2235"/>
      <c r="UWU2" s="2235"/>
      <c r="UWV2" s="2235"/>
      <c r="UWW2" s="2235"/>
      <c r="UWX2" s="2235"/>
      <c r="UWY2" s="2235"/>
      <c r="UWZ2" s="2235"/>
      <c r="UXA2" s="2235"/>
      <c r="UXB2" s="2235"/>
      <c r="UXC2" s="2235"/>
      <c r="UXD2" s="2235"/>
      <c r="UXE2" s="2235"/>
      <c r="UXF2" s="2235"/>
      <c r="UXG2" s="2235"/>
      <c r="UXH2" s="2235"/>
      <c r="UXI2" s="2235"/>
      <c r="UXJ2" s="2235"/>
      <c r="UXK2" s="2235"/>
      <c r="UXL2" s="2235"/>
      <c r="UXM2" s="2235"/>
      <c r="UXN2" s="2235"/>
      <c r="UXO2" s="2235"/>
      <c r="UXP2" s="2235"/>
      <c r="UXQ2" s="2235"/>
      <c r="UXR2" s="2235"/>
      <c r="UXS2" s="2235"/>
      <c r="UXT2" s="2235"/>
      <c r="UXU2" s="2235"/>
      <c r="UXV2" s="2235"/>
      <c r="UXW2" s="2235"/>
      <c r="UXX2" s="2235"/>
      <c r="UXY2" s="2235"/>
      <c r="UXZ2" s="2235"/>
      <c r="UYA2" s="2235"/>
      <c r="UYB2" s="2235"/>
      <c r="UYC2" s="2235"/>
      <c r="UYD2" s="2235"/>
      <c r="UYE2" s="2235"/>
      <c r="UYF2" s="2235"/>
      <c r="UYG2" s="2235"/>
      <c r="UYH2" s="2235"/>
      <c r="UYI2" s="2235"/>
      <c r="UYJ2" s="2235"/>
      <c r="UYK2" s="2235"/>
      <c r="UYL2" s="2235"/>
      <c r="UYM2" s="2235"/>
      <c r="UYN2" s="2235"/>
      <c r="UYO2" s="2235"/>
      <c r="UYP2" s="2235"/>
      <c r="UYQ2" s="2235"/>
      <c r="UYR2" s="2235"/>
      <c r="UYS2" s="2235"/>
      <c r="UYT2" s="2235"/>
      <c r="UYU2" s="2235"/>
      <c r="UYV2" s="2235"/>
      <c r="UYW2" s="2235"/>
      <c r="UYX2" s="2235"/>
      <c r="UYY2" s="2235"/>
      <c r="UYZ2" s="2235"/>
      <c r="UZA2" s="2235"/>
      <c r="UZB2" s="2235"/>
      <c r="UZC2" s="2235"/>
      <c r="UZD2" s="2235"/>
      <c r="UZE2" s="2235"/>
      <c r="UZF2" s="2235"/>
      <c r="UZG2" s="2235"/>
      <c r="UZH2" s="2235"/>
      <c r="UZI2" s="2235"/>
      <c r="UZJ2" s="2235"/>
      <c r="UZK2" s="2235"/>
      <c r="UZL2" s="2235"/>
      <c r="UZM2" s="2235"/>
      <c r="UZN2" s="2235"/>
      <c r="UZO2" s="2235"/>
      <c r="UZP2" s="2235"/>
      <c r="UZQ2" s="2235"/>
      <c r="UZR2" s="2235"/>
      <c r="UZS2" s="2235"/>
      <c r="UZT2" s="2235"/>
      <c r="UZU2" s="2235"/>
      <c r="UZV2" s="2235"/>
      <c r="UZW2" s="2235"/>
      <c r="UZX2" s="2235"/>
      <c r="UZY2" s="2235"/>
      <c r="UZZ2" s="2235"/>
      <c r="VAA2" s="2235"/>
      <c r="VAB2" s="2235"/>
      <c r="VAC2" s="2235"/>
      <c r="VAD2" s="2235"/>
      <c r="VAE2" s="2235"/>
      <c r="VAF2" s="2235"/>
      <c r="VAG2" s="2235"/>
      <c r="VAH2" s="2235"/>
      <c r="VAI2" s="2235"/>
      <c r="VAJ2" s="2235"/>
      <c r="VAK2" s="2235"/>
      <c r="VAL2" s="2235"/>
      <c r="VAM2" s="2235"/>
      <c r="VAN2" s="2235"/>
      <c r="VAO2" s="2235"/>
      <c r="VAP2" s="2235"/>
      <c r="VAQ2" s="2235"/>
      <c r="VAR2" s="2235"/>
      <c r="VAS2" s="2235"/>
      <c r="VAT2" s="2235"/>
      <c r="VAU2" s="2235"/>
      <c r="VAV2" s="2235"/>
      <c r="VAW2" s="2235"/>
      <c r="VAX2" s="2235"/>
      <c r="VAY2" s="2235"/>
      <c r="VAZ2" s="2235"/>
      <c r="VBA2" s="2235"/>
      <c r="VBB2" s="2235"/>
      <c r="VBC2" s="2235"/>
      <c r="VBD2" s="2235"/>
      <c r="VBE2" s="2235"/>
      <c r="VBF2" s="2235"/>
      <c r="VBG2" s="2235"/>
      <c r="VBH2" s="2235"/>
      <c r="VBI2" s="2235"/>
      <c r="VBJ2" s="2235"/>
      <c r="VBK2" s="2235"/>
      <c r="VBL2" s="2235"/>
      <c r="VBM2" s="2235"/>
      <c r="VBN2" s="2235"/>
      <c r="VBO2" s="2235"/>
      <c r="VBP2" s="2235"/>
      <c r="VBQ2" s="2235"/>
      <c r="VBR2" s="2235"/>
      <c r="VBS2" s="2235"/>
      <c r="VBT2" s="2235"/>
      <c r="VBU2" s="2235"/>
      <c r="VBV2" s="2235"/>
      <c r="VBW2" s="2235"/>
      <c r="VBX2" s="2235"/>
      <c r="VBY2" s="2235"/>
      <c r="VBZ2" s="2235"/>
      <c r="VCA2" s="2235"/>
      <c r="VCB2" s="2235"/>
      <c r="VCC2" s="2235"/>
      <c r="VCD2" s="2235"/>
      <c r="VCE2" s="2235"/>
      <c r="VCF2" s="2235"/>
      <c r="VCG2" s="2235"/>
      <c r="VCH2" s="2235"/>
      <c r="VCI2" s="2235"/>
      <c r="VCJ2" s="2235"/>
      <c r="VCK2" s="2235"/>
      <c r="VCL2" s="2235"/>
      <c r="VCM2" s="2235"/>
      <c r="VCN2" s="2235"/>
      <c r="VCO2" s="2235"/>
      <c r="VCP2" s="2235"/>
      <c r="VCQ2" s="2235"/>
      <c r="VCR2" s="2235"/>
      <c r="VCS2" s="2235"/>
      <c r="VCT2" s="2235"/>
      <c r="VCU2" s="2235"/>
      <c r="VCV2" s="2235"/>
      <c r="VCW2" s="2235"/>
      <c r="VCX2" s="2235"/>
      <c r="VCY2" s="2235"/>
      <c r="VCZ2" s="2235"/>
      <c r="VDA2" s="2235"/>
      <c r="VDB2" s="2235"/>
      <c r="VDC2" s="2235"/>
      <c r="VDD2" s="2235"/>
      <c r="VDE2" s="2235"/>
      <c r="VDF2" s="2235"/>
      <c r="VDG2" s="2235"/>
      <c r="VDH2" s="2235"/>
      <c r="VDI2" s="2235"/>
      <c r="VDJ2" s="2235"/>
      <c r="VDK2" s="2235"/>
      <c r="VDL2" s="2235"/>
      <c r="VDM2" s="2235"/>
      <c r="VDN2" s="2235"/>
      <c r="VDO2" s="2235"/>
      <c r="VDP2" s="2235"/>
      <c r="VDQ2" s="2235"/>
      <c r="VDR2" s="2235"/>
      <c r="VDS2" s="2235"/>
      <c r="VDT2" s="2235"/>
      <c r="VDU2" s="2235"/>
      <c r="VDV2" s="2235"/>
      <c r="VDW2" s="2235"/>
      <c r="VDX2" s="2235"/>
      <c r="VDY2" s="2235"/>
      <c r="VDZ2" s="2235"/>
      <c r="VEA2" s="2235"/>
      <c r="VEB2" s="2235"/>
      <c r="VEC2" s="2235"/>
      <c r="VED2" s="2235"/>
      <c r="VEE2" s="2235"/>
      <c r="VEF2" s="2235"/>
      <c r="VEG2" s="2235"/>
      <c r="VEH2" s="2235"/>
      <c r="VEI2" s="2235"/>
      <c r="VEJ2" s="2235"/>
      <c r="VEK2" s="2235"/>
      <c r="VEL2" s="2235"/>
      <c r="VEM2" s="2235"/>
      <c r="VEN2" s="2235"/>
      <c r="VEO2" s="2235"/>
      <c r="VEP2" s="2235"/>
      <c r="VEQ2" s="2235"/>
      <c r="VER2" s="2235"/>
      <c r="VES2" s="2235"/>
      <c r="VET2" s="2235"/>
      <c r="VEU2" s="2235"/>
      <c r="VEV2" s="2235"/>
      <c r="VEW2" s="2235"/>
      <c r="VEX2" s="2235"/>
      <c r="VEY2" s="2235"/>
      <c r="VEZ2" s="2235"/>
      <c r="VFA2" s="2235"/>
      <c r="VFB2" s="2235"/>
      <c r="VFC2" s="2235"/>
      <c r="VFD2" s="2235"/>
      <c r="VFE2" s="2235"/>
      <c r="VFF2" s="2235"/>
      <c r="VFG2" s="2235"/>
      <c r="VFH2" s="2235"/>
      <c r="VFI2" s="2235"/>
      <c r="VFJ2" s="2235"/>
      <c r="VFK2" s="2235"/>
      <c r="VFL2" s="2235"/>
      <c r="VFM2" s="2235"/>
      <c r="VFN2" s="2235"/>
      <c r="VFO2" s="2235"/>
      <c r="VFP2" s="2235"/>
      <c r="VFQ2" s="2235"/>
      <c r="VFR2" s="2235"/>
      <c r="VFS2" s="2235"/>
      <c r="VFT2" s="2235"/>
      <c r="VFU2" s="2235"/>
      <c r="VFV2" s="2235"/>
      <c r="VFW2" s="2235"/>
      <c r="VFX2" s="2235"/>
      <c r="VFY2" s="2235"/>
      <c r="VFZ2" s="2235"/>
      <c r="VGA2" s="2235"/>
      <c r="VGB2" s="2235"/>
      <c r="VGC2" s="2235"/>
      <c r="VGD2" s="2235"/>
      <c r="VGE2" s="2235"/>
      <c r="VGF2" s="2235"/>
      <c r="VGG2" s="2235"/>
      <c r="VGH2" s="2235"/>
      <c r="VGI2" s="2235"/>
      <c r="VGJ2" s="2235"/>
      <c r="VGK2" s="2235"/>
      <c r="VGL2" s="2235"/>
      <c r="VGM2" s="2235"/>
      <c r="VGN2" s="2235"/>
      <c r="VGO2" s="2235"/>
      <c r="VGP2" s="2235"/>
      <c r="VGQ2" s="2235"/>
      <c r="VGR2" s="2235"/>
      <c r="VGS2" s="2235"/>
      <c r="VGT2" s="2235"/>
      <c r="VGU2" s="2235"/>
      <c r="VGV2" s="2235"/>
      <c r="VGW2" s="2235"/>
      <c r="VGX2" s="2235"/>
      <c r="VGY2" s="2235"/>
      <c r="VGZ2" s="2235"/>
      <c r="VHA2" s="2235"/>
      <c r="VHB2" s="2235"/>
      <c r="VHC2" s="2235"/>
      <c r="VHD2" s="2235"/>
      <c r="VHE2" s="2235"/>
      <c r="VHF2" s="2235"/>
      <c r="VHG2" s="2235"/>
      <c r="VHH2" s="2235"/>
      <c r="VHI2" s="2235"/>
      <c r="VHJ2" s="2235"/>
      <c r="VHK2" s="2235"/>
      <c r="VHL2" s="2235"/>
      <c r="VHM2" s="2235"/>
      <c r="VHN2" s="2235"/>
      <c r="VHO2" s="2235"/>
      <c r="VHP2" s="2235"/>
      <c r="VHQ2" s="2235"/>
      <c r="VHR2" s="2235"/>
      <c r="VHS2" s="2235"/>
      <c r="VHT2" s="2235"/>
      <c r="VHU2" s="2235"/>
      <c r="VHV2" s="2235"/>
      <c r="VHW2" s="2235"/>
      <c r="VHX2" s="2235"/>
      <c r="VHY2" s="2235"/>
      <c r="VHZ2" s="2235"/>
      <c r="VIA2" s="2235"/>
      <c r="VIB2" s="2235"/>
      <c r="VIC2" s="2235"/>
      <c r="VID2" s="2235"/>
      <c r="VIE2" s="2235"/>
      <c r="VIF2" s="2235"/>
      <c r="VIG2" s="2235"/>
      <c r="VIH2" s="2235"/>
      <c r="VII2" s="2235"/>
      <c r="VIJ2" s="2235"/>
      <c r="VIK2" s="2235"/>
      <c r="VIL2" s="2235"/>
      <c r="VIM2" s="2235"/>
      <c r="VIN2" s="2235"/>
      <c r="VIO2" s="2235"/>
      <c r="VIP2" s="2235"/>
      <c r="VIQ2" s="2235"/>
      <c r="VIR2" s="2235"/>
      <c r="VIS2" s="2235"/>
      <c r="VIT2" s="2235"/>
      <c r="VIU2" s="2235"/>
      <c r="VIV2" s="2235"/>
      <c r="VIW2" s="2235"/>
      <c r="VIX2" s="2235"/>
      <c r="VIY2" s="2235"/>
      <c r="VIZ2" s="2235"/>
      <c r="VJA2" s="2235"/>
      <c r="VJB2" s="2235"/>
      <c r="VJC2" s="2235"/>
      <c r="VJD2" s="2235"/>
      <c r="VJE2" s="2235"/>
      <c r="VJF2" s="2235"/>
      <c r="VJG2" s="2235"/>
      <c r="VJH2" s="2235"/>
      <c r="VJI2" s="2235"/>
      <c r="VJJ2" s="2235"/>
      <c r="VJK2" s="2235"/>
      <c r="VJL2" s="2235"/>
      <c r="VJM2" s="2235"/>
      <c r="VJN2" s="2235"/>
      <c r="VJO2" s="2235"/>
      <c r="VJP2" s="2235"/>
      <c r="VJQ2" s="2235"/>
      <c r="VJR2" s="2235"/>
      <c r="VJS2" s="2235"/>
      <c r="VJT2" s="2235"/>
      <c r="VJU2" s="2235"/>
      <c r="VJV2" s="2235"/>
      <c r="VJW2" s="2235"/>
      <c r="VJX2" s="2235"/>
      <c r="VJY2" s="2235"/>
      <c r="VJZ2" s="2235"/>
      <c r="VKA2" s="2235"/>
      <c r="VKB2" s="2235"/>
      <c r="VKC2" s="2235"/>
      <c r="VKD2" s="2235"/>
      <c r="VKE2" s="2235"/>
      <c r="VKF2" s="2235"/>
      <c r="VKG2" s="2235"/>
      <c r="VKH2" s="2235"/>
      <c r="VKI2" s="2235"/>
      <c r="VKJ2" s="2235"/>
      <c r="VKK2" s="2235"/>
      <c r="VKL2" s="2235"/>
      <c r="VKM2" s="2235"/>
      <c r="VKN2" s="2235"/>
      <c r="VKO2" s="2235"/>
      <c r="VKP2" s="2235"/>
      <c r="VKQ2" s="2235"/>
      <c r="VKR2" s="2235"/>
      <c r="VKS2" s="2235"/>
      <c r="VKT2" s="2235"/>
      <c r="VKU2" s="2235"/>
      <c r="VKV2" s="2235"/>
      <c r="VKW2" s="2235"/>
      <c r="VKX2" s="2235"/>
      <c r="VKY2" s="2235"/>
      <c r="VKZ2" s="2235"/>
      <c r="VLA2" s="2235"/>
      <c r="VLB2" s="2235"/>
      <c r="VLC2" s="2235"/>
      <c r="VLD2" s="2235"/>
      <c r="VLE2" s="2235"/>
      <c r="VLF2" s="2235"/>
      <c r="VLG2" s="2235"/>
      <c r="VLH2" s="2235"/>
      <c r="VLI2" s="2235"/>
      <c r="VLJ2" s="2235"/>
      <c r="VLK2" s="2235"/>
      <c r="VLL2" s="2235"/>
      <c r="VLM2" s="2235"/>
      <c r="VLN2" s="2235"/>
      <c r="VLO2" s="2235"/>
      <c r="VLP2" s="2235"/>
      <c r="VLQ2" s="2235"/>
      <c r="VLR2" s="2235"/>
      <c r="VLS2" s="2235"/>
      <c r="VLT2" s="2235"/>
      <c r="VLU2" s="2235"/>
      <c r="VLV2" s="2235"/>
      <c r="VLW2" s="2235"/>
      <c r="VLX2" s="2235"/>
      <c r="VLY2" s="2235"/>
      <c r="VLZ2" s="2235"/>
      <c r="VMA2" s="2235"/>
      <c r="VMB2" s="2235"/>
      <c r="VMC2" s="2235"/>
      <c r="VMD2" s="2235"/>
      <c r="VME2" s="2235"/>
      <c r="VMF2" s="2235"/>
      <c r="VMG2" s="2235"/>
      <c r="VMH2" s="2235"/>
      <c r="VMI2" s="2235"/>
      <c r="VMJ2" s="2235"/>
      <c r="VMK2" s="2235"/>
      <c r="VML2" s="2235"/>
      <c r="VMM2" s="2235"/>
      <c r="VMN2" s="2235"/>
      <c r="VMO2" s="2235"/>
      <c r="VMP2" s="2235"/>
      <c r="VMQ2" s="2235"/>
      <c r="VMR2" s="2235"/>
      <c r="VMS2" s="2235"/>
      <c r="VMT2" s="2235"/>
      <c r="VMU2" s="2235"/>
      <c r="VMV2" s="2235"/>
      <c r="VMW2" s="2235"/>
      <c r="VMX2" s="2235"/>
      <c r="VMY2" s="2235"/>
      <c r="VMZ2" s="2235"/>
      <c r="VNA2" s="2235"/>
      <c r="VNB2" s="2235"/>
      <c r="VNC2" s="2235"/>
      <c r="VND2" s="2235"/>
      <c r="VNE2" s="2235"/>
      <c r="VNF2" s="2235"/>
      <c r="VNG2" s="2235"/>
      <c r="VNH2" s="2235"/>
      <c r="VNI2" s="2235"/>
      <c r="VNJ2" s="2235"/>
      <c r="VNK2" s="2235"/>
      <c r="VNL2" s="2235"/>
      <c r="VNM2" s="2235"/>
      <c r="VNN2" s="2235"/>
      <c r="VNO2" s="2235"/>
      <c r="VNP2" s="2235"/>
      <c r="VNQ2" s="2235"/>
      <c r="VNR2" s="2235"/>
      <c r="VNS2" s="2235"/>
      <c r="VNT2" s="2235"/>
      <c r="VNU2" s="2235"/>
      <c r="VNV2" s="2235"/>
      <c r="VNW2" s="2235"/>
      <c r="VNX2" s="2235"/>
      <c r="VNY2" s="2235"/>
      <c r="VNZ2" s="2235"/>
      <c r="VOA2" s="2235"/>
      <c r="VOB2" s="2235"/>
      <c r="VOC2" s="2235"/>
      <c r="VOD2" s="2235"/>
      <c r="VOE2" s="2235"/>
      <c r="VOF2" s="2235"/>
      <c r="VOG2" s="2235"/>
      <c r="VOH2" s="2235"/>
      <c r="VOI2" s="2235"/>
      <c r="VOJ2" s="2235"/>
      <c r="VOK2" s="2235"/>
      <c r="VOL2" s="2235"/>
      <c r="VOM2" s="2235"/>
      <c r="VON2" s="2235"/>
      <c r="VOO2" s="2235"/>
      <c r="VOP2" s="2235"/>
      <c r="VOQ2" s="2235"/>
      <c r="VOR2" s="2235"/>
      <c r="VOS2" s="2235"/>
      <c r="VOT2" s="2235"/>
      <c r="VOU2" s="2235"/>
      <c r="VOV2" s="2235"/>
      <c r="VOW2" s="2235"/>
      <c r="VOX2" s="2235"/>
      <c r="VOY2" s="2235"/>
      <c r="VOZ2" s="2235"/>
      <c r="VPA2" s="2235"/>
      <c r="VPB2" s="2235"/>
      <c r="VPC2" s="2235"/>
      <c r="VPD2" s="2235"/>
      <c r="VPE2" s="2235"/>
      <c r="VPF2" s="2235"/>
      <c r="VPG2" s="2235"/>
      <c r="VPH2" s="2235"/>
      <c r="VPI2" s="2235"/>
      <c r="VPJ2" s="2235"/>
      <c r="VPK2" s="2235"/>
      <c r="VPL2" s="2235"/>
      <c r="VPM2" s="2235"/>
      <c r="VPN2" s="2235"/>
      <c r="VPO2" s="2235"/>
      <c r="VPP2" s="2235"/>
      <c r="VPQ2" s="2235"/>
      <c r="VPR2" s="2235"/>
      <c r="VPS2" s="2235"/>
      <c r="VPT2" s="2235"/>
      <c r="VPU2" s="2235"/>
      <c r="VPV2" s="2235"/>
      <c r="VPW2" s="2235"/>
      <c r="VPX2" s="2235"/>
      <c r="VPY2" s="2235"/>
      <c r="VPZ2" s="2235"/>
      <c r="VQA2" s="2235"/>
      <c r="VQB2" s="2235"/>
      <c r="VQC2" s="2235"/>
      <c r="VQD2" s="2235"/>
      <c r="VQE2" s="2235"/>
      <c r="VQF2" s="2235"/>
      <c r="VQG2" s="2235"/>
      <c r="VQH2" s="2235"/>
      <c r="VQI2" s="2235"/>
      <c r="VQJ2" s="2235"/>
      <c r="VQK2" s="2235"/>
      <c r="VQL2" s="2235"/>
      <c r="VQM2" s="2235"/>
      <c r="VQN2" s="2235"/>
      <c r="VQO2" s="2235"/>
      <c r="VQP2" s="2235"/>
      <c r="VQQ2" s="2235"/>
      <c r="VQR2" s="2235"/>
      <c r="VQS2" s="2235"/>
      <c r="VQT2" s="2235"/>
      <c r="VQU2" s="2235"/>
      <c r="VQV2" s="2235"/>
      <c r="VQW2" s="2235"/>
      <c r="VQX2" s="2235"/>
      <c r="VQY2" s="2235"/>
      <c r="VQZ2" s="2235"/>
      <c r="VRA2" s="2235"/>
      <c r="VRB2" s="2235"/>
      <c r="VRC2" s="2235"/>
      <c r="VRD2" s="2235"/>
      <c r="VRE2" s="2235"/>
      <c r="VRF2" s="2235"/>
      <c r="VRG2" s="2235"/>
      <c r="VRH2" s="2235"/>
      <c r="VRI2" s="2235"/>
      <c r="VRJ2" s="2235"/>
      <c r="VRK2" s="2235"/>
      <c r="VRL2" s="2235"/>
      <c r="VRM2" s="2235"/>
      <c r="VRN2" s="2235"/>
      <c r="VRO2" s="2235"/>
      <c r="VRP2" s="2235"/>
      <c r="VRQ2" s="2235"/>
      <c r="VRR2" s="2235"/>
      <c r="VRS2" s="2235"/>
      <c r="VRT2" s="2235"/>
      <c r="VRU2" s="2235"/>
      <c r="VRV2" s="2235"/>
      <c r="VRW2" s="2235"/>
      <c r="VRX2" s="2235"/>
      <c r="VRY2" s="2235"/>
      <c r="VRZ2" s="2235"/>
      <c r="VSA2" s="2235"/>
      <c r="VSB2" s="2235"/>
      <c r="VSC2" s="2235"/>
      <c r="VSD2" s="2235"/>
      <c r="VSE2" s="2235"/>
      <c r="VSF2" s="2235"/>
      <c r="VSG2" s="2235"/>
      <c r="VSH2" s="2235"/>
      <c r="VSI2" s="2235"/>
      <c r="VSJ2" s="2235"/>
      <c r="VSK2" s="2235"/>
      <c r="VSL2" s="2235"/>
      <c r="VSM2" s="2235"/>
      <c r="VSN2" s="2235"/>
      <c r="VSO2" s="2235"/>
      <c r="VSP2" s="2235"/>
      <c r="VSQ2" s="2235"/>
      <c r="VSR2" s="2235"/>
      <c r="VSS2" s="2235"/>
      <c r="VST2" s="2235"/>
      <c r="VSU2" s="2235"/>
      <c r="VSV2" s="2235"/>
      <c r="VSW2" s="2235"/>
      <c r="VSX2" s="2235"/>
      <c r="VSY2" s="2235"/>
      <c r="VSZ2" s="2235"/>
      <c r="VTA2" s="2235"/>
      <c r="VTB2" s="2235"/>
      <c r="VTC2" s="2235"/>
      <c r="VTD2" s="2235"/>
      <c r="VTE2" s="2235"/>
      <c r="VTF2" s="2235"/>
      <c r="VTG2" s="2235"/>
      <c r="VTH2" s="2235"/>
      <c r="VTI2" s="2235"/>
      <c r="VTJ2" s="2235"/>
      <c r="VTK2" s="2235"/>
      <c r="VTL2" s="2235"/>
      <c r="VTM2" s="2235"/>
      <c r="VTN2" s="2235"/>
      <c r="VTO2" s="2235"/>
      <c r="VTP2" s="2235"/>
      <c r="VTQ2" s="2235"/>
      <c r="VTR2" s="2235"/>
      <c r="VTS2" s="2235"/>
      <c r="VTT2" s="2235"/>
      <c r="VTU2" s="2235"/>
      <c r="VTV2" s="2235"/>
      <c r="VTW2" s="2235"/>
      <c r="VTX2" s="2235"/>
      <c r="VTY2" s="2235"/>
      <c r="VTZ2" s="2235"/>
      <c r="VUA2" s="2235"/>
      <c r="VUB2" s="2235"/>
      <c r="VUC2" s="2235"/>
      <c r="VUD2" s="2235"/>
      <c r="VUE2" s="2235"/>
      <c r="VUF2" s="2235"/>
      <c r="VUG2" s="2235"/>
      <c r="VUH2" s="2235"/>
      <c r="VUI2" s="2235"/>
      <c r="VUJ2" s="2235"/>
      <c r="VUK2" s="2235"/>
      <c r="VUL2" s="2235"/>
      <c r="VUM2" s="2235"/>
      <c r="VUN2" s="2235"/>
      <c r="VUO2" s="2235"/>
      <c r="VUP2" s="2235"/>
      <c r="VUQ2" s="2235"/>
      <c r="VUR2" s="2235"/>
      <c r="VUS2" s="2235"/>
      <c r="VUT2" s="2235"/>
      <c r="VUU2" s="2235"/>
      <c r="VUV2" s="2235"/>
      <c r="VUW2" s="2235"/>
      <c r="VUX2" s="2235"/>
      <c r="VUY2" s="2235"/>
      <c r="VUZ2" s="2235"/>
      <c r="VVA2" s="2235"/>
      <c r="VVB2" s="2235"/>
      <c r="VVC2" s="2235"/>
      <c r="VVD2" s="2235"/>
      <c r="VVE2" s="2235"/>
      <c r="VVF2" s="2235"/>
      <c r="VVG2" s="2235"/>
      <c r="VVH2" s="2235"/>
      <c r="VVI2" s="2235"/>
      <c r="VVJ2" s="2235"/>
      <c r="VVK2" s="2235"/>
      <c r="VVL2" s="2235"/>
      <c r="VVM2" s="2235"/>
      <c r="VVN2" s="2235"/>
      <c r="VVO2" s="2235"/>
      <c r="VVP2" s="2235"/>
      <c r="VVQ2" s="2235"/>
      <c r="VVR2" s="2235"/>
      <c r="VVS2" s="2235"/>
      <c r="VVT2" s="2235"/>
      <c r="VVU2" s="2235"/>
      <c r="VVV2" s="2235"/>
      <c r="VVW2" s="2235"/>
      <c r="VVX2" s="2235"/>
      <c r="VVY2" s="2235"/>
      <c r="VVZ2" s="2235"/>
      <c r="VWA2" s="2235"/>
      <c r="VWB2" s="2235"/>
      <c r="VWC2" s="2235"/>
      <c r="VWD2" s="2235"/>
      <c r="VWE2" s="2235"/>
      <c r="VWF2" s="2235"/>
      <c r="VWG2" s="2235"/>
      <c r="VWH2" s="2235"/>
      <c r="VWI2" s="2235"/>
      <c r="VWJ2" s="2235"/>
      <c r="VWK2" s="2235"/>
      <c r="VWL2" s="2235"/>
      <c r="VWM2" s="2235"/>
      <c r="VWN2" s="2235"/>
      <c r="VWO2" s="2235"/>
      <c r="VWP2" s="2235"/>
      <c r="VWQ2" s="2235"/>
      <c r="VWR2" s="2235"/>
      <c r="VWS2" s="2235"/>
      <c r="VWT2" s="2235"/>
      <c r="VWU2" s="2235"/>
      <c r="VWV2" s="2235"/>
      <c r="VWW2" s="2235"/>
      <c r="VWX2" s="2235"/>
      <c r="VWY2" s="2235"/>
      <c r="VWZ2" s="2235"/>
      <c r="VXA2" s="2235"/>
      <c r="VXB2" s="2235"/>
      <c r="VXC2" s="2235"/>
      <c r="VXD2" s="2235"/>
      <c r="VXE2" s="2235"/>
      <c r="VXF2" s="2235"/>
      <c r="VXG2" s="2235"/>
      <c r="VXH2" s="2235"/>
      <c r="VXI2" s="2235"/>
      <c r="VXJ2" s="2235"/>
      <c r="VXK2" s="2235"/>
      <c r="VXL2" s="2235"/>
      <c r="VXM2" s="2235"/>
      <c r="VXN2" s="2235"/>
      <c r="VXO2" s="2235"/>
      <c r="VXP2" s="2235"/>
      <c r="VXQ2" s="2235"/>
      <c r="VXR2" s="2235"/>
      <c r="VXS2" s="2235"/>
      <c r="VXT2" s="2235"/>
      <c r="VXU2" s="2235"/>
      <c r="VXV2" s="2235"/>
      <c r="VXW2" s="2235"/>
      <c r="VXX2" s="2235"/>
      <c r="VXY2" s="2235"/>
      <c r="VXZ2" s="2235"/>
      <c r="VYA2" s="2235"/>
      <c r="VYB2" s="2235"/>
      <c r="VYC2" s="2235"/>
      <c r="VYD2" s="2235"/>
      <c r="VYE2" s="2235"/>
      <c r="VYF2" s="2235"/>
      <c r="VYG2" s="2235"/>
      <c r="VYH2" s="2235"/>
      <c r="VYI2" s="2235"/>
      <c r="VYJ2" s="2235"/>
      <c r="VYK2" s="2235"/>
      <c r="VYL2" s="2235"/>
      <c r="VYM2" s="2235"/>
      <c r="VYN2" s="2235"/>
      <c r="VYO2" s="2235"/>
      <c r="VYP2" s="2235"/>
      <c r="VYQ2" s="2235"/>
      <c r="VYR2" s="2235"/>
      <c r="VYS2" s="2235"/>
      <c r="VYT2" s="2235"/>
      <c r="VYU2" s="2235"/>
      <c r="VYV2" s="2235"/>
      <c r="VYW2" s="2235"/>
      <c r="VYX2" s="2235"/>
      <c r="VYY2" s="2235"/>
      <c r="VYZ2" s="2235"/>
      <c r="VZA2" s="2235"/>
      <c r="VZB2" s="2235"/>
      <c r="VZC2" s="2235"/>
      <c r="VZD2" s="2235"/>
      <c r="VZE2" s="2235"/>
      <c r="VZF2" s="2235"/>
      <c r="VZG2" s="2235"/>
      <c r="VZH2" s="2235"/>
      <c r="VZI2" s="2235"/>
      <c r="VZJ2" s="2235"/>
      <c r="VZK2" s="2235"/>
      <c r="VZL2" s="2235"/>
      <c r="VZM2" s="2235"/>
      <c r="VZN2" s="2235"/>
      <c r="VZO2" s="2235"/>
      <c r="VZP2" s="2235"/>
      <c r="VZQ2" s="2235"/>
      <c r="VZR2" s="2235"/>
      <c r="VZS2" s="2235"/>
      <c r="VZT2" s="2235"/>
      <c r="VZU2" s="2235"/>
      <c r="VZV2" s="2235"/>
      <c r="VZW2" s="2235"/>
      <c r="VZX2" s="2235"/>
      <c r="VZY2" s="2235"/>
      <c r="VZZ2" s="2235"/>
      <c r="WAA2" s="2235"/>
      <c r="WAB2" s="2235"/>
      <c r="WAC2" s="2235"/>
      <c r="WAD2" s="2235"/>
      <c r="WAE2" s="2235"/>
      <c r="WAF2" s="2235"/>
      <c r="WAG2" s="2235"/>
      <c r="WAH2" s="2235"/>
      <c r="WAI2" s="2235"/>
      <c r="WAJ2" s="2235"/>
      <c r="WAK2" s="2235"/>
      <c r="WAL2" s="2235"/>
      <c r="WAM2" s="2235"/>
      <c r="WAN2" s="2235"/>
      <c r="WAO2" s="2235"/>
      <c r="WAP2" s="2235"/>
      <c r="WAQ2" s="2235"/>
      <c r="WAR2" s="2235"/>
      <c r="WAS2" s="2235"/>
      <c r="WAT2" s="2235"/>
      <c r="WAU2" s="2235"/>
      <c r="WAV2" s="2235"/>
      <c r="WAW2" s="2235"/>
      <c r="WAX2" s="2235"/>
      <c r="WAY2" s="2235"/>
      <c r="WAZ2" s="2235"/>
      <c r="WBA2" s="2235"/>
      <c r="WBB2" s="2235"/>
      <c r="WBC2" s="2235"/>
      <c r="WBD2" s="2235"/>
      <c r="WBE2" s="2235"/>
      <c r="WBF2" s="2235"/>
      <c r="WBG2" s="2235"/>
      <c r="WBH2" s="2235"/>
      <c r="WBI2" s="2235"/>
      <c r="WBJ2" s="2235"/>
      <c r="WBK2" s="2235"/>
      <c r="WBL2" s="2235"/>
      <c r="WBM2" s="2235"/>
      <c r="WBN2" s="2235"/>
      <c r="WBO2" s="2235"/>
      <c r="WBP2" s="2235"/>
      <c r="WBQ2" s="2235"/>
      <c r="WBR2" s="2235"/>
      <c r="WBS2" s="2235"/>
      <c r="WBT2" s="2235"/>
      <c r="WBU2" s="2235"/>
      <c r="WBV2" s="2235"/>
      <c r="WBW2" s="2235"/>
      <c r="WBX2" s="2235"/>
      <c r="WBY2" s="2235"/>
      <c r="WBZ2" s="2235"/>
      <c r="WCA2" s="2235"/>
      <c r="WCB2" s="2235"/>
      <c r="WCC2" s="2235"/>
      <c r="WCD2" s="2235"/>
      <c r="WCE2" s="2235"/>
      <c r="WCF2" s="2235"/>
      <c r="WCG2" s="2235"/>
      <c r="WCH2" s="2235"/>
      <c r="WCI2" s="2235"/>
      <c r="WCJ2" s="2235"/>
      <c r="WCK2" s="2235"/>
      <c r="WCL2" s="2235"/>
      <c r="WCM2" s="2235"/>
      <c r="WCN2" s="2235"/>
      <c r="WCO2" s="2235"/>
      <c r="WCP2" s="2235"/>
      <c r="WCQ2" s="2235"/>
      <c r="WCR2" s="2235"/>
      <c r="WCS2" s="2235"/>
      <c r="WCT2" s="2235"/>
      <c r="WCU2" s="2235"/>
      <c r="WCV2" s="2235"/>
      <c r="WCW2" s="2235"/>
      <c r="WCX2" s="2235"/>
      <c r="WCY2" s="2235"/>
      <c r="WCZ2" s="2235"/>
      <c r="WDA2" s="2235"/>
      <c r="WDB2" s="2235"/>
      <c r="WDC2" s="2235"/>
      <c r="WDD2" s="2235"/>
      <c r="WDE2" s="2235"/>
      <c r="WDF2" s="2235"/>
      <c r="WDG2" s="2235"/>
      <c r="WDH2" s="2235"/>
      <c r="WDI2" s="2235"/>
      <c r="WDJ2" s="2235"/>
      <c r="WDK2" s="2235"/>
      <c r="WDL2" s="2235"/>
      <c r="WDM2" s="2235"/>
      <c r="WDN2" s="2235"/>
      <c r="WDO2" s="2235"/>
      <c r="WDP2" s="2235"/>
      <c r="WDQ2" s="2235"/>
      <c r="WDR2" s="2235"/>
      <c r="WDS2" s="2235"/>
      <c r="WDT2" s="2235"/>
      <c r="WDU2" s="2235"/>
      <c r="WDV2" s="2235"/>
      <c r="WDW2" s="2235"/>
      <c r="WDX2" s="2235"/>
      <c r="WDY2" s="2235"/>
      <c r="WDZ2" s="2235"/>
      <c r="WEA2" s="2235"/>
      <c r="WEB2" s="2235"/>
      <c r="WEC2" s="2235"/>
      <c r="WED2" s="2235"/>
      <c r="WEE2" s="2235"/>
      <c r="WEF2" s="2235"/>
      <c r="WEG2" s="2235"/>
      <c r="WEH2" s="2235"/>
      <c r="WEI2" s="2235"/>
      <c r="WEJ2" s="2235"/>
      <c r="WEK2" s="2235"/>
      <c r="WEL2" s="2235"/>
      <c r="WEM2" s="2235"/>
      <c r="WEN2" s="2235"/>
      <c r="WEO2" s="2235"/>
      <c r="WEP2" s="2235"/>
      <c r="WEQ2" s="2235"/>
      <c r="WER2" s="2235"/>
      <c r="WES2" s="2235"/>
      <c r="WET2" s="2235"/>
      <c r="WEU2" s="2235"/>
      <c r="WEV2" s="2235"/>
      <c r="WEW2" s="2235"/>
      <c r="WEX2" s="2235"/>
      <c r="WEY2" s="2235"/>
      <c r="WEZ2" s="2235"/>
      <c r="WFA2" s="2235"/>
      <c r="WFB2" s="2235"/>
      <c r="WFC2" s="2235"/>
      <c r="WFD2" s="2235"/>
      <c r="WFE2" s="2235"/>
      <c r="WFF2" s="2235"/>
      <c r="WFG2" s="2235"/>
      <c r="WFH2" s="2235"/>
      <c r="WFI2" s="2235"/>
      <c r="WFJ2" s="2235"/>
      <c r="WFK2" s="2235"/>
      <c r="WFL2" s="2235"/>
      <c r="WFM2" s="2235"/>
      <c r="WFN2" s="2235"/>
      <c r="WFO2" s="2235"/>
      <c r="WFP2" s="2235"/>
      <c r="WFQ2" s="2235"/>
      <c r="WFR2" s="2235"/>
      <c r="WFS2" s="2235"/>
      <c r="WFT2" s="2235"/>
      <c r="WFU2" s="2235"/>
      <c r="WFV2" s="2235"/>
      <c r="WFW2" s="2235"/>
      <c r="WFX2" s="2235"/>
      <c r="WFY2" s="2235"/>
      <c r="WFZ2" s="2235"/>
      <c r="WGA2" s="2235"/>
      <c r="WGB2" s="2235"/>
      <c r="WGC2" s="2235"/>
      <c r="WGD2" s="2235"/>
      <c r="WGE2" s="2235"/>
      <c r="WGF2" s="2235"/>
      <c r="WGG2" s="2235"/>
      <c r="WGH2" s="2235"/>
      <c r="WGI2" s="2235"/>
      <c r="WGJ2" s="2235"/>
      <c r="WGK2" s="2235"/>
      <c r="WGL2" s="2235"/>
      <c r="WGM2" s="2235"/>
      <c r="WGN2" s="2235"/>
      <c r="WGO2" s="2235"/>
      <c r="WGP2" s="2235"/>
      <c r="WGQ2" s="2235"/>
      <c r="WGR2" s="2235"/>
      <c r="WGS2" s="2235"/>
      <c r="WGT2" s="2235"/>
      <c r="WGU2" s="2235"/>
      <c r="WGV2" s="2235"/>
      <c r="WGW2" s="2235"/>
      <c r="WGX2" s="2235"/>
      <c r="WGY2" s="2235"/>
      <c r="WGZ2" s="2235"/>
      <c r="WHA2" s="2235"/>
      <c r="WHB2" s="2235"/>
      <c r="WHC2" s="2235"/>
      <c r="WHD2" s="2235"/>
      <c r="WHE2" s="2235"/>
      <c r="WHF2" s="2235"/>
      <c r="WHG2" s="2235"/>
      <c r="WHH2" s="2235"/>
      <c r="WHI2" s="2235"/>
      <c r="WHJ2" s="2235"/>
      <c r="WHK2" s="2235"/>
      <c r="WHL2" s="2235"/>
      <c r="WHM2" s="2235"/>
      <c r="WHN2" s="2235"/>
      <c r="WHO2" s="2235"/>
      <c r="WHP2" s="2235"/>
      <c r="WHQ2" s="2235"/>
      <c r="WHR2" s="2235"/>
      <c r="WHS2" s="2235"/>
      <c r="WHT2" s="2235"/>
      <c r="WHU2" s="2235"/>
      <c r="WHV2" s="2235"/>
      <c r="WHW2" s="2235"/>
      <c r="WHX2" s="2235"/>
      <c r="WHY2" s="2235"/>
      <c r="WHZ2" s="2235"/>
      <c r="WIA2" s="2235"/>
      <c r="WIB2" s="2235"/>
      <c r="WIC2" s="2235"/>
      <c r="WID2" s="2235"/>
      <c r="WIE2" s="2235"/>
      <c r="WIF2" s="2235"/>
      <c r="WIG2" s="2235"/>
      <c r="WIH2" s="2235"/>
      <c r="WII2" s="2235"/>
      <c r="WIJ2" s="2235"/>
      <c r="WIK2" s="2235"/>
      <c r="WIL2" s="2235"/>
      <c r="WIM2" s="2235"/>
      <c r="WIN2" s="2235"/>
      <c r="WIO2" s="2235"/>
      <c r="WIP2" s="2235"/>
      <c r="WIQ2" s="2235"/>
      <c r="WIR2" s="2235"/>
      <c r="WIS2" s="2235"/>
      <c r="WIT2" s="2235"/>
      <c r="WIU2" s="2235"/>
      <c r="WIV2" s="2235"/>
      <c r="WIW2" s="2235"/>
      <c r="WIX2" s="2235"/>
      <c r="WIY2" s="2235"/>
      <c r="WIZ2" s="2235"/>
      <c r="WJA2" s="2235"/>
      <c r="WJB2" s="2235"/>
      <c r="WJC2" s="2235"/>
      <c r="WJD2" s="2235"/>
      <c r="WJE2" s="2235"/>
      <c r="WJF2" s="2235"/>
      <c r="WJG2" s="2235"/>
      <c r="WJH2" s="2235"/>
      <c r="WJI2" s="2235"/>
      <c r="WJJ2" s="2235"/>
      <c r="WJK2" s="2235"/>
      <c r="WJL2" s="2235"/>
      <c r="WJM2" s="2235"/>
      <c r="WJN2" s="2235"/>
      <c r="WJO2" s="2235"/>
      <c r="WJP2" s="2235"/>
      <c r="WJQ2" s="2235"/>
      <c r="WJR2" s="2235"/>
      <c r="WJS2" s="2235"/>
      <c r="WJT2" s="2235"/>
      <c r="WJU2" s="2235"/>
      <c r="WJV2" s="2235"/>
      <c r="WJW2" s="2235"/>
      <c r="WJX2" s="2235"/>
      <c r="WJY2" s="2235"/>
      <c r="WJZ2" s="2235"/>
      <c r="WKA2" s="2235"/>
      <c r="WKB2" s="2235"/>
      <c r="WKC2" s="2235"/>
      <c r="WKD2" s="2235"/>
      <c r="WKE2" s="2235"/>
      <c r="WKF2" s="2235"/>
      <c r="WKG2" s="2235"/>
      <c r="WKH2" s="2235"/>
      <c r="WKI2" s="2235"/>
      <c r="WKJ2" s="2235"/>
      <c r="WKK2" s="2235"/>
      <c r="WKL2" s="2235"/>
      <c r="WKM2" s="2235"/>
      <c r="WKN2" s="2235"/>
      <c r="WKO2" s="2235"/>
      <c r="WKP2" s="2235"/>
      <c r="WKQ2" s="2235"/>
      <c r="WKR2" s="2235"/>
      <c r="WKS2" s="2235"/>
      <c r="WKT2" s="2235"/>
      <c r="WKU2" s="2235"/>
      <c r="WKV2" s="2235"/>
      <c r="WKW2" s="2235"/>
      <c r="WKX2" s="2235"/>
      <c r="WKY2" s="2235"/>
      <c r="WKZ2" s="2235"/>
      <c r="WLA2" s="2235"/>
      <c r="WLB2" s="2235"/>
      <c r="WLC2" s="2235"/>
      <c r="WLD2" s="2235"/>
      <c r="WLE2" s="2235"/>
      <c r="WLF2" s="2235"/>
      <c r="WLG2" s="2235"/>
      <c r="WLH2" s="2235"/>
      <c r="WLI2" s="2235"/>
      <c r="WLJ2" s="2235"/>
      <c r="WLK2" s="2235"/>
      <c r="WLL2" s="2235"/>
      <c r="WLM2" s="2235"/>
      <c r="WLN2" s="2235"/>
      <c r="WLO2" s="2235"/>
      <c r="WLP2" s="2235"/>
      <c r="WLQ2" s="2235"/>
      <c r="WLR2" s="2235"/>
      <c r="WLS2" s="2235"/>
      <c r="WLT2" s="2235"/>
      <c r="WLU2" s="2235"/>
      <c r="WLV2" s="2235"/>
      <c r="WLW2" s="2235"/>
      <c r="WLX2" s="2235"/>
      <c r="WLY2" s="2235"/>
      <c r="WLZ2" s="2235"/>
      <c r="WMA2" s="2235"/>
      <c r="WMB2" s="2235"/>
      <c r="WMC2" s="2235"/>
      <c r="WMD2" s="2235"/>
      <c r="WME2" s="2235"/>
      <c r="WMF2" s="2235"/>
      <c r="WMG2" s="2235"/>
      <c r="WMH2" s="2235"/>
      <c r="WMI2" s="2235"/>
      <c r="WMJ2" s="2235"/>
      <c r="WMK2" s="2235"/>
      <c r="WML2" s="2235"/>
      <c r="WMM2" s="2235"/>
      <c r="WMN2" s="2235"/>
      <c r="WMO2" s="2235"/>
      <c r="WMP2" s="2235"/>
      <c r="WMQ2" s="2235"/>
      <c r="WMR2" s="2235"/>
      <c r="WMS2" s="2235"/>
      <c r="WMT2" s="2235"/>
      <c r="WMU2" s="2235"/>
      <c r="WMV2" s="2235"/>
      <c r="WMW2" s="2235"/>
      <c r="WMX2" s="2235"/>
      <c r="WMY2" s="2235"/>
      <c r="WMZ2" s="2235"/>
      <c r="WNA2" s="2235"/>
      <c r="WNB2" s="2235"/>
      <c r="WNC2" s="2235"/>
      <c r="WND2" s="2235"/>
      <c r="WNE2" s="2235"/>
      <c r="WNF2" s="2235"/>
      <c r="WNG2" s="2235"/>
      <c r="WNH2" s="2235"/>
      <c r="WNI2" s="2235"/>
      <c r="WNJ2" s="2235"/>
      <c r="WNK2" s="2235"/>
      <c r="WNL2" s="2235"/>
      <c r="WNM2" s="2235"/>
      <c r="WNN2" s="2235"/>
      <c r="WNO2" s="2235"/>
      <c r="WNP2" s="2235"/>
      <c r="WNQ2" s="2235"/>
      <c r="WNR2" s="2235"/>
      <c r="WNS2" s="2235"/>
      <c r="WNT2" s="2235"/>
      <c r="WNU2" s="2235"/>
      <c r="WNV2" s="2235"/>
      <c r="WNW2" s="2235"/>
      <c r="WNX2" s="2235"/>
      <c r="WNY2" s="2235"/>
      <c r="WNZ2" s="2235"/>
      <c r="WOA2" s="2235"/>
      <c r="WOB2" s="2235"/>
      <c r="WOC2" s="2235"/>
      <c r="WOD2" s="2235"/>
      <c r="WOE2" s="2235"/>
      <c r="WOF2" s="2235"/>
      <c r="WOG2" s="2235"/>
      <c r="WOH2" s="2235"/>
      <c r="WOI2" s="2235"/>
      <c r="WOJ2" s="2235"/>
      <c r="WOK2" s="2235"/>
      <c r="WOL2" s="2235"/>
      <c r="WOM2" s="2235"/>
      <c r="WON2" s="2235"/>
      <c r="WOO2" s="2235"/>
      <c r="WOP2" s="2235"/>
      <c r="WOQ2" s="2235"/>
      <c r="WOR2" s="2235"/>
      <c r="WOS2" s="2235"/>
      <c r="WOT2" s="2235"/>
      <c r="WOU2" s="2235"/>
      <c r="WOV2" s="2235"/>
      <c r="WOW2" s="2235"/>
      <c r="WOX2" s="2235"/>
      <c r="WOY2" s="2235"/>
      <c r="WOZ2" s="2235"/>
      <c r="WPA2" s="2235"/>
      <c r="WPB2" s="2235"/>
      <c r="WPC2" s="2235"/>
      <c r="WPD2" s="2235"/>
      <c r="WPE2" s="2235"/>
      <c r="WPF2" s="2235"/>
      <c r="WPG2" s="2235"/>
      <c r="WPH2" s="2235"/>
      <c r="WPI2" s="2235"/>
      <c r="WPJ2" s="2235"/>
      <c r="WPK2" s="2235"/>
      <c r="WPL2" s="2235"/>
      <c r="WPM2" s="2235"/>
      <c r="WPN2" s="2235"/>
      <c r="WPO2" s="2235"/>
      <c r="WPP2" s="2235"/>
      <c r="WPQ2" s="2235"/>
      <c r="WPR2" s="2235"/>
      <c r="WPS2" s="2235"/>
      <c r="WPT2" s="2235"/>
      <c r="WPU2" s="2235"/>
      <c r="WPV2" s="2235"/>
      <c r="WPW2" s="2235"/>
      <c r="WPX2" s="2235"/>
      <c r="WPY2" s="2235"/>
      <c r="WPZ2" s="2235"/>
      <c r="WQA2" s="2235"/>
      <c r="WQB2" s="2235"/>
      <c r="WQC2" s="2235"/>
      <c r="WQD2" s="2235"/>
      <c r="WQE2" s="2235"/>
      <c r="WQF2" s="2235"/>
      <c r="WQG2" s="2235"/>
      <c r="WQH2" s="2235"/>
      <c r="WQI2" s="2235"/>
      <c r="WQJ2" s="2235"/>
      <c r="WQK2" s="2235"/>
      <c r="WQL2" s="2235"/>
      <c r="WQM2" s="2235"/>
      <c r="WQN2" s="2235"/>
      <c r="WQO2" s="2235"/>
      <c r="WQP2" s="2235"/>
      <c r="WQQ2" s="2235"/>
      <c r="WQR2" s="2235"/>
      <c r="WQS2" s="2235"/>
      <c r="WQT2" s="2235"/>
      <c r="WQU2" s="2235"/>
      <c r="WQV2" s="2235"/>
      <c r="WQW2" s="2235"/>
      <c r="WQX2" s="2235"/>
      <c r="WQY2" s="2235"/>
      <c r="WQZ2" s="2235"/>
      <c r="WRA2" s="2235"/>
      <c r="WRB2" s="2235"/>
      <c r="WRC2" s="2235"/>
      <c r="WRD2" s="2235"/>
      <c r="WRE2" s="2235"/>
      <c r="WRF2" s="2235"/>
      <c r="WRG2" s="2235"/>
      <c r="WRH2" s="2235"/>
      <c r="WRI2" s="2235"/>
      <c r="WRJ2" s="2235"/>
      <c r="WRK2" s="2235"/>
      <c r="WRL2" s="2235"/>
      <c r="WRM2" s="2235"/>
      <c r="WRN2" s="2235"/>
      <c r="WRO2" s="2235"/>
      <c r="WRP2" s="2235"/>
      <c r="WRQ2" s="2235"/>
      <c r="WRR2" s="2235"/>
      <c r="WRS2" s="2235"/>
      <c r="WRT2" s="2235"/>
      <c r="WRU2" s="2235"/>
      <c r="WRV2" s="2235"/>
      <c r="WRW2" s="2235"/>
      <c r="WRX2" s="2235"/>
      <c r="WRY2" s="2235"/>
      <c r="WRZ2" s="2235"/>
      <c r="WSA2" s="2235"/>
      <c r="WSB2" s="2235"/>
      <c r="WSC2" s="2235"/>
      <c r="WSD2" s="2235"/>
      <c r="WSE2" s="2235"/>
      <c r="WSF2" s="2235"/>
      <c r="WSG2" s="2235"/>
      <c r="WSH2" s="2235"/>
      <c r="WSI2" s="2235"/>
      <c r="WSJ2" s="2235"/>
      <c r="WSK2" s="2235"/>
      <c r="WSL2" s="2235"/>
      <c r="WSM2" s="2235"/>
      <c r="WSN2" s="2235"/>
      <c r="WSO2" s="2235"/>
      <c r="WSP2" s="2235"/>
      <c r="WSQ2" s="2235"/>
      <c r="WSR2" s="2235"/>
      <c r="WSS2" s="2235"/>
      <c r="WST2" s="2235"/>
      <c r="WSU2" s="2235"/>
      <c r="WSV2" s="2235"/>
      <c r="WSW2" s="2235"/>
      <c r="WSX2" s="2235"/>
      <c r="WSY2" s="2235"/>
      <c r="WSZ2" s="2235"/>
      <c r="WTA2" s="2235"/>
      <c r="WTB2" s="2235"/>
      <c r="WTC2" s="2235"/>
      <c r="WTD2" s="2235"/>
      <c r="WTE2" s="2235"/>
      <c r="WTF2" s="2235"/>
      <c r="WTG2" s="2235"/>
      <c r="WTH2" s="2235"/>
      <c r="WTI2" s="2235"/>
      <c r="WTJ2" s="2235"/>
      <c r="WTK2" s="2235"/>
      <c r="WTL2" s="2235"/>
      <c r="WTM2" s="2235"/>
      <c r="WTN2" s="2235"/>
      <c r="WTO2" s="2235"/>
      <c r="WTP2" s="2235"/>
      <c r="WTQ2" s="2235"/>
      <c r="WTR2" s="2235"/>
      <c r="WTS2" s="2235"/>
      <c r="WTT2" s="2235"/>
      <c r="WTU2" s="2235"/>
      <c r="WTV2" s="2235"/>
      <c r="WTW2" s="2235"/>
      <c r="WTX2" s="2235"/>
      <c r="WTY2" s="2235"/>
      <c r="WTZ2" s="2235"/>
      <c r="WUA2" s="2235"/>
      <c r="WUB2" s="2235"/>
      <c r="WUC2" s="2235"/>
      <c r="WUD2" s="2235"/>
      <c r="WUE2" s="2235"/>
      <c r="WUF2" s="2235"/>
      <c r="WUG2" s="2235"/>
      <c r="WUH2" s="2235"/>
      <c r="WUI2" s="2235"/>
      <c r="WUJ2" s="2235"/>
      <c r="WUK2" s="2235"/>
      <c r="WUL2" s="2235"/>
      <c r="WUM2" s="2235"/>
      <c r="WUN2" s="2235"/>
      <c r="WUO2" s="2235"/>
      <c r="WUP2" s="2235"/>
      <c r="WUQ2" s="2235"/>
      <c r="WUR2" s="2235"/>
      <c r="WUS2" s="2235"/>
      <c r="WUT2" s="2235"/>
      <c r="WUU2" s="2235"/>
      <c r="WUV2" s="2235"/>
      <c r="WUW2" s="2235"/>
      <c r="WUX2" s="2235"/>
      <c r="WUY2" s="2235"/>
      <c r="WUZ2" s="2235"/>
      <c r="WVA2" s="2235"/>
      <c r="WVB2" s="2235"/>
      <c r="WVC2" s="2235"/>
      <c r="WVD2" s="2235"/>
      <c r="WVE2" s="2235"/>
      <c r="WVF2" s="2235"/>
      <c r="WVG2" s="2235"/>
      <c r="WVH2" s="2235"/>
      <c r="WVI2" s="2235"/>
      <c r="WVJ2" s="2235"/>
      <c r="WVK2" s="2235"/>
      <c r="WVL2" s="2235"/>
      <c r="WVM2" s="2235"/>
      <c r="WVN2" s="2235"/>
      <c r="WVO2" s="2235"/>
      <c r="WVP2" s="2235"/>
      <c r="WVQ2" s="2235"/>
      <c r="WVR2" s="2235"/>
      <c r="WVS2" s="2235"/>
      <c r="WVT2" s="2235"/>
      <c r="WVU2" s="2235"/>
      <c r="WVV2" s="2235"/>
      <c r="WVW2" s="2235"/>
      <c r="WVX2" s="2235"/>
      <c r="WVY2" s="2235"/>
      <c r="WVZ2" s="2235"/>
      <c r="WWA2" s="2235"/>
      <c r="WWB2" s="2235"/>
      <c r="WWC2" s="2235"/>
      <c r="WWD2" s="2235"/>
      <c r="WWE2" s="2235"/>
      <c r="WWF2" s="2235"/>
      <c r="WWG2" s="2235"/>
      <c r="WWH2" s="2235"/>
      <c r="WWI2" s="2235"/>
      <c r="WWJ2" s="2235"/>
      <c r="WWK2" s="2235"/>
      <c r="WWL2" s="2235"/>
      <c r="WWM2" s="2235"/>
      <c r="WWN2" s="2235"/>
      <c r="WWO2" s="2235"/>
      <c r="WWP2" s="2235"/>
      <c r="WWQ2" s="2235"/>
      <c r="WWR2" s="2235"/>
      <c r="WWS2" s="2235"/>
      <c r="WWT2" s="2235"/>
      <c r="WWU2" s="2235"/>
      <c r="WWV2" s="2235"/>
      <c r="WWW2" s="2235"/>
      <c r="WWX2" s="2235"/>
      <c r="WWY2" s="2235"/>
      <c r="WWZ2" s="2235"/>
      <c r="WXA2" s="2235"/>
      <c r="WXB2" s="2235"/>
      <c r="WXC2" s="2235"/>
      <c r="WXD2" s="2235"/>
      <c r="WXE2" s="2235"/>
      <c r="WXF2" s="2235"/>
      <c r="WXG2" s="2235"/>
      <c r="WXH2" s="2235"/>
      <c r="WXI2" s="2235"/>
      <c r="WXJ2" s="2235"/>
      <c r="WXK2" s="2235"/>
      <c r="WXL2" s="2235"/>
      <c r="WXM2" s="2235"/>
      <c r="WXN2" s="2235"/>
      <c r="WXO2" s="2235"/>
      <c r="WXP2" s="2235"/>
      <c r="WXQ2" s="2235"/>
      <c r="WXR2" s="2235"/>
      <c r="WXS2" s="2235"/>
      <c r="WXT2" s="2235"/>
      <c r="WXU2" s="2235"/>
      <c r="WXV2" s="2235"/>
      <c r="WXW2" s="2235"/>
      <c r="WXX2" s="2235"/>
      <c r="WXY2" s="2235"/>
      <c r="WXZ2" s="2235"/>
      <c r="WYA2" s="2235"/>
      <c r="WYB2" s="2235"/>
      <c r="WYC2" s="2235"/>
      <c r="WYD2" s="2235"/>
      <c r="WYE2" s="2235"/>
      <c r="WYF2" s="2235"/>
      <c r="WYG2" s="2235"/>
      <c r="WYH2" s="2235"/>
      <c r="WYI2" s="2235"/>
      <c r="WYJ2" s="2235"/>
      <c r="WYK2" s="2235"/>
      <c r="WYL2" s="2235"/>
      <c r="WYM2" s="2235"/>
      <c r="WYN2" s="2235"/>
      <c r="WYO2" s="2235"/>
      <c r="WYP2" s="2235"/>
      <c r="WYQ2" s="2235"/>
      <c r="WYR2" s="2235"/>
      <c r="WYS2" s="2235"/>
      <c r="WYT2" s="2235"/>
      <c r="WYU2" s="2235"/>
      <c r="WYV2" s="2235"/>
      <c r="WYW2" s="2235"/>
      <c r="WYX2" s="2235"/>
      <c r="WYY2" s="2235"/>
      <c r="WYZ2" s="2235"/>
      <c r="WZA2" s="2235"/>
      <c r="WZB2" s="2235"/>
      <c r="WZC2" s="2235"/>
      <c r="WZD2" s="2235"/>
      <c r="WZE2" s="2235"/>
      <c r="WZF2" s="2235"/>
      <c r="WZG2" s="2235"/>
      <c r="WZH2" s="2235"/>
      <c r="WZI2" s="2235"/>
      <c r="WZJ2" s="2235"/>
      <c r="WZK2" s="2235"/>
      <c r="WZL2" s="2235"/>
      <c r="WZM2" s="2235"/>
      <c r="WZN2" s="2235"/>
      <c r="WZO2" s="2235"/>
      <c r="WZP2" s="2235"/>
      <c r="WZQ2" s="2235"/>
      <c r="WZR2" s="2235"/>
      <c r="WZS2" s="2235"/>
      <c r="WZT2" s="2235"/>
      <c r="WZU2" s="2235"/>
      <c r="WZV2" s="2235"/>
      <c r="WZW2" s="2235"/>
      <c r="WZX2" s="2235"/>
      <c r="WZY2" s="2235"/>
      <c r="WZZ2" s="2235"/>
      <c r="XAA2" s="2235"/>
      <c r="XAB2" s="2235"/>
      <c r="XAC2" s="2235"/>
      <c r="XAD2" s="2235"/>
      <c r="XAE2" s="2235"/>
      <c r="XAF2" s="2235"/>
      <c r="XAG2" s="2235"/>
      <c r="XAH2" s="2235"/>
      <c r="XAI2" s="2235"/>
      <c r="XAJ2" s="2235"/>
      <c r="XAK2" s="2235"/>
      <c r="XAL2" s="2235"/>
      <c r="XAM2" s="2235"/>
      <c r="XAN2" s="2235"/>
      <c r="XAO2" s="2235"/>
      <c r="XAP2" s="2235"/>
      <c r="XAQ2" s="2235"/>
      <c r="XAR2" s="2235"/>
      <c r="XAS2" s="2235"/>
      <c r="XAT2" s="2235"/>
      <c r="XAU2" s="2235"/>
      <c r="XAV2" s="2235"/>
      <c r="XAW2" s="2235"/>
      <c r="XAX2" s="2235"/>
      <c r="XAY2" s="2235"/>
      <c r="XAZ2" s="2235"/>
      <c r="XBA2" s="2235"/>
      <c r="XBB2" s="2235"/>
      <c r="XBC2" s="2235"/>
      <c r="XBD2" s="2235"/>
      <c r="XBE2" s="2235"/>
      <c r="XBF2" s="2235"/>
      <c r="XBG2" s="2235"/>
      <c r="XBH2" s="2235"/>
      <c r="XBI2" s="2235"/>
      <c r="XBJ2" s="2235"/>
      <c r="XBK2" s="2235"/>
      <c r="XBL2" s="2235"/>
      <c r="XBM2" s="2235"/>
      <c r="XBN2" s="2235"/>
      <c r="XBO2" s="2235"/>
      <c r="XBP2" s="2235"/>
      <c r="XBQ2" s="2235"/>
      <c r="XBR2" s="2235"/>
      <c r="XBS2" s="2235"/>
      <c r="XBT2" s="2235"/>
      <c r="XBU2" s="2235"/>
      <c r="XBV2" s="2235"/>
      <c r="XBW2" s="2235"/>
      <c r="XBX2" s="2235"/>
      <c r="XBY2" s="2235"/>
      <c r="XBZ2" s="2235"/>
      <c r="XCA2" s="2235"/>
      <c r="XCB2" s="2235"/>
      <c r="XCC2" s="2235"/>
      <c r="XCD2" s="2235"/>
      <c r="XCE2" s="2235"/>
      <c r="XCF2" s="2235"/>
      <c r="XCG2" s="2235"/>
      <c r="XCH2" s="2235"/>
      <c r="XCI2" s="2235"/>
      <c r="XCJ2" s="2235"/>
      <c r="XCK2" s="2235"/>
      <c r="XCL2" s="2235"/>
      <c r="XCM2" s="2235"/>
      <c r="XCN2" s="2235"/>
      <c r="XCO2" s="2235"/>
      <c r="XCP2" s="2235"/>
      <c r="XCQ2" s="2235"/>
      <c r="XCR2" s="2235"/>
      <c r="XCS2" s="2235"/>
      <c r="XCT2" s="2235"/>
      <c r="XCU2" s="2235"/>
      <c r="XCV2" s="2235"/>
      <c r="XCW2" s="2235"/>
      <c r="XCX2" s="2235"/>
      <c r="XCY2" s="2235"/>
      <c r="XCZ2" s="2235"/>
      <c r="XDA2" s="2235"/>
      <c r="XDB2" s="2235"/>
      <c r="XDC2" s="2235"/>
      <c r="XDD2" s="2235"/>
      <c r="XDE2" s="2235"/>
      <c r="XDF2" s="2235"/>
      <c r="XDG2" s="2235"/>
      <c r="XDH2" s="2235"/>
      <c r="XDI2" s="2235"/>
      <c r="XDJ2" s="2235"/>
      <c r="XDK2" s="2235"/>
      <c r="XDL2" s="2235"/>
      <c r="XDM2" s="2235"/>
      <c r="XDN2" s="2235"/>
      <c r="XDO2" s="2235"/>
      <c r="XDP2" s="2235"/>
      <c r="XDQ2" s="2235"/>
      <c r="XDR2" s="2235"/>
      <c r="XDS2" s="2235"/>
      <c r="XDT2" s="2235"/>
      <c r="XDU2" s="2235"/>
      <c r="XDV2" s="2235"/>
      <c r="XDW2" s="2235"/>
      <c r="XDX2" s="2235"/>
      <c r="XDY2" s="2235"/>
    </row>
    <row r="3" spans="1:16353" s="3430" customFormat="1" ht="108">
      <c r="A3" s="3423">
        <v>89</v>
      </c>
      <c r="B3" s="3424">
        <v>2013</v>
      </c>
      <c r="C3" s="3425">
        <v>10</v>
      </c>
      <c r="D3" s="3426">
        <v>1</v>
      </c>
      <c r="E3" s="3426" t="s">
        <v>3375</v>
      </c>
      <c r="F3" s="3426" t="s">
        <v>3376</v>
      </c>
      <c r="G3" s="3426" t="s">
        <v>3460</v>
      </c>
      <c r="H3" s="3426" t="s">
        <v>3377</v>
      </c>
      <c r="I3" s="3426" t="s">
        <v>3378</v>
      </c>
      <c r="J3" s="3426" t="s">
        <v>3379</v>
      </c>
      <c r="K3" s="3427" t="s">
        <v>3380</v>
      </c>
      <c r="L3" s="3428">
        <v>31.83</v>
      </c>
      <c r="M3" s="3428">
        <v>4.93</v>
      </c>
      <c r="N3" s="3428">
        <v>59.12</v>
      </c>
      <c r="O3" s="3428">
        <v>35058.93</v>
      </c>
      <c r="P3" s="3429" t="s">
        <v>3381</v>
      </c>
      <c r="Q3" s="3427" t="s">
        <v>3382</v>
      </c>
      <c r="R3" s="3430">
        <v>28773.940000000002</v>
      </c>
      <c r="S3" s="3430">
        <v>5836</v>
      </c>
      <c r="T3">
        <v>904</v>
      </c>
    </row>
    <row r="4" spans="1:16353" ht="156">
      <c r="A4" s="3402">
        <v>90</v>
      </c>
      <c r="B4" s="3403">
        <v>2013</v>
      </c>
      <c r="C4" s="3404">
        <v>10</v>
      </c>
      <c r="D4" s="3405">
        <v>2</v>
      </c>
      <c r="E4" s="3405" t="s">
        <v>3375</v>
      </c>
      <c r="F4" s="3405" t="s">
        <v>3376</v>
      </c>
      <c r="G4" s="3405" t="s">
        <v>3383</v>
      </c>
      <c r="H4" s="3405" t="s">
        <v>3384</v>
      </c>
      <c r="I4" s="3405" t="s">
        <v>3378</v>
      </c>
      <c r="J4" s="3405" t="s">
        <v>3191</v>
      </c>
      <c r="K4" s="3406" t="s">
        <v>3385</v>
      </c>
      <c r="L4" s="3407">
        <v>15.146100000000001</v>
      </c>
      <c r="M4" s="3407">
        <v>10.7849</v>
      </c>
      <c r="N4" s="3407">
        <v>11.552300000000001</v>
      </c>
      <c r="O4" s="3407">
        <v>80185.16</v>
      </c>
      <c r="P4" s="3408" t="s">
        <v>3386</v>
      </c>
      <c r="Q4" s="3406" t="s">
        <v>3387</v>
      </c>
      <c r="R4">
        <v>260800.06</v>
      </c>
      <c r="S4">
        <v>24182</v>
      </c>
    </row>
    <row r="5" spans="1:16353" ht="144">
      <c r="A5" s="3402">
        <v>91</v>
      </c>
      <c r="B5" s="3403">
        <v>2013</v>
      </c>
      <c r="C5" s="3404">
        <v>10</v>
      </c>
      <c r="D5" s="3405">
        <v>3</v>
      </c>
      <c r="E5" s="3405" t="s">
        <v>3375</v>
      </c>
      <c r="F5" s="3405" t="s">
        <v>3376</v>
      </c>
      <c r="G5" s="3405" t="s">
        <v>3388</v>
      </c>
      <c r="H5" s="3405" t="s">
        <v>3389</v>
      </c>
      <c r="I5" s="3405" t="s">
        <v>3378</v>
      </c>
      <c r="J5" s="3405" t="s">
        <v>3390</v>
      </c>
      <c r="K5" s="3406" t="s">
        <v>3385</v>
      </c>
      <c r="L5" s="3407">
        <v>104.85</v>
      </c>
      <c r="M5" s="3407">
        <v>104.85</v>
      </c>
      <c r="N5" s="3407">
        <v>72.180000000000007</v>
      </c>
      <c r="O5" s="3407">
        <v>475099.3</v>
      </c>
      <c r="P5" s="3408" t="s">
        <v>3391</v>
      </c>
      <c r="Q5" s="3406" t="s">
        <v>3387</v>
      </c>
      <c r="R5">
        <v>2890004.16</v>
      </c>
      <c r="S5">
        <v>27563</v>
      </c>
    </row>
    <row r="6" spans="1:16353" s="3430" customFormat="1" ht="156">
      <c r="A6" s="3423">
        <v>114</v>
      </c>
      <c r="B6" s="3424">
        <v>2014</v>
      </c>
      <c r="C6" s="3425">
        <v>4</v>
      </c>
      <c r="D6" s="3426">
        <v>4</v>
      </c>
      <c r="E6" s="3426" t="s">
        <v>3375</v>
      </c>
      <c r="F6" s="3426" t="s">
        <v>3376</v>
      </c>
      <c r="G6" s="3426" t="s">
        <v>3392</v>
      </c>
      <c r="H6" s="3426" t="s">
        <v>3384</v>
      </c>
      <c r="I6" s="3426" t="s">
        <v>3378</v>
      </c>
      <c r="J6" s="3426" t="s">
        <v>3393</v>
      </c>
      <c r="K6" s="3427" t="s">
        <v>3394</v>
      </c>
      <c r="L6" s="3428">
        <v>34.880000000000003</v>
      </c>
      <c r="M6" s="3428">
        <v>21.75</v>
      </c>
      <c r="N6" s="3428">
        <v>32.450000000000003</v>
      </c>
      <c r="O6" s="3428">
        <v>60839.75</v>
      </c>
      <c r="P6" s="3429" t="s">
        <v>3395</v>
      </c>
      <c r="Q6" s="3427"/>
      <c r="R6" s="3430">
        <v>39193.35</v>
      </c>
      <c r="S6" s="3430">
        <v>1802</v>
      </c>
    </row>
    <row r="7" spans="1:16353" ht="180">
      <c r="A7" s="3402">
        <v>138</v>
      </c>
      <c r="B7" s="3403">
        <v>2014</v>
      </c>
      <c r="C7" s="3404">
        <v>7</v>
      </c>
      <c r="D7" s="3405">
        <v>4</v>
      </c>
      <c r="E7" s="3405" t="s">
        <v>3375</v>
      </c>
      <c r="F7" s="3405" t="s">
        <v>3376</v>
      </c>
      <c r="G7" s="3405" t="s">
        <v>3396</v>
      </c>
      <c r="H7" s="3405" t="s">
        <v>3384</v>
      </c>
      <c r="I7" s="3405" t="s">
        <v>3378</v>
      </c>
      <c r="J7" s="3405" t="s">
        <v>3397</v>
      </c>
      <c r="K7" s="3406" t="s">
        <v>3398</v>
      </c>
      <c r="L7" s="3407">
        <v>41.59</v>
      </c>
      <c r="M7" s="3407">
        <v>19.170000000000002</v>
      </c>
      <c r="N7" s="3407">
        <v>44.7</v>
      </c>
      <c r="O7" s="3407">
        <v>158987.97500000001</v>
      </c>
      <c r="P7" s="3408" t="s">
        <v>3399</v>
      </c>
      <c r="Q7" s="3409" t="s">
        <v>3400</v>
      </c>
      <c r="R7">
        <v>270553</v>
      </c>
      <c r="S7">
        <v>14113</v>
      </c>
    </row>
    <row r="8" spans="1:16353" s="3430" customFormat="1" ht="162">
      <c r="A8" s="3423">
        <v>197</v>
      </c>
      <c r="B8" s="3423">
        <v>2015</v>
      </c>
      <c r="C8" s="3425">
        <v>6</v>
      </c>
      <c r="D8" s="3426">
        <v>1</v>
      </c>
      <c r="E8" s="3428" t="s">
        <v>3375</v>
      </c>
      <c r="F8" s="3428" t="s">
        <v>3376</v>
      </c>
      <c r="G8" s="3428" t="s">
        <v>3461</v>
      </c>
      <c r="H8" s="3428" t="s">
        <v>3401</v>
      </c>
      <c r="I8" s="3428" t="s">
        <v>3402</v>
      </c>
      <c r="J8" s="3428" t="s">
        <v>3403</v>
      </c>
      <c r="K8" s="3428" t="s">
        <v>3458</v>
      </c>
      <c r="L8" s="3431">
        <v>6.03</v>
      </c>
      <c r="M8" s="3431">
        <v>4.26</v>
      </c>
      <c r="N8" s="3431">
        <v>11.17</v>
      </c>
      <c r="O8" s="3432">
        <v>23843.200000000001</v>
      </c>
      <c r="P8" s="3429" t="s">
        <v>3459</v>
      </c>
      <c r="Q8" s="3433" t="s">
        <v>3404</v>
      </c>
      <c r="R8" s="3434">
        <v>23549.71</v>
      </c>
      <c r="S8" s="3430">
        <v>5528</v>
      </c>
      <c r="T8">
        <v>3905</v>
      </c>
      <c r="U8" s="3434"/>
      <c r="V8" s="3434"/>
      <c r="W8" s="3434"/>
      <c r="X8" s="3434"/>
      <c r="Y8" s="3434"/>
      <c r="Z8" s="3434"/>
      <c r="AA8" s="3434"/>
      <c r="AB8" s="3434"/>
      <c r="AC8" s="3434"/>
      <c r="AD8" s="3434"/>
      <c r="AE8" s="3434"/>
      <c r="AF8" s="3434"/>
      <c r="AG8" s="3434"/>
      <c r="AH8" s="3434"/>
      <c r="AI8" s="3434"/>
      <c r="AJ8" s="3434"/>
      <c r="AK8" s="3434"/>
      <c r="AL8" s="3434"/>
      <c r="AM8" s="3434"/>
      <c r="AN8" s="3434"/>
      <c r="AO8" s="3434"/>
      <c r="AP8" s="3434"/>
      <c r="AQ8" s="3434"/>
      <c r="AR8" s="3434"/>
      <c r="AS8" s="3434"/>
      <c r="AT8" s="3434"/>
      <c r="AU8" s="3434"/>
      <c r="AV8" s="3434"/>
      <c r="AW8" s="3434"/>
      <c r="AX8" s="3434"/>
      <c r="AY8" s="3434"/>
      <c r="AZ8" s="3434"/>
      <c r="BA8" s="3434"/>
      <c r="BB8" s="3434"/>
      <c r="BC8" s="3434"/>
      <c r="BD8" s="3434"/>
      <c r="BE8" s="3434"/>
      <c r="BF8" s="3434"/>
      <c r="BG8" s="3434"/>
      <c r="BH8" s="3434"/>
      <c r="BI8" s="3434"/>
      <c r="BJ8" s="3434"/>
      <c r="BK8" s="3434"/>
      <c r="BL8" s="3434"/>
      <c r="BM8" s="3434"/>
      <c r="BN8" s="3434"/>
      <c r="BO8" s="3434"/>
      <c r="BP8" s="3434"/>
      <c r="BQ8" s="3434"/>
      <c r="BR8" s="3434"/>
      <c r="BS8" s="3434"/>
      <c r="BT8" s="3434"/>
      <c r="BU8" s="3434"/>
      <c r="BV8" s="3434"/>
      <c r="BW8" s="3434"/>
      <c r="BX8" s="3434"/>
      <c r="BY8" s="3434"/>
      <c r="BZ8" s="3434"/>
      <c r="CA8" s="3434"/>
      <c r="CB8" s="3434"/>
      <c r="CC8" s="3434"/>
      <c r="CD8" s="3434"/>
      <c r="CE8" s="3434"/>
      <c r="CF8" s="3434"/>
      <c r="CG8" s="3434"/>
      <c r="CH8" s="3434"/>
      <c r="CI8" s="3434"/>
      <c r="CJ8" s="3434"/>
      <c r="CK8" s="3434"/>
      <c r="CL8" s="3434"/>
      <c r="CM8" s="3434"/>
      <c r="CN8" s="3434"/>
      <c r="CO8" s="3434"/>
      <c r="CP8" s="3434"/>
      <c r="CQ8" s="3434"/>
      <c r="CR8" s="3434"/>
      <c r="CS8" s="3434"/>
      <c r="CT8" s="3434"/>
      <c r="CU8" s="3434"/>
      <c r="CV8" s="3434"/>
      <c r="CW8" s="3434"/>
      <c r="CX8" s="3434"/>
      <c r="CY8" s="3434"/>
      <c r="CZ8" s="3434"/>
      <c r="DA8" s="3434"/>
      <c r="DB8" s="3434"/>
      <c r="DC8" s="3434"/>
      <c r="DD8" s="3434"/>
      <c r="DE8" s="3434"/>
      <c r="DF8" s="3434"/>
      <c r="DG8" s="3434"/>
      <c r="DH8" s="3434"/>
      <c r="DI8" s="3434"/>
      <c r="DJ8" s="3434"/>
      <c r="DK8" s="3434"/>
      <c r="DL8" s="3434"/>
      <c r="DM8" s="3434"/>
      <c r="DN8" s="3434"/>
      <c r="DO8" s="3434"/>
      <c r="DP8" s="3434"/>
      <c r="DQ8" s="3434"/>
      <c r="DR8" s="3434"/>
      <c r="DS8" s="3434"/>
      <c r="DT8" s="3434"/>
      <c r="DU8" s="3434"/>
      <c r="DV8" s="3434"/>
      <c r="DW8" s="3434"/>
      <c r="DX8" s="3434"/>
      <c r="DY8" s="3434"/>
      <c r="DZ8" s="3434"/>
      <c r="EA8" s="3434"/>
      <c r="EB8" s="3434"/>
      <c r="EC8" s="3434"/>
      <c r="ED8" s="3434"/>
      <c r="EE8" s="3434"/>
      <c r="EF8" s="3434"/>
      <c r="EG8" s="3434"/>
      <c r="EH8" s="3434"/>
      <c r="EI8" s="3434"/>
      <c r="EJ8" s="3434"/>
      <c r="EK8" s="3434"/>
      <c r="EL8" s="3434"/>
      <c r="EM8" s="3434"/>
      <c r="EN8" s="3434"/>
      <c r="EO8" s="3434"/>
      <c r="EP8" s="3434"/>
      <c r="EQ8" s="3434"/>
      <c r="ER8" s="3434"/>
      <c r="ES8" s="3434"/>
      <c r="ET8" s="3434"/>
      <c r="EU8" s="3434"/>
      <c r="EV8" s="3434"/>
      <c r="EW8" s="3434"/>
      <c r="EX8" s="3434"/>
      <c r="EY8" s="3434"/>
      <c r="EZ8" s="3434"/>
      <c r="FA8" s="3434"/>
      <c r="FB8" s="3434"/>
      <c r="FC8" s="3434"/>
      <c r="FD8" s="3434"/>
      <c r="FE8" s="3434"/>
      <c r="FF8" s="3434"/>
      <c r="FG8" s="3434"/>
      <c r="FH8" s="3434"/>
      <c r="FI8" s="3434"/>
      <c r="FJ8" s="3434"/>
      <c r="FK8" s="3434"/>
      <c r="FL8" s="3434"/>
      <c r="FM8" s="3434"/>
      <c r="FN8" s="3434"/>
      <c r="FO8" s="3434"/>
      <c r="FP8" s="3434"/>
      <c r="FQ8" s="3434"/>
      <c r="FR8" s="3434"/>
      <c r="FS8" s="3434"/>
      <c r="FT8" s="3434"/>
      <c r="FU8" s="3434"/>
      <c r="FV8" s="3434"/>
      <c r="FW8" s="3434"/>
      <c r="FX8" s="3434"/>
      <c r="FY8" s="3434"/>
      <c r="FZ8" s="3434"/>
      <c r="GA8" s="3434"/>
      <c r="GB8" s="3434"/>
      <c r="GC8" s="3434"/>
      <c r="GD8" s="3434"/>
      <c r="GE8" s="3434"/>
      <c r="GF8" s="3434"/>
      <c r="GG8" s="3434"/>
      <c r="GH8" s="3434"/>
      <c r="GI8" s="3434"/>
      <c r="GJ8" s="3434"/>
      <c r="GK8" s="3434"/>
      <c r="GL8" s="3434"/>
      <c r="GM8" s="3434"/>
      <c r="GN8" s="3434"/>
      <c r="GO8" s="3434"/>
      <c r="GP8" s="3434"/>
      <c r="GQ8" s="3434"/>
      <c r="GR8" s="3434"/>
      <c r="GS8" s="3434"/>
      <c r="GT8" s="3434"/>
      <c r="GU8" s="3434"/>
      <c r="GV8" s="3434"/>
      <c r="GW8" s="3434"/>
      <c r="GX8" s="3434"/>
      <c r="GY8" s="3434"/>
      <c r="GZ8" s="3434"/>
      <c r="HA8" s="3434"/>
      <c r="HB8" s="3434"/>
      <c r="HC8" s="3434"/>
      <c r="HD8" s="3434"/>
      <c r="HE8" s="3434"/>
      <c r="HF8" s="3434"/>
      <c r="HG8" s="3434"/>
      <c r="HH8" s="3434"/>
      <c r="HI8" s="3434"/>
      <c r="HJ8" s="3434"/>
      <c r="HK8" s="3434"/>
      <c r="HL8" s="3434"/>
      <c r="HM8" s="3434"/>
      <c r="HN8" s="3434"/>
      <c r="HO8" s="3434"/>
      <c r="HP8" s="3434"/>
      <c r="HQ8" s="3434"/>
      <c r="HR8" s="3434"/>
      <c r="HS8" s="3434"/>
      <c r="HT8" s="3434"/>
      <c r="HU8" s="3434"/>
      <c r="HV8" s="3434"/>
      <c r="HW8" s="3434"/>
      <c r="HX8" s="3434"/>
      <c r="HY8" s="3434"/>
      <c r="HZ8" s="3434"/>
      <c r="IA8" s="3434"/>
      <c r="IB8" s="3434"/>
      <c r="IC8" s="3434"/>
      <c r="ID8" s="3434"/>
      <c r="IE8" s="3434"/>
      <c r="IF8" s="3434"/>
      <c r="IG8" s="3434"/>
      <c r="IH8" s="3434"/>
      <c r="II8" s="3434"/>
      <c r="IJ8" s="3434"/>
      <c r="IK8" s="3434"/>
      <c r="IL8" s="3434"/>
      <c r="IM8" s="3434"/>
      <c r="IN8" s="3434"/>
      <c r="IO8" s="3434"/>
      <c r="IP8" s="3434"/>
      <c r="IQ8" s="3434"/>
      <c r="IR8" s="3434"/>
      <c r="IS8" s="3434"/>
      <c r="IT8" s="3434"/>
      <c r="IU8" s="3434"/>
      <c r="IV8" s="3434"/>
      <c r="IW8" s="3434"/>
      <c r="IX8" s="3434"/>
      <c r="IY8" s="3434"/>
      <c r="IZ8" s="3434"/>
      <c r="JA8" s="3434"/>
      <c r="JB8" s="3434"/>
      <c r="JC8" s="3434"/>
      <c r="JD8" s="3434"/>
      <c r="JE8" s="3434"/>
      <c r="JF8" s="3434"/>
      <c r="JG8" s="3434"/>
      <c r="JH8" s="3434"/>
      <c r="JI8" s="3434"/>
      <c r="JJ8" s="3434"/>
      <c r="JK8" s="3434"/>
      <c r="JL8" s="3434"/>
      <c r="JM8" s="3434"/>
      <c r="JN8" s="3434"/>
      <c r="JO8" s="3434"/>
      <c r="JP8" s="3434"/>
      <c r="JQ8" s="3434"/>
      <c r="JR8" s="3434"/>
      <c r="JS8" s="3434"/>
      <c r="JT8" s="3434"/>
      <c r="JU8" s="3434"/>
      <c r="JV8" s="3434"/>
      <c r="JW8" s="3434"/>
      <c r="JX8" s="3434"/>
      <c r="JY8" s="3434"/>
      <c r="JZ8" s="3434"/>
      <c r="KA8" s="3434"/>
      <c r="KB8" s="3434"/>
      <c r="KC8" s="3434"/>
      <c r="KD8" s="3434"/>
      <c r="KE8" s="3434"/>
      <c r="KF8" s="3434"/>
      <c r="KG8" s="3434"/>
      <c r="KH8" s="3434"/>
      <c r="KI8" s="3434"/>
      <c r="KJ8" s="3434"/>
      <c r="KK8" s="3434"/>
      <c r="KL8" s="3434"/>
      <c r="KM8" s="3434"/>
      <c r="KN8" s="3434"/>
      <c r="KO8" s="3434"/>
      <c r="KP8" s="3434"/>
      <c r="KQ8" s="3434"/>
      <c r="KR8" s="3434"/>
      <c r="KS8" s="3434"/>
      <c r="KT8" s="3434"/>
      <c r="KU8" s="3434"/>
      <c r="KV8" s="3434"/>
      <c r="KW8" s="3434"/>
      <c r="KX8" s="3434"/>
      <c r="KY8" s="3434"/>
      <c r="KZ8" s="3434"/>
      <c r="LA8" s="3434"/>
      <c r="LB8" s="3434"/>
      <c r="LC8" s="3434"/>
      <c r="LD8" s="3434"/>
      <c r="LE8" s="3434"/>
      <c r="LF8" s="3434"/>
      <c r="LG8" s="3434"/>
      <c r="LH8" s="3434"/>
      <c r="LI8" s="3434"/>
      <c r="LJ8" s="3434"/>
      <c r="LK8" s="3434"/>
      <c r="LL8" s="3434"/>
      <c r="LM8" s="3434"/>
      <c r="LN8" s="3434"/>
      <c r="LO8" s="3434"/>
      <c r="LP8" s="3434"/>
      <c r="LQ8" s="3434"/>
      <c r="LR8" s="3434"/>
      <c r="LS8" s="3434"/>
      <c r="LT8" s="3434"/>
      <c r="LU8" s="3434"/>
      <c r="LV8" s="3434"/>
      <c r="LW8" s="3434"/>
      <c r="LX8" s="3434"/>
      <c r="LY8" s="3434"/>
      <c r="LZ8" s="3434"/>
      <c r="MA8" s="3434"/>
      <c r="MB8" s="3434"/>
      <c r="MC8" s="3434"/>
      <c r="MD8" s="3434"/>
      <c r="ME8" s="3434"/>
      <c r="MF8" s="3434"/>
      <c r="MG8" s="3434"/>
      <c r="MH8" s="3434"/>
      <c r="MI8" s="3434"/>
      <c r="MJ8" s="3434"/>
      <c r="MK8" s="3434"/>
      <c r="ML8" s="3434"/>
      <c r="MM8" s="3434"/>
      <c r="MN8" s="3434"/>
      <c r="MO8" s="3434"/>
      <c r="MP8" s="3434"/>
      <c r="MQ8" s="3434"/>
      <c r="MR8" s="3434"/>
      <c r="MS8" s="3434"/>
      <c r="MT8" s="3434"/>
      <c r="MU8" s="3434"/>
      <c r="MV8" s="3434"/>
      <c r="MW8" s="3434"/>
      <c r="MX8" s="3434"/>
      <c r="MY8" s="3434"/>
      <c r="MZ8" s="3434"/>
      <c r="NA8" s="3434"/>
      <c r="NB8" s="3434"/>
      <c r="NC8" s="3434"/>
      <c r="ND8" s="3434"/>
      <c r="NE8" s="3434"/>
      <c r="NF8" s="3434"/>
      <c r="NG8" s="3434"/>
      <c r="NH8" s="3434"/>
      <c r="NI8" s="3434"/>
      <c r="NJ8" s="3434"/>
      <c r="NK8" s="3434"/>
      <c r="NL8" s="3434"/>
      <c r="NM8" s="3434"/>
      <c r="NN8" s="3434"/>
      <c r="NO8" s="3434"/>
      <c r="NP8" s="3434"/>
      <c r="NQ8" s="3434"/>
      <c r="NR8" s="3434"/>
      <c r="NS8" s="3434"/>
      <c r="NT8" s="3434"/>
      <c r="NU8" s="3434"/>
      <c r="NV8" s="3434"/>
      <c r="NW8" s="3434"/>
      <c r="NX8" s="3434"/>
      <c r="NY8" s="3434"/>
      <c r="NZ8" s="3434"/>
      <c r="OA8" s="3434"/>
      <c r="OB8" s="3434"/>
      <c r="OC8" s="3434"/>
      <c r="OD8" s="3434"/>
      <c r="OE8" s="3434"/>
      <c r="OF8" s="3434"/>
      <c r="OG8" s="3434"/>
      <c r="OH8" s="3434"/>
      <c r="OI8" s="3434"/>
      <c r="OJ8" s="3434"/>
      <c r="OK8" s="3434"/>
      <c r="OL8" s="3434"/>
      <c r="OM8" s="3434"/>
      <c r="ON8" s="3434"/>
      <c r="OO8" s="3434"/>
      <c r="OP8" s="3434"/>
      <c r="OQ8" s="3434"/>
      <c r="OR8" s="3434"/>
      <c r="OS8" s="3434"/>
      <c r="OT8" s="3434"/>
      <c r="OU8" s="3434"/>
      <c r="OV8" s="3434"/>
      <c r="OW8" s="3434"/>
      <c r="OX8" s="3434"/>
      <c r="OY8" s="3434"/>
      <c r="OZ8" s="3434"/>
      <c r="PA8" s="3434"/>
      <c r="PB8" s="3434"/>
      <c r="PC8" s="3434"/>
      <c r="PD8" s="3434"/>
      <c r="PE8" s="3434"/>
      <c r="PF8" s="3434"/>
      <c r="PG8" s="3434"/>
      <c r="PH8" s="3434"/>
      <c r="PI8" s="3434"/>
      <c r="PJ8" s="3434"/>
      <c r="PK8" s="3434"/>
      <c r="PL8" s="3434"/>
      <c r="PM8" s="3434"/>
      <c r="PN8" s="3434"/>
      <c r="PO8" s="3434"/>
      <c r="PP8" s="3434"/>
      <c r="PQ8" s="3434"/>
      <c r="PR8" s="3434"/>
      <c r="PS8" s="3434"/>
      <c r="PT8" s="3434"/>
      <c r="PU8" s="3434"/>
      <c r="PV8" s="3434"/>
      <c r="PW8" s="3434"/>
      <c r="PX8" s="3434"/>
      <c r="PY8" s="3434"/>
      <c r="PZ8" s="3434"/>
      <c r="QA8" s="3434"/>
      <c r="QB8" s="3434"/>
      <c r="QC8" s="3434"/>
      <c r="QD8" s="3434"/>
      <c r="QE8" s="3434"/>
      <c r="QF8" s="3434"/>
      <c r="QG8" s="3434"/>
      <c r="QH8" s="3434"/>
      <c r="QI8" s="3434"/>
      <c r="QJ8" s="3434"/>
      <c r="QK8" s="3434"/>
      <c r="QL8" s="3434"/>
      <c r="QM8" s="3434"/>
      <c r="QN8" s="3434"/>
      <c r="QO8" s="3434"/>
      <c r="QP8" s="3434"/>
      <c r="QQ8" s="3434"/>
      <c r="QR8" s="3434"/>
      <c r="QS8" s="3434"/>
      <c r="QT8" s="3434"/>
      <c r="QU8" s="3434"/>
      <c r="QV8" s="3434"/>
      <c r="QW8" s="3434"/>
      <c r="QX8" s="3434"/>
      <c r="QY8" s="3434"/>
      <c r="QZ8" s="3434"/>
      <c r="RA8" s="3434"/>
      <c r="RB8" s="3434"/>
      <c r="RC8" s="3434"/>
      <c r="RD8" s="3434"/>
      <c r="RE8" s="3434"/>
      <c r="RF8" s="3434"/>
      <c r="RG8" s="3434"/>
      <c r="RH8" s="3434"/>
      <c r="RI8" s="3434"/>
      <c r="RJ8" s="3434"/>
      <c r="RK8" s="3434"/>
      <c r="RL8" s="3434"/>
      <c r="RM8" s="3434"/>
      <c r="RN8" s="3434"/>
      <c r="RO8" s="3434"/>
      <c r="RP8" s="3434"/>
      <c r="RQ8" s="3434"/>
      <c r="RR8" s="3434"/>
      <c r="RS8" s="3434"/>
      <c r="RT8" s="3434"/>
      <c r="RU8" s="3434"/>
      <c r="RV8" s="3434"/>
      <c r="RW8" s="3434"/>
      <c r="RX8" s="3434"/>
      <c r="RY8" s="3434"/>
      <c r="RZ8" s="3434"/>
      <c r="SA8" s="3434"/>
      <c r="SB8" s="3434"/>
      <c r="SC8" s="3434"/>
      <c r="SD8" s="3434"/>
      <c r="SE8" s="3434"/>
      <c r="SF8" s="3434"/>
      <c r="SG8" s="3434"/>
      <c r="SH8" s="3434"/>
      <c r="SI8" s="3434"/>
      <c r="SJ8" s="3434"/>
      <c r="SK8" s="3434"/>
      <c r="SL8" s="3434"/>
      <c r="SM8" s="3434"/>
      <c r="SN8" s="3434"/>
      <c r="SO8" s="3434"/>
      <c r="SP8" s="3434"/>
      <c r="SQ8" s="3434"/>
      <c r="SR8" s="3434"/>
      <c r="SS8" s="3434"/>
      <c r="ST8" s="3434"/>
      <c r="SU8" s="3434"/>
      <c r="SV8" s="3434"/>
      <c r="SW8" s="3434"/>
      <c r="SX8" s="3434"/>
      <c r="SY8" s="3434"/>
      <c r="SZ8" s="3434"/>
      <c r="TA8" s="3434"/>
      <c r="TB8" s="3434"/>
      <c r="TC8" s="3434"/>
      <c r="TD8" s="3434"/>
      <c r="TE8" s="3434"/>
      <c r="TF8" s="3434"/>
      <c r="TG8" s="3434"/>
      <c r="TH8" s="3434"/>
      <c r="TI8" s="3434"/>
      <c r="TJ8" s="3434"/>
      <c r="TK8" s="3434"/>
      <c r="TL8" s="3434"/>
      <c r="TM8" s="3434"/>
      <c r="TN8" s="3434"/>
      <c r="TO8" s="3434"/>
      <c r="TP8" s="3434"/>
      <c r="TQ8" s="3434"/>
      <c r="TR8" s="3434"/>
      <c r="TS8" s="3434"/>
      <c r="TT8" s="3434"/>
      <c r="TU8" s="3434"/>
      <c r="TV8" s="3434"/>
      <c r="TW8" s="3434"/>
      <c r="TX8" s="3434"/>
      <c r="TY8" s="3434"/>
      <c r="TZ8" s="3434"/>
      <c r="UA8" s="3434"/>
      <c r="UB8" s="3434"/>
      <c r="UC8" s="3434"/>
      <c r="UD8" s="3434"/>
      <c r="UE8" s="3434"/>
      <c r="UF8" s="3434"/>
      <c r="UG8" s="3434"/>
      <c r="UH8" s="3434"/>
      <c r="UI8" s="3434"/>
      <c r="UJ8" s="3434"/>
      <c r="UK8" s="3434"/>
      <c r="UL8" s="3434"/>
      <c r="UM8" s="3434"/>
      <c r="UN8" s="3434"/>
      <c r="UO8" s="3434"/>
      <c r="UP8" s="3434"/>
      <c r="UQ8" s="3434"/>
      <c r="UR8" s="3434"/>
      <c r="US8" s="3434"/>
      <c r="UT8" s="3434"/>
      <c r="UU8" s="3434"/>
      <c r="UV8" s="3434"/>
      <c r="UW8" s="3434"/>
      <c r="UX8" s="3434"/>
      <c r="UY8" s="3434"/>
      <c r="UZ8" s="3434"/>
      <c r="VA8" s="3434"/>
      <c r="VB8" s="3434"/>
      <c r="VC8" s="3434"/>
      <c r="VD8" s="3434"/>
      <c r="VE8" s="3434"/>
      <c r="VF8" s="3434"/>
      <c r="VG8" s="3434"/>
      <c r="VH8" s="3434"/>
      <c r="VI8" s="3434"/>
      <c r="VJ8" s="3434"/>
      <c r="VK8" s="3434"/>
      <c r="VL8" s="3434"/>
      <c r="VM8" s="3434"/>
      <c r="VN8" s="3434"/>
      <c r="VO8" s="3434"/>
      <c r="VP8" s="3434"/>
      <c r="VQ8" s="3434"/>
      <c r="VR8" s="3434"/>
      <c r="VS8" s="3434"/>
      <c r="VT8" s="3434"/>
      <c r="VU8" s="3434"/>
      <c r="VV8" s="3434"/>
      <c r="VW8" s="3434"/>
      <c r="VX8" s="3434"/>
      <c r="VY8" s="3434"/>
      <c r="VZ8" s="3434"/>
      <c r="WA8" s="3434"/>
      <c r="WB8" s="3434"/>
      <c r="WC8" s="3434"/>
      <c r="WD8" s="3434"/>
      <c r="WE8" s="3434"/>
      <c r="WF8" s="3434"/>
      <c r="WG8" s="3434"/>
      <c r="WH8" s="3434"/>
      <c r="WI8" s="3434"/>
      <c r="WJ8" s="3434"/>
      <c r="WK8" s="3434"/>
      <c r="WL8" s="3434"/>
      <c r="WM8" s="3434"/>
      <c r="WN8" s="3434"/>
      <c r="WO8" s="3434"/>
      <c r="WP8" s="3434"/>
      <c r="WQ8" s="3434"/>
      <c r="WR8" s="3434"/>
      <c r="WS8" s="3434"/>
      <c r="WT8" s="3434"/>
      <c r="WU8" s="3434"/>
      <c r="WV8" s="3434"/>
      <c r="WW8" s="3434"/>
      <c r="WX8" s="3434"/>
      <c r="WY8" s="3434"/>
      <c r="WZ8" s="3434"/>
      <c r="XA8" s="3434"/>
      <c r="XB8" s="3434"/>
      <c r="XC8" s="3434"/>
      <c r="XD8" s="3434"/>
      <c r="XE8" s="3434"/>
      <c r="XF8" s="3434"/>
      <c r="XG8" s="3434"/>
      <c r="XH8" s="3434"/>
      <c r="XI8" s="3434"/>
      <c r="XJ8" s="3434"/>
      <c r="XK8" s="3434"/>
      <c r="XL8" s="3434"/>
      <c r="XM8" s="3434"/>
      <c r="XN8" s="3434"/>
      <c r="XO8" s="3434"/>
      <c r="XP8" s="3434"/>
      <c r="XQ8" s="3434"/>
      <c r="XR8" s="3434"/>
      <c r="XS8" s="3434"/>
      <c r="XT8" s="3434"/>
      <c r="XU8" s="3434"/>
      <c r="XV8" s="3434"/>
      <c r="XW8" s="3434"/>
      <c r="XX8" s="3434"/>
      <c r="XY8" s="3434"/>
      <c r="XZ8" s="3434"/>
      <c r="YA8" s="3434"/>
      <c r="YB8" s="3434"/>
      <c r="YC8" s="3434"/>
      <c r="YD8" s="3434"/>
      <c r="YE8" s="3434"/>
      <c r="YF8" s="3434"/>
      <c r="YG8" s="3434"/>
      <c r="YH8" s="3434"/>
      <c r="YI8" s="3434"/>
      <c r="YJ8" s="3434"/>
      <c r="YK8" s="3434"/>
      <c r="YL8" s="3434"/>
      <c r="YM8" s="3434"/>
      <c r="YN8" s="3434"/>
      <c r="YO8" s="3434"/>
      <c r="YP8" s="3434"/>
      <c r="YQ8" s="3434"/>
      <c r="YR8" s="3434"/>
      <c r="YS8" s="3434"/>
      <c r="YT8" s="3434"/>
      <c r="YU8" s="3434"/>
      <c r="YV8" s="3434"/>
      <c r="YW8" s="3434"/>
      <c r="YX8" s="3434"/>
      <c r="YY8" s="3434"/>
      <c r="YZ8" s="3434"/>
      <c r="ZA8" s="3434"/>
      <c r="ZB8" s="3434"/>
      <c r="ZC8" s="3434"/>
      <c r="ZD8" s="3434"/>
      <c r="ZE8" s="3434"/>
      <c r="ZF8" s="3434"/>
      <c r="ZG8" s="3434"/>
      <c r="ZH8" s="3434"/>
      <c r="ZI8" s="3434"/>
      <c r="ZJ8" s="3434"/>
      <c r="ZK8" s="3434"/>
      <c r="ZL8" s="3434"/>
      <c r="ZM8" s="3434"/>
      <c r="ZN8" s="3434"/>
      <c r="ZO8" s="3434"/>
      <c r="ZP8" s="3434"/>
      <c r="ZQ8" s="3434"/>
      <c r="ZR8" s="3434"/>
      <c r="ZS8" s="3434"/>
      <c r="ZT8" s="3434"/>
      <c r="ZU8" s="3434"/>
      <c r="ZV8" s="3434"/>
      <c r="ZW8" s="3434"/>
      <c r="ZX8" s="3434"/>
      <c r="ZY8" s="3434"/>
      <c r="ZZ8" s="3434"/>
      <c r="AAA8" s="3434"/>
      <c r="AAB8" s="3434"/>
      <c r="AAC8" s="3434"/>
      <c r="AAD8" s="3434"/>
      <c r="AAE8" s="3434"/>
      <c r="AAF8" s="3434"/>
      <c r="AAG8" s="3434"/>
      <c r="AAH8" s="3434"/>
      <c r="AAI8" s="3434"/>
      <c r="AAJ8" s="3434"/>
      <c r="AAK8" s="3434"/>
      <c r="AAL8" s="3434"/>
      <c r="AAM8" s="3434"/>
      <c r="AAN8" s="3434"/>
      <c r="AAO8" s="3434"/>
      <c r="AAP8" s="3434"/>
      <c r="AAQ8" s="3434"/>
      <c r="AAR8" s="3434"/>
      <c r="AAS8" s="3434"/>
      <c r="AAT8" s="3434"/>
      <c r="AAU8" s="3434"/>
      <c r="AAV8" s="3434"/>
      <c r="AAW8" s="3434"/>
      <c r="AAX8" s="3434"/>
      <c r="AAY8" s="3434"/>
      <c r="AAZ8" s="3434"/>
      <c r="ABA8" s="3434"/>
      <c r="ABB8" s="3434"/>
      <c r="ABC8" s="3434"/>
      <c r="ABD8" s="3434"/>
      <c r="ABE8" s="3434"/>
      <c r="ABF8" s="3434"/>
      <c r="ABG8" s="3434"/>
      <c r="ABH8" s="3434"/>
      <c r="ABI8" s="3434"/>
      <c r="ABJ8" s="3434"/>
      <c r="ABK8" s="3434"/>
      <c r="ABL8" s="3434"/>
      <c r="ABM8" s="3434"/>
      <c r="ABN8" s="3434"/>
      <c r="ABO8" s="3434"/>
      <c r="ABP8" s="3434"/>
      <c r="ABQ8" s="3434"/>
      <c r="ABR8" s="3434"/>
      <c r="ABS8" s="3434"/>
      <c r="ABT8" s="3434"/>
      <c r="ABU8" s="3434"/>
      <c r="ABV8" s="3434"/>
      <c r="ABW8" s="3434"/>
      <c r="ABX8" s="3434"/>
      <c r="ABY8" s="3434"/>
      <c r="ABZ8" s="3434"/>
      <c r="ACA8" s="3434"/>
      <c r="ACB8" s="3434"/>
      <c r="ACC8" s="3434"/>
      <c r="ACD8" s="3434"/>
      <c r="ACE8" s="3434"/>
      <c r="ACF8" s="3434"/>
      <c r="ACG8" s="3434"/>
      <c r="ACH8" s="3434"/>
      <c r="ACI8" s="3434"/>
      <c r="ACJ8" s="3434"/>
      <c r="ACK8" s="3434"/>
      <c r="ACL8" s="3434"/>
      <c r="ACM8" s="3434"/>
      <c r="ACN8" s="3434"/>
      <c r="ACO8" s="3434"/>
      <c r="ACP8" s="3434"/>
      <c r="ACQ8" s="3434"/>
      <c r="ACR8" s="3434"/>
      <c r="ACS8" s="3434"/>
      <c r="ACT8" s="3434"/>
      <c r="ACU8" s="3434"/>
      <c r="ACV8" s="3434"/>
      <c r="ACW8" s="3434"/>
      <c r="ACX8" s="3434"/>
      <c r="ACY8" s="3434"/>
      <c r="ACZ8" s="3434"/>
      <c r="ADA8" s="3434"/>
      <c r="ADB8" s="3434"/>
      <c r="ADC8" s="3434"/>
      <c r="ADD8" s="3434"/>
      <c r="ADE8" s="3434"/>
      <c r="ADF8" s="3434"/>
      <c r="ADG8" s="3434"/>
      <c r="ADH8" s="3434"/>
      <c r="ADI8" s="3434"/>
      <c r="ADJ8" s="3434"/>
      <c r="ADK8" s="3434"/>
      <c r="ADL8" s="3434"/>
      <c r="ADM8" s="3434"/>
      <c r="ADN8" s="3434"/>
      <c r="ADO8" s="3434"/>
      <c r="ADP8" s="3434"/>
      <c r="ADQ8" s="3434"/>
      <c r="ADR8" s="3434"/>
      <c r="ADS8" s="3434"/>
      <c r="ADT8" s="3434"/>
      <c r="ADU8" s="3434"/>
      <c r="ADV8" s="3434"/>
      <c r="ADW8" s="3434"/>
      <c r="ADX8" s="3434"/>
      <c r="ADY8" s="3434"/>
      <c r="ADZ8" s="3434"/>
      <c r="AEA8" s="3434"/>
      <c r="AEB8" s="3434"/>
      <c r="AEC8" s="3434"/>
      <c r="AED8" s="3434"/>
      <c r="AEE8" s="3434"/>
      <c r="AEF8" s="3434"/>
      <c r="AEG8" s="3434"/>
      <c r="AEH8" s="3434"/>
      <c r="AEI8" s="3434"/>
      <c r="AEJ8" s="3434"/>
      <c r="AEK8" s="3434"/>
      <c r="AEL8" s="3434"/>
      <c r="AEM8" s="3434"/>
      <c r="AEN8" s="3434"/>
      <c r="AEO8" s="3434"/>
      <c r="AEP8" s="3434"/>
      <c r="AEQ8" s="3434"/>
      <c r="AER8" s="3434"/>
      <c r="AES8" s="3434"/>
      <c r="AET8" s="3434"/>
      <c r="AEU8" s="3434"/>
      <c r="AEV8" s="3434"/>
      <c r="AEW8" s="3434"/>
      <c r="AEX8" s="3434"/>
      <c r="AEY8" s="3434"/>
      <c r="AEZ8" s="3434"/>
      <c r="AFA8" s="3434"/>
      <c r="AFB8" s="3434"/>
      <c r="AFC8" s="3434"/>
      <c r="AFD8" s="3434"/>
      <c r="AFE8" s="3434"/>
      <c r="AFF8" s="3434"/>
      <c r="AFG8" s="3434"/>
      <c r="AFH8" s="3434"/>
      <c r="AFI8" s="3434"/>
      <c r="AFJ8" s="3434"/>
      <c r="AFK8" s="3434"/>
      <c r="AFL8" s="3434"/>
      <c r="AFM8" s="3434"/>
      <c r="AFN8" s="3434"/>
      <c r="AFO8" s="3434"/>
      <c r="AFP8" s="3434"/>
      <c r="AFQ8" s="3434"/>
      <c r="AFR8" s="3434"/>
      <c r="AFS8" s="3434"/>
      <c r="AFT8" s="3434"/>
      <c r="AFU8" s="3434"/>
      <c r="AFV8" s="3434"/>
      <c r="AFW8" s="3434"/>
      <c r="AFX8" s="3434"/>
      <c r="AFY8" s="3434"/>
      <c r="AFZ8" s="3434"/>
      <c r="AGA8" s="3434"/>
      <c r="AGB8" s="3434"/>
      <c r="AGC8" s="3434"/>
      <c r="AGD8" s="3434"/>
      <c r="AGE8" s="3434"/>
      <c r="AGF8" s="3434"/>
      <c r="AGG8" s="3434"/>
      <c r="AGH8" s="3434"/>
      <c r="AGI8" s="3434"/>
      <c r="AGJ8" s="3434"/>
      <c r="AGK8" s="3434"/>
      <c r="AGL8" s="3434"/>
      <c r="AGM8" s="3434"/>
      <c r="AGN8" s="3434"/>
      <c r="AGO8" s="3434"/>
      <c r="AGP8" s="3434"/>
      <c r="AGQ8" s="3434"/>
      <c r="AGR8" s="3434"/>
      <c r="AGS8" s="3434"/>
      <c r="AGT8" s="3434"/>
      <c r="AGU8" s="3434"/>
      <c r="AGV8" s="3434"/>
      <c r="AGW8" s="3434"/>
      <c r="AGX8" s="3434"/>
      <c r="AGY8" s="3434"/>
      <c r="AGZ8" s="3434"/>
      <c r="AHA8" s="3434"/>
      <c r="AHB8" s="3434"/>
      <c r="AHC8" s="3434"/>
      <c r="AHD8" s="3434"/>
      <c r="AHE8" s="3434"/>
      <c r="AHF8" s="3434"/>
      <c r="AHG8" s="3434"/>
      <c r="AHH8" s="3434"/>
      <c r="AHI8" s="3434"/>
      <c r="AHJ8" s="3434"/>
      <c r="AHK8" s="3434"/>
      <c r="AHL8" s="3434"/>
      <c r="AHM8" s="3434"/>
      <c r="AHN8" s="3434"/>
      <c r="AHO8" s="3434"/>
      <c r="AHP8" s="3434"/>
      <c r="AHQ8" s="3434"/>
      <c r="AHR8" s="3434"/>
      <c r="AHS8" s="3434"/>
      <c r="AHT8" s="3434"/>
      <c r="AHU8" s="3434"/>
      <c r="AHV8" s="3434"/>
      <c r="AHW8" s="3434"/>
      <c r="AHX8" s="3434"/>
      <c r="AHY8" s="3434"/>
      <c r="AHZ8" s="3434"/>
      <c r="AIA8" s="3434"/>
      <c r="AIB8" s="3434"/>
      <c r="AIC8" s="3434"/>
      <c r="AID8" s="3434"/>
      <c r="AIE8" s="3434"/>
      <c r="AIF8" s="3434"/>
      <c r="AIG8" s="3434"/>
      <c r="AIH8" s="3434"/>
      <c r="AII8" s="3434"/>
      <c r="AIJ8" s="3434"/>
      <c r="AIK8" s="3434"/>
      <c r="AIL8" s="3434"/>
      <c r="AIM8" s="3434"/>
      <c r="AIN8" s="3434"/>
      <c r="AIO8" s="3434"/>
      <c r="AIP8" s="3434"/>
      <c r="AIQ8" s="3434"/>
      <c r="AIR8" s="3434"/>
      <c r="AIS8" s="3434"/>
      <c r="AIT8" s="3434"/>
      <c r="AIU8" s="3434"/>
      <c r="AIV8" s="3434"/>
      <c r="AIW8" s="3434"/>
      <c r="AIX8" s="3434"/>
      <c r="AIY8" s="3434"/>
      <c r="AIZ8" s="3434"/>
      <c r="AJA8" s="3434"/>
      <c r="AJB8" s="3434"/>
      <c r="AJC8" s="3434"/>
      <c r="AJD8" s="3434"/>
      <c r="AJE8" s="3434"/>
      <c r="AJF8" s="3434"/>
      <c r="AJG8" s="3434"/>
      <c r="AJH8" s="3434"/>
      <c r="AJI8" s="3434"/>
      <c r="AJJ8" s="3434"/>
      <c r="AJK8" s="3434"/>
      <c r="AJL8" s="3434"/>
      <c r="AJM8" s="3434"/>
      <c r="AJN8" s="3434"/>
      <c r="AJO8" s="3434"/>
      <c r="AJP8" s="3434"/>
      <c r="AJQ8" s="3434"/>
      <c r="AJR8" s="3434"/>
      <c r="AJS8" s="3434"/>
      <c r="AJT8" s="3434"/>
      <c r="AJU8" s="3434"/>
      <c r="AJV8" s="3434"/>
      <c r="AJW8" s="3434"/>
      <c r="AJX8" s="3434"/>
      <c r="AJY8" s="3434"/>
      <c r="AJZ8" s="3434"/>
      <c r="AKA8" s="3434"/>
      <c r="AKB8" s="3434"/>
      <c r="AKC8" s="3434"/>
      <c r="AKD8" s="3434"/>
      <c r="AKE8" s="3434"/>
      <c r="AKF8" s="3434"/>
      <c r="AKG8" s="3434"/>
      <c r="AKH8" s="3434"/>
      <c r="AKI8" s="3434"/>
      <c r="AKJ8" s="3434"/>
      <c r="AKK8" s="3434"/>
      <c r="AKL8" s="3434"/>
      <c r="AKM8" s="3434"/>
      <c r="AKN8" s="3434"/>
      <c r="AKO8" s="3434"/>
      <c r="AKP8" s="3434"/>
      <c r="AKQ8" s="3434"/>
      <c r="AKR8" s="3434"/>
      <c r="AKS8" s="3434"/>
      <c r="AKT8" s="3434"/>
      <c r="AKU8" s="3434"/>
      <c r="AKV8" s="3434"/>
      <c r="AKW8" s="3434"/>
      <c r="AKX8" s="3434"/>
      <c r="AKY8" s="3434"/>
      <c r="AKZ8" s="3434"/>
      <c r="ALA8" s="3434"/>
      <c r="ALB8" s="3434"/>
      <c r="ALC8" s="3434"/>
      <c r="ALD8" s="3434"/>
      <c r="ALE8" s="3434"/>
      <c r="ALF8" s="3434"/>
      <c r="ALG8" s="3434"/>
      <c r="ALH8" s="3434"/>
      <c r="ALI8" s="3434"/>
      <c r="ALJ8" s="3434"/>
      <c r="ALK8" s="3434"/>
      <c r="ALL8" s="3434"/>
      <c r="ALM8" s="3434"/>
      <c r="ALN8" s="3434"/>
      <c r="ALO8" s="3434"/>
      <c r="ALP8" s="3434"/>
      <c r="ALQ8" s="3434"/>
      <c r="ALR8" s="3434"/>
      <c r="ALS8" s="3434"/>
      <c r="ALT8" s="3434"/>
      <c r="ALU8" s="3434"/>
      <c r="ALV8" s="3434"/>
      <c r="ALW8" s="3434"/>
      <c r="ALX8" s="3434"/>
      <c r="ALY8" s="3434"/>
      <c r="ALZ8" s="3434"/>
      <c r="AMA8" s="3434"/>
      <c r="AMB8" s="3434"/>
      <c r="AMC8" s="3434"/>
      <c r="AMD8" s="3434"/>
      <c r="AME8" s="3434"/>
      <c r="AMF8" s="3434"/>
      <c r="AMG8" s="3434"/>
      <c r="AMH8" s="3434"/>
      <c r="AMI8" s="3434"/>
      <c r="AMJ8" s="3434"/>
      <c r="AMK8" s="3434"/>
      <c r="AML8" s="3434"/>
      <c r="AMM8" s="3434"/>
      <c r="AMN8" s="3434"/>
      <c r="AMO8" s="3434"/>
      <c r="AMP8" s="3434"/>
      <c r="AMQ8" s="3434"/>
      <c r="AMR8" s="3434"/>
      <c r="AMS8" s="3434"/>
      <c r="AMT8" s="3434"/>
      <c r="AMU8" s="3434"/>
      <c r="AMV8" s="3434"/>
      <c r="AMW8" s="3434"/>
      <c r="AMX8" s="3434"/>
      <c r="AMY8" s="3434"/>
      <c r="AMZ8" s="3434"/>
      <c r="ANA8" s="3434"/>
      <c r="ANB8" s="3434"/>
      <c r="ANC8" s="3434"/>
      <c r="AND8" s="3434"/>
      <c r="ANE8" s="3434"/>
      <c r="ANF8" s="3434"/>
      <c r="ANG8" s="3434"/>
      <c r="ANH8" s="3434"/>
      <c r="ANI8" s="3434"/>
      <c r="ANJ8" s="3434"/>
      <c r="ANK8" s="3434"/>
      <c r="ANL8" s="3434"/>
      <c r="ANM8" s="3434"/>
      <c r="ANN8" s="3434"/>
      <c r="ANO8" s="3434"/>
      <c r="ANP8" s="3434"/>
      <c r="ANQ8" s="3434"/>
      <c r="ANR8" s="3434"/>
      <c r="ANS8" s="3434"/>
      <c r="ANT8" s="3434"/>
      <c r="ANU8" s="3434"/>
      <c r="ANV8" s="3434"/>
      <c r="ANW8" s="3434"/>
      <c r="ANX8" s="3434"/>
      <c r="ANY8" s="3434"/>
      <c r="ANZ8" s="3434"/>
      <c r="AOA8" s="3434"/>
      <c r="AOB8" s="3434"/>
      <c r="AOC8" s="3434"/>
      <c r="AOD8" s="3434"/>
      <c r="AOE8" s="3434"/>
      <c r="AOF8" s="3434"/>
      <c r="AOG8" s="3434"/>
      <c r="AOH8" s="3434"/>
      <c r="AOI8" s="3434"/>
      <c r="AOJ8" s="3434"/>
      <c r="AOK8" s="3434"/>
      <c r="AOL8" s="3434"/>
      <c r="AOM8" s="3434"/>
      <c r="AON8" s="3434"/>
      <c r="AOO8" s="3434"/>
      <c r="AOP8" s="3434"/>
      <c r="AOQ8" s="3434"/>
      <c r="AOR8" s="3434"/>
      <c r="AOS8" s="3434"/>
      <c r="AOT8" s="3434"/>
      <c r="AOU8" s="3434"/>
      <c r="AOV8" s="3434"/>
      <c r="AOW8" s="3434"/>
      <c r="AOX8" s="3434"/>
      <c r="AOY8" s="3434"/>
      <c r="AOZ8" s="3434"/>
      <c r="APA8" s="3434"/>
      <c r="APB8" s="3434"/>
      <c r="APC8" s="3434"/>
      <c r="APD8" s="3434"/>
      <c r="APE8" s="3434"/>
      <c r="APF8" s="3434"/>
      <c r="APG8" s="3434"/>
      <c r="APH8" s="3434"/>
      <c r="API8" s="3434"/>
      <c r="APJ8" s="3434"/>
      <c r="APK8" s="3434"/>
      <c r="APL8" s="3434"/>
      <c r="APM8" s="3434"/>
      <c r="APN8" s="3434"/>
      <c r="APO8" s="3434"/>
      <c r="APP8" s="3434"/>
      <c r="APQ8" s="3434"/>
      <c r="APR8" s="3434"/>
      <c r="APS8" s="3434"/>
      <c r="APT8" s="3434"/>
      <c r="APU8" s="3434"/>
      <c r="APV8" s="3434"/>
      <c r="APW8" s="3434"/>
      <c r="APX8" s="3434"/>
      <c r="APY8" s="3434"/>
      <c r="APZ8" s="3434"/>
      <c r="AQA8" s="3434"/>
      <c r="AQB8" s="3434"/>
      <c r="AQC8" s="3434"/>
      <c r="AQD8" s="3434"/>
      <c r="AQE8" s="3434"/>
      <c r="AQF8" s="3434"/>
      <c r="AQG8" s="3434"/>
      <c r="AQH8" s="3434"/>
      <c r="AQI8" s="3434"/>
      <c r="AQJ8" s="3434"/>
      <c r="AQK8" s="3434"/>
      <c r="AQL8" s="3434"/>
      <c r="AQM8" s="3434"/>
      <c r="AQN8" s="3434"/>
      <c r="AQO8" s="3434"/>
      <c r="AQP8" s="3434"/>
      <c r="AQQ8" s="3434"/>
      <c r="AQR8" s="3434"/>
      <c r="AQS8" s="3434"/>
      <c r="AQT8" s="3434"/>
      <c r="AQU8" s="3434"/>
      <c r="AQV8" s="3434"/>
      <c r="AQW8" s="3434"/>
      <c r="AQX8" s="3434"/>
      <c r="AQY8" s="3434"/>
      <c r="AQZ8" s="3434"/>
      <c r="ARA8" s="3434"/>
      <c r="ARB8" s="3434"/>
      <c r="ARC8" s="3434"/>
      <c r="ARD8" s="3434"/>
      <c r="ARE8" s="3434"/>
      <c r="ARF8" s="3434"/>
      <c r="ARG8" s="3434"/>
      <c r="ARH8" s="3434"/>
      <c r="ARI8" s="3434"/>
      <c r="ARJ8" s="3434"/>
      <c r="ARK8" s="3434"/>
      <c r="ARL8" s="3434"/>
      <c r="ARM8" s="3434"/>
      <c r="ARN8" s="3434"/>
      <c r="ARO8" s="3434"/>
      <c r="ARP8" s="3434"/>
      <c r="ARQ8" s="3434"/>
      <c r="ARR8" s="3434"/>
      <c r="ARS8" s="3434"/>
      <c r="ART8" s="3434"/>
      <c r="ARU8" s="3434"/>
      <c r="ARV8" s="3434"/>
      <c r="ARW8" s="3434"/>
      <c r="ARX8" s="3434"/>
      <c r="ARY8" s="3434"/>
      <c r="ARZ8" s="3434"/>
      <c r="ASA8" s="3434"/>
      <c r="ASB8" s="3434"/>
      <c r="ASC8" s="3434"/>
      <c r="ASD8" s="3434"/>
      <c r="ASE8" s="3434"/>
      <c r="ASF8" s="3434"/>
      <c r="ASG8" s="3434"/>
      <c r="ASH8" s="3434"/>
      <c r="ASI8" s="3434"/>
      <c r="ASJ8" s="3434"/>
      <c r="ASK8" s="3434"/>
      <c r="ASL8" s="3434"/>
      <c r="ASM8" s="3434"/>
      <c r="ASN8" s="3434"/>
      <c r="ASO8" s="3434"/>
      <c r="ASP8" s="3434"/>
      <c r="ASQ8" s="3434"/>
      <c r="ASR8" s="3434"/>
      <c r="ASS8" s="3434"/>
      <c r="AST8" s="3434"/>
      <c r="ASU8" s="3434"/>
      <c r="ASV8" s="3434"/>
      <c r="ASW8" s="3434"/>
      <c r="ASX8" s="3434"/>
      <c r="ASY8" s="3434"/>
      <c r="ASZ8" s="3434"/>
      <c r="ATA8" s="3434"/>
      <c r="ATB8" s="3434"/>
      <c r="ATC8" s="3434"/>
      <c r="ATD8" s="3434"/>
      <c r="ATE8" s="3434"/>
      <c r="ATF8" s="3434"/>
      <c r="ATG8" s="3434"/>
      <c r="ATH8" s="3434"/>
      <c r="ATI8" s="3434"/>
      <c r="ATJ8" s="3434"/>
      <c r="ATK8" s="3434"/>
      <c r="ATL8" s="3434"/>
      <c r="ATM8" s="3434"/>
      <c r="ATN8" s="3434"/>
      <c r="ATO8" s="3434"/>
      <c r="ATP8" s="3434"/>
      <c r="ATQ8" s="3434"/>
      <c r="ATR8" s="3434"/>
      <c r="ATS8" s="3434"/>
      <c r="ATT8" s="3434"/>
      <c r="ATU8" s="3434"/>
      <c r="ATV8" s="3434"/>
      <c r="ATW8" s="3434"/>
      <c r="ATX8" s="3434"/>
      <c r="ATY8" s="3434"/>
      <c r="ATZ8" s="3434"/>
      <c r="AUA8" s="3434"/>
      <c r="AUB8" s="3434"/>
      <c r="AUC8" s="3434"/>
      <c r="AUD8" s="3434"/>
      <c r="AUE8" s="3434"/>
      <c r="AUF8" s="3434"/>
      <c r="AUG8" s="3434"/>
      <c r="AUH8" s="3434"/>
      <c r="AUI8" s="3434"/>
      <c r="AUJ8" s="3434"/>
      <c r="AUK8" s="3434"/>
      <c r="AUL8" s="3434"/>
      <c r="AUM8" s="3434"/>
      <c r="AUN8" s="3434"/>
      <c r="AUO8" s="3434"/>
      <c r="AUP8" s="3434"/>
      <c r="AUQ8" s="3434"/>
      <c r="AUR8" s="3434"/>
      <c r="AUS8" s="3434"/>
      <c r="AUT8" s="3434"/>
      <c r="AUU8" s="3434"/>
      <c r="AUV8" s="3434"/>
      <c r="AUW8" s="3434"/>
      <c r="AUX8" s="3434"/>
      <c r="AUY8" s="3434"/>
      <c r="AUZ8" s="3434"/>
      <c r="AVA8" s="3434"/>
      <c r="AVB8" s="3434"/>
      <c r="AVC8" s="3434"/>
      <c r="AVD8" s="3434"/>
      <c r="AVE8" s="3434"/>
      <c r="AVF8" s="3434"/>
      <c r="AVG8" s="3434"/>
      <c r="AVH8" s="3434"/>
      <c r="AVI8" s="3434"/>
      <c r="AVJ8" s="3434"/>
      <c r="AVK8" s="3434"/>
      <c r="AVL8" s="3434"/>
      <c r="AVM8" s="3434"/>
      <c r="AVN8" s="3434"/>
      <c r="AVO8" s="3434"/>
      <c r="AVP8" s="3434"/>
      <c r="AVQ8" s="3434"/>
      <c r="AVR8" s="3434"/>
      <c r="AVS8" s="3434"/>
      <c r="AVT8" s="3434"/>
      <c r="AVU8" s="3434"/>
      <c r="AVV8" s="3434"/>
      <c r="AVW8" s="3434"/>
      <c r="AVX8" s="3434"/>
      <c r="AVY8" s="3434"/>
      <c r="AVZ8" s="3434"/>
      <c r="AWA8" s="3434"/>
      <c r="AWB8" s="3434"/>
      <c r="AWC8" s="3434"/>
      <c r="AWD8" s="3434"/>
      <c r="AWE8" s="3434"/>
      <c r="AWF8" s="3434"/>
      <c r="AWG8" s="3434"/>
      <c r="AWH8" s="3434"/>
      <c r="AWI8" s="3434"/>
      <c r="AWJ8" s="3434"/>
      <c r="AWK8" s="3434"/>
      <c r="AWL8" s="3434"/>
      <c r="AWM8" s="3434"/>
      <c r="AWN8" s="3434"/>
      <c r="AWO8" s="3434"/>
      <c r="AWP8" s="3434"/>
      <c r="AWQ8" s="3434"/>
      <c r="AWR8" s="3434"/>
      <c r="AWS8" s="3434"/>
      <c r="AWT8" s="3434"/>
      <c r="AWU8" s="3434"/>
      <c r="AWV8" s="3434"/>
      <c r="AWW8" s="3434"/>
      <c r="AWX8" s="3434"/>
      <c r="AWY8" s="3434"/>
      <c r="AWZ8" s="3434"/>
      <c r="AXA8" s="3434"/>
      <c r="AXB8" s="3434"/>
      <c r="AXC8" s="3434"/>
      <c r="AXD8" s="3434"/>
      <c r="AXE8" s="3434"/>
      <c r="AXF8" s="3434"/>
      <c r="AXG8" s="3434"/>
      <c r="AXH8" s="3434"/>
      <c r="AXI8" s="3434"/>
      <c r="AXJ8" s="3434"/>
      <c r="AXK8" s="3434"/>
      <c r="AXL8" s="3434"/>
      <c r="AXM8" s="3434"/>
      <c r="AXN8" s="3434"/>
      <c r="AXO8" s="3434"/>
      <c r="AXP8" s="3434"/>
      <c r="AXQ8" s="3434"/>
      <c r="AXR8" s="3434"/>
      <c r="AXS8" s="3434"/>
      <c r="AXT8" s="3434"/>
      <c r="AXU8" s="3434"/>
      <c r="AXV8" s="3434"/>
      <c r="AXW8" s="3434"/>
      <c r="AXX8" s="3434"/>
      <c r="AXY8" s="3434"/>
      <c r="AXZ8" s="3434"/>
      <c r="AYA8" s="3434"/>
      <c r="AYB8" s="3434"/>
      <c r="AYC8" s="3434"/>
      <c r="AYD8" s="3434"/>
      <c r="AYE8" s="3434"/>
      <c r="AYF8" s="3434"/>
      <c r="AYG8" s="3434"/>
      <c r="AYH8" s="3434"/>
      <c r="AYI8" s="3434"/>
      <c r="AYJ8" s="3434"/>
      <c r="AYK8" s="3434"/>
      <c r="AYL8" s="3434"/>
      <c r="AYM8" s="3434"/>
      <c r="AYN8" s="3434"/>
      <c r="AYO8" s="3434"/>
      <c r="AYP8" s="3434"/>
      <c r="AYQ8" s="3434"/>
      <c r="AYR8" s="3434"/>
      <c r="AYS8" s="3434"/>
      <c r="AYT8" s="3434"/>
      <c r="AYU8" s="3434"/>
      <c r="AYV8" s="3434"/>
      <c r="AYW8" s="3434"/>
      <c r="AYX8" s="3434"/>
      <c r="AYY8" s="3434"/>
      <c r="AYZ8" s="3434"/>
      <c r="AZA8" s="3434"/>
      <c r="AZB8" s="3434"/>
      <c r="AZC8" s="3434"/>
      <c r="AZD8" s="3434"/>
      <c r="AZE8" s="3434"/>
      <c r="AZF8" s="3434"/>
      <c r="AZG8" s="3434"/>
      <c r="AZH8" s="3434"/>
      <c r="AZI8" s="3434"/>
      <c r="AZJ8" s="3434"/>
      <c r="AZK8" s="3434"/>
      <c r="AZL8" s="3434"/>
      <c r="AZM8" s="3434"/>
      <c r="AZN8" s="3434"/>
      <c r="AZO8" s="3434"/>
      <c r="AZP8" s="3434"/>
      <c r="AZQ8" s="3434"/>
      <c r="AZR8" s="3434"/>
      <c r="AZS8" s="3434"/>
      <c r="AZT8" s="3434"/>
      <c r="AZU8" s="3434"/>
      <c r="AZV8" s="3434"/>
      <c r="AZW8" s="3434"/>
      <c r="AZX8" s="3434"/>
      <c r="AZY8" s="3434"/>
      <c r="AZZ8" s="3434"/>
      <c r="BAA8" s="3434"/>
      <c r="BAB8" s="3434"/>
      <c r="BAC8" s="3434"/>
      <c r="BAD8" s="3434"/>
      <c r="BAE8" s="3434"/>
      <c r="BAF8" s="3434"/>
      <c r="BAG8" s="3434"/>
      <c r="BAH8" s="3434"/>
      <c r="BAI8" s="3434"/>
      <c r="BAJ8" s="3434"/>
      <c r="BAK8" s="3434"/>
      <c r="BAL8" s="3434"/>
      <c r="BAM8" s="3434"/>
      <c r="BAN8" s="3434"/>
      <c r="BAO8" s="3434"/>
      <c r="BAP8" s="3434"/>
      <c r="BAQ8" s="3434"/>
      <c r="BAR8" s="3434"/>
      <c r="BAS8" s="3434"/>
      <c r="BAT8" s="3434"/>
      <c r="BAU8" s="3434"/>
      <c r="BAV8" s="3434"/>
      <c r="BAW8" s="3434"/>
      <c r="BAX8" s="3434"/>
      <c r="BAY8" s="3434"/>
      <c r="BAZ8" s="3434"/>
      <c r="BBA8" s="3434"/>
      <c r="BBB8" s="3434"/>
      <c r="BBC8" s="3434"/>
      <c r="BBD8" s="3434"/>
      <c r="BBE8" s="3434"/>
      <c r="BBF8" s="3434"/>
      <c r="BBG8" s="3434"/>
      <c r="BBH8" s="3434"/>
      <c r="BBI8" s="3434"/>
      <c r="BBJ8" s="3434"/>
      <c r="BBK8" s="3434"/>
      <c r="BBL8" s="3434"/>
      <c r="BBM8" s="3434"/>
      <c r="BBN8" s="3434"/>
      <c r="BBO8" s="3434"/>
      <c r="BBP8" s="3434"/>
      <c r="BBQ8" s="3434"/>
      <c r="BBR8" s="3434"/>
      <c r="BBS8" s="3434"/>
      <c r="BBT8" s="3434"/>
      <c r="BBU8" s="3434"/>
      <c r="BBV8" s="3434"/>
      <c r="BBW8" s="3434"/>
      <c r="BBX8" s="3434"/>
      <c r="BBY8" s="3434"/>
      <c r="BBZ8" s="3434"/>
      <c r="BCA8" s="3434"/>
      <c r="BCB8" s="3434"/>
      <c r="BCC8" s="3434"/>
      <c r="BCD8" s="3434"/>
      <c r="BCE8" s="3434"/>
      <c r="BCF8" s="3434"/>
      <c r="BCG8" s="3434"/>
      <c r="BCH8" s="3434"/>
      <c r="BCI8" s="3434"/>
      <c r="BCJ8" s="3434"/>
      <c r="BCK8" s="3434"/>
      <c r="BCL8" s="3434"/>
      <c r="BCM8" s="3434"/>
      <c r="BCN8" s="3434"/>
      <c r="BCO8" s="3434"/>
      <c r="BCP8" s="3434"/>
      <c r="BCQ8" s="3434"/>
      <c r="BCR8" s="3434"/>
      <c r="BCS8" s="3434"/>
      <c r="BCT8" s="3434"/>
      <c r="BCU8" s="3434"/>
      <c r="BCV8" s="3434"/>
      <c r="BCW8" s="3434"/>
      <c r="BCX8" s="3434"/>
      <c r="BCY8" s="3434"/>
      <c r="BCZ8" s="3434"/>
      <c r="BDA8" s="3434"/>
      <c r="BDB8" s="3434"/>
      <c r="BDC8" s="3434"/>
      <c r="BDD8" s="3434"/>
      <c r="BDE8" s="3434"/>
      <c r="BDF8" s="3434"/>
      <c r="BDG8" s="3434"/>
      <c r="BDH8" s="3434"/>
      <c r="BDI8" s="3434"/>
      <c r="BDJ8" s="3434"/>
      <c r="BDK8" s="3434"/>
      <c r="BDL8" s="3434"/>
      <c r="BDM8" s="3434"/>
      <c r="BDN8" s="3434"/>
      <c r="BDO8" s="3434"/>
      <c r="BDP8" s="3434"/>
      <c r="BDQ8" s="3434"/>
      <c r="BDR8" s="3434"/>
      <c r="BDS8" s="3434"/>
      <c r="BDT8" s="3434"/>
      <c r="BDU8" s="3434"/>
      <c r="BDV8" s="3434"/>
      <c r="BDW8" s="3434"/>
      <c r="BDX8" s="3434"/>
      <c r="BDY8" s="3434"/>
      <c r="BDZ8" s="3434"/>
      <c r="BEA8" s="3434"/>
      <c r="BEB8" s="3434"/>
      <c r="BEC8" s="3434"/>
      <c r="BED8" s="3434"/>
      <c r="BEE8" s="3434"/>
      <c r="BEF8" s="3434"/>
      <c r="BEG8" s="3434"/>
      <c r="BEH8" s="3434"/>
      <c r="BEI8" s="3434"/>
      <c r="BEJ8" s="3434"/>
      <c r="BEK8" s="3434"/>
      <c r="BEL8" s="3434"/>
      <c r="BEM8" s="3434"/>
      <c r="BEN8" s="3434"/>
      <c r="BEO8" s="3434"/>
      <c r="BEP8" s="3434"/>
      <c r="BEQ8" s="3434"/>
      <c r="BER8" s="3434"/>
      <c r="BES8" s="3434"/>
      <c r="BET8" s="3434"/>
      <c r="BEU8" s="3434"/>
      <c r="BEV8" s="3434"/>
      <c r="BEW8" s="3434"/>
      <c r="BEX8" s="3434"/>
      <c r="BEY8" s="3434"/>
      <c r="BEZ8" s="3434"/>
      <c r="BFA8" s="3434"/>
      <c r="BFB8" s="3434"/>
      <c r="BFC8" s="3434"/>
      <c r="BFD8" s="3434"/>
      <c r="BFE8" s="3434"/>
      <c r="BFF8" s="3434"/>
      <c r="BFG8" s="3434"/>
      <c r="BFH8" s="3434"/>
      <c r="BFI8" s="3434"/>
      <c r="BFJ8" s="3434"/>
      <c r="BFK8" s="3434"/>
      <c r="BFL8" s="3434"/>
      <c r="BFM8" s="3434"/>
      <c r="BFN8" s="3434"/>
      <c r="BFO8" s="3434"/>
      <c r="BFP8" s="3434"/>
      <c r="BFQ8" s="3434"/>
      <c r="BFR8" s="3434"/>
      <c r="BFS8" s="3434"/>
      <c r="BFT8" s="3434"/>
      <c r="BFU8" s="3434"/>
      <c r="BFV8" s="3434"/>
      <c r="BFW8" s="3434"/>
      <c r="BFX8" s="3434"/>
      <c r="BFY8" s="3434"/>
      <c r="BFZ8" s="3434"/>
      <c r="BGA8" s="3434"/>
      <c r="BGB8" s="3434"/>
      <c r="BGC8" s="3434"/>
      <c r="BGD8" s="3434"/>
      <c r="BGE8" s="3434"/>
      <c r="BGF8" s="3434"/>
      <c r="BGG8" s="3434"/>
      <c r="BGH8" s="3434"/>
      <c r="BGI8" s="3434"/>
      <c r="BGJ8" s="3434"/>
      <c r="BGK8" s="3434"/>
      <c r="BGL8" s="3434"/>
      <c r="BGM8" s="3434"/>
      <c r="BGN8" s="3434"/>
      <c r="BGO8" s="3434"/>
      <c r="BGP8" s="3434"/>
      <c r="BGQ8" s="3434"/>
      <c r="BGR8" s="3434"/>
      <c r="BGS8" s="3434"/>
      <c r="BGT8" s="3434"/>
      <c r="BGU8" s="3434"/>
      <c r="BGV8" s="3434"/>
      <c r="BGW8" s="3434"/>
      <c r="BGX8" s="3434"/>
      <c r="BGY8" s="3434"/>
      <c r="BGZ8" s="3434"/>
      <c r="BHA8" s="3434"/>
      <c r="BHB8" s="3434"/>
      <c r="BHC8" s="3434"/>
      <c r="BHD8" s="3434"/>
      <c r="BHE8" s="3434"/>
      <c r="BHF8" s="3434"/>
      <c r="BHG8" s="3434"/>
      <c r="BHH8" s="3434"/>
      <c r="BHI8" s="3434"/>
      <c r="BHJ8" s="3434"/>
      <c r="BHK8" s="3434"/>
      <c r="BHL8" s="3434"/>
      <c r="BHM8" s="3434"/>
      <c r="BHN8" s="3434"/>
      <c r="BHO8" s="3434"/>
      <c r="BHP8" s="3434"/>
      <c r="BHQ8" s="3434"/>
      <c r="BHR8" s="3434"/>
      <c r="BHS8" s="3434"/>
      <c r="BHT8" s="3434"/>
      <c r="BHU8" s="3434"/>
      <c r="BHV8" s="3434"/>
      <c r="BHW8" s="3434"/>
      <c r="BHX8" s="3434"/>
      <c r="BHY8" s="3434"/>
      <c r="BHZ8" s="3434"/>
      <c r="BIA8" s="3434"/>
      <c r="BIB8" s="3434"/>
      <c r="BIC8" s="3434"/>
      <c r="BID8" s="3434"/>
      <c r="BIE8" s="3434"/>
      <c r="BIF8" s="3434"/>
      <c r="BIG8" s="3434"/>
      <c r="BIH8" s="3434"/>
      <c r="BII8" s="3434"/>
      <c r="BIJ8" s="3434"/>
      <c r="BIK8" s="3434"/>
      <c r="BIL8" s="3434"/>
      <c r="BIM8" s="3434"/>
      <c r="BIN8" s="3434"/>
      <c r="BIO8" s="3434"/>
      <c r="BIP8" s="3434"/>
      <c r="BIQ8" s="3434"/>
      <c r="BIR8" s="3434"/>
      <c r="BIS8" s="3434"/>
      <c r="BIT8" s="3434"/>
      <c r="BIU8" s="3434"/>
      <c r="BIV8" s="3434"/>
      <c r="BIW8" s="3434"/>
      <c r="BIX8" s="3434"/>
      <c r="BIY8" s="3434"/>
      <c r="BIZ8" s="3434"/>
      <c r="BJA8" s="3434"/>
      <c r="BJB8" s="3434"/>
      <c r="BJC8" s="3434"/>
      <c r="BJD8" s="3434"/>
      <c r="BJE8" s="3434"/>
      <c r="BJF8" s="3434"/>
      <c r="BJG8" s="3434"/>
      <c r="BJH8" s="3434"/>
      <c r="BJI8" s="3434"/>
      <c r="BJJ8" s="3434"/>
      <c r="BJK8" s="3434"/>
      <c r="BJL8" s="3434"/>
      <c r="BJM8" s="3434"/>
      <c r="BJN8" s="3434"/>
      <c r="BJO8" s="3434"/>
      <c r="BJP8" s="3434"/>
      <c r="BJQ8" s="3434"/>
      <c r="BJR8" s="3434"/>
      <c r="BJS8" s="3434"/>
      <c r="BJT8" s="3434"/>
      <c r="BJU8" s="3434"/>
      <c r="BJV8" s="3434"/>
      <c r="BJW8" s="3434"/>
      <c r="BJX8" s="3434"/>
      <c r="BJY8" s="3434"/>
      <c r="BJZ8" s="3434"/>
      <c r="BKA8" s="3434"/>
      <c r="BKB8" s="3434"/>
      <c r="BKC8" s="3434"/>
      <c r="BKD8" s="3434"/>
      <c r="BKE8" s="3434"/>
      <c r="BKF8" s="3434"/>
      <c r="BKG8" s="3434"/>
      <c r="BKH8" s="3434"/>
      <c r="BKI8" s="3434"/>
      <c r="BKJ8" s="3434"/>
      <c r="BKK8" s="3434"/>
      <c r="BKL8" s="3434"/>
      <c r="BKM8" s="3434"/>
      <c r="BKN8" s="3434"/>
      <c r="BKO8" s="3434"/>
      <c r="BKP8" s="3434"/>
      <c r="BKQ8" s="3434"/>
      <c r="BKR8" s="3434"/>
      <c r="BKS8" s="3434"/>
      <c r="BKT8" s="3434"/>
      <c r="BKU8" s="3434"/>
      <c r="BKV8" s="3434"/>
      <c r="BKW8" s="3434"/>
      <c r="BKX8" s="3434"/>
      <c r="BKY8" s="3434"/>
      <c r="BKZ8" s="3434"/>
      <c r="BLA8" s="3434"/>
      <c r="BLB8" s="3434"/>
      <c r="BLC8" s="3434"/>
      <c r="BLD8" s="3434"/>
      <c r="BLE8" s="3434"/>
      <c r="BLF8" s="3434"/>
      <c r="BLG8" s="3434"/>
      <c r="BLH8" s="3434"/>
      <c r="BLI8" s="3434"/>
      <c r="BLJ8" s="3434"/>
      <c r="BLK8" s="3434"/>
      <c r="BLL8" s="3434"/>
      <c r="BLM8" s="3434"/>
      <c r="BLN8" s="3434"/>
      <c r="BLO8" s="3434"/>
      <c r="BLP8" s="3434"/>
      <c r="BLQ8" s="3434"/>
      <c r="BLR8" s="3434"/>
      <c r="BLS8" s="3434"/>
      <c r="BLT8" s="3434"/>
      <c r="BLU8" s="3434"/>
      <c r="BLV8" s="3434"/>
      <c r="BLW8" s="3434"/>
      <c r="BLX8" s="3434"/>
      <c r="BLY8" s="3434"/>
      <c r="BLZ8" s="3434"/>
      <c r="BMA8" s="3434"/>
      <c r="BMB8" s="3434"/>
      <c r="BMC8" s="3434"/>
      <c r="BMD8" s="3434"/>
      <c r="BME8" s="3434"/>
      <c r="BMF8" s="3434"/>
      <c r="BMG8" s="3434"/>
      <c r="BMH8" s="3434"/>
      <c r="BMI8" s="3434"/>
      <c r="BMJ8" s="3434"/>
      <c r="BMK8" s="3434"/>
      <c r="BML8" s="3434"/>
      <c r="BMM8" s="3434"/>
      <c r="BMN8" s="3434"/>
      <c r="BMO8" s="3434"/>
      <c r="BMP8" s="3434"/>
      <c r="BMQ8" s="3434"/>
      <c r="BMR8" s="3434"/>
      <c r="BMS8" s="3434"/>
      <c r="BMT8" s="3434"/>
      <c r="BMU8" s="3434"/>
      <c r="BMV8" s="3434"/>
      <c r="BMW8" s="3434"/>
      <c r="BMX8" s="3434"/>
      <c r="BMY8" s="3434"/>
      <c r="BMZ8" s="3434"/>
      <c r="BNA8" s="3434"/>
      <c r="BNB8" s="3434"/>
      <c r="BNC8" s="3434"/>
      <c r="BND8" s="3434"/>
      <c r="BNE8" s="3434"/>
      <c r="BNF8" s="3434"/>
      <c r="BNG8" s="3434"/>
      <c r="BNH8" s="3434"/>
      <c r="BNI8" s="3434"/>
      <c r="BNJ8" s="3434"/>
      <c r="BNK8" s="3434"/>
      <c r="BNL8" s="3434"/>
      <c r="BNM8" s="3434"/>
      <c r="BNN8" s="3434"/>
      <c r="BNO8" s="3434"/>
      <c r="BNP8" s="3434"/>
      <c r="BNQ8" s="3434"/>
      <c r="BNR8" s="3434"/>
      <c r="BNS8" s="3434"/>
      <c r="BNT8" s="3434"/>
      <c r="BNU8" s="3434"/>
      <c r="BNV8" s="3434"/>
      <c r="BNW8" s="3434"/>
      <c r="BNX8" s="3434"/>
      <c r="BNY8" s="3434"/>
      <c r="BNZ8" s="3434"/>
      <c r="BOA8" s="3434"/>
      <c r="BOB8" s="3434"/>
      <c r="BOC8" s="3434"/>
      <c r="BOD8" s="3434"/>
      <c r="BOE8" s="3434"/>
      <c r="BOF8" s="3434"/>
      <c r="BOG8" s="3434"/>
      <c r="BOH8" s="3434"/>
      <c r="BOI8" s="3434"/>
      <c r="BOJ8" s="3434"/>
      <c r="BOK8" s="3434"/>
      <c r="BOL8" s="3434"/>
      <c r="BOM8" s="3434"/>
      <c r="BON8" s="3434"/>
      <c r="BOO8" s="3434"/>
      <c r="BOP8" s="3434"/>
      <c r="BOQ8" s="3434"/>
      <c r="BOR8" s="3434"/>
      <c r="BOS8" s="3434"/>
      <c r="BOT8" s="3434"/>
      <c r="BOU8" s="3434"/>
      <c r="BOV8" s="3434"/>
      <c r="BOW8" s="3434"/>
      <c r="BOX8" s="3434"/>
      <c r="BOY8" s="3434"/>
      <c r="BOZ8" s="3434"/>
      <c r="BPA8" s="3434"/>
      <c r="BPB8" s="3434"/>
      <c r="BPC8" s="3434"/>
      <c r="BPD8" s="3434"/>
      <c r="BPE8" s="3434"/>
      <c r="BPF8" s="3434"/>
      <c r="BPG8" s="3434"/>
      <c r="BPH8" s="3434"/>
      <c r="BPI8" s="3434"/>
      <c r="BPJ8" s="3434"/>
      <c r="BPK8" s="3434"/>
      <c r="BPL8" s="3434"/>
      <c r="BPM8" s="3434"/>
      <c r="BPN8" s="3434"/>
      <c r="BPO8" s="3434"/>
      <c r="BPP8" s="3434"/>
      <c r="BPQ8" s="3434"/>
      <c r="BPR8" s="3434"/>
      <c r="BPS8" s="3434"/>
      <c r="BPT8" s="3434"/>
      <c r="BPU8" s="3434"/>
      <c r="BPV8" s="3434"/>
      <c r="BPW8" s="3434"/>
      <c r="BPX8" s="3434"/>
      <c r="BPY8" s="3434"/>
      <c r="BPZ8" s="3434"/>
      <c r="BQA8" s="3434"/>
      <c r="BQB8" s="3434"/>
      <c r="BQC8" s="3434"/>
      <c r="BQD8" s="3434"/>
      <c r="BQE8" s="3434"/>
      <c r="BQF8" s="3434"/>
      <c r="BQG8" s="3434"/>
      <c r="BQH8" s="3434"/>
      <c r="BQI8" s="3434"/>
      <c r="BQJ8" s="3434"/>
      <c r="BQK8" s="3434"/>
      <c r="BQL8" s="3434"/>
      <c r="BQM8" s="3434"/>
      <c r="BQN8" s="3434"/>
      <c r="BQO8" s="3434"/>
      <c r="BQP8" s="3434"/>
      <c r="BQQ8" s="3434"/>
      <c r="BQR8" s="3434"/>
      <c r="BQS8" s="3434"/>
      <c r="BQT8" s="3434"/>
      <c r="BQU8" s="3434"/>
      <c r="BQV8" s="3434"/>
      <c r="BQW8" s="3434"/>
      <c r="BQX8" s="3434"/>
      <c r="BQY8" s="3434"/>
      <c r="BQZ8" s="3434"/>
      <c r="BRA8" s="3434"/>
      <c r="BRB8" s="3434"/>
      <c r="BRC8" s="3434"/>
      <c r="BRD8" s="3434"/>
      <c r="BRE8" s="3434"/>
      <c r="BRF8" s="3434"/>
      <c r="BRG8" s="3434"/>
      <c r="BRH8" s="3434"/>
      <c r="BRI8" s="3434"/>
      <c r="BRJ8" s="3434"/>
      <c r="BRK8" s="3434"/>
      <c r="BRL8" s="3434"/>
      <c r="BRM8" s="3434"/>
      <c r="BRN8" s="3434"/>
      <c r="BRO8" s="3434"/>
      <c r="BRP8" s="3434"/>
      <c r="BRQ8" s="3434"/>
      <c r="BRR8" s="3434"/>
      <c r="BRS8" s="3434"/>
      <c r="BRT8" s="3434"/>
      <c r="BRU8" s="3434"/>
      <c r="BRV8" s="3434"/>
      <c r="BRW8" s="3434"/>
      <c r="BRX8" s="3434"/>
      <c r="BRY8" s="3434"/>
      <c r="BRZ8" s="3434"/>
      <c r="BSA8" s="3434"/>
      <c r="BSB8" s="3434"/>
      <c r="BSC8" s="3434"/>
      <c r="BSD8" s="3434"/>
      <c r="BSE8" s="3434"/>
      <c r="BSF8" s="3434"/>
      <c r="BSG8" s="3434"/>
      <c r="BSH8" s="3434"/>
      <c r="BSI8" s="3434"/>
      <c r="BSJ8" s="3434"/>
      <c r="BSK8" s="3434"/>
      <c r="BSL8" s="3434"/>
      <c r="BSM8" s="3434"/>
      <c r="BSN8" s="3434"/>
      <c r="BSO8" s="3434"/>
      <c r="BSP8" s="3434"/>
      <c r="BSQ8" s="3434"/>
      <c r="BSR8" s="3434"/>
      <c r="BSS8" s="3434"/>
      <c r="BST8" s="3434"/>
      <c r="BSU8" s="3434"/>
      <c r="BSV8" s="3434"/>
      <c r="BSW8" s="3434"/>
      <c r="BSX8" s="3434"/>
      <c r="BSY8" s="3434"/>
      <c r="BSZ8" s="3434"/>
      <c r="BTA8" s="3434"/>
      <c r="BTB8" s="3434"/>
      <c r="BTC8" s="3434"/>
      <c r="BTD8" s="3434"/>
      <c r="BTE8" s="3434"/>
      <c r="BTF8" s="3434"/>
      <c r="BTG8" s="3434"/>
      <c r="BTH8" s="3434"/>
      <c r="BTI8" s="3434"/>
      <c r="BTJ8" s="3434"/>
      <c r="BTK8" s="3434"/>
      <c r="BTL8" s="3434"/>
      <c r="BTM8" s="3434"/>
      <c r="BTN8" s="3434"/>
      <c r="BTO8" s="3434"/>
      <c r="BTP8" s="3434"/>
      <c r="BTQ8" s="3434"/>
      <c r="BTR8" s="3434"/>
      <c r="BTS8" s="3434"/>
      <c r="BTT8" s="3434"/>
      <c r="BTU8" s="3434"/>
      <c r="BTV8" s="3434"/>
      <c r="BTW8" s="3434"/>
      <c r="BTX8" s="3434"/>
      <c r="BTY8" s="3434"/>
      <c r="BTZ8" s="3434"/>
      <c r="BUA8" s="3434"/>
      <c r="BUB8" s="3434"/>
      <c r="BUC8" s="3434"/>
      <c r="BUD8" s="3434"/>
      <c r="BUE8" s="3434"/>
      <c r="BUF8" s="3434"/>
      <c r="BUG8" s="3434"/>
      <c r="BUH8" s="3434"/>
      <c r="BUI8" s="3434"/>
      <c r="BUJ8" s="3434"/>
      <c r="BUK8" s="3434"/>
      <c r="BUL8" s="3434"/>
      <c r="BUM8" s="3434"/>
      <c r="BUN8" s="3434"/>
      <c r="BUO8" s="3434"/>
      <c r="BUP8" s="3434"/>
      <c r="BUQ8" s="3434"/>
      <c r="BUR8" s="3434"/>
      <c r="BUS8" s="3434"/>
      <c r="BUT8" s="3434"/>
      <c r="BUU8" s="3434"/>
      <c r="BUV8" s="3434"/>
      <c r="BUW8" s="3434"/>
      <c r="BUX8" s="3434"/>
      <c r="BUY8" s="3434"/>
      <c r="BUZ8" s="3434"/>
      <c r="BVA8" s="3434"/>
      <c r="BVB8" s="3434"/>
      <c r="BVC8" s="3434"/>
      <c r="BVD8" s="3434"/>
      <c r="BVE8" s="3434"/>
      <c r="BVF8" s="3434"/>
      <c r="BVG8" s="3434"/>
      <c r="BVH8" s="3434"/>
      <c r="BVI8" s="3434"/>
      <c r="BVJ8" s="3434"/>
      <c r="BVK8" s="3434"/>
      <c r="BVL8" s="3434"/>
      <c r="BVM8" s="3434"/>
      <c r="BVN8" s="3434"/>
      <c r="BVO8" s="3434"/>
      <c r="BVP8" s="3434"/>
      <c r="BVQ8" s="3434"/>
      <c r="BVR8" s="3434"/>
      <c r="BVS8" s="3434"/>
      <c r="BVT8" s="3434"/>
      <c r="BVU8" s="3434"/>
      <c r="BVV8" s="3434"/>
      <c r="BVW8" s="3434"/>
      <c r="BVX8" s="3434"/>
      <c r="BVY8" s="3434"/>
      <c r="BVZ8" s="3434"/>
      <c r="BWA8" s="3434"/>
      <c r="BWB8" s="3434"/>
      <c r="BWC8" s="3434"/>
      <c r="BWD8" s="3434"/>
      <c r="BWE8" s="3434"/>
      <c r="BWF8" s="3434"/>
      <c r="BWG8" s="3434"/>
      <c r="BWH8" s="3434"/>
      <c r="BWI8" s="3434"/>
      <c r="BWJ8" s="3434"/>
      <c r="BWK8" s="3434"/>
      <c r="BWL8" s="3434"/>
      <c r="BWM8" s="3434"/>
      <c r="BWN8" s="3434"/>
      <c r="BWO8" s="3434"/>
      <c r="BWP8" s="3434"/>
      <c r="BWQ8" s="3434"/>
      <c r="BWR8" s="3434"/>
      <c r="BWS8" s="3434"/>
      <c r="BWT8" s="3434"/>
      <c r="BWU8" s="3434"/>
      <c r="BWV8" s="3434"/>
      <c r="BWW8" s="3434"/>
      <c r="BWX8" s="3434"/>
      <c r="BWY8" s="3434"/>
      <c r="BWZ8" s="3434"/>
      <c r="BXA8" s="3434"/>
      <c r="BXB8" s="3434"/>
      <c r="BXC8" s="3434"/>
      <c r="BXD8" s="3434"/>
      <c r="BXE8" s="3434"/>
      <c r="BXF8" s="3434"/>
      <c r="BXG8" s="3434"/>
      <c r="BXH8" s="3434"/>
      <c r="BXI8" s="3434"/>
      <c r="BXJ8" s="3434"/>
      <c r="BXK8" s="3434"/>
      <c r="BXL8" s="3434"/>
      <c r="BXM8" s="3434"/>
      <c r="BXN8" s="3434"/>
      <c r="BXO8" s="3434"/>
      <c r="BXP8" s="3434"/>
      <c r="BXQ8" s="3434"/>
      <c r="BXR8" s="3434"/>
      <c r="BXS8" s="3434"/>
      <c r="BXT8" s="3434"/>
      <c r="BXU8" s="3434"/>
      <c r="BXV8" s="3434"/>
      <c r="BXW8" s="3434"/>
      <c r="BXX8" s="3434"/>
      <c r="BXY8" s="3434"/>
      <c r="BXZ8" s="3434"/>
      <c r="BYA8" s="3434"/>
      <c r="BYB8" s="3434"/>
      <c r="BYC8" s="3434"/>
      <c r="BYD8" s="3434"/>
      <c r="BYE8" s="3434"/>
      <c r="BYF8" s="3434"/>
      <c r="BYG8" s="3434"/>
      <c r="BYH8" s="3434"/>
      <c r="BYI8" s="3434"/>
      <c r="BYJ8" s="3434"/>
      <c r="BYK8" s="3434"/>
      <c r="BYL8" s="3434"/>
      <c r="BYM8" s="3434"/>
      <c r="BYN8" s="3434"/>
      <c r="BYO8" s="3434"/>
      <c r="BYP8" s="3434"/>
      <c r="BYQ8" s="3434"/>
      <c r="BYR8" s="3434"/>
      <c r="BYS8" s="3434"/>
      <c r="BYT8" s="3434"/>
      <c r="BYU8" s="3434"/>
      <c r="BYV8" s="3434"/>
      <c r="BYW8" s="3434"/>
      <c r="BYX8" s="3434"/>
      <c r="BYY8" s="3434"/>
      <c r="BYZ8" s="3434"/>
      <c r="BZA8" s="3434"/>
      <c r="BZB8" s="3434"/>
      <c r="BZC8" s="3434"/>
      <c r="BZD8" s="3434"/>
      <c r="BZE8" s="3434"/>
      <c r="BZF8" s="3434"/>
      <c r="BZG8" s="3434"/>
      <c r="BZH8" s="3434"/>
      <c r="BZI8" s="3434"/>
      <c r="BZJ8" s="3434"/>
      <c r="BZK8" s="3434"/>
      <c r="BZL8" s="3434"/>
      <c r="BZM8" s="3434"/>
      <c r="BZN8" s="3434"/>
      <c r="BZO8" s="3434"/>
      <c r="BZP8" s="3434"/>
      <c r="BZQ8" s="3434"/>
      <c r="BZR8" s="3434"/>
      <c r="BZS8" s="3434"/>
      <c r="BZT8" s="3434"/>
      <c r="BZU8" s="3434"/>
      <c r="BZV8" s="3434"/>
      <c r="BZW8" s="3434"/>
      <c r="BZX8" s="3434"/>
      <c r="BZY8" s="3434"/>
      <c r="BZZ8" s="3434"/>
      <c r="CAA8" s="3434"/>
      <c r="CAB8" s="3434"/>
      <c r="CAC8" s="3434"/>
      <c r="CAD8" s="3434"/>
      <c r="CAE8" s="3434"/>
      <c r="CAF8" s="3434"/>
      <c r="CAG8" s="3434"/>
      <c r="CAH8" s="3434"/>
      <c r="CAI8" s="3434"/>
      <c r="CAJ8" s="3434"/>
      <c r="CAK8" s="3434"/>
      <c r="CAL8" s="3434"/>
      <c r="CAM8" s="3434"/>
      <c r="CAN8" s="3434"/>
      <c r="CAO8" s="3434"/>
      <c r="CAP8" s="3434"/>
      <c r="CAQ8" s="3434"/>
      <c r="CAR8" s="3434"/>
      <c r="CAS8" s="3434"/>
      <c r="CAT8" s="3434"/>
      <c r="CAU8" s="3434"/>
      <c r="CAV8" s="3434"/>
      <c r="CAW8" s="3434"/>
      <c r="CAX8" s="3434"/>
      <c r="CAY8" s="3434"/>
      <c r="CAZ8" s="3434"/>
      <c r="CBA8" s="3434"/>
      <c r="CBB8" s="3434"/>
      <c r="CBC8" s="3434"/>
      <c r="CBD8" s="3434"/>
      <c r="CBE8" s="3434"/>
      <c r="CBF8" s="3434"/>
      <c r="CBG8" s="3434"/>
      <c r="CBH8" s="3434"/>
      <c r="CBI8" s="3434"/>
      <c r="CBJ8" s="3434"/>
      <c r="CBK8" s="3434"/>
      <c r="CBL8" s="3434"/>
      <c r="CBM8" s="3434"/>
      <c r="CBN8" s="3434"/>
      <c r="CBO8" s="3434"/>
      <c r="CBP8" s="3434"/>
      <c r="CBQ8" s="3434"/>
      <c r="CBR8" s="3434"/>
      <c r="CBS8" s="3434"/>
      <c r="CBT8" s="3434"/>
      <c r="CBU8" s="3434"/>
      <c r="CBV8" s="3434"/>
      <c r="CBW8" s="3434"/>
      <c r="CBX8" s="3434"/>
      <c r="CBY8" s="3434"/>
      <c r="CBZ8" s="3434"/>
      <c r="CCA8" s="3434"/>
      <c r="CCB8" s="3434"/>
      <c r="CCC8" s="3434"/>
      <c r="CCD8" s="3434"/>
      <c r="CCE8" s="3434"/>
      <c r="CCF8" s="3434"/>
      <c r="CCG8" s="3434"/>
      <c r="CCH8" s="3434"/>
      <c r="CCI8" s="3434"/>
      <c r="CCJ8" s="3434"/>
      <c r="CCK8" s="3434"/>
      <c r="CCL8" s="3434"/>
      <c r="CCM8" s="3434"/>
      <c r="CCN8" s="3434"/>
      <c r="CCO8" s="3434"/>
      <c r="CCP8" s="3434"/>
      <c r="CCQ8" s="3434"/>
      <c r="CCR8" s="3434"/>
      <c r="CCS8" s="3434"/>
      <c r="CCT8" s="3434"/>
      <c r="CCU8" s="3434"/>
      <c r="CCV8" s="3434"/>
      <c r="CCW8" s="3434"/>
      <c r="CCX8" s="3434"/>
      <c r="CCY8" s="3434"/>
      <c r="CCZ8" s="3434"/>
      <c r="CDA8" s="3434"/>
      <c r="CDB8" s="3434"/>
      <c r="CDC8" s="3434"/>
      <c r="CDD8" s="3434"/>
      <c r="CDE8" s="3434"/>
      <c r="CDF8" s="3434"/>
      <c r="CDG8" s="3434"/>
      <c r="CDH8" s="3434"/>
      <c r="CDI8" s="3434"/>
      <c r="CDJ8" s="3434"/>
      <c r="CDK8" s="3434"/>
      <c r="CDL8" s="3434"/>
      <c r="CDM8" s="3434"/>
      <c r="CDN8" s="3434"/>
      <c r="CDO8" s="3434"/>
      <c r="CDP8" s="3434"/>
      <c r="CDQ8" s="3434"/>
      <c r="CDR8" s="3434"/>
      <c r="CDS8" s="3434"/>
      <c r="CDT8" s="3434"/>
      <c r="CDU8" s="3434"/>
      <c r="CDV8" s="3434"/>
      <c r="CDW8" s="3434"/>
      <c r="CDX8" s="3434"/>
      <c r="CDY8" s="3434"/>
      <c r="CDZ8" s="3434"/>
      <c r="CEA8" s="3434"/>
      <c r="CEB8" s="3434"/>
      <c r="CEC8" s="3434"/>
      <c r="CED8" s="3434"/>
      <c r="CEE8" s="3434"/>
      <c r="CEF8" s="3434"/>
      <c r="CEG8" s="3434"/>
      <c r="CEH8" s="3434"/>
      <c r="CEI8" s="3434"/>
      <c r="CEJ8" s="3434"/>
      <c r="CEK8" s="3434"/>
      <c r="CEL8" s="3434"/>
      <c r="CEM8" s="3434"/>
      <c r="CEN8" s="3434"/>
      <c r="CEO8" s="3434"/>
      <c r="CEP8" s="3434"/>
      <c r="CEQ8" s="3434"/>
      <c r="CER8" s="3434"/>
      <c r="CES8" s="3434"/>
      <c r="CET8" s="3434"/>
      <c r="CEU8" s="3434"/>
      <c r="CEV8" s="3434"/>
      <c r="CEW8" s="3434"/>
      <c r="CEX8" s="3434"/>
      <c r="CEY8" s="3434"/>
      <c r="CEZ8" s="3434"/>
      <c r="CFA8" s="3434"/>
      <c r="CFB8" s="3434"/>
      <c r="CFC8" s="3434"/>
      <c r="CFD8" s="3434"/>
      <c r="CFE8" s="3434"/>
      <c r="CFF8" s="3434"/>
      <c r="CFG8" s="3434"/>
      <c r="CFH8" s="3434"/>
      <c r="CFI8" s="3434"/>
      <c r="CFJ8" s="3434"/>
      <c r="CFK8" s="3434"/>
      <c r="CFL8" s="3434"/>
      <c r="CFM8" s="3434"/>
      <c r="CFN8" s="3434"/>
      <c r="CFO8" s="3434"/>
      <c r="CFP8" s="3434"/>
      <c r="CFQ8" s="3434"/>
      <c r="CFR8" s="3434"/>
      <c r="CFS8" s="3434"/>
      <c r="CFT8" s="3434"/>
      <c r="CFU8" s="3434"/>
      <c r="CFV8" s="3434"/>
      <c r="CFW8" s="3434"/>
      <c r="CFX8" s="3434"/>
      <c r="CFY8" s="3434"/>
      <c r="CFZ8" s="3434"/>
      <c r="CGA8" s="3434"/>
      <c r="CGB8" s="3434"/>
      <c r="CGC8" s="3434"/>
      <c r="CGD8" s="3434"/>
      <c r="CGE8" s="3434"/>
      <c r="CGF8" s="3434"/>
      <c r="CGG8" s="3434"/>
      <c r="CGH8" s="3434"/>
      <c r="CGI8" s="3434"/>
      <c r="CGJ8" s="3434"/>
      <c r="CGK8" s="3434"/>
      <c r="CGL8" s="3434"/>
      <c r="CGM8" s="3434"/>
      <c r="CGN8" s="3434"/>
      <c r="CGO8" s="3434"/>
      <c r="CGP8" s="3434"/>
      <c r="CGQ8" s="3434"/>
      <c r="CGR8" s="3434"/>
      <c r="CGS8" s="3434"/>
      <c r="CGT8" s="3434"/>
      <c r="CGU8" s="3434"/>
      <c r="CGV8" s="3434"/>
      <c r="CGW8" s="3434"/>
      <c r="CGX8" s="3434"/>
      <c r="CGY8" s="3434"/>
      <c r="CGZ8" s="3434"/>
      <c r="CHA8" s="3434"/>
      <c r="CHB8" s="3434"/>
      <c r="CHC8" s="3434"/>
      <c r="CHD8" s="3434"/>
      <c r="CHE8" s="3434"/>
      <c r="CHF8" s="3434"/>
      <c r="CHG8" s="3434"/>
      <c r="CHH8" s="3434"/>
      <c r="CHI8" s="3434"/>
      <c r="CHJ8" s="3434"/>
      <c r="CHK8" s="3434"/>
      <c r="CHL8" s="3434"/>
      <c r="CHM8" s="3434"/>
      <c r="CHN8" s="3434"/>
      <c r="CHO8" s="3434"/>
      <c r="CHP8" s="3434"/>
      <c r="CHQ8" s="3434"/>
      <c r="CHR8" s="3434"/>
      <c r="CHS8" s="3434"/>
      <c r="CHT8" s="3434"/>
      <c r="CHU8" s="3434"/>
      <c r="CHV8" s="3434"/>
      <c r="CHW8" s="3434"/>
      <c r="CHX8" s="3434"/>
      <c r="CHY8" s="3434"/>
      <c r="CHZ8" s="3434"/>
      <c r="CIA8" s="3434"/>
      <c r="CIB8" s="3434"/>
      <c r="CIC8" s="3434"/>
      <c r="CID8" s="3434"/>
      <c r="CIE8" s="3434"/>
      <c r="CIF8" s="3434"/>
      <c r="CIG8" s="3434"/>
      <c r="CIH8" s="3434"/>
      <c r="CII8" s="3434"/>
      <c r="CIJ8" s="3434"/>
      <c r="CIK8" s="3434"/>
      <c r="CIL8" s="3434"/>
      <c r="CIM8" s="3434"/>
      <c r="CIN8" s="3434"/>
      <c r="CIO8" s="3434"/>
      <c r="CIP8" s="3434"/>
      <c r="CIQ8" s="3434"/>
      <c r="CIR8" s="3434"/>
      <c r="CIS8" s="3434"/>
      <c r="CIT8" s="3434"/>
      <c r="CIU8" s="3434"/>
      <c r="CIV8" s="3434"/>
      <c r="CIW8" s="3434"/>
      <c r="CIX8" s="3434"/>
      <c r="CIY8" s="3434"/>
      <c r="CIZ8" s="3434"/>
      <c r="CJA8" s="3434"/>
      <c r="CJB8" s="3434"/>
      <c r="CJC8" s="3434"/>
      <c r="CJD8" s="3434"/>
      <c r="CJE8" s="3434"/>
      <c r="CJF8" s="3434"/>
      <c r="CJG8" s="3434"/>
      <c r="CJH8" s="3434"/>
      <c r="CJI8" s="3434"/>
      <c r="CJJ8" s="3434"/>
      <c r="CJK8" s="3434"/>
      <c r="CJL8" s="3434"/>
      <c r="CJM8" s="3434"/>
      <c r="CJN8" s="3434"/>
      <c r="CJO8" s="3434"/>
      <c r="CJP8" s="3434"/>
      <c r="CJQ8" s="3434"/>
      <c r="CJR8" s="3434"/>
      <c r="CJS8" s="3434"/>
      <c r="CJT8" s="3434"/>
      <c r="CJU8" s="3434"/>
      <c r="CJV8" s="3434"/>
      <c r="CJW8" s="3434"/>
      <c r="CJX8" s="3434"/>
      <c r="CJY8" s="3434"/>
      <c r="CJZ8" s="3434"/>
      <c r="CKA8" s="3434"/>
      <c r="CKB8" s="3434"/>
      <c r="CKC8" s="3434"/>
      <c r="CKD8" s="3434"/>
      <c r="CKE8" s="3434"/>
      <c r="CKF8" s="3434"/>
      <c r="CKG8" s="3434"/>
      <c r="CKH8" s="3434"/>
      <c r="CKI8" s="3434"/>
      <c r="CKJ8" s="3434"/>
      <c r="CKK8" s="3434"/>
      <c r="CKL8" s="3434"/>
      <c r="CKM8" s="3434"/>
      <c r="CKN8" s="3434"/>
      <c r="CKO8" s="3434"/>
      <c r="CKP8" s="3434"/>
      <c r="CKQ8" s="3434"/>
      <c r="CKR8" s="3434"/>
      <c r="CKS8" s="3434"/>
      <c r="CKT8" s="3434"/>
      <c r="CKU8" s="3434"/>
      <c r="CKV8" s="3434"/>
      <c r="CKW8" s="3434"/>
      <c r="CKX8" s="3434"/>
      <c r="CKY8" s="3434"/>
      <c r="CKZ8" s="3434"/>
      <c r="CLA8" s="3434"/>
      <c r="CLB8" s="3434"/>
      <c r="CLC8" s="3434"/>
      <c r="CLD8" s="3434"/>
      <c r="CLE8" s="3434"/>
      <c r="CLF8" s="3434"/>
      <c r="CLG8" s="3434"/>
      <c r="CLH8" s="3434"/>
      <c r="CLI8" s="3434"/>
      <c r="CLJ8" s="3434"/>
      <c r="CLK8" s="3434"/>
      <c r="CLL8" s="3434"/>
      <c r="CLM8" s="3434"/>
      <c r="CLN8" s="3434"/>
      <c r="CLO8" s="3434"/>
      <c r="CLP8" s="3434"/>
      <c r="CLQ8" s="3434"/>
      <c r="CLR8" s="3434"/>
      <c r="CLS8" s="3434"/>
      <c r="CLT8" s="3434"/>
      <c r="CLU8" s="3434"/>
      <c r="CLV8" s="3434"/>
      <c r="CLW8" s="3434"/>
      <c r="CLX8" s="3434"/>
      <c r="CLY8" s="3434"/>
      <c r="CLZ8" s="3434"/>
      <c r="CMA8" s="3434"/>
      <c r="CMB8" s="3434"/>
      <c r="CMC8" s="3434"/>
      <c r="CMD8" s="3434"/>
      <c r="CME8" s="3434"/>
      <c r="CMF8" s="3434"/>
      <c r="CMG8" s="3434"/>
      <c r="CMH8" s="3434"/>
      <c r="CMI8" s="3434"/>
      <c r="CMJ8" s="3434"/>
      <c r="CMK8" s="3434"/>
      <c r="CML8" s="3434"/>
      <c r="CMM8" s="3434"/>
      <c r="CMN8" s="3434"/>
      <c r="CMO8" s="3434"/>
      <c r="CMP8" s="3434"/>
      <c r="CMQ8" s="3434"/>
      <c r="CMR8" s="3434"/>
      <c r="CMS8" s="3434"/>
      <c r="CMT8" s="3434"/>
      <c r="CMU8" s="3434"/>
      <c r="CMV8" s="3434"/>
      <c r="CMW8" s="3434"/>
      <c r="CMX8" s="3434"/>
      <c r="CMY8" s="3434"/>
      <c r="CMZ8" s="3434"/>
      <c r="CNA8" s="3434"/>
      <c r="CNB8" s="3434"/>
      <c r="CNC8" s="3434"/>
      <c r="CND8" s="3434"/>
      <c r="CNE8" s="3434"/>
      <c r="CNF8" s="3434"/>
      <c r="CNG8" s="3434"/>
      <c r="CNH8" s="3434"/>
      <c r="CNI8" s="3434"/>
      <c r="CNJ8" s="3434"/>
      <c r="CNK8" s="3434"/>
      <c r="CNL8" s="3434"/>
      <c r="CNM8" s="3434"/>
      <c r="CNN8" s="3434"/>
      <c r="CNO8" s="3434"/>
      <c r="CNP8" s="3434"/>
      <c r="CNQ8" s="3434"/>
      <c r="CNR8" s="3434"/>
      <c r="CNS8" s="3434"/>
      <c r="CNT8" s="3434"/>
      <c r="CNU8" s="3434"/>
      <c r="CNV8" s="3434"/>
      <c r="CNW8" s="3434"/>
      <c r="CNX8" s="3434"/>
      <c r="CNY8" s="3434"/>
      <c r="CNZ8" s="3434"/>
      <c r="COA8" s="3434"/>
      <c r="COB8" s="3434"/>
      <c r="COC8" s="3434"/>
      <c r="COD8" s="3434"/>
      <c r="COE8" s="3434"/>
      <c r="COF8" s="3434"/>
      <c r="COG8" s="3434"/>
      <c r="COH8" s="3434"/>
      <c r="COI8" s="3434"/>
      <c r="COJ8" s="3434"/>
      <c r="COK8" s="3434"/>
      <c r="COL8" s="3434"/>
      <c r="COM8" s="3434"/>
      <c r="CON8" s="3434"/>
      <c r="COO8" s="3434"/>
      <c r="COP8" s="3434"/>
      <c r="COQ8" s="3434"/>
      <c r="COR8" s="3434"/>
      <c r="COS8" s="3434"/>
      <c r="COT8" s="3434"/>
      <c r="COU8" s="3434"/>
      <c r="COV8" s="3434"/>
      <c r="COW8" s="3434"/>
      <c r="COX8" s="3434"/>
      <c r="COY8" s="3434"/>
      <c r="COZ8" s="3434"/>
      <c r="CPA8" s="3434"/>
      <c r="CPB8" s="3434"/>
      <c r="CPC8" s="3434"/>
      <c r="CPD8" s="3434"/>
      <c r="CPE8" s="3434"/>
      <c r="CPF8" s="3434"/>
      <c r="CPG8" s="3434"/>
      <c r="CPH8" s="3434"/>
      <c r="CPI8" s="3434"/>
      <c r="CPJ8" s="3434"/>
      <c r="CPK8" s="3434"/>
      <c r="CPL8" s="3434"/>
      <c r="CPM8" s="3434"/>
      <c r="CPN8" s="3434"/>
      <c r="CPO8" s="3434"/>
      <c r="CPP8" s="3434"/>
      <c r="CPQ8" s="3434"/>
      <c r="CPR8" s="3434"/>
      <c r="CPS8" s="3434"/>
      <c r="CPT8" s="3434"/>
      <c r="CPU8" s="3434"/>
      <c r="CPV8" s="3434"/>
      <c r="CPW8" s="3434"/>
      <c r="CPX8" s="3434"/>
      <c r="CPY8" s="3434"/>
      <c r="CPZ8" s="3434"/>
      <c r="CQA8" s="3434"/>
      <c r="CQB8" s="3434"/>
      <c r="CQC8" s="3434"/>
      <c r="CQD8" s="3434"/>
      <c r="CQE8" s="3434"/>
      <c r="CQF8" s="3434"/>
      <c r="CQG8" s="3434"/>
      <c r="CQH8" s="3434"/>
      <c r="CQI8" s="3434"/>
      <c r="CQJ8" s="3434"/>
      <c r="CQK8" s="3434"/>
      <c r="CQL8" s="3434"/>
      <c r="CQM8" s="3434"/>
      <c r="CQN8" s="3434"/>
      <c r="CQO8" s="3434"/>
      <c r="CQP8" s="3434"/>
      <c r="CQQ8" s="3434"/>
      <c r="CQR8" s="3434"/>
      <c r="CQS8" s="3434"/>
      <c r="CQT8" s="3434"/>
      <c r="CQU8" s="3434"/>
      <c r="CQV8" s="3434"/>
      <c r="CQW8" s="3434"/>
      <c r="CQX8" s="3434"/>
      <c r="CQY8" s="3434"/>
      <c r="CQZ8" s="3434"/>
      <c r="CRA8" s="3434"/>
      <c r="CRB8" s="3434"/>
      <c r="CRC8" s="3434"/>
      <c r="CRD8" s="3434"/>
      <c r="CRE8" s="3434"/>
      <c r="CRF8" s="3434"/>
      <c r="CRG8" s="3434"/>
      <c r="CRH8" s="3434"/>
      <c r="CRI8" s="3434"/>
      <c r="CRJ8" s="3434"/>
      <c r="CRK8" s="3434"/>
      <c r="CRL8" s="3434"/>
      <c r="CRM8" s="3434"/>
      <c r="CRN8" s="3434"/>
      <c r="CRO8" s="3434"/>
      <c r="CRP8" s="3434"/>
      <c r="CRQ8" s="3434"/>
      <c r="CRR8" s="3434"/>
      <c r="CRS8" s="3434"/>
      <c r="CRT8" s="3434"/>
      <c r="CRU8" s="3434"/>
      <c r="CRV8" s="3434"/>
      <c r="CRW8" s="3434"/>
      <c r="CRX8" s="3434"/>
      <c r="CRY8" s="3434"/>
      <c r="CRZ8" s="3434"/>
      <c r="CSA8" s="3434"/>
      <c r="CSB8" s="3434"/>
      <c r="CSC8" s="3434"/>
      <c r="CSD8" s="3434"/>
      <c r="CSE8" s="3434"/>
      <c r="CSF8" s="3434"/>
      <c r="CSG8" s="3434"/>
      <c r="CSH8" s="3434"/>
      <c r="CSI8" s="3434"/>
      <c r="CSJ8" s="3434"/>
      <c r="CSK8" s="3434"/>
      <c r="CSL8" s="3434"/>
      <c r="CSM8" s="3434"/>
      <c r="CSN8" s="3434"/>
      <c r="CSO8" s="3434"/>
      <c r="CSP8" s="3434"/>
      <c r="CSQ8" s="3434"/>
      <c r="CSR8" s="3434"/>
      <c r="CSS8" s="3434"/>
      <c r="CST8" s="3434"/>
      <c r="CSU8" s="3434"/>
      <c r="CSV8" s="3434"/>
      <c r="CSW8" s="3434"/>
      <c r="CSX8" s="3434"/>
      <c r="CSY8" s="3434"/>
      <c r="CSZ8" s="3434"/>
      <c r="CTA8" s="3434"/>
      <c r="CTB8" s="3434"/>
      <c r="CTC8" s="3434"/>
      <c r="CTD8" s="3434"/>
      <c r="CTE8" s="3434"/>
      <c r="CTF8" s="3434"/>
      <c r="CTG8" s="3434"/>
      <c r="CTH8" s="3434"/>
      <c r="CTI8" s="3434"/>
      <c r="CTJ8" s="3434"/>
      <c r="CTK8" s="3434"/>
      <c r="CTL8" s="3434"/>
      <c r="CTM8" s="3434"/>
      <c r="CTN8" s="3434"/>
      <c r="CTO8" s="3434"/>
      <c r="CTP8" s="3434"/>
      <c r="CTQ8" s="3434"/>
      <c r="CTR8" s="3434"/>
      <c r="CTS8" s="3434"/>
      <c r="CTT8" s="3434"/>
      <c r="CTU8" s="3434"/>
      <c r="CTV8" s="3434"/>
      <c r="CTW8" s="3434"/>
      <c r="CTX8" s="3434"/>
      <c r="CTY8" s="3434"/>
      <c r="CTZ8" s="3434"/>
      <c r="CUA8" s="3434"/>
      <c r="CUB8" s="3434"/>
      <c r="CUC8" s="3434"/>
      <c r="CUD8" s="3434"/>
      <c r="CUE8" s="3434"/>
      <c r="CUF8" s="3434"/>
      <c r="CUG8" s="3434"/>
      <c r="CUH8" s="3434"/>
      <c r="CUI8" s="3434"/>
      <c r="CUJ8" s="3434"/>
      <c r="CUK8" s="3434"/>
      <c r="CUL8" s="3434"/>
      <c r="CUM8" s="3434"/>
      <c r="CUN8" s="3434"/>
      <c r="CUO8" s="3434"/>
      <c r="CUP8" s="3434"/>
      <c r="CUQ8" s="3434"/>
      <c r="CUR8" s="3434"/>
      <c r="CUS8" s="3434"/>
      <c r="CUT8" s="3434"/>
      <c r="CUU8" s="3434"/>
      <c r="CUV8" s="3434"/>
      <c r="CUW8" s="3434"/>
      <c r="CUX8" s="3434"/>
      <c r="CUY8" s="3434"/>
      <c r="CUZ8" s="3434"/>
      <c r="CVA8" s="3434"/>
      <c r="CVB8" s="3434"/>
      <c r="CVC8" s="3434"/>
      <c r="CVD8" s="3434"/>
      <c r="CVE8" s="3434"/>
      <c r="CVF8" s="3434"/>
      <c r="CVG8" s="3434"/>
      <c r="CVH8" s="3434"/>
      <c r="CVI8" s="3434"/>
      <c r="CVJ8" s="3434"/>
      <c r="CVK8" s="3434"/>
      <c r="CVL8" s="3434"/>
      <c r="CVM8" s="3434"/>
      <c r="CVN8" s="3434"/>
      <c r="CVO8" s="3434"/>
      <c r="CVP8" s="3434"/>
      <c r="CVQ8" s="3434"/>
      <c r="CVR8" s="3434"/>
      <c r="CVS8" s="3434"/>
      <c r="CVT8" s="3434"/>
      <c r="CVU8" s="3434"/>
      <c r="CVV8" s="3434"/>
      <c r="CVW8" s="3434"/>
      <c r="CVX8" s="3434"/>
      <c r="CVY8" s="3434"/>
      <c r="CVZ8" s="3434"/>
      <c r="CWA8" s="3434"/>
      <c r="CWB8" s="3434"/>
      <c r="CWC8" s="3434"/>
      <c r="CWD8" s="3434"/>
      <c r="CWE8" s="3434"/>
      <c r="CWF8" s="3434"/>
      <c r="CWG8" s="3434"/>
      <c r="CWH8" s="3434"/>
      <c r="CWI8" s="3434"/>
      <c r="CWJ8" s="3434"/>
      <c r="CWK8" s="3434"/>
      <c r="CWL8" s="3434"/>
      <c r="CWM8" s="3434"/>
      <c r="CWN8" s="3434"/>
      <c r="CWO8" s="3434"/>
      <c r="CWP8" s="3434"/>
      <c r="CWQ8" s="3434"/>
      <c r="CWR8" s="3434"/>
      <c r="CWS8" s="3434"/>
      <c r="CWT8" s="3434"/>
      <c r="CWU8" s="3434"/>
      <c r="CWV8" s="3434"/>
      <c r="CWW8" s="3434"/>
      <c r="CWX8" s="3434"/>
      <c r="CWY8" s="3434"/>
      <c r="CWZ8" s="3434"/>
      <c r="CXA8" s="3434"/>
      <c r="CXB8" s="3434"/>
      <c r="CXC8" s="3434"/>
      <c r="CXD8" s="3434"/>
      <c r="CXE8" s="3434"/>
      <c r="CXF8" s="3434"/>
      <c r="CXG8" s="3434"/>
      <c r="CXH8" s="3434"/>
      <c r="CXI8" s="3434"/>
      <c r="CXJ8" s="3434"/>
      <c r="CXK8" s="3434"/>
      <c r="CXL8" s="3434"/>
      <c r="CXM8" s="3434"/>
      <c r="CXN8" s="3434"/>
      <c r="CXO8" s="3434"/>
      <c r="CXP8" s="3434"/>
      <c r="CXQ8" s="3434"/>
      <c r="CXR8" s="3434"/>
      <c r="CXS8" s="3434"/>
      <c r="CXT8" s="3434"/>
      <c r="CXU8" s="3434"/>
      <c r="CXV8" s="3434"/>
      <c r="CXW8" s="3434"/>
      <c r="CXX8" s="3434"/>
      <c r="CXY8" s="3434"/>
      <c r="CXZ8" s="3434"/>
      <c r="CYA8" s="3434"/>
      <c r="CYB8" s="3434"/>
      <c r="CYC8" s="3434"/>
      <c r="CYD8" s="3434"/>
      <c r="CYE8" s="3434"/>
      <c r="CYF8" s="3434"/>
      <c r="CYG8" s="3434"/>
      <c r="CYH8" s="3434"/>
      <c r="CYI8" s="3434"/>
      <c r="CYJ8" s="3434"/>
      <c r="CYK8" s="3434"/>
      <c r="CYL8" s="3434"/>
      <c r="CYM8" s="3434"/>
      <c r="CYN8" s="3434"/>
      <c r="CYO8" s="3434"/>
      <c r="CYP8" s="3434"/>
      <c r="CYQ8" s="3434"/>
      <c r="CYR8" s="3434"/>
      <c r="CYS8" s="3434"/>
      <c r="CYT8" s="3434"/>
      <c r="CYU8" s="3434"/>
      <c r="CYV8" s="3434"/>
      <c r="CYW8" s="3434"/>
      <c r="CYX8" s="3434"/>
      <c r="CYY8" s="3434"/>
      <c r="CYZ8" s="3434"/>
      <c r="CZA8" s="3434"/>
      <c r="CZB8" s="3434"/>
      <c r="CZC8" s="3434"/>
      <c r="CZD8" s="3434"/>
      <c r="CZE8" s="3434"/>
      <c r="CZF8" s="3434"/>
      <c r="CZG8" s="3434"/>
      <c r="CZH8" s="3434"/>
      <c r="CZI8" s="3434"/>
      <c r="CZJ8" s="3434"/>
      <c r="CZK8" s="3434"/>
      <c r="CZL8" s="3434"/>
      <c r="CZM8" s="3434"/>
      <c r="CZN8" s="3434"/>
      <c r="CZO8" s="3434"/>
      <c r="CZP8" s="3434"/>
      <c r="CZQ8" s="3434"/>
      <c r="CZR8" s="3434"/>
      <c r="CZS8" s="3434"/>
      <c r="CZT8" s="3434"/>
      <c r="CZU8" s="3434"/>
      <c r="CZV8" s="3434"/>
      <c r="CZW8" s="3434"/>
      <c r="CZX8" s="3434"/>
      <c r="CZY8" s="3434"/>
      <c r="CZZ8" s="3434"/>
      <c r="DAA8" s="3434"/>
      <c r="DAB8" s="3434"/>
      <c r="DAC8" s="3434"/>
      <c r="DAD8" s="3434"/>
      <c r="DAE8" s="3434"/>
      <c r="DAF8" s="3434"/>
      <c r="DAG8" s="3434"/>
      <c r="DAH8" s="3434"/>
      <c r="DAI8" s="3434"/>
      <c r="DAJ8" s="3434"/>
      <c r="DAK8" s="3434"/>
      <c r="DAL8" s="3434"/>
      <c r="DAM8" s="3434"/>
      <c r="DAN8" s="3434"/>
      <c r="DAO8" s="3434"/>
      <c r="DAP8" s="3434"/>
      <c r="DAQ8" s="3434"/>
      <c r="DAR8" s="3434"/>
      <c r="DAS8" s="3434"/>
      <c r="DAT8" s="3434"/>
      <c r="DAU8" s="3434"/>
      <c r="DAV8" s="3434"/>
      <c r="DAW8" s="3434"/>
      <c r="DAX8" s="3434"/>
      <c r="DAY8" s="3434"/>
      <c r="DAZ8" s="3434"/>
      <c r="DBA8" s="3434"/>
      <c r="DBB8" s="3434"/>
      <c r="DBC8" s="3434"/>
      <c r="DBD8" s="3434"/>
      <c r="DBE8" s="3434"/>
      <c r="DBF8" s="3434"/>
      <c r="DBG8" s="3434"/>
      <c r="DBH8" s="3434"/>
      <c r="DBI8" s="3434"/>
      <c r="DBJ8" s="3434"/>
      <c r="DBK8" s="3434"/>
      <c r="DBL8" s="3434"/>
      <c r="DBM8" s="3434"/>
      <c r="DBN8" s="3434"/>
      <c r="DBO8" s="3434"/>
      <c r="DBP8" s="3434"/>
      <c r="DBQ8" s="3434"/>
      <c r="DBR8" s="3434"/>
      <c r="DBS8" s="3434"/>
      <c r="DBT8" s="3434"/>
      <c r="DBU8" s="3434"/>
      <c r="DBV8" s="3434"/>
      <c r="DBW8" s="3434"/>
      <c r="DBX8" s="3434"/>
      <c r="DBY8" s="3434"/>
      <c r="DBZ8" s="3434"/>
      <c r="DCA8" s="3434"/>
      <c r="DCB8" s="3434"/>
      <c r="DCC8" s="3434"/>
      <c r="DCD8" s="3434"/>
      <c r="DCE8" s="3434"/>
      <c r="DCF8" s="3434"/>
      <c r="DCG8" s="3434"/>
      <c r="DCH8" s="3434"/>
      <c r="DCI8" s="3434"/>
      <c r="DCJ8" s="3434"/>
      <c r="DCK8" s="3434"/>
      <c r="DCL8" s="3434"/>
      <c r="DCM8" s="3434"/>
      <c r="DCN8" s="3434"/>
      <c r="DCO8" s="3434"/>
      <c r="DCP8" s="3434"/>
      <c r="DCQ8" s="3434"/>
      <c r="DCR8" s="3434"/>
      <c r="DCS8" s="3434"/>
      <c r="DCT8" s="3434"/>
      <c r="DCU8" s="3434"/>
      <c r="DCV8" s="3434"/>
      <c r="DCW8" s="3434"/>
      <c r="DCX8" s="3434"/>
      <c r="DCY8" s="3434"/>
      <c r="DCZ8" s="3434"/>
      <c r="DDA8" s="3434"/>
      <c r="DDB8" s="3434"/>
      <c r="DDC8" s="3434"/>
      <c r="DDD8" s="3434"/>
      <c r="DDE8" s="3434"/>
      <c r="DDF8" s="3434"/>
      <c r="DDG8" s="3434"/>
      <c r="DDH8" s="3434"/>
      <c r="DDI8" s="3434"/>
      <c r="DDJ8" s="3434"/>
      <c r="DDK8" s="3434"/>
      <c r="DDL8" s="3434"/>
      <c r="DDM8" s="3434"/>
      <c r="DDN8" s="3434"/>
      <c r="DDO8" s="3434"/>
      <c r="DDP8" s="3434"/>
      <c r="DDQ8" s="3434"/>
      <c r="DDR8" s="3434"/>
      <c r="DDS8" s="3434"/>
      <c r="DDT8" s="3434"/>
      <c r="DDU8" s="3434"/>
      <c r="DDV8" s="3434"/>
      <c r="DDW8" s="3434"/>
      <c r="DDX8" s="3434"/>
      <c r="DDY8" s="3434"/>
      <c r="DDZ8" s="3434"/>
      <c r="DEA8" s="3434"/>
      <c r="DEB8" s="3434"/>
      <c r="DEC8" s="3434"/>
      <c r="DED8" s="3434"/>
      <c r="DEE8" s="3434"/>
      <c r="DEF8" s="3434"/>
      <c r="DEG8" s="3434"/>
      <c r="DEH8" s="3434"/>
      <c r="DEI8" s="3434"/>
      <c r="DEJ8" s="3434"/>
      <c r="DEK8" s="3434"/>
      <c r="DEL8" s="3434"/>
      <c r="DEM8" s="3434"/>
      <c r="DEN8" s="3434"/>
      <c r="DEO8" s="3434"/>
      <c r="DEP8" s="3434"/>
      <c r="DEQ8" s="3434"/>
      <c r="DER8" s="3434"/>
      <c r="DES8" s="3434"/>
      <c r="DET8" s="3434"/>
      <c r="DEU8" s="3434"/>
      <c r="DEV8" s="3434"/>
      <c r="DEW8" s="3434"/>
      <c r="DEX8" s="3434"/>
      <c r="DEY8" s="3434"/>
      <c r="DEZ8" s="3434"/>
      <c r="DFA8" s="3434"/>
      <c r="DFB8" s="3434"/>
      <c r="DFC8" s="3434"/>
      <c r="DFD8" s="3434"/>
      <c r="DFE8" s="3434"/>
      <c r="DFF8" s="3434"/>
      <c r="DFG8" s="3434"/>
      <c r="DFH8" s="3434"/>
      <c r="DFI8" s="3434"/>
      <c r="DFJ8" s="3434"/>
      <c r="DFK8" s="3434"/>
      <c r="DFL8" s="3434"/>
      <c r="DFM8" s="3434"/>
      <c r="DFN8" s="3434"/>
      <c r="DFO8" s="3434"/>
      <c r="DFP8" s="3434"/>
      <c r="DFQ8" s="3434"/>
      <c r="DFR8" s="3434"/>
      <c r="DFS8" s="3434"/>
      <c r="DFT8" s="3434"/>
      <c r="DFU8" s="3434"/>
      <c r="DFV8" s="3434"/>
      <c r="DFW8" s="3434"/>
      <c r="DFX8" s="3434"/>
      <c r="DFY8" s="3434"/>
      <c r="DFZ8" s="3434"/>
      <c r="DGA8" s="3434"/>
      <c r="DGB8" s="3434"/>
      <c r="DGC8" s="3434"/>
      <c r="DGD8" s="3434"/>
      <c r="DGE8" s="3434"/>
      <c r="DGF8" s="3434"/>
      <c r="DGG8" s="3434"/>
      <c r="DGH8" s="3434"/>
      <c r="DGI8" s="3434"/>
      <c r="DGJ8" s="3434"/>
      <c r="DGK8" s="3434"/>
      <c r="DGL8" s="3434"/>
      <c r="DGM8" s="3434"/>
      <c r="DGN8" s="3434"/>
      <c r="DGO8" s="3434"/>
      <c r="DGP8" s="3434"/>
      <c r="DGQ8" s="3434"/>
      <c r="DGR8" s="3434"/>
      <c r="DGS8" s="3434"/>
      <c r="DGT8" s="3434"/>
      <c r="DGU8" s="3434"/>
      <c r="DGV8" s="3434"/>
      <c r="DGW8" s="3434"/>
      <c r="DGX8" s="3434"/>
      <c r="DGY8" s="3434"/>
      <c r="DGZ8" s="3434"/>
      <c r="DHA8" s="3434"/>
      <c r="DHB8" s="3434"/>
      <c r="DHC8" s="3434"/>
      <c r="DHD8" s="3434"/>
      <c r="DHE8" s="3434"/>
      <c r="DHF8" s="3434"/>
      <c r="DHG8" s="3434"/>
      <c r="DHH8" s="3434"/>
      <c r="DHI8" s="3434"/>
      <c r="DHJ8" s="3434"/>
      <c r="DHK8" s="3434"/>
      <c r="DHL8" s="3434"/>
      <c r="DHM8" s="3434"/>
      <c r="DHN8" s="3434"/>
      <c r="DHO8" s="3434"/>
      <c r="DHP8" s="3434"/>
      <c r="DHQ8" s="3434"/>
      <c r="DHR8" s="3434"/>
      <c r="DHS8" s="3434"/>
      <c r="DHT8" s="3434"/>
      <c r="DHU8" s="3434"/>
      <c r="DHV8" s="3434"/>
      <c r="DHW8" s="3434"/>
      <c r="DHX8" s="3434"/>
      <c r="DHY8" s="3434"/>
      <c r="DHZ8" s="3434"/>
      <c r="DIA8" s="3434"/>
      <c r="DIB8" s="3434"/>
      <c r="DIC8" s="3434"/>
      <c r="DID8" s="3434"/>
      <c r="DIE8" s="3434"/>
      <c r="DIF8" s="3434"/>
      <c r="DIG8" s="3434"/>
      <c r="DIH8" s="3434"/>
      <c r="DII8" s="3434"/>
      <c r="DIJ8" s="3434"/>
      <c r="DIK8" s="3434"/>
      <c r="DIL8" s="3434"/>
      <c r="DIM8" s="3434"/>
      <c r="DIN8" s="3434"/>
      <c r="DIO8" s="3434"/>
      <c r="DIP8" s="3434"/>
      <c r="DIQ8" s="3434"/>
      <c r="DIR8" s="3434"/>
      <c r="DIS8" s="3434"/>
      <c r="DIT8" s="3434"/>
      <c r="DIU8" s="3434"/>
      <c r="DIV8" s="3434"/>
      <c r="DIW8" s="3434"/>
      <c r="DIX8" s="3434"/>
      <c r="DIY8" s="3434"/>
      <c r="DIZ8" s="3434"/>
      <c r="DJA8" s="3434"/>
      <c r="DJB8" s="3434"/>
      <c r="DJC8" s="3434"/>
      <c r="DJD8" s="3434"/>
      <c r="DJE8" s="3434"/>
      <c r="DJF8" s="3434"/>
      <c r="DJG8" s="3434"/>
      <c r="DJH8" s="3434"/>
      <c r="DJI8" s="3434"/>
      <c r="DJJ8" s="3434"/>
      <c r="DJK8" s="3434"/>
      <c r="DJL8" s="3434"/>
      <c r="DJM8" s="3434"/>
      <c r="DJN8" s="3434"/>
      <c r="DJO8" s="3434"/>
      <c r="DJP8" s="3434"/>
      <c r="DJQ8" s="3434"/>
      <c r="DJR8" s="3434"/>
      <c r="DJS8" s="3434"/>
      <c r="DJT8" s="3434"/>
      <c r="DJU8" s="3434"/>
      <c r="DJV8" s="3434"/>
      <c r="DJW8" s="3434"/>
      <c r="DJX8" s="3434"/>
      <c r="DJY8" s="3434"/>
      <c r="DJZ8" s="3434"/>
      <c r="DKA8" s="3434"/>
      <c r="DKB8" s="3434"/>
      <c r="DKC8" s="3434"/>
      <c r="DKD8" s="3434"/>
      <c r="DKE8" s="3434"/>
      <c r="DKF8" s="3434"/>
      <c r="DKG8" s="3434"/>
      <c r="DKH8" s="3434"/>
      <c r="DKI8" s="3434"/>
      <c r="DKJ8" s="3434"/>
      <c r="DKK8" s="3434"/>
      <c r="DKL8" s="3434"/>
      <c r="DKM8" s="3434"/>
      <c r="DKN8" s="3434"/>
      <c r="DKO8" s="3434"/>
      <c r="DKP8" s="3434"/>
      <c r="DKQ8" s="3434"/>
      <c r="DKR8" s="3434"/>
      <c r="DKS8" s="3434"/>
      <c r="DKT8" s="3434"/>
      <c r="DKU8" s="3434"/>
      <c r="DKV8" s="3434"/>
      <c r="DKW8" s="3434"/>
      <c r="DKX8" s="3434"/>
      <c r="DKY8" s="3434"/>
      <c r="DKZ8" s="3434"/>
      <c r="DLA8" s="3434"/>
      <c r="DLB8" s="3434"/>
      <c r="DLC8" s="3434"/>
      <c r="DLD8" s="3434"/>
      <c r="DLE8" s="3434"/>
      <c r="DLF8" s="3434"/>
      <c r="DLG8" s="3434"/>
      <c r="DLH8" s="3434"/>
      <c r="DLI8" s="3434"/>
      <c r="DLJ8" s="3434"/>
      <c r="DLK8" s="3434"/>
      <c r="DLL8" s="3434"/>
      <c r="DLM8" s="3434"/>
      <c r="DLN8" s="3434"/>
      <c r="DLO8" s="3434"/>
      <c r="DLP8" s="3434"/>
      <c r="DLQ8" s="3434"/>
      <c r="DLR8" s="3434"/>
      <c r="DLS8" s="3434"/>
      <c r="DLT8" s="3434"/>
      <c r="DLU8" s="3434"/>
      <c r="DLV8" s="3434"/>
      <c r="DLW8" s="3434"/>
      <c r="DLX8" s="3434"/>
      <c r="DLY8" s="3434"/>
      <c r="DLZ8" s="3434"/>
      <c r="DMA8" s="3434"/>
      <c r="DMB8" s="3434"/>
      <c r="DMC8" s="3434"/>
      <c r="DMD8" s="3434"/>
      <c r="DME8" s="3434"/>
      <c r="DMF8" s="3434"/>
      <c r="DMG8" s="3434"/>
      <c r="DMH8" s="3434"/>
      <c r="DMI8" s="3434"/>
      <c r="DMJ8" s="3434"/>
      <c r="DMK8" s="3434"/>
      <c r="DML8" s="3434"/>
      <c r="DMM8" s="3434"/>
      <c r="DMN8" s="3434"/>
      <c r="DMO8" s="3434"/>
      <c r="DMP8" s="3434"/>
      <c r="DMQ8" s="3434"/>
      <c r="DMR8" s="3434"/>
      <c r="DMS8" s="3434"/>
      <c r="DMT8" s="3434"/>
      <c r="DMU8" s="3434"/>
      <c r="DMV8" s="3434"/>
      <c r="DMW8" s="3434"/>
      <c r="DMX8" s="3434"/>
      <c r="DMY8" s="3434"/>
      <c r="DMZ8" s="3434"/>
      <c r="DNA8" s="3434"/>
      <c r="DNB8" s="3434"/>
      <c r="DNC8" s="3434"/>
      <c r="DND8" s="3434"/>
      <c r="DNE8" s="3434"/>
      <c r="DNF8" s="3434"/>
      <c r="DNG8" s="3434"/>
      <c r="DNH8" s="3434"/>
      <c r="DNI8" s="3434"/>
      <c r="DNJ8" s="3434"/>
      <c r="DNK8" s="3434"/>
      <c r="DNL8" s="3434"/>
      <c r="DNM8" s="3434"/>
      <c r="DNN8" s="3434"/>
      <c r="DNO8" s="3434"/>
      <c r="DNP8" s="3434"/>
      <c r="DNQ8" s="3434"/>
      <c r="DNR8" s="3434"/>
      <c r="DNS8" s="3434"/>
      <c r="DNT8" s="3434"/>
      <c r="DNU8" s="3434"/>
      <c r="DNV8" s="3434"/>
      <c r="DNW8" s="3434"/>
      <c r="DNX8" s="3434"/>
      <c r="DNY8" s="3434"/>
      <c r="DNZ8" s="3434"/>
      <c r="DOA8" s="3434"/>
      <c r="DOB8" s="3434"/>
      <c r="DOC8" s="3434"/>
      <c r="DOD8" s="3434"/>
      <c r="DOE8" s="3434"/>
      <c r="DOF8" s="3434"/>
      <c r="DOG8" s="3434"/>
      <c r="DOH8" s="3434"/>
      <c r="DOI8" s="3434"/>
      <c r="DOJ8" s="3434"/>
      <c r="DOK8" s="3434"/>
      <c r="DOL8" s="3434"/>
      <c r="DOM8" s="3434"/>
      <c r="DON8" s="3434"/>
      <c r="DOO8" s="3434"/>
      <c r="DOP8" s="3434"/>
      <c r="DOQ8" s="3434"/>
      <c r="DOR8" s="3434"/>
      <c r="DOS8" s="3434"/>
      <c r="DOT8" s="3434"/>
      <c r="DOU8" s="3434"/>
      <c r="DOV8" s="3434"/>
      <c r="DOW8" s="3434"/>
      <c r="DOX8" s="3434"/>
      <c r="DOY8" s="3434"/>
      <c r="DOZ8" s="3434"/>
      <c r="DPA8" s="3434"/>
      <c r="DPB8" s="3434"/>
      <c r="DPC8" s="3434"/>
      <c r="DPD8" s="3434"/>
      <c r="DPE8" s="3434"/>
      <c r="DPF8" s="3434"/>
      <c r="DPG8" s="3434"/>
      <c r="DPH8" s="3434"/>
      <c r="DPI8" s="3434"/>
      <c r="DPJ8" s="3434"/>
      <c r="DPK8" s="3434"/>
      <c r="DPL8" s="3434"/>
      <c r="DPM8" s="3434"/>
      <c r="DPN8" s="3434"/>
      <c r="DPO8" s="3434"/>
      <c r="DPP8" s="3434"/>
      <c r="DPQ8" s="3434"/>
      <c r="DPR8" s="3434"/>
      <c r="DPS8" s="3434"/>
      <c r="DPT8" s="3434"/>
      <c r="DPU8" s="3434"/>
      <c r="DPV8" s="3434"/>
      <c r="DPW8" s="3434"/>
      <c r="DPX8" s="3434"/>
      <c r="DPY8" s="3434"/>
      <c r="DPZ8" s="3434"/>
      <c r="DQA8" s="3434"/>
      <c r="DQB8" s="3434"/>
      <c r="DQC8" s="3434"/>
      <c r="DQD8" s="3434"/>
      <c r="DQE8" s="3434"/>
      <c r="DQF8" s="3434"/>
      <c r="DQG8" s="3434"/>
      <c r="DQH8" s="3434"/>
      <c r="DQI8" s="3434"/>
      <c r="DQJ8" s="3434"/>
      <c r="DQK8" s="3434"/>
      <c r="DQL8" s="3434"/>
      <c r="DQM8" s="3434"/>
      <c r="DQN8" s="3434"/>
      <c r="DQO8" s="3434"/>
      <c r="DQP8" s="3434"/>
      <c r="DQQ8" s="3434"/>
      <c r="DQR8" s="3434"/>
      <c r="DQS8" s="3434"/>
      <c r="DQT8" s="3434"/>
      <c r="DQU8" s="3434"/>
      <c r="DQV8" s="3434"/>
      <c r="DQW8" s="3434"/>
      <c r="DQX8" s="3434"/>
      <c r="DQY8" s="3434"/>
      <c r="DQZ8" s="3434"/>
      <c r="DRA8" s="3434"/>
      <c r="DRB8" s="3434"/>
      <c r="DRC8" s="3434"/>
      <c r="DRD8" s="3434"/>
      <c r="DRE8" s="3434"/>
      <c r="DRF8" s="3434"/>
      <c r="DRG8" s="3434"/>
      <c r="DRH8" s="3434"/>
      <c r="DRI8" s="3434"/>
      <c r="DRJ8" s="3434"/>
      <c r="DRK8" s="3434"/>
      <c r="DRL8" s="3434"/>
      <c r="DRM8" s="3434"/>
      <c r="DRN8" s="3434"/>
      <c r="DRO8" s="3434"/>
      <c r="DRP8" s="3434"/>
      <c r="DRQ8" s="3434"/>
      <c r="DRR8" s="3434"/>
      <c r="DRS8" s="3434"/>
      <c r="DRT8" s="3434"/>
      <c r="DRU8" s="3434"/>
      <c r="DRV8" s="3434"/>
      <c r="DRW8" s="3434"/>
      <c r="DRX8" s="3434"/>
      <c r="DRY8" s="3434"/>
      <c r="DRZ8" s="3434"/>
      <c r="DSA8" s="3434"/>
      <c r="DSB8" s="3434"/>
      <c r="DSC8" s="3434"/>
      <c r="DSD8" s="3434"/>
      <c r="DSE8" s="3434"/>
      <c r="DSF8" s="3434"/>
      <c r="DSG8" s="3434"/>
      <c r="DSH8" s="3434"/>
      <c r="DSI8" s="3434"/>
      <c r="DSJ8" s="3434"/>
      <c r="DSK8" s="3434"/>
      <c r="DSL8" s="3434"/>
      <c r="DSM8" s="3434"/>
      <c r="DSN8" s="3434"/>
      <c r="DSO8" s="3434"/>
      <c r="DSP8" s="3434"/>
      <c r="DSQ8" s="3434"/>
      <c r="DSR8" s="3434"/>
      <c r="DSS8" s="3434"/>
      <c r="DST8" s="3434"/>
      <c r="DSU8" s="3434"/>
      <c r="DSV8" s="3434"/>
      <c r="DSW8" s="3434"/>
      <c r="DSX8" s="3434"/>
      <c r="DSY8" s="3434"/>
      <c r="DSZ8" s="3434"/>
      <c r="DTA8" s="3434"/>
      <c r="DTB8" s="3434"/>
      <c r="DTC8" s="3434"/>
      <c r="DTD8" s="3434"/>
      <c r="DTE8" s="3434"/>
      <c r="DTF8" s="3434"/>
      <c r="DTG8" s="3434"/>
      <c r="DTH8" s="3434"/>
      <c r="DTI8" s="3434"/>
      <c r="DTJ8" s="3434"/>
      <c r="DTK8" s="3434"/>
      <c r="DTL8" s="3434"/>
      <c r="DTM8" s="3434"/>
      <c r="DTN8" s="3434"/>
      <c r="DTO8" s="3434"/>
      <c r="DTP8" s="3434"/>
      <c r="DTQ8" s="3434"/>
      <c r="DTR8" s="3434"/>
      <c r="DTS8" s="3434"/>
      <c r="DTT8" s="3434"/>
      <c r="DTU8" s="3434"/>
      <c r="DTV8" s="3434"/>
      <c r="DTW8" s="3434"/>
      <c r="DTX8" s="3434"/>
      <c r="DTY8" s="3434"/>
      <c r="DTZ8" s="3434"/>
      <c r="DUA8" s="3434"/>
      <c r="DUB8" s="3434"/>
      <c r="DUC8" s="3434"/>
      <c r="DUD8" s="3434"/>
      <c r="DUE8" s="3434"/>
      <c r="DUF8" s="3434"/>
      <c r="DUG8" s="3434"/>
      <c r="DUH8" s="3434"/>
      <c r="DUI8" s="3434"/>
      <c r="DUJ8" s="3434"/>
      <c r="DUK8" s="3434"/>
      <c r="DUL8" s="3434"/>
      <c r="DUM8" s="3434"/>
      <c r="DUN8" s="3434"/>
      <c r="DUO8" s="3434"/>
      <c r="DUP8" s="3434"/>
      <c r="DUQ8" s="3434"/>
      <c r="DUR8" s="3434"/>
      <c r="DUS8" s="3434"/>
      <c r="DUT8" s="3434"/>
      <c r="DUU8" s="3434"/>
      <c r="DUV8" s="3434"/>
      <c r="DUW8" s="3434"/>
      <c r="DUX8" s="3434"/>
      <c r="DUY8" s="3434"/>
      <c r="DUZ8" s="3434"/>
      <c r="DVA8" s="3434"/>
      <c r="DVB8" s="3434"/>
      <c r="DVC8" s="3434"/>
      <c r="DVD8" s="3434"/>
      <c r="DVE8" s="3434"/>
      <c r="DVF8" s="3434"/>
      <c r="DVG8" s="3434"/>
      <c r="DVH8" s="3434"/>
      <c r="DVI8" s="3434"/>
      <c r="DVJ8" s="3434"/>
      <c r="DVK8" s="3434"/>
      <c r="DVL8" s="3434"/>
      <c r="DVM8" s="3434"/>
      <c r="DVN8" s="3434"/>
      <c r="DVO8" s="3434"/>
      <c r="DVP8" s="3434"/>
      <c r="DVQ8" s="3434"/>
      <c r="DVR8" s="3434"/>
      <c r="DVS8" s="3434"/>
      <c r="DVT8" s="3434"/>
      <c r="DVU8" s="3434"/>
      <c r="DVV8" s="3434"/>
      <c r="DVW8" s="3434"/>
      <c r="DVX8" s="3434"/>
      <c r="DVY8" s="3434"/>
      <c r="DVZ8" s="3434"/>
      <c r="DWA8" s="3434"/>
      <c r="DWB8" s="3434"/>
      <c r="DWC8" s="3434"/>
      <c r="DWD8" s="3434"/>
      <c r="DWE8" s="3434"/>
      <c r="DWF8" s="3434"/>
      <c r="DWG8" s="3434"/>
      <c r="DWH8" s="3434"/>
      <c r="DWI8" s="3434"/>
      <c r="DWJ8" s="3434"/>
      <c r="DWK8" s="3434"/>
      <c r="DWL8" s="3434"/>
      <c r="DWM8" s="3434"/>
      <c r="DWN8" s="3434"/>
      <c r="DWO8" s="3434"/>
      <c r="DWP8" s="3434"/>
      <c r="DWQ8" s="3434"/>
      <c r="DWR8" s="3434"/>
      <c r="DWS8" s="3434"/>
      <c r="DWT8" s="3434"/>
      <c r="DWU8" s="3434"/>
      <c r="DWV8" s="3434"/>
      <c r="DWW8" s="3434"/>
      <c r="DWX8" s="3434"/>
      <c r="DWY8" s="3434"/>
      <c r="DWZ8" s="3434"/>
      <c r="DXA8" s="3434"/>
      <c r="DXB8" s="3434"/>
      <c r="DXC8" s="3434"/>
      <c r="DXD8" s="3434"/>
      <c r="DXE8" s="3434"/>
      <c r="DXF8" s="3434"/>
      <c r="DXG8" s="3434"/>
      <c r="DXH8" s="3434"/>
      <c r="DXI8" s="3434"/>
      <c r="DXJ8" s="3434"/>
      <c r="DXK8" s="3434"/>
      <c r="DXL8" s="3434"/>
      <c r="DXM8" s="3434"/>
      <c r="DXN8" s="3434"/>
      <c r="DXO8" s="3434"/>
      <c r="DXP8" s="3434"/>
      <c r="DXQ8" s="3434"/>
      <c r="DXR8" s="3434"/>
      <c r="DXS8" s="3434"/>
      <c r="DXT8" s="3434"/>
      <c r="DXU8" s="3434"/>
      <c r="DXV8" s="3434"/>
      <c r="DXW8" s="3434"/>
      <c r="DXX8" s="3434"/>
      <c r="DXY8" s="3434"/>
      <c r="DXZ8" s="3434"/>
      <c r="DYA8" s="3434"/>
      <c r="DYB8" s="3434"/>
      <c r="DYC8" s="3434"/>
      <c r="DYD8" s="3434"/>
      <c r="DYE8" s="3434"/>
      <c r="DYF8" s="3434"/>
      <c r="DYG8" s="3434"/>
      <c r="DYH8" s="3434"/>
      <c r="DYI8" s="3434"/>
      <c r="DYJ8" s="3434"/>
      <c r="DYK8" s="3434"/>
      <c r="DYL8" s="3434"/>
      <c r="DYM8" s="3434"/>
      <c r="DYN8" s="3434"/>
      <c r="DYO8" s="3434"/>
      <c r="DYP8" s="3434"/>
      <c r="DYQ8" s="3434"/>
      <c r="DYR8" s="3434"/>
      <c r="DYS8" s="3434"/>
      <c r="DYT8" s="3434"/>
      <c r="DYU8" s="3434"/>
      <c r="DYV8" s="3434"/>
      <c r="DYW8" s="3434"/>
      <c r="DYX8" s="3434"/>
      <c r="DYY8" s="3434"/>
      <c r="DYZ8" s="3434"/>
      <c r="DZA8" s="3434"/>
      <c r="DZB8" s="3434"/>
      <c r="DZC8" s="3434"/>
      <c r="DZD8" s="3434"/>
      <c r="DZE8" s="3434"/>
      <c r="DZF8" s="3434"/>
      <c r="DZG8" s="3434"/>
      <c r="DZH8" s="3434"/>
      <c r="DZI8" s="3434"/>
      <c r="DZJ8" s="3434"/>
      <c r="DZK8" s="3434"/>
      <c r="DZL8" s="3434"/>
      <c r="DZM8" s="3434"/>
      <c r="DZN8" s="3434"/>
      <c r="DZO8" s="3434"/>
      <c r="DZP8" s="3434"/>
      <c r="DZQ8" s="3434"/>
      <c r="DZR8" s="3434"/>
      <c r="DZS8" s="3434"/>
      <c r="DZT8" s="3434"/>
      <c r="DZU8" s="3434"/>
      <c r="DZV8" s="3434"/>
      <c r="DZW8" s="3434"/>
      <c r="DZX8" s="3434"/>
      <c r="DZY8" s="3434"/>
      <c r="DZZ8" s="3434"/>
      <c r="EAA8" s="3434"/>
      <c r="EAB8" s="3434"/>
      <c r="EAC8" s="3434"/>
      <c r="EAD8" s="3434"/>
      <c r="EAE8" s="3434"/>
      <c r="EAF8" s="3434"/>
      <c r="EAG8" s="3434"/>
      <c r="EAH8" s="3434"/>
      <c r="EAI8" s="3434"/>
      <c r="EAJ8" s="3434"/>
      <c r="EAK8" s="3434"/>
      <c r="EAL8" s="3434"/>
      <c r="EAM8" s="3434"/>
      <c r="EAN8" s="3434"/>
      <c r="EAO8" s="3434"/>
      <c r="EAP8" s="3434"/>
      <c r="EAQ8" s="3434"/>
      <c r="EAR8" s="3434"/>
      <c r="EAS8" s="3434"/>
      <c r="EAT8" s="3434"/>
      <c r="EAU8" s="3434"/>
      <c r="EAV8" s="3434"/>
      <c r="EAW8" s="3434"/>
      <c r="EAX8" s="3434"/>
      <c r="EAY8" s="3434"/>
      <c r="EAZ8" s="3434"/>
      <c r="EBA8" s="3434"/>
      <c r="EBB8" s="3434"/>
      <c r="EBC8" s="3434"/>
      <c r="EBD8" s="3434"/>
      <c r="EBE8" s="3434"/>
      <c r="EBF8" s="3434"/>
      <c r="EBG8" s="3434"/>
      <c r="EBH8" s="3434"/>
      <c r="EBI8" s="3434"/>
      <c r="EBJ8" s="3434"/>
      <c r="EBK8" s="3434"/>
      <c r="EBL8" s="3434"/>
      <c r="EBM8" s="3434"/>
      <c r="EBN8" s="3434"/>
      <c r="EBO8" s="3434"/>
      <c r="EBP8" s="3434"/>
      <c r="EBQ8" s="3434"/>
      <c r="EBR8" s="3434"/>
      <c r="EBS8" s="3434"/>
      <c r="EBT8" s="3434"/>
      <c r="EBU8" s="3434"/>
      <c r="EBV8" s="3434"/>
      <c r="EBW8" s="3434"/>
      <c r="EBX8" s="3434"/>
      <c r="EBY8" s="3434"/>
      <c r="EBZ8" s="3434"/>
      <c r="ECA8" s="3434"/>
      <c r="ECB8" s="3434"/>
      <c r="ECC8" s="3434"/>
      <c r="ECD8" s="3434"/>
      <c r="ECE8" s="3434"/>
      <c r="ECF8" s="3434"/>
      <c r="ECG8" s="3434"/>
      <c r="ECH8" s="3434"/>
      <c r="ECI8" s="3434"/>
      <c r="ECJ8" s="3434"/>
      <c r="ECK8" s="3434"/>
      <c r="ECL8" s="3434"/>
      <c r="ECM8" s="3434"/>
      <c r="ECN8" s="3434"/>
      <c r="ECO8" s="3434"/>
      <c r="ECP8" s="3434"/>
      <c r="ECQ8" s="3434"/>
      <c r="ECR8" s="3434"/>
      <c r="ECS8" s="3434"/>
      <c r="ECT8" s="3434"/>
      <c r="ECU8" s="3434"/>
      <c r="ECV8" s="3434"/>
      <c r="ECW8" s="3434"/>
      <c r="ECX8" s="3434"/>
      <c r="ECY8" s="3434"/>
      <c r="ECZ8" s="3434"/>
      <c r="EDA8" s="3434"/>
      <c r="EDB8" s="3434"/>
      <c r="EDC8" s="3434"/>
      <c r="EDD8" s="3434"/>
      <c r="EDE8" s="3434"/>
      <c r="EDF8" s="3434"/>
      <c r="EDG8" s="3434"/>
      <c r="EDH8" s="3434"/>
      <c r="EDI8" s="3434"/>
      <c r="EDJ8" s="3434"/>
      <c r="EDK8" s="3434"/>
      <c r="EDL8" s="3434"/>
      <c r="EDM8" s="3434"/>
      <c r="EDN8" s="3434"/>
      <c r="EDO8" s="3434"/>
      <c r="EDP8" s="3434"/>
      <c r="EDQ8" s="3434"/>
      <c r="EDR8" s="3434"/>
      <c r="EDS8" s="3434"/>
      <c r="EDT8" s="3434"/>
      <c r="EDU8" s="3434"/>
      <c r="EDV8" s="3434"/>
      <c r="EDW8" s="3434"/>
      <c r="EDX8" s="3434"/>
      <c r="EDY8" s="3434"/>
      <c r="EDZ8" s="3434"/>
      <c r="EEA8" s="3434"/>
      <c r="EEB8" s="3434"/>
      <c r="EEC8" s="3434"/>
      <c r="EED8" s="3434"/>
      <c r="EEE8" s="3434"/>
      <c r="EEF8" s="3434"/>
      <c r="EEG8" s="3434"/>
      <c r="EEH8" s="3434"/>
      <c r="EEI8" s="3434"/>
      <c r="EEJ8" s="3434"/>
      <c r="EEK8" s="3434"/>
      <c r="EEL8" s="3434"/>
      <c r="EEM8" s="3434"/>
      <c r="EEN8" s="3434"/>
      <c r="EEO8" s="3434"/>
      <c r="EEP8" s="3434"/>
      <c r="EEQ8" s="3434"/>
      <c r="EER8" s="3434"/>
      <c r="EES8" s="3434"/>
      <c r="EET8" s="3434"/>
      <c r="EEU8" s="3434"/>
      <c r="EEV8" s="3434"/>
      <c r="EEW8" s="3434"/>
      <c r="EEX8" s="3434"/>
      <c r="EEY8" s="3434"/>
      <c r="EEZ8" s="3434"/>
      <c r="EFA8" s="3434"/>
      <c r="EFB8" s="3434"/>
      <c r="EFC8" s="3434"/>
      <c r="EFD8" s="3434"/>
      <c r="EFE8" s="3434"/>
      <c r="EFF8" s="3434"/>
      <c r="EFG8" s="3434"/>
      <c r="EFH8" s="3434"/>
      <c r="EFI8" s="3434"/>
      <c r="EFJ8" s="3434"/>
      <c r="EFK8" s="3434"/>
      <c r="EFL8" s="3434"/>
      <c r="EFM8" s="3434"/>
      <c r="EFN8" s="3434"/>
      <c r="EFO8" s="3434"/>
      <c r="EFP8" s="3434"/>
      <c r="EFQ8" s="3434"/>
      <c r="EFR8" s="3434"/>
      <c r="EFS8" s="3434"/>
      <c r="EFT8" s="3434"/>
      <c r="EFU8" s="3434"/>
      <c r="EFV8" s="3434"/>
      <c r="EFW8" s="3434"/>
      <c r="EFX8" s="3434"/>
      <c r="EFY8" s="3434"/>
      <c r="EFZ8" s="3434"/>
      <c r="EGA8" s="3434"/>
      <c r="EGB8" s="3434"/>
      <c r="EGC8" s="3434"/>
      <c r="EGD8" s="3434"/>
      <c r="EGE8" s="3434"/>
      <c r="EGF8" s="3434"/>
      <c r="EGG8" s="3434"/>
      <c r="EGH8" s="3434"/>
      <c r="EGI8" s="3434"/>
      <c r="EGJ8" s="3434"/>
      <c r="EGK8" s="3434"/>
      <c r="EGL8" s="3434"/>
      <c r="EGM8" s="3434"/>
      <c r="EGN8" s="3434"/>
      <c r="EGO8" s="3434"/>
      <c r="EGP8" s="3434"/>
      <c r="EGQ8" s="3434"/>
      <c r="EGR8" s="3434"/>
      <c r="EGS8" s="3434"/>
      <c r="EGT8" s="3434"/>
      <c r="EGU8" s="3434"/>
      <c r="EGV8" s="3434"/>
      <c r="EGW8" s="3434"/>
      <c r="EGX8" s="3434"/>
      <c r="EGY8" s="3434"/>
      <c r="EGZ8" s="3434"/>
      <c r="EHA8" s="3434"/>
      <c r="EHB8" s="3434"/>
      <c r="EHC8" s="3434"/>
      <c r="EHD8" s="3434"/>
      <c r="EHE8" s="3434"/>
      <c r="EHF8" s="3434"/>
      <c r="EHG8" s="3434"/>
      <c r="EHH8" s="3434"/>
      <c r="EHI8" s="3434"/>
      <c r="EHJ8" s="3434"/>
      <c r="EHK8" s="3434"/>
      <c r="EHL8" s="3434"/>
      <c r="EHM8" s="3434"/>
      <c r="EHN8" s="3434"/>
      <c r="EHO8" s="3434"/>
      <c r="EHP8" s="3434"/>
      <c r="EHQ8" s="3434"/>
      <c r="EHR8" s="3434"/>
      <c r="EHS8" s="3434"/>
      <c r="EHT8" s="3434"/>
      <c r="EHU8" s="3434"/>
      <c r="EHV8" s="3434"/>
      <c r="EHW8" s="3434"/>
      <c r="EHX8" s="3434"/>
      <c r="EHY8" s="3434"/>
      <c r="EHZ8" s="3434"/>
      <c r="EIA8" s="3434"/>
      <c r="EIB8" s="3434"/>
      <c r="EIC8" s="3434"/>
      <c r="EID8" s="3434"/>
      <c r="EIE8" s="3434"/>
      <c r="EIF8" s="3434"/>
      <c r="EIG8" s="3434"/>
      <c r="EIH8" s="3434"/>
      <c r="EII8" s="3434"/>
      <c r="EIJ8" s="3434"/>
      <c r="EIK8" s="3434"/>
      <c r="EIL8" s="3434"/>
      <c r="EIM8" s="3434"/>
      <c r="EIN8" s="3434"/>
      <c r="EIO8" s="3434"/>
      <c r="EIP8" s="3434"/>
      <c r="EIQ8" s="3434"/>
      <c r="EIR8" s="3434"/>
      <c r="EIS8" s="3434"/>
      <c r="EIT8" s="3434"/>
      <c r="EIU8" s="3434"/>
      <c r="EIV8" s="3434"/>
      <c r="EIW8" s="3434"/>
      <c r="EIX8" s="3434"/>
      <c r="EIY8" s="3434"/>
      <c r="EIZ8" s="3434"/>
      <c r="EJA8" s="3434"/>
      <c r="EJB8" s="3434"/>
      <c r="EJC8" s="3434"/>
      <c r="EJD8" s="3434"/>
      <c r="EJE8" s="3434"/>
      <c r="EJF8" s="3434"/>
      <c r="EJG8" s="3434"/>
      <c r="EJH8" s="3434"/>
      <c r="EJI8" s="3434"/>
      <c r="EJJ8" s="3434"/>
      <c r="EJK8" s="3434"/>
      <c r="EJL8" s="3434"/>
      <c r="EJM8" s="3434"/>
      <c r="EJN8" s="3434"/>
      <c r="EJO8" s="3434"/>
      <c r="EJP8" s="3434"/>
      <c r="EJQ8" s="3434"/>
      <c r="EJR8" s="3434"/>
      <c r="EJS8" s="3434"/>
      <c r="EJT8" s="3434"/>
      <c r="EJU8" s="3434"/>
      <c r="EJV8" s="3434"/>
      <c r="EJW8" s="3434"/>
      <c r="EJX8" s="3434"/>
      <c r="EJY8" s="3434"/>
      <c r="EJZ8" s="3434"/>
      <c r="EKA8" s="3434"/>
      <c r="EKB8" s="3434"/>
      <c r="EKC8" s="3434"/>
      <c r="EKD8" s="3434"/>
      <c r="EKE8" s="3434"/>
      <c r="EKF8" s="3434"/>
      <c r="EKG8" s="3434"/>
      <c r="EKH8" s="3434"/>
      <c r="EKI8" s="3434"/>
      <c r="EKJ8" s="3434"/>
      <c r="EKK8" s="3434"/>
      <c r="EKL8" s="3434"/>
      <c r="EKM8" s="3434"/>
      <c r="EKN8" s="3434"/>
      <c r="EKO8" s="3434"/>
      <c r="EKP8" s="3434"/>
      <c r="EKQ8" s="3434"/>
      <c r="EKR8" s="3434"/>
      <c r="EKS8" s="3434"/>
      <c r="EKT8" s="3434"/>
      <c r="EKU8" s="3434"/>
      <c r="EKV8" s="3434"/>
      <c r="EKW8" s="3434"/>
      <c r="EKX8" s="3434"/>
      <c r="EKY8" s="3434"/>
      <c r="EKZ8" s="3434"/>
      <c r="ELA8" s="3434"/>
      <c r="ELB8" s="3434"/>
      <c r="ELC8" s="3434"/>
      <c r="ELD8" s="3434"/>
      <c r="ELE8" s="3434"/>
      <c r="ELF8" s="3434"/>
      <c r="ELG8" s="3434"/>
      <c r="ELH8" s="3434"/>
      <c r="ELI8" s="3434"/>
      <c r="ELJ8" s="3434"/>
      <c r="ELK8" s="3434"/>
      <c r="ELL8" s="3434"/>
      <c r="ELM8" s="3434"/>
      <c r="ELN8" s="3434"/>
      <c r="ELO8" s="3434"/>
      <c r="ELP8" s="3434"/>
      <c r="ELQ8" s="3434"/>
      <c r="ELR8" s="3434"/>
      <c r="ELS8" s="3434"/>
      <c r="ELT8" s="3434"/>
      <c r="ELU8" s="3434"/>
      <c r="ELV8" s="3434"/>
      <c r="ELW8" s="3434"/>
      <c r="ELX8" s="3434"/>
      <c r="ELY8" s="3434"/>
      <c r="ELZ8" s="3434"/>
      <c r="EMA8" s="3434"/>
      <c r="EMB8" s="3434"/>
      <c r="EMC8" s="3434"/>
      <c r="EMD8" s="3434"/>
      <c r="EME8" s="3434"/>
      <c r="EMF8" s="3434"/>
      <c r="EMG8" s="3434"/>
      <c r="EMH8" s="3434"/>
      <c r="EMI8" s="3434"/>
      <c r="EMJ8" s="3434"/>
      <c r="EMK8" s="3434"/>
      <c r="EML8" s="3434"/>
      <c r="EMM8" s="3434"/>
      <c r="EMN8" s="3434"/>
      <c r="EMO8" s="3434"/>
      <c r="EMP8" s="3434"/>
      <c r="EMQ8" s="3434"/>
      <c r="EMR8" s="3434"/>
      <c r="EMS8" s="3434"/>
      <c r="EMT8" s="3434"/>
      <c r="EMU8" s="3434"/>
      <c r="EMV8" s="3434"/>
      <c r="EMW8" s="3434"/>
      <c r="EMX8" s="3434"/>
      <c r="EMY8" s="3434"/>
      <c r="EMZ8" s="3434"/>
      <c r="ENA8" s="3434"/>
      <c r="ENB8" s="3434"/>
      <c r="ENC8" s="3434"/>
      <c r="END8" s="3434"/>
      <c r="ENE8" s="3434"/>
      <c r="ENF8" s="3434"/>
      <c r="ENG8" s="3434"/>
      <c r="ENH8" s="3434"/>
      <c r="ENI8" s="3434"/>
      <c r="ENJ8" s="3434"/>
      <c r="ENK8" s="3434"/>
      <c r="ENL8" s="3434"/>
      <c r="ENM8" s="3434"/>
      <c r="ENN8" s="3434"/>
      <c r="ENO8" s="3434"/>
      <c r="ENP8" s="3434"/>
      <c r="ENQ8" s="3434"/>
      <c r="ENR8" s="3434"/>
      <c r="ENS8" s="3434"/>
      <c r="ENT8" s="3434"/>
      <c r="ENU8" s="3434"/>
      <c r="ENV8" s="3434"/>
      <c r="ENW8" s="3434"/>
      <c r="ENX8" s="3434"/>
      <c r="ENY8" s="3434"/>
      <c r="ENZ8" s="3434"/>
      <c r="EOA8" s="3434"/>
      <c r="EOB8" s="3434"/>
      <c r="EOC8" s="3434"/>
      <c r="EOD8" s="3434"/>
      <c r="EOE8" s="3434"/>
      <c r="EOF8" s="3434"/>
      <c r="EOG8" s="3434"/>
      <c r="EOH8" s="3434"/>
      <c r="EOI8" s="3434"/>
      <c r="EOJ8" s="3434"/>
      <c r="EOK8" s="3434"/>
      <c r="EOL8" s="3434"/>
      <c r="EOM8" s="3434"/>
      <c r="EON8" s="3434"/>
      <c r="EOO8" s="3434"/>
      <c r="EOP8" s="3434"/>
      <c r="EOQ8" s="3434"/>
      <c r="EOR8" s="3434"/>
      <c r="EOS8" s="3434"/>
      <c r="EOT8" s="3434"/>
      <c r="EOU8" s="3434"/>
      <c r="EOV8" s="3434"/>
      <c r="EOW8" s="3434"/>
      <c r="EOX8" s="3434"/>
      <c r="EOY8" s="3434"/>
      <c r="EOZ8" s="3434"/>
      <c r="EPA8" s="3434"/>
      <c r="EPB8" s="3434"/>
      <c r="EPC8" s="3434"/>
      <c r="EPD8" s="3434"/>
      <c r="EPE8" s="3434"/>
      <c r="EPF8" s="3434"/>
      <c r="EPG8" s="3434"/>
      <c r="EPH8" s="3434"/>
      <c r="EPI8" s="3434"/>
      <c r="EPJ8" s="3434"/>
      <c r="EPK8" s="3434"/>
      <c r="EPL8" s="3434"/>
      <c r="EPM8" s="3434"/>
      <c r="EPN8" s="3434"/>
      <c r="EPO8" s="3434"/>
      <c r="EPP8" s="3434"/>
      <c r="EPQ8" s="3434"/>
      <c r="EPR8" s="3434"/>
      <c r="EPS8" s="3434"/>
      <c r="EPT8" s="3434"/>
      <c r="EPU8" s="3434"/>
      <c r="EPV8" s="3434"/>
      <c r="EPW8" s="3434"/>
      <c r="EPX8" s="3434"/>
      <c r="EPY8" s="3434"/>
      <c r="EPZ8" s="3434"/>
      <c r="EQA8" s="3434"/>
      <c r="EQB8" s="3434"/>
      <c r="EQC8" s="3434"/>
      <c r="EQD8" s="3434"/>
      <c r="EQE8" s="3434"/>
      <c r="EQF8" s="3434"/>
      <c r="EQG8" s="3434"/>
      <c r="EQH8" s="3434"/>
      <c r="EQI8" s="3434"/>
      <c r="EQJ8" s="3434"/>
      <c r="EQK8" s="3434"/>
      <c r="EQL8" s="3434"/>
      <c r="EQM8" s="3434"/>
      <c r="EQN8" s="3434"/>
      <c r="EQO8" s="3434"/>
      <c r="EQP8" s="3434"/>
      <c r="EQQ8" s="3434"/>
      <c r="EQR8" s="3434"/>
      <c r="EQS8" s="3434"/>
      <c r="EQT8" s="3434"/>
      <c r="EQU8" s="3434"/>
      <c r="EQV8" s="3434"/>
      <c r="EQW8" s="3434"/>
      <c r="EQX8" s="3434"/>
      <c r="EQY8" s="3434"/>
      <c r="EQZ8" s="3434"/>
      <c r="ERA8" s="3434"/>
      <c r="ERB8" s="3434"/>
      <c r="ERC8" s="3434"/>
      <c r="ERD8" s="3434"/>
      <c r="ERE8" s="3434"/>
      <c r="ERF8" s="3434"/>
      <c r="ERG8" s="3434"/>
      <c r="ERH8" s="3434"/>
      <c r="ERI8" s="3434"/>
      <c r="ERJ8" s="3434"/>
      <c r="ERK8" s="3434"/>
      <c r="ERL8" s="3434"/>
      <c r="ERM8" s="3434"/>
      <c r="ERN8" s="3434"/>
      <c r="ERO8" s="3434"/>
      <c r="ERP8" s="3434"/>
      <c r="ERQ8" s="3434"/>
      <c r="ERR8" s="3434"/>
      <c r="ERS8" s="3434"/>
      <c r="ERT8" s="3434"/>
      <c r="ERU8" s="3434"/>
      <c r="ERV8" s="3434"/>
      <c r="ERW8" s="3434"/>
      <c r="ERX8" s="3434"/>
      <c r="ERY8" s="3434"/>
      <c r="ERZ8" s="3434"/>
      <c r="ESA8" s="3434"/>
      <c r="ESB8" s="3434"/>
      <c r="ESC8" s="3434"/>
      <c r="ESD8" s="3434"/>
      <c r="ESE8" s="3434"/>
      <c r="ESF8" s="3434"/>
      <c r="ESG8" s="3434"/>
      <c r="ESH8" s="3434"/>
      <c r="ESI8" s="3434"/>
      <c r="ESJ8" s="3434"/>
      <c r="ESK8" s="3434"/>
      <c r="ESL8" s="3434"/>
      <c r="ESM8" s="3434"/>
      <c r="ESN8" s="3434"/>
      <c r="ESO8" s="3434"/>
      <c r="ESP8" s="3434"/>
      <c r="ESQ8" s="3434"/>
      <c r="ESR8" s="3434"/>
      <c r="ESS8" s="3434"/>
      <c r="EST8" s="3434"/>
      <c r="ESU8" s="3434"/>
      <c r="ESV8" s="3434"/>
      <c r="ESW8" s="3434"/>
      <c r="ESX8" s="3434"/>
      <c r="ESY8" s="3434"/>
      <c r="ESZ8" s="3434"/>
      <c r="ETA8" s="3434"/>
      <c r="ETB8" s="3434"/>
      <c r="ETC8" s="3434"/>
      <c r="ETD8" s="3434"/>
      <c r="ETE8" s="3434"/>
      <c r="ETF8" s="3434"/>
      <c r="ETG8" s="3434"/>
      <c r="ETH8" s="3434"/>
      <c r="ETI8" s="3434"/>
      <c r="ETJ8" s="3434"/>
      <c r="ETK8" s="3434"/>
      <c r="ETL8" s="3434"/>
      <c r="ETM8" s="3434"/>
      <c r="ETN8" s="3434"/>
      <c r="ETO8" s="3434"/>
      <c r="ETP8" s="3434"/>
      <c r="ETQ8" s="3434"/>
      <c r="ETR8" s="3434"/>
      <c r="ETS8" s="3434"/>
      <c r="ETT8" s="3434"/>
      <c r="ETU8" s="3434"/>
      <c r="ETV8" s="3434"/>
      <c r="ETW8" s="3434"/>
      <c r="ETX8" s="3434"/>
      <c r="ETY8" s="3434"/>
      <c r="ETZ8" s="3434"/>
      <c r="EUA8" s="3434"/>
      <c r="EUB8" s="3434"/>
      <c r="EUC8" s="3434"/>
      <c r="EUD8" s="3434"/>
      <c r="EUE8" s="3434"/>
      <c r="EUF8" s="3434"/>
      <c r="EUG8" s="3434"/>
      <c r="EUH8" s="3434"/>
      <c r="EUI8" s="3434"/>
      <c r="EUJ8" s="3434"/>
      <c r="EUK8" s="3434"/>
      <c r="EUL8" s="3434"/>
      <c r="EUM8" s="3434"/>
      <c r="EUN8" s="3434"/>
      <c r="EUO8" s="3434"/>
      <c r="EUP8" s="3434"/>
      <c r="EUQ8" s="3434"/>
      <c r="EUR8" s="3434"/>
      <c r="EUS8" s="3434"/>
      <c r="EUT8" s="3434"/>
      <c r="EUU8" s="3434"/>
      <c r="EUV8" s="3434"/>
      <c r="EUW8" s="3434"/>
      <c r="EUX8" s="3434"/>
      <c r="EUY8" s="3434"/>
      <c r="EUZ8" s="3434"/>
      <c r="EVA8" s="3434"/>
      <c r="EVB8" s="3434"/>
      <c r="EVC8" s="3434"/>
      <c r="EVD8" s="3434"/>
      <c r="EVE8" s="3434"/>
      <c r="EVF8" s="3434"/>
      <c r="EVG8" s="3434"/>
      <c r="EVH8" s="3434"/>
      <c r="EVI8" s="3434"/>
      <c r="EVJ8" s="3434"/>
      <c r="EVK8" s="3434"/>
      <c r="EVL8" s="3434"/>
      <c r="EVM8" s="3434"/>
      <c r="EVN8" s="3434"/>
      <c r="EVO8" s="3434"/>
      <c r="EVP8" s="3434"/>
      <c r="EVQ8" s="3434"/>
      <c r="EVR8" s="3434"/>
      <c r="EVS8" s="3434"/>
      <c r="EVT8" s="3434"/>
      <c r="EVU8" s="3434"/>
      <c r="EVV8" s="3434"/>
      <c r="EVW8" s="3434"/>
      <c r="EVX8" s="3434"/>
      <c r="EVY8" s="3434"/>
      <c r="EVZ8" s="3434"/>
      <c r="EWA8" s="3434"/>
      <c r="EWB8" s="3434"/>
      <c r="EWC8" s="3434"/>
      <c r="EWD8" s="3434"/>
      <c r="EWE8" s="3434"/>
      <c r="EWF8" s="3434"/>
      <c r="EWG8" s="3434"/>
      <c r="EWH8" s="3434"/>
      <c r="EWI8" s="3434"/>
      <c r="EWJ8" s="3434"/>
      <c r="EWK8" s="3434"/>
      <c r="EWL8" s="3434"/>
      <c r="EWM8" s="3434"/>
      <c r="EWN8" s="3434"/>
      <c r="EWO8" s="3434"/>
      <c r="EWP8" s="3434"/>
      <c r="EWQ8" s="3434"/>
      <c r="EWR8" s="3434"/>
      <c r="EWS8" s="3434"/>
      <c r="EWT8" s="3434"/>
      <c r="EWU8" s="3434"/>
      <c r="EWV8" s="3434"/>
      <c r="EWW8" s="3434"/>
      <c r="EWX8" s="3434"/>
      <c r="EWY8" s="3434"/>
      <c r="EWZ8" s="3434"/>
      <c r="EXA8" s="3434"/>
      <c r="EXB8" s="3434"/>
      <c r="EXC8" s="3434"/>
      <c r="EXD8" s="3434"/>
      <c r="EXE8" s="3434"/>
      <c r="EXF8" s="3434"/>
      <c r="EXG8" s="3434"/>
      <c r="EXH8" s="3434"/>
      <c r="EXI8" s="3434"/>
      <c r="EXJ8" s="3434"/>
      <c r="EXK8" s="3434"/>
      <c r="EXL8" s="3434"/>
      <c r="EXM8" s="3434"/>
      <c r="EXN8" s="3434"/>
      <c r="EXO8" s="3434"/>
      <c r="EXP8" s="3434"/>
      <c r="EXQ8" s="3434"/>
      <c r="EXR8" s="3434"/>
      <c r="EXS8" s="3434"/>
      <c r="EXT8" s="3434"/>
      <c r="EXU8" s="3434"/>
      <c r="EXV8" s="3434"/>
      <c r="EXW8" s="3434"/>
      <c r="EXX8" s="3434"/>
      <c r="EXY8" s="3434"/>
      <c r="EXZ8" s="3434"/>
      <c r="EYA8" s="3434"/>
      <c r="EYB8" s="3434"/>
      <c r="EYC8" s="3434"/>
      <c r="EYD8" s="3434"/>
      <c r="EYE8" s="3434"/>
      <c r="EYF8" s="3434"/>
      <c r="EYG8" s="3434"/>
      <c r="EYH8" s="3434"/>
      <c r="EYI8" s="3434"/>
      <c r="EYJ8" s="3434"/>
      <c r="EYK8" s="3434"/>
      <c r="EYL8" s="3434"/>
      <c r="EYM8" s="3434"/>
      <c r="EYN8" s="3434"/>
      <c r="EYO8" s="3434"/>
      <c r="EYP8" s="3434"/>
      <c r="EYQ8" s="3434"/>
      <c r="EYR8" s="3434"/>
      <c r="EYS8" s="3434"/>
      <c r="EYT8" s="3434"/>
      <c r="EYU8" s="3434"/>
      <c r="EYV8" s="3434"/>
      <c r="EYW8" s="3434"/>
      <c r="EYX8" s="3434"/>
      <c r="EYY8" s="3434"/>
      <c r="EYZ8" s="3434"/>
      <c r="EZA8" s="3434"/>
      <c r="EZB8" s="3434"/>
      <c r="EZC8" s="3434"/>
      <c r="EZD8" s="3434"/>
      <c r="EZE8" s="3434"/>
      <c r="EZF8" s="3434"/>
      <c r="EZG8" s="3434"/>
      <c r="EZH8" s="3434"/>
      <c r="EZI8" s="3434"/>
      <c r="EZJ8" s="3434"/>
      <c r="EZK8" s="3434"/>
      <c r="EZL8" s="3434"/>
      <c r="EZM8" s="3434"/>
      <c r="EZN8" s="3434"/>
      <c r="EZO8" s="3434"/>
      <c r="EZP8" s="3434"/>
      <c r="EZQ8" s="3434"/>
      <c r="EZR8" s="3434"/>
      <c r="EZS8" s="3434"/>
      <c r="EZT8" s="3434"/>
      <c r="EZU8" s="3434"/>
      <c r="EZV8" s="3434"/>
      <c r="EZW8" s="3434"/>
      <c r="EZX8" s="3434"/>
      <c r="EZY8" s="3434"/>
      <c r="EZZ8" s="3434"/>
      <c r="FAA8" s="3434"/>
      <c r="FAB8" s="3434"/>
      <c r="FAC8" s="3434"/>
      <c r="FAD8" s="3434"/>
      <c r="FAE8" s="3434"/>
      <c r="FAF8" s="3434"/>
      <c r="FAG8" s="3434"/>
      <c r="FAH8" s="3434"/>
      <c r="FAI8" s="3434"/>
      <c r="FAJ8" s="3434"/>
      <c r="FAK8" s="3434"/>
      <c r="FAL8" s="3434"/>
      <c r="FAM8" s="3434"/>
      <c r="FAN8" s="3434"/>
      <c r="FAO8" s="3434"/>
      <c r="FAP8" s="3434"/>
      <c r="FAQ8" s="3434"/>
      <c r="FAR8" s="3434"/>
      <c r="FAS8" s="3434"/>
      <c r="FAT8" s="3434"/>
      <c r="FAU8" s="3434"/>
      <c r="FAV8" s="3434"/>
      <c r="FAW8" s="3434"/>
      <c r="FAX8" s="3434"/>
      <c r="FAY8" s="3434"/>
      <c r="FAZ8" s="3434"/>
      <c r="FBA8" s="3434"/>
      <c r="FBB8" s="3434"/>
      <c r="FBC8" s="3434"/>
      <c r="FBD8" s="3434"/>
      <c r="FBE8" s="3434"/>
      <c r="FBF8" s="3434"/>
      <c r="FBG8" s="3434"/>
      <c r="FBH8" s="3434"/>
      <c r="FBI8" s="3434"/>
      <c r="FBJ8" s="3434"/>
      <c r="FBK8" s="3434"/>
      <c r="FBL8" s="3434"/>
      <c r="FBM8" s="3434"/>
      <c r="FBN8" s="3434"/>
      <c r="FBO8" s="3434"/>
      <c r="FBP8" s="3434"/>
      <c r="FBQ8" s="3434"/>
      <c r="FBR8" s="3434"/>
      <c r="FBS8" s="3434"/>
      <c r="FBT8" s="3434"/>
      <c r="FBU8" s="3434"/>
      <c r="FBV8" s="3434"/>
      <c r="FBW8" s="3434"/>
      <c r="FBX8" s="3434"/>
      <c r="FBY8" s="3434"/>
      <c r="FBZ8" s="3434"/>
      <c r="FCA8" s="3434"/>
      <c r="FCB8" s="3434"/>
      <c r="FCC8" s="3434"/>
      <c r="FCD8" s="3434"/>
      <c r="FCE8" s="3434"/>
      <c r="FCF8" s="3434"/>
      <c r="FCG8" s="3434"/>
      <c r="FCH8" s="3434"/>
      <c r="FCI8" s="3434"/>
      <c r="FCJ8" s="3434"/>
      <c r="FCK8" s="3434"/>
      <c r="FCL8" s="3434"/>
      <c r="FCM8" s="3434"/>
      <c r="FCN8" s="3434"/>
      <c r="FCO8" s="3434"/>
      <c r="FCP8" s="3434"/>
      <c r="FCQ8" s="3434"/>
      <c r="FCR8" s="3434"/>
      <c r="FCS8" s="3434"/>
      <c r="FCT8" s="3434"/>
      <c r="FCU8" s="3434"/>
      <c r="FCV8" s="3434"/>
      <c r="FCW8" s="3434"/>
      <c r="FCX8" s="3434"/>
      <c r="FCY8" s="3434"/>
      <c r="FCZ8" s="3434"/>
      <c r="FDA8" s="3434"/>
      <c r="FDB8" s="3434"/>
      <c r="FDC8" s="3434"/>
      <c r="FDD8" s="3434"/>
      <c r="FDE8" s="3434"/>
      <c r="FDF8" s="3434"/>
      <c r="FDG8" s="3434"/>
      <c r="FDH8" s="3434"/>
      <c r="FDI8" s="3434"/>
      <c r="FDJ8" s="3434"/>
      <c r="FDK8" s="3434"/>
      <c r="FDL8" s="3434"/>
      <c r="FDM8" s="3434"/>
      <c r="FDN8" s="3434"/>
      <c r="FDO8" s="3434"/>
      <c r="FDP8" s="3434"/>
      <c r="FDQ8" s="3434"/>
      <c r="FDR8" s="3434"/>
      <c r="FDS8" s="3434"/>
      <c r="FDT8" s="3434"/>
      <c r="FDU8" s="3434"/>
      <c r="FDV8" s="3434"/>
      <c r="FDW8" s="3434"/>
      <c r="FDX8" s="3434"/>
      <c r="FDY8" s="3434"/>
      <c r="FDZ8" s="3434"/>
      <c r="FEA8" s="3434"/>
      <c r="FEB8" s="3434"/>
      <c r="FEC8" s="3434"/>
      <c r="FED8" s="3434"/>
      <c r="FEE8" s="3434"/>
      <c r="FEF8" s="3434"/>
      <c r="FEG8" s="3434"/>
      <c r="FEH8" s="3434"/>
      <c r="FEI8" s="3434"/>
      <c r="FEJ8" s="3434"/>
      <c r="FEK8" s="3434"/>
      <c r="FEL8" s="3434"/>
      <c r="FEM8" s="3434"/>
      <c r="FEN8" s="3434"/>
      <c r="FEO8" s="3434"/>
      <c r="FEP8" s="3434"/>
      <c r="FEQ8" s="3434"/>
      <c r="FER8" s="3434"/>
      <c r="FES8" s="3434"/>
      <c r="FET8" s="3434"/>
      <c r="FEU8" s="3434"/>
      <c r="FEV8" s="3434"/>
      <c r="FEW8" s="3434"/>
      <c r="FEX8" s="3434"/>
      <c r="FEY8" s="3434"/>
      <c r="FEZ8" s="3434"/>
      <c r="FFA8" s="3434"/>
      <c r="FFB8" s="3434"/>
      <c r="FFC8" s="3434"/>
      <c r="FFD8" s="3434"/>
      <c r="FFE8" s="3434"/>
      <c r="FFF8" s="3434"/>
      <c r="FFG8" s="3434"/>
      <c r="FFH8" s="3434"/>
      <c r="FFI8" s="3434"/>
      <c r="FFJ8" s="3434"/>
      <c r="FFK8" s="3434"/>
      <c r="FFL8" s="3434"/>
      <c r="FFM8" s="3434"/>
      <c r="FFN8" s="3434"/>
      <c r="FFO8" s="3434"/>
      <c r="FFP8" s="3434"/>
      <c r="FFQ8" s="3434"/>
      <c r="FFR8" s="3434"/>
      <c r="FFS8" s="3434"/>
      <c r="FFT8" s="3434"/>
      <c r="FFU8" s="3434"/>
      <c r="FFV8" s="3434"/>
      <c r="FFW8" s="3434"/>
      <c r="FFX8" s="3434"/>
      <c r="FFY8" s="3434"/>
      <c r="FFZ8" s="3434"/>
      <c r="FGA8" s="3434"/>
      <c r="FGB8" s="3434"/>
      <c r="FGC8" s="3434"/>
      <c r="FGD8" s="3434"/>
      <c r="FGE8" s="3434"/>
      <c r="FGF8" s="3434"/>
      <c r="FGG8" s="3434"/>
      <c r="FGH8" s="3434"/>
      <c r="FGI8" s="3434"/>
      <c r="FGJ8" s="3434"/>
      <c r="FGK8" s="3434"/>
      <c r="FGL8" s="3434"/>
      <c r="FGM8" s="3434"/>
      <c r="FGN8" s="3434"/>
      <c r="FGO8" s="3434"/>
      <c r="FGP8" s="3434"/>
      <c r="FGQ8" s="3434"/>
      <c r="FGR8" s="3434"/>
      <c r="FGS8" s="3434"/>
      <c r="FGT8" s="3434"/>
      <c r="FGU8" s="3434"/>
      <c r="FGV8" s="3434"/>
      <c r="FGW8" s="3434"/>
      <c r="FGX8" s="3434"/>
      <c r="FGY8" s="3434"/>
      <c r="FGZ8" s="3434"/>
      <c r="FHA8" s="3434"/>
      <c r="FHB8" s="3434"/>
      <c r="FHC8" s="3434"/>
      <c r="FHD8" s="3434"/>
      <c r="FHE8" s="3434"/>
      <c r="FHF8" s="3434"/>
      <c r="FHG8" s="3434"/>
      <c r="FHH8" s="3434"/>
      <c r="FHI8" s="3434"/>
      <c r="FHJ8" s="3434"/>
      <c r="FHK8" s="3434"/>
      <c r="FHL8" s="3434"/>
      <c r="FHM8" s="3434"/>
      <c r="FHN8" s="3434"/>
      <c r="FHO8" s="3434"/>
      <c r="FHP8" s="3434"/>
      <c r="FHQ8" s="3434"/>
      <c r="FHR8" s="3434"/>
      <c r="FHS8" s="3434"/>
      <c r="FHT8" s="3434"/>
      <c r="FHU8" s="3434"/>
      <c r="FHV8" s="3434"/>
      <c r="FHW8" s="3434"/>
      <c r="FHX8" s="3434"/>
      <c r="FHY8" s="3434"/>
      <c r="FHZ8" s="3434"/>
      <c r="FIA8" s="3434"/>
      <c r="FIB8" s="3434"/>
      <c r="FIC8" s="3434"/>
      <c r="FID8" s="3434"/>
      <c r="FIE8" s="3434"/>
      <c r="FIF8" s="3434"/>
      <c r="FIG8" s="3434"/>
      <c r="FIH8" s="3434"/>
      <c r="FII8" s="3434"/>
      <c r="FIJ8" s="3434"/>
      <c r="FIK8" s="3434"/>
      <c r="FIL8" s="3434"/>
      <c r="FIM8" s="3434"/>
      <c r="FIN8" s="3434"/>
      <c r="FIO8" s="3434"/>
      <c r="FIP8" s="3434"/>
      <c r="FIQ8" s="3434"/>
      <c r="FIR8" s="3434"/>
      <c r="FIS8" s="3434"/>
      <c r="FIT8" s="3434"/>
      <c r="FIU8" s="3434"/>
      <c r="FIV8" s="3434"/>
      <c r="FIW8" s="3434"/>
      <c r="FIX8" s="3434"/>
      <c r="FIY8" s="3434"/>
      <c r="FIZ8" s="3434"/>
      <c r="FJA8" s="3434"/>
      <c r="FJB8" s="3434"/>
      <c r="FJC8" s="3434"/>
      <c r="FJD8" s="3434"/>
      <c r="FJE8" s="3434"/>
      <c r="FJF8" s="3434"/>
      <c r="FJG8" s="3434"/>
      <c r="FJH8" s="3434"/>
      <c r="FJI8" s="3434"/>
      <c r="FJJ8" s="3434"/>
      <c r="FJK8" s="3434"/>
      <c r="FJL8" s="3434"/>
      <c r="FJM8" s="3434"/>
      <c r="FJN8" s="3434"/>
      <c r="FJO8" s="3434"/>
      <c r="FJP8" s="3434"/>
      <c r="FJQ8" s="3434"/>
      <c r="FJR8" s="3434"/>
      <c r="FJS8" s="3434"/>
      <c r="FJT8" s="3434"/>
      <c r="FJU8" s="3434"/>
      <c r="FJV8" s="3434"/>
      <c r="FJW8" s="3434"/>
      <c r="FJX8" s="3434"/>
      <c r="FJY8" s="3434"/>
      <c r="FJZ8" s="3434"/>
      <c r="FKA8" s="3434"/>
      <c r="FKB8" s="3434"/>
      <c r="FKC8" s="3434"/>
      <c r="FKD8" s="3434"/>
      <c r="FKE8" s="3434"/>
      <c r="FKF8" s="3434"/>
      <c r="FKG8" s="3434"/>
      <c r="FKH8" s="3434"/>
      <c r="FKI8" s="3434"/>
      <c r="FKJ8" s="3434"/>
      <c r="FKK8" s="3434"/>
      <c r="FKL8" s="3434"/>
      <c r="FKM8" s="3434"/>
      <c r="FKN8" s="3434"/>
      <c r="FKO8" s="3434"/>
      <c r="FKP8" s="3434"/>
      <c r="FKQ8" s="3434"/>
      <c r="FKR8" s="3434"/>
      <c r="FKS8" s="3434"/>
      <c r="FKT8" s="3434"/>
      <c r="FKU8" s="3434"/>
      <c r="FKV8" s="3434"/>
      <c r="FKW8" s="3434"/>
      <c r="FKX8" s="3434"/>
      <c r="FKY8" s="3434"/>
      <c r="FKZ8" s="3434"/>
      <c r="FLA8" s="3434"/>
      <c r="FLB8" s="3434"/>
      <c r="FLC8" s="3434"/>
      <c r="FLD8" s="3434"/>
      <c r="FLE8" s="3434"/>
      <c r="FLF8" s="3434"/>
      <c r="FLG8" s="3434"/>
      <c r="FLH8" s="3434"/>
      <c r="FLI8" s="3434"/>
      <c r="FLJ8" s="3434"/>
      <c r="FLK8" s="3434"/>
      <c r="FLL8" s="3434"/>
      <c r="FLM8" s="3434"/>
      <c r="FLN8" s="3434"/>
      <c r="FLO8" s="3434"/>
      <c r="FLP8" s="3434"/>
      <c r="FLQ8" s="3434"/>
      <c r="FLR8" s="3434"/>
      <c r="FLS8" s="3434"/>
      <c r="FLT8" s="3434"/>
      <c r="FLU8" s="3434"/>
      <c r="FLV8" s="3434"/>
      <c r="FLW8" s="3434"/>
      <c r="FLX8" s="3434"/>
      <c r="FLY8" s="3434"/>
      <c r="FLZ8" s="3434"/>
      <c r="FMA8" s="3434"/>
      <c r="FMB8" s="3434"/>
      <c r="FMC8" s="3434"/>
      <c r="FMD8" s="3434"/>
      <c r="FME8" s="3434"/>
      <c r="FMF8" s="3434"/>
      <c r="FMG8" s="3434"/>
      <c r="FMH8" s="3434"/>
      <c r="FMI8" s="3434"/>
      <c r="FMJ8" s="3434"/>
      <c r="FMK8" s="3434"/>
      <c r="FML8" s="3434"/>
      <c r="FMM8" s="3434"/>
      <c r="FMN8" s="3434"/>
      <c r="FMO8" s="3434"/>
      <c r="FMP8" s="3434"/>
      <c r="FMQ8" s="3434"/>
      <c r="FMR8" s="3434"/>
      <c r="FMS8" s="3434"/>
      <c r="FMT8" s="3434"/>
      <c r="FMU8" s="3434"/>
      <c r="FMV8" s="3434"/>
      <c r="FMW8" s="3434"/>
      <c r="FMX8" s="3434"/>
      <c r="FMY8" s="3434"/>
      <c r="FMZ8" s="3434"/>
      <c r="FNA8" s="3434"/>
      <c r="FNB8" s="3434"/>
      <c r="FNC8" s="3434"/>
      <c r="FND8" s="3434"/>
      <c r="FNE8" s="3434"/>
      <c r="FNF8" s="3434"/>
      <c r="FNG8" s="3434"/>
      <c r="FNH8" s="3434"/>
      <c r="FNI8" s="3434"/>
      <c r="FNJ8" s="3434"/>
      <c r="FNK8" s="3434"/>
      <c r="FNL8" s="3434"/>
      <c r="FNM8" s="3434"/>
      <c r="FNN8" s="3434"/>
      <c r="FNO8" s="3434"/>
      <c r="FNP8" s="3434"/>
      <c r="FNQ8" s="3434"/>
      <c r="FNR8" s="3434"/>
      <c r="FNS8" s="3434"/>
      <c r="FNT8" s="3434"/>
      <c r="FNU8" s="3434"/>
      <c r="FNV8" s="3434"/>
      <c r="FNW8" s="3434"/>
      <c r="FNX8" s="3434"/>
      <c r="FNY8" s="3434"/>
      <c r="FNZ8" s="3434"/>
      <c r="FOA8" s="3434"/>
      <c r="FOB8" s="3434"/>
      <c r="FOC8" s="3434"/>
      <c r="FOD8" s="3434"/>
      <c r="FOE8" s="3434"/>
      <c r="FOF8" s="3434"/>
      <c r="FOG8" s="3434"/>
      <c r="FOH8" s="3434"/>
      <c r="FOI8" s="3434"/>
      <c r="FOJ8" s="3434"/>
      <c r="FOK8" s="3434"/>
      <c r="FOL8" s="3434"/>
      <c r="FOM8" s="3434"/>
      <c r="FON8" s="3434"/>
      <c r="FOO8" s="3434"/>
      <c r="FOP8" s="3434"/>
      <c r="FOQ8" s="3434"/>
      <c r="FOR8" s="3434"/>
      <c r="FOS8" s="3434"/>
      <c r="FOT8" s="3434"/>
      <c r="FOU8" s="3434"/>
      <c r="FOV8" s="3434"/>
      <c r="FOW8" s="3434"/>
      <c r="FOX8" s="3434"/>
      <c r="FOY8" s="3434"/>
      <c r="FOZ8" s="3434"/>
      <c r="FPA8" s="3434"/>
      <c r="FPB8" s="3434"/>
      <c r="FPC8" s="3434"/>
      <c r="FPD8" s="3434"/>
      <c r="FPE8" s="3434"/>
      <c r="FPF8" s="3434"/>
      <c r="FPG8" s="3434"/>
      <c r="FPH8" s="3434"/>
      <c r="FPI8" s="3434"/>
      <c r="FPJ8" s="3434"/>
      <c r="FPK8" s="3434"/>
      <c r="FPL8" s="3434"/>
      <c r="FPM8" s="3434"/>
      <c r="FPN8" s="3434"/>
      <c r="FPO8" s="3434"/>
      <c r="FPP8" s="3434"/>
      <c r="FPQ8" s="3434"/>
      <c r="FPR8" s="3434"/>
      <c r="FPS8" s="3434"/>
      <c r="FPT8" s="3434"/>
      <c r="FPU8" s="3434"/>
      <c r="FPV8" s="3434"/>
      <c r="FPW8" s="3434"/>
      <c r="FPX8" s="3434"/>
      <c r="FPY8" s="3434"/>
      <c r="FPZ8" s="3434"/>
      <c r="FQA8" s="3434"/>
      <c r="FQB8" s="3434"/>
      <c r="FQC8" s="3434"/>
      <c r="FQD8" s="3434"/>
      <c r="FQE8" s="3434"/>
      <c r="FQF8" s="3434"/>
      <c r="FQG8" s="3434"/>
      <c r="FQH8" s="3434"/>
      <c r="FQI8" s="3434"/>
      <c r="FQJ8" s="3434"/>
      <c r="FQK8" s="3434"/>
      <c r="FQL8" s="3434"/>
      <c r="FQM8" s="3434"/>
      <c r="FQN8" s="3434"/>
      <c r="FQO8" s="3434"/>
      <c r="FQP8" s="3434"/>
      <c r="FQQ8" s="3434"/>
      <c r="FQR8" s="3434"/>
      <c r="FQS8" s="3434"/>
      <c r="FQT8" s="3434"/>
      <c r="FQU8" s="3434"/>
      <c r="FQV8" s="3434"/>
      <c r="FQW8" s="3434"/>
      <c r="FQX8" s="3434"/>
      <c r="FQY8" s="3434"/>
      <c r="FQZ8" s="3434"/>
      <c r="FRA8" s="3434"/>
      <c r="FRB8" s="3434"/>
      <c r="FRC8" s="3434"/>
      <c r="FRD8" s="3434"/>
      <c r="FRE8" s="3434"/>
      <c r="FRF8" s="3434"/>
      <c r="FRG8" s="3434"/>
      <c r="FRH8" s="3434"/>
      <c r="FRI8" s="3434"/>
      <c r="FRJ8" s="3434"/>
      <c r="FRK8" s="3434"/>
      <c r="FRL8" s="3434"/>
      <c r="FRM8" s="3434"/>
      <c r="FRN8" s="3434"/>
      <c r="FRO8" s="3434"/>
      <c r="FRP8" s="3434"/>
      <c r="FRQ8" s="3434"/>
      <c r="FRR8" s="3434"/>
      <c r="FRS8" s="3434"/>
      <c r="FRT8" s="3434"/>
      <c r="FRU8" s="3434"/>
      <c r="FRV8" s="3434"/>
      <c r="FRW8" s="3434"/>
      <c r="FRX8" s="3434"/>
      <c r="FRY8" s="3434"/>
      <c r="FRZ8" s="3434"/>
      <c r="FSA8" s="3434"/>
      <c r="FSB8" s="3434"/>
      <c r="FSC8" s="3434"/>
      <c r="FSD8" s="3434"/>
      <c r="FSE8" s="3434"/>
      <c r="FSF8" s="3434"/>
      <c r="FSG8" s="3434"/>
      <c r="FSH8" s="3434"/>
      <c r="FSI8" s="3434"/>
      <c r="FSJ8" s="3434"/>
      <c r="FSK8" s="3434"/>
      <c r="FSL8" s="3434"/>
      <c r="FSM8" s="3434"/>
      <c r="FSN8" s="3434"/>
      <c r="FSO8" s="3434"/>
      <c r="FSP8" s="3434"/>
      <c r="FSQ8" s="3434"/>
      <c r="FSR8" s="3434"/>
      <c r="FSS8" s="3434"/>
      <c r="FST8" s="3434"/>
      <c r="FSU8" s="3434"/>
      <c r="FSV8" s="3434"/>
      <c r="FSW8" s="3434"/>
      <c r="FSX8" s="3434"/>
      <c r="FSY8" s="3434"/>
      <c r="FSZ8" s="3434"/>
      <c r="FTA8" s="3434"/>
      <c r="FTB8" s="3434"/>
      <c r="FTC8" s="3434"/>
      <c r="FTD8" s="3434"/>
      <c r="FTE8" s="3434"/>
      <c r="FTF8" s="3434"/>
      <c r="FTG8" s="3434"/>
      <c r="FTH8" s="3434"/>
      <c r="FTI8" s="3434"/>
      <c r="FTJ8" s="3434"/>
      <c r="FTK8" s="3434"/>
      <c r="FTL8" s="3434"/>
      <c r="FTM8" s="3434"/>
      <c r="FTN8" s="3434"/>
      <c r="FTO8" s="3434"/>
      <c r="FTP8" s="3434"/>
      <c r="FTQ8" s="3434"/>
      <c r="FTR8" s="3434"/>
      <c r="FTS8" s="3434"/>
      <c r="FTT8" s="3434"/>
      <c r="FTU8" s="3434"/>
      <c r="FTV8" s="3434"/>
      <c r="FTW8" s="3434"/>
      <c r="FTX8" s="3434"/>
      <c r="FTY8" s="3434"/>
      <c r="FTZ8" s="3434"/>
      <c r="FUA8" s="3434"/>
      <c r="FUB8" s="3434"/>
      <c r="FUC8" s="3434"/>
      <c r="FUD8" s="3434"/>
      <c r="FUE8" s="3434"/>
      <c r="FUF8" s="3434"/>
      <c r="FUG8" s="3434"/>
      <c r="FUH8" s="3434"/>
      <c r="FUI8" s="3434"/>
      <c r="FUJ8" s="3434"/>
      <c r="FUK8" s="3434"/>
      <c r="FUL8" s="3434"/>
      <c r="FUM8" s="3434"/>
      <c r="FUN8" s="3434"/>
      <c r="FUO8" s="3434"/>
      <c r="FUP8" s="3434"/>
      <c r="FUQ8" s="3434"/>
      <c r="FUR8" s="3434"/>
      <c r="FUS8" s="3434"/>
      <c r="FUT8" s="3434"/>
      <c r="FUU8" s="3434"/>
      <c r="FUV8" s="3434"/>
      <c r="FUW8" s="3434"/>
      <c r="FUX8" s="3434"/>
      <c r="FUY8" s="3434"/>
      <c r="FUZ8" s="3434"/>
      <c r="FVA8" s="3434"/>
      <c r="FVB8" s="3434"/>
      <c r="FVC8" s="3434"/>
      <c r="FVD8" s="3434"/>
      <c r="FVE8" s="3434"/>
      <c r="FVF8" s="3434"/>
      <c r="FVG8" s="3434"/>
      <c r="FVH8" s="3434"/>
      <c r="FVI8" s="3434"/>
      <c r="FVJ8" s="3434"/>
      <c r="FVK8" s="3434"/>
      <c r="FVL8" s="3434"/>
      <c r="FVM8" s="3434"/>
      <c r="FVN8" s="3434"/>
      <c r="FVO8" s="3434"/>
      <c r="FVP8" s="3434"/>
      <c r="FVQ8" s="3434"/>
      <c r="FVR8" s="3434"/>
      <c r="FVS8" s="3434"/>
      <c r="FVT8" s="3434"/>
      <c r="FVU8" s="3434"/>
      <c r="FVV8" s="3434"/>
      <c r="FVW8" s="3434"/>
      <c r="FVX8" s="3434"/>
      <c r="FVY8" s="3434"/>
      <c r="FVZ8" s="3434"/>
      <c r="FWA8" s="3434"/>
      <c r="FWB8" s="3434"/>
      <c r="FWC8" s="3434"/>
      <c r="FWD8" s="3434"/>
      <c r="FWE8" s="3434"/>
      <c r="FWF8" s="3434"/>
      <c r="FWG8" s="3434"/>
      <c r="FWH8" s="3434"/>
      <c r="FWI8" s="3434"/>
      <c r="FWJ8" s="3434"/>
      <c r="FWK8" s="3434"/>
      <c r="FWL8" s="3434"/>
      <c r="FWM8" s="3434"/>
      <c r="FWN8" s="3434"/>
      <c r="FWO8" s="3434"/>
      <c r="FWP8" s="3434"/>
      <c r="FWQ8" s="3434"/>
      <c r="FWR8" s="3434"/>
      <c r="FWS8" s="3434"/>
      <c r="FWT8" s="3434"/>
      <c r="FWU8" s="3434"/>
      <c r="FWV8" s="3434"/>
      <c r="FWW8" s="3434"/>
      <c r="FWX8" s="3434"/>
      <c r="FWY8" s="3434"/>
      <c r="FWZ8" s="3434"/>
      <c r="FXA8" s="3434"/>
      <c r="FXB8" s="3434"/>
      <c r="FXC8" s="3434"/>
      <c r="FXD8" s="3434"/>
      <c r="FXE8" s="3434"/>
      <c r="FXF8" s="3434"/>
      <c r="FXG8" s="3434"/>
      <c r="FXH8" s="3434"/>
      <c r="FXI8" s="3434"/>
      <c r="FXJ8" s="3434"/>
      <c r="FXK8" s="3434"/>
      <c r="FXL8" s="3434"/>
      <c r="FXM8" s="3434"/>
      <c r="FXN8" s="3434"/>
      <c r="FXO8" s="3434"/>
      <c r="FXP8" s="3434"/>
      <c r="FXQ8" s="3434"/>
      <c r="FXR8" s="3434"/>
      <c r="FXS8" s="3434"/>
      <c r="FXT8" s="3434"/>
      <c r="FXU8" s="3434"/>
      <c r="FXV8" s="3434"/>
      <c r="FXW8" s="3434"/>
      <c r="FXX8" s="3434"/>
      <c r="FXY8" s="3434"/>
      <c r="FXZ8" s="3434"/>
      <c r="FYA8" s="3434"/>
      <c r="FYB8" s="3434"/>
      <c r="FYC8" s="3434"/>
      <c r="FYD8" s="3434"/>
      <c r="FYE8" s="3434"/>
      <c r="FYF8" s="3434"/>
      <c r="FYG8" s="3434"/>
      <c r="FYH8" s="3434"/>
      <c r="FYI8" s="3434"/>
      <c r="FYJ8" s="3434"/>
      <c r="FYK8" s="3434"/>
      <c r="FYL8" s="3434"/>
      <c r="FYM8" s="3434"/>
      <c r="FYN8" s="3434"/>
      <c r="FYO8" s="3434"/>
      <c r="FYP8" s="3434"/>
      <c r="FYQ8" s="3434"/>
      <c r="FYR8" s="3434"/>
      <c r="FYS8" s="3434"/>
      <c r="FYT8" s="3434"/>
      <c r="FYU8" s="3434"/>
      <c r="FYV8" s="3434"/>
      <c r="FYW8" s="3434"/>
      <c r="FYX8" s="3434"/>
      <c r="FYY8" s="3434"/>
      <c r="FYZ8" s="3434"/>
      <c r="FZA8" s="3434"/>
      <c r="FZB8" s="3434"/>
      <c r="FZC8" s="3434"/>
      <c r="FZD8" s="3434"/>
      <c r="FZE8" s="3434"/>
      <c r="FZF8" s="3434"/>
      <c r="FZG8" s="3434"/>
      <c r="FZH8" s="3434"/>
      <c r="FZI8" s="3434"/>
      <c r="FZJ8" s="3434"/>
      <c r="FZK8" s="3434"/>
      <c r="FZL8" s="3434"/>
      <c r="FZM8" s="3434"/>
      <c r="FZN8" s="3434"/>
      <c r="FZO8" s="3434"/>
      <c r="FZP8" s="3434"/>
      <c r="FZQ8" s="3434"/>
      <c r="FZR8" s="3434"/>
      <c r="FZS8" s="3434"/>
      <c r="FZT8" s="3434"/>
      <c r="FZU8" s="3434"/>
      <c r="FZV8" s="3434"/>
      <c r="FZW8" s="3434"/>
      <c r="FZX8" s="3434"/>
      <c r="FZY8" s="3434"/>
      <c r="FZZ8" s="3434"/>
      <c r="GAA8" s="3434"/>
      <c r="GAB8" s="3434"/>
      <c r="GAC8" s="3434"/>
      <c r="GAD8" s="3434"/>
      <c r="GAE8" s="3434"/>
      <c r="GAF8" s="3434"/>
      <c r="GAG8" s="3434"/>
      <c r="GAH8" s="3434"/>
      <c r="GAI8" s="3434"/>
      <c r="GAJ8" s="3434"/>
      <c r="GAK8" s="3434"/>
      <c r="GAL8" s="3434"/>
      <c r="GAM8" s="3434"/>
      <c r="GAN8" s="3434"/>
      <c r="GAO8" s="3434"/>
      <c r="GAP8" s="3434"/>
      <c r="GAQ8" s="3434"/>
      <c r="GAR8" s="3434"/>
      <c r="GAS8" s="3434"/>
      <c r="GAT8" s="3434"/>
      <c r="GAU8" s="3434"/>
      <c r="GAV8" s="3434"/>
      <c r="GAW8" s="3434"/>
      <c r="GAX8" s="3434"/>
      <c r="GAY8" s="3434"/>
      <c r="GAZ8" s="3434"/>
      <c r="GBA8" s="3434"/>
      <c r="GBB8" s="3434"/>
      <c r="GBC8" s="3434"/>
      <c r="GBD8" s="3434"/>
      <c r="GBE8" s="3434"/>
      <c r="GBF8" s="3434"/>
      <c r="GBG8" s="3434"/>
      <c r="GBH8" s="3434"/>
      <c r="GBI8" s="3434"/>
      <c r="GBJ8" s="3434"/>
      <c r="GBK8" s="3434"/>
      <c r="GBL8" s="3434"/>
      <c r="GBM8" s="3434"/>
      <c r="GBN8" s="3434"/>
      <c r="GBO8" s="3434"/>
      <c r="GBP8" s="3434"/>
      <c r="GBQ8" s="3434"/>
      <c r="GBR8" s="3434"/>
      <c r="GBS8" s="3434"/>
      <c r="GBT8" s="3434"/>
      <c r="GBU8" s="3434"/>
      <c r="GBV8" s="3434"/>
      <c r="GBW8" s="3434"/>
      <c r="GBX8" s="3434"/>
      <c r="GBY8" s="3434"/>
      <c r="GBZ8" s="3434"/>
      <c r="GCA8" s="3434"/>
      <c r="GCB8" s="3434"/>
      <c r="GCC8" s="3434"/>
      <c r="GCD8" s="3434"/>
      <c r="GCE8" s="3434"/>
      <c r="GCF8" s="3434"/>
      <c r="GCG8" s="3434"/>
      <c r="GCH8" s="3434"/>
      <c r="GCI8" s="3434"/>
      <c r="GCJ8" s="3434"/>
      <c r="GCK8" s="3434"/>
      <c r="GCL8" s="3434"/>
      <c r="GCM8" s="3434"/>
      <c r="GCN8" s="3434"/>
      <c r="GCO8" s="3434"/>
      <c r="GCP8" s="3434"/>
      <c r="GCQ8" s="3434"/>
      <c r="GCR8" s="3434"/>
      <c r="GCS8" s="3434"/>
      <c r="GCT8" s="3434"/>
      <c r="GCU8" s="3434"/>
      <c r="GCV8" s="3434"/>
      <c r="GCW8" s="3434"/>
      <c r="GCX8" s="3434"/>
      <c r="GCY8" s="3434"/>
      <c r="GCZ8" s="3434"/>
      <c r="GDA8" s="3434"/>
      <c r="GDB8" s="3434"/>
      <c r="GDC8" s="3434"/>
      <c r="GDD8" s="3434"/>
      <c r="GDE8" s="3434"/>
      <c r="GDF8" s="3434"/>
      <c r="GDG8" s="3434"/>
      <c r="GDH8" s="3434"/>
      <c r="GDI8" s="3434"/>
      <c r="GDJ8" s="3434"/>
      <c r="GDK8" s="3434"/>
      <c r="GDL8" s="3434"/>
      <c r="GDM8" s="3434"/>
      <c r="GDN8" s="3434"/>
      <c r="GDO8" s="3434"/>
      <c r="GDP8" s="3434"/>
      <c r="GDQ8" s="3434"/>
      <c r="GDR8" s="3434"/>
      <c r="GDS8" s="3434"/>
      <c r="GDT8" s="3434"/>
      <c r="GDU8" s="3434"/>
      <c r="GDV8" s="3434"/>
      <c r="GDW8" s="3434"/>
      <c r="GDX8" s="3434"/>
      <c r="GDY8" s="3434"/>
      <c r="GDZ8" s="3434"/>
      <c r="GEA8" s="3434"/>
      <c r="GEB8" s="3434"/>
      <c r="GEC8" s="3434"/>
      <c r="GED8" s="3434"/>
      <c r="GEE8" s="3434"/>
      <c r="GEF8" s="3434"/>
      <c r="GEG8" s="3434"/>
      <c r="GEH8" s="3434"/>
      <c r="GEI8" s="3434"/>
      <c r="GEJ8" s="3434"/>
      <c r="GEK8" s="3434"/>
      <c r="GEL8" s="3434"/>
      <c r="GEM8" s="3434"/>
      <c r="GEN8" s="3434"/>
      <c r="GEO8" s="3434"/>
      <c r="GEP8" s="3434"/>
      <c r="GEQ8" s="3434"/>
      <c r="GER8" s="3434"/>
      <c r="GES8" s="3434"/>
      <c r="GET8" s="3434"/>
      <c r="GEU8" s="3434"/>
      <c r="GEV8" s="3434"/>
      <c r="GEW8" s="3434"/>
      <c r="GEX8" s="3434"/>
      <c r="GEY8" s="3434"/>
      <c r="GEZ8" s="3434"/>
      <c r="GFA8" s="3434"/>
      <c r="GFB8" s="3434"/>
      <c r="GFC8" s="3434"/>
      <c r="GFD8" s="3434"/>
      <c r="GFE8" s="3434"/>
      <c r="GFF8" s="3434"/>
      <c r="GFG8" s="3434"/>
      <c r="GFH8" s="3434"/>
      <c r="GFI8" s="3434"/>
      <c r="GFJ8" s="3434"/>
      <c r="GFK8" s="3434"/>
      <c r="GFL8" s="3434"/>
      <c r="GFM8" s="3434"/>
      <c r="GFN8" s="3434"/>
      <c r="GFO8" s="3434"/>
      <c r="GFP8" s="3434"/>
      <c r="GFQ8" s="3434"/>
      <c r="GFR8" s="3434"/>
      <c r="GFS8" s="3434"/>
      <c r="GFT8" s="3434"/>
      <c r="GFU8" s="3434"/>
      <c r="GFV8" s="3434"/>
      <c r="GFW8" s="3434"/>
      <c r="GFX8" s="3434"/>
      <c r="GFY8" s="3434"/>
      <c r="GFZ8" s="3434"/>
      <c r="GGA8" s="3434"/>
      <c r="GGB8" s="3434"/>
      <c r="GGC8" s="3434"/>
      <c r="GGD8" s="3434"/>
      <c r="GGE8" s="3434"/>
      <c r="GGF8" s="3434"/>
      <c r="GGG8" s="3434"/>
      <c r="GGH8" s="3434"/>
      <c r="GGI8" s="3434"/>
      <c r="GGJ8" s="3434"/>
      <c r="GGK8" s="3434"/>
      <c r="GGL8" s="3434"/>
      <c r="GGM8" s="3434"/>
      <c r="GGN8" s="3434"/>
      <c r="GGO8" s="3434"/>
      <c r="GGP8" s="3434"/>
      <c r="GGQ8" s="3434"/>
      <c r="GGR8" s="3434"/>
      <c r="GGS8" s="3434"/>
      <c r="GGT8" s="3434"/>
      <c r="GGU8" s="3434"/>
      <c r="GGV8" s="3434"/>
      <c r="GGW8" s="3434"/>
      <c r="GGX8" s="3434"/>
      <c r="GGY8" s="3434"/>
      <c r="GGZ8" s="3434"/>
      <c r="GHA8" s="3434"/>
      <c r="GHB8" s="3434"/>
      <c r="GHC8" s="3434"/>
      <c r="GHD8" s="3434"/>
      <c r="GHE8" s="3434"/>
      <c r="GHF8" s="3434"/>
      <c r="GHG8" s="3434"/>
      <c r="GHH8" s="3434"/>
      <c r="GHI8" s="3434"/>
      <c r="GHJ8" s="3434"/>
      <c r="GHK8" s="3434"/>
      <c r="GHL8" s="3434"/>
      <c r="GHM8" s="3434"/>
      <c r="GHN8" s="3434"/>
      <c r="GHO8" s="3434"/>
      <c r="GHP8" s="3434"/>
      <c r="GHQ8" s="3434"/>
      <c r="GHR8" s="3434"/>
      <c r="GHS8" s="3434"/>
      <c r="GHT8" s="3434"/>
      <c r="GHU8" s="3434"/>
      <c r="GHV8" s="3434"/>
      <c r="GHW8" s="3434"/>
      <c r="GHX8" s="3434"/>
      <c r="GHY8" s="3434"/>
      <c r="GHZ8" s="3434"/>
      <c r="GIA8" s="3434"/>
      <c r="GIB8" s="3434"/>
      <c r="GIC8" s="3434"/>
      <c r="GID8" s="3434"/>
      <c r="GIE8" s="3434"/>
      <c r="GIF8" s="3434"/>
      <c r="GIG8" s="3434"/>
      <c r="GIH8" s="3434"/>
      <c r="GII8" s="3434"/>
      <c r="GIJ8" s="3434"/>
      <c r="GIK8" s="3434"/>
      <c r="GIL8" s="3434"/>
      <c r="GIM8" s="3434"/>
      <c r="GIN8" s="3434"/>
      <c r="GIO8" s="3434"/>
      <c r="GIP8" s="3434"/>
      <c r="GIQ8" s="3434"/>
      <c r="GIR8" s="3434"/>
      <c r="GIS8" s="3434"/>
      <c r="GIT8" s="3434"/>
      <c r="GIU8" s="3434"/>
      <c r="GIV8" s="3434"/>
      <c r="GIW8" s="3434"/>
      <c r="GIX8" s="3434"/>
      <c r="GIY8" s="3434"/>
      <c r="GIZ8" s="3434"/>
      <c r="GJA8" s="3434"/>
      <c r="GJB8" s="3434"/>
      <c r="GJC8" s="3434"/>
      <c r="GJD8" s="3434"/>
      <c r="GJE8" s="3434"/>
      <c r="GJF8" s="3434"/>
      <c r="GJG8" s="3434"/>
      <c r="GJH8" s="3434"/>
      <c r="GJI8" s="3434"/>
      <c r="GJJ8" s="3434"/>
      <c r="GJK8" s="3434"/>
      <c r="GJL8" s="3434"/>
      <c r="GJM8" s="3434"/>
      <c r="GJN8" s="3434"/>
      <c r="GJO8" s="3434"/>
      <c r="GJP8" s="3434"/>
      <c r="GJQ8" s="3434"/>
      <c r="GJR8" s="3434"/>
      <c r="GJS8" s="3434"/>
      <c r="GJT8" s="3434"/>
      <c r="GJU8" s="3434"/>
      <c r="GJV8" s="3434"/>
      <c r="GJW8" s="3434"/>
      <c r="GJX8" s="3434"/>
      <c r="GJY8" s="3434"/>
      <c r="GJZ8" s="3434"/>
      <c r="GKA8" s="3434"/>
      <c r="GKB8" s="3434"/>
      <c r="GKC8" s="3434"/>
      <c r="GKD8" s="3434"/>
      <c r="GKE8" s="3434"/>
      <c r="GKF8" s="3434"/>
      <c r="GKG8" s="3434"/>
      <c r="GKH8" s="3434"/>
      <c r="GKI8" s="3434"/>
      <c r="GKJ8" s="3434"/>
      <c r="GKK8" s="3434"/>
      <c r="GKL8" s="3434"/>
      <c r="GKM8" s="3434"/>
      <c r="GKN8" s="3434"/>
      <c r="GKO8" s="3434"/>
      <c r="GKP8" s="3434"/>
      <c r="GKQ8" s="3434"/>
      <c r="GKR8" s="3434"/>
      <c r="GKS8" s="3434"/>
      <c r="GKT8" s="3434"/>
      <c r="GKU8" s="3434"/>
      <c r="GKV8" s="3434"/>
      <c r="GKW8" s="3434"/>
      <c r="GKX8" s="3434"/>
      <c r="GKY8" s="3434"/>
      <c r="GKZ8" s="3434"/>
      <c r="GLA8" s="3434"/>
      <c r="GLB8" s="3434"/>
      <c r="GLC8" s="3434"/>
      <c r="GLD8" s="3434"/>
      <c r="GLE8" s="3434"/>
      <c r="GLF8" s="3434"/>
      <c r="GLG8" s="3434"/>
      <c r="GLH8" s="3434"/>
      <c r="GLI8" s="3434"/>
      <c r="GLJ8" s="3434"/>
      <c r="GLK8" s="3434"/>
      <c r="GLL8" s="3434"/>
      <c r="GLM8" s="3434"/>
      <c r="GLN8" s="3434"/>
      <c r="GLO8" s="3434"/>
      <c r="GLP8" s="3434"/>
      <c r="GLQ8" s="3434"/>
      <c r="GLR8" s="3434"/>
      <c r="GLS8" s="3434"/>
      <c r="GLT8" s="3434"/>
      <c r="GLU8" s="3434"/>
      <c r="GLV8" s="3434"/>
      <c r="GLW8" s="3434"/>
      <c r="GLX8" s="3434"/>
      <c r="GLY8" s="3434"/>
      <c r="GLZ8" s="3434"/>
      <c r="GMA8" s="3434"/>
      <c r="GMB8" s="3434"/>
      <c r="GMC8" s="3434"/>
      <c r="GMD8" s="3434"/>
      <c r="GME8" s="3434"/>
      <c r="GMF8" s="3434"/>
      <c r="GMG8" s="3434"/>
      <c r="GMH8" s="3434"/>
      <c r="GMI8" s="3434"/>
      <c r="GMJ8" s="3434"/>
      <c r="GMK8" s="3434"/>
      <c r="GML8" s="3434"/>
      <c r="GMM8" s="3434"/>
      <c r="GMN8" s="3434"/>
      <c r="GMO8" s="3434"/>
      <c r="GMP8" s="3434"/>
      <c r="GMQ8" s="3434"/>
      <c r="GMR8" s="3434"/>
      <c r="GMS8" s="3434"/>
      <c r="GMT8" s="3434"/>
      <c r="GMU8" s="3434"/>
      <c r="GMV8" s="3434"/>
      <c r="GMW8" s="3434"/>
      <c r="GMX8" s="3434"/>
      <c r="GMY8" s="3434"/>
      <c r="GMZ8" s="3434"/>
      <c r="GNA8" s="3434"/>
      <c r="GNB8" s="3434"/>
      <c r="GNC8" s="3434"/>
      <c r="GND8" s="3434"/>
      <c r="GNE8" s="3434"/>
      <c r="GNF8" s="3434"/>
      <c r="GNG8" s="3434"/>
      <c r="GNH8" s="3434"/>
      <c r="GNI8" s="3434"/>
      <c r="GNJ8" s="3434"/>
      <c r="GNK8" s="3434"/>
      <c r="GNL8" s="3434"/>
      <c r="GNM8" s="3434"/>
      <c r="GNN8" s="3434"/>
      <c r="GNO8" s="3434"/>
      <c r="GNP8" s="3434"/>
      <c r="GNQ8" s="3434"/>
      <c r="GNR8" s="3434"/>
      <c r="GNS8" s="3434"/>
      <c r="GNT8" s="3434"/>
      <c r="GNU8" s="3434"/>
      <c r="GNV8" s="3434"/>
      <c r="GNW8" s="3434"/>
      <c r="GNX8" s="3434"/>
      <c r="GNY8" s="3434"/>
      <c r="GNZ8" s="3434"/>
      <c r="GOA8" s="3434"/>
      <c r="GOB8" s="3434"/>
      <c r="GOC8" s="3434"/>
      <c r="GOD8" s="3434"/>
      <c r="GOE8" s="3434"/>
      <c r="GOF8" s="3434"/>
      <c r="GOG8" s="3434"/>
      <c r="GOH8" s="3434"/>
      <c r="GOI8" s="3434"/>
      <c r="GOJ8" s="3434"/>
      <c r="GOK8" s="3434"/>
      <c r="GOL8" s="3434"/>
      <c r="GOM8" s="3434"/>
      <c r="GON8" s="3434"/>
      <c r="GOO8" s="3434"/>
      <c r="GOP8" s="3434"/>
      <c r="GOQ8" s="3434"/>
      <c r="GOR8" s="3434"/>
      <c r="GOS8" s="3434"/>
      <c r="GOT8" s="3434"/>
      <c r="GOU8" s="3434"/>
      <c r="GOV8" s="3434"/>
      <c r="GOW8" s="3434"/>
      <c r="GOX8" s="3434"/>
      <c r="GOY8" s="3434"/>
      <c r="GOZ8" s="3434"/>
      <c r="GPA8" s="3434"/>
      <c r="GPB8" s="3434"/>
      <c r="GPC8" s="3434"/>
      <c r="GPD8" s="3434"/>
      <c r="GPE8" s="3434"/>
      <c r="GPF8" s="3434"/>
      <c r="GPG8" s="3434"/>
      <c r="GPH8" s="3434"/>
      <c r="GPI8" s="3434"/>
      <c r="GPJ8" s="3434"/>
      <c r="GPK8" s="3434"/>
      <c r="GPL8" s="3434"/>
      <c r="GPM8" s="3434"/>
      <c r="GPN8" s="3434"/>
      <c r="GPO8" s="3434"/>
      <c r="GPP8" s="3434"/>
      <c r="GPQ8" s="3434"/>
      <c r="GPR8" s="3434"/>
      <c r="GPS8" s="3434"/>
      <c r="GPT8" s="3434"/>
      <c r="GPU8" s="3434"/>
      <c r="GPV8" s="3434"/>
      <c r="GPW8" s="3434"/>
      <c r="GPX8" s="3434"/>
      <c r="GPY8" s="3434"/>
      <c r="GPZ8" s="3434"/>
      <c r="GQA8" s="3434"/>
      <c r="GQB8" s="3434"/>
      <c r="GQC8" s="3434"/>
      <c r="GQD8" s="3434"/>
      <c r="GQE8" s="3434"/>
      <c r="GQF8" s="3434"/>
      <c r="GQG8" s="3434"/>
      <c r="GQH8" s="3434"/>
      <c r="GQI8" s="3434"/>
      <c r="GQJ8" s="3434"/>
      <c r="GQK8" s="3434"/>
      <c r="GQL8" s="3434"/>
      <c r="GQM8" s="3434"/>
      <c r="GQN8" s="3434"/>
      <c r="GQO8" s="3434"/>
      <c r="GQP8" s="3434"/>
      <c r="GQQ8" s="3434"/>
      <c r="GQR8" s="3434"/>
      <c r="GQS8" s="3434"/>
      <c r="GQT8" s="3434"/>
      <c r="GQU8" s="3434"/>
      <c r="GQV8" s="3434"/>
      <c r="GQW8" s="3434"/>
      <c r="GQX8" s="3434"/>
      <c r="GQY8" s="3434"/>
      <c r="GQZ8" s="3434"/>
      <c r="GRA8" s="3434"/>
      <c r="GRB8" s="3434"/>
      <c r="GRC8" s="3434"/>
      <c r="GRD8" s="3434"/>
      <c r="GRE8" s="3434"/>
      <c r="GRF8" s="3434"/>
      <c r="GRG8" s="3434"/>
      <c r="GRH8" s="3434"/>
      <c r="GRI8" s="3434"/>
      <c r="GRJ8" s="3434"/>
      <c r="GRK8" s="3434"/>
      <c r="GRL8" s="3434"/>
      <c r="GRM8" s="3434"/>
      <c r="GRN8" s="3434"/>
      <c r="GRO8" s="3434"/>
      <c r="GRP8" s="3434"/>
      <c r="GRQ8" s="3434"/>
      <c r="GRR8" s="3434"/>
      <c r="GRS8" s="3434"/>
      <c r="GRT8" s="3434"/>
      <c r="GRU8" s="3434"/>
      <c r="GRV8" s="3434"/>
      <c r="GRW8" s="3434"/>
      <c r="GRX8" s="3434"/>
      <c r="GRY8" s="3434"/>
      <c r="GRZ8" s="3434"/>
      <c r="GSA8" s="3434"/>
      <c r="GSB8" s="3434"/>
      <c r="GSC8" s="3434"/>
      <c r="GSD8" s="3434"/>
      <c r="GSE8" s="3434"/>
      <c r="GSF8" s="3434"/>
      <c r="GSG8" s="3434"/>
      <c r="GSH8" s="3434"/>
      <c r="GSI8" s="3434"/>
      <c r="GSJ8" s="3434"/>
      <c r="GSK8" s="3434"/>
      <c r="GSL8" s="3434"/>
      <c r="GSM8" s="3434"/>
      <c r="GSN8" s="3434"/>
      <c r="GSO8" s="3434"/>
      <c r="GSP8" s="3434"/>
      <c r="GSQ8" s="3434"/>
      <c r="GSR8" s="3434"/>
      <c r="GSS8" s="3434"/>
      <c r="GST8" s="3434"/>
      <c r="GSU8" s="3434"/>
      <c r="GSV8" s="3434"/>
      <c r="GSW8" s="3434"/>
      <c r="GSX8" s="3434"/>
      <c r="GSY8" s="3434"/>
      <c r="GSZ8" s="3434"/>
      <c r="GTA8" s="3434"/>
      <c r="GTB8" s="3434"/>
      <c r="GTC8" s="3434"/>
      <c r="GTD8" s="3434"/>
      <c r="GTE8" s="3434"/>
      <c r="GTF8" s="3434"/>
      <c r="GTG8" s="3434"/>
      <c r="GTH8" s="3434"/>
      <c r="GTI8" s="3434"/>
      <c r="GTJ8" s="3434"/>
      <c r="GTK8" s="3434"/>
      <c r="GTL8" s="3434"/>
      <c r="GTM8" s="3434"/>
      <c r="GTN8" s="3434"/>
      <c r="GTO8" s="3434"/>
      <c r="GTP8" s="3434"/>
      <c r="GTQ8" s="3434"/>
      <c r="GTR8" s="3434"/>
      <c r="GTS8" s="3434"/>
      <c r="GTT8" s="3434"/>
      <c r="GTU8" s="3434"/>
      <c r="GTV8" s="3434"/>
      <c r="GTW8" s="3434"/>
      <c r="GTX8" s="3434"/>
      <c r="GTY8" s="3434"/>
      <c r="GTZ8" s="3434"/>
      <c r="GUA8" s="3434"/>
      <c r="GUB8" s="3434"/>
      <c r="GUC8" s="3434"/>
      <c r="GUD8" s="3434"/>
      <c r="GUE8" s="3434"/>
      <c r="GUF8" s="3434"/>
      <c r="GUG8" s="3434"/>
      <c r="GUH8" s="3434"/>
      <c r="GUI8" s="3434"/>
      <c r="GUJ8" s="3434"/>
      <c r="GUK8" s="3434"/>
      <c r="GUL8" s="3434"/>
      <c r="GUM8" s="3434"/>
      <c r="GUN8" s="3434"/>
      <c r="GUO8" s="3434"/>
      <c r="GUP8" s="3434"/>
      <c r="GUQ8" s="3434"/>
      <c r="GUR8" s="3434"/>
      <c r="GUS8" s="3434"/>
      <c r="GUT8" s="3434"/>
      <c r="GUU8" s="3434"/>
      <c r="GUV8" s="3434"/>
      <c r="GUW8" s="3434"/>
      <c r="GUX8" s="3434"/>
      <c r="GUY8" s="3434"/>
      <c r="GUZ8" s="3434"/>
      <c r="GVA8" s="3434"/>
      <c r="GVB8" s="3434"/>
      <c r="GVC8" s="3434"/>
      <c r="GVD8" s="3434"/>
      <c r="GVE8" s="3434"/>
      <c r="GVF8" s="3434"/>
      <c r="GVG8" s="3434"/>
      <c r="GVH8" s="3434"/>
      <c r="GVI8" s="3434"/>
      <c r="GVJ8" s="3434"/>
      <c r="GVK8" s="3434"/>
      <c r="GVL8" s="3434"/>
      <c r="GVM8" s="3434"/>
      <c r="GVN8" s="3434"/>
      <c r="GVO8" s="3434"/>
      <c r="GVP8" s="3434"/>
      <c r="GVQ8" s="3434"/>
      <c r="GVR8" s="3434"/>
      <c r="GVS8" s="3434"/>
      <c r="GVT8" s="3434"/>
      <c r="GVU8" s="3434"/>
      <c r="GVV8" s="3434"/>
      <c r="GVW8" s="3434"/>
      <c r="GVX8" s="3434"/>
      <c r="GVY8" s="3434"/>
      <c r="GVZ8" s="3434"/>
      <c r="GWA8" s="3434"/>
      <c r="GWB8" s="3434"/>
      <c r="GWC8" s="3434"/>
      <c r="GWD8" s="3434"/>
      <c r="GWE8" s="3434"/>
      <c r="GWF8" s="3434"/>
      <c r="GWG8" s="3434"/>
      <c r="GWH8" s="3434"/>
      <c r="GWI8" s="3434"/>
      <c r="GWJ8" s="3434"/>
      <c r="GWK8" s="3434"/>
      <c r="GWL8" s="3434"/>
      <c r="GWM8" s="3434"/>
      <c r="GWN8" s="3434"/>
      <c r="GWO8" s="3434"/>
      <c r="GWP8" s="3434"/>
      <c r="GWQ8" s="3434"/>
      <c r="GWR8" s="3434"/>
      <c r="GWS8" s="3434"/>
      <c r="GWT8" s="3434"/>
      <c r="GWU8" s="3434"/>
      <c r="GWV8" s="3434"/>
      <c r="GWW8" s="3434"/>
      <c r="GWX8" s="3434"/>
      <c r="GWY8" s="3434"/>
      <c r="GWZ8" s="3434"/>
      <c r="GXA8" s="3434"/>
      <c r="GXB8" s="3434"/>
      <c r="GXC8" s="3434"/>
      <c r="GXD8" s="3434"/>
      <c r="GXE8" s="3434"/>
      <c r="GXF8" s="3434"/>
      <c r="GXG8" s="3434"/>
      <c r="GXH8" s="3434"/>
      <c r="GXI8" s="3434"/>
      <c r="GXJ8" s="3434"/>
      <c r="GXK8" s="3434"/>
      <c r="GXL8" s="3434"/>
      <c r="GXM8" s="3434"/>
      <c r="GXN8" s="3434"/>
      <c r="GXO8" s="3434"/>
      <c r="GXP8" s="3434"/>
      <c r="GXQ8" s="3434"/>
      <c r="GXR8" s="3434"/>
      <c r="GXS8" s="3434"/>
      <c r="GXT8" s="3434"/>
      <c r="GXU8" s="3434"/>
      <c r="GXV8" s="3434"/>
      <c r="GXW8" s="3434"/>
      <c r="GXX8" s="3434"/>
      <c r="GXY8" s="3434"/>
      <c r="GXZ8" s="3434"/>
      <c r="GYA8" s="3434"/>
      <c r="GYB8" s="3434"/>
      <c r="GYC8" s="3434"/>
      <c r="GYD8" s="3434"/>
      <c r="GYE8" s="3434"/>
      <c r="GYF8" s="3434"/>
      <c r="GYG8" s="3434"/>
      <c r="GYH8" s="3434"/>
      <c r="GYI8" s="3434"/>
      <c r="GYJ8" s="3434"/>
      <c r="GYK8" s="3434"/>
      <c r="GYL8" s="3434"/>
      <c r="GYM8" s="3434"/>
      <c r="GYN8" s="3434"/>
      <c r="GYO8" s="3434"/>
      <c r="GYP8" s="3434"/>
      <c r="GYQ8" s="3434"/>
      <c r="GYR8" s="3434"/>
      <c r="GYS8" s="3434"/>
      <c r="GYT8" s="3434"/>
      <c r="GYU8" s="3434"/>
      <c r="GYV8" s="3434"/>
      <c r="GYW8" s="3434"/>
      <c r="GYX8" s="3434"/>
      <c r="GYY8" s="3434"/>
      <c r="GYZ8" s="3434"/>
      <c r="GZA8" s="3434"/>
      <c r="GZB8" s="3434"/>
      <c r="GZC8" s="3434"/>
      <c r="GZD8" s="3434"/>
      <c r="GZE8" s="3434"/>
      <c r="GZF8" s="3434"/>
      <c r="GZG8" s="3434"/>
      <c r="GZH8" s="3434"/>
      <c r="GZI8" s="3434"/>
      <c r="GZJ8" s="3434"/>
      <c r="GZK8" s="3434"/>
      <c r="GZL8" s="3434"/>
      <c r="GZM8" s="3434"/>
      <c r="GZN8" s="3434"/>
      <c r="GZO8" s="3434"/>
      <c r="GZP8" s="3434"/>
      <c r="GZQ8" s="3434"/>
      <c r="GZR8" s="3434"/>
      <c r="GZS8" s="3434"/>
      <c r="GZT8" s="3434"/>
      <c r="GZU8" s="3434"/>
      <c r="GZV8" s="3434"/>
      <c r="GZW8" s="3434"/>
      <c r="GZX8" s="3434"/>
      <c r="GZY8" s="3434"/>
      <c r="GZZ8" s="3434"/>
      <c r="HAA8" s="3434"/>
      <c r="HAB8" s="3434"/>
      <c r="HAC8" s="3434"/>
      <c r="HAD8" s="3434"/>
      <c r="HAE8" s="3434"/>
      <c r="HAF8" s="3434"/>
      <c r="HAG8" s="3434"/>
      <c r="HAH8" s="3434"/>
      <c r="HAI8" s="3434"/>
      <c r="HAJ8" s="3434"/>
      <c r="HAK8" s="3434"/>
      <c r="HAL8" s="3434"/>
      <c r="HAM8" s="3434"/>
      <c r="HAN8" s="3434"/>
      <c r="HAO8" s="3434"/>
      <c r="HAP8" s="3434"/>
      <c r="HAQ8" s="3434"/>
      <c r="HAR8" s="3434"/>
      <c r="HAS8" s="3434"/>
      <c r="HAT8" s="3434"/>
      <c r="HAU8" s="3434"/>
      <c r="HAV8" s="3434"/>
      <c r="HAW8" s="3434"/>
      <c r="HAX8" s="3434"/>
      <c r="HAY8" s="3434"/>
      <c r="HAZ8" s="3434"/>
      <c r="HBA8" s="3434"/>
      <c r="HBB8" s="3434"/>
      <c r="HBC8" s="3434"/>
      <c r="HBD8" s="3434"/>
      <c r="HBE8" s="3434"/>
      <c r="HBF8" s="3434"/>
      <c r="HBG8" s="3434"/>
      <c r="HBH8" s="3434"/>
      <c r="HBI8" s="3434"/>
      <c r="HBJ8" s="3434"/>
      <c r="HBK8" s="3434"/>
      <c r="HBL8" s="3434"/>
      <c r="HBM8" s="3434"/>
      <c r="HBN8" s="3434"/>
      <c r="HBO8" s="3434"/>
      <c r="HBP8" s="3434"/>
      <c r="HBQ8" s="3434"/>
      <c r="HBR8" s="3434"/>
      <c r="HBS8" s="3434"/>
      <c r="HBT8" s="3434"/>
      <c r="HBU8" s="3434"/>
      <c r="HBV8" s="3434"/>
      <c r="HBW8" s="3434"/>
      <c r="HBX8" s="3434"/>
      <c r="HBY8" s="3434"/>
      <c r="HBZ8" s="3434"/>
      <c r="HCA8" s="3434"/>
      <c r="HCB8" s="3434"/>
      <c r="HCC8" s="3434"/>
      <c r="HCD8" s="3434"/>
      <c r="HCE8" s="3434"/>
      <c r="HCF8" s="3434"/>
      <c r="HCG8" s="3434"/>
      <c r="HCH8" s="3434"/>
      <c r="HCI8" s="3434"/>
      <c r="HCJ8" s="3434"/>
      <c r="HCK8" s="3434"/>
      <c r="HCL8" s="3434"/>
      <c r="HCM8" s="3434"/>
      <c r="HCN8" s="3434"/>
      <c r="HCO8" s="3434"/>
      <c r="HCP8" s="3434"/>
      <c r="HCQ8" s="3434"/>
      <c r="HCR8" s="3434"/>
      <c r="HCS8" s="3434"/>
      <c r="HCT8" s="3434"/>
      <c r="HCU8" s="3434"/>
      <c r="HCV8" s="3434"/>
      <c r="HCW8" s="3434"/>
      <c r="HCX8" s="3434"/>
      <c r="HCY8" s="3434"/>
      <c r="HCZ8" s="3434"/>
      <c r="HDA8" s="3434"/>
      <c r="HDB8" s="3434"/>
      <c r="HDC8" s="3434"/>
      <c r="HDD8" s="3434"/>
      <c r="HDE8" s="3434"/>
      <c r="HDF8" s="3434"/>
      <c r="HDG8" s="3434"/>
      <c r="HDH8" s="3434"/>
      <c r="HDI8" s="3434"/>
      <c r="HDJ8" s="3434"/>
      <c r="HDK8" s="3434"/>
      <c r="HDL8" s="3434"/>
      <c r="HDM8" s="3434"/>
      <c r="HDN8" s="3434"/>
      <c r="HDO8" s="3434"/>
      <c r="HDP8" s="3434"/>
      <c r="HDQ8" s="3434"/>
      <c r="HDR8" s="3434"/>
      <c r="HDS8" s="3434"/>
      <c r="HDT8" s="3434"/>
      <c r="HDU8" s="3434"/>
      <c r="HDV8" s="3434"/>
      <c r="HDW8" s="3434"/>
      <c r="HDX8" s="3434"/>
      <c r="HDY8" s="3434"/>
      <c r="HDZ8" s="3434"/>
      <c r="HEA8" s="3434"/>
      <c r="HEB8" s="3434"/>
      <c r="HEC8" s="3434"/>
      <c r="HED8" s="3434"/>
      <c r="HEE8" s="3434"/>
      <c r="HEF8" s="3434"/>
      <c r="HEG8" s="3434"/>
      <c r="HEH8" s="3434"/>
      <c r="HEI8" s="3434"/>
      <c r="HEJ8" s="3434"/>
      <c r="HEK8" s="3434"/>
      <c r="HEL8" s="3434"/>
      <c r="HEM8" s="3434"/>
      <c r="HEN8" s="3434"/>
      <c r="HEO8" s="3434"/>
      <c r="HEP8" s="3434"/>
      <c r="HEQ8" s="3434"/>
      <c r="HER8" s="3434"/>
      <c r="HES8" s="3434"/>
      <c r="HET8" s="3434"/>
      <c r="HEU8" s="3434"/>
      <c r="HEV8" s="3434"/>
      <c r="HEW8" s="3434"/>
      <c r="HEX8" s="3434"/>
      <c r="HEY8" s="3434"/>
      <c r="HEZ8" s="3434"/>
      <c r="HFA8" s="3434"/>
      <c r="HFB8" s="3434"/>
      <c r="HFC8" s="3434"/>
      <c r="HFD8" s="3434"/>
      <c r="HFE8" s="3434"/>
      <c r="HFF8" s="3434"/>
      <c r="HFG8" s="3434"/>
      <c r="HFH8" s="3434"/>
      <c r="HFI8" s="3434"/>
      <c r="HFJ8" s="3434"/>
      <c r="HFK8" s="3434"/>
      <c r="HFL8" s="3434"/>
      <c r="HFM8" s="3434"/>
      <c r="HFN8" s="3434"/>
      <c r="HFO8" s="3434"/>
      <c r="HFP8" s="3434"/>
      <c r="HFQ8" s="3434"/>
      <c r="HFR8" s="3434"/>
      <c r="HFS8" s="3434"/>
      <c r="HFT8" s="3434"/>
      <c r="HFU8" s="3434"/>
      <c r="HFV8" s="3434"/>
      <c r="HFW8" s="3434"/>
      <c r="HFX8" s="3434"/>
      <c r="HFY8" s="3434"/>
      <c r="HFZ8" s="3434"/>
      <c r="HGA8" s="3434"/>
      <c r="HGB8" s="3434"/>
      <c r="HGC8" s="3434"/>
      <c r="HGD8" s="3434"/>
      <c r="HGE8" s="3434"/>
      <c r="HGF8" s="3434"/>
      <c r="HGG8" s="3434"/>
      <c r="HGH8" s="3434"/>
      <c r="HGI8" s="3434"/>
      <c r="HGJ8" s="3434"/>
      <c r="HGK8" s="3434"/>
      <c r="HGL8" s="3434"/>
      <c r="HGM8" s="3434"/>
      <c r="HGN8" s="3434"/>
      <c r="HGO8" s="3434"/>
      <c r="HGP8" s="3434"/>
      <c r="HGQ8" s="3434"/>
      <c r="HGR8" s="3434"/>
      <c r="HGS8" s="3434"/>
      <c r="HGT8" s="3434"/>
      <c r="HGU8" s="3434"/>
      <c r="HGV8" s="3434"/>
      <c r="HGW8" s="3434"/>
      <c r="HGX8" s="3434"/>
      <c r="HGY8" s="3434"/>
      <c r="HGZ8" s="3434"/>
      <c r="HHA8" s="3434"/>
      <c r="HHB8" s="3434"/>
      <c r="HHC8" s="3434"/>
      <c r="HHD8" s="3434"/>
      <c r="HHE8" s="3434"/>
      <c r="HHF8" s="3434"/>
      <c r="HHG8" s="3434"/>
      <c r="HHH8" s="3434"/>
      <c r="HHI8" s="3434"/>
      <c r="HHJ8" s="3434"/>
      <c r="HHK8" s="3434"/>
      <c r="HHL8" s="3434"/>
      <c r="HHM8" s="3434"/>
      <c r="HHN8" s="3434"/>
      <c r="HHO8" s="3434"/>
      <c r="HHP8" s="3434"/>
      <c r="HHQ8" s="3434"/>
      <c r="HHR8" s="3434"/>
      <c r="HHS8" s="3434"/>
      <c r="HHT8" s="3434"/>
      <c r="HHU8" s="3434"/>
      <c r="HHV8" s="3434"/>
      <c r="HHW8" s="3434"/>
      <c r="HHX8" s="3434"/>
      <c r="HHY8" s="3434"/>
      <c r="HHZ8" s="3434"/>
      <c r="HIA8" s="3434"/>
      <c r="HIB8" s="3434"/>
      <c r="HIC8" s="3434"/>
      <c r="HID8" s="3434"/>
      <c r="HIE8" s="3434"/>
      <c r="HIF8" s="3434"/>
      <c r="HIG8" s="3434"/>
      <c r="HIH8" s="3434"/>
      <c r="HII8" s="3434"/>
      <c r="HIJ8" s="3434"/>
      <c r="HIK8" s="3434"/>
      <c r="HIL8" s="3434"/>
      <c r="HIM8" s="3434"/>
      <c r="HIN8" s="3434"/>
      <c r="HIO8" s="3434"/>
      <c r="HIP8" s="3434"/>
      <c r="HIQ8" s="3434"/>
      <c r="HIR8" s="3434"/>
      <c r="HIS8" s="3434"/>
      <c r="HIT8" s="3434"/>
      <c r="HIU8" s="3434"/>
      <c r="HIV8" s="3434"/>
      <c r="HIW8" s="3434"/>
      <c r="HIX8" s="3434"/>
      <c r="HIY8" s="3434"/>
      <c r="HIZ8" s="3434"/>
      <c r="HJA8" s="3434"/>
      <c r="HJB8" s="3434"/>
      <c r="HJC8" s="3434"/>
      <c r="HJD8" s="3434"/>
      <c r="HJE8" s="3434"/>
      <c r="HJF8" s="3434"/>
      <c r="HJG8" s="3434"/>
      <c r="HJH8" s="3434"/>
      <c r="HJI8" s="3434"/>
      <c r="HJJ8" s="3434"/>
      <c r="HJK8" s="3434"/>
      <c r="HJL8" s="3434"/>
      <c r="HJM8" s="3434"/>
      <c r="HJN8" s="3434"/>
      <c r="HJO8" s="3434"/>
      <c r="HJP8" s="3434"/>
      <c r="HJQ8" s="3434"/>
      <c r="HJR8" s="3434"/>
      <c r="HJS8" s="3434"/>
      <c r="HJT8" s="3434"/>
      <c r="HJU8" s="3434"/>
      <c r="HJV8" s="3434"/>
      <c r="HJW8" s="3434"/>
      <c r="HJX8" s="3434"/>
      <c r="HJY8" s="3434"/>
      <c r="HJZ8" s="3434"/>
      <c r="HKA8" s="3434"/>
      <c r="HKB8" s="3434"/>
      <c r="HKC8" s="3434"/>
      <c r="HKD8" s="3434"/>
      <c r="HKE8" s="3434"/>
      <c r="HKF8" s="3434"/>
      <c r="HKG8" s="3434"/>
      <c r="HKH8" s="3434"/>
      <c r="HKI8" s="3434"/>
      <c r="HKJ8" s="3434"/>
      <c r="HKK8" s="3434"/>
      <c r="HKL8" s="3434"/>
      <c r="HKM8" s="3434"/>
      <c r="HKN8" s="3434"/>
      <c r="HKO8" s="3434"/>
      <c r="HKP8" s="3434"/>
      <c r="HKQ8" s="3434"/>
      <c r="HKR8" s="3434"/>
      <c r="HKS8" s="3434"/>
      <c r="HKT8" s="3434"/>
      <c r="HKU8" s="3434"/>
      <c r="HKV8" s="3434"/>
      <c r="HKW8" s="3434"/>
      <c r="HKX8" s="3434"/>
      <c r="HKY8" s="3434"/>
      <c r="HKZ8" s="3434"/>
      <c r="HLA8" s="3434"/>
      <c r="HLB8" s="3434"/>
      <c r="HLC8" s="3434"/>
      <c r="HLD8" s="3434"/>
      <c r="HLE8" s="3434"/>
      <c r="HLF8" s="3434"/>
      <c r="HLG8" s="3434"/>
      <c r="HLH8" s="3434"/>
      <c r="HLI8" s="3434"/>
      <c r="HLJ8" s="3434"/>
      <c r="HLK8" s="3434"/>
      <c r="HLL8" s="3434"/>
      <c r="HLM8" s="3434"/>
      <c r="HLN8" s="3434"/>
      <c r="HLO8" s="3434"/>
      <c r="HLP8" s="3434"/>
      <c r="HLQ8" s="3434"/>
      <c r="HLR8" s="3434"/>
      <c r="HLS8" s="3434"/>
      <c r="HLT8" s="3434"/>
      <c r="HLU8" s="3434"/>
      <c r="HLV8" s="3434"/>
      <c r="HLW8" s="3434"/>
      <c r="HLX8" s="3434"/>
      <c r="HLY8" s="3434"/>
      <c r="HLZ8" s="3434"/>
      <c r="HMA8" s="3434"/>
      <c r="HMB8" s="3434"/>
      <c r="HMC8" s="3434"/>
      <c r="HMD8" s="3434"/>
      <c r="HME8" s="3434"/>
      <c r="HMF8" s="3434"/>
      <c r="HMG8" s="3434"/>
      <c r="HMH8" s="3434"/>
      <c r="HMI8" s="3434"/>
      <c r="HMJ8" s="3434"/>
      <c r="HMK8" s="3434"/>
      <c r="HML8" s="3434"/>
      <c r="HMM8" s="3434"/>
      <c r="HMN8" s="3434"/>
      <c r="HMO8" s="3434"/>
      <c r="HMP8" s="3434"/>
      <c r="HMQ8" s="3434"/>
      <c r="HMR8" s="3434"/>
      <c r="HMS8" s="3434"/>
      <c r="HMT8" s="3434"/>
      <c r="HMU8" s="3434"/>
      <c r="HMV8" s="3434"/>
      <c r="HMW8" s="3434"/>
      <c r="HMX8" s="3434"/>
      <c r="HMY8" s="3434"/>
      <c r="HMZ8" s="3434"/>
      <c r="HNA8" s="3434"/>
      <c r="HNB8" s="3434"/>
      <c r="HNC8" s="3434"/>
      <c r="HND8" s="3434"/>
      <c r="HNE8" s="3434"/>
      <c r="HNF8" s="3434"/>
      <c r="HNG8" s="3434"/>
      <c r="HNH8" s="3434"/>
      <c r="HNI8" s="3434"/>
      <c r="HNJ8" s="3434"/>
      <c r="HNK8" s="3434"/>
      <c r="HNL8" s="3434"/>
      <c r="HNM8" s="3434"/>
      <c r="HNN8" s="3434"/>
      <c r="HNO8" s="3434"/>
      <c r="HNP8" s="3434"/>
      <c r="HNQ8" s="3434"/>
      <c r="HNR8" s="3434"/>
      <c r="HNS8" s="3434"/>
      <c r="HNT8" s="3434"/>
      <c r="HNU8" s="3434"/>
      <c r="HNV8" s="3434"/>
      <c r="HNW8" s="3434"/>
      <c r="HNX8" s="3434"/>
      <c r="HNY8" s="3434"/>
      <c r="HNZ8" s="3434"/>
      <c r="HOA8" s="3434"/>
      <c r="HOB8" s="3434"/>
      <c r="HOC8" s="3434"/>
      <c r="HOD8" s="3434"/>
      <c r="HOE8" s="3434"/>
      <c r="HOF8" s="3434"/>
      <c r="HOG8" s="3434"/>
      <c r="HOH8" s="3434"/>
      <c r="HOI8" s="3434"/>
      <c r="HOJ8" s="3434"/>
      <c r="HOK8" s="3434"/>
      <c r="HOL8" s="3434"/>
      <c r="HOM8" s="3434"/>
      <c r="HON8" s="3434"/>
      <c r="HOO8" s="3434"/>
      <c r="HOP8" s="3434"/>
      <c r="HOQ8" s="3434"/>
      <c r="HOR8" s="3434"/>
      <c r="HOS8" s="3434"/>
      <c r="HOT8" s="3434"/>
      <c r="HOU8" s="3434"/>
      <c r="HOV8" s="3434"/>
      <c r="HOW8" s="3434"/>
      <c r="HOX8" s="3434"/>
      <c r="HOY8" s="3434"/>
      <c r="HOZ8" s="3434"/>
      <c r="HPA8" s="3434"/>
      <c r="HPB8" s="3434"/>
      <c r="HPC8" s="3434"/>
      <c r="HPD8" s="3434"/>
      <c r="HPE8" s="3434"/>
      <c r="HPF8" s="3434"/>
      <c r="HPG8" s="3434"/>
      <c r="HPH8" s="3434"/>
      <c r="HPI8" s="3434"/>
      <c r="HPJ8" s="3434"/>
      <c r="HPK8" s="3434"/>
      <c r="HPL8" s="3434"/>
      <c r="HPM8" s="3434"/>
      <c r="HPN8" s="3434"/>
      <c r="HPO8" s="3434"/>
      <c r="HPP8" s="3434"/>
      <c r="HPQ8" s="3434"/>
      <c r="HPR8" s="3434"/>
      <c r="HPS8" s="3434"/>
      <c r="HPT8" s="3434"/>
      <c r="HPU8" s="3434"/>
      <c r="HPV8" s="3434"/>
      <c r="HPW8" s="3434"/>
      <c r="HPX8" s="3434"/>
      <c r="HPY8" s="3434"/>
      <c r="HPZ8" s="3434"/>
      <c r="HQA8" s="3434"/>
      <c r="HQB8" s="3434"/>
      <c r="HQC8" s="3434"/>
      <c r="HQD8" s="3434"/>
      <c r="HQE8" s="3434"/>
      <c r="HQF8" s="3434"/>
      <c r="HQG8" s="3434"/>
      <c r="HQH8" s="3434"/>
      <c r="HQI8" s="3434"/>
      <c r="HQJ8" s="3434"/>
      <c r="HQK8" s="3434"/>
      <c r="HQL8" s="3434"/>
      <c r="HQM8" s="3434"/>
      <c r="HQN8" s="3434"/>
      <c r="HQO8" s="3434"/>
      <c r="HQP8" s="3434"/>
      <c r="HQQ8" s="3434"/>
      <c r="HQR8" s="3434"/>
      <c r="HQS8" s="3434"/>
      <c r="HQT8" s="3434"/>
      <c r="HQU8" s="3434"/>
      <c r="HQV8" s="3434"/>
      <c r="HQW8" s="3434"/>
      <c r="HQX8" s="3434"/>
      <c r="HQY8" s="3434"/>
      <c r="HQZ8" s="3434"/>
      <c r="HRA8" s="3434"/>
      <c r="HRB8" s="3434"/>
      <c r="HRC8" s="3434"/>
      <c r="HRD8" s="3434"/>
      <c r="HRE8" s="3434"/>
      <c r="HRF8" s="3434"/>
      <c r="HRG8" s="3434"/>
      <c r="HRH8" s="3434"/>
      <c r="HRI8" s="3434"/>
      <c r="HRJ8" s="3434"/>
      <c r="HRK8" s="3434"/>
      <c r="HRL8" s="3434"/>
      <c r="HRM8" s="3434"/>
      <c r="HRN8" s="3434"/>
      <c r="HRO8" s="3434"/>
      <c r="HRP8" s="3434"/>
      <c r="HRQ8" s="3434"/>
      <c r="HRR8" s="3434"/>
      <c r="HRS8" s="3434"/>
      <c r="HRT8" s="3434"/>
      <c r="HRU8" s="3434"/>
      <c r="HRV8" s="3434"/>
      <c r="HRW8" s="3434"/>
      <c r="HRX8" s="3434"/>
      <c r="HRY8" s="3434"/>
      <c r="HRZ8" s="3434"/>
      <c r="HSA8" s="3434"/>
      <c r="HSB8" s="3434"/>
      <c r="HSC8" s="3434"/>
      <c r="HSD8" s="3434"/>
      <c r="HSE8" s="3434"/>
      <c r="HSF8" s="3434"/>
      <c r="HSG8" s="3434"/>
      <c r="HSH8" s="3434"/>
      <c r="HSI8" s="3434"/>
      <c r="HSJ8" s="3434"/>
      <c r="HSK8" s="3434"/>
      <c r="HSL8" s="3434"/>
      <c r="HSM8" s="3434"/>
      <c r="HSN8" s="3434"/>
      <c r="HSO8" s="3434"/>
      <c r="HSP8" s="3434"/>
      <c r="HSQ8" s="3434"/>
      <c r="HSR8" s="3434"/>
      <c r="HSS8" s="3434"/>
      <c r="HST8" s="3434"/>
      <c r="HSU8" s="3434"/>
      <c r="HSV8" s="3434"/>
      <c r="HSW8" s="3434"/>
      <c r="HSX8" s="3434"/>
      <c r="HSY8" s="3434"/>
      <c r="HSZ8" s="3434"/>
      <c r="HTA8" s="3434"/>
      <c r="HTB8" s="3434"/>
      <c r="HTC8" s="3434"/>
      <c r="HTD8" s="3434"/>
      <c r="HTE8" s="3434"/>
      <c r="HTF8" s="3434"/>
      <c r="HTG8" s="3434"/>
      <c r="HTH8" s="3434"/>
      <c r="HTI8" s="3434"/>
      <c r="HTJ8" s="3434"/>
      <c r="HTK8" s="3434"/>
      <c r="HTL8" s="3434"/>
      <c r="HTM8" s="3434"/>
      <c r="HTN8" s="3434"/>
      <c r="HTO8" s="3434"/>
      <c r="HTP8" s="3434"/>
      <c r="HTQ8" s="3434"/>
      <c r="HTR8" s="3434"/>
      <c r="HTS8" s="3434"/>
      <c r="HTT8" s="3434"/>
      <c r="HTU8" s="3434"/>
      <c r="HTV8" s="3434"/>
      <c r="HTW8" s="3434"/>
      <c r="HTX8" s="3434"/>
      <c r="HTY8" s="3434"/>
      <c r="HTZ8" s="3434"/>
      <c r="HUA8" s="3434"/>
      <c r="HUB8" s="3434"/>
      <c r="HUC8" s="3434"/>
      <c r="HUD8" s="3434"/>
      <c r="HUE8" s="3434"/>
      <c r="HUF8" s="3434"/>
      <c r="HUG8" s="3434"/>
      <c r="HUH8" s="3434"/>
      <c r="HUI8" s="3434"/>
      <c r="HUJ8" s="3434"/>
      <c r="HUK8" s="3434"/>
      <c r="HUL8" s="3434"/>
      <c r="HUM8" s="3434"/>
      <c r="HUN8" s="3434"/>
      <c r="HUO8" s="3434"/>
      <c r="HUP8" s="3434"/>
      <c r="HUQ8" s="3434"/>
      <c r="HUR8" s="3434"/>
      <c r="HUS8" s="3434"/>
      <c r="HUT8" s="3434"/>
      <c r="HUU8" s="3434"/>
      <c r="HUV8" s="3434"/>
      <c r="HUW8" s="3434"/>
      <c r="HUX8" s="3434"/>
      <c r="HUY8" s="3434"/>
      <c r="HUZ8" s="3434"/>
      <c r="HVA8" s="3434"/>
      <c r="HVB8" s="3434"/>
      <c r="HVC8" s="3434"/>
      <c r="HVD8" s="3434"/>
      <c r="HVE8" s="3434"/>
      <c r="HVF8" s="3434"/>
      <c r="HVG8" s="3434"/>
      <c r="HVH8" s="3434"/>
      <c r="HVI8" s="3434"/>
      <c r="HVJ8" s="3434"/>
      <c r="HVK8" s="3434"/>
      <c r="HVL8" s="3434"/>
      <c r="HVM8" s="3434"/>
      <c r="HVN8" s="3434"/>
      <c r="HVO8" s="3434"/>
      <c r="HVP8" s="3434"/>
      <c r="HVQ8" s="3434"/>
      <c r="HVR8" s="3434"/>
      <c r="HVS8" s="3434"/>
      <c r="HVT8" s="3434"/>
      <c r="HVU8" s="3434"/>
      <c r="HVV8" s="3434"/>
      <c r="HVW8" s="3434"/>
      <c r="HVX8" s="3434"/>
      <c r="HVY8" s="3434"/>
      <c r="HVZ8" s="3434"/>
      <c r="HWA8" s="3434"/>
      <c r="HWB8" s="3434"/>
      <c r="HWC8" s="3434"/>
      <c r="HWD8" s="3434"/>
      <c r="HWE8" s="3434"/>
      <c r="HWF8" s="3434"/>
      <c r="HWG8" s="3434"/>
      <c r="HWH8" s="3434"/>
      <c r="HWI8" s="3434"/>
      <c r="HWJ8" s="3434"/>
      <c r="HWK8" s="3434"/>
      <c r="HWL8" s="3434"/>
      <c r="HWM8" s="3434"/>
      <c r="HWN8" s="3434"/>
      <c r="HWO8" s="3434"/>
      <c r="HWP8" s="3434"/>
      <c r="HWQ8" s="3434"/>
      <c r="HWR8" s="3434"/>
      <c r="HWS8" s="3434"/>
      <c r="HWT8" s="3434"/>
      <c r="HWU8" s="3434"/>
      <c r="HWV8" s="3434"/>
      <c r="HWW8" s="3434"/>
      <c r="HWX8" s="3434"/>
      <c r="HWY8" s="3434"/>
      <c r="HWZ8" s="3434"/>
      <c r="HXA8" s="3434"/>
      <c r="HXB8" s="3434"/>
      <c r="HXC8" s="3434"/>
      <c r="HXD8" s="3434"/>
      <c r="HXE8" s="3434"/>
      <c r="HXF8" s="3434"/>
      <c r="HXG8" s="3434"/>
      <c r="HXH8" s="3434"/>
      <c r="HXI8" s="3434"/>
      <c r="HXJ8" s="3434"/>
      <c r="HXK8" s="3434"/>
      <c r="HXL8" s="3434"/>
      <c r="HXM8" s="3434"/>
      <c r="HXN8" s="3434"/>
      <c r="HXO8" s="3434"/>
      <c r="HXP8" s="3434"/>
      <c r="HXQ8" s="3434"/>
      <c r="HXR8" s="3434"/>
      <c r="HXS8" s="3434"/>
      <c r="HXT8" s="3434"/>
      <c r="HXU8" s="3434"/>
      <c r="HXV8" s="3434"/>
      <c r="HXW8" s="3434"/>
      <c r="HXX8" s="3434"/>
      <c r="HXY8" s="3434"/>
      <c r="HXZ8" s="3434"/>
      <c r="HYA8" s="3434"/>
      <c r="HYB8" s="3434"/>
      <c r="HYC8" s="3434"/>
      <c r="HYD8" s="3434"/>
      <c r="HYE8" s="3434"/>
      <c r="HYF8" s="3434"/>
      <c r="HYG8" s="3434"/>
      <c r="HYH8" s="3434"/>
      <c r="HYI8" s="3434"/>
      <c r="HYJ8" s="3434"/>
      <c r="HYK8" s="3434"/>
      <c r="HYL8" s="3434"/>
      <c r="HYM8" s="3434"/>
      <c r="HYN8" s="3434"/>
      <c r="HYO8" s="3434"/>
      <c r="HYP8" s="3434"/>
      <c r="HYQ8" s="3434"/>
      <c r="HYR8" s="3434"/>
      <c r="HYS8" s="3434"/>
      <c r="HYT8" s="3434"/>
      <c r="HYU8" s="3434"/>
      <c r="HYV8" s="3434"/>
      <c r="HYW8" s="3434"/>
      <c r="HYX8" s="3434"/>
      <c r="HYY8" s="3434"/>
      <c r="HYZ8" s="3434"/>
      <c r="HZA8" s="3434"/>
      <c r="HZB8" s="3434"/>
      <c r="HZC8" s="3434"/>
      <c r="HZD8" s="3434"/>
      <c r="HZE8" s="3434"/>
      <c r="HZF8" s="3434"/>
      <c r="HZG8" s="3434"/>
      <c r="HZH8" s="3434"/>
      <c r="HZI8" s="3434"/>
      <c r="HZJ8" s="3434"/>
      <c r="HZK8" s="3434"/>
      <c r="HZL8" s="3434"/>
      <c r="HZM8" s="3434"/>
      <c r="HZN8" s="3434"/>
      <c r="HZO8" s="3434"/>
      <c r="HZP8" s="3434"/>
      <c r="HZQ8" s="3434"/>
      <c r="HZR8" s="3434"/>
      <c r="HZS8" s="3434"/>
      <c r="HZT8" s="3434"/>
      <c r="HZU8" s="3434"/>
      <c r="HZV8" s="3434"/>
      <c r="HZW8" s="3434"/>
      <c r="HZX8" s="3434"/>
      <c r="HZY8" s="3434"/>
      <c r="HZZ8" s="3434"/>
      <c r="IAA8" s="3434"/>
      <c r="IAB8" s="3434"/>
      <c r="IAC8" s="3434"/>
      <c r="IAD8" s="3434"/>
      <c r="IAE8" s="3434"/>
      <c r="IAF8" s="3434"/>
      <c r="IAG8" s="3434"/>
      <c r="IAH8" s="3434"/>
      <c r="IAI8" s="3434"/>
      <c r="IAJ8" s="3434"/>
      <c r="IAK8" s="3434"/>
      <c r="IAL8" s="3434"/>
      <c r="IAM8" s="3434"/>
      <c r="IAN8" s="3434"/>
      <c r="IAO8" s="3434"/>
      <c r="IAP8" s="3434"/>
      <c r="IAQ8" s="3434"/>
      <c r="IAR8" s="3434"/>
      <c r="IAS8" s="3434"/>
      <c r="IAT8" s="3434"/>
      <c r="IAU8" s="3434"/>
      <c r="IAV8" s="3434"/>
      <c r="IAW8" s="3434"/>
      <c r="IAX8" s="3434"/>
      <c r="IAY8" s="3434"/>
      <c r="IAZ8" s="3434"/>
      <c r="IBA8" s="3434"/>
      <c r="IBB8" s="3434"/>
      <c r="IBC8" s="3434"/>
      <c r="IBD8" s="3434"/>
      <c r="IBE8" s="3434"/>
      <c r="IBF8" s="3434"/>
      <c r="IBG8" s="3434"/>
      <c r="IBH8" s="3434"/>
      <c r="IBI8" s="3434"/>
      <c r="IBJ8" s="3434"/>
      <c r="IBK8" s="3434"/>
      <c r="IBL8" s="3434"/>
      <c r="IBM8" s="3434"/>
      <c r="IBN8" s="3434"/>
      <c r="IBO8" s="3434"/>
      <c r="IBP8" s="3434"/>
      <c r="IBQ8" s="3434"/>
      <c r="IBR8" s="3434"/>
      <c r="IBS8" s="3434"/>
      <c r="IBT8" s="3434"/>
      <c r="IBU8" s="3434"/>
      <c r="IBV8" s="3434"/>
      <c r="IBW8" s="3434"/>
      <c r="IBX8" s="3434"/>
      <c r="IBY8" s="3434"/>
      <c r="IBZ8" s="3434"/>
      <c r="ICA8" s="3434"/>
      <c r="ICB8" s="3434"/>
      <c r="ICC8" s="3434"/>
      <c r="ICD8" s="3434"/>
      <c r="ICE8" s="3434"/>
      <c r="ICF8" s="3434"/>
      <c r="ICG8" s="3434"/>
      <c r="ICH8" s="3434"/>
      <c r="ICI8" s="3434"/>
      <c r="ICJ8" s="3434"/>
      <c r="ICK8" s="3434"/>
      <c r="ICL8" s="3434"/>
      <c r="ICM8" s="3434"/>
      <c r="ICN8" s="3434"/>
      <c r="ICO8" s="3434"/>
      <c r="ICP8" s="3434"/>
      <c r="ICQ8" s="3434"/>
      <c r="ICR8" s="3434"/>
      <c r="ICS8" s="3434"/>
      <c r="ICT8" s="3434"/>
      <c r="ICU8" s="3434"/>
      <c r="ICV8" s="3434"/>
      <c r="ICW8" s="3434"/>
      <c r="ICX8" s="3434"/>
      <c r="ICY8" s="3434"/>
      <c r="ICZ8" s="3434"/>
      <c r="IDA8" s="3434"/>
      <c r="IDB8" s="3434"/>
      <c r="IDC8" s="3434"/>
      <c r="IDD8" s="3434"/>
      <c r="IDE8" s="3434"/>
      <c r="IDF8" s="3434"/>
      <c r="IDG8" s="3434"/>
      <c r="IDH8" s="3434"/>
      <c r="IDI8" s="3434"/>
      <c r="IDJ8" s="3434"/>
      <c r="IDK8" s="3434"/>
      <c r="IDL8" s="3434"/>
      <c r="IDM8" s="3434"/>
      <c r="IDN8" s="3434"/>
      <c r="IDO8" s="3434"/>
      <c r="IDP8" s="3434"/>
      <c r="IDQ8" s="3434"/>
      <c r="IDR8" s="3434"/>
      <c r="IDS8" s="3434"/>
      <c r="IDT8" s="3434"/>
      <c r="IDU8" s="3434"/>
      <c r="IDV8" s="3434"/>
      <c r="IDW8" s="3434"/>
      <c r="IDX8" s="3434"/>
      <c r="IDY8" s="3434"/>
      <c r="IDZ8" s="3434"/>
      <c r="IEA8" s="3434"/>
      <c r="IEB8" s="3434"/>
      <c r="IEC8" s="3434"/>
      <c r="IED8" s="3434"/>
      <c r="IEE8" s="3434"/>
      <c r="IEF8" s="3434"/>
      <c r="IEG8" s="3434"/>
      <c r="IEH8" s="3434"/>
      <c r="IEI8" s="3434"/>
      <c r="IEJ8" s="3434"/>
      <c r="IEK8" s="3434"/>
      <c r="IEL8" s="3434"/>
      <c r="IEM8" s="3434"/>
      <c r="IEN8" s="3434"/>
      <c r="IEO8" s="3434"/>
      <c r="IEP8" s="3434"/>
      <c r="IEQ8" s="3434"/>
      <c r="IER8" s="3434"/>
      <c r="IES8" s="3434"/>
      <c r="IET8" s="3434"/>
      <c r="IEU8" s="3434"/>
      <c r="IEV8" s="3434"/>
      <c r="IEW8" s="3434"/>
      <c r="IEX8" s="3434"/>
      <c r="IEY8" s="3434"/>
      <c r="IEZ8" s="3434"/>
      <c r="IFA8" s="3434"/>
      <c r="IFB8" s="3434"/>
      <c r="IFC8" s="3434"/>
      <c r="IFD8" s="3434"/>
      <c r="IFE8" s="3434"/>
      <c r="IFF8" s="3434"/>
      <c r="IFG8" s="3434"/>
      <c r="IFH8" s="3434"/>
      <c r="IFI8" s="3434"/>
      <c r="IFJ8" s="3434"/>
      <c r="IFK8" s="3434"/>
      <c r="IFL8" s="3434"/>
      <c r="IFM8" s="3434"/>
      <c r="IFN8" s="3434"/>
      <c r="IFO8" s="3434"/>
      <c r="IFP8" s="3434"/>
      <c r="IFQ8" s="3434"/>
      <c r="IFR8" s="3434"/>
      <c r="IFS8" s="3434"/>
      <c r="IFT8" s="3434"/>
      <c r="IFU8" s="3434"/>
      <c r="IFV8" s="3434"/>
      <c r="IFW8" s="3434"/>
      <c r="IFX8" s="3434"/>
      <c r="IFY8" s="3434"/>
      <c r="IFZ8" s="3434"/>
      <c r="IGA8" s="3434"/>
      <c r="IGB8" s="3434"/>
      <c r="IGC8" s="3434"/>
      <c r="IGD8" s="3434"/>
      <c r="IGE8" s="3434"/>
      <c r="IGF8" s="3434"/>
      <c r="IGG8" s="3434"/>
      <c r="IGH8" s="3434"/>
      <c r="IGI8" s="3434"/>
      <c r="IGJ8" s="3434"/>
      <c r="IGK8" s="3434"/>
      <c r="IGL8" s="3434"/>
      <c r="IGM8" s="3434"/>
      <c r="IGN8" s="3434"/>
      <c r="IGO8" s="3434"/>
      <c r="IGP8" s="3434"/>
      <c r="IGQ8" s="3434"/>
      <c r="IGR8" s="3434"/>
      <c r="IGS8" s="3434"/>
      <c r="IGT8" s="3434"/>
      <c r="IGU8" s="3434"/>
      <c r="IGV8" s="3434"/>
      <c r="IGW8" s="3434"/>
      <c r="IGX8" s="3434"/>
      <c r="IGY8" s="3434"/>
      <c r="IGZ8" s="3434"/>
      <c r="IHA8" s="3434"/>
      <c r="IHB8" s="3434"/>
      <c r="IHC8" s="3434"/>
      <c r="IHD8" s="3434"/>
      <c r="IHE8" s="3434"/>
      <c r="IHF8" s="3434"/>
      <c r="IHG8" s="3434"/>
      <c r="IHH8" s="3434"/>
      <c r="IHI8" s="3434"/>
      <c r="IHJ8" s="3434"/>
      <c r="IHK8" s="3434"/>
      <c r="IHL8" s="3434"/>
      <c r="IHM8" s="3434"/>
      <c r="IHN8" s="3434"/>
      <c r="IHO8" s="3434"/>
      <c r="IHP8" s="3434"/>
      <c r="IHQ8" s="3434"/>
      <c r="IHR8" s="3434"/>
      <c r="IHS8" s="3434"/>
      <c r="IHT8" s="3434"/>
      <c r="IHU8" s="3434"/>
      <c r="IHV8" s="3434"/>
      <c r="IHW8" s="3434"/>
      <c r="IHX8" s="3434"/>
      <c r="IHY8" s="3434"/>
      <c r="IHZ8" s="3434"/>
      <c r="IIA8" s="3434"/>
      <c r="IIB8" s="3434"/>
      <c r="IIC8" s="3434"/>
      <c r="IID8" s="3434"/>
      <c r="IIE8" s="3434"/>
      <c r="IIF8" s="3434"/>
      <c r="IIG8" s="3434"/>
      <c r="IIH8" s="3434"/>
      <c r="III8" s="3434"/>
      <c r="IIJ8" s="3434"/>
      <c r="IIK8" s="3434"/>
      <c r="IIL8" s="3434"/>
      <c r="IIM8" s="3434"/>
      <c r="IIN8" s="3434"/>
      <c r="IIO8" s="3434"/>
      <c r="IIP8" s="3434"/>
      <c r="IIQ8" s="3434"/>
      <c r="IIR8" s="3434"/>
      <c r="IIS8" s="3434"/>
      <c r="IIT8" s="3434"/>
      <c r="IIU8" s="3434"/>
      <c r="IIV8" s="3434"/>
      <c r="IIW8" s="3434"/>
      <c r="IIX8" s="3434"/>
      <c r="IIY8" s="3434"/>
      <c r="IIZ8" s="3434"/>
      <c r="IJA8" s="3434"/>
      <c r="IJB8" s="3434"/>
      <c r="IJC8" s="3434"/>
      <c r="IJD8" s="3434"/>
      <c r="IJE8" s="3434"/>
      <c r="IJF8" s="3434"/>
      <c r="IJG8" s="3434"/>
      <c r="IJH8" s="3434"/>
      <c r="IJI8" s="3434"/>
      <c r="IJJ8" s="3434"/>
      <c r="IJK8" s="3434"/>
      <c r="IJL8" s="3434"/>
      <c r="IJM8" s="3434"/>
      <c r="IJN8" s="3434"/>
      <c r="IJO8" s="3434"/>
      <c r="IJP8" s="3434"/>
      <c r="IJQ8" s="3434"/>
      <c r="IJR8" s="3434"/>
      <c r="IJS8" s="3434"/>
      <c r="IJT8" s="3434"/>
      <c r="IJU8" s="3434"/>
      <c r="IJV8" s="3434"/>
      <c r="IJW8" s="3434"/>
      <c r="IJX8" s="3434"/>
      <c r="IJY8" s="3434"/>
      <c r="IJZ8" s="3434"/>
      <c r="IKA8" s="3434"/>
      <c r="IKB8" s="3434"/>
      <c r="IKC8" s="3434"/>
      <c r="IKD8" s="3434"/>
      <c r="IKE8" s="3434"/>
      <c r="IKF8" s="3434"/>
      <c r="IKG8" s="3434"/>
      <c r="IKH8" s="3434"/>
      <c r="IKI8" s="3434"/>
      <c r="IKJ8" s="3434"/>
      <c r="IKK8" s="3434"/>
      <c r="IKL8" s="3434"/>
      <c r="IKM8" s="3434"/>
      <c r="IKN8" s="3434"/>
      <c r="IKO8" s="3434"/>
      <c r="IKP8" s="3434"/>
      <c r="IKQ8" s="3434"/>
      <c r="IKR8" s="3434"/>
      <c r="IKS8" s="3434"/>
      <c r="IKT8" s="3434"/>
      <c r="IKU8" s="3434"/>
      <c r="IKV8" s="3434"/>
      <c r="IKW8" s="3434"/>
      <c r="IKX8" s="3434"/>
      <c r="IKY8" s="3434"/>
      <c r="IKZ8" s="3434"/>
      <c r="ILA8" s="3434"/>
      <c r="ILB8" s="3434"/>
      <c r="ILC8" s="3434"/>
      <c r="ILD8" s="3434"/>
      <c r="ILE8" s="3434"/>
      <c r="ILF8" s="3434"/>
      <c r="ILG8" s="3434"/>
      <c r="ILH8" s="3434"/>
      <c r="ILI8" s="3434"/>
      <c r="ILJ8" s="3434"/>
      <c r="ILK8" s="3434"/>
      <c r="ILL8" s="3434"/>
      <c r="ILM8" s="3434"/>
      <c r="ILN8" s="3434"/>
      <c r="ILO8" s="3434"/>
      <c r="ILP8" s="3434"/>
      <c r="ILQ8" s="3434"/>
      <c r="ILR8" s="3434"/>
      <c r="ILS8" s="3434"/>
      <c r="ILT8" s="3434"/>
      <c r="ILU8" s="3434"/>
      <c r="ILV8" s="3434"/>
      <c r="ILW8" s="3434"/>
      <c r="ILX8" s="3434"/>
      <c r="ILY8" s="3434"/>
      <c r="ILZ8" s="3434"/>
      <c r="IMA8" s="3434"/>
      <c r="IMB8" s="3434"/>
      <c r="IMC8" s="3434"/>
      <c r="IMD8" s="3434"/>
      <c r="IME8" s="3434"/>
      <c r="IMF8" s="3434"/>
      <c r="IMG8" s="3434"/>
      <c r="IMH8" s="3434"/>
      <c r="IMI8" s="3434"/>
      <c r="IMJ8" s="3434"/>
      <c r="IMK8" s="3434"/>
      <c r="IML8" s="3434"/>
      <c r="IMM8" s="3434"/>
      <c r="IMN8" s="3434"/>
      <c r="IMO8" s="3434"/>
      <c r="IMP8" s="3434"/>
      <c r="IMQ8" s="3434"/>
      <c r="IMR8" s="3434"/>
      <c r="IMS8" s="3434"/>
      <c r="IMT8" s="3434"/>
      <c r="IMU8" s="3434"/>
      <c r="IMV8" s="3434"/>
      <c r="IMW8" s="3434"/>
      <c r="IMX8" s="3434"/>
      <c r="IMY8" s="3434"/>
      <c r="IMZ8" s="3434"/>
      <c r="INA8" s="3434"/>
      <c r="INB8" s="3434"/>
      <c r="INC8" s="3434"/>
      <c r="IND8" s="3434"/>
      <c r="INE8" s="3434"/>
      <c r="INF8" s="3434"/>
      <c r="ING8" s="3434"/>
      <c r="INH8" s="3434"/>
      <c r="INI8" s="3434"/>
      <c r="INJ8" s="3434"/>
      <c r="INK8" s="3434"/>
      <c r="INL8" s="3434"/>
      <c r="INM8" s="3434"/>
      <c r="INN8" s="3434"/>
      <c r="INO8" s="3434"/>
      <c r="INP8" s="3434"/>
      <c r="INQ8" s="3434"/>
      <c r="INR8" s="3434"/>
      <c r="INS8" s="3434"/>
      <c r="INT8" s="3434"/>
      <c r="INU8" s="3434"/>
      <c r="INV8" s="3434"/>
      <c r="INW8" s="3434"/>
      <c r="INX8" s="3434"/>
      <c r="INY8" s="3434"/>
      <c r="INZ8" s="3434"/>
      <c r="IOA8" s="3434"/>
      <c r="IOB8" s="3434"/>
      <c r="IOC8" s="3434"/>
      <c r="IOD8" s="3434"/>
      <c r="IOE8" s="3434"/>
      <c r="IOF8" s="3434"/>
      <c r="IOG8" s="3434"/>
      <c r="IOH8" s="3434"/>
      <c r="IOI8" s="3434"/>
      <c r="IOJ8" s="3434"/>
      <c r="IOK8" s="3434"/>
      <c r="IOL8" s="3434"/>
      <c r="IOM8" s="3434"/>
      <c r="ION8" s="3434"/>
      <c r="IOO8" s="3434"/>
      <c r="IOP8" s="3434"/>
      <c r="IOQ8" s="3434"/>
      <c r="IOR8" s="3434"/>
      <c r="IOS8" s="3434"/>
      <c r="IOT8" s="3434"/>
      <c r="IOU8" s="3434"/>
      <c r="IOV8" s="3434"/>
      <c r="IOW8" s="3434"/>
      <c r="IOX8" s="3434"/>
      <c r="IOY8" s="3434"/>
      <c r="IOZ8" s="3434"/>
      <c r="IPA8" s="3434"/>
      <c r="IPB8" s="3434"/>
      <c r="IPC8" s="3434"/>
      <c r="IPD8" s="3434"/>
      <c r="IPE8" s="3434"/>
      <c r="IPF8" s="3434"/>
      <c r="IPG8" s="3434"/>
      <c r="IPH8" s="3434"/>
      <c r="IPI8" s="3434"/>
      <c r="IPJ8" s="3434"/>
      <c r="IPK8" s="3434"/>
      <c r="IPL8" s="3434"/>
      <c r="IPM8" s="3434"/>
      <c r="IPN8" s="3434"/>
      <c r="IPO8" s="3434"/>
      <c r="IPP8" s="3434"/>
      <c r="IPQ8" s="3434"/>
      <c r="IPR8" s="3434"/>
      <c r="IPS8" s="3434"/>
      <c r="IPT8" s="3434"/>
      <c r="IPU8" s="3434"/>
      <c r="IPV8" s="3434"/>
      <c r="IPW8" s="3434"/>
      <c r="IPX8" s="3434"/>
      <c r="IPY8" s="3434"/>
      <c r="IPZ8" s="3434"/>
      <c r="IQA8" s="3434"/>
      <c r="IQB8" s="3434"/>
      <c r="IQC8" s="3434"/>
      <c r="IQD8" s="3434"/>
      <c r="IQE8" s="3434"/>
      <c r="IQF8" s="3434"/>
      <c r="IQG8" s="3434"/>
      <c r="IQH8" s="3434"/>
      <c r="IQI8" s="3434"/>
      <c r="IQJ8" s="3434"/>
      <c r="IQK8" s="3434"/>
      <c r="IQL8" s="3434"/>
      <c r="IQM8" s="3434"/>
      <c r="IQN8" s="3434"/>
      <c r="IQO8" s="3434"/>
      <c r="IQP8" s="3434"/>
      <c r="IQQ8" s="3434"/>
      <c r="IQR8" s="3434"/>
      <c r="IQS8" s="3434"/>
      <c r="IQT8" s="3434"/>
      <c r="IQU8" s="3434"/>
      <c r="IQV8" s="3434"/>
      <c r="IQW8" s="3434"/>
      <c r="IQX8" s="3434"/>
      <c r="IQY8" s="3434"/>
      <c r="IQZ8" s="3434"/>
      <c r="IRA8" s="3434"/>
      <c r="IRB8" s="3434"/>
      <c r="IRC8" s="3434"/>
      <c r="IRD8" s="3434"/>
      <c r="IRE8" s="3434"/>
      <c r="IRF8" s="3434"/>
      <c r="IRG8" s="3434"/>
      <c r="IRH8" s="3434"/>
      <c r="IRI8" s="3434"/>
      <c r="IRJ8" s="3434"/>
      <c r="IRK8" s="3434"/>
      <c r="IRL8" s="3434"/>
      <c r="IRM8" s="3434"/>
      <c r="IRN8" s="3434"/>
      <c r="IRO8" s="3434"/>
      <c r="IRP8" s="3434"/>
      <c r="IRQ8" s="3434"/>
      <c r="IRR8" s="3434"/>
      <c r="IRS8" s="3434"/>
      <c r="IRT8" s="3434"/>
      <c r="IRU8" s="3434"/>
      <c r="IRV8" s="3434"/>
      <c r="IRW8" s="3434"/>
      <c r="IRX8" s="3434"/>
      <c r="IRY8" s="3434"/>
      <c r="IRZ8" s="3434"/>
      <c r="ISA8" s="3434"/>
      <c r="ISB8" s="3434"/>
      <c r="ISC8" s="3434"/>
      <c r="ISD8" s="3434"/>
      <c r="ISE8" s="3434"/>
      <c r="ISF8" s="3434"/>
      <c r="ISG8" s="3434"/>
      <c r="ISH8" s="3434"/>
      <c r="ISI8" s="3434"/>
      <c r="ISJ8" s="3434"/>
      <c r="ISK8" s="3434"/>
      <c r="ISL8" s="3434"/>
      <c r="ISM8" s="3434"/>
      <c r="ISN8" s="3434"/>
      <c r="ISO8" s="3434"/>
      <c r="ISP8" s="3434"/>
      <c r="ISQ8" s="3434"/>
      <c r="ISR8" s="3434"/>
      <c r="ISS8" s="3434"/>
      <c r="IST8" s="3434"/>
      <c r="ISU8" s="3434"/>
      <c r="ISV8" s="3434"/>
      <c r="ISW8" s="3434"/>
      <c r="ISX8" s="3434"/>
      <c r="ISY8" s="3434"/>
      <c r="ISZ8" s="3434"/>
      <c r="ITA8" s="3434"/>
      <c r="ITB8" s="3434"/>
      <c r="ITC8" s="3434"/>
      <c r="ITD8" s="3434"/>
      <c r="ITE8" s="3434"/>
      <c r="ITF8" s="3434"/>
      <c r="ITG8" s="3434"/>
      <c r="ITH8" s="3434"/>
      <c r="ITI8" s="3434"/>
      <c r="ITJ8" s="3434"/>
      <c r="ITK8" s="3434"/>
      <c r="ITL8" s="3434"/>
      <c r="ITM8" s="3434"/>
      <c r="ITN8" s="3434"/>
      <c r="ITO8" s="3434"/>
      <c r="ITP8" s="3434"/>
      <c r="ITQ8" s="3434"/>
      <c r="ITR8" s="3434"/>
      <c r="ITS8" s="3434"/>
      <c r="ITT8" s="3434"/>
      <c r="ITU8" s="3434"/>
      <c r="ITV8" s="3434"/>
      <c r="ITW8" s="3434"/>
      <c r="ITX8" s="3434"/>
      <c r="ITY8" s="3434"/>
      <c r="ITZ8" s="3434"/>
      <c r="IUA8" s="3434"/>
      <c r="IUB8" s="3434"/>
      <c r="IUC8" s="3434"/>
      <c r="IUD8" s="3434"/>
      <c r="IUE8" s="3434"/>
      <c r="IUF8" s="3434"/>
      <c r="IUG8" s="3434"/>
      <c r="IUH8" s="3434"/>
      <c r="IUI8" s="3434"/>
      <c r="IUJ8" s="3434"/>
      <c r="IUK8" s="3434"/>
      <c r="IUL8" s="3434"/>
      <c r="IUM8" s="3434"/>
      <c r="IUN8" s="3434"/>
      <c r="IUO8" s="3434"/>
      <c r="IUP8" s="3434"/>
      <c r="IUQ8" s="3434"/>
      <c r="IUR8" s="3434"/>
      <c r="IUS8" s="3434"/>
      <c r="IUT8" s="3434"/>
      <c r="IUU8" s="3434"/>
      <c r="IUV8" s="3434"/>
      <c r="IUW8" s="3434"/>
      <c r="IUX8" s="3434"/>
      <c r="IUY8" s="3434"/>
      <c r="IUZ8" s="3434"/>
      <c r="IVA8" s="3434"/>
      <c r="IVB8" s="3434"/>
      <c r="IVC8" s="3434"/>
      <c r="IVD8" s="3434"/>
      <c r="IVE8" s="3434"/>
      <c r="IVF8" s="3434"/>
      <c r="IVG8" s="3434"/>
      <c r="IVH8" s="3434"/>
      <c r="IVI8" s="3434"/>
      <c r="IVJ8" s="3434"/>
      <c r="IVK8" s="3434"/>
      <c r="IVL8" s="3434"/>
      <c r="IVM8" s="3434"/>
      <c r="IVN8" s="3434"/>
      <c r="IVO8" s="3434"/>
      <c r="IVP8" s="3434"/>
      <c r="IVQ8" s="3434"/>
      <c r="IVR8" s="3434"/>
      <c r="IVS8" s="3434"/>
      <c r="IVT8" s="3434"/>
      <c r="IVU8" s="3434"/>
      <c r="IVV8" s="3434"/>
      <c r="IVW8" s="3434"/>
      <c r="IVX8" s="3434"/>
      <c r="IVY8" s="3434"/>
      <c r="IVZ8" s="3434"/>
      <c r="IWA8" s="3434"/>
      <c r="IWB8" s="3434"/>
      <c r="IWC8" s="3434"/>
      <c r="IWD8" s="3434"/>
      <c r="IWE8" s="3434"/>
      <c r="IWF8" s="3434"/>
      <c r="IWG8" s="3434"/>
      <c r="IWH8" s="3434"/>
      <c r="IWI8" s="3434"/>
      <c r="IWJ8" s="3434"/>
      <c r="IWK8" s="3434"/>
      <c r="IWL8" s="3434"/>
      <c r="IWM8" s="3434"/>
      <c r="IWN8" s="3434"/>
      <c r="IWO8" s="3434"/>
      <c r="IWP8" s="3434"/>
      <c r="IWQ8" s="3434"/>
      <c r="IWR8" s="3434"/>
      <c r="IWS8" s="3434"/>
      <c r="IWT8" s="3434"/>
      <c r="IWU8" s="3434"/>
      <c r="IWV8" s="3434"/>
      <c r="IWW8" s="3434"/>
      <c r="IWX8" s="3434"/>
      <c r="IWY8" s="3434"/>
      <c r="IWZ8" s="3434"/>
      <c r="IXA8" s="3434"/>
      <c r="IXB8" s="3434"/>
      <c r="IXC8" s="3434"/>
      <c r="IXD8" s="3434"/>
      <c r="IXE8" s="3434"/>
      <c r="IXF8" s="3434"/>
      <c r="IXG8" s="3434"/>
      <c r="IXH8" s="3434"/>
      <c r="IXI8" s="3434"/>
      <c r="IXJ8" s="3434"/>
      <c r="IXK8" s="3434"/>
      <c r="IXL8" s="3434"/>
      <c r="IXM8" s="3434"/>
      <c r="IXN8" s="3434"/>
      <c r="IXO8" s="3434"/>
      <c r="IXP8" s="3434"/>
      <c r="IXQ8" s="3434"/>
      <c r="IXR8" s="3434"/>
      <c r="IXS8" s="3434"/>
      <c r="IXT8" s="3434"/>
      <c r="IXU8" s="3434"/>
      <c r="IXV8" s="3434"/>
      <c r="IXW8" s="3434"/>
      <c r="IXX8" s="3434"/>
      <c r="IXY8" s="3434"/>
      <c r="IXZ8" s="3434"/>
      <c r="IYA8" s="3434"/>
      <c r="IYB8" s="3434"/>
      <c r="IYC8" s="3434"/>
      <c r="IYD8" s="3434"/>
      <c r="IYE8" s="3434"/>
      <c r="IYF8" s="3434"/>
      <c r="IYG8" s="3434"/>
      <c r="IYH8" s="3434"/>
      <c r="IYI8" s="3434"/>
      <c r="IYJ8" s="3434"/>
      <c r="IYK8" s="3434"/>
      <c r="IYL8" s="3434"/>
      <c r="IYM8" s="3434"/>
      <c r="IYN8" s="3434"/>
      <c r="IYO8" s="3434"/>
      <c r="IYP8" s="3434"/>
      <c r="IYQ8" s="3434"/>
      <c r="IYR8" s="3434"/>
      <c r="IYS8" s="3434"/>
      <c r="IYT8" s="3434"/>
      <c r="IYU8" s="3434"/>
      <c r="IYV8" s="3434"/>
      <c r="IYW8" s="3434"/>
      <c r="IYX8" s="3434"/>
      <c r="IYY8" s="3434"/>
      <c r="IYZ8" s="3434"/>
      <c r="IZA8" s="3434"/>
      <c r="IZB8" s="3434"/>
      <c r="IZC8" s="3434"/>
      <c r="IZD8" s="3434"/>
      <c r="IZE8" s="3434"/>
      <c r="IZF8" s="3434"/>
      <c r="IZG8" s="3434"/>
      <c r="IZH8" s="3434"/>
      <c r="IZI8" s="3434"/>
      <c r="IZJ8" s="3434"/>
      <c r="IZK8" s="3434"/>
      <c r="IZL8" s="3434"/>
      <c r="IZM8" s="3434"/>
      <c r="IZN8" s="3434"/>
      <c r="IZO8" s="3434"/>
      <c r="IZP8" s="3434"/>
      <c r="IZQ8" s="3434"/>
      <c r="IZR8" s="3434"/>
      <c r="IZS8" s="3434"/>
      <c r="IZT8" s="3434"/>
      <c r="IZU8" s="3434"/>
      <c r="IZV8" s="3434"/>
      <c r="IZW8" s="3434"/>
      <c r="IZX8" s="3434"/>
      <c r="IZY8" s="3434"/>
      <c r="IZZ8" s="3434"/>
      <c r="JAA8" s="3434"/>
      <c r="JAB8" s="3434"/>
      <c r="JAC8" s="3434"/>
      <c r="JAD8" s="3434"/>
      <c r="JAE8" s="3434"/>
      <c r="JAF8" s="3434"/>
      <c r="JAG8" s="3434"/>
      <c r="JAH8" s="3434"/>
      <c r="JAI8" s="3434"/>
      <c r="JAJ8" s="3434"/>
      <c r="JAK8" s="3434"/>
      <c r="JAL8" s="3434"/>
      <c r="JAM8" s="3434"/>
      <c r="JAN8" s="3434"/>
      <c r="JAO8" s="3434"/>
      <c r="JAP8" s="3434"/>
      <c r="JAQ8" s="3434"/>
      <c r="JAR8" s="3434"/>
      <c r="JAS8" s="3434"/>
      <c r="JAT8" s="3434"/>
      <c r="JAU8" s="3434"/>
      <c r="JAV8" s="3434"/>
      <c r="JAW8" s="3434"/>
      <c r="JAX8" s="3434"/>
      <c r="JAY8" s="3434"/>
      <c r="JAZ8" s="3434"/>
      <c r="JBA8" s="3434"/>
      <c r="JBB8" s="3434"/>
      <c r="JBC8" s="3434"/>
      <c r="JBD8" s="3434"/>
      <c r="JBE8" s="3434"/>
      <c r="JBF8" s="3434"/>
      <c r="JBG8" s="3434"/>
      <c r="JBH8" s="3434"/>
      <c r="JBI8" s="3434"/>
      <c r="JBJ8" s="3434"/>
      <c r="JBK8" s="3434"/>
      <c r="JBL8" s="3434"/>
      <c r="JBM8" s="3434"/>
      <c r="JBN8" s="3434"/>
      <c r="JBO8" s="3434"/>
      <c r="JBP8" s="3434"/>
      <c r="JBQ8" s="3434"/>
      <c r="JBR8" s="3434"/>
      <c r="JBS8" s="3434"/>
      <c r="JBT8" s="3434"/>
      <c r="JBU8" s="3434"/>
      <c r="JBV8" s="3434"/>
      <c r="JBW8" s="3434"/>
      <c r="JBX8" s="3434"/>
      <c r="JBY8" s="3434"/>
      <c r="JBZ8" s="3434"/>
      <c r="JCA8" s="3434"/>
      <c r="JCB8" s="3434"/>
      <c r="JCC8" s="3434"/>
      <c r="JCD8" s="3434"/>
      <c r="JCE8" s="3434"/>
      <c r="JCF8" s="3434"/>
      <c r="JCG8" s="3434"/>
      <c r="JCH8" s="3434"/>
      <c r="JCI8" s="3434"/>
      <c r="JCJ8" s="3434"/>
      <c r="JCK8" s="3434"/>
      <c r="JCL8" s="3434"/>
      <c r="JCM8" s="3434"/>
      <c r="JCN8" s="3434"/>
      <c r="JCO8" s="3434"/>
      <c r="JCP8" s="3434"/>
      <c r="JCQ8" s="3434"/>
      <c r="JCR8" s="3434"/>
      <c r="JCS8" s="3434"/>
      <c r="JCT8" s="3434"/>
      <c r="JCU8" s="3434"/>
      <c r="JCV8" s="3434"/>
      <c r="JCW8" s="3434"/>
      <c r="JCX8" s="3434"/>
      <c r="JCY8" s="3434"/>
      <c r="JCZ8" s="3434"/>
      <c r="JDA8" s="3434"/>
      <c r="JDB8" s="3434"/>
      <c r="JDC8" s="3434"/>
      <c r="JDD8" s="3434"/>
      <c r="JDE8" s="3434"/>
      <c r="JDF8" s="3434"/>
      <c r="JDG8" s="3434"/>
      <c r="JDH8" s="3434"/>
      <c r="JDI8" s="3434"/>
      <c r="JDJ8" s="3434"/>
      <c r="JDK8" s="3434"/>
      <c r="JDL8" s="3434"/>
      <c r="JDM8" s="3434"/>
      <c r="JDN8" s="3434"/>
      <c r="JDO8" s="3434"/>
      <c r="JDP8" s="3434"/>
      <c r="JDQ8" s="3434"/>
      <c r="JDR8" s="3434"/>
      <c r="JDS8" s="3434"/>
      <c r="JDT8" s="3434"/>
      <c r="JDU8" s="3434"/>
      <c r="JDV8" s="3434"/>
      <c r="JDW8" s="3434"/>
      <c r="JDX8" s="3434"/>
      <c r="JDY8" s="3434"/>
      <c r="JDZ8" s="3434"/>
      <c r="JEA8" s="3434"/>
      <c r="JEB8" s="3434"/>
      <c r="JEC8" s="3434"/>
      <c r="JED8" s="3434"/>
      <c r="JEE8" s="3434"/>
      <c r="JEF8" s="3434"/>
      <c r="JEG8" s="3434"/>
      <c r="JEH8" s="3434"/>
      <c r="JEI8" s="3434"/>
      <c r="JEJ8" s="3434"/>
      <c r="JEK8" s="3434"/>
      <c r="JEL8" s="3434"/>
      <c r="JEM8" s="3434"/>
      <c r="JEN8" s="3434"/>
      <c r="JEO8" s="3434"/>
      <c r="JEP8" s="3434"/>
      <c r="JEQ8" s="3434"/>
      <c r="JER8" s="3434"/>
      <c r="JES8" s="3434"/>
      <c r="JET8" s="3434"/>
      <c r="JEU8" s="3434"/>
      <c r="JEV8" s="3434"/>
      <c r="JEW8" s="3434"/>
      <c r="JEX8" s="3434"/>
      <c r="JEY8" s="3434"/>
      <c r="JEZ8" s="3434"/>
      <c r="JFA8" s="3434"/>
      <c r="JFB8" s="3434"/>
      <c r="JFC8" s="3434"/>
      <c r="JFD8" s="3434"/>
      <c r="JFE8" s="3434"/>
      <c r="JFF8" s="3434"/>
      <c r="JFG8" s="3434"/>
      <c r="JFH8" s="3434"/>
      <c r="JFI8" s="3434"/>
      <c r="JFJ8" s="3434"/>
      <c r="JFK8" s="3434"/>
      <c r="JFL8" s="3434"/>
      <c r="JFM8" s="3434"/>
      <c r="JFN8" s="3434"/>
      <c r="JFO8" s="3434"/>
      <c r="JFP8" s="3434"/>
      <c r="JFQ8" s="3434"/>
      <c r="JFR8" s="3434"/>
      <c r="JFS8" s="3434"/>
      <c r="JFT8" s="3434"/>
      <c r="JFU8" s="3434"/>
      <c r="JFV8" s="3434"/>
      <c r="JFW8" s="3434"/>
      <c r="JFX8" s="3434"/>
      <c r="JFY8" s="3434"/>
      <c r="JFZ8" s="3434"/>
      <c r="JGA8" s="3434"/>
      <c r="JGB8" s="3434"/>
      <c r="JGC8" s="3434"/>
      <c r="JGD8" s="3434"/>
      <c r="JGE8" s="3434"/>
      <c r="JGF8" s="3434"/>
      <c r="JGG8" s="3434"/>
      <c r="JGH8" s="3434"/>
      <c r="JGI8" s="3434"/>
      <c r="JGJ8" s="3434"/>
      <c r="JGK8" s="3434"/>
      <c r="JGL8" s="3434"/>
      <c r="JGM8" s="3434"/>
      <c r="JGN8" s="3434"/>
      <c r="JGO8" s="3434"/>
      <c r="JGP8" s="3434"/>
      <c r="JGQ8" s="3434"/>
      <c r="JGR8" s="3434"/>
      <c r="JGS8" s="3434"/>
      <c r="JGT8" s="3434"/>
      <c r="JGU8" s="3434"/>
      <c r="JGV8" s="3434"/>
      <c r="JGW8" s="3434"/>
      <c r="JGX8" s="3434"/>
      <c r="JGY8" s="3434"/>
      <c r="JGZ8" s="3434"/>
      <c r="JHA8" s="3434"/>
      <c r="JHB8" s="3434"/>
      <c r="JHC8" s="3434"/>
      <c r="JHD8" s="3434"/>
      <c r="JHE8" s="3434"/>
      <c r="JHF8" s="3434"/>
      <c r="JHG8" s="3434"/>
      <c r="JHH8" s="3434"/>
      <c r="JHI8" s="3434"/>
      <c r="JHJ8" s="3434"/>
      <c r="JHK8" s="3434"/>
      <c r="JHL8" s="3434"/>
      <c r="JHM8" s="3434"/>
      <c r="JHN8" s="3434"/>
      <c r="JHO8" s="3434"/>
      <c r="JHP8" s="3434"/>
      <c r="JHQ8" s="3434"/>
      <c r="JHR8" s="3434"/>
      <c r="JHS8" s="3434"/>
      <c r="JHT8" s="3434"/>
      <c r="JHU8" s="3434"/>
      <c r="JHV8" s="3434"/>
      <c r="JHW8" s="3434"/>
      <c r="JHX8" s="3434"/>
      <c r="JHY8" s="3434"/>
      <c r="JHZ8" s="3434"/>
      <c r="JIA8" s="3434"/>
      <c r="JIB8" s="3434"/>
      <c r="JIC8" s="3434"/>
      <c r="JID8" s="3434"/>
      <c r="JIE8" s="3434"/>
      <c r="JIF8" s="3434"/>
      <c r="JIG8" s="3434"/>
      <c r="JIH8" s="3434"/>
      <c r="JII8" s="3434"/>
      <c r="JIJ8" s="3434"/>
      <c r="JIK8" s="3434"/>
      <c r="JIL8" s="3434"/>
      <c r="JIM8" s="3434"/>
      <c r="JIN8" s="3434"/>
      <c r="JIO8" s="3434"/>
      <c r="JIP8" s="3434"/>
      <c r="JIQ8" s="3434"/>
      <c r="JIR8" s="3434"/>
      <c r="JIS8" s="3434"/>
      <c r="JIT8" s="3434"/>
      <c r="JIU8" s="3434"/>
      <c r="JIV8" s="3434"/>
      <c r="JIW8" s="3434"/>
      <c r="JIX8" s="3434"/>
      <c r="JIY8" s="3434"/>
      <c r="JIZ8" s="3434"/>
      <c r="JJA8" s="3434"/>
      <c r="JJB8" s="3434"/>
      <c r="JJC8" s="3434"/>
      <c r="JJD8" s="3434"/>
      <c r="JJE8" s="3434"/>
      <c r="JJF8" s="3434"/>
      <c r="JJG8" s="3434"/>
      <c r="JJH8" s="3434"/>
      <c r="JJI8" s="3434"/>
      <c r="JJJ8" s="3434"/>
      <c r="JJK8" s="3434"/>
      <c r="JJL8" s="3434"/>
      <c r="JJM8" s="3434"/>
      <c r="JJN8" s="3434"/>
      <c r="JJO8" s="3434"/>
      <c r="JJP8" s="3434"/>
      <c r="JJQ8" s="3434"/>
      <c r="JJR8" s="3434"/>
      <c r="JJS8" s="3434"/>
      <c r="JJT8" s="3434"/>
      <c r="JJU8" s="3434"/>
      <c r="JJV8" s="3434"/>
      <c r="JJW8" s="3434"/>
      <c r="JJX8" s="3434"/>
      <c r="JJY8" s="3434"/>
      <c r="JJZ8" s="3434"/>
      <c r="JKA8" s="3434"/>
      <c r="JKB8" s="3434"/>
      <c r="JKC8" s="3434"/>
      <c r="JKD8" s="3434"/>
      <c r="JKE8" s="3434"/>
      <c r="JKF8" s="3434"/>
      <c r="JKG8" s="3434"/>
      <c r="JKH8" s="3434"/>
      <c r="JKI8" s="3434"/>
      <c r="JKJ8" s="3434"/>
      <c r="JKK8" s="3434"/>
      <c r="JKL8" s="3434"/>
      <c r="JKM8" s="3434"/>
      <c r="JKN8" s="3434"/>
      <c r="JKO8" s="3434"/>
      <c r="JKP8" s="3434"/>
      <c r="JKQ8" s="3434"/>
      <c r="JKR8" s="3434"/>
      <c r="JKS8" s="3434"/>
      <c r="JKT8" s="3434"/>
      <c r="JKU8" s="3434"/>
      <c r="JKV8" s="3434"/>
      <c r="JKW8" s="3434"/>
      <c r="JKX8" s="3434"/>
      <c r="JKY8" s="3434"/>
      <c r="JKZ8" s="3434"/>
      <c r="JLA8" s="3434"/>
      <c r="JLB8" s="3434"/>
      <c r="JLC8" s="3434"/>
      <c r="JLD8" s="3434"/>
      <c r="JLE8" s="3434"/>
      <c r="JLF8" s="3434"/>
      <c r="JLG8" s="3434"/>
      <c r="JLH8" s="3434"/>
      <c r="JLI8" s="3434"/>
      <c r="JLJ8" s="3434"/>
      <c r="JLK8" s="3434"/>
      <c r="JLL8" s="3434"/>
      <c r="JLM8" s="3434"/>
      <c r="JLN8" s="3434"/>
      <c r="JLO8" s="3434"/>
      <c r="JLP8" s="3434"/>
      <c r="JLQ8" s="3434"/>
      <c r="JLR8" s="3434"/>
      <c r="JLS8" s="3434"/>
      <c r="JLT8" s="3434"/>
      <c r="JLU8" s="3434"/>
      <c r="JLV8" s="3434"/>
      <c r="JLW8" s="3434"/>
      <c r="JLX8" s="3434"/>
      <c r="JLY8" s="3434"/>
      <c r="JLZ8" s="3434"/>
      <c r="JMA8" s="3434"/>
      <c r="JMB8" s="3434"/>
      <c r="JMC8" s="3434"/>
      <c r="JMD8" s="3434"/>
      <c r="JME8" s="3434"/>
      <c r="JMF8" s="3434"/>
      <c r="JMG8" s="3434"/>
      <c r="JMH8" s="3434"/>
      <c r="JMI8" s="3434"/>
      <c r="JMJ8" s="3434"/>
      <c r="JMK8" s="3434"/>
      <c r="JML8" s="3434"/>
      <c r="JMM8" s="3434"/>
      <c r="JMN8" s="3434"/>
      <c r="JMO8" s="3434"/>
      <c r="JMP8" s="3434"/>
      <c r="JMQ8" s="3434"/>
      <c r="JMR8" s="3434"/>
      <c r="JMS8" s="3434"/>
      <c r="JMT8" s="3434"/>
      <c r="JMU8" s="3434"/>
      <c r="JMV8" s="3434"/>
      <c r="JMW8" s="3434"/>
      <c r="JMX8" s="3434"/>
      <c r="JMY8" s="3434"/>
      <c r="JMZ8" s="3434"/>
      <c r="JNA8" s="3434"/>
      <c r="JNB8" s="3434"/>
      <c r="JNC8" s="3434"/>
      <c r="JND8" s="3434"/>
      <c r="JNE8" s="3434"/>
      <c r="JNF8" s="3434"/>
      <c r="JNG8" s="3434"/>
      <c r="JNH8" s="3434"/>
      <c r="JNI8" s="3434"/>
      <c r="JNJ8" s="3434"/>
      <c r="JNK8" s="3434"/>
      <c r="JNL8" s="3434"/>
      <c r="JNM8" s="3434"/>
      <c r="JNN8" s="3434"/>
      <c r="JNO8" s="3434"/>
      <c r="JNP8" s="3434"/>
      <c r="JNQ8" s="3434"/>
      <c r="JNR8" s="3434"/>
      <c r="JNS8" s="3434"/>
      <c r="JNT8" s="3434"/>
      <c r="JNU8" s="3434"/>
      <c r="JNV8" s="3434"/>
      <c r="JNW8" s="3434"/>
      <c r="JNX8" s="3434"/>
      <c r="JNY8" s="3434"/>
      <c r="JNZ8" s="3434"/>
      <c r="JOA8" s="3434"/>
      <c r="JOB8" s="3434"/>
      <c r="JOC8" s="3434"/>
      <c r="JOD8" s="3434"/>
      <c r="JOE8" s="3434"/>
      <c r="JOF8" s="3434"/>
      <c r="JOG8" s="3434"/>
      <c r="JOH8" s="3434"/>
      <c r="JOI8" s="3434"/>
      <c r="JOJ8" s="3434"/>
      <c r="JOK8" s="3434"/>
      <c r="JOL8" s="3434"/>
      <c r="JOM8" s="3434"/>
      <c r="JON8" s="3434"/>
      <c r="JOO8" s="3434"/>
      <c r="JOP8" s="3434"/>
      <c r="JOQ8" s="3434"/>
      <c r="JOR8" s="3434"/>
      <c r="JOS8" s="3434"/>
      <c r="JOT8" s="3434"/>
      <c r="JOU8" s="3434"/>
      <c r="JOV8" s="3434"/>
      <c r="JOW8" s="3434"/>
      <c r="JOX8" s="3434"/>
      <c r="JOY8" s="3434"/>
      <c r="JOZ8" s="3434"/>
      <c r="JPA8" s="3434"/>
      <c r="JPB8" s="3434"/>
      <c r="JPC8" s="3434"/>
      <c r="JPD8" s="3434"/>
      <c r="JPE8" s="3434"/>
      <c r="JPF8" s="3434"/>
      <c r="JPG8" s="3434"/>
      <c r="JPH8" s="3434"/>
      <c r="JPI8" s="3434"/>
      <c r="JPJ8" s="3434"/>
      <c r="JPK8" s="3434"/>
      <c r="JPL8" s="3434"/>
      <c r="JPM8" s="3434"/>
      <c r="JPN8" s="3434"/>
      <c r="JPO8" s="3434"/>
      <c r="JPP8" s="3434"/>
      <c r="JPQ8" s="3434"/>
      <c r="JPR8" s="3434"/>
      <c r="JPS8" s="3434"/>
      <c r="JPT8" s="3434"/>
      <c r="JPU8" s="3434"/>
      <c r="JPV8" s="3434"/>
      <c r="JPW8" s="3434"/>
      <c r="JPX8" s="3434"/>
      <c r="JPY8" s="3434"/>
      <c r="JPZ8" s="3434"/>
      <c r="JQA8" s="3434"/>
      <c r="JQB8" s="3434"/>
      <c r="JQC8" s="3434"/>
      <c r="JQD8" s="3434"/>
      <c r="JQE8" s="3434"/>
      <c r="JQF8" s="3434"/>
      <c r="JQG8" s="3434"/>
      <c r="JQH8" s="3434"/>
      <c r="JQI8" s="3434"/>
      <c r="JQJ8" s="3434"/>
      <c r="JQK8" s="3434"/>
      <c r="JQL8" s="3434"/>
      <c r="JQM8" s="3434"/>
      <c r="JQN8" s="3434"/>
      <c r="JQO8" s="3434"/>
      <c r="JQP8" s="3434"/>
      <c r="JQQ8" s="3434"/>
      <c r="JQR8" s="3434"/>
      <c r="JQS8" s="3434"/>
      <c r="JQT8" s="3434"/>
      <c r="JQU8" s="3434"/>
      <c r="JQV8" s="3434"/>
      <c r="JQW8" s="3434"/>
      <c r="JQX8" s="3434"/>
      <c r="JQY8" s="3434"/>
      <c r="JQZ8" s="3434"/>
      <c r="JRA8" s="3434"/>
      <c r="JRB8" s="3434"/>
      <c r="JRC8" s="3434"/>
      <c r="JRD8" s="3434"/>
      <c r="JRE8" s="3434"/>
      <c r="JRF8" s="3434"/>
      <c r="JRG8" s="3434"/>
      <c r="JRH8" s="3434"/>
      <c r="JRI8" s="3434"/>
      <c r="JRJ8" s="3434"/>
      <c r="JRK8" s="3434"/>
      <c r="JRL8" s="3434"/>
      <c r="JRM8" s="3434"/>
      <c r="JRN8" s="3434"/>
      <c r="JRO8" s="3434"/>
      <c r="JRP8" s="3434"/>
      <c r="JRQ8" s="3434"/>
      <c r="JRR8" s="3434"/>
      <c r="JRS8" s="3434"/>
      <c r="JRT8" s="3434"/>
      <c r="JRU8" s="3434"/>
      <c r="JRV8" s="3434"/>
      <c r="JRW8" s="3434"/>
      <c r="JRX8" s="3434"/>
      <c r="JRY8" s="3434"/>
      <c r="JRZ8" s="3434"/>
      <c r="JSA8" s="3434"/>
      <c r="JSB8" s="3434"/>
      <c r="JSC8" s="3434"/>
      <c r="JSD8" s="3434"/>
      <c r="JSE8" s="3434"/>
      <c r="JSF8" s="3434"/>
      <c r="JSG8" s="3434"/>
      <c r="JSH8" s="3434"/>
      <c r="JSI8" s="3434"/>
      <c r="JSJ8" s="3434"/>
      <c r="JSK8" s="3434"/>
      <c r="JSL8" s="3434"/>
      <c r="JSM8" s="3434"/>
      <c r="JSN8" s="3434"/>
      <c r="JSO8" s="3434"/>
      <c r="JSP8" s="3434"/>
      <c r="JSQ8" s="3434"/>
      <c r="JSR8" s="3434"/>
      <c r="JSS8" s="3434"/>
      <c r="JST8" s="3434"/>
      <c r="JSU8" s="3434"/>
      <c r="JSV8" s="3434"/>
      <c r="JSW8" s="3434"/>
      <c r="JSX8" s="3434"/>
      <c r="JSY8" s="3434"/>
      <c r="JSZ8" s="3434"/>
      <c r="JTA8" s="3434"/>
      <c r="JTB8" s="3434"/>
      <c r="JTC8" s="3434"/>
      <c r="JTD8" s="3434"/>
      <c r="JTE8" s="3434"/>
      <c r="JTF8" s="3434"/>
      <c r="JTG8" s="3434"/>
      <c r="JTH8" s="3434"/>
      <c r="JTI8" s="3434"/>
      <c r="JTJ8" s="3434"/>
      <c r="JTK8" s="3434"/>
      <c r="JTL8" s="3434"/>
      <c r="JTM8" s="3434"/>
      <c r="JTN8" s="3434"/>
      <c r="JTO8" s="3434"/>
      <c r="JTP8" s="3434"/>
      <c r="JTQ8" s="3434"/>
      <c r="JTR8" s="3434"/>
      <c r="JTS8" s="3434"/>
      <c r="JTT8" s="3434"/>
      <c r="JTU8" s="3434"/>
      <c r="JTV8" s="3434"/>
      <c r="JTW8" s="3434"/>
      <c r="JTX8" s="3434"/>
      <c r="JTY8" s="3434"/>
      <c r="JTZ8" s="3434"/>
      <c r="JUA8" s="3434"/>
      <c r="JUB8" s="3434"/>
      <c r="JUC8" s="3434"/>
      <c r="JUD8" s="3434"/>
      <c r="JUE8" s="3434"/>
      <c r="JUF8" s="3434"/>
      <c r="JUG8" s="3434"/>
      <c r="JUH8" s="3434"/>
      <c r="JUI8" s="3434"/>
      <c r="JUJ8" s="3434"/>
      <c r="JUK8" s="3434"/>
      <c r="JUL8" s="3434"/>
      <c r="JUM8" s="3434"/>
      <c r="JUN8" s="3434"/>
      <c r="JUO8" s="3434"/>
      <c r="JUP8" s="3434"/>
      <c r="JUQ8" s="3434"/>
      <c r="JUR8" s="3434"/>
      <c r="JUS8" s="3434"/>
      <c r="JUT8" s="3434"/>
      <c r="JUU8" s="3434"/>
      <c r="JUV8" s="3434"/>
      <c r="JUW8" s="3434"/>
      <c r="JUX8" s="3434"/>
      <c r="JUY8" s="3434"/>
      <c r="JUZ8" s="3434"/>
      <c r="JVA8" s="3434"/>
      <c r="JVB8" s="3434"/>
      <c r="JVC8" s="3434"/>
      <c r="JVD8" s="3434"/>
      <c r="JVE8" s="3434"/>
      <c r="JVF8" s="3434"/>
      <c r="JVG8" s="3434"/>
      <c r="JVH8" s="3434"/>
      <c r="JVI8" s="3434"/>
      <c r="JVJ8" s="3434"/>
      <c r="JVK8" s="3434"/>
      <c r="JVL8" s="3434"/>
      <c r="JVM8" s="3434"/>
      <c r="JVN8" s="3434"/>
      <c r="JVO8" s="3434"/>
      <c r="JVP8" s="3434"/>
      <c r="JVQ8" s="3434"/>
      <c r="JVR8" s="3434"/>
      <c r="JVS8" s="3434"/>
      <c r="JVT8" s="3434"/>
      <c r="JVU8" s="3434"/>
      <c r="JVV8" s="3434"/>
      <c r="JVW8" s="3434"/>
      <c r="JVX8" s="3434"/>
      <c r="JVY8" s="3434"/>
      <c r="JVZ8" s="3434"/>
      <c r="JWA8" s="3434"/>
      <c r="JWB8" s="3434"/>
      <c r="JWC8" s="3434"/>
      <c r="JWD8" s="3434"/>
      <c r="JWE8" s="3434"/>
      <c r="JWF8" s="3434"/>
      <c r="JWG8" s="3434"/>
      <c r="JWH8" s="3434"/>
      <c r="JWI8" s="3434"/>
      <c r="JWJ8" s="3434"/>
      <c r="JWK8" s="3434"/>
      <c r="JWL8" s="3434"/>
      <c r="JWM8" s="3434"/>
      <c r="JWN8" s="3434"/>
      <c r="JWO8" s="3434"/>
      <c r="JWP8" s="3434"/>
      <c r="JWQ8" s="3434"/>
      <c r="JWR8" s="3434"/>
      <c r="JWS8" s="3434"/>
      <c r="JWT8" s="3434"/>
      <c r="JWU8" s="3434"/>
      <c r="JWV8" s="3434"/>
      <c r="JWW8" s="3434"/>
      <c r="JWX8" s="3434"/>
      <c r="JWY8" s="3434"/>
      <c r="JWZ8" s="3434"/>
      <c r="JXA8" s="3434"/>
      <c r="JXB8" s="3434"/>
      <c r="JXC8" s="3434"/>
      <c r="JXD8" s="3434"/>
      <c r="JXE8" s="3434"/>
      <c r="JXF8" s="3434"/>
      <c r="JXG8" s="3434"/>
      <c r="JXH8" s="3434"/>
      <c r="JXI8" s="3434"/>
      <c r="JXJ8" s="3434"/>
      <c r="JXK8" s="3434"/>
      <c r="JXL8" s="3434"/>
      <c r="JXM8" s="3434"/>
      <c r="JXN8" s="3434"/>
      <c r="JXO8" s="3434"/>
      <c r="JXP8" s="3434"/>
      <c r="JXQ8" s="3434"/>
      <c r="JXR8" s="3434"/>
      <c r="JXS8" s="3434"/>
      <c r="JXT8" s="3434"/>
      <c r="JXU8" s="3434"/>
      <c r="JXV8" s="3434"/>
      <c r="JXW8" s="3434"/>
      <c r="JXX8" s="3434"/>
      <c r="JXY8" s="3434"/>
      <c r="JXZ8" s="3434"/>
      <c r="JYA8" s="3434"/>
      <c r="JYB8" s="3434"/>
      <c r="JYC8" s="3434"/>
      <c r="JYD8" s="3434"/>
      <c r="JYE8" s="3434"/>
      <c r="JYF8" s="3434"/>
      <c r="JYG8" s="3434"/>
      <c r="JYH8" s="3434"/>
      <c r="JYI8" s="3434"/>
      <c r="JYJ8" s="3434"/>
      <c r="JYK8" s="3434"/>
      <c r="JYL8" s="3434"/>
      <c r="JYM8" s="3434"/>
      <c r="JYN8" s="3434"/>
      <c r="JYO8" s="3434"/>
      <c r="JYP8" s="3434"/>
      <c r="JYQ8" s="3434"/>
      <c r="JYR8" s="3434"/>
      <c r="JYS8" s="3434"/>
      <c r="JYT8" s="3434"/>
      <c r="JYU8" s="3434"/>
      <c r="JYV8" s="3434"/>
      <c r="JYW8" s="3434"/>
      <c r="JYX8" s="3434"/>
      <c r="JYY8" s="3434"/>
      <c r="JYZ8" s="3434"/>
      <c r="JZA8" s="3434"/>
      <c r="JZB8" s="3434"/>
      <c r="JZC8" s="3434"/>
      <c r="JZD8" s="3434"/>
      <c r="JZE8" s="3434"/>
      <c r="JZF8" s="3434"/>
      <c r="JZG8" s="3434"/>
      <c r="JZH8" s="3434"/>
      <c r="JZI8" s="3434"/>
      <c r="JZJ8" s="3434"/>
      <c r="JZK8" s="3434"/>
      <c r="JZL8" s="3434"/>
      <c r="JZM8" s="3434"/>
      <c r="JZN8" s="3434"/>
      <c r="JZO8" s="3434"/>
      <c r="JZP8" s="3434"/>
      <c r="JZQ8" s="3434"/>
      <c r="JZR8" s="3434"/>
      <c r="JZS8" s="3434"/>
      <c r="JZT8" s="3434"/>
      <c r="JZU8" s="3434"/>
      <c r="JZV8" s="3434"/>
      <c r="JZW8" s="3434"/>
      <c r="JZX8" s="3434"/>
      <c r="JZY8" s="3434"/>
      <c r="JZZ8" s="3434"/>
      <c r="KAA8" s="3434"/>
      <c r="KAB8" s="3434"/>
      <c r="KAC8" s="3434"/>
      <c r="KAD8" s="3434"/>
      <c r="KAE8" s="3434"/>
      <c r="KAF8" s="3434"/>
      <c r="KAG8" s="3434"/>
      <c r="KAH8" s="3434"/>
      <c r="KAI8" s="3434"/>
      <c r="KAJ8" s="3434"/>
      <c r="KAK8" s="3434"/>
      <c r="KAL8" s="3434"/>
      <c r="KAM8" s="3434"/>
      <c r="KAN8" s="3434"/>
      <c r="KAO8" s="3434"/>
      <c r="KAP8" s="3434"/>
      <c r="KAQ8" s="3434"/>
      <c r="KAR8" s="3434"/>
      <c r="KAS8" s="3434"/>
      <c r="KAT8" s="3434"/>
      <c r="KAU8" s="3434"/>
      <c r="KAV8" s="3434"/>
      <c r="KAW8" s="3434"/>
      <c r="KAX8" s="3434"/>
      <c r="KAY8" s="3434"/>
      <c r="KAZ8" s="3434"/>
      <c r="KBA8" s="3434"/>
      <c r="KBB8" s="3434"/>
      <c r="KBC8" s="3434"/>
      <c r="KBD8" s="3434"/>
      <c r="KBE8" s="3434"/>
      <c r="KBF8" s="3434"/>
      <c r="KBG8" s="3434"/>
      <c r="KBH8" s="3434"/>
      <c r="KBI8" s="3434"/>
      <c r="KBJ8" s="3434"/>
      <c r="KBK8" s="3434"/>
      <c r="KBL8" s="3434"/>
      <c r="KBM8" s="3434"/>
      <c r="KBN8" s="3434"/>
      <c r="KBO8" s="3434"/>
      <c r="KBP8" s="3434"/>
      <c r="KBQ8" s="3434"/>
      <c r="KBR8" s="3434"/>
      <c r="KBS8" s="3434"/>
      <c r="KBT8" s="3434"/>
      <c r="KBU8" s="3434"/>
      <c r="KBV8" s="3434"/>
      <c r="KBW8" s="3434"/>
      <c r="KBX8" s="3434"/>
      <c r="KBY8" s="3434"/>
      <c r="KBZ8" s="3434"/>
      <c r="KCA8" s="3434"/>
      <c r="KCB8" s="3434"/>
      <c r="KCC8" s="3434"/>
      <c r="KCD8" s="3434"/>
      <c r="KCE8" s="3434"/>
      <c r="KCF8" s="3434"/>
      <c r="KCG8" s="3434"/>
      <c r="KCH8" s="3434"/>
      <c r="KCI8" s="3434"/>
      <c r="KCJ8" s="3434"/>
      <c r="KCK8" s="3434"/>
      <c r="KCL8" s="3434"/>
      <c r="KCM8" s="3434"/>
      <c r="KCN8" s="3434"/>
      <c r="KCO8" s="3434"/>
      <c r="KCP8" s="3434"/>
      <c r="KCQ8" s="3434"/>
      <c r="KCR8" s="3434"/>
      <c r="KCS8" s="3434"/>
      <c r="KCT8" s="3434"/>
      <c r="KCU8" s="3434"/>
      <c r="KCV8" s="3434"/>
      <c r="KCW8" s="3434"/>
      <c r="KCX8" s="3434"/>
      <c r="KCY8" s="3434"/>
      <c r="KCZ8" s="3434"/>
      <c r="KDA8" s="3434"/>
      <c r="KDB8" s="3434"/>
      <c r="KDC8" s="3434"/>
      <c r="KDD8" s="3434"/>
      <c r="KDE8" s="3434"/>
      <c r="KDF8" s="3434"/>
      <c r="KDG8" s="3434"/>
      <c r="KDH8" s="3434"/>
      <c r="KDI8" s="3434"/>
      <c r="KDJ8" s="3434"/>
      <c r="KDK8" s="3434"/>
      <c r="KDL8" s="3434"/>
      <c r="KDM8" s="3434"/>
      <c r="KDN8" s="3434"/>
      <c r="KDO8" s="3434"/>
      <c r="KDP8" s="3434"/>
      <c r="KDQ8" s="3434"/>
      <c r="KDR8" s="3434"/>
      <c r="KDS8" s="3434"/>
      <c r="KDT8" s="3434"/>
      <c r="KDU8" s="3434"/>
      <c r="KDV8" s="3434"/>
      <c r="KDW8" s="3434"/>
      <c r="KDX8" s="3434"/>
      <c r="KDY8" s="3434"/>
      <c r="KDZ8" s="3434"/>
      <c r="KEA8" s="3434"/>
      <c r="KEB8" s="3434"/>
      <c r="KEC8" s="3434"/>
      <c r="KED8" s="3434"/>
      <c r="KEE8" s="3434"/>
      <c r="KEF8" s="3434"/>
      <c r="KEG8" s="3434"/>
      <c r="KEH8" s="3434"/>
      <c r="KEI8" s="3434"/>
      <c r="KEJ8" s="3434"/>
      <c r="KEK8" s="3434"/>
      <c r="KEL8" s="3434"/>
      <c r="KEM8" s="3434"/>
      <c r="KEN8" s="3434"/>
      <c r="KEO8" s="3434"/>
      <c r="KEP8" s="3434"/>
      <c r="KEQ8" s="3434"/>
      <c r="KER8" s="3434"/>
      <c r="KES8" s="3434"/>
      <c r="KET8" s="3434"/>
      <c r="KEU8" s="3434"/>
      <c r="KEV8" s="3434"/>
      <c r="KEW8" s="3434"/>
      <c r="KEX8" s="3434"/>
      <c r="KEY8" s="3434"/>
      <c r="KEZ8" s="3434"/>
      <c r="KFA8" s="3434"/>
      <c r="KFB8" s="3434"/>
      <c r="KFC8" s="3434"/>
      <c r="KFD8" s="3434"/>
      <c r="KFE8" s="3434"/>
      <c r="KFF8" s="3434"/>
      <c r="KFG8" s="3434"/>
      <c r="KFH8" s="3434"/>
      <c r="KFI8" s="3434"/>
      <c r="KFJ8" s="3434"/>
      <c r="KFK8" s="3434"/>
      <c r="KFL8" s="3434"/>
      <c r="KFM8" s="3434"/>
      <c r="KFN8" s="3434"/>
      <c r="KFO8" s="3434"/>
      <c r="KFP8" s="3434"/>
      <c r="KFQ8" s="3434"/>
      <c r="KFR8" s="3434"/>
      <c r="KFS8" s="3434"/>
      <c r="KFT8" s="3434"/>
      <c r="KFU8" s="3434"/>
      <c r="KFV8" s="3434"/>
      <c r="KFW8" s="3434"/>
      <c r="KFX8" s="3434"/>
      <c r="KFY8" s="3434"/>
      <c r="KFZ8" s="3434"/>
      <c r="KGA8" s="3434"/>
      <c r="KGB8" s="3434"/>
      <c r="KGC8" s="3434"/>
      <c r="KGD8" s="3434"/>
      <c r="KGE8" s="3434"/>
      <c r="KGF8" s="3434"/>
      <c r="KGG8" s="3434"/>
      <c r="KGH8" s="3434"/>
      <c r="KGI8" s="3434"/>
      <c r="KGJ8" s="3434"/>
      <c r="KGK8" s="3434"/>
      <c r="KGL8" s="3434"/>
      <c r="KGM8" s="3434"/>
      <c r="KGN8" s="3434"/>
      <c r="KGO8" s="3434"/>
      <c r="KGP8" s="3434"/>
      <c r="KGQ8" s="3434"/>
      <c r="KGR8" s="3434"/>
      <c r="KGS8" s="3434"/>
      <c r="KGT8" s="3434"/>
      <c r="KGU8" s="3434"/>
      <c r="KGV8" s="3434"/>
      <c r="KGW8" s="3434"/>
      <c r="KGX8" s="3434"/>
      <c r="KGY8" s="3434"/>
      <c r="KGZ8" s="3434"/>
      <c r="KHA8" s="3434"/>
      <c r="KHB8" s="3434"/>
      <c r="KHC8" s="3434"/>
      <c r="KHD8" s="3434"/>
      <c r="KHE8" s="3434"/>
      <c r="KHF8" s="3434"/>
      <c r="KHG8" s="3434"/>
      <c r="KHH8" s="3434"/>
      <c r="KHI8" s="3434"/>
      <c r="KHJ8" s="3434"/>
      <c r="KHK8" s="3434"/>
      <c r="KHL8" s="3434"/>
      <c r="KHM8" s="3434"/>
      <c r="KHN8" s="3434"/>
      <c r="KHO8" s="3434"/>
      <c r="KHP8" s="3434"/>
      <c r="KHQ8" s="3434"/>
      <c r="KHR8" s="3434"/>
      <c r="KHS8" s="3434"/>
      <c r="KHT8" s="3434"/>
      <c r="KHU8" s="3434"/>
      <c r="KHV8" s="3434"/>
      <c r="KHW8" s="3434"/>
      <c r="KHX8" s="3434"/>
      <c r="KHY8" s="3434"/>
      <c r="KHZ8" s="3434"/>
      <c r="KIA8" s="3434"/>
      <c r="KIB8" s="3434"/>
      <c r="KIC8" s="3434"/>
      <c r="KID8" s="3434"/>
      <c r="KIE8" s="3434"/>
      <c r="KIF8" s="3434"/>
      <c r="KIG8" s="3434"/>
      <c r="KIH8" s="3434"/>
      <c r="KII8" s="3434"/>
      <c r="KIJ8" s="3434"/>
      <c r="KIK8" s="3434"/>
      <c r="KIL8" s="3434"/>
      <c r="KIM8" s="3434"/>
      <c r="KIN8" s="3434"/>
      <c r="KIO8" s="3434"/>
      <c r="KIP8" s="3434"/>
      <c r="KIQ8" s="3434"/>
      <c r="KIR8" s="3434"/>
      <c r="KIS8" s="3434"/>
      <c r="KIT8" s="3434"/>
      <c r="KIU8" s="3434"/>
      <c r="KIV8" s="3434"/>
      <c r="KIW8" s="3434"/>
      <c r="KIX8" s="3434"/>
      <c r="KIY8" s="3434"/>
      <c r="KIZ8" s="3434"/>
      <c r="KJA8" s="3434"/>
      <c r="KJB8" s="3434"/>
      <c r="KJC8" s="3434"/>
      <c r="KJD8" s="3434"/>
      <c r="KJE8" s="3434"/>
      <c r="KJF8" s="3434"/>
      <c r="KJG8" s="3434"/>
      <c r="KJH8" s="3434"/>
      <c r="KJI8" s="3434"/>
      <c r="KJJ8" s="3434"/>
      <c r="KJK8" s="3434"/>
      <c r="KJL8" s="3434"/>
      <c r="KJM8" s="3434"/>
      <c r="KJN8" s="3434"/>
      <c r="KJO8" s="3434"/>
      <c r="KJP8" s="3434"/>
      <c r="KJQ8" s="3434"/>
      <c r="KJR8" s="3434"/>
      <c r="KJS8" s="3434"/>
      <c r="KJT8" s="3434"/>
      <c r="KJU8" s="3434"/>
      <c r="KJV8" s="3434"/>
      <c r="KJW8" s="3434"/>
      <c r="KJX8" s="3434"/>
      <c r="KJY8" s="3434"/>
      <c r="KJZ8" s="3434"/>
      <c r="KKA8" s="3434"/>
      <c r="KKB8" s="3434"/>
      <c r="KKC8" s="3434"/>
      <c r="KKD8" s="3434"/>
      <c r="KKE8" s="3434"/>
      <c r="KKF8" s="3434"/>
      <c r="KKG8" s="3434"/>
      <c r="KKH8" s="3434"/>
      <c r="KKI8" s="3434"/>
      <c r="KKJ8" s="3434"/>
      <c r="KKK8" s="3434"/>
      <c r="KKL8" s="3434"/>
      <c r="KKM8" s="3434"/>
      <c r="KKN8" s="3434"/>
      <c r="KKO8" s="3434"/>
      <c r="KKP8" s="3434"/>
      <c r="KKQ8" s="3434"/>
      <c r="KKR8" s="3434"/>
      <c r="KKS8" s="3434"/>
      <c r="KKT8" s="3434"/>
      <c r="KKU8" s="3434"/>
      <c r="KKV8" s="3434"/>
      <c r="KKW8" s="3434"/>
      <c r="KKX8" s="3434"/>
      <c r="KKY8" s="3434"/>
      <c r="KKZ8" s="3434"/>
      <c r="KLA8" s="3434"/>
      <c r="KLB8" s="3434"/>
      <c r="KLC8" s="3434"/>
      <c r="KLD8" s="3434"/>
      <c r="KLE8" s="3434"/>
      <c r="KLF8" s="3434"/>
      <c r="KLG8" s="3434"/>
      <c r="KLH8" s="3434"/>
      <c r="KLI8" s="3434"/>
      <c r="KLJ8" s="3434"/>
      <c r="KLK8" s="3434"/>
      <c r="KLL8" s="3434"/>
      <c r="KLM8" s="3434"/>
      <c r="KLN8" s="3434"/>
      <c r="KLO8" s="3434"/>
      <c r="KLP8" s="3434"/>
      <c r="KLQ8" s="3434"/>
      <c r="KLR8" s="3434"/>
      <c r="KLS8" s="3434"/>
      <c r="KLT8" s="3434"/>
      <c r="KLU8" s="3434"/>
      <c r="KLV8" s="3434"/>
      <c r="KLW8" s="3434"/>
      <c r="KLX8" s="3434"/>
      <c r="KLY8" s="3434"/>
      <c r="KLZ8" s="3434"/>
      <c r="KMA8" s="3434"/>
      <c r="KMB8" s="3434"/>
      <c r="KMC8" s="3434"/>
      <c r="KMD8" s="3434"/>
      <c r="KME8" s="3434"/>
      <c r="KMF8" s="3434"/>
      <c r="KMG8" s="3434"/>
      <c r="KMH8" s="3434"/>
      <c r="KMI8" s="3434"/>
      <c r="KMJ8" s="3434"/>
      <c r="KMK8" s="3434"/>
      <c r="KML8" s="3434"/>
      <c r="KMM8" s="3434"/>
      <c r="KMN8" s="3434"/>
      <c r="KMO8" s="3434"/>
      <c r="KMP8" s="3434"/>
      <c r="KMQ8" s="3434"/>
      <c r="KMR8" s="3434"/>
      <c r="KMS8" s="3434"/>
      <c r="KMT8" s="3434"/>
      <c r="KMU8" s="3434"/>
      <c r="KMV8" s="3434"/>
      <c r="KMW8" s="3434"/>
      <c r="KMX8" s="3434"/>
      <c r="KMY8" s="3434"/>
      <c r="KMZ8" s="3434"/>
      <c r="KNA8" s="3434"/>
      <c r="KNB8" s="3434"/>
      <c r="KNC8" s="3434"/>
      <c r="KND8" s="3434"/>
      <c r="KNE8" s="3434"/>
      <c r="KNF8" s="3434"/>
      <c r="KNG8" s="3434"/>
      <c r="KNH8" s="3434"/>
      <c r="KNI8" s="3434"/>
      <c r="KNJ8" s="3434"/>
      <c r="KNK8" s="3434"/>
      <c r="KNL8" s="3434"/>
      <c r="KNM8" s="3434"/>
      <c r="KNN8" s="3434"/>
      <c r="KNO8" s="3434"/>
      <c r="KNP8" s="3434"/>
      <c r="KNQ8" s="3434"/>
      <c r="KNR8" s="3434"/>
      <c r="KNS8" s="3434"/>
      <c r="KNT8" s="3434"/>
      <c r="KNU8" s="3434"/>
      <c r="KNV8" s="3434"/>
      <c r="KNW8" s="3434"/>
      <c r="KNX8" s="3434"/>
      <c r="KNY8" s="3434"/>
      <c r="KNZ8" s="3434"/>
      <c r="KOA8" s="3434"/>
      <c r="KOB8" s="3434"/>
      <c r="KOC8" s="3434"/>
      <c r="KOD8" s="3434"/>
      <c r="KOE8" s="3434"/>
      <c r="KOF8" s="3434"/>
      <c r="KOG8" s="3434"/>
      <c r="KOH8" s="3434"/>
      <c r="KOI8" s="3434"/>
      <c r="KOJ8" s="3434"/>
      <c r="KOK8" s="3434"/>
      <c r="KOL8" s="3434"/>
      <c r="KOM8" s="3434"/>
      <c r="KON8" s="3434"/>
      <c r="KOO8" s="3434"/>
      <c r="KOP8" s="3434"/>
      <c r="KOQ8" s="3434"/>
      <c r="KOR8" s="3434"/>
      <c r="KOS8" s="3434"/>
      <c r="KOT8" s="3434"/>
      <c r="KOU8" s="3434"/>
      <c r="KOV8" s="3434"/>
      <c r="KOW8" s="3434"/>
      <c r="KOX8" s="3434"/>
      <c r="KOY8" s="3434"/>
      <c r="KOZ8" s="3434"/>
      <c r="KPA8" s="3434"/>
      <c r="KPB8" s="3434"/>
      <c r="KPC8" s="3434"/>
      <c r="KPD8" s="3434"/>
      <c r="KPE8" s="3434"/>
      <c r="KPF8" s="3434"/>
      <c r="KPG8" s="3434"/>
      <c r="KPH8" s="3434"/>
      <c r="KPI8" s="3434"/>
      <c r="KPJ8" s="3434"/>
      <c r="KPK8" s="3434"/>
      <c r="KPL8" s="3434"/>
      <c r="KPM8" s="3434"/>
      <c r="KPN8" s="3434"/>
      <c r="KPO8" s="3434"/>
      <c r="KPP8" s="3434"/>
      <c r="KPQ8" s="3434"/>
      <c r="KPR8" s="3434"/>
      <c r="KPS8" s="3434"/>
      <c r="KPT8" s="3434"/>
      <c r="KPU8" s="3434"/>
      <c r="KPV8" s="3434"/>
      <c r="KPW8" s="3434"/>
      <c r="KPX8" s="3434"/>
      <c r="KPY8" s="3434"/>
      <c r="KPZ8" s="3434"/>
      <c r="KQA8" s="3434"/>
      <c r="KQB8" s="3434"/>
      <c r="KQC8" s="3434"/>
      <c r="KQD8" s="3434"/>
      <c r="KQE8" s="3434"/>
      <c r="KQF8" s="3434"/>
      <c r="KQG8" s="3434"/>
      <c r="KQH8" s="3434"/>
      <c r="KQI8" s="3434"/>
      <c r="KQJ8" s="3434"/>
      <c r="KQK8" s="3434"/>
      <c r="KQL8" s="3434"/>
      <c r="KQM8" s="3434"/>
      <c r="KQN8" s="3434"/>
      <c r="KQO8" s="3434"/>
      <c r="KQP8" s="3434"/>
      <c r="KQQ8" s="3434"/>
      <c r="KQR8" s="3434"/>
      <c r="KQS8" s="3434"/>
      <c r="KQT8" s="3434"/>
      <c r="KQU8" s="3434"/>
      <c r="KQV8" s="3434"/>
      <c r="KQW8" s="3434"/>
      <c r="KQX8" s="3434"/>
      <c r="KQY8" s="3434"/>
      <c r="KQZ8" s="3434"/>
      <c r="KRA8" s="3434"/>
      <c r="KRB8" s="3434"/>
      <c r="KRC8" s="3434"/>
      <c r="KRD8" s="3434"/>
      <c r="KRE8" s="3434"/>
      <c r="KRF8" s="3434"/>
      <c r="KRG8" s="3434"/>
      <c r="KRH8" s="3434"/>
      <c r="KRI8" s="3434"/>
      <c r="KRJ8" s="3434"/>
      <c r="KRK8" s="3434"/>
      <c r="KRL8" s="3434"/>
      <c r="KRM8" s="3434"/>
      <c r="KRN8" s="3434"/>
      <c r="KRO8" s="3434"/>
      <c r="KRP8" s="3434"/>
      <c r="KRQ8" s="3434"/>
      <c r="KRR8" s="3434"/>
      <c r="KRS8" s="3434"/>
      <c r="KRT8" s="3434"/>
      <c r="KRU8" s="3434"/>
      <c r="KRV8" s="3434"/>
      <c r="KRW8" s="3434"/>
      <c r="KRX8" s="3434"/>
      <c r="KRY8" s="3434"/>
      <c r="KRZ8" s="3434"/>
      <c r="KSA8" s="3434"/>
      <c r="KSB8" s="3434"/>
      <c r="KSC8" s="3434"/>
      <c r="KSD8" s="3434"/>
      <c r="KSE8" s="3434"/>
      <c r="KSF8" s="3434"/>
      <c r="KSG8" s="3434"/>
      <c r="KSH8" s="3434"/>
      <c r="KSI8" s="3434"/>
      <c r="KSJ8" s="3434"/>
      <c r="KSK8" s="3434"/>
      <c r="KSL8" s="3434"/>
      <c r="KSM8" s="3434"/>
      <c r="KSN8" s="3434"/>
      <c r="KSO8" s="3434"/>
      <c r="KSP8" s="3434"/>
      <c r="KSQ8" s="3434"/>
      <c r="KSR8" s="3434"/>
      <c r="KSS8" s="3434"/>
      <c r="KST8" s="3434"/>
      <c r="KSU8" s="3434"/>
      <c r="KSV8" s="3434"/>
      <c r="KSW8" s="3434"/>
      <c r="KSX8" s="3434"/>
      <c r="KSY8" s="3434"/>
      <c r="KSZ8" s="3434"/>
      <c r="KTA8" s="3434"/>
      <c r="KTB8" s="3434"/>
      <c r="KTC8" s="3434"/>
      <c r="KTD8" s="3434"/>
      <c r="KTE8" s="3434"/>
      <c r="KTF8" s="3434"/>
      <c r="KTG8" s="3434"/>
      <c r="KTH8" s="3434"/>
      <c r="KTI8" s="3434"/>
      <c r="KTJ8" s="3434"/>
      <c r="KTK8" s="3434"/>
      <c r="KTL8" s="3434"/>
      <c r="KTM8" s="3434"/>
      <c r="KTN8" s="3434"/>
      <c r="KTO8" s="3434"/>
      <c r="KTP8" s="3434"/>
      <c r="KTQ8" s="3434"/>
      <c r="KTR8" s="3434"/>
      <c r="KTS8" s="3434"/>
      <c r="KTT8" s="3434"/>
      <c r="KTU8" s="3434"/>
      <c r="KTV8" s="3434"/>
      <c r="KTW8" s="3434"/>
      <c r="KTX8" s="3434"/>
      <c r="KTY8" s="3434"/>
      <c r="KTZ8" s="3434"/>
      <c r="KUA8" s="3434"/>
      <c r="KUB8" s="3434"/>
      <c r="KUC8" s="3434"/>
      <c r="KUD8" s="3434"/>
      <c r="KUE8" s="3434"/>
      <c r="KUF8" s="3434"/>
      <c r="KUG8" s="3434"/>
      <c r="KUH8" s="3434"/>
      <c r="KUI8" s="3434"/>
      <c r="KUJ8" s="3434"/>
      <c r="KUK8" s="3434"/>
      <c r="KUL8" s="3434"/>
      <c r="KUM8" s="3434"/>
      <c r="KUN8" s="3434"/>
      <c r="KUO8" s="3434"/>
      <c r="KUP8" s="3434"/>
      <c r="KUQ8" s="3434"/>
      <c r="KUR8" s="3434"/>
      <c r="KUS8" s="3434"/>
      <c r="KUT8" s="3434"/>
      <c r="KUU8" s="3434"/>
      <c r="KUV8" s="3434"/>
      <c r="KUW8" s="3434"/>
      <c r="KUX8" s="3434"/>
      <c r="KUY8" s="3434"/>
      <c r="KUZ8" s="3434"/>
      <c r="KVA8" s="3434"/>
      <c r="KVB8" s="3434"/>
      <c r="KVC8" s="3434"/>
      <c r="KVD8" s="3434"/>
      <c r="KVE8" s="3434"/>
      <c r="KVF8" s="3434"/>
      <c r="KVG8" s="3434"/>
      <c r="KVH8" s="3434"/>
      <c r="KVI8" s="3434"/>
      <c r="KVJ8" s="3434"/>
      <c r="KVK8" s="3434"/>
      <c r="KVL8" s="3434"/>
      <c r="KVM8" s="3434"/>
      <c r="KVN8" s="3434"/>
      <c r="KVO8" s="3434"/>
      <c r="KVP8" s="3434"/>
      <c r="KVQ8" s="3434"/>
      <c r="KVR8" s="3434"/>
      <c r="KVS8" s="3434"/>
      <c r="KVT8" s="3434"/>
      <c r="KVU8" s="3434"/>
      <c r="KVV8" s="3434"/>
      <c r="KVW8" s="3434"/>
      <c r="KVX8" s="3434"/>
      <c r="KVY8" s="3434"/>
      <c r="KVZ8" s="3434"/>
      <c r="KWA8" s="3434"/>
      <c r="KWB8" s="3434"/>
      <c r="KWC8" s="3434"/>
      <c r="KWD8" s="3434"/>
      <c r="KWE8" s="3434"/>
      <c r="KWF8" s="3434"/>
      <c r="KWG8" s="3434"/>
      <c r="KWH8" s="3434"/>
      <c r="KWI8" s="3434"/>
      <c r="KWJ8" s="3434"/>
      <c r="KWK8" s="3434"/>
      <c r="KWL8" s="3434"/>
      <c r="KWM8" s="3434"/>
      <c r="KWN8" s="3434"/>
      <c r="KWO8" s="3434"/>
      <c r="KWP8" s="3434"/>
      <c r="KWQ8" s="3434"/>
      <c r="KWR8" s="3434"/>
      <c r="KWS8" s="3434"/>
      <c r="KWT8" s="3434"/>
      <c r="KWU8" s="3434"/>
      <c r="KWV8" s="3434"/>
      <c r="KWW8" s="3434"/>
      <c r="KWX8" s="3434"/>
      <c r="KWY8" s="3434"/>
      <c r="KWZ8" s="3434"/>
      <c r="KXA8" s="3434"/>
      <c r="KXB8" s="3434"/>
      <c r="KXC8" s="3434"/>
      <c r="KXD8" s="3434"/>
      <c r="KXE8" s="3434"/>
      <c r="KXF8" s="3434"/>
      <c r="KXG8" s="3434"/>
      <c r="KXH8" s="3434"/>
      <c r="KXI8" s="3434"/>
      <c r="KXJ8" s="3434"/>
      <c r="KXK8" s="3434"/>
      <c r="KXL8" s="3434"/>
      <c r="KXM8" s="3434"/>
      <c r="KXN8" s="3434"/>
      <c r="KXO8" s="3434"/>
      <c r="KXP8" s="3434"/>
      <c r="KXQ8" s="3434"/>
      <c r="KXR8" s="3434"/>
      <c r="KXS8" s="3434"/>
      <c r="KXT8" s="3434"/>
      <c r="KXU8" s="3434"/>
      <c r="KXV8" s="3434"/>
      <c r="KXW8" s="3434"/>
      <c r="KXX8" s="3434"/>
      <c r="KXY8" s="3434"/>
      <c r="KXZ8" s="3434"/>
      <c r="KYA8" s="3434"/>
      <c r="KYB8" s="3434"/>
      <c r="KYC8" s="3434"/>
      <c r="KYD8" s="3434"/>
      <c r="KYE8" s="3434"/>
      <c r="KYF8" s="3434"/>
      <c r="KYG8" s="3434"/>
      <c r="KYH8" s="3434"/>
      <c r="KYI8" s="3434"/>
      <c r="KYJ8" s="3434"/>
      <c r="KYK8" s="3434"/>
      <c r="KYL8" s="3434"/>
      <c r="KYM8" s="3434"/>
      <c r="KYN8" s="3434"/>
      <c r="KYO8" s="3434"/>
      <c r="KYP8" s="3434"/>
      <c r="KYQ8" s="3434"/>
      <c r="KYR8" s="3434"/>
      <c r="KYS8" s="3434"/>
      <c r="KYT8" s="3434"/>
      <c r="KYU8" s="3434"/>
      <c r="KYV8" s="3434"/>
      <c r="KYW8" s="3434"/>
      <c r="KYX8" s="3434"/>
      <c r="KYY8" s="3434"/>
      <c r="KYZ8" s="3434"/>
      <c r="KZA8" s="3434"/>
      <c r="KZB8" s="3434"/>
      <c r="KZC8" s="3434"/>
      <c r="KZD8" s="3434"/>
      <c r="KZE8" s="3434"/>
      <c r="KZF8" s="3434"/>
      <c r="KZG8" s="3434"/>
      <c r="KZH8" s="3434"/>
      <c r="KZI8" s="3434"/>
      <c r="KZJ8" s="3434"/>
      <c r="KZK8" s="3434"/>
      <c r="KZL8" s="3434"/>
      <c r="KZM8" s="3434"/>
      <c r="KZN8" s="3434"/>
      <c r="KZO8" s="3434"/>
      <c r="KZP8" s="3434"/>
      <c r="KZQ8" s="3434"/>
      <c r="KZR8" s="3434"/>
      <c r="KZS8" s="3434"/>
      <c r="KZT8" s="3434"/>
      <c r="KZU8" s="3434"/>
      <c r="KZV8" s="3434"/>
      <c r="KZW8" s="3434"/>
      <c r="KZX8" s="3434"/>
      <c r="KZY8" s="3434"/>
      <c r="KZZ8" s="3434"/>
      <c r="LAA8" s="3434"/>
      <c r="LAB8" s="3434"/>
      <c r="LAC8" s="3434"/>
      <c r="LAD8" s="3434"/>
      <c r="LAE8" s="3434"/>
      <c r="LAF8" s="3434"/>
      <c r="LAG8" s="3434"/>
      <c r="LAH8" s="3434"/>
      <c r="LAI8" s="3434"/>
      <c r="LAJ8" s="3434"/>
      <c r="LAK8" s="3434"/>
      <c r="LAL8" s="3434"/>
      <c r="LAM8" s="3434"/>
      <c r="LAN8" s="3434"/>
      <c r="LAO8" s="3434"/>
      <c r="LAP8" s="3434"/>
      <c r="LAQ8" s="3434"/>
      <c r="LAR8" s="3434"/>
      <c r="LAS8" s="3434"/>
      <c r="LAT8" s="3434"/>
      <c r="LAU8" s="3434"/>
      <c r="LAV8" s="3434"/>
      <c r="LAW8" s="3434"/>
      <c r="LAX8" s="3434"/>
      <c r="LAY8" s="3434"/>
      <c r="LAZ8" s="3434"/>
      <c r="LBA8" s="3434"/>
      <c r="LBB8" s="3434"/>
      <c r="LBC8" s="3434"/>
      <c r="LBD8" s="3434"/>
      <c r="LBE8" s="3434"/>
      <c r="LBF8" s="3434"/>
      <c r="LBG8" s="3434"/>
      <c r="LBH8" s="3434"/>
      <c r="LBI8" s="3434"/>
      <c r="LBJ8" s="3434"/>
      <c r="LBK8" s="3434"/>
      <c r="LBL8" s="3434"/>
      <c r="LBM8" s="3434"/>
      <c r="LBN8" s="3434"/>
      <c r="LBO8" s="3434"/>
      <c r="LBP8" s="3434"/>
      <c r="LBQ8" s="3434"/>
      <c r="LBR8" s="3434"/>
      <c r="LBS8" s="3434"/>
      <c r="LBT8" s="3434"/>
      <c r="LBU8" s="3434"/>
      <c r="LBV8" s="3434"/>
      <c r="LBW8" s="3434"/>
      <c r="LBX8" s="3434"/>
      <c r="LBY8" s="3434"/>
      <c r="LBZ8" s="3434"/>
      <c r="LCA8" s="3434"/>
      <c r="LCB8" s="3434"/>
      <c r="LCC8" s="3434"/>
      <c r="LCD8" s="3434"/>
      <c r="LCE8" s="3434"/>
      <c r="LCF8" s="3434"/>
      <c r="LCG8" s="3434"/>
      <c r="LCH8" s="3434"/>
      <c r="LCI8" s="3434"/>
      <c r="LCJ8" s="3434"/>
      <c r="LCK8" s="3434"/>
      <c r="LCL8" s="3434"/>
      <c r="LCM8" s="3434"/>
      <c r="LCN8" s="3434"/>
      <c r="LCO8" s="3434"/>
      <c r="LCP8" s="3434"/>
      <c r="LCQ8" s="3434"/>
      <c r="LCR8" s="3434"/>
      <c r="LCS8" s="3434"/>
      <c r="LCT8" s="3434"/>
      <c r="LCU8" s="3434"/>
      <c r="LCV8" s="3434"/>
      <c r="LCW8" s="3434"/>
      <c r="LCX8" s="3434"/>
      <c r="LCY8" s="3434"/>
      <c r="LCZ8" s="3434"/>
      <c r="LDA8" s="3434"/>
      <c r="LDB8" s="3434"/>
      <c r="LDC8" s="3434"/>
      <c r="LDD8" s="3434"/>
      <c r="LDE8" s="3434"/>
      <c r="LDF8" s="3434"/>
      <c r="LDG8" s="3434"/>
      <c r="LDH8" s="3434"/>
      <c r="LDI8" s="3434"/>
      <c r="LDJ8" s="3434"/>
      <c r="LDK8" s="3434"/>
      <c r="LDL8" s="3434"/>
      <c r="LDM8" s="3434"/>
      <c r="LDN8" s="3434"/>
      <c r="LDO8" s="3434"/>
      <c r="LDP8" s="3434"/>
      <c r="LDQ8" s="3434"/>
      <c r="LDR8" s="3434"/>
      <c r="LDS8" s="3434"/>
      <c r="LDT8" s="3434"/>
      <c r="LDU8" s="3434"/>
      <c r="LDV8" s="3434"/>
      <c r="LDW8" s="3434"/>
      <c r="LDX8" s="3434"/>
      <c r="LDY8" s="3434"/>
      <c r="LDZ8" s="3434"/>
      <c r="LEA8" s="3434"/>
      <c r="LEB8" s="3434"/>
      <c r="LEC8" s="3434"/>
      <c r="LED8" s="3434"/>
      <c r="LEE8" s="3434"/>
      <c r="LEF8" s="3434"/>
      <c r="LEG8" s="3434"/>
      <c r="LEH8" s="3434"/>
      <c r="LEI8" s="3434"/>
      <c r="LEJ8" s="3434"/>
      <c r="LEK8" s="3434"/>
      <c r="LEL8" s="3434"/>
      <c r="LEM8" s="3434"/>
      <c r="LEN8" s="3434"/>
      <c r="LEO8" s="3434"/>
      <c r="LEP8" s="3434"/>
      <c r="LEQ8" s="3434"/>
      <c r="LER8" s="3434"/>
      <c r="LES8" s="3434"/>
      <c r="LET8" s="3434"/>
      <c r="LEU8" s="3434"/>
      <c r="LEV8" s="3434"/>
      <c r="LEW8" s="3434"/>
      <c r="LEX8" s="3434"/>
      <c r="LEY8" s="3434"/>
      <c r="LEZ8" s="3434"/>
      <c r="LFA8" s="3434"/>
      <c r="LFB8" s="3434"/>
      <c r="LFC8" s="3434"/>
      <c r="LFD8" s="3434"/>
      <c r="LFE8" s="3434"/>
      <c r="LFF8" s="3434"/>
      <c r="LFG8" s="3434"/>
      <c r="LFH8" s="3434"/>
      <c r="LFI8" s="3434"/>
      <c r="LFJ8" s="3434"/>
      <c r="LFK8" s="3434"/>
      <c r="LFL8" s="3434"/>
      <c r="LFM8" s="3434"/>
      <c r="LFN8" s="3434"/>
      <c r="LFO8" s="3434"/>
      <c r="LFP8" s="3434"/>
      <c r="LFQ8" s="3434"/>
      <c r="LFR8" s="3434"/>
      <c r="LFS8" s="3434"/>
      <c r="LFT8" s="3434"/>
      <c r="LFU8" s="3434"/>
      <c r="LFV8" s="3434"/>
      <c r="LFW8" s="3434"/>
      <c r="LFX8" s="3434"/>
      <c r="LFY8" s="3434"/>
      <c r="LFZ8" s="3434"/>
      <c r="LGA8" s="3434"/>
      <c r="LGB8" s="3434"/>
      <c r="LGC8" s="3434"/>
      <c r="LGD8" s="3434"/>
      <c r="LGE8" s="3434"/>
      <c r="LGF8" s="3434"/>
      <c r="LGG8" s="3434"/>
      <c r="LGH8" s="3434"/>
      <c r="LGI8" s="3434"/>
      <c r="LGJ8" s="3434"/>
      <c r="LGK8" s="3434"/>
      <c r="LGL8" s="3434"/>
      <c r="LGM8" s="3434"/>
      <c r="LGN8" s="3434"/>
      <c r="LGO8" s="3434"/>
      <c r="LGP8" s="3434"/>
      <c r="LGQ8" s="3434"/>
      <c r="LGR8" s="3434"/>
      <c r="LGS8" s="3434"/>
      <c r="LGT8" s="3434"/>
      <c r="LGU8" s="3434"/>
      <c r="LGV8" s="3434"/>
      <c r="LGW8" s="3434"/>
      <c r="LGX8" s="3434"/>
      <c r="LGY8" s="3434"/>
      <c r="LGZ8" s="3434"/>
      <c r="LHA8" s="3434"/>
      <c r="LHB8" s="3434"/>
      <c r="LHC8" s="3434"/>
      <c r="LHD8" s="3434"/>
      <c r="LHE8" s="3434"/>
      <c r="LHF8" s="3434"/>
      <c r="LHG8" s="3434"/>
      <c r="LHH8" s="3434"/>
      <c r="LHI8" s="3434"/>
      <c r="LHJ8" s="3434"/>
      <c r="LHK8" s="3434"/>
      <c r="LHL8" s="3434"/>
      <c r="LHM8" s="3434"/>
      <c r="LHN8" s="3434"/>
      <c r="LHO8" s="3434"/>
      <c r="LHP8" s="3434"/>
      <c r="LHQ8" s="3434"/>
      <c r="LHR8" s="3434"/>
      <c r="LHS8" s="3434"/>
      <c r="LHT8" s="3434"/>
      <c r="LHU8" s="3434"/>
      <c r="LHV8" s="3434"/>
      <c r="LHW8" s="3434"/>
      <c r="LHX8" s="3434"/>
      <c r="LHY8" s="3434"/>
      <c r="LHZ8" s="3434"/>
      <c r="LIA8" s="3434"/>
      <c r="LIB8" s="3434"/>
      <c r="LIC8" s="3434"/>
      <c r="LID8" s="3434"/>
      <c r="LIE8" s="3434"/>
      <c r="LIF8" s="3434"/>
      <c r="LIG8" s="3434"/>
      <c r="LIH8" s="3434"/>
      <c r="LII8" s="3434"/>
      <c r="LIJ8" s="3434"/>
      <c r="LIK8" s="3434"/>
      <c r="LIL8" s="3434"/>
      <c r="LIM8" s="3434"/>
      <c r="LIN8" s="3434"/>
      <c r="LIO8" s="3434"/>
      <c r="LIP8" s="3434"/>
      <c r="LIQ8" s="3434"/>
      <c r="LIR8" s="3434"/>
      <c r="LIS8" s="3434"/>
      <c r="LIT8" s="3434"/>
      <c r="LIU8" s="3434"/>
      <c r="LIV8" s="3434"/>
      <c r="LIW8" s="3434"/>
      <c r="LIX8" s="3434"/>
      <c r="LIY8" s="3434"/>
      <c r="LIZ8" s="3434"/>
      <c r="LJA8" s="3434"/>
      <c r="LJB8" s="3434"/>
      <c r="LJC8" s="3434"/>
      <c r="LJD8" s="3434"/>
      <c r="LJE8" s="3434"/>
      <c r="LJF8" s="3434"/>
      <c r="LJG8" s="3434"/>
      <c r="LJH8" s="3434"/>
      <c r="LJI8" s="3434"/>
      <c r="LJJ8" s="3434"/>
      <c r="LJK8" s="3434"/>
      <c r="LJL8" s="3434"/>
      <c r="LJM8" s="3434"/>
      <c r="LJN8" s="3434"/>
      <c r="LJO8" s="3434"/>
      <c r="LJP8" s="3434"/>
      <c r="LJQ8" s="3434"/>
      <c r="LJR8" s="3434"/>
      <c r="LJS8" s="3434"/>
      <c r="LJT8" s="3434"/>
      <c r="LJU8" s="3434"/>
      <c r="LJV8" s="3434"/>
      <c r="LJW8" s="3434"/>
      <c r="LJX8" s="3434"/>
      <c r="LJY8" s="3434"/>
      <c r="LJZ8" s="3434"/>
      <c r="LKA8" s="3434"/>
      <c r="LKB8" s="3434"/>
      <c r="LKC8" s="3434"/>
      <c r="LKD8" s="3434"/>
      <c r="LKE8" s="3434"/>
      <c r="LKF8" s="3434"/>
      <c r="LKG8" s="3434"/>
      <c r="LKH8" s="3434"/>
      <c r="LKI8" s="3434"/>
      <c r="LKJ8" s="3434"/>
      <c r="LKK8" s="3434"/>
      <c r="LKL8" s="3434"/>
      <c r="LKM8" s="3434"/>
      <c r="LKN8" s="3434"/>
      <c r="LKO8" s="3434"/>
      <c r="LKP8" s="3434"/>
      <c r="LKQ8" s="3434"/>
      <c r="LKR8" s="3434"/>
      <c r="LKS8" s="3434"/>
      <c r="LKT8" s="3434"/>
      <c r="LKU8" s="3434"/>
      <c r="LKV8" s="3434"/>
      <c r="LKW8" s="3434"/>
      <c r="LKX8" s="3434"/>
      <c r="LKY8" s="3434"/>
      <c r="LKZ8" s="3434"/>
      <c r="LLA8" s="3434"/>
      <c r="LLB8" s="3434"/>
      <c r="LLC8" s="3434"/>
      <c r="LLD8" s="3434"/>
      <c r="LLE8" s="3434"/>
      <c r="LLF8" s="3434"/>
      <c r="LLG8" s="3434"/>
      <c r="LLH8" s="3434"/>
      <c r="LLI8" s="3434"/>
      <c r="LLJ8" s="3434"/>
      <c r="LLK8" s="3434"/>
      <c r="LLL8" s="3434"/>
      <c r="LLM8" s="3434"/>
      <c r="LLN8" s="3434"/>
      <c r="LLO8" s="3434"/>
      <c r="LLP8" s="3434"/>
      <c r="LLQ8" s="3434"/>
      <c r="LLR8" s="3434"/>
      <c r="LLS8" s="3434"/>
      <c r="LLT8" s="3434"/>
      <c r="LLU8" s="3434"/>
      <c r="LLV8" s="3434"/>
      <c r="LLW8" s="3434"/>
      <c r="LLX8" s="3434"/>
      <c r="LLY8" s="3434"/>
      <c r="LLZ8" s="3434"/>
      <c r="LMA8" s="3434"/>
      <c r="LMB8" s="3434"/>
      <c r="LMC8" s="3434"/>
      <c r="LMD8" s="3434"/>
      <c r="LME8" s="3434"/>
      <c r="LMF8" s="3434"/>
      <c r="LMG8" s="3434"/>
      <c r="LMH8" s="3434"/>
      <c r="LMI8" s="3434"/>
      <c r="LMJ8" s="3434"/>
      <c r="LMK8" s="3434"/>
      <c r="LML8" s="3434"/>
      <c r="LMM8" s="3434"/>
      <c r="LMN8" s="3434"/>
      <c r="LMO8" s="3434"/>
      <c r="LMP8" s="3434"/>
      <c r="LMQ8" s="3434"/>
      <c r="LMR8" s="3434"/>
      <c r="LMS8" s="3434"/>
      <c r="LMT8" s="3434"/>
      <c r="LMU8" s="3434"/>
      <c r="LMV8" s="3434"/>
      <c r="LMW8" s="3434"/>
      <c r="LMX8" s="3434"/>
      <c r="LMY8" s="3434"/>
      <c r="LMZ8" s="3434"/>
      <c r="LNA8" s="3434"/>
      <c r="LNB8" s="3434"/>
      <c r="LNC8" s="3434"/>
      <c r="LND8" s="3434"/>
      <c r="LNE8" s="3434"/>
      <c r="LNF8" s="3434"/>
      <c r="LNG8" s="3434"/>
      <c r="LNH8" s="3434"/>
      <c r="LNI8" s="3434"/>
      <c r="LNJ8" s="3434"/>
      <c r="LNK8" s="3434"/>
      <c r="LNL8" s="3434"/>
      <c r="LNM8" s="3434"/>
      <c r="LNN8" s="3434"/>
      <c r="LNO8" s="3434"/>
      <c r="LNP8" s="3434"/>
      <c r="LNQ8" s="3434"/>
      <c r="LNR8" s="3434"/>
      <c r="LNS8" s="3434"/>
      <c r="LNT8" s="3434"/>
      <c r="LNU8" s="3434"/>
      <c r="LNV8" s="3434"/>
      <c r="LNW8" s="3434"/>
      <c r="LNX8" s="3434"/>
      <c r="LNY8" s="3434"/>
      <c r="LNZ8" s="3434"/>
      <c r="LOA8" s="3434"/>
      <c r="LOB8" s="3434"/>
      <c r="LOC8" s="3434"/>
      <c r="LOD8" s="3434"/>
      <c r="LOE8" s="3434"/>
      <c r="LOF8" s="3434"/>
      <c r="LOG8" s="3434"/>
      <c r="LOH8" s="3434"/>
      <c r="LOI8" s="3434"/>
      <c r="LOJ8" s="3434"/>
      <c r="LOK8" s="3434"/>
      <c r="LOL8" s="3434"/>
      <c r="LOM8" s="3434"/>
      <c r="LON8" s="3434"/>
      <c r="LOO8" s="3434"/>
      <c r="LOP8" s="3434"/>
      <c r="LOQ8" s="3434"/>
      <c r="LOR8" s="3434"/>
      <c r="LOS8" s="3434"/>
      <c r="LOT8" s="3434"/>
      <c r="LOU8" s="3434"/>
      <c r="LOV8" s="3434"/>
      <c r="LOW8" s="3434"/>
      <c r="LOX8" s="3434"/>
      <c r="LOY8" s="3434"/>
      <c r="LOZ8" s="3434"/>
      <c r="LPA8" s="3434"/>
      <c r="LPB8" s="3434"/>
      <c r="LPC8" s="3434"/>
      <c r="LPD8" s="3434"/>
      <c r="LPE8" s="3434"/>
      <c r="LPF8" s="3434"/>
      <c r="LPG8" s="3434"/>
      <c r="LPH8" s="3434"/>
      <c r="LPI8" s="3434"/>
      <c r="LPJ8" s="3434"/>
      <c r="LPK8" s="3434"/>
      <c r="LPL8" s="3434"/>
      <c r="LPM8" s="3434"/>
      <c r="LPN8" s="3434"/>
      <c r="LPO8" s="3434"/>
      <c r="LPP8" s="3434"/>
      <c r="LPQ8" s="3434"/>
      <c r="LPR8" s="3434"/>
      <c r="LPS8" s="3434"/>
      <c r="LPT8" s="3434"/>
      <c r="LPU8" s="3434"/>
      <c r="LPV8" s="3434"/>
      <c r="LPW8" s="3434"/>
      <c r="LPX8" s="3434"/>
      <c r="LPY8" s="3434"/>
      <c r="LPZ8" s="3434"/>
      <c r="LQA8" s="3434"/>
      <c r="LQB8" s="3434"/>
      <c r="LQC8" s="3434"/>
      <c r="LQD8" s="3434"/>
      <c r="LQE8" s="3434"/>
      <c r="LQF8" s="3434"/>
      <c r="LQG8" s="3434"/>
      <c r="LQH8" s="3434"/>
      <c r="LQI8" s="3434"/>
      <c r="LQJ8" s="3434"/>
      <c r="LQK8" s="3434"/>
      <c r="LQL8" s="3434"/>
      <c r="LQM8" s="3434"/>
      <c r="LQN8" s="3434"/>
      <c r="LQO8" s="3434"/>
      <c r="LQP8" s="3434"/>
      <c r="LQQ8" s="3434"/>
      <c r="LQR8" s="3434"/>
      <c r="LQS8" s="3434"/>
      <c r="LQT8" s="3434"/>
      <c r="LQU8" s="3434"/>
      <c r="LQV8" s="3434"/>
      <c r="LQW8" s="3434"/>
      <c r="LQX8" s="3434"/>
      <c r="LQY8" s="3434"/>
      <c r="LQZ8" s="3434"/>
      <c r="LRA8" s="3434"/>
      <c r="LRB8" s="3434"/>
      <c r="LRC8" s="3434"/>
      <c r="LRD8" s="3434"/>
      <c r="LRE8" s="3434"/>
      <c r="LRF8" s="3434"/>
      <c r="LRG8" s="3434"/>
      <c r="LRH8" s="3434"/>
      <c r="LRI8" s="3434"/>
      <c r="LRJ8" s="3434"/>
      <c r="LRK8" s="3434"/>
      <c r="LRL8" s="3434"/>
      <c r="LRM8" s="3434"/>
      <c r="LRN8" s="3434"/>
      <c r="LRO8" s="3434"/>
      <c r="LRP8" s="3434"/>
      <c r="LRQ8" s="3434"/>
      <c r="LRR8" s="3434"/>
      <c r="LRS8" s="3434"/>
      <c r="LRT8" s="3434"/>
      <c r="LRU8" s="3434"/>
      <c r="LRV8" s="3434"/>
      <c r="LRW8" s="3434"/>
      <c r="LRX8" s="3434"/>
      <c r="LRY8" s="3434"/>
      <c r="LRZ8" s="3434"/>
      <c r="LSA8" s="3434"/>
      <c r="LSB8" s="3434"/>
      <c r="LSC8" s="3434"/>
      <c r="LSD8" s="3434"/>
      <c r="LSE8" s="3434"/>
      <c r="LSF8" s="3434"/>
      <c r="LSG8" s="3434"/>
      <c r="LSH8" s="3434"/>
      <c r="LSI8" s="3434"/>
      <c r="LSJ8" s="3434"/>
      <c r="LSK8" s="3434"/>
      <c r="LSL8" s="3434"/>
      <c r="LSM8" s="3434"/>
      <c r="LSN8" s="3434"/>
      <c r="LSO8" s="3434"/>
      <c r="LSP8" s="3434"/>
      <c r="LSQ8" s="3434"/>
      <c r="LSR8" s="3434"/>
      <c r="LSS8" s="3434"/>
      <c r="LST8" s="3434"/>
      <c r="LSU8" s="3434"/>
      <c r="LSV8" s="3434"/>
      <c r="LSW8" s="3434"/>
      <c r="LSX8" s="3434"/>
      <c r="LSY8" s="3434"/>
      <c r="LSZ8" s="3434"/>
      <c r="LTA8" s="3434"/>
      <c r="LTB8" s="3434"/>
      <c r="LTC8" s="3434"/>
      <c r="LTD8" s="3434"/>
      <c r="LTE8" s="3434"/>
      <c r="LTF8" s="3434"/>
      <c r="LTG8" s="3434"/>
      <c r="LTH8" s="3434"/>
      <c r="LTI8" s="3434"/>
      <c r="LTJ8" s="3434"/>
      <c r="LTK8" s="3434"/>
      <c r="LTL8" s="3434"/>
      <c r="LTM8" s="3434"/>
      <c r="LTN8" s="3434"/>
      <c r="LTO8" s="3434"/>
      <c r="LTP8" s="3434"/>
      <c r="LTQ8" s="3434"/>
      <c r="LTR8" s="3434"/>
      <c r="LTS8" s="3434"/>
      <c r="LTT8" s="3434"/>
      <c r="LTU8" s="3434"/>
      <c r="LTV8" s="3434"/>
      <c r="LTW8" s="3434"/>
      <c r="LTX8" s="3434"/>
      <c r="LTY8" s="3434"/>
      <c r="LTZ8" s="3434"/>
      <c r="LUA8" s="3434"/>
      <c r="LUB8" s="3434"/>
      <c r="LUC8" s="3434"/>
      <c r="LUD8" s="3434"/>
      <c r="LUE8" s="3434"/>
      <c r="LUF8" s="3434"/>
      <c r="LUG8" s="3434"/>
      <c r="LUH8" s="3434"/>
      <c r="LUI8" s="3434"/>
      <c r="LUJ8" s="3434"/>
      <c r="LUK8" s="3434"/>
      <c r="LUL8" s="3434"/>
      <c r="LUM8" s="3434"/>
      <c r="LUN8" s="3434"/>
      <c r="LUO8" s="3434"/>
      <c r="LUP8" s="3434"/>
      <c r="LUQ8" s="3434"/>
      <c r="LUR8" s="3434"/>
      <c r="LUS8" s="3434"/>
      <c r="LUT8" s="3434"/>
      <c r="LUU8" s="3434"/>
      <c r="LUV8" s="3434"/>
      <c r="LUW8" s="3434"/>
      <c r="LUX8" s="3434"/>
      <c r="LUY8" s="3434"/>
      <c r="LUZ8" s="3434"/>
      <c r="LVA8" s="3434"/>
      <c r="LVB8" s="3434"/>
      <c r="LVC8" s="3434"/>
      <c r="LVD8" s="3434"/>
      <c r="LVE8" s="3434"/>
      <c r="LVF8" s="3434"/>
      <c r="LVG8" s="3434"/>
      <c r="LVH8" s="3434"/>
      <c r="LVI8" s="3434"/>
      <c r="LVJ8" s="3434"/>
      <c r="LVK8" s="3434"/>
      <c r="LVL8" s="3434"/>
      <c r="LVM8" s="3434"/>
      <c r="LVN8" s="3434"/>
      <c r="LVO8" s="3434"/>
      <c r="LVP8" s="3434"/>
      <c r="LVQ8" s="3434"/>
      <c r="LVR8" s="3434"/>
      <c r="LVS8" s="3434"/>
      <c r="LVT8" s="3434"/>
      <c r="LVU8" s="3434"/>
      <c r="LVV8" s="3434"/>
      <c r="LVW8" s="3434"/>
      <c r="LVX8" s="3434"/>
      <c r="LVY8" s="3434"/>
      <c r="LVZ8" s="3434"/>
      <c r="LWA8" s="3434"/>
      <c r="LWB8" s="3434"/>
      <c r="LWC8" s="3434"/>
      <c r="LWD8" s="3434"/>
      <c r="LWE8" s="3434"/>
      <c r="LWF8" s="3434"/>
      <c r="LWG8" s="3434"/>
      <c r="LWH8" s="3434"/>
      <c r="LWI8" s="3434"/>
      <c r="LWJ8" s="3434"/>
      <c r="LWK8" s="3434"/>
      <c r="LWL8" s="3434"/>
      <c r="LWM8" s="3434"/>
      <c r="LWN8" s="3434"/>
      <c r="LWO8" s="3434"/>
      <c r="LWP8" s="3434"/>
      <c r="LWQ8" s="3434"/>
      <c r="LWR8" s="3434"/>
      <c r="LWS8" s="3434"/>
      <c r="LWT8" s="3434"/>
      <c r="LWU8" s="3434"/>
      <c r="LWV8" s="3434"/>
      <c r="LWW8" s="3434"/>
      <c r="LWX8" s="3434"/>
      <c r="LWY8" s="3434"/>
      <c r="LWZ8" s="3434"/>
      <c r="LXA8" s="3434"/>
      <c r="LXB8" s="3434"/>
      <c r="LXC8" s="3434"/>
      <c r="LXD8" s="3434"/>
      <c r="LXE8" s="3434"/>
      <c r="LXF8" s="3434"/>
      <c r="LXG8" s="3434"/>
      <c r="LXH8" s="3434"/>
      <c r="LXI8" s="3434"/>
      <c r="LXJ8" s="3434"/>
      <c r="LXK8" s="3434"/>
      <c r="LXL8" s="3434"/>
      <c r="LXM8" s="3434"/>
      <c r="LXN8" s="3434"/>
      <c r="LXO8" s="3434"/>
      <c r="LXP8" s="3434"/>
      <c r="LXQ8" s="3434"/>
      <c r="LXR8" s="3434"/>
      <c r="LXS8" s="3434"/>
      <c r="LXT8" s="3434"/>
      <c r="LXU8" s="3434"/>
      <c r="LXV8" s="3434"/>
      <c r="LXW8" s="3434"/>
      <c r="LXX8" s="3434"/>
      <c r="LXY8" s="3434"/>
      <c r="LXZ8" s="3434"/>
      <c r="LYA8" s="3434"/>
      <c r="LYB8" s="3434"/>
      <c r="LYC8" s="3434"/>
      <c r="LYD8" s="3434"/>
      <c r="LYE8" s="3434"/>
      <c r="LYF8" s="3434"/>
      <c r="LYG8" s="3434"/>
      <c r="LYH8" s="3434"/>
      <c r="LYI8" s="3434"/>
      <c r="LYJ8" s="3434"/>
      <c r="LYK8" s="3434"/>
      <c r="LYL8" s="3434"/>
      <c r="LYM8" s="3434"/>
      <c r="LYN8" s="3434"/>
      <c r="LYO8" s="3434"/>
      <c r="LYP8" s="3434"/>
      <c r="LYQ8" s="3434"/>
      <c r="LYR8" s="3434"/>
      <c r="LYS8" s="3434"/>
      <c r="LYT8" s="3434"/>
      <c r="LYU8" s="3434"/>
      <c r="LYV8" s="3434"/>
      <c r="LYW8" s="3434"/>
      <c r="LYX8" s="3434"/>
      <c r="LYY8" s="3434"/>
      <c r="LYZ8" s="3434"/>
      <c r="LZA8" s="3434"/>
      <c r="LZB8" s="3434"/>
      <c r="LZC8" s="3434"/>
      <c r="LZD8" s="3434"/>
      <c r="LZE8" s="3434"/>
      <c r="LZF8" s="3434"/>
      <c r="LZG8" s="3434"/>
      <c r="LZH8" s="3434"/>
      <c r="LZI8" s="3434"/>
      <c r="LZJ8" s="3434"/>
      <c r="LZK8" s="3434"/>
      <c r="LZL8" s="3434"/>
      <c r="LZM8" s="3434"/>
      <c r="LZN8" s="3434"/>
      <c r="LZO8" s="3434"/>
      <c r="LZP8" s="3434"/>
      <c r="LZQ8" s="3434"/>
      <c r="LZR8" s="3434"/>
      <c r="LZS8" s="3434"/>
      <c r="LZT8" s="3434"/>
      <c r="LZU8" s="3434"/>
      <c r="LZV8" s="3434"/>
      <c r="LZW8" s="3434"/>
      <c r="LZX8" s="3434"/>
      <c r="LZY8" s="3434"/>
      <c r="LZZ8" s="3434"/>
      <c r="MAA8" s="3434"/>
      <c r="MAB8" s="3434"/>
      <c r="MAC8" s="3434"/>
      <c r="MAD8" s="3434"/>
      <c r="MAE8" s="3434"/>
      <c r="MAF8" s="3434"/>
      <c r="MAG8" s="3434"/>
      <c r="MAH8" s="3434"/>
      <c r="MAI8" s="3434"/>
      <c r="MAJ8" s="3434"/>
      <c r="MAK8" s="3434"/>
      <c r="MAL8" s="3434"/>
      <c r="MAM8" s="3434"/>
      <c r="MAN8" s="3434"/>
      <c r="MAO8" s="3434"/>
      <c r="MAP8" s="3434"/>
      <c r="MAQ8" s="3434"/>
      <c r="MAR8" s="3434"/>
      <c r="MAS8" s="3434"/>
      <c r="MAT8" s="3434"/>
      <c r="MAU8" s="3434"/>
      <c r="MAV8" s="3434"/>
      <c r="MAW8" s="3434"/>
      <c r="MAX8" s="3434"/>
      <c r="MAY8" s="3434"/>
      <c r="MAZ8" s="3434"/>
      <c r="MBA8" s="3434"/>
      <c r="MBB8" s="3434"/>
      <c r="MBC8" s="3434"/>
      <c r="MBD8" s="3434"/>
      <c r="MBE8" s="3434"/>
      <c r="MBF8" s="3434"/>
      <c r="MBG8" s="3434"/>
      <c r="MBH8" s="3434"/>
      <c r="MBI8" s="3434"/>
      <c r="MBJ8" s="3434"/>
      <c r="MBK8" s="3434"/>
      <c r="MBL8" s="3434"/>
      <c r="MBM8" s="3434"/>
      <c r="MBN8" s="3434"/>
      <c r="MBO8" s="3434"/>
      <c r="MBP8" s="3434"/>
      <c r="MBQ8" s="3434"/>
      <c r="MBR8" s="3434"/>
      <c r="MBS8" s="3434"/>
      <c r="MBT8" s="3434"/>
      <c r="MBU8" s="3434"/>
      <c r="MBV8" s="3434"/>
      <c r="MBW8" s="3434"/>
      <c r="MBX8" s="3434"/>
      <c r="MBY8" s="3434"/>
      <c r="MBZ8" s="3434"/>
      <c r="MCA8" s="3434"/>
      <c r="MCB8" s="3434"/>
      <c r="MCC8" s="3434"/>
      <c r="MCD8" s="3434"/>
      <c r="MCE8" s="3434"/>
      <c r="MCF8" s="3434"/>
      <c r="MCG8" s="3434"/>
      <c r="MCH8" s="3434"/>
      <c r="MCI8" s="3434"/>
      <c r="MCJ8" s="3434"/>
      <c r="MCK8" s="3434"/>
      <c r="MCL8" s="3434"/>
      <c r="MCM8" s="3434"/>
      <c r="MCN8" s="3434"/>
      <c r="MCO8" s="3434"/>
      <c r="MCP8" s="3434"/>
      <c r="MCQ8" s="3434"/>
      <c r="MCR8" s="3434"/>
      <c r="MCS8" s="3434"/>
      <c r="MCT8" s="3434"/>
      <c r="MCU8" s="3434"/>
      <c r="MCV8" s="3434"/>
      <c r="MCW8" s="3434"/>
      <c r="MCX8" s="3434"/>
      <c r="MCY8" s="3434"/>
      <c r="MCZ8" s="3434"/>
      <c r="MDA8" s="3434"/>
      <c r="MDB8" s="3434"/>
      <c r="MDC8" s="3434"/>
      <c r="MDD8" s="3434"/>
      <c r="MDE8" s="3434"/>
      <c r="MDF8" s="3434"/>
      <c r="MDG8" s="3434"/>
      <c r="MDH8" s="3434"/>
      <c r="MDI8" s="3434"/>
      <c r="MDJ8" s="3434"/>
      <c r="MDK8" s="3434"/>
      <c r="MDL8" s="3434"/>
      <c r="MDM8" s="3434"/>
      <c r="MDN8" s="3434"/>
      <c r="MDO8" s="3434"/>
      <c r="MDP8" s="3434"/>
      <c r="MDQ8" s="3434"/>
      <c r="MDR8" s="3434"/>
      <c r="MDS8" s="3434"/>
      <c r="MDT8" s="3434"/>
      <c r="MDU8" s="3434"/>
      <c r="MDV8" s="3434"/>
      <c r="MDW8" s="3434"/>
      <c r="MDX8" s="3434"/>
      <c r="MDY8" s="3434"/>
      <c r="MDZ8" s="3434"/>
      <c r="MEA8" s="3434"/>
      <c r="MEB8" s="3434"/>
      <c r="MEC8" s="3434"/>
      <c r="MED8" s="3434"/>
      <c r="MEE8" s="3434"/>
      <c r="MEF8" s="3434"/>
      <c r="MEG8" s="3434"/>
      <c r="MEH8" s="3434"/>
      <c r="MEI8" s="3434"/>
      <c r="MEJ8" s="3434"/>
      <c r="MEK8" s="3434"/>
      <c r="MEL8" s="3434"/>
      <c r="MEM8" s="3434"/>
      <c r="MEN8" s="3434"/>
      <c r="MEO8" s="3434"/>
      <c r="MEP8" s="3434"/>
      <c r="MEQ8" s="3434"/>
      <c r="MER8" s="3434"/>
      <c r="MES8" s="3434"/>
      <c r="MET8" s="3434"/>
      <c r="MEU8" s="3434"/>
      <c r="MEV8" s="3434"/>
      <c r="MEW8" s="3434"/>
      <c r="MEX8" s="3434"/>
      <c r="MEY8" s="3434"/>
      <c r="MEZ8" s="3434"/>
      <c r="MFA8" s="3434"/>
      <c r="MFB8" s="3434"/>
      <c r="MFC8" s="3434"/>
      <c r="MFD8" s="3434"/>
      <c r="MFE8" s="3434"/>
      <c r="MFF8" s="3434"/>
      <c r="MFG8" s="3434"/>
      <c r="MFH8" s="3434"/>
      <c r="MFI8" s="3434"/>
      <c r="MFJ8" s="3434"/>
      <c r="MFK8" s="3434"/>
      <c r="MFL8" s="3434"/>
      <c r="MFM8" s="3434"/>
      <c r="MFN8" s="3434"/>
      <c r="MFO8" s="3434"/>
      <c r="MFP8" s="3434"/>
      <c r="MFQ8" s="3434"/>
      <c r="MFR8" s="3434"/>
      <c r="MFS8" s="3434"/>
      <c r="MFT8" s="3434"/>
      <c r="MFU8" s="3434"/>
      <c r="MFV8" s="3434"/>
      <c r="MFW8" s="3434"/>
      <c r="MFX8" s="3434"/>
      <c r="MFY8" s="3434"/>
      <c r="MFZ8" s="3434"/>
      <c r="MGA8" s="3434"/>
      <c r="MGB8" s="3434"/>
      <c r="MGC8" s="3434"/>
      <c r="MGD8" s="3434"/>
      <c r="MGE8" s="3434"/>
      <c r="MGF8" s="3434"/>
      <c r="MGG8" s="3434"/>
      <c r="MGH8" s="3434"/>
      <c r="MGI8" s="3434"/>
      <c r="MGJ8" s="3434"/>
      <c r="MGK8" s="3434"/>
      <c r="MGL8" s="3434"/>
      <c r="MGM8" s="3434"/>
      <c r="MGN8" s="3434"/>
      <c r="MGO8" s="3434"/>
      <c r="MGP8" s="3434"/>
      <c r="MGQ8" s="3434"/>
      <c r="MGR8" s="3434"/>
      <c r="MGS8" s="3434"/>
      <c r="MGT8" s="3434"/>
      <c r="MGU8" s="3434"/>
      <c r="MGV8" s="3434"/>
      <c r="MGW8" s="3434"/>
      <c r="MGX8" s="3434"/>
      <c r="MGY8" s="3434"/>
      <c r="MGZ8" s="3434"/>
      <c r="MHA8" s="3434"/>
      <c r="MHB8" s="3434"/>
      <c r="MHC8" s="3434"/>
      <c r="MHD8" s="3434"/>
      <c r="MHE8" s="3434"/>
      <c r="MHF8" s="3434"/>
      <c r="MHG8" s="3434"/>
      <c r="MHH8" s="3434"/>
      <c r="MHI8" s="3434"/>
      <c r="MHJ8" s="3434"/>
      <c r="MHK8" s="3434"/>
      <c r="MHL8" s="3434"/>
      <c r="MHM8" s="3434"/>
      <c r="MHN8" s="3434"/>
      <c r="MHO8" s="3434"/>
      <c r="MHP8" s="3434"/>
      <c r="MHQ8" s="3434"/>
      <c r="MHR8" s="3434"/>
      <c r="MHS8" s="3434"/>
      <c r="MHT8" s="3434"/>
      <c r="MHU8" s="3434"/>
      <c r="MHV8" s="3434"/>
      <c r="MHW8" s="3434"/>
      <c r="MHX8" s="3434"/>
      <c r="MHY8" s="3434"/>
      <c r="MHZ8" s="3434"/>
      <c r="MIA8" s="3434"/>
      <c r="MIB8" s="3434"/>
      <c r="MIC8" s="3434"/>
      <c r="MID8" s="3434"/>
      <c r="MIE8" s="3434"/>
      <c r="MIF8" s="3434"/>
      <c r="MIG8" s="3434"/>
      <c r="MIH8" s="3434"/>
      <c r="MII8" s="3434"/>
      <c r="MIJ8" s="3434"/>
      <c r="MIK8" s="3434"/>
      <c r="MIL8" s="3434"/>
      <c r="MIM8" s="3434"/>
      <c r="MIN8" s="3434"/>
      <c r="MIO8" s="3434"/>
      <c r="MIP8" s="3434"/>
      <c r="MIQ8" s="3434"/>
      <c r="MIR8" s="3434"/>
      <c r="MIS8" s="3434"/>
      <c r="MIT8" s="3434"/>
      <c r="MIU8" s="3434"/>
      <c r="MIV8" s="3434"/>
      <c r="MIW8" s="3434"/>
      <c r="MIX8" s="3434"/>
      <c r="MIY8" s="3434"/>
      <c r="MIZ8" s="3434"/>
      <c r="MJA8" s="3434"/>
      <c r="MJB8" s="3434"/>
      <c r="MJC8" s="3434"/>
      <c r="MJD8" s="3434"/>
      <c r="MJE8" s="3434"/>
      <c r="MJF8" s="3434"/>
      <c r="MJG8" s="3434"/>
      <c r="MJH8" s="3434"/>
      <c r="MJI8" s="3434"/>
      <c r="MJJ8" s="3434"/>
      <c r="MJK8" s="3434"/>
      <c r="MJL8" s="3434"/>
      <c r="MJM8" s="3434"/>
      <c r="MJN8" s="3434"/>
      <c r="MJO8" s="3434"/>
      <c r="MJP8" s="3434"/>
      <c r="MJQ8" s="3434"/>
      <c r="MJR8" s="3434"/>
      <c r="MJS8" s="3434"/>
      <c r="MJT8" s="3434"/>
      <c r="MJU8" s="3434"/>
      <c r="MJV8" s="3434"/>
      <c r="MJW8" s="3434"/>
      <c r="MJX8" s="3434"/>
      <c r="MJY8" s="3434"/>
      <c r="MJZ8" s="3434"/>
      <c r="MKA8" s="3434"/>
      <c r="MKB8" s="3434"/>
      <c r="MKC8" s="3434"/>
      <c r="MKD8" s="3434"/>
      <c r="MKE8" s="3434"/>
      <c r="MKF8" s="3434"/>
      <c r="MKG8" s="3434"/>
      <c r="MKH8" s="3434"/>
      <c r="MKI8" s="3434"/>
      <c r="MKJ8" s="3434"/>
      <c r="MKK8" s="3434"/>
      <c r="MKL8" s="3434"/>
      <c r="MKM8" s="3434"/>
      <c r="MKN8" s="3434"/>
      <c r="MKO8" s="3434"/>
      <c r="MKP8" s="3434"/>
      <c r="MKQ8" s="3434"/>
      <c r="MKR8" s="3434"/>
      <c r="MKS8" s="3434"/>
      <c r="MKT8" s="3434"/>
      <c r="MKU8" s="3434"/>
      <c r="MKV8" s="3434"/>
      <c r="MKW8" s="3434"/>
      <c r="MKX8" s="3434"/>
      <c r="MKY8" s="3434"/>
      <c r="MKZ8" s="3434"/>
      <c r="MLA8" s="3434"/>
      <c r="MLB8" s="3434"/>
      <c r="MLC8" s="3434"/>
      <c r="MLD8" s="3434"/>
      <c r="MLE8" s="3434"/>
      <c r="MLF8" s="3434"/>
      <c r="MLG8" s="3434"/>
      <c r="MLH8" s="3434"/>
      <c r="MLI8" s="3434"/>
      <c r="MLJ8" s="3434"/>
      <c r="MLK8" s="3434"/>
      <c r="MLL8" s="3434"/>
      <c r="MLM8" s="3434"/>
      <c r="MLN8" s="3434"/>
      <c r="MLO8" s="3434"/>
      <c r="MLP8" s="3434"/>
      <c r="MLQ8" s="3434"/>
      <c r="MLR8" s="3434"/>
      <c r="MLS8" s="3434"/>
      <c r="MLT8" s="3434"/>
      <c r="MLU8" s="3434"/>
      <c r="MLV8" s="3434"/>
      <c r="MLW8" s="3434"/>
      <c r="MLX8" s="3434"/>
      <c r="MLY8" s="3434"/>
      <c r="MLZ8" s="3434"/>
      <c r="MMA8" s="3434"/>
      <c r="MMB8" s="3434"/>
      <c r="MMC8" s="3434"/>
      <c r="MMD8" s="3434"/>
      <c r="MME8" s="3434"/>
      <c r="MMF8" s="3434"/>
      <c r="MMG8" s="3434"/>
      <c r="MMH8" s="3434"/>
      <c r="MMI8" s="3434"/>
      <c r="MMJ8" s="3434"/>
      <c r="MMK8" s="3434"/>
      <c r="MML8" s="3434"/>
      <c r="MMM8" s="3434"/>
      <c r="MMN8" s="3434"/>
      <c r="MMO8" s="3434"/>
      <c r="MMP8" s="3434"/>
      <c r="MMQ8" s="3434"/>
      <c r="MMR8" s="3434"/>
      <c r="MMS8" s="3434"/>
      <c r="MMT8" s="3434"/>
      <c r="MMU8" s="3434"/>
      <c r="MMV8" s="3434"/>
      <c r="MMW8" s="3434"/>
      <c r="MMX8" s="3434"/>
      <c r="MMY8" s="3434"/>
      <c r="MMZ8" s="3434"/>
      <c r="MNA8" s="3434"/>
      <c r="MNB8" s="3434"/>
      <c r="MNC8" s="3434"/>
      <c r="MND8" s="3434"/>
      <c r="MNE8" s="3434"/>
      <c r="MNF8" s="3434"/>
      <c r="MNG8" s="3434"/>
      <c r="MNH8" s="3434"/>
      <c r="MNI8" s="3434"/>
      <c r="MNJ8" s="3434"/>
      <c r="MNK8" s="3434"/>
      <c r="MNL8" s="3434"/>
      <c r="MNM8" s="3434"/>
      <c r="MNN8" s="3434"/>
      <c r="MNO8" s="3434"/>
      <c r="MNP8" s="3434"/>
      <c r="MNQ8" s="3434"/>
      <c r="MNR8" s="3434"/>
      <c r="MNS8" s="3434"/>
      <c r="MNT8" s="3434"/>
      <c r="MNU8" s="3434"/>
      <c r="MNV8" s="3434"/>
      <c r="MNW8" s="3434"/>
      <c r="MNX8" s="3434"/>
      <c r="MNY8" s="3434"/>
      <c r="MNZ8" s="3434"/>
      <c r="MOA8" s="3434"/>
      <c r="MOB8" s="3434"/>
      <c r="MOC8" s="3434"/>
      <c r="MOD8" s="3434"/>
      <c r="MOE8" s="3434"/>
      <c r="MOF8" s="3434"/>
      <c r="MOG8" s="3434"/>
      <c r="MOH8" s="3434"/>
      <c r="MOI8" s="3434"/>
      <c r="MOJ8" s="3434"/>
      <c r="MOK8" s="3434"/>
      <c r="MOL8" s="3434"/>
      <c r="MOM8" s="3434"/>
      <c r="MON8" s="3434"/>
      <c r="MOO8" s="3434"/>
      <c r="MOP8" s="3434"/>
      <c r="MOQ8" s="3434"/>
      <c r="MOR8" s="3434"/>
      <c r="MOS8" s="3434"/>
      <c r="MOT8" s="3434"/>
      <c r="MOU8" s="3434"/>
      <c r="MOV8" s="3434"/>
      <c r="MOW8" s="3434"/>
      <c r="MOX8" s="3434"/>
      <c r="MOY8" s="3434"/>
      <c r="MOZ8" s="3434"/>
      <c r="MPA8" s="3434"/>
      <c r="MPB8" s="3434"/>
      <c r="MPC8" s="3434"/>
      <c r="MPD8" s="3434"/>
      <c r="MPE8" s="3434"/>
      <c r="MPF8" s="3434"/>
      <c r="MPG8" s="3434"/>
      <c r="MPH8" s="3434"/>
      <c r="MPI8" s="3434"/>
      <c r="MPJ8" s="3434"/>
      <c r="MPK8" s="3434"/>
      <c r="MPL8" s="3434"/>
      <c r="MPM8" s="3434"/>
      <c r="MPN8" s="3434"/>
      <c r="MPO8" s="3434"/>
      <c r="MPP8" s="3434"/>
      <c r="MPQ8" s="3434"/>
      <c r="MPR8" s="3434"/>
      <c r="MPS8" s="3434"/>
      <c r="MPT8" s="3434"/>
      <c r="MPU8" s="3434"/>
      <c r="MPV8" s="3434"/>
      <c r="MPW8" s="3434"/>
      <c r="MPX8" s="3434"/>
      <c r="MPY8" s="3434"/>
      <c r="MPZ8" s="3434"/>
      <c r="MQA8" s="3434"/>
      <c r="MQB8" s="3434"/>
      <c r="MQC8" s="3434"/>
      <c r="MQD8" s="3434"/>
      <c r="MQE8" s="3434"/>
      <c r="MQF8" s="3434"/>
      <c r="MQG8" s="3434"/>
      <c r="MQH8" s="3434"/>
      <c r="MQI8" s="3434"/>
      <c r="MQJ8" s="3434"/>
      <c r="MQK8" s="3434"/>
      <c r="MQL8" s="3434"/>
      <c r="MQM8" s="3434"/>
      <c r="MQN8" s="3434"/>
      <c r="MQO8" s="3434"/>
      <c r="MQP8" s="3434"/>
      <c r="MQQ8" s="3434"/>
      <c r="MQR8" s="3434"/>
      <c r="MQS8" s="3434"/>
      <c r="MQT8" s="3434"/>
      <c r="MQU8" s="3434"/>
      <c r="MQV8" s="3434"/>
      <c r="MQW8" s="3434"/>
      <c r="MQX8" s="3434"/>
      <c r="MQY8" s="3434"/>
      <c r="MQZ8" s="3434"/>
      <c r="MRA8" s="3434"/>
      <c r="MRB8" s="3434"/>
      <c r="MRC8" s="3434"/>
      <c r="MRD8" s="3434"/>
      <c r="MRE8" s="3434"/>
      <c r="MRF8" s="3434"/>
      <c r="MRG8" s="3434"/>
      <c r="MRH8" s="3434"/>
      <c r="MRI8" s="3434"/>
      <c r="MRJ8" s="3434"/>
      <c r="MRK8" s="3434"/>
      <c r="MRL8" s="3434"/>
      <c r="MRM8" s="3434"/>
      <c r="MRN8" s="3434"/>
      <c r="MRO8" s="3434"/>
      <c r="MRP8" s="3434"/>
      <c r="MRQ8" s="3434"/>
      <c r="MRR8" s="3434"/>
      <c r="MRS8" s="3434"/>
      <c r="MRT8" s="3434"/>
      <c r="MRU8" s="3434"/>
      <c r="MRV8" s="3434"/>
      <c r="MRW8" s="3434"/>
      <c r="MRX8" s="3434"/>
      <c r="MRY8" s="3434"/>
      <c r="MRZ8" s="3434"/>
      <c r="MSA8" s="3434"/>
      <c r="MSB8" s="3434"/>
      <c r="MSC8" s="3434"/>
      <c r="MSD8" s="3434"/>
      <c r="MSE8" s="3434"/>
      <c r="MSF8" s="3434"/>
      <c r="MSG8" s="3434"/>
      <c r="MSH8" s="3434"/>
      <c r="MSI8" s="3434"/>
      <c r="MSJ8" s="3434"/>
      <c r="MSK8" s="3434"/>
      <c r="MSL8" s="3434"/>
      <c r="MSM8" s="3434"/>
      <c r="MSN8" s="3434"/>
      <c r="MSO8" s="3434"/>
      <c r="MSP8" s="3434"/>
      <c r="MSQ8" s="3434"/>
      <c r="MSR8" s="3434"/>
      <c r="MSS8" s="3434"/>
      <c r="MST8" s="3434"/>
      <c r="MSU8" s="3434"/>
      <c r="MSV8" s="3434"/>
      <c r="MSW8" s="3434"/>
      <c r="MSX8" s="3434"/>
      <c r="MSY8" s="3434"/>
      <c r="MSZ8" s="3434"/>
      <c r="MTA8" s="3434"/>
      <c r="MTB8" s="3434"/>
      <c r="MTC8" s="3434"/>
      <c r="MTD8" s="3434"/>
      <c r="MTE8" s="3434"/>
      <c r="MTF8" s="3434"/>
      <c r="MTG8" s="3434"/>
      <c r="MTH8" s="3434"/>
      <c r="MTI8" s="3434"/>
      <c r="MTJ8" s="3434"/>
      <c r="MTK8" s="3434"/>
      <c r="MTL8" s="3434"/>
      <c r="MTM8" s="3434"/>
      <c r="MTN8" s="3434"/>
      <c r="MTO8" s="3434"/>
      <c r="MTP8" s="3434"/>
      <c r="MTQ8" s="3434"/>
      <c r="MTR8" s="3434"/>
      <c r="MTS8" s="3434"/>
      <c r="MTT8" s="3434"/>
      <c r="MTU8" s="3434"/>
      <c r="MTV8" s="3434"/>
      <c r="MTW8" s="3434"/>
      <c r="MTX8" s="3434"/>
      <c r="MTY8" s="3434"/>
      <c r="MTZ8" s="3434"/>
      <c r="MUA8" s="3434"/>
      <c r="MUB8" s="3434"/>
      <c r="MUC8" s="3434"/>
      <c r="MUD8" s="3434"/>
      <c r="MUE8" s="3434"/>
      <c r="MUF8" s="3434"/>
      <c r="MUG8" s="3434"/>
      <c r="MUH8" s="3434"/>
      <c r="MUI8" s="3434"/>
      <c r="MUJ8" s="3434"/>
      <c r="MUK8" s="3434"/>
      <c r="MUL8" s="3434"/>
      <c r="MUM8" s="3434"/>
      <c r="MUN8" s="3434"/>
      <c r="MUO8" s="3434"/>
      <c r="MUP8" s="3434"/>
      <c r="MUQ8" s="3434"/>
      <c r="MUR8" s="3434"/>
      <c r="MUS8" s="3434"/>
      <c r="MUT8" s="3434"/>
      <c r="MUU8" s="3434"/>
      <c r="MUV8" s="3434"/>
      <c r="MUW8" s="3434"/>
      <c r="MUX8" s="3434"/>
      <c r="MUY8" s="3434"/>
      <c r="MUZ8" s="3434"/>
      <c r="MVA8" s="3434"/>
      <c r="MVB8" s="3434"/>
      <c r="MVC8" s="3434"/>
      <c r="MVD8" s="3434"/>
      <c r="MVE8" s="3434"/>
      <c r="MVF8" s="3434"/>
      <c r="MVG8" s="3434"/>
      <c r="MVH8" s="3434"/>
      <c r="MVI8" s="3434"/>
      <c r="MVJ8" s="3434"/>
      <c r="MVK8" s="3434"/>
      <c r="MVL8" s="3434"/>
      <c r="MVM8" s="3434"/>
      <c r="MVN8" s="3434"/>
      <c r="MVO8" s="3434"/>
      <c r="MVP8" s="3434"/>
      <c r="MVQ8" s="3434"/>
      <c r="MVR8" s="3434"/>
      <c r="MVS8" s="3434"/>
      <c r="MVT8" s="3434"/>
      <c r="MVU8" s="3434"/>
      <c r="MVV8" s="3434"/>
      <c r="MVW8" s="3434"/>
      <c r="MVX8" s="3434"/>
      <c r="MVY8" s="3434"/>
      <c r="MVZ8" s="3434"/>
      <c r="MWA8" s="3434"/>
      <c r="MWB8" s="3434"/>
      <c r="MWC8" s="3434"/>
      <c r="MWD8" s="3434"/>
      <c r="MWE8" s="3434"/>
      <c r="MWF8" s="3434"/>
      <c r="MWG8" s="3434"/>
      <c r="MWH8" s="3434"/>
      <c r="MWI8" s="3434"/>
      <c r="MWJ8" s="3434"/>
      <c r="MWK8" s="3434"/>
      <c r="MWL8" s="3434"/>
      <c r="MWM8" s="3434"/>
      <c r="MWN8" s="3434"/>
      <c r="MWO8" s="3434"/>
      <c r="MWP8" s="3434"/>
      <c r="MWQ8" s="3434"/>
      <c r="MWR8" s="3434"/>
      <c r="MWS8" s="3434"/>
      <c r="MWT8" s="3434"/>
      <c r="MWU8" s="3434"/>
      <c r="MWV8" s="3434"/>
      <c r="MWW8" s="3434"/>
      <c r="MWX8" s="3434"/>
      <c r="MWY8" s="3434"/>
      <c r="MWZ8" s="3434"/>
      <c r="MXA8" s="3434"/>
      <c r="MXB8" s="3434"/>
      <c r="MXC8" s="3434"/>
      <c r="MXD8" s="3434"/>
      <c r="MXE8" s="3434"/>
      <c r="MXF8" s="3434"/>
      <c r="MXG8" s="3434"/>
      <c r="MXH8" s="3434"/>
      <c r="MXI8" s="3434"/>
      <c r="MXJ8" s="3434"/>
      <c r="MXK8" s="3434"/>
      <c r="MXL8" s="3434"/>
      <c r="MXM8" s="3434"/>
      <c r="MXN8" s="3434"/>
      <c r="MXO8" s="3434"/>
      <c r="MXP8" s="3434"/>
      <c r="MXQ8" s="3434"/>
      <c r="MXR8" s="3434"/>
      <c r="MXS8" s="3434"/>
      <c r="MXT8" s="3434"/>
      <c r="MXU8" s="3434"/>
      <c r="MXV8" s="3434"/>
      <c r="MXW8" s="3434"/>
      <c r="MXX8" s="3434"/>
      <c r="MXY8" s="3434"/>
      <c r="MXZ8" s="3434"/>
      <c r="MYA8" s="3434"/>
      <c r="MYB8" s="3434"/>
      <c r="MYC8" s="3434"/>
      <c r="MYD8" s="3434"/>
      <c r="MYE8" s="3434"/>
      <c r="MYF8" s="3434"/>
      <c r="MYG8" s="3434"/>
      <c r="MYH8" s="3434"/>
      <c r="MYI8" s="3434"/>
      <c r="MYJ8" s="3434"/>
      <c r="MYK8" s="3434"/>
      <c r="MYL8" s="3434"/>
      <c r="MYM8" s="3434"/>
      <c r="MYN8" s="3434"/>
      <c r="MYO8" s="3434"/>
      <c r="MYP8" s="3434"/>
      <c r="MYQ8" s="3434"/>
      <c r="MYR8" s="3434"/>
      <c r="MYS8" s="3434"/>
      <c r="MYT8" s="3434"/>
      <c r="MYU8" s="3434"/>
      <c r="MYV8" s="3434"/>
      <c r="MYW8" s="3434"/>
      <c r="MYX8" s="3434"/>
      <c r="MYY8" s="3434"/>
      <c r="MYZ8" s="3434"/>
      <c r="MZA8" s="3434"/>
      <c r="MZB8" s="3434"/>
      <c r="MZC8" s="3434"/>
      <c r="MZD8" s="3434"/>
      <c r="MZE8" s="3434"/>
      <c r="MZF8" s="3434"/>
      <c r="MZG8" s="3434"/>
      <c r="MZH8" s="3434"/>
      <c r="MZI8" s="3434"/>
      <c r="MZJ8" s="3434"/>
      <c r="MZK8" s="3434"/>
      <c r="MZL8" s="3434"/>
      <c r="MZM8" s="3434"/>
      <c r="MZN8" s="3434"/>
      <c r="MZO8" s="3434"/>
      <c r="MZP8" s="3434"/>
      <c r="MZQ8" s="3434"/>
      <c r="MZR8" s="3434"/>
      <c r="MZS8" s="3434"/>
      <c r="MZT8" s="3434"/>
      <c r="MZU8" s="3434"/>
      <c r="MZV8" s="3434"/>
      <c r="MZW8" s="3434"/>
      <c r="MZX8" s="3434"/>
      <c r="MZY8" s="3434"/>
      <c r="MZZ8" s="3434"/>
      <c r="NAA8" s="3434"/>
      <c r="NAB8" s="3434"/>
      <c r="NAC8" s="3434"/>
      <c r="NAD8" s="3434"/>
      <c r="NAE8" s="3434"/>
      <c r="NAF8" s="3434"/>
      <c r="NAG8" s="3434"/>
      <c r="NAH8" s="3434"/>
      <c r="NAI8" s="3434"/>
      <c r="NAJ8" s="3434"/>
      <c r="NAK8" s="3434"/>
      <c r="NAL8" s="3434"/>
      <c r="NAM8" s="3434"/>
      <c r="NAN8" s="3434"/>
      <c r="NAO8" s="3434"/>
      <c r="NAP8" s="3434"/>
      <c r="NAQ8" s="3434"/>
      <c r="NAR8" s="3434"/>
      <c r="NAS8" s="3434"/>
      <c r="NAT8" s="3434"/>
      <c r="NAU8" s="3434"/>
      <c r="NAV8" s="3434"/>
      <c r="NAW8" s="3434"/>
      <c r="NAX8" s="3434"/>
      <c r="NAY8" s="3434"/>
      <c r="NAZ8" s="3434"/>
      <c r="NBA8" s="3434"/>
      <c r="NBB8" s="3434"/>
      <c r="NBC8" s="3434"/>
      <c r="NBD8" s="3434"/>
      <c r="NBE8" s="3434"/>
      <c r="NBF8" s="3434"/>
      <c r="NBG8" s="3434"/>
      <c r="NBH8" s="3434"/>
      <c r="NBI8" s="3434"/>
      <c r="NBJ8" s="3434"/>
      <c r="NBK8" s="3434"/>
      <c r="NBL8" s="3434"/>
      <c r="NBM8" s="3434"/>
      <c r="NBN8" s="3434"/>
      <c r="NBO8" s="3434"/>
      <c r="NBP8" s="3434"/>
      <c r="NBQ8" s="3434"/>
      <c r="NBR8" s="3434"/>
      <c r="NBS8" s="3434"/>
      <c r="NBT8" s="3434"/>
      <c r="NBU8" s="3434"/>
      <c r="NBV8" s="3434"/>
      <c r="NBW8" s="3434"/>
      <c r="NBX8" s="3434"/>
      <c r="NBY8" s="3434"/>
      <c r="NBZ8" s="3434"/>
      <c r="NCA8" s="3434"/>
      <c r="NCB8" s="3434"/>
      <c r="NCC8" s="3434"/>
      <c r="NCD8" s="3434"/>
      <c r="NCE8" s="3434"/>
      <c r="NCF8" s="3434"/>
      <c r="NCG8" s="3434"/>
      <c r="NCH8" s="3434"/>
      <c r="NCI8" s="3434"/>
      <c r="NCJ8" s="3434"/>
      <c r="NCK8" s="3434"/>
      <c r="NCL8" s="3434"/>
      <c r="NCM8" s="3434"/>
      <c r="NCN8" s="3434"/>
      <c r="NCO8" s="3434"/>
      <c r="NCP8" s="3434"/>
      <c r="NCQ8" s="3434"/>
      <c r="NCR8" s="3434"/>
      <c r="NCS8" s="3434"/>
      <c r="NCT8" s="3434"/>
      <c r="NCU8" s="3434"/>
      <c r="NCV8" s="3434"/>
      <c r="NCW8" s="3434"/>
      <c r="NCX8" s="3434"/>
      <c r="NCY8" s="3434"/>
      <c r="NCZ8" s="3434"/>
      <c r="NDA8" s="3434"/>
      <c r="NDB8" s="3434"/>
      <c r="NDC8" s="3434"/>
      <c r="NDD8" s="3434"/>
      <c r="NDE8" s="3434"/>
      <c r="NDF8" s="3434"/>
      <c r="NDG8" s="3434"/>
      <c r="NDH8" s="3434"/>
      <c r="NDI8" s="3434"/>
      <c r="NDJ8" s="3434"/>
      <c r="NDK8" s="3434"/>
      <c r="NDL8" s="3434"/>
      <c r="NDM8" s="3434"/>
      <c r="NDN8" s="3434"/>
      <c r="NDO8" s="3434"/>
      <c r="NDP8" s="3434"/>
      <c r="NDQ8" s="3434"/>
      <c r="NDR8" s="3434"/>
      <c r="NDS8" s="3434"/>
      <c r="NDT8" s="3434"/>
      <c r="NDU8" s="3434"/>
      <c r="NDV8" s="3434"/>
      <c r="NDW8" s="3434"/>
      <c r="NDX8" s="3434"/>
      <c r="NDY8" s="3434"/>
      <c r="NDZ8" s="3434"/>
      <c r="NEA8" s="3434"/>
      <c r="NEB8" s="3434"/>
      <c r="NEC8" s="3434"/>
      <c r="NED8" s="3434"/>
      <c r="NEE8" s="3434"/>
      <c r="NEF8" s="3434"/>
      <c r="NEG8" s="3434"/>
      <c r="NEH8" s="3434"/>
      <c r="NEI8" s="3434"/>
      <c r="NEJ8" s="3434"/>
      <c r="NEK8" s="3434"/>
      <c r="NEL8" s="3434"/>
      <c r="NEM8" s="3434"/>
      <c r="NEN8" s="3434"/>
      <c r="NEO8" s="3434"/>
      <c r="NEP8" s="3434"/>
      <c r="NEQ8" s="3434"/>
      <c r="NER8" s="3434"/>
      <c r="NES8" s="3434"/>
      <c r="NET8" s="3434"/>
      <c r="NEU8" s="3434"/>
      <c r="NEV8" s="3434"/>
      <c r="NEW8" s="3434"/>
      <c r="NEX8" s="3434"/>
      <c r="NEY8" s="3434"/>
      <c r="NEZ8" s="3434"/>
      <c r="NFA8" s="3434"/>
      <c r="NFB8" s="3434"/>
      <c r="NFC8" s="3434"/>
      <c r="NFD8" s="3434"/>
      <c r="NFE8" s="3434"/>
      <c r="NFF8" s="3434"/>
      <c r="NFG8" s="3434"/>
      <c r="NFH8" s="3434"/>
      <c r="NFI8" s="3434"/>
      <c r="NFJ8" s="3434"/>
      <c r="NFK8" s="3434"/>
      <c r="NFL8" s="3434"/>
      <c r="NFM8" s="3434"/>
      <c r="NFN8" s="3434"/>
      <c r="NFO8" s="3434"/>
      <c r="NFP8" s="3434"/>
      <c r="NFQ8" s="3434"/>
      <c r="NFR8" s="3434"/>
      <c r="NFS8" s="3434"/>
      <c r="NFT8" s="3434"/>
      <c r="NFU8" s="3434"/>
      <c r="NFV8" s="3434"/>
      <c r="NFW8" s="3434"/>
      <c r="NFX8" s="3434"/>
      <c r="NFY8" s="3434"/>
      <c r="NFZ8" s="3434"/>
      <c r="NGA8" s="3434"/>
      <c r="NGB8" s="3434"/>
      <c r="NGC8" s="3434"/>
      <c r="NGD8" s="3434"/>
      <c r="NGE8" s="3434"/>
      <c r="NGF8" s="3434"/>
      <c r="NGG8" s="3434"/>
      <c r="NGH8" s="3434"/>
      <c r="NGI8" s="3434"/>
      <c r="NGJ8" s="3434"/>
      <c r="NGK8" s="3434"/>
      <c r="NGL8" s="3434"/>
      <c r="NGM8" s="3434"/>
      <c r="NGN8" s="3434"/>
      <c r="NGO8" s="3434"/>
      <c r="NGP8" s="3434"/>
      <c r="NGQ8" s="3434"/>
      <c r="NGR8" s="3434"/>
      <c r="NGS8" s="3434"/>
      <c r="NGT8" s="3434"/>
      <c r="NGU8" s="3434"/>
      <c r="NGV8" s="3434"/>
      <c r="NGW8" s="3434"/>
      <c r="NGX8" s="3434"/>
      <c r="NGY8" s="3434"/>
      <c r="NGZ8" s="3434"/>
      <c r="NHA8" s="3434"/>
      <c r="NHB8" s="3434"/>
      <c r="NHC8" s="3434"/>
      <c r="NHD8" s="3434"/>
      <c r="NHE8" s="3434"/>
      <c r="NHF8" s="3434"/>
      <c r="NHG8" s="3434"/>
      <c r="NHH8" s="3434"/>
      <c r="NHI8" s="3434"/>
      <c r="NHJ8" s="3434"/>
      <c r="NHK8" s="3434"/>
      <c r="NHL8" s="3434"/>
      <c r="NHM8" s="3434"/>
      <c r="NHN8" s="3434"/>
      <c r="NHO8" s="3434"/>
      <c r="NHP8" s="3434"/>
      <c r="NHQ8" s="3434"/>
      <c r="NHR8" s="3434"/>
      <c r="NHS8" s="3434"/>
      <c r="NHT8" s="3434"/>
      <c r="NHU8" s="3434"/>
      <c r="NHV8" s="3434"/>
      <c r="NHW8" s="3434"/>
      <c r="NHX8" s="3434"/>
      <c r="NHY8" s="3434"/>
      <c r="NHZ8" s="3434"/>
      <c r="NIA8" s="3434"/>
      <c r="NIB8" s="3434"/>
      <c r="NIC8" s="3434"/>
      <c r="NID8" s="3434"/>
      <c r="NIE8" s="3434"/>
      <c r="NIF8" s="3434"/>
      <c r="NIG8" s="3434"/>
      <c r="NIH8" s="3434"/>
      <c r="NII8" s="3434"/>
      <c r="NIJ8" s="3434"/>
      <c r="NIK8" s="3434"/>
      <c r="NIL8" s="3434"/>
      <c r="NIM8" s="3434"/>
      <c r="NIN8" s="3434"/>
      <c r="NIO8" s="3434"/>
      <c r="NIP8" s="3434"/>
      <c r="NIQ8" s="3434"/>
      <c r="NIR8" s="3434"/>
      <c r="NIS8" s="3434"/>
      <c r="NIT8" s="3434"/>
      <c r="NIU8" s="3434"/>
      <c r="NIV8" s="3434"/>
      <c r="NIW8" s="3434"/>
      <c r="NIX8" s="3434"/>
      <c r="NIY8" s="3434"/>
      <c r="NIZ8" s="3434"/>
      <c r="NJA8" s="3434"/>
      <c r="NJB8" s="3434"/>
      <c r="NJC8" s="3434"/>
      <c r="NJD8" s="3434"/>
      <c r="NJE8" s="3434"/>
      <c r="NJF8" s="3434"/>
      <c r="NJG8" s="3434"/>
      <c r="NJH8" s="3434"/>
      <c r="NJI8" s="3434"/>
      <c r="NJJ8" s="3434"/>
      <c r="NJK8" s="3434"/>
      <c r="NJL8" s="3434"/>
      <c r="NJM8" s="3434"/>
      <c r="NJN8" s="3434"/>
      <c r="NJO8" s="3434"/>
      <c r="NJP8" s="3434"/>
      <c r="NJQ8" s="3434"/>
      <c r="NJR8" s="3434"/>
      <c r="NJS8" s="3434"/>
      <c r="NJT8" s="3434"/>
      <c r="NJU8" s="3434"/>
      <c r="NJV8" s="3434"/>
      <c r="NJW8" s="3434"/>
      <c r="NJX8" s="3434"/>
      <c r="NJY8" s="3434"/>
      <c r="NJZ8" s="3434"/>
      <c r="NKA8" s="3434"/>
      <c r="NKB8" s="3434"/>
      <c r="NKC8" s="3434"/>
      <c r="NKD8" s="3434"/>
      <c r="NKE8" s="3434"/>
      <c r="NKF8" s="3434"/>
      <c r="NKG8" s="3434"/>
      <c r="NKH8" s="3434"/>
      <c r="NKI8" s="3434"/>
      <c r="NKJ8" s="3434"/>
      <c r="NKK8" s="3434"/>
      <c r="NKL8" s="3434"/>
      <c r="NKM8" s="3434"/>
      <c r="NKN8" s="3434"/>
      <c r="NKO8" s="3434"/>
      <c r="NKP8" s="3434"/>
      <c r="NKQ8" s="3434"/>
      <c r="NKR8" s="3434"/>
      <c r="NKS8" s="3434"/>
      <c r="NKT8" s="3434"/>
      <c r="NKU8" s="3434"/>
      <c r="NKV8" s="3434"/>
      <c r="NKW8" s="3434"/>
      <c r="NKX8" s="3434"/>
      <c r="NKY8" s="3434"/>
      <c r="NKZ8" s="3434"/>
      <c r="NLA8" s="3434"/>
      <c r="NLB8" s="3434"/>
      <c r="NLC8" s="3434"/>
      <c r="NLD8" s="3434"/>
      <c r="NLE8" s="3434"/>
      <c r="NLF8" s="3434"/>
      <c r="NLG8" s="3434"/>
      <c r="NLH8" s="3434"/>
      <c r="NLI8" s="3434"/>
      <c r="NLJ8" s="3434"/>
      <c r="NLK8" s="3434"/>
      <c r="NLL8" s="3434"/>
      <c r="NLM8" s="3434"/>
      <c r="NLN8" s="3434"/>
      <c r="NLO8" s="3434"/>
      <c r="NLP8" s="3434"/>
      <c r="NLQ8" s="3434"/>
      <c r="NLR8" s="3434"/>
      <c r="NLS8" s="3434"/>
      <c r="NLT8" s="3434"/>
      <c r="NLU8" s="3434"/>
      <c r="NLV8" s="3434"/>
      <c r="NLW8" s="3434"/>
      <c r="NLX8" s="3434"/>
      <c r="NLY8" s="3434"/>
      <c r="NLZ8" s="3434"/>
      <c r="NMA8" s="3434"/>
      <c r="NMB8" s="3434"/>
      <c r="NMC8" s="3434"/>
      <c r="NMD8" s="3434"/>
      <c r="NME8" s="3434"/>
      <c r="NMF8" s="3434"/>
      <c r="NMG8" s="3434"/>
      <c r="NMH8" s="3434"/>
      <c r="NMI8" s="3434"/>
      <c r="NMJ8" s="3434"/>
      <c r="NMK8" s="3434"/>
      <c r="NML8" s="3434"/>
      <c r="NMM8" s="3434"/>
      <c r="NMN8" s="3434"/>
      <c r="NMO8" s="3434"/>
      <c r="NMP8" s="3434"/>
      <c r="NMQ8" s="3434"/>
      <c r="NMR8" s="3434"/>
      <c r="NMS8" s="3434"/>
      <c r="NMT8" s="3434"/>
      <c r="NMU8" s="3434"/>
      <c r="NMV8" s="3434"/>
      <c r="NMW8" s="3434"/>
      <c r="NMX8" s="3434"/>
      <c r="NMY8" s="3434"/>
      <c r="NMZ8" s="3434"/>
      <c r="NNA8" s="3434"/>
      <c r="NNB8" s="3434"/>
      <c r="NNC8" s="3434"/>
      <c r="NND8" s="3434"/>
      <c r="NNE8" s="3434"/>
      <c r="NNF8" s="3434"/>
      <c r="NNG8" s="3434"/>
      <c r="NNH8" s="3434"/>
      <c r="NNI8" s="3434"/>
      <c r="NNJ8" s="3434"/>
      <c r="NNK8" s="3434"/>
      <c r="NNL8" s="3434"/>
      <c r="NNM8" s="3434"/>
      <c r="NNN8" s="3434"/>
      <c r="NNO8" s="3434"/>
      <c r="NNP8" s="3434"/>
      <c r="NNQ8" s="3434"/>
      <c r="NNR8" s="3434"/>
      <c r="NNS8" s="3434"/>
      <c r="NNT8" s="3434"/>
      <c r="NNU8" s="3434"/>
      <c r="NNV8" s="3434"/>
      <c r="NNW8" s="3434"/>
      <c r="NNX8" s="3434"/>
      <c r="NNY8" s="3434"/>
      <c r="NNZ8" s="3434"/>
      <c r="NOA8" s="3434"/>
      <c r="NOB8" s="3434"/>
      <c r="NOC8" s="3434"/>
      <c r="NOD8" s="3434"/>
      <c r="NOE8" s="3434"/>
      <c r="NOF8" s="3434"/>
      <c r="NOG8" s="3434"/>
      <c r="NOH8" s="3434"/>
      <c r="NOI8" s="3434"/>
      <c r="NOJ8" s="3434"/>
      <c r="NOK8" s="3434"/>
      <c r="NOL8" s="3434"/>
      <c r="NOM8" s="3434"/>
      <c r="NON8" s="3434"/>
      <c r="NOO8" s="3434"/>
      <c r="NOP8" s="3434"/>
      <c r="NOQ8" s="3434"/>
      <c r="NOR8" s="3434"/>
      <c r="NOS8" s="3434"/>
      <c r="NOT8" s="3434"/>
      <c r="NOU8" s="3434"/>
      <c r="NOV8" s="3434"/>
      <c r="NOW8" s="3434"/>
      <c r="NOX8" s="3434"/>
      <c r="NOY8" s="3434"/>
      <c r="NOZ8" s="3434"/>
      <c r="NPA8" s="3434"/>
      <c r="NPB8" s="3434"/>
      <c r="NPC8" s="3434"/>
      <c r="NPD8" s="3434"/>
      <c r="NPE8" s="3434"/>
      <c r="NPF8" s="3434"/>
      <c r="NPG8" s="3434"/>
      <c r="NPH8" s="3434"/>
      <c r="NPI8" s="3434"/>
      <c r="NPJ8" s="3434"/>
      <c r="NPK8" s="3434"/>
      <c r="NPL8" s="3434"/>
      <c r="NPM8" s="3434"/>
      <c r="NPN8" s="3434"/>
      <c r="NPO8" s="3434"/>
      <c r="NPP8" s="3434"/>
      <c r="NPQ8" s="3434"/>
      <c r="NPR8" s="3434"/>
      <c r="NPS8" s="3434"/>
      <c r="NPT8" s="3434"/>
      <c r="NPU8" s="3434"/>
      <c r="NPV8" s="3434"/>
      <c r="NPW8" s="3434"/>
      <c r="NPX8" s="3434"/>
      <c r="NPY8" s="3434"/>
      <c r="NPZ8" s="3434"/>
      <c r="NQA8" s="3434"/>
      <c r="NQB8" s="3434"/>
      <c r="NQC8" s="3434"/>
      <c r="NQD8" s="3434"/>
      <c r="NQE8" s="3434"/>
      <c r="NQF8" s="3434"/>
      <c r="NQG8" s="3434"/>
      <c r="NQH8" s="3434"/>
      <c r="NQI8" s="3434"/>
      <c r="NQJ8" s="3434"/>
      <c r="NQK8" s="3434"/>
      <c r="NQL8" s="3434"/>
      <c r="NQM8" s="3434"/>
      <c r="NQN8" s="3434"/>
      <c r="NQO8" s="3434"/>
      <c r="NQP8" s="3434"/>
      <c r="NQQ8" s="3434"/>
      <c r="NQR8" s="3434"/>
      <c r="NQS8" s="3434"/>
      <c r="NQT8" s="3434"/>
      <c r="NQU8" s="3434"/>
      <c r="NQV8" s="3434"/>
      <c r="NQW8" s="3434"/>
      <c r="NQX8" s="3434"/>
      <c r="NQY8" s="3434"/>
      <c r="NQZ8" s="3434"/>
      <c r="NRA8" s="3434"/>
      <c r="NRB8" s="3434"/>
      <c r="NRC8" s="3434"/>
      <c r="NRD8" s="3434"/>
      <c r="NRE8" s="3434"/>
      <c r="NRF8" s="3434"/>
      <c r="NRG8" s="3434"/>
      <c r="NRH8" s="3434"/>
      <c r="NRI8" s="3434"/>
      <c r="NRJ8" s="3434"/>
      <c r="NRK8" s="3434"/>
      <c r="NRL8" s="3434"/>
      <c r="NRM8" s="3434"/>
      <c r="NRN8" s="3434"/>
      <c r="NRO8" s="3434"/>
      <c r="NRP8" s="3434"/>
      <c r="NRQ8" s="3434"/>
      <c r="NRR8" s="3434"/>
      <c r="NRS8" s="3434"/>
      <c r="NRT8" s="3434"/>
      <c r="NRU8" s="3434"/>
      <c r="NRV8" s="3434"/>
      <c r="NRW8" s="3434"/>
      <c r="NRX8" s="3434"/>
      <c r="NRY8" s="3434"/>
      <c r="NRZ8" s="3434"/>
      <c r="NSA8" s="3434"/>
      <c r="NSB8" s="3434"/>
      <c r="NSC8" s="3434"/>
      <c r="NSD8" s="3434"/>
      <c r="NSE8" s="3434"/>
      <c r="NSF8" s="3434"/>
      <c r="NSG8" s="3434"/>
      <c r="NSH8" s="3434"/>
      <c r="NSI8" s="3434"/>
      <c r="NSJ8" s="3434"/>
      <c r="NSK8" s="3434"/>
      <c r="NSL8" s="3434"/>
      <c r="NSM8" s="3434"/>
      <c r="NSN8" s="3434"/>
      <c r="NSO8" s="3434"/>
      <c r="NSP8" s="3434"/>
      <c r="NSQ8" s="3434"/>
      <c r="NSR8" s="3434"/>
      <c r="NSS8" s="3434"/>
      <c r="NST8" s="3434"/>
      <c r="NSU8" s="3434"/>
      <c r="NSV8" s="3434"/>
      <c r="NSW8" s="3434"/>
      <c r="NSX8" s="3434"/>
      <c r="NSY8" s="3434"/>
      <c r="NSZ8" s="3434"/>
      <c r="NTA8" s="3434"/>
      <c r="NTB8" s="3434"/>
      <c r="NTC8" s="3434"/>
      <c r="NTD8" s="3434"/>
      <c r="NTE8" s="3434"/>
      <c r="NTF8" s="3434"/>
      <c r="NTG8" s="3434"/>
      <c r="NTH8" s="3434"/>
      <c r="NTI8" s="3434"/>
      <c r="NTJ8" s="3434"/>
      <c r="NTK8" s="3434"/>
      <c r="NTL8" s="3434"/>
      <c r="NTM8" s="3434"/>
      <c r="NTN8" s="3434"/>
      <c r="NTO8" s="3434"/>
      <c r="NTP8" s="3434"/>
      <c r="NTQ8" s="3434"/>
      <c r="NTR8" s="3434"/>
      <c r="NTS8" s="3434"/>
      <c r="NTT8" s="3434"/>
      <c r="NTU8" s="3434"/>
      <c r="NTV8" s="3434"/>
      <c r="NTW8" s="3434"/>
      <c r="NTX8" s="3434"/>
      <c r="NTY8" s="3434"/>
      <c r="NTZ8" s="3434"/>
      <c r="NUA8" s="3434"/>
      <c r="NUB8" s="3434"/>
      <c r="NUC8" s="3434"/>
      <c r="NUD8" s="3434"/>
      <c r="NUE8" s="3434"/>
      <c r="NUF8" s="3434"/>
      <c r="NUG8" s="3434"/>
      <c r="NUH8" s="3434"/>
      <c r="NUI8" s="3434"/>
      <c r="NUJ8" s="3434"/>
      <c r="NUK8" s="3434"/>
      <c r="NUL8" s="3434"/>
      <c r="NUM8" s="3434"/>
      <c r="NUN8" s="3434"/>
      <c r="NUO8" s="3434"/>
      <c r="NUP8" s="3434"/>
      <c r="NUQ8" s="3434"/>
      <c r="NUR8" s="3434"/>
      <c r="NUS8" s="3434"/>
      <c r="NUT8" s="3434"/>
      <c r="NUU8" s="3434"/>
      <c r="NUV8" s="3434"/>
      <c r="NUW8" s="3434"/>
      <c r="NUX8" s="3434"/>
      <c r="NUY8" s="3434"/>
      <c r="NUZ8" s="3434"/>
      <c r="NVA8" s="3434"/>
      <c r="NVB8" s="3434"/>
      <c r="NVC8" s="3434"/>
      <c r="NVD8" s="3434"/>
      <c r="NVE8" s="3434"/>
      <c r="NVF8" s="3434"/>
      <c r="NVG8" s="3434"/>
      <c r="NVH8" s="3434"/>
      <c r="NVI8" s="3434"/>
      <c r="NVJ8" s="3434"/>
      <c r="NVK8" s="3434"/>
      <c r="NVL8" s="3434"/>
      <c r="NVM8" s="3434"/>
      <c r="NVN8" s="3434"/>
      <c r="NVO8" s="3434"/>
      <c r="NVP8" s="3434"/>
      <c r="NVQ8" s="3434"/>
      <c r="NVR8" s="3434"/>
      <c r="NVS8" s="3434"/>
      <c r="NVT8" s="3434"/>
      <c r="NVU8" s="3434"/>
      <c r="NVV8" s="3434"/>
      <c r="NVW8" s="3434"/>
      <c r="NVX8" s="3434"/>
      <c r="NVY8" s="3434"/>
      <c r="NVZ8" s="3434"/>
      <c r="NWA8" s="3434"/>
      <c r="NWB8" s="3434"/>
      <c r="NWC8" s="3434"/>
      <c r="NWD8" s="3434"/>
      <c r="NWE8" s="3434"/>
      <c r="NWF8" s="3434"/>
      <c r="NWG8" s="3434"/>
      <c r="NWH8" s="3434"/>
      <c r="NWI8" s="3434"/>
      <c r="NWJ8" s="3434"/>
      <c r="NWK8" s="3434"/>
      <c r="NWL8" s="3434"/>
      <c r="NWM8" s="3434"/>
      <c r="NWN8" s="3434"/>
      <c r="NWO8" s="3434"/>
      <c r="NWP8" s="3434"/>
      <c r="NWQ8" s="3434"/>
      <c r="NWR8" s="3434"/>
      <c r="NWS8" s="3434"/>
      <c r="NWT8" s="3434"/>
      <c r="NWU8" s="3434"/>
      <c r="NWV8" s="3434"/>
      <c r="NWW8" s="3434"/>
      <c r="NWX8" s="3434"/>
      <c r="NWY8" s="3434"/>
      <c r="NWZ8" s="3434"/>
      <c r="NXA8" s="3434"/>
      <c r="NXB8" s="3434"/>
      <c r="NXC8" s="3434"/>
      <c r="NXD8" s="3434"/>
      <c r="NXE8" s="3434"/>
      <c r="NXF8" s="3434"/>
      <c r="NXG8" s="3434"/>
      <c r="NXH8" s="3434"/>
      <c r="NXI8" s="3434"/>
      <c r="NXJ8" s="3434"/>
      <c r="NXK8" s="3434"/>
      <c r="NXL8" s="3434"/>
      <c r="NXM8" s="3434"/>
      <c r="NXN8" s="3434"/>
      <c r="NXO8" s="3434"/>
      <c r="NXP8" s="3434"/>
      <c r="NXQ8" s="3434"/>
      <c r="NXR8" s="3434"/>
      <c r="NXS8" s="3434"/>
      <c r="NXT8" s="3434"/>
      <c r="NXU8" s="3434"/>
      <c r="NXV8" s="3434"/>
      <c r="NXW8" s="3434"/>
      <c r="NXX8" s="3434"/>
      <c r="NXY8" s="3434"/>
      <c r="NXZ8" s="3434"/>
      <c r="NYA8" s="3434"/>
      <c r="NYB8" s="3434"/>
      <c r="NYC8" s="3434"/>
      <c r="NYD8" s="3434"/>
      <c r="NYE8" s="3434"/>
      <c r="NYF8" s="3434"/>
      <c r="NYG8" s="3434"/>
      <c r="NYH8" s="3434"/>
      <c r="NYI8" s="3434"/>
      <c r="NYJ8" s="3434"/>
      <c r="NYK8" s="3434"/>
      <c r="NYL8" s="3434"/>
      <c r="NYM8" s="3434"/>
      <c r="NYN8" s="3434"/>
      <c r="NYO8" s="3434"/>
      <c r="NYP8" s="3434"/>
      <c r="NYQ8" s="3434"/>
      <c r="NYR8" s="3434"/>
      <c r="NYS8" s="3434"/>
      <c r="NYT8" s="3434"/>
      <c r="NYU8" s="3434"/>
      <c r="NYV8" s="3434"/>
      <c r="NYW8" s="3434"/>
      <c r="NYX8" s="3434"/>
      <c r="NYY8" s="3434"/>
      <c r="NYZ8" s="3434"/>
      <c r="NZA8" s="3434"/>
      <c r="NZB8" s="3434"/>
      <c r="NZC8" s="3434"/>
      <c r="NZD8" s="3434"/>
      <c r="NZE8" s="3434"/>
      <c r="NZF8" s="3434"/>
      <c r="NZG8" s="3434"/>
      <c r="NZH8" s="3434"/>
      <c r="NZI8" s="3434"/>
      <c r="NZJ8" s="3434"/>
      <c r="NZK8" s="3434"/>
      <c r="NZL8" s="3434"/>
      <c r="NZM8" s="3434"/>
      <c r="NZN8" s="3434"/>
      <c r="NZO8" s="3434"/>
      <c r="NZP8" s="3434"/>
      <c r="NZQ8" s="3434"/>
      <c r="NZR8" s="3434"/>
      <c r="NZS8" s="3434"/>
      <c r="NZT8" s="3434"/>
      <c r="NZU8" s="3434"/>
      <c r="NZV8" s="3434"/>
      <c r="NZW8" s="3434"/>
      <c r="NZX8" s="3434"/>
      <c r="NZY8" s="3434"/>
      <c r="NZZ8" s="3434"/>
      <c r="OAA8" s="3434"/>
      <c r="OAB8" s="3434"/>
      <c r="OAC8" s="3434"/>
      <c r="OAD8" s="3434"/>
      <c r="OAE8" s="3434"/>
      <c r="OAF8" s="3434"/>
      <c r="OAG8" s="3434"/>
      <c r="OAH8" s="3434"/>
      <c r="OAI8" s="3434"/>
      <c r="OAJ8" s="3434"/>
      <c r="OAK8" s="3434"/>
      <c r="OAL8" s="3434"/>
      <c r="OAM8" s="3434"/>
      <c r="OAN8" s="3434"/>
      <c r="OAO8" s="3434"/>
      <c r="OAP8" s="3434"/>
      <c r="OAQ8" s="3434"/>
      <c r="OAR8" s="3434"/>
      <c r="OAS8" s="3434"/>
      <c r="OAT8" s="3434"/>
      <c r="OAU8" s="3434"/>
      <c r="OAV8" s="3434"/>
      <c r="OAW8" s="3434"/>
      <c r="OAX8" s="3434"/>
      <c r="OAY8" s="3434"/>
      <c r="OAZ8" s="3434"/>
      <c r="OBA8" s="3434"/>
      <c r="OBB8" s="3434"/>
      <c r="OBC8" s="3434"/>
      <c r="OBD8" s="3434"/>
      <c r="OBE8" s="3434"/>
      <c r="OBF8" s="3434"/>
      <c r="OBG8" s="3434"/>
      <c r="OBH8" s="3434"/>
      <c r="OBI8" s="3434"/>
      <c r="OBJ8" s="3434"/>
      <c r="OBK8" s="3434"/>
      <c r="OBL8" s="3434"/>
      <c r="OBM8" s="3434"/>
      <c r="OBN8" s="3434"/>
      <c r="OBO8" s="3434"/>
      <c r="OBP8" s="3434"/>
      <c r="OBQ8" s="3434"/>
      <c r="OBR8" s="3434"/>
      <c r="OBS8" s="3434"/>
      <c r="OBT8" s="3434"/>
      <c r="OBU8" s="3434"/>
      <c r="OBV8" s="3434"/>
      <c r="OBW8" s="3434"/>
      <c r="OBX8" s="3434"/>
      <c r="OBY8" s="3434"/>
      <c r="OBZ8" s="3434"/>
      <c r="OCA8" s="3434"/>
      <c r="OCB8" s="3434"/>
      <c r="OCC8" s="3434"/>
      <c r="OCD8" s="3434"/>
      <c r="OCE8" s="3434"/>
      <c r="OCF8" s="3434"/>
      <c r="OCG8" s="3434"/>
      <c r="OCH8" s="3434"/>
      <c r="OCI8" s="3434"/>
      <c r="OCJ8" s="3434"/>
      <c r="OCK8" s="3434"/>
      <c r="OCL8" s="3434"/>
      <c r="OCM8" s="3434"/>
      <c r="OCN8" s="3434"/>
      <c r="OCO8" s="3434"/>
      <c r="OCP8" s="3434"/>
      <c r="OCQ8" s="3434"/>
      <c r="OCR8" s="3434"/>
      <c r="OCS8" s="3434"/>
      <c r="OCT8" s="3434"/>
      <c r="OCU8" s="3434"/>
      <c r="OCV8" s="3434"/>
      <c r="OCW8" s="3434"/>
      <c r="OCX8" s="3434"/>
      <c r="OCY8" s="3434"/>
      <c r="OCZ8" s="3434"/>
      <c r="ODA8" s="3434"/>
      <c r="ODB8" s="3434"/>
      <c r="ODC8" s="3434"/>
      <c r="ODD8" s="3434"/>
      <c r="ODE8" s="3434"/>
      <c r="ODF8" s="3434"/>
      <c r="ODG8" s="3434"/>
      <c r="ODH8" s="3434"/>
      <c r="ODI8" s="3434"/>
      <c r="ODJ8" s="3434"/>
      <c r="ODK8" s="3434"/>
      <c r="ODL8" s="3434"/>
      <c r="ODM8" s="3434"/>
      <c r="ODN8" s="3434"/>
      <c r="ODO8" s="3434"/>
      <c r="ODP8" s="3434"/>
      <c r="ODQ8" s="3434"/>
      <c r="ODR8" s="3434"/>
      <c r="ODS8" s="3434"/>
      <c r="ODT8" s="3434"/>
      <c r="ODU8" s="3434"/>
      <c r="ODV8" s="3434"/>
      <c r="ODW8" s="3434"/>
      <c r="ODX8" s="3434"/>
      <c r="ODY8" s="3434"/>
      <c r="ODZ8" s="3434"/>
      <c r="OEA8" s="3434"/>
      <c r="OEB8" s="3434"/>
      <c r="OEC8" s="3434"/>
      <c r="OED8" s="3434"/>
      <c r="OEE8" s="3434"/>
      <c r="OEF8" s="3434"/>
      <c r="OEG8" s="3434"/>
      <c r="OEH8" s="3434"/>
      <c r="OEI8" s="3434"/>
      <c r="OEJ8" s="3434"/>
      <c r="OEK8" s="3434"/>
      <c r="OEL8" s="3434"/>
      <c r="OEM8" s="3434"/>
      <c r="OEN8" s="3434"/>
      <c r="OEO8" s="3434"/>
      <c r="OEP8" s="3434"/>
      <c r="OEQ8" s="3434"/>
      <c r="OER8" s="3434"/>
      <c r="OES8" s="3434"/>
      <c r="OET8" s="3434"/>
      <c r="OEU8" s="3434"/>
      <c r="OEV8" s="3434"/>
      <c r="OEW8" s="3434"/>
      <c r="OEX8" s="3434"/>
      <c r="OEY8" s="3434"/>
      <c r="OEZ8" s="3434"/>
      <c r="OFA8" s="3434"/>
      <c r="OFB8" s="3434"/>
      <c r="OFC8" s="3434"/>
      <c r="OFD8" s="3434"/>
      <c r="OFE8" s="3434"/>
      <c r="OFF8" s="3434"/>
      <c r="OFG8" s="3434"/>
      <c r="OFH8" s="3434"/>
      <c r="OFI8" s="3434"/>
      <c r="OFJ8" s="3434"/>
      <c r="OFK8" s="3434"/>
      <c r="OFL8" s="3434"/>
      <c r="OFM8" s="3434"/>
      <c r="OFN8" s="3434"/>
      <c r="OFO8" s="3434"/>
      <c r="OFP8" s="3434"/>
      <c r="OFQ8" s="3434"/>
      <c r="OFR8" s="3434"/>
      <c r="OFS8" s="3434"/>
      <c r="OFT8" s="3434"/>
      <c r="OFU8" s="3434"/>
      <c r="OFV8" s="3434"/>
      <c r="OFW8" s="3434"/>
      <c r="OFX8" s="3434"/>
      <c r="OFY8" s="3434"/>
      <c r="OFZ8" s="3434"/>
      <c r="OGA8" s="3434"/>
      <c r="OGB8" s="3434"/>
      <c r="OGC8" s="3434"/>
      <c r="OGD8" s="3434"/>
      <c r="OGE8" s="3434"/>
      <c r="OGF8" s="3434"/>
      <c r="OGG8" s="3434"/>
      <c r="OGH8" s="3434"/>
      <c r="OGI8" s="3434"/>
      <c r="OGJ8" s="3434"/>
      <c r="OGK8" s="3434"/>
      <c r="OGL8" s="3434"/>
      <c r="OGM8" s="3434"/>
      <c r="OGN8" s="3434"/>
      <c r="OGO8" s="3434"/>
      <c r="OGP8" s="3434"/>
      <c r="OGQ8" s="3434"/>
      <c r="OGR8" s="3434"/>
      <c r="OGS8" s="3434"/>
      <c r="OGT8" s="3434"/>
      <c r="OGU8" s="3434"/>
      <c r="OGV8" s="3434"/>
      <c r="OGW8" s="3434"/>
      <c r="OGX8" s="3434"/>
      <c r="OGY8" s="3434"/>
      <c r="OGZ8" s="3434"/>
      <c r="OHA8" s="3434"/>
      <c r="OHB8" s="3434"/>
      <c r="OHC8" s="3434"/>
      <c r="OHD8" s="3434"/>
      <c r="OHE8" s="3434"/>
      <c r="OHF8" s="3434"/>
      <c r="OHG8" s="3434"/>
      <c r="OHH8" s="3434"/>
      <c r="OHI8" s="3434"/>
      <c r="OHJ8" s="3434"/>
      <c r="OHK8" s="3434"/>
      <c r="OHL8" s="3434"/>
      <c r="OHM8" s="3434"/>
      <c r="OHN8" s="3434"/>
      <c r="OHO8" s="3434"/>
      <c r="OHP8" s="3434"/>
      <c r="OHQ8" s="3434"/>
      <c r="OHR8" s="3434"/>
      <c r="OHS8" s="3434"/>
      <c r="OHT8" s="3434"/>
      <c r="OHU8" s="3434"/>
      <c r="OHV8" s="3434"/>
      <c r="OHW8" s="3434"/>
      <c r="OHX8" s="3434"/>
      <c r="OHY8" s="3434"/>
      <c r="OHZ8" s="3434"/>
      <c r="OIA8" s="3434"/>
      <c r="OIB8" s="3434"/>
      <c r="OIC8" s="3434"/>
      <c r="OID8" s="3434"/>
      <c r="OIE8" s="3434"/>
      <c r="OIF8" s="3434"/>
      <c r="OIG8" s="3434"/>
      <c r="OIH8" s="3434"/>
      <c r="OII8" s="3434"/>
      <c r="OIJ8" s="3434"/>
      <c r="OIK8" s="3434"/>
      <c r="OIL8" s="3434"/>
      <c r="OIM8" s="3434"/>
      <c r="OIN8" s="3434"/>
      <c r="OIO8" s="3434"/>
      <c r="OIP8" s="3434"/>
      <c r="OIQ8" s="3434"/>
      <c r="OIR8" s="3434"/>
      <c r="OIS8" s="3434"/>
      <c r="OIT8" s="3434"/>
      <c r="OIU8" s="3434"/>
      <c r="OIV8" s="3434"/>
      <c r="OIW8" s="3434"/>
      <c r="OIX8" s="3434"/>
      <c r="OIY8" s="3434"/>
      <c r="OIZ8" s="3434"/>
      <c r="OJA8" s="3434"/>
      <c r="OJB8" s="3434"/>
      <c r="OJC8" s="3434"/>
      <c r="OJD8" s="3434"/>
      <c r="OJE8" s="3434"/>
      <c r="OJF8" s="3434"/>
      <c r="OJG8" s="3434"/>
      <c r="OJH8" s="3434"/>
      <c r="OJI8" s="3434"/>
      <c r="OJJ8" s="3434"/>
      <c r="OJK8" s="3434"/>
      <c r="OJL8" s="3434"/>
      <c r="OJM8" s="3434"/>
      <c r="OJN8" s="3434"/>
      <c r="OJO8" s="3434"/>
      <c r="OJP8" s="3434"/>
      <c r="OJQ8" s="3434"/>
      <c r="OJR8" s="3434"/>
      <c r="OJS8" s="3434"/>
      <c r="OJT8" s="3434"/>
      <c r="OJU8" s="3434"/>
      <c r="OJV8" s="3434"/>
      <c r="OJW8" s="3434"/>
      <c r="OJX8" s="3434"/>
      <c r="OJY8" s="3434"/>
      <c r="OJZ8" s="3434"/>
      <c r="OKA8" s="3434"/>
      <c r="OKB8" s="3434"/>
      <c r="OKC8" s="3434"/>
      <c r="OKD8" s="3434"/>
      <c r="OKE8" s="3434"/>
      <c r="OKF8" s="3434"/>
      <c r="OKG8" s="3434"/>
      <c r="OKH8" s="3434"/>
      <c r="OKI8" s="3434"/>
      <c r="OKJ8" s="3434"/>
      <c r="OKK8" s="3434"/>
      <c r="OKL8" s="3434"/>
      <c r="OKM8" s="3434"/>
      <c r="OKN8" s="3434"/>
      <c r="OKO8" s="3434"/>
      <c r="OKP8" s="3434"/>
      <c r="OKQ8" s="3434"/>
      <c r="OKR8" s="3434"/>
      <c r="OKS8" s="3434"/>
      <c r="OKT8" s="3434"/>
      <c r="OKU8" s="3434"/>
      <c r="OKV8" s="3434"/>
      <c r="OKW8" s="3434"/>
      <c r="OKX8" s="3434"/>
      <c r="OKY8" s="3434"/>
      <c r="OKZ8" s="3434"/>
      <c r="OLA8" s="3434"/>
      <c r="OLB8" s="3434"/>
      <c r="OLC8" s="3434"/>
      <c r="OLD8" s="3434"/>
      <c r="OLE8" s="3434"/>
      <c r="OLF8" s="3434"/>
      <c r="OLG8" s="3434"/>
      <c r="OLH8" s="3434"/>
      <c r="OLI8" s="3434"/>
      <c r="OLJ8" s="3434"/>
      <c r="OLK8" s="3434"/>
      <c r="OLL8" s="3434"/>
      <c r="OLM8" s="3434"/>
      <c r="OLN8" s="3434"/>
      <c r="OLO8" s="3434"/>
      <c r="OLP8" s="3434"/>
      <c r="OLQ8" s="3434"/>
      <c r="OLR8" s="3434"/>
      <c r="OLS8" s="3434"/>
      <c r="OLT8" s="3434"/>
      <c r="OLU8" s="3434"/>
      <c r="OLV8" s="3434"/>
      <c r="OLW8" s="3434"/>
      <c r="OLX8" s="3434"/>
      <c r="OLY8" s="3434"/>
      <c r="OLZ8" s="3434"/>
      <c r="OMA8" s="3434"/>
      <c r="OMB8" s="3434"/>
      <c r="OMC8" s="3434"/>
      <c r="OMD8" s="3434"/>
      <c r="OME8" s="3434"/>
      <c r="OMF8" s="3434"/>
      <c r="OMG8" s="3434"/>
      <c r="OMH8" s="3434"/>
      <c r="OMI8" s="3434"/>
      <c r="OMJ8" s="3434"/>
      <c r="OMK8" s="3434"/>
      <c r="OML8" s="3434"/>
      <c r="OMM8" s="3434"/>
      <c r="OMN8" s="3434"/>
      <c r="OMO8" s="3434"/>
      <c r="OMP8" s="3434"/>
      <c r="OMQ8" s="3434"/>
      <c r="OMR8" s="3434"/>
      <c r="OMS8" s="3434"/>
      <c r="OMT8" s="3434"/>
      <c r="OMU8" s="3434"/>
      <c r="OMV8" s="3434"/>
      <c r="OMW8" s="3434"/>
      <c r="OMX8" s="3434"/>
      <c r="OMY8" s="3434"/>
      <c r="OMZ8" s="3434"/>
      <c r="ONA8" s="3434"/>
      <c r="ONB8" s="3434"/>
      <c r="ONC8" s="3434"/>
      <c r="OND8" s="3434"/>
      <c r="ONE8" s="3434"/>
      <c r="ONF8" s="3434"/>
      <c r="ONG8" s="3434"/>
      <c r="ONH8" s="3434"/>
      <c r="ONI8" s="3434"/>
      <c r="ONJ8" s="3434"/>
      <c r="ONK8" s="3434"/>
      <c r="ONL8" s="3434"/>
      <c r="ONM8" s="3434"/>
      <c r="ONN8" s="3434"/>
      <c r="ONO8" s="3434"/>
      <c r="ONP8" s="3434"/>
      <c r="ONQ8" s="3434"/>
      <c r="ONR8" s="3434"/>
      <c r="ONS8" s="3434"/>
      <c r="ONT8" s="3434"/>
      <c r="ONU8" s="3434"/>
      <c r="ONV8" s="3434"/>
      <c r="ONW8" s="3434"/>
      <c r="ONX8" s="3434"/>
      <c r="ONY8" s="3434"/>
      <c r="ONZ8" s="3434"/>
      <c r="OOA8" s="3434"/>
      <c r="OOB8" s="3434"/>
      <c r="OOC8" s="3434"/>
      <c r="OOD8" s="3434"/>
      <c r="OOE8" s="3434"/>
      <c r="OOF8" s="3434"/>
      <c r="OOG8" s="3434"/>
      <c r="OOH8" s="3434"/>
      <c r="OOI8" s="3434"/>
      <c r="OOJ8" s="3434"/>
      <c r="OOK8" s="3434"/>
      <c r="OOL8" s="3434"/>
      <c r="OOM8" s="3434"/>
      <c r="OON8" s="3434"/>
      <c r="OOO8" s="3434"/>
      <c r="OOP8" s="3434"/>
      <c r="OOQ8" s="3434"/>
      <c r="OOR8" s="3434"/>
      <c r="OOS8" s="3434"/>
      <c r="OOT8" s="3434"/>
      <c r="OOU8" s="3434"/>
      <c r="OOV8" s="3434"/>
      <c r="OOW8" s="3434"/>
      <c r="OOX8" s="3434"/>
      <c r="OOY8" s="3434"/>
      <c r="OOZ8" s="3434"/>
      <c r="OPA8" s="3434"/>
      <c r="OPB8" s="3434"/>
      <c r="OPC8" s="3434"/>
      <c r="OPD8" s="3434"/>
      <c r="OPE8" s="3434"/>
      <c r="OPF8" s="3434"/>
      <c r="OPG8" s="3434"/>
      <c r="OPH8" s="3434"/>
      <c r="OPI8" s="3434"/>
      <c r="OPJ8" s="3434"/>
      <c r="OPK8" s="3434"/>
      <c r="OPL8" s="3434"/>
      <c r="OPM8" s="3434"/>
      <c r="OPN8" s="3434"/>
      <c r="OPO8" s="3434"/>
      <c r="OPP8" s="3434"/>
      <c r="OPQ8" s="3434"/>
      <c r="OPR8" s="3434"/>
      <c r="OPS8" s="3434"/>
      <c r="OPT8" s="3434"/>
      <c r="OPU8" s="3434"/>
      <c r="OPV8" s="3434"/>
      <c r="OPW8" s="3434"/>
      <c r="OPX8" s="3434"/>
      <c r="OPY8" s="3434"/>
      <c r="OPZ8" s="3434"/>
      <c r="OQA8" s="3434"/>
      <c r="OQB8" s="3434"/>
      <c r="OQC8" s="3434"/>
      <c r="OQD8" s="3434"/>
      <c r="OQE8" s="3434"/>
      <c r="OQF8" s="3434"/>
      <c r="OQG8" s="3434"/>
      <c r="OQH8" s="3434"/>
      <c r="OQI8" s="3434"/>
      <c r="OQJ8" s="3434"/>
      <c r="OQK8" s="3434"/>
      <c r="OQL8" s="3434"/>
      <c r="OQM8" s="3434"/>
      <c r="OQN8" s="3434"/>
      <c r="OQO8" s="3434"/>
      <c r="OQP8" s="3434"/>
      <c r="OQQ8" s="3434"/>
      <c r="OQR8" s="3434"/>
      <c r="OQS8" s="3434"/>
      <c r="OQT8" s="3434"/>
      <c r="OQU8" s="3434"/>
      <c r="OQV8" s="3434"/>
      <c r="OQW8" s="3434"/>
      <c r="OQX8" s="3434"/>
      <c r="OQY8" s="3434"/>
      <c r="OQZ8" s="3434"/>
      <c r="ORA8" s="3434"/>
      <c r="ORB8" s="3434"/>
      <c r="ORC8" s="3434"/>
      <c r="ORD8" s="3434"/>
      <c r="ORE8" s="3434"/>
      <c r="ORF8" s="3434"/>
      <c r="ORG8" s="3434"/>
      <c r="ORH8" s="3434"/>
      <c r="ORI8" s="3434"/>
      <c r="ORJ8" s="3434"/>
      <c r="ORK8" s="3434"/>
      <c r="ORL8" s="3434"/>
      <c r="ORM8" s="3434"/>
      <c r="ORN8" s="3434"/>
      <c r="ORO8" s="3434"/>
      <c r="ORP8" s="3434"/>
      <c r="ORQ8" s="3434"/>
      <c r="ORR8" s="3434"/>
      <c r="ORS8" s="3434"/>
      <c r="ORT8" s="3434"/>
      <c r="ORU8" s="3434"/>
      <c r="ORV8" s="3434"/>
      <c r="ORW8" s="3434"/>
      <c r="ORX8" s="3434"/>
      <c r="ORY8" s="3434"/>
      <c r="ORZ8" s="3434"/>
      <c r="OSA8" s="3434"/>
      <c r="OSB8" s="3434"/>
      <c r="OSC8" s="3434"/>
      <c r="OSD8" s="3434"/>
      <c r="OSE8" s="3434"/>
      <c r="OSF8" s="3434"/>
      <c r="OSG8" s="3434"/>
      <c r="OSH8" s="3434"/>
      <c r="OSI8" s="3434"/>
      <c r="OSJ8" s="3434"/>
      <c r="OSK8" s="3434"/>
      <c r="OSL8" s="3434"/>
      <c r="OSM8" s="3434"/>
      <c r="OSN8" s="3434"/>
      <c r="OSO8" s="3434"/>
      <c r="OSP8" s="3434"/>
      <c r="OSQ8" s="3434"/>
      <c r="OSR8" s="3434"/>
      <c r="OSS8" s="3434"/>
      <c r="OST8" s="3434"/>
      <c r="OSU8" s="3434"/>
      <c r="OSV8" s="3434"/>
      <c r="OSW8" s="3434"/>
      <c r="OSX8" s="3434"/>
      <c r="OSY8" s="3434"/>
      <c r="OSZ8" s="3434"/>
      <c r="OTA8" s="3434"/>
      <c r="OTB8" s="3434"/>
      <c r="OTC8" s="3434"/>
      <c r="OTD8" s="3434"/>
      <c r="OTE8" s="3434"/>
      <c r="OTF8" s="3434"/>
      <c r="OTG8" s="3434"/>
      <c r="OTH8" s="3434"/>
      <c r="OTI8" s="3434"/>
      <c r="OTJ8" s="3434"/>
      <c r="OTK8" s="3434"/>
      <c r="OTL8" s="3434"/>
      <c r="OTM8" s="3434"/>
      <c r="OTN8" s="3434"/>
      <c r="OTO8" s="3434"/>
      <c r="OTP8" s="3434"/>
      <c r="OTQ8" s="3434"/>
      <c r="OTR8" s="3434"/>
      <c r="OTS8" s="3434"/>
      <c r="OTT8" s="3434"/>
      <c r="OTU8" s="3434"/>
      <c r="OTV8" s="3434"/>
      <c r="OTW8" s="3434"/>
      <c r="OTX8" s="3434"/>
      <c r="OTY8" s="3434"/>
      <c r="OTZ8" s="3434"/>
      <c r="OUA8" s="3434"/>
      <c r="OUB8" s="3434"/>
      <c r="OUC8" s="3434"/>
      <c r="OUD8" s="3434"/>
      <c r="OUE8" s="3434"/>
      <c r="OUF8" s="3434"/>
      <c r="OUG8" s="3434"/>
      <c r="OUH8" s="3434"/>
      <c r="OUI8" s="3434"/>
      <c r="OUJ8" s="3434"/>
      <c r="OUK8" s="3434"/>
      <c r="OUL8" s="3434"/>
      <c r="OUM8" s="3434"/>
      <c r="OUN8" s="3434"/>
      <c r="OUO8" s="3434"/>
      <c r="OUP8" s="3434"/>
      <c r="OUQ8" s="3434"/>
      <c r="OUR8" s="3434"/>
      <c r="OUS8" s="3434"/>
      <c r="OUT8" s="3434"/>
      <c r="OUU8" s="3434"/>
      <c r="OUV8" s="3434"/>
      <c r="OUW8" s="3434"/>
      <c r="OUX8" s="3434"/>
      <c r="OUY8" s="3434"/>
      <c r="OUZ8" s="3434"/>
      <c r="OVA8" s="3434"/>
      <c r="OVB8" s="3434"/>
      <c r="OVC8" s="3434"/>
      <c r="OVD8" s="3434"/>
      <c r="OVE8" s="3434"/>
      <c r="OVF8" s="3434"/>
      <c r="OVG8" s="3434"/>
      <c r="OVH8" s="3434"/>
      <c r="OVI8" s="3434"/>
      <c r="OVJ8" s="3434"/>
      <c r="OVK8" s="3434"/>
      <c r="OVL8" s="3434"/>
      <c r="OVM8" s="3434"/>
      <c r="OVN8" s="3434"/>
      <c r="OVO8" s="3434"/>
      <c r="OVP8" s="3434"/>
      <c r="OVQ8" s="3434"/>
      <c r="OVR8" s="3434"/>
      <c r="OVS8" s="3434"/>
      <c r="OVT8" s="3434"/>
      <c r="OVU8" s="3434"/>
      <c r="OVV8" s="3434"/>
      <c r="OVW8" s="3434"/>
      <c r="OVX8" s="3434"/>
      <c r="OVY8" s="3434"/>
      <c r="OVZ8" s="3434"/>
      <c r="OWA8" s="3434"/>
      <c r="OWB8" s="3434"/>
      <c r="OWC8" s="3434"/>
      <c r="OWD8" s="3434"/>
      <c r="OWE8" s="3434"/>
      <c r="OWF8" s="3434"/>
      <c r="OWG8" s="3434"/>
      <c r="OWH8" s="3434"/>
      <c r="OWI8" s="3434"/>
      <c r="OWJ8" s="3434"/>
      <c r="OWK8" s="3434"/>
      <c r="OWL8" s="3434"/>
      <c r="OWM8" s="3434"/>
      <c r="OWN8" s="3434"/>
      <c r="OWO8" s="3434"/>
      <c r="OWP8" s="3434"/>
      <c r="OWQ8" s="3434"/>
      <c r="OWR8" s="3434"/>
      <c r="OWS8" s="3434"/>
      <c r="OWT8" s="3434"/>
      <c r="OWU8" s="3434"/>
      <c r="OWV8" s="3434"/>
      <c r="OWW8" s="3434"/>
      <c r="OWX8" s="3434"/>
      <c r="OWY8" s="3434"/>
      <c r="OWZ8" s="3434"/>
      <c r="OXA8" s="3434"/>
      <c r="OXB8" s="3434"/>
      <c r="OXC8" s="3434"/>
      <c r="OXD8" s="3434"/>
      <c r="OXE8" s="3434"/>
      <c r="OXF8" s="3434"/>
      <c r="OXG8" s="3434"/>
      <c r="OXH8" s="3434"/>
      <c r="OXI8" s="3434"/>
      <c r="OXJ8" s="3434"/>
      <c r="OXK8" s="3434"/>
      <c r="OXL8" s="3434"/>
      <c r="OXM8" s="3434"/>
      <c r="OXN8" s="3434"/>
      <c r="OXO8" s="3434"/>
      <c r="OXP8" s="3434"/>
      <c r="OXQ8" s="3434"/>
      <c r="OXR8" s="3434"/>
      <c r="OXS8" s="3434"/>
      <c r="OXT8" s="3434"/>
      <c r="OXU8" s="3434"/>
      <c r="OXV8" s="3434"/>
      <c r="OXW8" s="3434"/>
      <c r="OXX8" s="3434"/>
      <c r="OXY8" s="3434"/>
      <c r="OXZ8" s="3434"/>
      <c r="OYA8" s="3434"/>
      <c r="OYB8" s="3434"/>
      <c r="OYC8" s="3434"/>
      <c r="OYD8" s="3434"/>
      <c r="OYE8" s="3434"/>
      <c r="OYF8" s="3434"/>
      <c r="OYG8" s="3434"/>
      <c r="OYH8" s="3434"/>
      <c r="OYI8" s="3434"/>
      <c r="OYJ8" s="3434"/>
      <c r="OYK8" s="3434"/>
      <c r="OYL8" s="3434"/>
      <c r="OYM8" s="3434"/>
      <c r="OYN8" s="3434"/>
      <c r="OYO8" s="3434"/>
      <c r="OYP8" s="3434"/>
      <c r="OYQ8" s="3434"/>
      <c r="OYR8" s="3434"/>
      <c r="OYS8" s="3434"/>
      <c r="OYT8" s="3434"/>
      <c r="OYU8" s="3434"/>
      <c r="OYV8" s="3434"/>
      <c r="OYW8" s="3434"/>
      <c r="OYX8" s="3434"/>
      <c r="OYY8" s="3434"/>
      <c r="OYZ8" s="3434"/>
      <c r="OZA8" s="3434"/>
      <c r="OZB8" s="3434"/>
      <c r="OZC8" s="3434"/>
      <c r="OZD8" s="3434"/>
      <c r="OZE8" s="3434"/>
      <c r="OZF8" s="3434"/>
      <c r="OZG8" s="3434"/>
      <c r="OZH8" s="3434"/>
      <c r="OZI8" s="3434"/>
      <c r="OZJ8" s="3434"/>
      <c r="OZK8" s="3434"/>
      <c r="OZL8" s="3434"/>
      <c r="OZM8" s="3434"/>
      <c r="OZN8" s="3434"/>
      <c r="OZO8" s="3434"/>
      <c r="OZP8" s="3434"/>
      <c r="OZQ8" s="3434"/>
      <c r="OZR8" s="3434"/>
      <c r="OZS8" s="3434"/>
      <c r="OZT8" s="3434"/>
      <c r="OZU8" s="3434"/>
      <c r="OZV8" s="3434"/>
      <c r="OZW8" s="3434"/>
      <c r="OZX8" s="3434"/>
      <c r="OZY8" s="3434"/>
      <c r="OZZ8" s="3434"/>
      <c r="PAA8" s="3434"/>
      <c r="PAB8" s="3434"/>
      <c r="PAC8" s="3434"/>
      <c r="PAD8" s="3434"/>
      <c r="PAE8" s="3434"/>
      <c r="PAF8" s="3434"/>
      <c r="PAG8" s="3434"/>
      <c r="PAH8" s="3434"/>
      <c r="PAI8" s="3434"/>
      <c r="PAJ8" s="3434"/>
      <c r="PAK8" s="3434"/>
      <c r="PAL8" s="3434"/>
      <c r="PAM8" s="3434"/>
      <c r="PAN8" s="3434"/>
      <c r="PAO8" s="3434"/>
      <c r="PAP8" s="3434"/>
      <c r="PAQ8" s="3434"/>
      <c r="PAR8" s="3434"/>
      <c r="PAS8" s="3434"/>
      <c r="PAT8" s="3434"/>
      <c r="PAU8" s="3434"/>
      <c r="PAV8" s="3434"/>
      <c r="PAW8" s="3434"/>
      <c r="PAX8" s="3434"/>
      <c r="PAY8" s="3434"/>
      <c r="PAZ8" s="3434"/>
      <c r="PBA8" s="3434"/>
      <c r="PBB8" s="3434"/>
      <c r="PBC8" s="3434"/>
      <c r="PBD8" s="3434"/>
      <c r="PBE8" s="3434"/>
      <c r="PBF8" s="3434"/>
      <c r="PBG8" s="3434"/>
      <c r="PBH8" s="3434"/>
      <c r="PBI8" s="3434"/>
      <c r="PBJ8" s="3434"/>
      <c r="PBK8" s="3434"/>
      <c r="PBL8" s="3434"/>
      <c r="PBM8" s="3434"/>
      <c r="PBN8" s="3434"/>
      <c r="PBO8" s="3434"/>
      <c r="PBP8" s="3434"/>
      <c r="PBQ8" s="3434"/>
      <c r="PBR8" s="3434"/>
      <c r="PBS8" s="3434"/>
      <c r="PBT8" s="3434"/>
      <c r="PBU8" s="3434"/>
      <c r="PBV8" s="3434"/>
      <c r="PBW8" s="3434"/>
      <c r="PBX8" s="3434"/>
      <c r="PBY8" s="3434"/>
      <c r="PBZ8" s="3434"/>
      <c r="PCA8" s="3434"/>
      <c r="PCB8" s="3434"/>
      <c r="PCC8" s="3434"/>
      <c r="PCD8" s="3434"/>
      <c r="PCE8" s="3434"/>
      <c r="PCF8" s="3434"/>
      <c r="PCG8" s="3434"/>
      <c r="PCH8" s="3434"/>
      <c r="PCI8" s="3434"/>
      <c r="PCJ8" s="3434"/>
      <c r="PCK8" s="3434"/>
      <c r="PCL8" s="3434"/>
      <c r="PCM8" s="3434"/>
      <c r="PCN8" s="3434"/>
      <c r="PCO8" s="3434"/>
      <c r="PCP8" s="3434"/>
      <c r="PCQ8" s="3434"/>
      <c r="PCR8" s="3434"/>
      <c r="PCS8" s="3434"/>
      <c r="PCT8" s="3434"/>
      <c r="PCU8" s="3434"/>
      <c r="PCV8" s="3434"/>
      <c r="PCW8" s="3434"/>
      <c r="PCX8" s="3434"/>
      <c r="PCY8" s="3434"/>
      <c r="PCZ8" s="3434"/>
      <c r="PDA8" s="3434"/>
      <c r="PDB8" s="3434"/>
      <c r="PDC8" s="3434"/>
      <c r="PDD8" s="3434"/>
      <c r="PDE8" s="3434"/>
      <c r="PDF8" s="3434"/>
      <c r="PDG8" s="3434"/>
      <c r="PDH8" s="3434"/>
      <c r="PDI8" s="3434"/>
      <c r="PDJ8" s="3434"/>
      <c r="PDK8" s="3434"/>
      <c r="PDL8" s="3434"/>
      <c r="PDM8" s="3434"/>
      <c r="PDN8" s="3434"/>
      <c r="PDO8" s="3434"/>
      <c r="PDP8" s="3434"/>
      <c r="PDQ8" s="3434"/>
      <c r="PDR8" s="3434"/>
      <c r="PDS8" s="3434"/>
      <c r="PDT8" s="3434"/>
      <c r="PDU8" s="3434"/>
      <c r="PDV8" s="3434"/>
      <c r="PDW8" s="3434"/>
      <c r="PDX8" s="3434"/>
      <c r="PDY8" s="3434"/>
      <c r="PDZ8" s="3434"/>
      <c r="PEA8" s="3434"/>
      <c r="PEB8" s="3434"/>
      <c r="PEC8" s="3434"/>
      <c r="PED8" s="3434"/>
      <c r="PEE8" s="3434"/>
      <c r="PEF8" s="3434"/>
      <c r="PEG8" s="3434"/>
      <c r="PEH8" s="3434"/>
      <c r="PEI8" s="3434"/>
      <c r="PEJ8" s="3434"/>
      <c r="PEK8" s="3434"/>
      <c r="PEL8" s="3434"/>
      <c r="PEM8" s="3434"/>
      <c r="PEN8" s="3434"/>
      <c r="PEO8" s="3434"/>
      <c r="PEP8" s="3434"/>
      <c r="PEQ8" s="3434"/>
      <c r="PER8" s="3434"/>
      <c r="PES8" s="3434"/>
      <c r="PET8" s="3434"/>
      <c r="PEU8" s="3434"/>
      <c r="PEV8" s="3434"/>
      <c r="PEW8" s="3434"/>
      <c r="PEX8" s="3434"/>
      <c r="PEY8" s="3434"/>
      <c r="PEZ8" s="3434"/>
      <c r="PFA8" s="3434"/>
      <c r="PFB8" s="3434"/>
      <c r="PFC8" s="3434"/>
      <c r="PFD8" s="3434"/>
      <c r="PFE8" s="3434"/>
      <c r="PFF8" s="3434"/>
      <c r="PFG8" s="3434"/>
      <c r="PFH8" s="3434"/>
      <c r="PFI8" s="3434"/>
      <c r="PFJ8" s="3434"/>
      <c r="PFK8" s="3434"/>
      <c r="PFL8" s="3434"/>
      <c r="PFM8" s="3434"/>
      <c r="PFN8" s="3434"/>
      <c r="PFO8" s="3434"/>
      <c r="PFP8" s="3434"/>
      <c r="PFQ8" s="3434"/>
      <c r="PFR8" s="3434"/>
      <c r="PFS8" s="3434"/>
      <c r="PFT8" s="3434"/>
      <c r="PFU8" s="3434"/>
      <c r="PFV8" s="3434"/>
      <c r="PFW8" s="3434"/>
      <c r="PFX8" s="3434"/>
      <c r="PFY8" s="3434"/>
      <c r="PFZ8" s="3434"/>
      <c r="PGA8" s="3434"/>
      <c r="PGB8" s="3434"/>
      <c r="PGC8" s="3434"/>
      <c r="PGD8" s="3434"/>
      <c r="PGE8" s="3434"/>
      <c r="PGF8" s="3434"/>
      <c r="PGG8" s="3434"/>
      <c r="PGH8" s="3434"/>
      <c r="PGI8" s="3434"/>
      <c r="PGJ8" s="3434"/>
      <c r="PGK8" s="3434"/>
      <c r="PGL8" s="3434"/>
      <c r="PGM8" s="3434"/>
      <c r="PGN8" s="3434"/>
      <c r="PGO8" s="3434"/>
      <c r="PGP8" s="3434"/>
      <c r="PGQ8" s="3434"/>
      <c r="PGR8" s="3434"/>
      <c r="PGS8" s="3434"/>
      <c r="PGT8" s="3434"/>
      <c r="PGU8" s="3434"/>
      <c r="PGV8" s="3434"/>
      <c r="PGW8" s="3434"/>
      <c r="PGX8" s="3434"/>
      <c r="PGY8" s="3434"/>
      <c r="PGZ8" s="3434"/>
      <c r="PHA8" s="3434"/>
      <c r="PHB8" s="3434"/>
      <c r="PHC8" s="3434"/>
      <c r="PHD8" s="3434"/>
      <c r="PHE8" s="3434"/>
      <c r="PHF8" s="3434"/>
      <c r="PHG8" s="3434"/>
      <c r="PHH8" s="3434"/>
      <c r="PHI8" s="3434"/>
      <c r="PHJ8" s="3434"/>
      <c r="PHK8" s="3434"/>
      <c r="PHL8" s="3434"/>
      <c r="PHM8" s="3434"/>
      <c r="PHN8" s="3434"/>
      <c r="PHO8" s="3434"/>
      <c r="PHP8" s="3434"/>
      <c r="PHQ8" s="3434"/>
      <c r="PHR8" s="3434"/>
      <c r="PHS8" s="3434"/>
      <c r="PHT8" s="3434"/>
      <c r="PHU8" s="3434"/>
      <c r="PHV8" s="3434"/>
      <c r="PHW8" s="3434"/>
      <c r="PHX8" s="3434"/>
      <c r="PHY8" s="3434"/>
      <c r="PHZ8" s="3434"/>
      <c r="PIA8" s="3434"/>
      <c r="PIB8" s="3434"/>
      <c r="PIC8" s="3434"/>
      <c r="PID8" s="3434"/>
      <c r="PIE8" s="3434"/>
      <c r="PIF8" s="3434"/>
      <c r="PIG8" s="3434"/>
      <c r="PIH8" s="3434"/>
      <c r="PII8" s="3434"/>
      <c r="PIJ8" s="3434"/>
      <c r="PIK8" s="3434"/>
      <c r="PIL8" s="3434"/>
      <c r="PIM8" s="3434"/>
      <c r="PIN8" s="3434"/>
      <c r="PIO8" s="3434"/>
      <c r="PIP8" s="3434"/>
      <c r="PIQ8" s="3434"/>
      <c r="PIR8" s="3434"/>
      <c r="PIS8" s="3434"/>
      <c r="PIT8" s="3434"/>
      <c r="PIU8" s="3434"/>
      <c r="PIV8" s="3434"/>
      <c r="PIW8" s="3434"/>
      <c r="PIX8" s="3434"/>
      <c r="PIY8" s="3434"/>
      <c r="PIZ8" s="3434"/>
      <c r="PJA8" s="3434"/>
      <c r="PJB8" s="3434"/>
      <c r="PJC8" s="3434"/>
      <c r="PJD8" s="3434"/>
      <c r="PJE8" s="3434"/>
      <c r="PJF8" s="3434"/>
      <c r="PJG8" s="3434"/>
      <c r="PJH8" s="3434"/>
      <c r="PJI8" s="3434"/>
      <c r="PJJ8" s="3434"/>
      <c r="PJK8" s="3434"/>
      <c r="PJL8" s="3434"/>
      <c r="PJM8" s="3434"/>
      <c r="PJN8" s="3434"/>
      <c r="PJO8" s="3434"/>
      <c r="PJP8" s="3434"/>
      <c r="PJQ8" s="3434"/>
      <c r="PJR8" s="3434"/>
      <c r="PJS8" s="3434"/>
      <c r="PJT8" s="3434"/>
      <c r="PJU8" s="3434"/>
      <c r="PJV8" s="3434"/>
      <c r="PJW8" s="3434"/>
      <c r="PJX8" s="3434"/>
      <c r="PJY8" s="3434"/>
      <c r="PJZ8" s="3434"/>
      <c r="PKA8" s="3434"/>
      <c r="PKB8" s="3434"/>
      <c r="PKC8" s="3434"/>
      <c r="PKD8" s="3434"/>
      <c r="PKE8" s="3434"/>
      <c r="PKF8" s="3434"/>
      <c r="PKG8" s="3434"/>
      <c r="PKH8" s="3434"/>
      <c r="PKI8" s="3434"/>
      <c r="PKJ8" s="3434"/>
      <c r="PKK8" s="3434"/>
      <c r="PKL8" s="3434"/>
      <c r="PKM8" s="3434"/>
      <c r="PKN8" s="3434"/>
      <c r="PKO8" s="3434"/>
      <c r="PKP8" s="3434"/>
      <c r="PKQ8" s="3434"/>
      <c r="PKR8" s="3434"/>
      <c r="PKS8" s="3434"/>
      <c r="PKT8" s="3434"/>
      <c r="PKU8" s="3434"/>
      <c r="PKV8" s="3434"/>
      <c r="PKW8" s="3434"/>
      <c r="PKX8" s="3434"/>
      <c r="PKY8" s="3434"/>
      <c r="PKZ8" s="3434"/>
      <c r="PLA8" s="3434"/>
      <c r="PLB8" s="3434"/>
      <c r="PLC8" s="3434"/>
      <c r="PLD8" s="3434"/>
      <c r="PLE8" s="3434"/>
      <c r="PLF8" s="3434"/>
      <c r="PLG8" s="3434"/>
      <c r="PLH8" s="3434"/>
      <c r="PLI8" s="3434"/>
      <c r="PLJ8" s="3434"/>
      <c r="PLK8" s="3434"/>
      <c r="PLL8" s="3434"/>
      <c r="PLM8" s="3434"/>
      <c r="PLN8" s="3434"/>
      <c r="PLO8" s="3434"/>
      <c r="PLP8" s="3434"/>
      <c r="PLQ8" s="3434"/>
      <c r="PLR8" s="3434"/>
      <c r="PLS8" s="3434"/>
      <c r="PLT8" s="3434"/>
      <c r="PLU8" s="3434"/>
      <c r="PLV8" s="3434"/>
      <c r="PLW8" s="3434"/>
      <c r="PLX8" s="3434"/>
      <c r="PLY8" s="3434"/>
      <c r="PLZ8" s="3434"/>
      <c r="PMA8" s="3434"/>
      <c r="PMB8" s="3434"/>
      <c r="PMC8" s="3434"/>
      <c r="PMD8" s="3434"/>
      <c r="PME8" s="3434"/>
      <c r="PMF8" s="3434"/>
      <c r="PMG8" s="3434"/>
      <c r="PMH8" s="3434"/>
      <c r="PMI8" s="3434"/>
      <c r="PMJ8" s="3434"/>
      <c r="PMK8" s="3434"/>
      <c r="PML8" s="3434"/>
      <c r="PMM8" s="3434"/>
      <c r="PMN8" s="3434"/>
      <c r="PMO8" s="3434"/>
      <c r="PMP8" s="3434"/>
      <c r="PMQ8" s="3434"/>
      <c r="PMR8" s="3434"/>
      <c r="PMS8" s="3434"/>
      <c r="PMT8" s="3434"/>
      <c r="PMU8" s="3434"/>
      <c r="PMV8" s="3434"/>
      <c r="PMW8" s="3434"/>
      <c r="PMX8" s="3434"/>
      <c r="PMY8" s="3434"/>
      <c r="PMZ8" s="3434"/>
      <c r="PNA8" s="3434"/>
      <c r="PNB8" s="3434"/>
      <c r="PNC8" s="3434"/>
      <c r="PND8" s="3434"/>
      <c r="PNE8" s="3434"/>
      <c r="PNF8" s="3434"/>
      <c r="PNG8" s="3434"/>
      <c r="PNH8" s="3434"/>
      <c r="PNI8" s="3434"/>
      <c r="PNJ8" s="3434"/>
      <c r="PNK8" s="3434"/>
      <c r="PNL8" s="3434"/>
      <c r="PNM8" s="3434"/>
      <c r="PNN8" s="3434"/>
      <c r="PNO8" s="3434"/>
      <c r="PNP8" s="3434"/>
      <c r="PNQ8" s="3434"/>
      <c r="PNR8" s="3434"/>
      <c r="PNS8" s="3434"/>
      <c r="PNT8" s="3434"/>
      <c r="PNU8" s="3434"/>
      <c r="PNV8" s="3434"/>
      <c r="PNW8" s="3434"/>
      <c r="PNX8" s="3434"/>
      <c r="PNY8" s="3434"/>
      <c r="PNZ8" s="3434"/>
      <c r="POA8" s="3434"/>
      <c r="POB8" s="3434"/>
      <c r="POC8" s="3434"/>
      <c r="POD8" s="3434"/>
      <c r="POE8" s="3434"/>
      <c r="POF8" s="3434"/>
      <c r="POG8" s="3434"/>
      <c r="POH8" s="3434"/>
      <c r="POI8" s="3434"/>
      <c r="POJ8" s="3434"/>
      <c r="POK8" s="3434"/>
      <c r="POL8" s="3434"/>
      <c r="POM8" s="3434"/>
      <c r="PON8" s="3434"/>
      <c r="POO8" s="3434"/>
      <c r="POP8" s="3434"/>
      <c r="POQ8" s="3434"/>
      <c r="POR8" s="3434"/>
      <c r="POS8" s="3434"/>
      <c r="POT8" s="3434"/>
      <c r="POU8" s="3434"/>
      <c r="POV8" s="3434"/>
      <c r="POW8" s="3434"/>
      <c r="POX8" s="3434"/>
      <c r="POY8" s="3434"/>
      <c r="POZ8" s="3434"/>
      <c r="PPA8" s="3434"/>
      <c r="PPB8" s="3434"/>
      <c r="PPC8" s="3434"/>
      <c r="PPD8" s="3434"/>
      <c r="PPE8" s="3434"/>
      <c r="PPF8" s="3434"/>
      <c r="PPG8" s="3434"/>
      <c r="PPH8" s="3434"/>
      <c r="PPI8" s="3434"/>
      <c r="PPJ8" s="3434"/>
      <c r="PPK8" s="3434"/>
      <c r="PPL8" s="3434"/>
      <c r="PPM8" s="3434"/>
      <c r="PPN8" s="3434"/>
      <c r="PPO8" s="3434"/>
      <c r="PPP8" s="3434"/>
      <c r="PPQ8" s="3434"/>
      <c r="PPR8" s="3434"/>
      <c r="PPS8" s="3434"/>
      <c r="PPT8" s="3434"/>
      <c r="PPU8" s="3434"/>
      <c r="PPV8" s="3434"/>
      <c r="PPW8" s="3434"/>
      <c r="PPX8" s="3434"/>
      <c r="PPY8" s="3434"/>
      <c r="PPZ8" s="3434"/>
      <c r="PQA8" s="3434"/>
      <c r="PQB8" s="3434"/>
      <c r="PQC8" s="3434"/>
      <c r="PQD8" s="3434"/>
      <c r="PQE8" s="3434"/>
      <c r="PQF8" s="3434"/>
      <c r="PQG8" s="3434"/>
      <c r="PQH8" s="3434"/>
      <c r="PQI8" s="3434"/>
      <c r="PQJ8" s="3434"/>
      <c r="PQK8" s="3434"/>
      <c r="PQL8" s="3434"/>
      <c r="PQM8" s="3434"/>
      <c r="PQN8" s="3434"/>
      <c r="PQO8" s="3434"/>
      <c r="PQP8" s="3434"/>
      <c r="PQQ8" s="3434"/>
      <c r="PQR8" s="3434"/>
      <c r="PQS8" s="3434"/>
      <c r="PQT8" s="3434"/>
      <c r="PQU8" s="3434"/>
      <c r="PQV8" s="3434"/>
      <c r="PQW8" s="3434"/>
      <c r="PQX8" s="3434"/>
      <c r="PQY8" s="3434"/>
      <c r="PQZ8" s="3434"/>
      <c r="PRA8" s="3434"/>
      <c r="PRB8" s="3434"/>
      <c r="PRC8" s="3434"/>
      <c r="PRD8" s="3434"/>
      <c r="PRE8" s="3434"/>
      <c r="PRF8" s="3434"/>
      <c r="PRG8" s="3434"/>
      <c r="PRH8" s="3434"/>
      <c r="PRI8" s="3434"/>
      <c r="PRJ8" s="3434"/>
      <c r="PRK8" s="3434"/>
      <c r="PRL8" s="3434"/>
      <c r="PRM8" s="3434"/>
      <c r="PRN8" s="3434"/>
      <c r="PRO8" s="3434"/>
      <c r="PRP8" s="3434"/>
      <c r="PRQ8" s="3434"/>
      <c r="PRR8" s="3434"/>
      <c r="PRS8" s="3434"/>
      <c r="PRT8" s="3434"/>
      <c r="PRU8" s="3434"/>
      <c r="PRV8" s="3434"/>
      <c r="PRW8" s="3434"/>
      <c r="PRX8" s="3434"/>
      <c r="PRY8" s="3434"/>
      <c r="PRZ8" s="3434"/>
      <c r="PSA8" s="3434"/>
      <c r="PSB8" s="3434"/>
      <c r="PSC8" s="3434"/>
      <c r="PSD8" s="3434"/>
      <c r="PSE8" s="3434"/>
      <c r="PSF8" s="3434"/>
      <c r="PSG8" s="3434"/>
      <c r="PSH8" s="3434"/>
      <c r="PSI8" s="3434"/>
      <c r="PSJ8" s="3434"/>
      <c r="PSK8" s="3434"/>
      <c r="PSL8" s="3434"/>
      <c r="PSM8" s="3434"/>
      <c r="PSN8" s="3434"/>
      <c r="PSO8" s="3434"/>
      <c r="PSP8" s="3434"/>
      <c r="PSQ8" s="3434"/>
      <c r="PSR8" s="3434"/>
      <c r="PSS8" s="3434"/>
      <c r="PST8" s="3434"/>
      <c r="PSU8" s="3434"/>
      <c r="PSV8" s="3434"/>
      <c r="PSW8" s="3434"/>
      <c r="PSX8" s="3434"/>
      <c r="PSY8" s="3434"/>
      <c r="PSZ8" s="3434"/>
      <c r="PTA8" s="3434"/>
      <c r="PTB8" s="3434"/>
      <c r="PTC8" s="3434"/>
      <c r="PTD8" s="3434"/>
      <c r="PTE8" s="3434"/>
      <c r="PTF8" s="3434"/>
      <c r="PTG8" s="3434"/>
      <c r="PTH8" s="3434"/>
      <c r="PTI8" s="3434"/>
      <c r="PTJ8" s="3434"/>
      <c r="PTK8" s="3434"/>
      <c r="PTL8" s="3434"/>
      <c r="PTM8" s="3434"/>
      <c r="PTN8" s="3434"/>
      <c r="PTO8" s="3434"/>
      <c r="PTP8" s="3434"/>
      <c r="PTQ8" s="3434"/>
      <c r="PTR8" s="3434"/>
      <c r="PTS8" s="3434"/>
      <c r="PTT8" s="3434"/>
      <c r="PTU8" s="3434"/>
      <c r="PTV8" s="3434"/>
      <c r="PTW8" s="3434"/>
      <c r="PTX8" s="3434"/>
      <c r="PTY8" s="3434"/>
      <c r="PTZ8" s="3434"/>
      <c r="PUA8" s="3434"/>
      <c r="PUB8" s="3434"/>
      <c r="PUC8" s="3434"/>
      <c r="PUD8" s="3434"/>
      <c r="PUE8" s="3434"/>
      <c r="PUF8" s="3434"/>
      <c r="PUG8" s="3434"/>
      <c r="PUH8" s="3434"/>
      <c r="PUI8" s="3434"/>
      <c r="PUJ8" s="3434"/>
      <c r="PUK8" s="3434"/>
      <c r="PUL8" s="3434"/>
      <c r="PUM8" s="3434"/>
      <c r="PUN8" s="3434"/>
      <c r="PUO8" s="3434"/>
      <c r="PUP8" s="3434"/>
      <c r="PUQ8" s="3434"/>
      <c r="PUR8" s="3434"/>
      <c r="PUS8" s="3434"/>
      <c r="PUT8" s="3434"/>
      <c r="PUU8" s="3434"/>
      <c r="PUV8" s="3434"/>
      <c r="PUW8" s="3434"/>
      <c r="PUX8" s="3434"/>
      <c r="PUY8" s="3434"/>
      <c r="PUZ8" s="3434"/>
      <c r="PVA8" s="3434"/>
      <c r="PVB8" s="3434"/>
      <c r="PVC8" s="3434"/>
      <c r="PVD8" s="3434"/>
      <c r="PVE8" s="3434"/>
      <c r="PVF8" s="3434"/>
      <c r="PVG8" s="3434"/>
      <c r="PVH8" s="3434"/>
      <c r="PVI8" s="3434"/>
      <c r="PVJ8" s="3434"/>
      <c r="PVK8" s="3434"/>
      <c r="PVL8" s="3434"/>
      <c r="PVM8" s="3434"/>
      <c r="PVN8" s="3434"/>
      <c r="PVO8" s="3434"/>
      <c r="PVP8" s="3434"/>
      <c r="PVQ8" s="3434"/>
      <c r="PVR8" s="3434"/>
      <c r="PVS8" s="3434"/>
      <c r="PVT8" s="3434"/>
      <c r="PVU8" s="3434"/>
      <c r="PVV8" s="3434"/>
      <c r="PVW8" s="3434"/>
      <c r="PVX8" s="3434"/>
      <c r="PVY8" s="3434"/>
      <c r="PVZ8" s="3434"/>
      <c r="PWA8" s="3434"/>
      <c r="PWB8" s="3434"/>
      <c r="PWC8" s="3434"/>
      <c r="PWD8" s="3434"/>
      <c r="PWE8" s="3434"/>
      <c r="PWF8" s="3434"/>
      <c r="PWG8" s="3434"/>
      <c r="PWH8" s="3434"/>
      <c r="PWI8" s="3434"/>
      <c r="PWJ8" s="3434"/>
      <c r="PWK8" s="3434"/>
      <c r="PWL8" s="3434"/>
      <c r="PWM8" s="3434"/>
      <c r="PWN8" s="3434"/>
      <c r="PWO8" s="3434"/>
      <c r="PWP8" s="3434"/>
      <c r="PWQ8" s="3434"/>
      <c r="PWR8" s="3434"/>
      <c r="PWS8" s="3434"/>
      <c r="PWT8" s="3434"/>
      <c r="PWU8" s="3434"/>
      <c r="PWV8" s="3434"/>
      <c r="PWW8" s="3434"/>
      <c r="PWX8" s="3434"/>
      <c r="PWY8" s="3434"/>
      <c r="PWZ8" s="3434"/>
      <c r="PXA8" s="3434"/>
      <c r="PXB8" s="3434"/>
      <c r="PXC8" s="3434"/>
      <c r="PXD8" s="3434"/>
      <c r="PXE8" s="3434"/>
      <c r="PXF8" s="3434"/>
      <c r="PXG8" s="3434"/>
      <c r="PXH8" s="3434"/>
      <c r="PXI8" s="3434"/>
      <c r="PXJ8" s="3434"/>
      <c r="PXK8" s="3434"/>
      <c r="PXL8" s="3434"/>
      <c r="PXM8" s="3434"/>
      <c r="PXN8" s="3434"/>
      <c r="PXO8" s="3434"/>
      <c r="PXP8" s="3434"/>
      <c r="PXQ8" s="3434"/>
      <c r="PXR8" s="3434"/>
      <c r="PXS8" s="3434"/>
      <c r="PXT8" s="3434"/>
      <c r="PXU8" s="3434"/>
      <c r="PXV8" s="3434"/>
      <c r="PXW8" s="3434"/>
      <c r="PXX8" s="3434"/>
      <c r="PXY8" s="3434"/>
      <c r="PXZ8" s="3434"/>
      <c r="PYA8" s="3434"/>
      <c r="PYB8" s="3434"/>
      <c r="PYC8" s="3434"/>
      <c r="PYD8" s="3434"/>
      <c r="PYE8" s="3434"/>
      <c r="PYF8" s="3434"/>
      <c r="PYG8" s="3434"/>
      <c r="PYH8" s="3434"/>
      <c r="PYI8" s="3434"/>
      <c r="PYJ8" s="3434"/>
      <c r="PYK8" s="3434"/>
      <c r="PYL8" s="3434"/>
      <c r="PYM8" s="3434"/>
      <c r="PYN8" s="3434"/>
      <c r="PYO8" s="3434"/>
      <c r="PYP8" s="3434"/>
      <c r="PYQ8" s="3434"/>
      <c r="PYR8" s="3434"/>
      <c r="PYS8" s="3434"/>
      <c r="PYT8" s="3434"/>
      <c r="PYU8" s="3434"/>
      <c r="PYV8" s="3434"/>
      <c r="PYW8" s="3434"/>
      <c r="PYX8" s="3434"/>
      <c r="PYY8" s="3434"/>
      <c r="PYZ8" s="3434"/>
      <c r="PZA8" s="3434"/>
      <c r="PZB8" s="3434"/>
      <c r="PZC8" s="3434"/>
      <c r="PZD8" s="3434"/>
      <c r="PZE8" s="3434"/>
      <c r="PZF8" s="3434"/>
      <c r="PZG8" s="3434"/>
      <c r="PZH8" s="3434"/>
      <c r="PZI8" s="3434"/>
      <c r="PZJ8" s="3434"/>
      <c r="PZK8" s="3434"/>
      <c r="PZL8" s="3434"/>
      <c r="PZM8" s="3434"/>
      <c r="PZN8" s="3434"/>
      <c r="PZO8" s="3434"/>
      <c r="PZP8" s="3434"/>
      <c r="PZQ8" s="3434"/>
      <c r="PZR8" s="3434"/>
      <c r="PZS8" s="3434"/>
      <c r="PZT8" s="3434"/>
      <c r="PZU8" s="3434"/>
      <c r="PZV8" s="3434"/>
      <c r="PZW8" s="3434"/>
      <c r="PZX8" s="3434"/>
      <c r="PZY8" s="3434"/>
      <c r="PZZ8" s="3434"/>
      <c r="QAA8" s="3434"/>
      <c r="QAB8" s="3434"/>
      <c r="QAC8" s="3434"/>
      <c r="QAD8" s="3434"/>
      <c r="QAE8" s="3434"/>
      <c r="QAF8" s="3434"/>
      <c r="QAG8" s="3434"/>
      <c r="QAH8" s="3434"/>
      <c r="QAI8" s="3434"/>
      <c r="QAJ8" s="3434"/>
      <c r="QAK8" s="3434"/>
      <c r="QAL8" s="3434"/>
      <c r="QAM8" s="3434"/>
      <c r="QAN8" s="3434"/>
      <c r="QAO8" s="3434"/>
      <c r="QAP8" s="3434"/>
      <c r="QAQ8" s="3434"/>
      <c r="QAR8" s="3434"/>
      <c r="QAS8" s="3434"/>
      <c r="QAT8" s="3434"/>
      <c r="QAU8" s="3434"/>
      <c r="QAV8" s="3434"/>
      <c r="QAW8" s="3434"/>
      <c r="QAX8" s="3434"/>
      <c r="QAY8" s="3434"/>
      <c r="QAZ8" s="3434"/>
      <c r="QBA8" s="3434"/>
      <c r="QBB8" s="3434"/>
      <c r="QBC8" s="3434"/>
      <c r="QBD8" s="3434"/>
      <c r="QBE8" s="3434"/>
      <c r="QBF8" s="3434"/>
      <c r="QBG8" s="3434"/>
      <c r="QBH8" s="3434"/>
      <c r="QBI8" s="3434"/>
      <c r="QBJ8" s="3434"/>
      <c r="QBK8" s="3434"/>
      <c r="QBL8" s="3434"/>
      <c r="QBM8" s="3434"/>
      <c r="QBN8" s="3434"/>
      <c r="QBO8" s="3434"/>
      <c r="QBP8" s="3434"/>
      <c r="QBQ8" s="3434"/>
      <c r="QBR8" s="3434"/>
      <c r="QBS8" s="3434"/>
      <c r="QBT8" s="3434"/>
      <c r="QBU8" s="3434"/>
      <c r="QBV8" s="3434"/>
      <c r="QBW8" s="3434"/>
      <c r="QBX8" s="3434"/>
      <c r="QBY8" s="3434"/>
      <c r="QBZ8" s="3434"/>
      <c r="QCA8" s="3434"/>
      <c r="QCB8" s="3434"/>
      <c r="QCC8" s="3434"/>
      <c r="QCD8" s="3434"/>
      <c r="QCE8" s="3434"/>
      <c r="QCF8" s="3434"/>
      <c r="QCG8" s="3434"/>
      <c r="QCH8" s="3434"/>
      <c r="QCI8" s="3434"/>
      <c r="QCJ8" s="3434"/>
      <c r="QCK8" s="3434"/>
      <c r="QCL8" s="3434"/>
      <c r="QCM8" s="3434"/>
      <c r="QCN8" s="3434"/>
      <c r="QCO8" s="3434"/>
      <c r="QCP8" s="3434"/>
      <c r="QCQ8" s="3434"/>
      <c r="QCR8" s="3434"/>
      <c r="QCS8" s="3434"/>
      <c r="QCT8" s="3434"/>
      <c r="QCU8" s="3434"/>
      <c r="QCV8" s="3434"/>
      <c r="QCW8" s="3434"/>
      <c r="QCX8" s="3434"/>
      <c r="QCY8" s="3434"/>
      <c r="QCZ8" s="3434"/>
      <c r="QDA8" s="3434"/>
      <c r="QDB8" s="3434"/>
      <c r="QDC8" s="3434"/>
      <c r="QDD8" s="3434"/>
      <c r="QDE8" s="3434"/>
      <c r="QDF8" s="3434"/>
      <c r="QDG8" s="3434"/>
      <c r="QDH8" s="3434"/>
      <c r="QDI8" s="3434"/>
      <c r="QDJ8" s="3434"/>
      <c r="QDK8" s="3434"/>
      <c r="QDL8" s="3434"/>
      <c r="QDM8" s="3434"/>
      <c r="QDN8" s="3434"/>
      <c r="QDO8" s="3434"/>
      <c r="QDP8" s="3434"/>
      <c r="QDQ8" s="3434"/>
      <c r="QDR8" s="3434"/>
      <c r="QDS8" s="3434"/>
      <c r="QDT8" s="3434"/>
      <c r="QDU8" s="3434"/>
      <c r="QDV8" s="3434"/>
      <c r="QDW8" s="3434"/>
      <c r="QDX8" s="3434"/>
      <c r="QDY8" s="3434"/>
      <c r="QDZ8" s="3434"/>
      <c r="QEA8" s="3434"/>
      <c r="QEB8" s="3434"/>
      <c r="QEC8" s="3434"/>
      <c r="QED8" s="3434"/>
      <c r="QEE8" s="3434"/>
      <c r="QEF8" s="3434"/>
      <c r="QEG8" s="3434"/>
      <c r="QEH8" s="3434"/>
      <c r="QEI8" s="3434"/>
      <c r="QEJ8" s="3434"/>
      <c r="QEK8" s="3434"/>
      <c r="QEL8" s="3434"/>
      <c r="QEM8" s="3434"/>
      <c r="QEN8" s="3434"/>
      <c r="QEO8" s="3434"/>
      <c r="QEP8" s="3434"/>
      <c r="QEQ8" s="3434"/>
      <c r="QER8" s="3434"/>
      <c r="QES8" s="3434"/>
      <c r="QET8" s="3434"/>
      <c r="QEU8" s="3434"/>
      <c r="QEV8" s="3434"/>
      <c r="QEW8" s="3434"/>
      <c r="QEX8" s="3434"/>
      <c r="QEY8" s="3434"/>
      <c r="QEZ8" s="3434"/>
      <c r="QFA8" s="3434"/>
      <c r="QFB8" s="3434"/>
      <c r="QFC8" s="3434"/>
      <c r="QFD8" s="3434"/>
      <c r="QFE8" s="3434"/>
      <c r="QFF8" s="3434"/>
      <c r="QFG8" s="3434"/>
      <c r="QFH8" s="3434"/>
      <c r="QFI8" s="3434"/>
      <c r="QFJ8" s="3434"/>
      <c r="QFK8" s="3434"/>
      <c r="QFL8" s="3434"/>
      <c r="QFM8" s="3434"/>
      <c r="QFN8" s="3434"/>
      <c r="QFO8" s="3434"/>
      <c r="QFP8" s="3434"/>
      <c r="QFQ8" s="3434"/>
      <c r="QFR8" s="3434"/>
      <c r="QFS8" s="3434"/>
      <c r="QFT8" s="3434"/>
      <c r="QFU8" s="3434"/>
      <c r="QFV8" s="3434"/>
      <c r="QFW8" s="3434"/>
      <c r="QFX8" s="3434"/>
      <c r="QFY8" s="3434"/>
      <c r="QFZ8" s="3434"/>
      <c r="QGA8" s="3434"/>
      <c r="QGB8" s="3434"/>
      <c r="QGC8" s="3434"/>
      <c r="QGD8" s="3434"/>
      <c r="QGE8" s="3434"/>
      <c r="QGF8" s="3434"/>
      <c r="QGG8" s="3434"/>
      <c r="QGH8" s="3434"/>
      <c r="QGI8" s="3434"/>
      <c r="QGJ8" s="3434"/>
      <c r="QGK8" s="3434"/>
      <c r="QGL8" s="3434"/>
      <c r="QGM8" s="3434"/>
      <c r="QGN8" s="3434"/>
      <c r="QGO8" s="3434"/>
      <c r="QGP8" s="3434"/>
      <c r="QGQ8" s="3434"/>
      <c r="QGR8" s="3434"/>
      <c r="QGS8" s="3434"/>
      <c r="QGT8" s="3434"/>
      <c r="QGU8" s="3434"/>
      <c r="QGV8" s="3434"/>
      <c r="QGW8" s="3434"/>
      <c r="QGX8" s="3434"/>
      <c r="QGY8" s="3434"/>
      <c r="QGZ8" s="3434"/>
      <c r="QHA8" s="3434"/>
      <c r="QHB8" s="3434"/>
      <c r="QHC8" s="3434"/>
      <c r="QHD8" s="3434"/>
      <c r="QHE8" s="3434"/>
      <c r="QHF8" s="3434"/>
      <c r="QHG8" s="3434"/>
      <c r="QHH8" s="3434"/>
      <c r="QHI8" s="3434"/>
      <c r="QHJ8" s="3434"/>
      <c r="QHK8" s="3434"/>
      <c r="QHL8" s="3434"/>
      <c r="QHM8" s="3434"/>
      <c r="QHN8" s="3434"/>
      <c r="QHO8" s="3434"/>
      <c r="QHP8" s="3434"/>
      <c r="QHQ8" s="3434"/>
      <c r="QHR8" s="3434"/>
      <c r="QHS8" s="3434"/>
      <c r="QHT8" s="3434"/>
      <c r="QHU8" s="3434"/>
      <c r="QHV8" s="3434"/>
      <c r="QHW8" s="3434"/>
      <c r="QHX8" s="3434"/>
      <c r="QHY8" s="3434"/>
      <c r="QHZ8" s="3434"/>
      <c r="QIA8" s="3434"/>
      <c r="QIB8" s="3434"/>
      <c r="QIC8" s="3434"/>
      <c r="QID8" s="3434"/>
      <c r="QIE8" s="3434"/>
      <c r="QIF8" s="3434"/>
      <c r="QIG8" s="3434"/>
      <c r="QIH8" s="3434"/>
      <c r="QII8" s="3434"/>
      <c r="QIJ8" s="3434"/>
      <c r="QIK8" s="3434"/>
      <c r="QIL8" s="3434"/>
      <c r="QIM8" s="3434"/>
      <c r="QIN8" s="3434"/>
      <c r="QIO8" s="3434"/>
      <c r="QIP8" s="3434"/>
      <c r="QIQ8" s="3434"/>
      <c r="QIR8" s="3434"/>
      <c r="QIS8" s="3434"/>
      <c r="QIT8" s="3434"/>
      <c r="QIU8" s="3434"/>
      <c r="QIV8" s="3434"/>
      <c r="QIW8" s="3434"/>
      <c r="QIX8" s="3434"/>
      <c r="QIY8" s="3434"/>
      <c r="QIZ8" s="3434"/>
      <c r="QJA8" s="3434"/>
      <c r="QJB8" s="3434"/>
      <c r="QJC8" s="3434"/>
      <c r="QJD8" s="3434"/>
      <c r="QJE8" s="3434"/>
      <c r="QJF8" s="3434"/>
      <c r="QJG8" s="3434"/>
      <c r="QJH8" s="3434"/>
      <c r="QJI8" s="3434"/>
      <c r="QJJ8" s="3434"/>
      <c r="QJK8" s="3434"/>
      <c r="QJL8" s="3434"/>
      <c r="QJM8" s="3434"/>
      <c r="QJN8" s="3434"/>
      <c r="QJO8" s="3434"/>
      <c r="QJP8" s="3434"/>
      <c r="QJQ8" s="3434"/>
      <c r="QJR8" s="3434"/>
      <c r="QJS8" s="3434"/>
      <c r="QJT8" s="3434"/>
      <c r="QJU8" s="3434"/>
      <c r="QJV8" s="3434"/>
      <c r="QJW8" s="3434"/>
      <c r="QJX8" s="3434"/>
      <c r="QJY8" s="3434"/>
      <c r="QJZ8" s="3434"/>
      <c r="QKA8" s="3434"/>
      <c r="QKB8" s="3434"/>
      <c r="QKC8" s="3434"/>
      <c r="QKD8" s="3434"/>
      <c r="QKE8" s="3434"/>
      <c r="QKF8" s="3434"/>
      <c r="QKG8" s="3434"/>
      <c r="QKH8" s="3434"/>
      <c r="QKI8" s="3434"/>
      <c r="QKJ8" s="3434"/>
      <c r="QKK8" s="3434"/>
      <c r="QKL8" s="3434"/>
      <c r="QKM8" s="3434"/>
      <c r="QKN8" s="3434"/>
      <c r="QKO8" s="3434"/>
      <c r="QKP8" s="3434"/>
      <c r="QKQ8" s="3434"/>
      <c r="QKR8" s="3434"/>
      <c r="QKS8" s="3434"/>
      <c r="QKT8" s="3434"/>
      <c r="QKU8" s="3434"/>
      <c r="QKV8" s="3434"/>
      <c r="QKW8" s="3434"/>
      <c r="QKX8" s="3434"/>
      <c r="QKY8" s="3434"/>
      <c r="QKZ8" s="3434"/>
      <c r="QLA8" s="3434"/>
      <c r="QLB8" s="3434"/>
      <c r="QLC8" s="3434"/>
      <c r="QLD8" s="3434"/>
      <c r="QLE8" s="3434"/>
      <c r="QLF8" s="3434"/>
      <c r="QLG8" s="3434"/>
      <c r="QLH8" s="3434"/>
      <c r="QLI8" s="3434"/>
      <c r="QLJ8" s="3434"/>
      <c r="QLK8" s="3434"/>
      <c r="QLL8" s="3434"/>
      <c r="QLM8" s="3434"/>
      <c r="QLN8" s="3434"/>
      <c r="QLO8" s="3434"/>
      <c r="QLP8" s="3434"/>
      <c r="QLQ8" s="3434"/>
      <c r="QLR8" s="3434"/>
      <c r="QLS8" s="3434"/>
      <c r="QLT8" s="3434"/>
      <c r="QLU8" s="3434"/>
      <c r="QLV8" s="3434"/>
      <c r="QLW8" s="3434"/>
      <c r="QLX8" s="3434"/>
      <c r="QLY8" s="3434"/>
      <c r="QLZ8" s="3434"/>
      <c r="QMA8" s="3434"/>
      <c r="QMB8" s="3434"/>
      <c r="QMC8" s="3434"/>
      <c r="QMD8" s="3434"/>
      <c r="QME8" s="3434"/>
      <c r="QMF8" s="3434"/>
      <c r="QMG8" s="3434"/>
      <c r="QMH8" s="3434"/>
      <c r="QMI8" s="3434"/>
      <c r="QMJ8" s="3434"/>
      <c r="QMK8" s="3434"/>
      <c r="QML8" s="3434"/>
      <c r="QMM8" s="3434"/>
      <c r="QMN8" s="3434"/>
      <c r="QMO8" s="3434"/>
      <c r="QMP8" s="3434"/>
      <c r="QMQ8" s="3434"/>
      <c r="QMR8" s="3434"/>
      <c r="QMS8" s="3434"/>
      <c r="QMT8" s="3434"/>
      <c r="QMU8" s="3434"/>
      <c r="QMV8" s="3434"/>
      <c r="QMW8" s="3434"/>
      <c r="QMX8" s="3434"/>
      <c r="QMY8" s="3434"/>
      <c r="QMZ8" s="3434"/>
      <c r="QNA8" s="3434"/>
      <c r="QNB8" s="3434"/>
      <c r="QNC8" s="3434"/>
      <c r="QND8" s="3434"/>
      <c r="QNE8" s="3434"/>
      <c r="QNF8" s="3434"/>
      <c r="QNG8" s="3434"/>
      <c r="QNH8" s="3434"/>
      <c r="QNI8" s="3434"/>
      <c r="QNJ8" s="3434"/>
      <c r="QNK8" s="3434"/>
      <c r="QNL8" s="3434"/>
      <c r="QNM8" s="3434"/>
      <c r="QNN8" s="3434"/>
      <c r="QNO8" s="3434"/>
      <c r="QNP8" s="3434"/>
      <c r="QNQ8" s="3434"/>
      <c r="QNR8" s="3434"/>
      <c r="QNS8" s="3434"/>
      <c r="QNT8" s="3434"/>
      <c r="QNU8" s="3434"/>
      <c r="QNV8" s="3434"/>
      <c r="QNW8" s="3434"/>
      <c r="QNX8" s="3434"/>
      <c r="QNY8" s="3434"/>
      <c r="QNZ8" s="3434"/>
      <c r="QOA8" s="3434"/>
      <c r="QOB8" s="3434"/>
      <c r="QOC8" s="3434"/>
      <c r="QOD8" s="3434"/>
      <c r="QOE8" s="3434"/>
      <c r="QOF8" s="3434"/>
      <c r="QOG8" s="3434"/>
      <c r="QOH8" s="3434"/>
      <c r="QOI8" s="3434"/>
      <c r="QOJ8" s="3434"/>
      <c r="QOK8" s="3434"/>
      <c r="QOL8" s="3434"/>
      <c r="QOM8" s="3434"/>
      <c r="QON8" s="3434"/>
      <c r="QOO8" s="3434"/>
      <c r="QOP8" s="3434"/>
      <c r="QOQ8" s="3434"/>
      <c r="QOR8" s="3434"/>
      <c r="QOS8" s="3434"/>
      <c r="QOT8" s="3434"/>
      <c r="QOU8" s="3434"/>
      <c r="QOV8" s="3434"/>
      <c r="QOW8" s="3434"/>
      <c r="QOX8" s="3434"/>
      <c r="QOY8" s="3434"/>
      <c r="QOZ8" s="3434"/>
      <c r="QPA8" s="3434"/>
      <c r="QPB8" s="3434"/>
      <c r="QPC8" s="3434"/>
      <c r="QPD8" s="3434"/>
      <c r="QPE8" s="3434"/>
      <c r="QPF8" s="3434"/>
      <c r="QPG8" s="3434"/>
      <c r="QPH8" s="3434"/>
      <c r="QPI8" s="3434"/>
      <c r="QPJ8" s="3434"/>
      <c r="QPK8" s="3434"/>
      <c r="QPL8" s="3434"/>
      <c r="QPM8" s="3434"/>
      <c r="QPN8" s="3434"/>
      <c r="QPO8" s="3434"/>
      <c r="QPP8" s="3434"/>
      <c r="QPQ8" s="3434"/>
      <c r="QPR8" s="3434"/>
      <c r="QPS8" s="3434"/>
      <c r="QPT8" s="3434"/>
      <c r="QPU8" s="3434"/>
      <c r="QPV8" s="3434"/>
      <c r="QPW8" s="3434"/>
      <c r="QPX8" s="3434"/>
      <c r="QPY8" s="3434"/>
      <c r="QPZ8" s="3434"/>
      <c r="QQA8" s="3434"/>
      <c r="QQB8" s="3434"/>
      <c r="QQC8" s="3434"/>
      <c r="QQD8" s="3434"/>
      <c r="QQE8" s="3434"/>
      <c r="QQF8" s="3434"/>
      <c r="QQG8" s="3434"/>
      <c r="QQH8" s="3434"/>
      <c r="QQI8" s="3434"/>
      <c r="QQJ8" s="3434"/>
      <c r="QQK8" s="3434"/>
      <c r="QQL8" s="3434"/>
      <c r="QQM8" s="3434"/>
      <c r="QQN8" s="3434"/>
      <c r="QQO8" s="3434"/>
      <c r="QQP8" s="3434"/>
      <c r="QQQ8" s="3434"/>
      <c r="QQR8" s="3434"/>
      <c r="QQS8" s="3434"/>
      <c r="QQT8" s="3434"/>
      <c r="QQU8" s="3434"/>
      <c r="QQV8" s="3434"/>
      <c r="QQW8" s="3434"/>
      <c r="QQX8" s="3434"/>
      <c r="QQY8" s="3434"/>
      <c r="QQZ8" s="3434"/>
      <c r="QRA8" s="3434"/>
      <c r="QRB8" s="3434"/>
      <c r="QRC8" s="3434"/>
      <c r="QRD8" s="3434"/>
      <c r="QRE8" s="3434"/>
      <c r="QRF8" s="3434"/>
      <c r="QRG8" s="3434"/>
      <c r="QRH8" s="3434"/>
      <c r="QRI8" s="3434"/>
      <c r="QRJ8" s="3434"/>
      <c r="QRK8" s="3434"/>
      <c r="QRL8" s="3434"/>
      <c r="QRM8" s="3434"/>
      <c r="QRN8" s="3434"/>
      <c r="QRO8" s="3434"/>
      <c r="QRP8" s="3434"/>
      <c r="QRQ8" s="3434"/>
      <c r="QRR8" s="3434"/>
      <c r="QRS8" s="3434"/>
      <c r="QRT8" s="3434"/>
      <c r="QRU8" s="3434"/>
      <c r="QRV8" s="3434"/>
      <c r="QRW8" s="3434"/>
      <c r="QRX8" s="3434"/>
      <c r="QRY8" s="3434"/>
      <c r="QRZ8" s="3434"/>
      <c r="QSA8" s="3434"/>
      <c r="QSB8" s="3434"/>
      <c r="QSC8" s="3434"/>
      <c r="QSD8" s="3434"/>
      <c r="QSE8" s="3434"/>
      <c r="QSF8" s="3434"/>
      <c r="QSG8" s="3434"/>
      <c r="QSH8" s="3434"/>
      <c r="QSI8" s="3434"/>
      <c r="QSJ8" s="3434"/>
      <c r="QSK8" s="3434"/>
      <c r="QSL8" s="3434"/>
      <c r="QSM8" s="3434"/>
      <c r="QSN8" s="3434"/>
      <c r="QSO8" s="3434"/>
      <c r="QSP8" s="3434"/>
      <c r="QSQ8" s="3434"/>
      <c r="QSR8" s="3434"/>
      <c r="QSS8" s="3434"/>
      <c r="QST8" s="3434"/>
      <c r="QSU8" s="3434"/>
      <c r="QSV8" s="3434"/>
      <c r="QSW8" s="3434"/>
      <c r="QSX8" s="3434"/>
      <c r="QSY8" s="3434"/>
      <c r="QSZ8" s="3434"/>
      <c r="QTA8" s="3434"/>
      <c r="QTB8" s="3434"/>
      <c r="QTC8" s="3434"/>
      <c r="QTD8" s="3434"/>
      <c r="QTE8" s="3434"/>
      <c r="QTF8" s="3434"/>
      <c r="QTG8" s="3434"/>
      <c r="QTH8" s="3434"/>
      <c r="QTI8" s="3434"/>
      <c r="QTJ8" s="3434"/>
      <c r="QTK8" s="3434"/>
      <c r="QTL8" s="3434"/>
      <c r="QTM8" s="3434"/>
      <c r="QTN8" s="3434"/>
      <c r="QTO8" s="3434"/>
      <c r="QTP8" s="3434"/>
      <c r="QTQ8" s="3434"/>
      <c r="QTR8" s="3434"/>
      <c r="QTS8" s="3434"/>
      <c r="QTT8" s="3434"/>
      <c r="QTU8" s="3434"/>
      <c r="QTV8" s="3434"/>
      <c r="QTW8" s="3434"/>
      <c r="QTX8" s="3434"/>
      <c r="QTY8" s="3434"/>
      <c r="QTZ8" s="3434"/>
      <c r="QUA8" s="3434"/>
      <c r="QUB8" s="3434"/>
      <c r="QUC8" s="3434"/>
      <c r="QUD8" s="3434"/>
      <c r="QUE8" s="3434"/>
      <c r="QUF8" s="3434"/>
      <c r="QUG8" s="3434"/>
      <c r="QUH8" s="3434"/>
      <c r="QUI8" s="3434"/>
      <c r="QUJ8" s="3434"/>
      <c r="QUK8" s="3434"/>
      <c r="QUL8" s="3434"/>
      <c r="QUM8" s="3434"/>
      <c r="QUN8" s="3434"/>
      <c r="QUO8" s="3434"/>
      <c r="QUP8" s="3434"/>
      <c r="QUQ8" s="3434"/>
      <c r="QUR8" s="3434"/>
      <c r="QUS8" s="3434"/>
      <c r="QUT8" s="3434"/>
      <c r="QUU8" s="3434"/>
      <c r="QUV8" s="3434"/>
      <c r="QUW8" s="3434"/>
      <c r="QUX8" s="3434"/>
      <c r="QUY8" s="3434"/>
      <c r="QUZ8" s="3434"/>
      <c r="QVA8" s="3434"/>
      <c r="QVB8" s="3434"/>
      <c r="QVC8" s="3434"/>
      <c r="QVD8" s="3434"/>
      <c r="QVE8" s="3434"/>
      <c r="QVF8" s="3434"/>
      <c r="QVG8" s="3434"/>
      <c r="QVH8" s="3434"/>
      <c r="QVI8" s="3434"/>
      <c r="QVJ8" s="3434"/>
      <c r="QVK8" s="3434"/>
      <c r="QVL8" s="3434"/>
      <c r="QVM8" s="3434"/>
      <c r="QVN8" s="3434"/>
      <c r="QVO8" s="3434"/>
      <c r="QVP8" s="3434"/>
      <c r="QVQ8" s="3434"/>
      <c r="QVR8" s="3434"/>
      <c r="QVS8" s="3434"/>
      <c r="QVT8" s="3434"/>
      <c r="QVU8" s="3434"/>
      <c r="QVV8" s="3434"/>
      <c r="QVW8" s="3434"/>
      <c r="QVX8" s="3434"/>
      <c r="QVY8" s="3434"/>
      <c r="QVZ8" s="3434"/>
      <c r="QWA8" s="3434"/>
      <c r="QWB8" s="3434"/>
      <c r="QWC8" s="3434"/>
      <c r="QWD8" s="3434"/>
      <c r="QWE8" s="3434"/>
      <c r="QWF8" s="3434"/>
      <c r="QWG8" s="3434"/>
      <c r="QWH8" s="3434"/>
      <c r="QWI8" s="3434"/>
      <c r="QWJ8" s="3434"/>
      <c r="QWK8" s="3434"/>
      <c r="QWL8" s="3434"/>
      <c r="QWM8" s="3434"/>
      <c r="QWN8" s="3434"/>
      <c r="QWO8" s="3434"/>
      <c r="QWP8" s="3434"/>
      <c r="QWQ8" s="3434"/>
      <c r="QWR8" s="3434"/>
      <c r="QWS8" s="3434"/>
      <c r="QWT8" s="3434"/>
      <c r="QWU8" s="3434"/>
      <c r="QWV8" s="3434"/>
      <c r="QWW8" s="3434"/>
      <c r="QWX8" s="3434"/>
      <c r="QWY8" s="3434"/>
      <c r="QWZ8" s="3434"/>
      <c r="QXA8" s="3434"/>
      <c r="QXB8" s="3434"/>
      <c r="QXC8" s="3434"/>
      <c r="QXD8" s="3434"/>
      <c r="QXE8" s="3434"/>
      <c r="QXF8" s="3434"/>
      <c r="QXG8" s="3434"/>
      <c r="QXH8" s="3434"/>
      <c r="QXI8" s="3434"/>
      <c r="QXJ8" s="3434"/>
      <c r="QXK8" s="3434"/>
      <c r="QXL8" s="3434"/>
      <c r="QXM8" s="3434"/>
      <c r="QXN8" s="3434"/>
      <c r="QXO8" s="3434"/>
      <c r="QXP8" s="3434"/>
      <c r="QXQ8" s="3434"/>
      <c r="QXR8" s="3434"/>
      <c r="QXS8" s="3434"/>
      <c r="QXT8" s="3434"/>
      <c r="QXU8" s="3434"/>
      <c r="QXV8" s="3434"/>
      <c r="QXW8" s="3434"/>
      <c r="QXX8" s="3434"/>
      <c r="QXY8" s="3434"/>
      <c r="QXZ8" s="3434"/>
      <c r="QYA8" s="3434"/>
      <c r="QYB8" s="3434"/>
      <c r="QYC8" s="3434"/>
      <c r="QYD8" s="3434"/>
      <c r="QYE8" s="3434"/>
      <c r="QYF8" s="3434"/>
      <c r="QYG8" s="3434"/>
      <c r="QYH8" s="3434"/>
      <c r="QYI8" s="3434"/>
      <c r="QYJ8" s="3434"/>
      <c r="QYK8" s="3434"/>
      <c r="QYL8" s="3434"/>
      <c r="QYM8" s="3434"/>
      <c r="QYN8" s="3434"/>
      <c r="QYO8" s="3434"/>
      <c r="QYP8" s="3434"/>
      <c r="QYQ8" s="3434"/>
      <c r="QYR8" s="3434"/>
      <c r="QYS8" s="3434"/>
      <c r="QYT8" s="3434"/>
      <c r="QYU8" s="3434"/>
      <c r="QYV8" s="3434"/>
      <c r="QYW8" s="3434"/>
      <c r="QYX8" s="3434"/>
      <c r="QYY8" s="3434"/>
      <c r="QYZ8" s="3434"/>
      <c r="QZA8" s="3434"/>
      <c r="QZB8" s="3434"/>
      <c r="QZC8" s="3434"/>
      <c r="QZD8" s="3434"/>
      <c r="QZE8" s="3434"/>
      <c r="QZF8" s="3434"/>
      <c r="QZG8" s="3434"/>
      <c r="QZH8" s="3434"/>
      <c r="QZI8" s="3434"/>
      <c r="QZJ8" s="3434"/>
      <c r="QZK8" s="3434"/>
      <c r="QZL8" s="3434"/>
      <c r="QZM8" s="3434"/>
      <c r="QZN8" s="3434"/>
      <c r="QZO8" s="3434"/>
      <c r="QZP8" s="3434"/>
      <c r="QZQ8" s="3434"/>
      <c r="QZR8" s="3434"/>
      <c r="QZS8" s="3434"/>
      <c r="QZT8" s="3434"/>
      <c r="QZU8" s="3434"/>
      <c r="QZV8" s="3434"/>
      <c r="QZW8" s="3434"/>
      <c r="QZX8" s="3434"/>
      <c r="QZY8" s="3434"/>
      <c r="QZZ8" s="3434"/>
      <c r="RAA8" s="3434"/>
      <c r="RAB8" s="3434"/>
      <c r="RAC8" s="3434"/>
      <c r="RAD8" s="3434"/>
      <c r="RAE8" s="3434"/>
      <c r="RAF8" s="3434"/>
      <c r="RAG8" s="3434"/>
      <c r="RAH8" s="3434"/>
      <c r="RAI8" s="3434"/>
      <c r="RAJ8" s="3434"/>
      <c r="RAK8" s="3434"/>
      <c r="RAL8" s="3434"/>
      <c r="RAM8" s="3434"/>
      <c r="RAN8" s="3434"/>
      <c r="RAO8" s="3434"/>
      <c r="RAP8" s="3434"/>
      <c r="RAQ8" s="3434"/>
      <c r="RAR8" s="3434"/>
      <c r="RAS8" s="3434"/>
      <c r="RAT8" s="3434"/>
      <c r="RAU8" s="3434"/>
      <c r="RAV8" s="3434"/>
      <c r="RAW8" s="3434"/>
      <c r="RAX8" s="3434"/>
      <c r="RAY8" s="3434"/>
      <c r="RAZ8" s="3434"/>
      <c r="RBA8" s="3434"/>
      <c r="RBB8" s="3434"/>
      <c r="RBC8" s="3434"/>
      <c r="RBD8" s="3434"/>
      <c r="RBE8" s="3434"/>
      <c r="RBF8" s="3434"/>
      <c r="RBG8" s="3434"/>
      <c r="RBH8" s="3434"/>
      <c r="RBI8" s="3434"/>
      <c r="RBJ8" s="3434"/>
      <c r="RBK8" s="3434"/>
      <c r="RBL8" s="3434"/>
      <c r="RBM8" s="3434"/>
      <c r="RBN8" s="3434"/>
      <c r="RBO8" s="3434"/>
      <c r="RBP8" s="3434"/>
      <c r="RBQ8" s="3434"/>
      <c r="RBR8" s="3434"/>
      <c r="RBS8" s="3434"/>
      <c r="RBT8" s="3434"/>
      <c r="RBU8" s="3434"/>
      <c r="RBV8" s="3434"/>
      <c r="RBW8" s="3434"/>
      <c r="RBX8" s="3434"/>
      <c r="RBY8" s="3434"/>
      <c r="RBZ8" s="3434"/>
      <c r="RCA8" s="3434"/>
      <c r="RCB8" s="3434"/>
      <c r="RCC8" s="3434"/>
      <c r="RCD8" s="3434"/>
      <c r="RCE8" s="3434"/>
      <c r="RCF8" s="3434"/>
      <c r="RCG8" s="3434"/>
      <c r="RCH8" s="3434"/>
      <c r="RCI8" s="3434"/>
      <c r="RCJ8" s="3434"/>
      <c r="RCK8" s="3434"/>
      <c r="RCL8" s="3434"/>
      <c r="RCM8" s="3434"/>
      <c r="RCN8" s="3434"/>
      <c r="RCO8" s="3434"/>
      <c r="RCP8" s="3434"/>
      <c r="RCQ8" s="3434"/>
      <c r="RCR8" s="3434"/>
      <c r="RCS8" s="3434"/>
      <c r="RCT8" s="3434"/>
      <c r="RCU8" s="3434"/>
      <c r="RCV8" s="3434"/>
      <c r="RCW8" s="3434"/>
      <c r="RCX8" s="3434"/>
      <c r="RCY8" s="3434"/>
      <c r="RCZ8" s="3434"/>
      <c r="RDA8" s="3434"/>
      <c r="RDB8" s="3434"/>
      <c r="RDC8" s="3434"/>
      <c r="RDD8" s="3434"/>
      <c r="RDE8" s="3434"/>
      <c r="RDF8" s="3434"/>
      <c r="RDG8" s="3434"/>
      <c r="RDH8" s="3434"/>
      <c r="RDI8" s="3434"/>
      <c r="RDJ8" s="3434"/>
      <c r="RDK8" s="3434"/>
      <c r="RDL8" s="3434"/>
      <c r="RDM8" s="3434"/>
      <c r="RDN8" s="3434"/>
      <c r="RDO8" s="3434"/>
      <c r="RDP8" s="3434"/>
      <c r="RDQ8" s="3434"/>
      <c r="RDR8" s="3434"/>
      <c r="RDS8" s="3434"/>
      <c r="RDT8" s="3434"/>
      <c r="RDU8" s="3434"/>
      <c r="RDV8" s="3434"/>
      <c r="RDW8" s="3434"/>
      <c r="RDX8" s="3434"/>
      <c r="RDY8" s="3434"/>
      <c r="RDZ8" s="3434"/>
      <c r="REA8" s="3434"/>
      <c r="REB8" s="3434"/>
      <c r="REC8" s="3434"/>
      <c r="RED8" s="3434"/>
      <c r="REE8" s="3434"/>
      <c r="REF8" s="3434"/>
      <c r="REG8" s="3434"/>
      <c r="REH8" s="3434"/>
      <c r="REI8" s="3434"/>
      <c r="REJ8" s="3434"/>
      <c r="REK8" s="3434"/>
      <c r="REL8" s="3434"/>
      <c r="REM8" s="3434"/>
      <c r="REN8" s="3434"/>
      <c r="REO8" s="3434"/>
      <c r="REP8" s="3434"/>
      <c r="REQ8" s="3434"/>
      <c r="RER8" s="3434"/>
      <c r="RES8" s="3434"/>
      <c r="RET8" s="3434"/>
      <c r="REU8" s="3434"/>
      <c r="REV8" s="3434"/>
      <c r="REW8" s="3434"/>
      <c r="REX8" s="3434"/>
      <c r="REY8" s="3434"/>
      <c r="REZ8" s="3434"/>
      <c r="RFA8" s="3434"/>
      <c r="RFB8" s="3434"/>
      <c r="RFC8" s="3434"/>
      <c r="RFD8" s="3434"/>
      <c r="RFE8" s="3434"/>
      <c r="RFF8" s="3434"/>
      <c r="RFG8" s="3434"/>
      <c r="RFH8" s="3434"/>
      <c r="RFI8" s="3434"/>
      <c r="RFJ8" s="3434"/>
      <c r="RFK8" s="3434"/>
      <c r="RFL8" s="3434"/>
      <c r="RFM8" s="3434"/>
      <c r="RFN8" s="3434"/>
      <c r="RFO8" s="3434"/>
      <c r="RFP8" s="3434"/>
      <c r="RFQ8" s="3434"/>
      <c r="RFR8" s="3434"/>
      <c r="RFS8" s="3434"/>
      <c r="RFT8" s="3434"/>
      <c r="RFU8" s="3434"/>
      <c r="RFV8" s="3434"/>
      <c r="RFW8" s="3434"/>
      <c r="RFX8" s="3434"/>
      <c r="RFY8" s="3434"/>
      <c r="RFZ8" s="3434"/>
      <c r="RGA8" s="3434"/>
      <c r="RGB8" s="3434"/>
      <c r="RGC8" s="3434"/>
      <c r="RGD8" s="3434"/>
      <c r="RGE8" s="3434"/>
      <c r="RGF8" s="3434"/>
      <c r="RGG8" s="3434"/>
      <c r="RGH8" s="3434"/>
      <c r="RGI8" s="3434"/>
      <c r="RGJ8" s="3434"/>
      <c r="RGK8" s="3434"/>
      <c r="RGL8" s="3434"/>
      <c r="RGM8" s="3434"/>
      <c r="RGN8" s="3434"/>
      <c r="RGO8" s="3434"/>
      <c r="RGP8" s="3434"/>
      <c r="RGQ8" s="3434"/>
      <c r="RGR8" s="3434"/>
      <c r="RGS8" s="3434"/>
      <c r="RGT8" s="3434"/>
      <c r="RGU8" s="3434"/>
      <c r="RGV8" s="3434"/>
      <c r="RGW8" s="3434"/>
      <c r="RGX8" s="3434"/>
      <c r="RGY8" s="3434"/>
      <c r="RGZ8" s="3434"/>
      <c r="RHA8" s="3434"/>
      <c r="RHB8" s="3434"/>
      <c r="RHC8" s="3434"/>
      <c r="RHD8" s="3434"/>
      <c r="RHE8" s="3434"/>
      <c r="RHF8" s="3434"/>
      <c r="RHG8" s="3434"/>
      <c r="RHH8" s="3434"/>
      <c r="RHI8" s="3434"/>
      <c r="RHJ8" s="3434"/>
      <c r="RHK8" s="3434"/>
      <c r="RHL8" s="3434"/>
      <c r="RHM8" s="3434"/>
      <c r="RHN8" s="3434"/>
      <c r="RHO8" s="3434"/>
      <c r="RHP8" s="3434"/>
      <c r="RHQ8" s="3434"/>
      <c r="RHR8" s="3434"/>
      <c r="RHS8" s="3434"/>
      <c r="RHT8" s="3434"/>
      <c r="RHU8" s="3434"/>
      <c r="RHV8" s="3434"/>
      <c r="RHW8" s="3434"/>
      <c r="RHX8" s="3434"/>
      <c r="RHY8" s="3434"/>
      <c r="RHZ8" s="3434"/>
      <c r="RIA8" s="3434"/>
      <c r="RIB8" s="3434"/>
      <c r="RIC8" s="3434"/>
      <c r="RID8" s="3434"/>
      <c r="RIE8" s="3434"/>
      <c r="RIF8" s="3434"/>
      <c r="RIG8" s="3434"/>
      <c r="RIH8" s="3434"/>
      <c r="RII8" s="3434"/>
      <c r="RIJ8" s="3434"/>
      <c r="RIK8" s="3434"/>
      <c r="RIL8" s="3434"/>
      <c r="RIM8" s="3434"/>
      <c r="RIN8" s="3434"/>
      <c r="RIO8" s="3434"/>
      <c r="RIP8" s="3434"/>
      <c r="RIQ8" s="3434"/>
      <c r="RIR8" s="3434"/>
      <c r="RIS8" s="3434"/>
      <c r="RIT8" s="3434"/>
      <c r="RIU8" s="3434"/>
      <c r="RIV8" s="3434"/>
      <c r="RIW8" s="3434"/>
      <c r="RIX8" s="3434"/>
      <c r="RIY8" s="3434"/>
      <c r="RIZ8" s="3434"/>
      <c r="RJA8" s="3434"/>
      <c r="RJB8" s="3434"/>
      <c r="RJC8" s="3434"/>
      <c r="RJD8" s="3434"/>
      <c r="RJE8" s="3434"/>
      <c r="RJF8" s="3434"/>
      <c r="RJG8" s="3434"/>
      <c r="RJH8" s="3434"/>
      <c r="RJI8" s="3434"/>
      <c r="RJJ8" s="3434"/>
      <c r="RJK8" s="3434"/>
      <c r="RJL8" s="3434"/>
      <c r="RJM8" s="3434"/>
      <c r="RJN8" s="3434"/>
      <c r="RJO8" s="3434"/>
      <c r="RJP8" s="3434"/>
      <c r="RJQ8" s="3434"/>
      <c r="RJR8" s="3434"/>
      <c r="RJS8" s="3434"/>
      <c r="RJT8" s="3434"/>
      <c r="RJU8" s="3434"/>
      <c r="RJV8" s="3434"/>
      <c r="RJW8" s="3434"/>
      <c r="RJX8" s="3434"/>
      <c r="RJY8" s="3434"/>
      <c r="RJZ8" s="3434"/>
      <c r="RKA8" s="3434"/>
      <c r="RKB8" s="3434"/>
      <c r="RKC8" s="3434"/>
      <c r="RKD8" s="3434"/>
      <c r="RKE8" s="3434"/>
      <c r="RKF8" s="3434"/>
      <c r="RKG8" s="3434"/>
      <c r="RKH8" s="3434"/>
      <c r="RKI8" s="3434"/>
      <c r="RKJ8" s="3434"/>
      <c r="RKK8" s="3434"/>
      <c r="RKL8" s="3434"/>
      <c r="RKM8" s="3434"/>
      <c r="RKN8" s="3434"/>
      <c r="RKO8" s="3434"/>
      <c r="RKP8" s="3434"/>
      <c r="RKQ8" s="3434"/>
      <c r="RKR8" s="3434"/>
      <c r="RKS8" s="3434"/>
      <c r="RKT8" s="3434"/>
      <c r="RKU8" s="3434"/>
      <c r="RKV8" s="3434"/>
      <c r="RKW8" s="3434"/>
      <c r="RKX8" s="3434"/>
      <c r="RKY8" s="3434"/>
      <c r="RKZ8" s="3434"/>
      <c r="RLA8" s="3434"/>
      <c r="RLB8" s="3434"/>
      <c r="RLC8" s="3434"/>
      <c r="RLD8" s="3434"/>
      <c r="RLE8" s="3434"/>
      <c r="RLF8" s="3434"/>
      <c r="RLG8" s="3434"/>
      <c r="RLH8" s="3434"/>
      <c r="RLI8" s="3434"/>
      <c r="RLJ8" s="3434"/>
      <c r="RLK8" s="3434"/>
      <c r="RLL8" s="3434"/>
      <c r="RLM8" s="3434"/>
      <c r="RLN8" s="3434"/>
      <c r="RLO8" s="3434"/>
      <c r="RLP8" s="3434"/>
      <c r="RLQ8" s="3434"/>
      <c r="RLR8" s="3434"/>
      <c r="RLS8" s="3434"/>
      <c r="RLT8" s="3434"/>
      <c r="RLU8" s="3434"/>
      <c r="RLV8" s="3434"/>
      <c r="RLW8" s="3434"/>
      <c r="RLX8" s="3434"/>
      <c r="RLY8" s="3434"/>
      <c r="RLZ8" s="3434"/>
      <c r="RMA8" s="3434"/>
      <c r="RMB8" s="3434"/>
      <c r="RMC8" s="3434"/>
      <c r="RMD8" s="3434"/>
      <c r="RME8" s="3434"/>
      <c r="RMF8" s="3434"/>
      <c r="RMG8" s="3434"/>
      <c r="RMH8" s="3434"/>
      <c r="RMI8" s="3434"/>
      <c r="RMJ8" s="3434"/>
      <c r="RMK8" s="3434"/>
      <c r="RML8" s="3434"/>
      <c r="RMM8" s="3434"/>
      <c r="RMN8" s="3434"/>
      <c r="RMO8" s="3434"/>
      <c r="RMP8" s="3434"/>
      <c r="RMQ8" s="3434"/>
      <c r="RMR8" s="3434"/>
      <c r="RMS8" s="3434"/>
      <c r="RMT8" s="3434"/>
      <c r="RMU8" s="3434"/>
      <c r="RMV8" s="3434"/>
      <c r="RMW8" s="3434"/>
      <c r="RMX8" s="3434"/>
      <c r="RMY8" s="3434"/>
      <c r="RMZ8" s="3434"/>
      <c r="RNA8" s="3434"/>
      <c r="RNB8" s="3434"/>
      <c r="RNC8" s="3434"/>
      <c r="RND8" s="3434"/>
      <c r="RNE8" s="3434"/>
      <c r="RNF8" s="3434"/>
      <c r="RNG8" s="3434"/>
      <c r="RNH8" s="3434"/>
      <c r="RNI8" s="3434"/>
      <c r="RNJ8" s="3434"/>
      <c r="RNK8" s="3434"/>
      <c r="RNL8" s="3434"/>
      <c r="RNM8" s="3434"/>
      <c r="RNN8" s="3434"/>
      <c r="RNO8" s="3434"/>
      <c r="RNP8" s="3434"/>
      <c r="RNQ8" s="3434"/>
      <c r="RNR8" s="3434"/>
      <c r="RNS8" s="3434"/>
      <c r="RNT8" s="3434"/>
      <c r="RNU8" s="3434"/>
      <c r="RNV8" s="3434"/>
      <c r="RNW8" s="3434"/>
      <c r="RNX8" s="3434"/>
      <c r="RNY8" s="3434"/>
      <c r="RNZ8" s="3434"/>
      <c r="ROA8" s="3434"/>
      <c r="ROB8" s="3434"/>
      <c r="ROC8" s="3434"/>
      <c r="ROD8" s="3434"/>
      <c r="ROE8" s="3434"/>
      <c r="ROF8" s="3434"/>
      <c r="ROG8" s="3434"/>
      <c r="ROH8" s="3434"/>
      <c r="ROI8" s="3434"/>
      <c r="ROJ8" s="3434"/>
      <c r="ROK8" s="3434"/>
      <c r="ROL8" s="3434"/>
      <c r="ROM8" s="3434"/>
      <c r="RON8" s="3434"/>
      <c r="ROO8" s="3434"/>
      <c r="ROP8" s="3434"/>
      <c r="ROQ8" s="3434"/>
      <c r="ROR8" s="3434"/>
      <c r="ROS8" s="3434"/>
      <c r="ROT8" s="3434"/>
      <c r="ROU8" s="3434"/>
      <c r="ROV8" s="3434"/>
      <c r="ROW8" s="3434"/>
      <c r="ROX8" s="3434"/>
      <c r="ROY8" s="3434"/>
      <c r="ROZ8" s="3434"/>
      <c r="RPA8" s="3434"/>
      <c r="RPB8" s="3434"/>
      <c r="RPC8" s="3434"/>
      <c r="RPD8" s="3434"/>
      <c r="RPE8" s="3434"/>
      <c r="RPF8" s="3434"/>
      <c r="RPG8" s="3434"/>
      <c r="RPH8" s="3434"/>
      <c r="RPI8" s="3434"/>
      <c r="RPJ8" s="3434"/>
      <c r="RPK8" s="3434"/>
      <c r="RPL8" s="3434"/>
      <c r="RPM8" s="3434"/>
      <c r="RPN8" s="3434"/>
      <c r="RPO8" s="3434"/>
      <c r="RPP8" s="3434"/>
      <c r="RPQ8" s="3434"/>
      <c r="RPR8" s="3434"/>
      <c r="RPS8" s="3434"/>
      <c r="RPT8" s="3434"/>
      <c r="RPU8" s="3434"/>
      <c r="RPV8" s="3434"/>
      <c r="RPW8" s="3434"/>
      <c r="RPX8" s="3434"/>
      <c r="RPY8" s="3434"/>
      <c r="RPZ8" s="3434"/>
      <c r="RQA8" s="3434"/>
      <c r="RQB8" s="3434"/>
      <c r="RQC8" s="3434"/>
      <c r="RQD8" s="3434"/>
      <c r="RQE8" s="3434"/>
      <c r="RQF8" s="3434"/>
      <c r="RQG8" s="3434"/>
      <c r="RQH8" s="3434"/>
      <c r="RQI8" s="3434"/>
      <c r="RQJ8" s="3434"/>
      <c r="RQK8" s="3434"/>
      <c r="RQL8" s="3434"/>
      <c r="RQM8" s="3434"/>
      <c r="RQN8" s="3434"/>
      <c r="RQO8" s="3434"/>
      <c r="RQP8" s="3434"/>
      <c r="RQQ8" s="3434"/>
      <c r="RQR8" s="3434"/>
      <c r="RQS8" s="3434"/>
      <c r="RQT8" s="3434"/>
      <c r="RQU8" s="3434"/>
      <c r="RQV8" s="3434"/>
      <c r="RQW8" s="3434"/>
      <c r="RQX8" s="3434"/>
      <c r="RQY8" s="3434"/>
      <c r="RQZ8" s="3434"/>
      <c r="RRA8" s="3434"/>
      <c r="RRB8" s="3434"/>
      <c r="RRC8" s="3434"/>
      <c r="RRD8" s="3434"/>
      <c r="RRE8" s="3434"/>
      <c r="RRF8" s="3434"/>
      <c r="RRG8" s="3434"/>
      <c r="RRH8" s="3434"/>
      <c r="RRI8" s="3434"/>
      <c r="RRJ8" s="3434"/>
      <c r="RRK8" s="3434"/>
      <c r="RRL8" s="3434"/>
      <c r="RRM8" s="3434"/>
      <c r="RRN8" s="3434"/>
      <c r="RRO8" s="3434"/>
      <c r="RRP8" s="3434"/>
      <c r="RRQ8" s="3434"/>
      <c r="RRR8" s="3434"/>
      <c r="RRS8" s="3434"/>
      <c r="RRT8" s="3434"/>
      <c r="RRU8" s="3434"/>
      <c r="RRV8" s="3434"/>
      <c r="RRW8" s="3434"/>
      <c r="RRX8" s="3434"/>
      <c r="RRY8" s="3434"/>
      <c r="RRZ8" s="3434"/>
      <c r="RSA8" s="3434"/>
      <c r="RSB8" s="3434"/>
      <c r="RSC8" s="3434"/>
      <c r="RSD8" s="3434"/>
      <c r="RSE8" s="3434"/>
      <c r="RSF8" s="3434"/>
      <c r="RSG8" s="3434"/>
      <c r="RSH8" s="3434"/>
      <c r="RSI8" s="3434"/>
      <c r="RSJ8" s="3434"/>
      <c r="RSK8" s="3434"/>
      <c r="RSL8" s="3434"/>
      <c r="RSM8" s="3434"/>
      <c r="RSN8" s="3434"/>
      <c r="RSO8" s="3434"/>
      <c r="RSP8" s="3434"/>
      <c r="RSQ8" s="3434"/>
      <c r="RSR8" s="3434"/>
      <c r="RSS8" s="3434"/>
      <c r="RST8" s="3434"/>
      <c r="RSU8" s="3434"/>
      <c r="RSV8" s="3434"/>
      <c r="RSW8" s="3434"/>
      <c r="RSX8" s="3434"/>
      <c r="RSY8" s="3434"/>
      <c r="RSZ8" s="3434"/>
      <c r="RTA8" s="3434"/>
      <c r="RTB8" s="3434"/>
      <c r="RTC8" s="3434"/>
      <c r="RTD8" s="3434"/>
      <c r="RTE8" s="3434"/>
      <c r="RTF8" s="3434"/>
      <c r="RTG8" s="3434"/>
      <c r="RTH8" s="3434"/>
      <c r="RTI8" s="3434"/>
      <c r="RTJ8" s="3434"/>
      <c r="RTK8" s="3434"/>
      <c r="RTL8" s="3434"/>
      <c r="RTM8" s="3434"/>
      <c r="RTN8" s="3434"/>
      <c r="RTO8" s="3434"/>
      <c r="RTP8" s="3434"/>
      <c r="RTQ8" s="3434"/>
      <c r="RTR8" s="3434"/>
      <c r="RTS8" s="3434"/>
      <c r="RTT8" s="3434"/>
      <c r="RTU8" s="3434"/>
      <c r="RTV8" s="3434"/>
      <c r="RTW8" s="3434"/>
      <c r="RTX8" s="3434"/>
      <c r="RTY8" s="3434"/>
      <c r="RTZ8" s="3434"/>
      <c r="RUA8" s="3434"/>
      <c r="RUB8" s="3434"/>
      <c r="RUC8" s="3434"/>
      <c r="RUD8" s="3434"/>
      <c r="RUE8" s="3434"/>
      <c r="RUF8" s="3434"/>
      <c r="RUG8" s="3434"/>
      <c r="RUH8" s="3434"/>
      <c r="RUI8" s="3434"/>
      <c r="RUJ8" s="3434"/>
      <c r="RUK8" s="3434"/>
      <c r="RUL8" s="3434"/>
      <c r="RUM8" s="3434"/>
      <c r="RUN8" s="3434"/>
      <c r="RUO8" s="3434"/>
      <c r="RUP8" s="3434"/>
      <c r="RUQ8" s="3434"/>
      <c r="RUR8" s="3434"/>
      <c r="RUS8" s="3434"/>
      <c r="RUT8" s="3434"/>
      <c r="RUU8" s="3434"/>
      <c r="RUV8" s="3434"/>
      <c r="RUW8" s="3434"/>
      <c r="RUX8" s="3434"/>
      <c r="RUY8" s="3434"/>
      <c r="RUZ8" s="3434"/>
      <c r="RVA8" s="3434"/>
      <c r="RVB8" s="3434"/>
      <c r="RVC8" s="3434"/>
      <c r="RVD8" s="3434"/>
      <c r="RVE8" s="3434"/>
      <c r="RVF8" s="3434"/>
      <c r="RVG8" s="3434"/>
      <c r="RVH8" s="3434"/>
      <c r="RVI8" s="3434"/>
      <c r="RVJ8" s="3434"/>
      <c r="RVK8" s="3434"/>
      <c r="RVL8" s="3434"/>
      <c r="RVM8" s="3434"/>
      <c r="RVN8" s="3434"/>
      <c r="RVO8" s="3434"/>
      <c r="RVP8" s="3434"/>
      <c r="RVQ8" s="3434"/>
      <c r="RVR8" s="3434"/>
      <c r="RVS8" s="3434"/>
      <c r="RVT8" s="3434"/>
      <c r="RVU8" s="3434"/>
      <c r="RVV8" s="3434"/>
      <c r="RVW8" s="3434"/>
      <c r="RVX8" s="3434"/>
      <c r="RVY8" s="3434"/>
      <c r="RVZ8" s="3434"/>
      <c r="RWA8" s="3434"/>
      <c r="RWB8" s="3434"/>
      <c r="RWC8" s="3434"/>
      <c r="RWD8" s="3434"/>
      <c r="RWE8" s="3434"/>
      <c r="RWF8" s="3434"/>
      <c r="RWG8" s="3434"/>
      <c r="RWH8" s="3434"/>
      <c r="RWI8" s="3434"/>
      <c r="RWJ8" s="3434"/>
      <c r="RWK8" s="3434"/>
      <c r="RWL8" s="3434"/>
      <c r="RWM8" s="3434"/>
      <c r="RWN8" s="3434"/>
      <c r="RWO8" s="3434"/>
      <c r="RWP8" s="3434"/>
      <c r="RWQ8" s="3434"/>
      <c r="RWR8" s="3434"/>
      <c r="RWS8" s="3434"/>
      <c r="RWT8" s="3434"/>
      <c r="RWU8" s="3434"/>
      <c r="RWV8" s="3434"/>
      <c r="RWW8" s="3434"/>
      <c r="RWX8" s="3434"/>
      <c r="RWY8" s="3434"/>
      <c r="RWZ8" s="3434"/>
      <c r="RXA8" s="3434"/>
      <c r="RXB8" s="3434"/>
      <c r="RXC8" s="3434"/>
      <c r="RXD8" s="3434"/>
      <c r="RXE8" s="3434"/>
      <c r="RXF8" s="3434"/>
      <c r="RXG8" s="3434"/>
      <c r="RXH8" s="3434"/>
      <c r="RXI8" s="3434"/>
      <c r="RXJ8" s="3434"/>
      <c r="RXK8" s="3434"/>
      <c r="RXL8" s="3434"/>
      <c r="RXM8" s="3434"/>
      <c r="RXN8" s="3434"/>
      <c r="RXO8" s="3434"/>
      <c r="RXP8" s="3434"/>
      <c r="RXQ8" s="3434"/>
      <c r="RXR8" s="3434"/>
      <c r="RXS8" s="3434"/>
      <c r="RXT8" s="3434"/>
      <c r="RXU8" s="3434"/>
      <c r="RXV8" s="3434"/>
      <c r="RXW8" s="3434"/>
      <c r="RXX8" s="3434"/>
      <c r="RXY8" s="3434"/>
      <c r="RXZ8" s="3434"/>
      <c r="RYA8" s="3434"/>
      <c r="RYB8" s="3434"/>
      <c r="RYC8" s="3434"/>
      <c r="RYD8" s="3434"/>
      <c r="RYE8" s="3434"/>
      <c r="RYF8" s="3434"/>
      <c r="RYG8" s="3434"/>
      <c r="RYH8" s="3434"/>
      <c r="RYI8" s="3434"/>
      <c r="RYJ8" s="3434"/>
      <c r="RYK8" s="3434"/>
      <c r="RYL8" s="3434"/>
      <c r="RYM8" s="3434"/>
      <c r="RYN8" s="3434"/>
      <c r="RYO8" s="3434"/>
      <c r="RYP8" s="3434"/>
      <c r="RYQ8" s="3434"/>
      <c r="RYR8" s="3434"/>
      <c r="RYS8" s="3434"/>
      <c r="RYT8" s="3434"/>
      <c r="RYU8" s="3434"/>
      <c r="RYV8" s="3434"/>
      <c r="RYW8" s="3434"/>
      <c r="RYX8" s="3434"/>
      <c r="RYY8" s="3434"/>
      <c r="RYZ8" s="3434"/>
      <c r="RZA8" s="3434"/>
      <c r="RZB8" s="3434"/>
      <c r="RZC8" s="3434"/>
      <c r="RZD8" s="3434"/>
      <c r="RZE8" s="3434"/>
      <c r="RZF8" s="3434"/>
      <c r="RZG8" s="3434"/>
      <c r="RZH8" s="3434"/>
      <c r="RZI8" s="3434"/>
      <c r="RZJ8" s="3434"/>
      <c r="RZK8" s="3434"/>
      <c r="RZL8" s="3434"/>
      <c r="RZM8" s="3434"/>
      <c r="RZN8" s="3434"/>
      <c r="RZO8" s="3434"/>
      <c r="RZP8" s="3434"/>
      <c r="RZQ8" s="3434"/>
      <c r="RZR8" s="3434"/>
      <c r="RZS8" s="3434"/>
      <c r="RZT8" s="3434"/>
      <c r="RZU8" s="3434"/>
      <c r="RZV8" s="3434"/>
      <c r="RZW8" s="3434"/>
      <c r="RZX8" s="3434"/>
      <c r="RZY8" s="3434"/>
      <c r="RZZ8" s="3434"/>
      <c r="SAA8" s="3434"/>
      <c r="SAB8" s="3434"/>
      <c r="SAC8" s="3434"/>
      <c r="SAD8" s="3434"/>
      <c r="SAE8" s="3434"/>
      <c r="SAF8" s="3434"/>
      <c r="SAG8" s="3434"/>
      <c r="SAH8" s="3434"/>
      <c r="SAI8" s="3434"/>
      <c r="SAJ8" s="3434"/>
      <c r="SAK8" s="3434"/>
      <c r="SAL8" s="3434"/>
      <c r="SAM8" s="3434"/>
      <c r="SAN8" s="3434"/>
      <c r="SAO8" s="3434"/>
      <c r="SAP8" s="3434"/>
      <c r="SAQ8" s="3434"/>
      <c r="SAR8" s="3434"/>
      <c r="SAS8" s="3434"/>
      <c r="SAT8" s="3434"/>
      <c r="SAU8" s="3434"/>
      <c r="SAV8" s="3434"/>
      <c r="SAW8" s="3434"/>
      <c r="SAX8" s="3434"/>
      <c r="SAY8" s="3434"/>
      <c r="SAZ8" s="3434"/>
      <c r="SBA8" s="3434"/>
      <c r="SBB8" s="3434"/>
      <c r="SBC8" s="3434"/>
      <c r="SBD8" s="3434"/>
      <c r="SBE8" s="3434"/>
      <c r="SBF8" s="3434"/>
      <c r="SBG8" s="3434"/>
      <c r="SBH8" s="3434"/>
      <c r="SBI8" s="3434"/>
      <c r="SBJ8" s="3434"/>
      <c r="SBK8" s="3434"/>
      <c r="SBL8" s="3434"/>
      <c r="SBM8" s="3434"/>
      <c r="SBN8" s="3434"/>
      <c r="SBO8" s="3434"/>
      <c r="SBP8" s="3434"/>
      <c r="SBQ8" s="3434"/>
      <c r="SBR8" s="3434"/>
      <c r="SBS8" s="3434"/>
      <c r="SBT8" s="3434"/>
      <c r="SBU8" s="3434"/>
      <c r="SBV8" s="3434"/>
      <c r="SBW8" s="3434"/>
      <c r="SBX8" s="3434"/>
      <c r="SBY8" s="3434"/>
      <c r="SBZ8" s="3434"/>
      <c r="SCA8" s="3434"/>
      <c r="SCB8" s="3434"/>
      <c r="SCC8" s="3434"/>
      <c r="SCD8" s="3434"/>
      <c r="SCE8" s="3434"/>
      <c r="SCF8" s="3434"/>
      <c r="SCG8" s="3434"/>
      <c r="SCH8" s="3434"/>
      <c r="SCI8" s="3434"/>
      <c r="SCJ8" s="3434"/>
      <c r="SCK8" s="3434"/>
      <c r="SCL8" s="3434"/>
      <c r="SCM8" s="3434"/>
      <c r="SCN8" s="3434"/>
      <c r="SCO8" s="3434"/>
      <c r="SCP8" s="3434"/>
      <c r="SCQ8" s="3434"/>
      <c r="SCR8" s="3434"/>
      <c r="SCS8" s="3434"/>
      <c r="SCT8" s="3434"/>
      <c r="SCU8" s="3434"/>
      <c r="SCV8" s="3434"/>
      <c r="SCW8" s="3434"/>
      <c r="SCX8" s="3434"/>
      <c r="SCY8" s="3434"/>
      <c r="SCZ8" s="3434"/>
      <c r="SDA8" s="3434"/>
      <c r="SDB8" s="3434"/>
      <c r="SDC8" s="3434"/>
      <c r="SDD8" s="3434"/>
      <c r="SDE8" s="3434"/>
      <c r="SDF8" s="3434"/>
      <c r="SDG8" s="3434"/>
      <c r="SDH8" s="3434"/>
      <c r="SDI8" s="3434"/>
      <c r="SDJ8" s="3434"/>
      <c r="SDK8" s="3434"/>
      <c r="SDL8" s="3434"/>
      <c r="SDM8" s="3434"/>
      <c r="SDN8" s="3434"/>
      <c r="SDO8" s="3434"/>
      <c r="SDP8" s="3434"/>
      <c r="SDQ8" s="3434"/>
      <c r="SDR8" s="3434"/>
      <c r="SDS8" s="3434"/>
      <c r="SDT8" s="3434"/>
      <c r="SDU8" s="3434"/>
      <c r="SDV8" s="3434"/>
      <c r="SDW8" s="3434"/>
      <c r="SDX8" s="3434"/>
      <c r="SDY8" s="3434"/>
      <c r="SDZ8" s="3434"/>
      <c r="SEA8" s="3434"/>
      <c r="SEB8" s="3434"/>
      <c r="SEC8" s="3434"/>
      <c r="SED8" s="3434"/>
      <c r="SEE8" s="3434"/>
      <c r="SEF8" s="3434"/>
      <c r="SEG8" s="3434"/>
      <c r="SEH8" s="3434"/>
      <c r="SEI8" s="3434"/>
      <c r="SEJ8" s="3434"/>
      <c r="SEK8" s="3434"/>
      <c r="SEL8" s="3434"/>
      <c r="SEM8" s="3434"/>
      <c r="SEN8" s="3434"/>
      <c r="SEO8" s="3434"/>
      <c r="SEP8" s="3434"/>
      <c r="SEQ8" s="3434"/>
      <c r="SER8" s="3434"/>
      <c r="SES8" s="3434"/>
      <c r="SET8" s="3434"/>
      <c r="SEU8" s="3434"/>
      <c r="SEV8" s="3434"/>
      <c r="SEW8" s="3434"/>
      <c r="SEX8" s="3434"/>
      <c r="SEY8" s="3434"/>
      <c r="SEZ8" s="3434"/>
      <c r="SFA8" s="3434"/>
      <c r="SFB8" s="3434"/>
      <c r="SFC8" s="3434"/>
      <c r="SFD8" s="3434"/>
      <c r="SFE8" s="3434"/>
      <c r="SFF8" s="3434"/>
      <c r="SFG8" s="3434"/>
      <c r="SFH8" s="3434"/>
      <c r="SFI8" s="3434"/>
      <c r="SFJ8" s="3434"/>
      <c r="SFK8" s="3434"/>
      <c r="SFL8" s="3434"/>
      <c r="SFM8" s="3434"/>
      <c r="SFN8" s="3434"/>
      <c r="SFO8" s="3434"/>
      <c r="SFP8" s="3434"/>
      <c r="SFQ8" s="3434"/>
      <c r="SFR8" s="3434"/>
      <c r="SFS8" s="3434"/>
      <c r="SFT8" s="3434"/>
      <c r="SFU8" s="3434"/>
      <c r="SFV8" s="3434"/>
      <c r="SFW8" s="3434"/>
      <c r="SFX8" s="3434"/>
      <c r="SFY8" s="3434"/>
      <c r="SFZ8" s="3434"/>
      <c r="SGA8" s="3434"/>
      <c r="SGB8" s="3434"/>
      <c r="SGC8" s="3434"/>
      <c r="SGD8" s="3434"/>
      <c r="SGE8" s="3434"/>
      <c r="SGF8" s="3434"/>
      <c r="SGG8" s="3434"/>
      <c r="SGH8" s="3434"/>
      <c r="SGI8" s="3434"/>
      <c r="SGJ8" s="3434"/>
      <c r="SGK8" s="3434"/>
      <c r="SGL8" s="3434"/>
      <c r="SGM8" s="3434"/>
      <c r="SGN8" s="3434"/>
      <c r="SGO8" s="3434"/>
      <c r="SGP8" s="3434"/>
      <c r="SGQ8" s="3434"/>
      <c r="SGR8" s="3434"/>
      <c r="SGS8" s="3434"/>
      <c r="SGT8" s="3434"/>
      <c r="SGU8" s="3434"/>
      <c r="SGV8" s="3434"/>
      <c r="SGW8" s="3434"/>
      <c r="SGX8" s="3434"/>
      <c r="SGY8" s="3434"/>
      <c r="SGZ8" s="3434"/>
      <c r="SHA8" s="3434"/>
      <c r="SHB8" s="3434"/>
      <c r="SHC8" s="3434"/>
      <c r="SHD8" s="3434"/>
      <c r="SHE8" s="3434"/>
      <c r="SHF8" s="3434"/>
      <c r="SHG8" s="3434"/>
      <c r="SHH8" s="3434"/>
      <c r="SHI8" s="3434"/>
      <c r="SHJ8" s="3434"/>
      <c r="SHK8" s="3434"/>
      <c r="SHL8" s="3434"/>
      <c r="SHM8" s="3434"/>
      <c r="SHN8" s="3434"/>
      <c r="SHO8" s="3434"/>
      <c r="SHP8" s="3434"/>
      <c r="SHQ8" s="3434"/>
      <c r="SHR8" s="3434"/>
      <c r="SHS8" s="3434"/>
      <c r="SHT8" s="3434"/>
      <c r="SHU8" s="3434"/>
      <c r="SHV8" s="3434"/>
      <c r="SHW8" s="3434"/>
      <c r="SHX8" s="3434"/>
      <c r="SHY8" s="3434"/>
      <c r="SHZ8" s="3434"/>
      <c r="SIA8" s="3434"/>
      <c r="SIB8" s="3434"/>
      <c r="SIC8" s="3434"/>
      <c r="SID8" s="3434"/>
      <c r="SIE8" s="3434"/>
      <c r="SIF8" s="3434"/>
      <c r="SIG8" s="3434"/>
      <c r="SIH8" s="3434"/>
      <c r="SII8" s="3434"/>
      <c r="SIJ8" s="3434"/>
      <c r="SIK8" s="3434"/>
      <c r="SIL8" s="3434"/>
      <c r="SIM8" s="3434"/>
      <c r="SIN8" s="3434"/>
      <c r="SIO8" s="3434"/>
      <c r="SIP8" s="3434"/>
      <c r="SIQ8" s="3434"/>
      <c r="SIR8" s="3434"/>
      <c r="SIS8" s="3434"/>
      <c r="SIT8" s="3434"/>
      <c r="SIU8" s="3434"/>
      <c r="SIV8" s="3434"/>
      <c r="SIW8" s="3434"/>
      <c r="SIX8" s="3434"/>
      <c r="SIY8" s="3434"/>
      <c r="SIZ8" s="3434"/>
      <c r="SJA8" s="3434"/>
      <c r="SJB8" s="3434"/>
      <c r="SJC8" s="3434"/>
      <c r="SJD8" s="3434"/>
      <c r="SJE8" s="3434"/>
      <c r="SJF8" s="3434"/>
      <c r="SJG8" s="3434"/>
      <c r="SJH8" s="3434"/>
      <c r="SJI8" s="3434"/>
      <c r="SJJ8" s="3434"/>
      <c r="SJK8" s="3434"/>
      <c r="SJL8" s="3434"/>
      <c r="SJM8" s="3434"/>
      <c r="SJN8" s="3434"/>
      <c r="SJO8" s="3434"/>
      <c r="SJP8" s="3434"/>
      <c r="SJQ8" s="3434"/>
      <c r="SJR8" s="3434"/>
      <c r="SJS8" s="3434"/>
      <c r="SJT8" s="3434"/>
      <c r="SJU8" s="3434"/>
      <c r="SJV8" s="3434"/>
      <c r="SJW8" s="3434"/>
      <c r="SJX8" s="3434"/>
      <c r="SJY8" s="3434"/>
      <c r="SJZ8" s="3434"/>
      <c r="SKA8" s="3434"/>
      <c r="SKB8" s="3434"/>
      <c r="SKC8" s="3434"/>
      <c r="SKD8" s="3434"/>
      <c r="SKE8" s="3434"/>
      <c r="SKF8" s="3434"/>
      <c r="SKG8" s="3434"/>
      <c r="SKH8" s="3434"/>
      <c r="SKI8" s="3434"/>
      <c r="SKJ8" s="3434"/>
      <c r="SKK8" s="3434"/>
      <c r="SKL8" s="3434"/>
      <c r="SKM8" s="3434"/>
      <c r="SKN8" s="3434"/>
      <c r="SKO8" s="3434"/>
      <c r="SKP8" s="3434"/>
      <c r="SKQ8" s="3434"/>
      <c r="SKR8" s="3434"/>
      <c r="SKS8" s="3434"/>
      <c r="SKT8" s="3434"/>
      <c r="SKU8" s="3434"/>
      <c r="SKV8" s="3434"/>
      <c r="SKW8" s="3434"/>
      <c r="SKX8" s="3434"/>
      <c r="SKY8" s="3434"/>
      <c r="SKZ8" s="3434"/>
      <c r="SLA8" s="3434"/>
      <c r="SLB8" s="3434"/>
      <c r="SLC8" s="3434"/>
      <c r="SLD8" s="3434"/>
      <c r="SLE8" s="3434"/>
      <c r="SLF8" s="3434"/>
      <c r="SLG8" s="3434"/>
      <c r="SLH8" s="3434"/>
      <c r="SLI8" s="3434"/>
      <c r="SLJ8" s="3434"/>
      <c r="SLK8" s="3434"/>
      <c r="SLL8" s="3434"/>
      <c r="SLM8" s="3434"/>
      <c r="SLN8" s="3434"/>
      <c r="SLO8" s="3434"/>
      <c r="SLP8" s="3434"/>
      <c r="SLQ8" s="3434"/>
      <c r="SLR8" s="3434"/>
      <c r="SLS8" s="3434"/>
      <c r="SLT8" s="3434"/>
      <c r="SLU8" s="3434"/>
      <c r="SLV8" s="3434"/>
      <c r="SLW8" s="3434"/>
      <c r="SLX8" s="3434"/>
      <c r="SLY8" s="3434"/>
      <c r="SLZ8" s="3434"/>
      <c r="SMA8" s="3434"/>
      <c r="SMB8" s="3434"/>
      <c r="SMC8" s="3434"/>
      <c r="SMD8" s="3434"/>
      <c r="SME8" s="3434"/>
      <c r="SMF8" s="3434"/>
      <c r="SMG8" s="3434"/>
      <c r="SMH8" s="3434"/>
      <c r="SMI8" s="3434"/>
      <c r="SMJ8" s="3434"/>
      <c r="SMK8" s="3434"/>
      <c r="SML8" s="3434"/>
      <c r="SMM8" s="3434"/>
      <c r="SMN8" s="3434"/>
      <c r="SMO8" s="3434"/>
      <c r="SMP8" s="3434"/>
      <c r="SMQ8" s="3434"/>
      <c r="SMR8" s="3434"/>
      <c r="SMS8" s="3434"/>
      <c r="SMT8" s="3434"/>
      <c r="SMU8" s="3434"/>
      <c r="SMV8" s="3434"/>
      <c r="SMW8" s="3434"/>
      <c r="SMX8" s="3434"/>
      <c r="SMY8" s="3434"/>
      <c r="SMZ8" s="3434"/>
      <c r="SNA8" s="3434"/>
      <c r="SNB8" s="3434"/>
      <c r="SNC8" s="3434"/>
      <c r="SND8" s="3434"/>
      <c r="SNE8" s="3434"/>
      <c r="SNF8" s="3434"/>
      <c r="SNG8" s="3434"/>
      <c r="SNH8" s="3434"/>
      <c r="SNI8" s="3434"/>
      <c r="SNJ8" s="3434"/>
      <c r="SNK8" s="3434"/>
      <c r="SNL8" s="3434"/>
      <c r="SNM8" s="3434"/>
      <c r="SNN8" s="3434"/>
      <c r="SNO8" s="3434"/>
      <c r="SNP8" s="3434"/>
      <c r="SNQ8" s="3434"/>
      <c r="SNR8" s="3434"/>
      <c r="SNS8" s="3434"/>
      <c r="SNT8" s="3434"/>
      <c r="SNU8" s="3434"/>
      <c r="SNV8" s="3434"/>
      <c r="SNW8" s="3434"/>
      <c r="SNX8" s="3434"/>
      <c r="SNY8" s="3434"/>
      <c r="SNZ8" s="3434"/>
      <c r="SOA8" s="3434"/>
      <c r="SOB8" s="3434"/>
      <c r="SOC8" s="3434"/>
      <c r="SOD8" s="3434"/>
      <c r="SOE8" s="3434"/>
      <c r="SOF8" s="3434"/>
      <c r="SOG8" s="3434"/>
      <c r="SOH8" s="3434"/>
      <c r="SOI8" s="3434"/>
      <c r="SOJ8" s="3434"/>
      <c r="SOK8" s="3434"/>
      <c r="SOL8" s="3434"/>
      <c r="SOM8" s="3434"/>
      <c r="SON8" s="3434"/>
      <c r="SOO8" s="3434"/>
      <c r="SOP8" s="3434"/>
      <c r="SOQ8" s="3434"/>
      <c r="SOR8" s="3434"/>
      <c r="SOS8" s="3434"/>
      <c r="SOT8" s="3434"/>
      <c r="SOU8" s="3434"/>
      <c r="SOV8" s="3434"/>
      <c r="SOW8" s="3434"/>
      <c r="SOX8" s="3434"/>
      <c r="SOY8" s="3434"/>
      <c r="SOZ8" s="3434"/>
      <c r="SPA8" s="3434"/>
      <c r="SPB8" s="3434"/>
      <c r="SPC8" s="3434"/>
      <c r="SPD8" s="3434"/>
      <c r="SPE8" s="3434"/>
      <c r="SPF8" s="3434"/>
      <c r="SPG8" s="3434"/>
      <c r="SPH8" s="3434"/>
      <c r="SPI8" s="3434"/>
      <c r="SPJ8" s="3434"/>
      <c r="SPK8" s="3434"/>
      <c r="SPL8" s="3434"/>
      <c r="SPM8" s="3434"/>
      <c r="SPN8" s="3434"/>
      <c r="SPO8" s="3434"/>
      <c r="SPP8" s="3434"/>
      <c r="SPQ8" s="3434"/>
      <c r="SPR8" s="3434"/>
      <c r="SPS8" s="3434"/>
      <c r="SPT8" s="3434"/>
      <c r="SPU8" s="3434"/>
      <c r="SPV8" s="3434"/>
      <c r="SPW8" s="3434"/>
      <c r="SPX8" s="3434"/>
      <c r="SPY8" s="3434"/>
      <c r="SPZ8" s="3434"/>
      <c r="SQA8" s="3434"/>
      <c r="SQB8" s="3434"/>
      <c r="SQC8" s="3434"/>
      <c r="SQD8" s="3434"/>
      <c r="SQE8" s="3434"/>
      <c r="SQF8" s="3434"/>
      <c r="SQG8" s="3434"/>
      <c r="SQH8" s="3434"/>
      <c r="SQI8" s="3434"/>
      <c r="SQJ8" s="3434"/>
      <c r="SQK8" s="3434"/>
      <c r="SQL8" s="3434"/>
      <c r="SQM8" s="3434"/>
      <c r="SQN8" s="3434"/>
      <c r="SQO8" s="3434"/>
      <c r="SQP8" s="3434"/>
      <c r="SQQ8" s="3434"/>
      <c r="SQR8" s="3434"/>
      <c r="SQS8" s="3434"/>
      <c r="SQT8" s="3434"/>
      <c r="SQU8" s="3434"/>
      <c r="SQV8" s="3434"/>
      <c r="SQW8" s="3434"/>
      <c r="SQX8" s="3434"/>
      <c r="SQY8" s="3434"/>
      <c r="SQZ8" s="3434"/>
      <c r="SRA8" s="3434"/>
      <c r="SRB8" s="3434"/>
      <c r="SRC8" s="3434"/>
      <c r="SRD8" s="3434"/>
      <c r="SRE8" s="3434"/>
      <c r="SRF8" s="3434"/>
      <c r="SRG8" s="3434"/>
      <c r="SRH8" s="3434"/>
      <c r="SRI8" s="3434"/>
      <c r="SRJ8" s="3434"/>
      <c r="SRK8" s="3434"/>
      <c r="SRL8" s="3434"/>
      <c r="SRM8" s="3434"/>
      <c r="SRN8" s="3434"/>
      <c r="SRO8" s="3434"/>
      <c r="SRP8" s="3434"/>
      <c r="SRQ8" s="3434"/>
      <c r="SRR8" s="3434"/>
      <c r="SRS8" s="3434"/>
      <c r="SRT8" s="3434"/>
      <c r="SRU8" s="3434"/>
      <c r="SRV8" s="3434"/>
      <c r="SRW8" s="3434"/>
      <c r="SRX8" s="3434"/>
      <c r="SRY8" s="3434"/>
      <c r="SRZ8" s="3434"/>
      <c r="SSA8" s="3434"/>
      <c r="SSB8" s="3434"/>
      <c r="SSC8" s="3434"/>
      <c r="SSD8" s="3434"/>
      <c r="SSE8" s="3434"/>
      <c r="SSF8" s="3434"/>
      <c r="SSG8" s="3434"/>
      <c r="SSH8" s="3434"/>
      <c r="SSI8" s="3434"/>
      <c r="SSJ8" s="3434"/>
      <c r="SSK8" s="3434"/>
      <c r="SSL8" s="3434"/>
      <c r="SSM8" s="3434"/>
      <c r="SSN8" s="3434"/>
      <c r="SSO8" s="3434"/>
      <c r="SSP8" s="3434"/>
      <c r="SSQ8" s="3434"/>
      <c r="SSR8" s="3434"/>
      <c r="SSS8" s="3434"/>
      <c r="SST8" s="3434"/>
      <c r="SSU8" s="3434"/>
      <c r="SSV8" s="3434"/>
      <c r="SSW8" s="3434"/>
      <c r="SSX8" s="3434"/>
      <c r="SSY8" s="3434"/>
      <c r="SSZ8" s="3434"/>
      <c r="STA8" s="3434"/>
      <c r="STB8" s="3434"/>
      <c r="STC8" s="3434"/>
      <c r="STD8" s="3434"/>
      <c r="STE8" s="3434"/>
      <c r="STF8" s="3434"/>
      <c r="STG8" s="3434"/>
      <c r="STH8" s="3434"/>
      <c r="STI8" s="3434"/>
      <c r="STJ8" s="3434"/>
      <c r="STK8" s="3434"/>
      <c r="STL8" s="3434"/>
      <c r="STM8" s="3434"/>
      <c r="STN8" s="3434"/>
      <c r="STO8" s="3434"/>
      <c r="STP8" s="3434"/>
      <c r="STQ8" s="3434"/>
      <c r="STR8" s="3434"/>
      <c r="STS8" s="3434"/>
      <c r="STT8" s="3434"/>
      <c r="STU8" s="3434"/>
      <c r="STV8" s="3434"/>
      <c r="STW8" s="3434"/>
      <c r="STX8" s="3434"/>
      <c r="STY8" s="3434"/>
      <c r="STZ8" s="3434"/>
      <c r="SUA8" s="3434"/>
      <c r="SUB8" s="3434"/>
      <c r="SUC8" s="3434"/>
      <c r="SUD8" s="3434"/>
      <c r="SUE8" s="3434"/>
      <c r="SUF8" s="3434"/>
      <c r="SUG8" s="3434"/>
      <c r="SUH8" s="3434"/>
      <c r="SUI8" s="3434"/>
      <c r="SUJ8" s="3434"/>
      <c r="SUK8" s="3434"/>
      <c r="SUL8" s="3434"/>
      <c r="SUM8" s="3434"/>
      <c r="SUN8" s="3434"/>
      <c r="SUO8" s="3434"/>
      <c r="SUP8" s="3434"/>
      <c r="SUQ8" s="3434"/>
      <c r="SUR8" s="3434"/>
      <c r="SUS8" s="3434"/>
      <c r="SUT8" s="3434"/>
      <c r="SUU8" s="3434"/>
      <c r="SUV8" s="3434"/>
      <c r="SUW8" s="3434"/>
      <c r="SUX8" s="3434"/>
      <c r="SUY8" s="3434"/>
      <c r="SUZ8" s="3434"/>
      <c r="SVA8" s="3434"/>
      <c r="SVB8" s="3434"/>
      <c r="SVC8" s="3434"/>
      <c r="SVD8" s="3434"/>
      <c r="SVE8" s="3434"/>
      <c r="SVF8" s="3434"/>
      <c r="SVG8" s="3434"/>
      <c r="SVH8" s="3434"/>
      <c r="SVI8" s="3434"/>
      <c r="SVJ8" s="3434"/>
      <c r="SVK8" s="3434"/>
      <c r="SVL8" s="3434"/>
      <c r="SVM8" s="3434"/>
      <c r="SVN8" s="3434"/>
      <c r="SVO8" s="3434"/>
      <c r="SVP8" s="3434"/>
      <c r="SVQ8" s="3434"/>
      <c r="SVR8" s="3434"/>
      <c r="SVS8" s="3434"/>
      <c r="SVT8" s="3434"/>
      <c r="SVU8" s="3434"/>
      <c r="SVV8" s="3434"/>
      <c r="SVW8" s="3434"/>
      <c r="SVX8" s="3434"/>
      <c r="SVY8" s="3434"/>
      <c r="SVZ8" s="3434"/>
      <c r="SWA8" s="3434"/>
      <c r="SWB8" s="3434"/>
      <c r="SWC8" s="3434"/>
      <c r="SWD8" s="3434"/>
      <c r="SWE8" s="3434"/>
      <c r="SWF8" s="3434"/>
      <c r="SWG8" s="3434"/>
      <c r="SWH8" s="3434"/>
      <c r="SWI8" s="3434"/>
      <c r="SWJ8" s="3434"/>
      <c r="SWK8" s="3434"/>
      <c r="SWL8" s="3434"/>
      <c r="SWM8" s="3434"/>
      <c r="SWN8" s="3434"/>
      <c r="SWO8" s="3434"/>
      <c r="SWP8" s="3434"/>
      <c r="SWQ8" s="3434"/>
      <c r="SWR8" s="3434"/>
      <c r="SWS8" s="3434"/>
      <c r="SWT8" s="3434"/>
      <c r="SWU8" s="3434"/>
      <c r="SWV8" s="3434"/>
      <c r="SWW8" s="3434"/>
      <c r="SWX8" s="3434"/>
      <c r="SWY8" s="3434"/>
      <c r="SWZ8" s="3434"/>
      <c r="SXA8" s="3434"/>
      <c r="SXB8" s="3434"/>
      <c r="SXC8" s="3434"/>
      <c r="SXD8" s="3434"/>
      <c r="SXE8" s="3434"/>
      <c r="SXF8" s="3434"/>
      <c r="SXG8" s="3434"/>
      <c r="SXH8" s="3434"/>
      <c r="SXI8" s="3434"/>
      <c r="SXJ8" s="3434"/>
      <c r="SXK8" s="3434"/>
      <c r="SXL8" s="3434"/>
      <c r="SXM8" s="3434"/>
      <c r="SXN8" s="3434"/>
      <c r="SXO8" s="3434"/>
      <c r="SXP8" s="3434"/>
      <c r="SXQ8" s="3434"/>
      <c r="SXR8" s="3434"/>
      <c r="SXS8" s="3434"/>
      <c r="SXT8" s="3434"/>
      <c r="SXU8" s="3434"/>
      <c r="SXV8" s="3434"/>
      <c r="SXW8" s="3434"/>
      <c r="SXX8" s="3434"/>
      <c r="SXY8" s="3434"/>
      <c r="SXZ8" s="3434"/>
      <c r="SYA8" s="3434"/>
      <c r="SYB8" s="3434"/>
      <c r="SYC8" s="3434"/>
      <c r="SYD8" s="3434"/>
      <c r="SYE8" s="3434"/>
      <c r="SYF8" s="3434"/>
      <c r="SYG8" s="3434"/>
      <c r="SYH8" s="3434"/>
      <c r="SYI8" s="3434"/>
      <c r="SYJ8" s="3434"/>
      <c r="SYK8" s="3434"/>
      <c r="SYL8" s="3434"/>
      <c r="SYM8" s="3434"/>
      <c r="SYN8" s="3434"/>
      <c r="SYO8" s="3434"/>
      <c r="SYP8" s="3434"/>
      <c r="SYQ8" s="3434"/>
      <c r="SYR8" s="3434"/>
      <c r="SYS8" s="3434"/>
      <c r="SYT8" s="3434"/>
      <c r="SYU8" s="3434"/>
      <c r="SYV8" s="3434"/>
      <c r="SYW8" s="3434"/>
      <c r="SYX8" s="3434"/>
      <c r="SYY8" s="3434"/>
      <c r="SYZ8" s="3434"/>
      <c r="SZA8" s="3434"/>
      <c r="SZB8" s="3434"/>
      <c r="SZC8" s="3434"/>
      <c r="SZD8" s="3434"/>
      <c r="SZE8" s="3434"/>
      <c r="SZF8" s="3434"/>
      <c r="SZG8" s="3434"/>
      <c r="SZH8" s="3434"/>
      <c r="SZI8" s="3434"/>
      <c r="SZJ8" s="3434"/>
      <c r="SZK8" s="3434"/>
      <c r="SZL8" s="3434"/>
      <c r="SZM8" s="3434"/>
      <c r="SZN8" s="3434"/>
      <c r="SZO8" s="3434"/>
      <c r="SZP8" s="3434"/>
      <c r="SZQ8" s="3434"/>
      <c r="SZR8" s="3434"/>
      <c r="SZS8" s="3434"/>
      <c r="SZT8" s="3434"/>
      <c r="SZU8" s="3434"/>
      <c r="SZV8" s="3434"/>
      <c r="SZW8" s="3434"/>
      <c r="SZX8" s="3434"/>
      <c r="SZY8" s="3434"/>
      <c r="SZZ8" s="3434"/>
      <c r="TAA8" s="3434"/>
      <c r="TAB8" s="3434"/>
      <c r="TAC8" s="3434"/>
      <c r="TAD8" s="3434"/>
      <c r="TAE8" s="3434"/>
      <c r="TAF8" s="3434"/>
      <c r="TAG8" s="3434"/>
      <c r="TAH8" s="3434"/>
      <c r="TAI8" s="3434"/>
      <c r="TAJ8" s="3434"/>
      <c r="TAK8" s="3434"/>
      <c r="TAL8" s="3434"/>
      <c r="TAM8" s="3434"/>
      <c r="TAN8" s="3434"/>
      <c r="TAO8" s="3434"/>
      <c r="TAP8" s="3434"/>
      <c r="TAQ8" s="3434"/>
      <c r="TAR8" s="3434"/>
      <c r="TAS8" s="3434"/>
      <c r="TAT8" s="3434"/>
      <c r="TAU8" s="3434"/>
      <c r="TAV8" s="3434"/>
      <c r="TAW8" s="3434"/>
      <c r="TAX8" s="3434"/>
      <c r="TAY8" s="3434"/>
      <c r="TAZ8" s="3434"/>
      <c r="TBA8" s="3434"/>
      <c r="TBB8" s="3434"/>
      <c r="TBC8" s="3434"/>
      <c r="TBD8" s="3434"/>
      <c r="TBE8" s="3434"/>
      <c r="TBF8" s="3434"/>
      <c r="TBG8" s="3434"/>
      <c r="TBH8" s="3434"/>
      <c r="TBI8" s="3434"/>
      <c r="TBJ8" s="3434"/>
      <c r="TBK8" s="3434"/>
      <c r="TBL8" s="3434"/>
      <c r="TBM8" s="3434"/>
      <c r="TBN8" s="3434"/>
      <c r="TBO8" s="3434"/>
      <c r="TBP8" s="3434"/>
      <c r="TBQ8" s="3434"/>
      <c r="TBR8" s="3434"/>
      <c r="TBS8" s="3434"/>
      <c r="TBT8" s="3434"/>
      <c r="TBU8" s="3434"/>
      <c r="TBV8" s="3434"/>
      <c r="TBW8" s="3434"/>
      <c r="TBX8" s="3434"/>
      <c r="TBY8" s="3434"/>
      <c r="TBZ8" s="3434"/>
      <c r="TCA8" s="3434"/>
      <c r="TCB8" s="3434"/>
      <c r="TCC8" s="3434"/>
      <c r="TCD8" s="3434"/>
      <c r="TCE8" s="3434"/>
      <c r="TCF8" s="3434"/>
      <c r="TCG8" s="3434"/>
      <c r="TCH8" s="3434"/>
      <c r="TCI8" s="3434"/>
      <c r="TCJ8" s="3434"/>
      <c r="TCK8" s="3434"/>
      <c r="TCL8" s="3434"/>
      <c r="TCM8" s="3434"/>
      <c r="TCN8" s="3434"/>
      <c r="TCO8" s="3434"/>
      <c r="TCP8" s="3434"/>
      <c r="TCQ8" s="3434"/>
      <c r="TCR8" s="3434"/>
      <c r="TCS8" s="3434"/>
      <c r="TCT8" s="3434"/>
      <c r="TCU8" s="3434"/>
      <c r="TCV8" s="3434"/>
      <c r="TCW8" s="3434"/>
      <c r="TCX8" s="3434"/>
      <c r="TCY8" s="3434"/>
      <c r="TCZ8" s="3434"/>
      <c r="TDA8" s="3434"/>
      <c r="TDB8" s="3434"/>
      <c r="TDC8" s="3434"/>
      <c r="TDD8" s="3434"/>
      <c r="TDE8" s="3434"/>
      <c r="TDF8" s="3434"/>
      <c r="TDG8" s="3434"/>
      <c r="TDH8" s="3434"/>
      <c r="TDI8" s="3434"/>
      <c r="TDJ8" s="3434"/>
      <c r="TDK8" s="3434"/>
      <c r="TDL8" s="3434"/>
      <c r="TDM8" s="3434"/>
      <c r="TDN8" s="3434"/>
      <c r="TDO8" s="3434"/>
      <c r="TDP8" s="3434"/>
      <c r="TDQ8" s="3434"/>
      <c r="TDR8" s="3434"/>
      <c r="TDS8" s="3434"/>
      <c r="TDT8" s="3434"/>
      <c r="TDU8" s="3434"/>
      <c r="TDV8" s="3434"/>
      <c r="TDW8" s="3434"/>
      <c r="TDX8" s="3434"/>
      <c r="TDY8" s="3434"/>
      <c r="TDZ8" s="3434"/>
      <c r="TEA8" s="3434"/>
      <c r="TEB8" s="3434"/>
      <c r="TEC8" s="3434"/>
      <c r="TED8" s="3434"/>
      <c r="TEE8" s="3434"/>
      <c r="TEF8" s="3434"/>
      <c r="TEG8" s="3434"/>
      <c r="TEH8" s="3434"/>
      <c r="TEI8" s="3434"/>
      <c r="TEJ8" s="3434"/>
      <c r="TEK8" s="3434"/>
      <c r="TEL8" s="3434"/>
      <c r="TEM8" s="3434"/>
      <c r="TEN8" s="3434"/>
      <c r="TEO8" s="3434"/>
      <c r="TEP8" s="3434"/>
      <c r="TEQ8" s="3434"/>
      <c r="TER8" s="3434"/>
      <c r="TES8" s="3434"/>
      <c r="TET8" s="3434"/>
      <c r="TEU8" s="3434"/>
      <c r="TEV8" s="3434"/>
      <c r="TEW8" s="3434"/>
      <c r="TEX8" s="3434"/>
      <c r="TEY8" s="3434"/>
      <c r="TEZ8" s="3434"/>
      <c r="TFA8" s="3434"/>
      <c r="TFB8" s="3434"/>
      <c r="TFC8" s="3434"/>
      <c r="TFD8" s="3434"/>
      <c r="TFE8" s="3434"/>
      <c r="TFF8" s="3434"/>
      <c r="TFG8" s="3434"/>
      <c r="TFH8" s="3434"/>
      <c r="TFI8" s="3434"/>
      <c r="TFJ8" s="3434"/>
      <c r="TFK8" s="3434"/>
      <c r="TFL8" s="3434"/>
      <c r="TFM8" s="3434"/>
      <c r="TFN8" s="3434"/>
      <c r="TFO8" s="3434"/>
      <c r="TFP8" s="3434"/>
      <c r="TFQ8" s="3434"/>
      <c r="TFR8" s="3434"/>
      <c r="TFS8" s="3434"/>
      <c r="TFT8" s="3434"/>
      <c r="TFU8" s="3434"/>
      <c r="TFV8" s="3434"/>
      <c r="TFW8" s="3434"/>
      <c r="TFX8" s="3434"/>
      <c r="TFY8" s="3434"/>
      <c r="TFZ8" s="3434"/>
      <c r="TGA8" s="3434"/>
      <c r="TGB8" s="3434"/>
      <c r="TGC8" s="3434"/>
      <c r="TGD8" s="3434"/>
      <c r="TGE8" s="3434"/>
      <c r="TGF8" s="3434"/>
      <c r="TGG8" s="3434"/>
      <c r="TGH8" s="3434"/>
      <c r="TGI8" s="3434"/>
      <c r="TGJ8" s="3434"/>
      <c r="TGK8" s="3434"/>
      <c r="TGL8" s="3434"/>
      <c r="TGM8" s="3434"/>
      <c r="TGN8" s="3434"/>
      <c r="TGO8" s="3434"/>
      <c r="TGP8" s="3434"/>
      <c r="TGQ8" s="3434"/>
      <c r="TGR8" s="3434"/>
      <c r="TGS8" s="3434"/>
      <c r="TGT8" s="3434"/>
      <c r="TGU8" s="3434"/>
      <c r="TGV8" s="3434"/>
      <c r="TGW8" s="3434"/>
      <c r="TGX8" s="3434"/>
      <c r="TGY8" s="3434"/>
      <c r="TGZ8" s="3434"/>
      <c r="THA8" s="3434"/>
      <c r="THB8" s="3434"/>
      <c r="THC8" s="3434"/>
      <c r="THD8" s="3434"/>
      <c r="THE8" s="3434"/>
      <c r="THF8" s="3434"/>
      <c r="THG8" s="3434"/>
      <c r="THH8" s="3434"/>
      <c r="THI8" s="3434"/>
      <c r="THJ8" s="3434"/>
      <c r="THK8" s="3434"/>
      <c r="THL8" s="3434"/>
      <c r="THM8" s="3434"/>
      <c r="THN8" s="3434"/>
      <c r="THO8" s="3434"/>
      <c r="THP8" s="3434"/>
      <c r="THQ8" s="3434"/>
      <c r="THR8" s="3434"/>
      <c r="THS8" s="3434"/>
      <c r="THT8" s="3434"/>
      <c r="THU8" s="3434"/>
      <c r="THV8" s="3434"/>
      <c r="THW8" s="3434"/>
      <c r="THX8" s="3434"/>
      <c r="THY8" s="3434"/>
      <c r="THZ8" s="3434"/>
      <c r="TIA8" s="3434"/>
      <c r="TIB8" s="3434"/>
      <c r="TIC8" s="3434"/>
      <c r="TID8" s="3434"/>
      <c r="TIE8" s="3434"/>
      <c r="TIF8" s="3434"/>
      <c r="TIG8" s="3434"/>
      <c r="TIH8" s="3434"/>
      <c r="TII8" s="3434"/>
      <c r="TIJ8" s="3434"/>
      <c r="TIK8" s="3434"/>
      <c r="TIL8" s="3434"/>
      <c r="TIM8" s="3434"/>
      <c r="TIN8" s="3434"/>
      <c r="TIO8" s="3434"/>
      <c r="TIP8" s="3434"/>
      <c r="TIQ8" s="3434"/>
      <c r="TIR8" s="3434"/>
      <c r="TIS8" s="3434"/>
      <c r="TIT8" s="3434"/>
      <c r="TIU8" s="3434"/>
      <c r="TIV8" s="3434"/>
      <c r="TIW8" s="3434"/>
      <c r="TIX8" s="3434"/>
      <c r="TIY8" s="3434"/>
      <c r="TIZ8" s="3434"/>
      <c r="TJA8" s="3434"/>
      <c r="TJB8" s="3434"/>
      <c r="TJC8" s="3434"/>
      <c r="TJD8" s="3434"/>
      <c r="TJE8" s="3434"/>
      <c r="TJF8" s="3434"/>
      <c r="TJG8" s="3434"/>
      <c r="TJH8" s="3434"/>
      <c r="TJI8" s="3434"/>
      <c r="TJJ8" s="3434"/>
      <c r="TJK8" s="3434"/>
      <c r="TJL8" s="3434"/>
      <c r="TJM8" s="3434"/>
      <c r="TJN8" s="3434"/>
      <c r="TJO8" s="3434"/>
      <c r="TJP8" s="3434"/>
      <c r="TJQ8" s="3434"/>
      <c r="TJR8" s="3434"/>
      <c r="TJS8" s="3434"/>
      <c r="TJT8" s="3434"/>
      <c r="TJU8" s="3434"/>
      <c r="TJV8" s="3434"/>
      <c r="TJW8" s="3434"/>
      <c r="TJX8" s="3434"/>
      <c r="TJY8" s="3434"/>
      <c r="TJZ8" s="3434"/>
      <c r="TKA8" s="3434"/>
      <c r="TKB8" s="3434"/>
      <c r="TKC8" s="3434"/>
      <c r="TKD8" s="3434"/>
      <c r="TKE8" s="3434"/>
      <c r="TKF8" s="3434"/>
      <c r="TKG8" s="3434"/>
      <c r="TKH8" s="3434"/>
      <c r="TKI8" s="3434"/>
      <c r="TKJ8" s="3434"/>
      <c r="TKK8" s="3434"/>
      <c r="TKL8" s="3434"/>
      <c r="TKM8" s="3434"/>
      <c r="TKN8" s="3434"/>
      <c r="TKO8" s="3434"/>
      <c r="TKP8" s="3434"/>
      <c r="TKQ8" s="3434"/>
      <c r="TKR8" s="3434"/>
      <c r="TKS8" s="3434"/>
      <c r="TKT8" s="3434"/>
      <c r="TKU8" s="3434"/>
      <c r="TKV8" s="3434"/>
      <c r="TKW8" s="3434"/>
      <c r="TKX8" s="3434"/>
      <c r="TKY8" s="3434"/>
      <c r="TKZ8" s="3434"/>
      <c r="TLA8" s="3434"/>
      <c r="TLB8" s="3434"/>
      <c r="TLC8" s="3434"/>
      <c r="TLD8" s="3434"/>
      <c r="TLE8" s="3434"/>
      <c r="TLF8" s="3434"/>
      <c r="TLG8" s="3434"/>
      <c r="TLH8" s="3434"/>
      <c r="TLI8" s="3434"/>
      <c r="TLJ8" s="3434"/>
      <c r="TLK8" s="3434"/>
      <c r="TLL8" s="3434"/>
      <c r="TLM8" s="3434"/>
      <c r="TLN8" s="3434"/>
      <c r="TLO8" s="3434"/>
      <c r="TLP8" s="3434"/>
      <c r="TLQ8" s="3434"/>
      <c r="TLR8" s="3434"/>
      <c r="TLS8" s="3434"/>
      <c r="TLT8" s="3434"/>
      <c r="TLU8" s="3434"/>
      <c r="TLV8" s="3434"/>
      <c r="TLW8" s="3434"/>
      <c r="TLX8" s="3434"/>
      <c r="TLY8" s="3434"/>
      <c r="TLZ8" s="3434"/>
      <c r="TMA8" s="3434"/>
      <c r="TMB8" s="3434"/>
      <c r="TMC8" s="3434"/>
      <c r="TMD8" s="3434"/>
      <c r="TME8" s="3434"/>
      <c r="TMF8" s="3434"/>
      <c r="TMG8" s="3434"/>
      <c r="TMH8" s="3434"/>
      <c r="TMI8" s="3434"/>
      <c r="TMJ8" s="3434"/>
      <c r="TMK8" s="3434"/>
      <c r="TML8" s="3434"/>
      <c r="TMM8" s="3434"/>
      <c r="TMN8" s="3434"/>
      <c r="TMO8" s="3434"/>
      <c r="TMP8" s="3434"/>
      <c r="TMQ8" s="3434"/>
      <c r="TMR8" s="3434"/>
      <c r="TMS8" s="3434"/>
      <c r="TMT8" s="3434"/>
      <c r="TMU8" s="3434"/>
      <c r="TMV8" s="3434"/>
      <c r="TMW8" s="3434"/>
      <c r="TMX8" s="3434"/>
      <c r="TMY8" s="3434"/>
      <c r="TMZ8" s="3434"/>
      <c r="TNA8" s="3434"/>
      <c r="TNB8" s="3434"/>
      <c r="TNC8" s="3434"/>
      <c r="TND8" s="3434"/>
      <c r="TNE8" s="3434"/>
      <c r="TNF8" s="3434"/>
      <c r="TNG8" s="3434"/>
      <c r="TNH8" s="3434"/>
      <c r="TNI8" s="3434"/>
      <c r="TNJ8" s="3434"/>
      <c r="TNK8" s="3434"/>
      <c r="TNL8" s="3434"/>
      <c r="TNM8" s="3434"/>
      <c r="TNN8" s="3434"/>
      <c r="TNO8" s="3434"/>
      <c r="TNP8" s="3434"/>
      <c r="TNQ8" s="3434"/>
      <c r="TNR8" s="3434"/>
      <c r="TNS8" s="3434"/>
      <c r="TNT8" s="3434"/>
      <c r="TNU8" s="3434"/>
      <c r="TNV8" s="3434"/>
      <c r="TNW8" s="3434"/>
      <c r="TNX8" s="3434"/>
      <c r="TNY8" s="3434"/>
      <c r="TNZ8" s="3434"/>
      <c r="TOA8" s="3434"/>
      <c r="TOB8" s="3434"/>
      <c r="TOC8" s="3434"/>
      <c r="TOD8" s="3434"/>
      <c r="TOE8" s="3434"/>
      <c r="TOF8" s="3434"/>
      <c r="TOG8" s="3434"/>
      <c r="TOH8" s="3434"/>
      <c r="TOI8" s="3434"/>
      <c r="TOJ8" s="3434"/>
      <c r="TOK8" s="3434"/>
      <c r="TOL8" s="3434"/>
      <c r="TOM8" s="3434"/>
      <c r="TON8" s="3434"/>
      <c r="TOO8" s="3434"/>
      <c r="TOP8" s="3434"/>
      <c r="TOQ8" s="3434"/>
      <c r="TOR8" s="3434"/>
      <c r="TOS8" s="3434"/>
      <c r="TOT8" s="3434"/>
      <c r="TOU8" s="3434"/>
      <c r="TOV8" s="3434"/>
      <c r="TOW8" s="3434"/>
      <c r="TOX8" s="3434"/>
      <c r="TOY8" s="3434"/>
      <c r="TOZ8" s="3434"/>
      <c r="TPA8" s="3434"/>
      <c r="TPB8" s="3434"/>
      <c r="TPC8" s="3434"/>
      <c r="TPD8" s="3434"/>
      <c r="TPE8" s="3434"/>
      <c r="TPF8" s="3434"/>
      <c r="TPG8" s="3434"/>
      <c r="TPH8" s="3434"/>
      <c r="TPI8" s="3434"/>
      <c r="TPJ8" s="3434"/>
      <c r="TPK8" s="3434"/>
      <c r="TPL8" s="3434"/>
      <c r="TPM8" s="3434"/>
      <c r="TPN8" s="3434"/>
      <c r="TPO8" s="3434"/>
      <c r="TPP8" s="3434"/>
      <c r="TPQ8" s="3434"/>
      <c r="TPR8" s="3434"/>
      <c r="TPS8" s="3434"/>
      <c r="TPT8" s="3434"/>
      <c r="TPU8" s="3434"/>
      <c r="TPV8" s="3434"/>
      <c r="TPW8" s="3434"/>
      <c r="TPX8" s="3434"/>
      <c r="TPY8" s="3434"/>
      <c r="TPZ8" s="3434"/>
      <c r="TQA8" s="3434"/>
      <c r="TQB8" s="3434"/>
      <c r="TQC8" s="3434"/>
      <c r="TQD8" s="3434"/>
      <c r="TQE8" s="3434"/>
      <c r="TQF8" s="3434"/>
      <c r="TQG8" s="3434"/>
      <c r="TQH8" s="3434"/>
      <c r="TQI8" s="3434"/>
      <c r="TQJ8" s="3434"/>
      <c r="TQK8" s="3434"/>
      <c r="TQL8" s="3434"/>
      <c r="TQM8" s="3434"/>
      <c r="TQN8" s="3434"/>
      <c r="TQO8" s="3434"/>
      <c r="TQP8" s="3434"/>
      <c r="TQQ8" s="3434"/>
      <c r="TQR8" s="3434"/>
      <c r="TQS8" s="3434"/>
      <c r="TQT8" s="3434"/>
      <c r="TQU8" s="3434"/>
      <c r="TQV8" s="3434"/>
      <c r="TQW8" s="3434"/>
      <c r="TQX8" s="3434"/>
      <c r="TQY8" s="3434"/>
      <c r="TQZ8" s="3434"/>
      <c r="TRA8" s="3434"/>
      <c r="TRB8" s="3434"/>
      <c r="TRC8" s="3434"/>
      <c r="TRD8" s="3434"/>
      <c r="TRE8" s="3434"/>
      <c r="TRF8" s="3434"/>
      <c r="TRG8" s="3434"/>
      <c r="TRH8" s="3434"/>
      <c r="TRI8" s="3434"/>
      <c r="TRJ8" s="3434"/>
      <c r="TRK8" s="3434"/>
      <c r="TRL8" s="3434"/>
      <c r="TRM8" s="3434"/>
      <c r="TRN8" s="3434"/>
      <c r="TRO8" s="3434"/>
      <c r="TRP8" s="3434"/>
      <c r="TRQ8" s="3434"/>
      <c r="TRR8" s="3434"/>
      <c r="TRS8" s="3434"/>
      <c r="TRT8" s="3434"/>
      <c r="TRU8" s="3434"/>
      <c r="TRV8" s="3434"/>
      <c r="TRW8" s="3434"/>
      <c r="TRX8" s="3434"/>
      <c r="TRY8" s="3434"/>
      <c r="TRZ8" s="3434"/>
      <c r="TSA8" s="3434"/>
      <c r="TSB8" s="3434"/>
      <c r="TSC8" s="3434"/>
      <c r="TSD8" s="3434"/>
      <c r="TSE8" s="3434"/>
      <c r="TSF8" s="3434"/>
      <c r="TSG8" s="3434"/>
      <c r="TSH8" s="3434"/>
      <c r="TSI8" s="3434"/>
      <c r="TSJ8" s="3434"/>
      <c r="TSK8" s="3434"/>
      <c r="TSL8" s="3434"/>
      <c r="TSM8" s="3434"/>
      <c r="TSN8" s="3434"/>
      <c r="TSO8" s="3434"/>
      <c r="TSP8" s="3434"/>
      <c r="TSQ8" s="3434"/>
      <c r="TSR8" s="3434"/>
      <c r="TSS8" s="3434"/>
      <c r="TST8" s="3434"/>
      <c r="TSU8" s="3434"/>
      <c r="TSV8" s="3434"/>
      <c r="TSW8" s="3434"/>
      <c r="TSX8" s="3434"/>
      <c r="TSY8" s="3434"/>
      <c r="TSZ8" s="3434"/>
      <c r="TTA8" s="3434"/>
      <c r="TTB8" s="3434"/>
      <c r="TTC8" s="3434"/>
      <c r="TTD8" s="3434"/>
      <c r="TTE8" s="3434"/>
      <c r="TTF8" s="3434"/>
      <c r="TTG8" s="3434"/>
      <c r="TTH8" s="3434"/>
      <c r="TTI8" s="3434"/>
      <c r="TTJ8" s="3434"/>
      <c r="TTK8" s="3434"/>
      <c r="TTL8" s="3434"/>
      <c r="TTM8" s="3434"/>
      <c r="TTN8" s="3434"/>
      <c r="TTO8" s="3434"/>
      <c r="TTP8" s="3434"/>
      <c r="TTQ8" s="3434"/>
      <c r="TTR8" s="3434"/>
      <c r="TTS8" s="3434"/>
      <c r="TTT8" s="3434"/>
      <c r="TTU8" s="3434"/>
      <c r="TTV8" s="3434"/>
      <c r="TTW8" s="3434"/>
      <c r="TTX8" s="3434"/>
      <c r="TTY8" s="3434"/>
      <c r="TTZ8" s="3434"/>
      <c r="TUA8" s="3434"/>
      <c r="TUB8" s="3434"/>
      <c r="TUC8" s="3434"/>
      <c r="TUD8" s="3434"/>
      <c r="TUE8" s="3434"/>
      <c r="TUF8" s="3434"/>
      <c r="TUG8" s="3434"/>
      <c r="TUH8" s="3434"/>
      <c r="TUI8" s="3434"/>
      <c r="TUJ8" s="3434"/>
      <c r="TUK8" s="3434"/>
      <c r="TUL8" s="3434"/>
      <c r="TUM8" s="3434"/>
      <c r="TUN8" s="3434"/>
      <c r="TUO8" s="3434"/>
      <c r="TUP8" s="3434"/>
      <c r="TUQ8" s="3434"/>
      <c r="TUR8" s="3434"/>
      <c r="TUS8" s="3434"/>
      <c r="TUT8" s="3434"/>
      <c r="TUU8" s="3434"/>
      <c r="TUV8" s="3434"/>
      <c r="TUW8" s="3434"/>
      <c r="TUX8" s="3434"/>
      <c r="TUY8" s="3434"/>
      <c r="TUZ8" s="3434"/>
      <c r="TVA8" s="3434"/>
      <c r="TVB8" s="3434"/>
      <c r="TVC8" s="3434"/>
      <c r="TVD8" s="3434"/>
      <c r="TVE8" s="3434"/>
      <c r="TVF8" s="3434"/>
      <c r="TVG8" s="3434"/>
      <c r="TVH8" s="3434"/>
      <c r="TVI8" s="3434"/>
      <c r="TVJ8" s="3434"/>
      <c r="TVK8" s="3434"/>
      <c r="TVL8" s="3434"/>
      <c r="TVM8" s="3434"/>
      <c r="TVN8" s="3434"/>
      <c r="TVO8" s="3434"/>
      <c r="TVP8" s="3434"/>
      <c r="TVQ8" s="3434"/>
      <c r="TVR8" s="3434"/>
      <c r="TVS8" s="3434"/>
      <c r="TVT8" s="3434"/>
      <c r="TVU8" s="3434"/>
      <c r="TVV8" s="3434"/>
      <c r="TVW8" s="3434"/>
      <c r="TVX8" s="3434"/>
      <c r="TVY8" s="3434"/>
      <c r="TVZ8" s="3434"/>
      <c r="TWA8" s="3434"/>
      <c r="TWB8" s="3434"/>
      <c r="TWC8" s="3434"/>
      <c r="TWD8" s="3434"/>
      <c r="TWE8" s="3434"/>
      <c r="TWF8" s="3434"/>
      <c r="TWG8" s="3434"/>
      <c r="TWH8" s="3434"/>
      <c r="TWI8" s="3434"/>
      <c r="TWJ8" s="3434"/>
      <c r="TWK8" s="3434"/>
      <c r="TWL8" s="3434"/>
      <c r="TWM8" s="3434"/>
      <c r="TWN8" s="3434"/>
      <c r="TWO8" s="3434"/>
      <c r="TWP8" s="3434"/>
      <c r="TWQ8" s="3434"/>
      <c r="TWR8" s="3434"/>
      <c r="TWS8" s="3434"/>
      <c r="TWT8" s="3434"/>
      <c r="TWU8" s="3434"/>
      <c r="TWV8" s="3434"/>
      <c r="TWW8" s="3434"/>
      <c r="TWX8" s="3434"/>
      <c r="TWY8" s="3434"/>
      <c r="TWZ8" s="3434"/>
      <c r="TXA8" s="3434"/>
      <c r="TXB8" s="3434"/>
      <c r="TXC8" s="3434"/>
      <c r="TXD8" s="3434"/>
      <c r="TXE8" s="3434"/>
      <c r="TXF8" s="3434"/>
      <c r="TXG8" s="3434"/>
      <c r="TXH8" s="3434"/>
      <c r="TXI8" s="3434"/>
      <c r="TXJ8" s="3434"/>
      <c r="TXK8" s="3434"/>
      <c r="TXL8" s="3434"/>
      <c r="TXM8" s="3434"/>
      <c r="TXN8" s="3434"/>
      <c r="TXO8" s="3434"/>
      <c r="TXP8" s="3434"/>
      <c r="TXQ8" s="3434"/>
      <c r="TXR8" s="3434"/>
      <c r="TXS8" s="3434"/>
      <c r="TXT8" s="3434"/>
      <c r="TXU8" s="3434"/>
      <c r="TXV8" s="3434"/>
      <c r="TXW8" s="3434"/>
      <c r="TXX8" s="3434"/>
      <c r="TXY8" s="3434"/>
      <c r="TXZ8" s="3434"/>
      <c r="TYA8" s="3434"/>
      <c r="TYB8" s="3434"/>
      <c r="TYC8" s="3434"/>
      <c r="TYD8" s="3434"/>
      <c r="TYE8" s="3434"/>
      <c r="TYF8" s="3434"/>
      <c r="TYG8" s="3434"/>
      <c r="TYH8" s="3434"/>
      <c r="TYI8" s="3434"/>
      <c r="TYJ8" s="3434"/>
      <c r="TYK8" s="3434"/>
      <c r="TYL8" s="3434"/>
      <c r="TYM8" s="3434"/>
      <c r="TYN8" s="3434"/>
      <c r="TYO8" s="3434"/>
      <c r="TYP8" s="3434"/>
      <c r="TYQ8" s="3434"/>
      <c r="TYR8" s="3434"/>
      <c r="TYS8" s="3434"/>
      <c r="TYT8" s="3434"/>
      <c r="TYU8" s="3434"/>
      <c r="TYV8" s="3434"/>
      <c r="TYW8" s="3434"/>
      <c r="TYX8" s="3434"/>
      <c r="TYY8" s="3434"/>
      <c r="TYZ8" s="3434"/>
      <c r="TZA8" s="3434"/>
      <c r="TZB8" s="3434"/>
      <c r="TZC8" s="3434"/>
      <c r="TZD8" s="3434"/>
      <c r="TZE8" s="3434"/>
      <c r="TZF8" s="3434"/>
      <c r="TZG8" s="3434"/>
      <c r="TZH8" s="3434"/>
      <c r="TZI8" s="3434"/>
      <c r="TZJ8" s="3434"/>
      <c r="TZK8" s="3434"/>
      <c r="TZL8" s="3434"/>
      <c r="TZM8" s="3434"/>
      <c r="TZN8" s="3434"/>
      <c r="TZO8" s="3434"/>
      <c r="TZP8" s="3434"/>
      <c r="TZQ8" s="3434"/>
      <c r="TZR8" s="3434"/>
      <c r="TZS8" s="3434"/>
      <c r="TZT8" s="3434"/>
      <c r="TZU8" s="3434"/>
      <c r="TZV8" s="3434"/>
      <c r="TZW8" s="3434"/>
      <c r="TZX8" s="3434"/>
      <c r="TZY8" s="3434"/>
      <c r="TZZ8" s="3434"/>
      <c r="UAA8" s="3434"/>
      <c r="UAB8" s="3434"/>
      <c r="UAC8" s="3434"/>
      <c r="UAD8" s="3434"/>
      <c r="UAE8" s="3434"/>
      <c r="UAF8" s="3434"/>
      <c r="UAG8" s="3434"/>
      <c r="UAH8" s="3434"/>
      <c r="UAI8" s="3434"/>
      <c r="UAJ8" s="3434"/>
      <c r="UAK8" s="3434"/>
      <c r="UAL8" s="3434"/>
      <c r="UAM8" s="3434"/>
      <c r="UAN8" s="3434"/>
      <c r="UAO8" s="3434"/>
      <c r="UAP8" s="3434"/>
      <c r="UAQ8" s="3434"/>
      <c r="UAR8" s="3434"/>
      <c r="UAS8" s="3434"/>
      <c r="UAT8" s="3434"/>
      <c r="UAU8" s="3434"/>
      <c r="UAV8" s="3434"/>
      <c r="UAW8" s="3434"/>
      <c r="UAX8" s="3434"/>
      <c r="UAY8" s="3434"/>
      <c r="UAZ8" s="3434"/>
      <c r="UBA8" s="3434"/>
      <c r="UBB8" s="3434"/>
      <c r="UBC8" s="3434"/>
      <c r="UBD8" s="3434"/>
      <c r="UBE8" s="3434"/>
      <c r="UBF8" s="3434"/>
      <c r="UBG8" s="3434"/>
      <c r="UBH8" s="3434"/>
      <c r="UBI8" s="3434"/>
      <c r="UBJ8" s="3434"/>
      <c r="UBK8" s="3434"/>
      <c r="UBL8" s="3434"/>
      <c r="UBM8" s="3434"/>
      <c r="UBN8" s="3434"/>
      <c r="UBO8" s="3434"/>
      <c r="UBP8" s="3434"/>
      <c r="UBQ8" s="3434"/>
      <c r="UBR8" s="3434"/>
      <c r="UBS8" s="3434"/>
      <c r="UBT8" s="3434"/>
      <c r="UBU8" s="3434"/>
      <c r="UBV8" s="3434"/>
      <c r="UBW8" s="3434"/>
      <c r="UBX8" s="3434"/>
      <c r="UBY8" s="3434"/>
      <c r="UBZ8" s="3434"/>
      <c r="UCA8" s="3434"/>
      <c r="UCB8" s="3434"/>
      <c r="UCC8" s="3434"/>
      <c r="UCD8" s="3434"/>
      <c r="UCE8" s="3434"/>
      <c r="UCF8" s="3434"/>
      <c r="UCG8" s="3434"/>
      <c r="UCH8" s="3434"/>
      <c r="UCI8" s="3434"/>
      <c r="UCJ8" s="3434"/>
      <c r="UCK8" s="3434"/>
      <c r="UCL8" s="3434"/>
      <c r="UCM8" s="3434"/>
      <c r="UCN8" s="3434"/>
      <c r="UCO8" s="3434"/>
      <c r="UCP8" s="3434"/>
      <c r="UCQ8" s="3434"/>
      <c r="UCR8" s="3434"/>
      <c r="UCS8" s="3434"/>
      <c r="UCT8" s="3434"/>
      <c r="UCU8" s="3434"/>
      <c r="UCV8" s="3434"/>
      <c r="UCW8" s="3434"/>
      <c r="UCX8" s="3434"/>
      <c r="UCY8" s="3434"/>
      <c r="UCZ8" s="3434"/>
      <c r="UDA8" s="3434"/>
      <c r="UDB8" s="3434"/>
      <c r="UDC8" s="3434"/>
      <c r="UDD8" s="3434"/>
      <c r="UDE8" s="3434"/>
      <c r="UDF8" s="3434"/>
      <c r="UDG8" s="3434"/>
      <c r="UDH8" s="3434"/>
      <c r="UDI8" s="3434"/>
      <c r="UDJ8" s="3434"/>
      <c r="UDK8" s="3434"/>
      <c r="UDL8" s="3434"/>
      <c r="UDM8" s="3434"/>
      <c r="UDN8" s="3434"/>
      <c r="UDO8" s="3434"/>
      <c r="UDP8" s="3434"/>
      <c r="UDQ8" s="3434"/>
      <c r="UDR8" s="3434"/>
      <c r="UDS8" s="3434"/>
      <c r="UDT8" s="3434"/>
      <c r="UDU8" s="3434"/>
      <c r="UDV8" s="3434"/>
      <c r="UDW8" s="3434"/>
      <c r="UDX8" s="3434"/>
      <c r="UDY8" s="3434"/>
      <c r="UDZ8" s="3434"/>
      <c r="UEA8" s="3434"/>
      <c r="UEB8" s="3434"/>
      <c r="UEC8" s="3434"/>
      <c r="UED8" s="3434"/>
      <c r="UEE8" s="3434"/>
      <c r="UEF8" s="3434"/>
      <c r="UEG8" s="3434"/>
      <c r="UEH8" s="3434"/>
      <c r="UEI8" s="3434"/>
      <c r="UEJ8" s="3434"/>
      <c r="UEK8" s="3434"/>
      <c r="UEL8" s="3434"/>
      <c r="UEM8" s="3434"/>
      <c r="UEN8" s="3434"/>
      <c r="UEO8" s="3434"/>
      <c r="UEP8" s="3434"/>
      <c r="UEQ8" s="3434"/>
      <c r="UER8" s="3434"/>
      <c r="UES8" s="3434"/>
      <c r="UET8" s="3434"/>
      <c r="UEU8" s="3434"/>
      <c r="UEV8" s="3434"/>
      <c r="UEW8" s="3434"/>
      <c r="UEX8" s="3434"/>
      <c r="UEY8" s="3434"/>
      <c r="UEZ8" s="3434"/>
      <c r="UFA8" s="3434"/>
      <c r="UFB8" s="3434"/>
      <c r="UFC8" s="3434"/>
      <c r="UFD8" s="3434"/>
      <c r="UFE8" s="3434"/>
      <c r="UFF8" s="3434"/>
      <c r="UFG8" s="3434"/>
      <c r="UFH8" s="3434"/>
      <c r="UFI8" s="3434"/>
      <c r="UFJ8" s="3434"/>
      <c r="UFK8" s="3434"/>
      <c r="UFL8" s="3434"/>
      <c r="UFM8" s="3434"/>
      <c r="UFN8" s="3434"/>
      <c r="UFO8" s="3434"/>
      <c r="UFP8" s="3434"/>
      <c r="UFQ8" s="3434"/>
      <c r="UFR8" s="3434"/>
      <c r="UFS8" s="3434"/>
      <c r="UFT8" s="3434"/>
      <c r="UFU8" s="3434"/>
      <c r="UFV8" s="3434"/>
      <c r="UFW8" s="3434"/>
      <c r="UFX8" s="3434"/>
      <c r="UFY8" s="3434"/>
      <c r="UFZ8" s="3434"/>
      <c r="UGA8" s="3434"/>
      <c r="UGB8" s="3434"/>
      <c r="UGC8" s="3434"/>
      <c r="UGD8" s="3434"/>
      <c r="UGE8" s="3434"/>
      <c r="UGF8" s="3434"/>
      <c r="UGG8" s="3434"/>
      <c r="UGH8" s="3434"/>
      <c r="UGI8" s="3434"/>
      <c r="UGJ8" s="3434"/>
      <c r="UGK8" s="3434"/>
      <c r="UGL8" s="3434"/>
      <c r="UGM8" s="3434"/>
      <c r="UGN8" s="3434"/>
      <c r="UGO8" s="3434"/>
      <c r="UGP8" s="3434"/>
      <c r="UGQ8" s="3434"/>
      <c r="UGR8" s="3434"/>
      <c r="UGS8" s="3434"/>
      <c r="UGT8" s="3434"/>
      <c r="UGU8" s="3434"/>
      <c r="UGV8" s="3434"/>
      <c r="UGW8" s="3434"/>
      <c r="UGX8" s="3434"/>
      <c r="UGY8" s="3434"/>
      <c r="UGZ8" s="3434"/>
      <c r="UHA8" s="3434"/>
      <c r="UHB8" s="3434"/>
      <c r="UHC8" s="3434"/>
      <c r="UHD8" s="3434"/>
      <c r="UHE8" s="3434"/>
      <c r="UHF8" s="3434"/>
      <c r="UHG8" s="3434"/>
      <c r="UHH8" s="3434"/>
      <c r="UHI8" s="3434"/>
      <c r="UHJ8" s="3434"/>
      <c r="UHK8" s="3434"/>
      <c r="UHL8" s="3434"/>
      <c r="UHM8" s="3434"/>
      <c r="UHN8" s="3434"/>
      <c r="UHO8" s="3434"/>
      <c r="UHP8" s="3434"/>
      <c r="UHQ8" s="3434"/>
      <c r="UHR8" s="3434"/>
      <c r="UHS8" s="3434"/>
      <c r="UHT8" s="3434"/>
      <c r="UHU8" s="3434"/>
      <c r="UHV8" s="3434"/>
      <c r="UHW8" s="3434"/>
      <c r="UHX8" s="3434"/>
      <c r="UHY8" s="3434"/>
      <c r="UHZ8" s="3434"/>
      <c r="UIA8" s="3434"/>
      <c r="UIB8" s="3434"/>
      <c r="UIC8" s="3434"/>
      <c r="UID8" s="3434"/>
      <c r="UIE8" s="3434"/>
      <c r="UIF8" s="3434"/>
      <c r="UIG8" s="3434"/>
      <c r="UIH8" s="3434"/>
      <c r="UII8" s="3434"/>
      <c r="UIJ8" s="3434"/>
      <c r="UIK8" s="3434"/>
      <c r="UIL8" s="3434"/>
      <c r="UIM8" s="3434"/>
      <c r="UIN8" s="3434"/>
      <c r="UIO8" s="3434"/>
      <c r="UIP8" s="3434"/>
      <c r="UIQ8" s="3434"/>
      <c r="UIR8" s="3434"/>
      <c r="UIS8" s="3434"/>
      <c r="UIT8" s="3434"/>
      <c r="UIU8" s="3434"/>
      <c r="UIV8" s="3434"/>
      <c r="UIW8" s="3434"/>
      <c r="UIX8" s="3434"/>
      <c r="UIY8" s="3434"/>
      <c r="UIZ8" s="3434"/>
      <c r="UJA8" s="3434"/>
      <c r="UJB8" s="3434"/>
      <c r="UJC8" s="3434"/>
      <c r="UJD8" s="3434"/>
      <c r="UJE8" s="3434"/>
      <c r="UJF8" s="3434"/>
      <c r="UJG8" s="3434"/>
      <c r="UJH8" s="3434"/>
      <c r="UJI8" s="3434"/>
      <c r="UJJ8" s="3434"/>
      <c r="UJK8" s="3434"/>
      <c r="UJL8" s="3434"/>
      <c r="UJM8" s="3434"/>
      <c r="UJN8" s="3434"/>
      <c r="UJO8" s="3434"/>
      <c r="UJP8" s="3434"/>
      <c r="UJQ8" s="3434"/>
      <c r="UJR8" s="3434"/>
      <c r="UJS8" s="3434"/>
      <c r="UJT8" s="3434"/>
      <c r="UJU8" s="3434"/>
      <c r="UJV8" s="3434"/>
      <c r="UJW8" s="3434"/>
      <c r="UJX8" s="3434"/>
      <c r="UJY8" s="3434"/>
      <c r="UJZ8" s="3434"/>
      <c r="UKA8" s="3434"/>
      <c r="UKB8" s="3434"/>
      <c r="UKC8" s="3434"/>
      <c r="UKD8" s="3434"/>
      <c r="UKE8" s="3434"/>
      <c r="UKF8" s="3434"/>
      <c r="UKG8" s="3434"/>
      <c r="UKH8" s="3434"/>
      <c r="UKI8" s="3434"/>
      <c r="UKJ8" s="3434"/>
      <c r="UKK8" s="3434"/>
      <c r="UKL8" s="3434"/>
      <c r="UKM8" s="3434"/>
      <c r="UKN8" s="3434"/>
      <c r="UKO8" s="3434"/>
      <c r="UKP8" s="3434"/>
      <c r="UKQ8" s="3434"/>
      <c r="UKR8" s="3434"/>
      <c r="UKS8" s="3434"/>
      <c r="UKT8" s="3434"/>
      <c r="UKU8" s="3434"/>
      <c r="UKV8" s="3434"/>
      <c r="UKW8" s="3434"/>
      <c r="UKX8" s="3434"/>
      <c r="UKY8" s="3434"/>
      <c r="UKZ8" s="3434"/>
      <c r="ULA8" s="3434"/>
      <c r="ULB8" s="3434"/>
      <c r="ULC8" s="3434"/>
      <c r="ULD8" s="3434"/>
      <c r="ULE8" s="3434"/>
      <c r="ULF8" s="3434"/>
      <c r="ULG8" s="3434"/>
      <c r="ULH8" s="3434"/>
      <c r="ULI8" s="3434"/>
      <c r="ULJ8" s="3434"/>
      <c r="ULK8" s="3434"/>
      <c r="ULL8" s="3434"/>
      <c r="ULM8" s="3434"/>
      <c r="ULN8" s="3434"/>
      <c r="ULO8" s="3434"/>
      <c r="ULP8" s="3434"/>
      <c r="ULQ8" s="3434"/>
      <c r="ULR8" s="3434"/>
      <c r="ULS8" s="3434"/>
      <c r="ULT8" s="3434"/>
      <c r="ULU8" s="3434"/>
      <c r="ULV8" s="3434"/>
      <c r="ULW8" s="3434"/>
      <c r="ULX8" s="3434"/>
      <c r="ULY8" s="3434"/>
      <c r="ULZ8" s="3434"/>
      <c r="UMA8" s="3434"/>
      <c r="UMB8" s="3434"/>
      <c r="UMC8" s="3434"/>
      <c r="UMD8" s="3434"/>
      <c r="UME8" s="3434"/>
      <c r="UMF8" s="3434"/>
      <c r="UMG8" s="3434"/>
      <c r="UMH8" s="3434"/>
      <c r="UMI8" s="3434"/>
      <c r="UMJ8" s="3434"/>
      <c r="UMK8" s="3434"/>
      <c r="UML8" s="3434"/>
      <c r="UMM8" s="3434"/>
      <c r="UMN8" s="3434"/>
      <c r="UMO8" s="3434"/>
      <c r="UMP8" s="3434"/>
      <c r="UMQ8" s="3434"/>
      <c r="UMR8" s="3434"/>
      <c r="UMS8" s="3434"/>
      <c r="UMT8" s="3434"/>
      <c r="UMU8" s="3434"/>
      <c r="UMV8" s="3434"/>
      <c r="UMW8" s="3434"/>
      <c r="UMX8" s="3434"/>
      <c r="UMY8" s="3434"/>
      <c r="UMZ8" s="3434"/>
      <c r="UNA8" s="3434"/>
      <c r="UNB8" s="3434"/>
      <c r="UNC8" s="3434"/>
      <c r="UND8" s="3434"/>
      <c r="UNE8" s="3434"/>
      <c r="UNF8" s="3434"/>
      <c r="UNG8" s="3434"/>
      <c r="UNH8" s="3434"/>
      <c r="UNI8" s="3434"/>
      <c r="UNJ8" s="3434"/>
      <c r="UNK8" s="3434"/>
      <c r="UNL8" s="3434"/>
      <c r="UNM8" s="3434"/>
      <c r="UNN8" s="3434"/>
      <c r="UNO8" s="3434"/>
      <c r="UNP8" s="3434"/>
      <c r="UNQ8" s="3434"/>
      <c r="UNR8" s="3434"/>
      <c r="UNS8" s="3434"/>
      <c r="UNT8" s="3434"/>
      <c r="UNU8" s="3434"/>
      <c r="UNV8" s="3434"/>
      <c r="UNW8" s="3434"/>
      <c r="UNX8" s="3434"/>
      <c r="UNY8" s="3434"/>
      <c r="UNZ8" s="3434"/>
      <c r="UOA8" s="3434"/>
      <c r="UOB8" s="3434"/>
      <c r="UOC8" s="3434"/>
      <c r="UOD8" s="3434"/>
      <c r="UOE8" s="3434"/>
      <c r="UOF8" s="3434"/>
      <c r="UOG8" s="3434"/>
      <c r="UOH8" s="3434"/>
      <c r="UOI8" s="3434"/>
      <c r="UOJ8" s="3434"/>
      <c r="UOK8" s="3434"/>
      <c r="UOL8" s="3434"/>
      <c r="UOM8" s="3434"/>
      <c r="UON8" s="3434"/>
      <c r="UOO8" s="3434"/>
      <c r="UOP8" s="3434"/>
      <c r="UOQ8" s="3434"/>
      <c r="UOR8" s="3434"/>
      <c r="UOS8" s="3434"/>
      <c r="UOT8" s="3434"/>
      <c r="UOU8" s="3434"/>
      <c r="UOV8" s="3434"/>
      <c r="UOW8" s="3434"/>
      <c r="UOX8" s="3434"/>
      <c r="UOY8" s="3434"/>
      <c r="UOZ8" s="3434"/>
      <c r="UPA8" s="3434"/>
      <c r="UPB8" s="3434"/>
      <c r="UPC8" s="3434"/>
      <c r="UPD8" s="3434"/>
      <c r="UPE8" s="3434"/>
      <c r="UPF8" s="3434"/>
      <c r="UPG8" s="3434"/>
      <c r="UPH8" s="3434"/>
      <c r="UPI8" s="3434"/>
      <c r="UPJ8" s="3434"/>
      <c r="UPK8" s="3434"/>
      <c r="UPL8" s="3434"/>
      <c r="UPM8" s="3434"/>
      <c r="UPN8" s="3434"/>
      <c r="UPO8" s="3434"/>
      <c r="UPP8" s="3434"/>
      <c r="UPQ8" s="3434"/>
      <c r="UPR8" s="3434"/>
      <c r="UPS8" s="3434"/>
      <c r="UPT8" s="3434"/>
      <c r="UPU8" s="3434"/>
      <c r="UPV8" s="3434"/>
      <c r="UPW8" s="3434"/>
      <c r="UPX8" s="3434"/>
      <c r="UPY8" s="3434"/>
      <c r="UPZ8" s="3434"/>
      <c r="UQA8" s="3434"/>
      <c r="UQB8" s="3434"/>
      <c r="UQC8" s="3434"/>
      <c r="UQD8" s="3434"/>
      <c r="UQE8" s="3434"/>
      <c r="UQF8" s="3434"/>
      <c r="UQG8" s="3434"/>
      <c r="UQH8" s="3434"/>
      <c r="UQI8" s="3434"/>
      <c r="UQJ8" s="3434"/>
      <c r="UQK8" s="3434"/>
      <c r="UQL8" s="3434"/>
      <c r="UQM8" s="3434"/>
      <c r="UQN8" s="3434"/>
      <c r="UQO8" s="3434"/>
      <c r="UQP8" s="3434"/>
      <c r="UQQ8" s="3434"/>
      <c r="UQR8" s="3434"/>
      <c r="UQS8" s="3434"/>
      <c r="UQT8" s="3434"/>
      <c r="UQU8" s="3434"/>
      <c r="UQV8" s="3434"/>
      <c r="UQW8" s="3434"/>
      <c r="UQX8" s="3434"/>
      <c r="UQY8" s="3434"/>
      <c r="UQZ8" s="3434"/>
      <c r="URA8" s="3434"/>
      <c r="URB8" s="3434"/>
      <c r="URC8" s="3434"/>
      <c r="URD8" s="3434"/>
      <c r="URE8" s="3434"/>
      <c r="URF8" s="3434"/>
      <c r="URG8" s="3434"/>
      <c r="URH8" s="3434"/>
      <c r="URI8" s="3434"/>
      <c r="URJ8" s="3434"/>
      <c r="URK8" s="3434"/>
      <c r="URL8" s="3434"/>
      <c r="URM8" s="3434"/>
      <c r="URN8" s="3434"/>
      <c r="URO8" s="3434"/>
      <c r="URP8" s="3434"/>
      <c r="URQ8" s="3434"/>
      <c r="URR8" s="3434"/>
      <c r="URS8" s="3434"/>
      <c r="URT8" s="3434"/>
      <c r="URU8" s="3434"/>
      <c r="URV8" s="3434"/>
      <c r="URW8" s="3434"/>
      <c r="URX8" s="3434"/>
      <c r="URY8" s="3434"/>
      <c r="URZ8" s="3434"/>
      <c r="USA8" s="3434"/>
      <c r="USB8" s="3434"/>
      <c r="USC8" s="3434"/>
      <c r="USD8" s="3434"/>
      <c r="USE8" s="3434"/>
      <c r="USF8" s="3434"/>
      <c r="USG8" s="3434"/>
      <c r="USH8" s="3434"/>
      <c r="USI8" s="3434"/>
      <c r="USJ8" s="3434"/>
      <c r="USK8" s="3434"/>
      <c r="USL8" s="3434"/>
      <c r="USM8" s="3434"/>
      <c r="USN8" s="3434"/>
      <c r="USO8" s="3434"/>
      <c r="USP8" s="3434"/>
      <c r="USQ8" s="3434"/>
      <c r="USR8" s="3434"/>
      <c r="USS8" s="3434"/>
      <c r="UST8" s="3434"/>
      <c r="USU8" s="3434"/>
      <c r="USV8" s="3434"/>
      <c r="USW8" s="3434"/>
      <c r="USX8" s="3434"/>
      <c r="USY8" s="3434"/>
      <c r="USZ8" s="3434"/>
      <c r="UTA8" s="3434"/>
      <c r="UTB8" s="3434"/>
      <c r="UTC8" s="3434"/>
      <c r="UTD8" s="3434"/>
      <c r="UTE8" s="3434"/>
      <c r="UTF8" s="3434"/>
      <c r="UTG8" s="3434"/>
      <c r="UTH8" s="3434"/>
      <c r="UTI8" s="3434"/>
      <c r="UTJ8" s="3434"/>
      <c r="UTK8" s="3434"/>
      <c r="UTL8" s="3434"/>
      <c r="UTM8" s="3434"/>
      <c r="UTN8" s="3434"/>
      <c r="UTO8" s="3434"/>
      <c r="UTP8" s="3434"/>
      <c r="UTQ8" s="3434"/>
      <c r="UTR8" s="3434"/>
      <c r="UTS8" s="3434"/>
      <c r="UTT8" s="3434"/>
      <c r="UTU8" s="3434"/>
      <c r="UTV8" s="3434"/>
      <c r="UTW8" s="3434"/>
      <c r="UTX8" s="3434"/>
      <c r="UTY8" s="3434"/>
      <c r="UTZ8" s="3434"/>
      <c r="UUA8" s="3434"/>
      <c r="UUB8" s="3434"/>
      <c r="UUC8" s="3434"/>
      <c r="UUD8" s="3434"/>
      <c r="UUE8" s="3434"/>
      <c r="UUF8" s="3434"/>
      <c r="UUG8" s="3434"/>
      <c r="UUH8" s="3434"/>
      <c r="UUI8" s="3434"/>
      <c r="UUJ8" s="3434"/>
      <c r="UUK8" s="3434"/>
      <c r="UUL8" s="3434"/>
      <c r="UUM8" s="3434"/>
      <c r="UUN8" s="3434"/>
      <c r="UUO8" s="3434"/>
      <c r="UUP8" s="3434"/>
      <c r="UUQ8" s="3434"/>
      <c r="UUR8" s="3434"/>
      <c r="UUS8" s="3434"/>
      <c r="UUT8" s="3434"/>
      <c r="UUU8" s="3434"/>
      <c r="UUV8" s="3434"/>
      <c r="UUW8" s="3434"/>
      <c r="UUX8" s="3434"/>
      <c r="UUY8" s="3434"/>
      <c r="UUZ8" s="3434"/>
      <c r="UVA8" s="3434"/>
      <c r="UVB8" s="3434"/>
      <c r="UVC8" s="3434"/>
      <c r="UVD8" s="3434"/>
      <c r="UVE8" s="3434"/>
      <c r="UVF8" s="3434"/>
      <c r="UVG8" s="3434"/>
      <c r="UVH8" s="3434"/>
      <c r="UVI8" s="3434"/>
      <c r="UVJ8" s="3434"/>
      <c r="UVK8" s="3434"/>
      <c r="UVL8" s="3434"/>
      <c r="UVM8" s="3434"/>
      <c r="UVN8" s="3434"/>
      <c r="UVO8" s="3434"/>
      <c r="UVP8" s="3434"/>
      <c r="UVQ8" s="3434"/>
      <c r="UVR8" s="3434"/>
      <c r="UVS8" s="3434"/>
      <c r="UVT8" s="3434"/>
      <c r="UVU8" s="3434"/>
      <c r="UVV8" s="3434"/>
      <c r="UVW8" s="3434"/>
      <c r="UVX8" s="3434"/>
      <c r="UVY8" s="3434"/>
      <c r="UVZ8" s="3434"/>
      <c r="UWA8" s="3434"/>
      <c r="UWB8" s="3434"/>
      <c r="UWC8" s="3434"/>
      <c r="UWD8" s="3434"/>
      <c r="UWE8" s="3434"/>
      <c r="UWF8" s="3434"/>
      <c r="UWG8" s="3434"/>
      <c r="UWH8" s="3434"/>
      <c r="UWI8" s="3434"/>
      <c r="UWJ8" s="3434"/>
      <c r="UWK8" s="3434"/>
      <c r="UWL8" s="3434"/>
      <c r="UWM8" s="3434"/>
      <c r="UWN8" s="3434"/>
      <c r="UWO8" s="3434"/>
      <c r="UWP8" s="3434"/>
      <c r="UWQ8" s="3434"/>
      <c r="UWR8" s="3434"/>
      <c r="UWS8" s="3434"/>
      <c r="UWT8" s="3434"/>
      <c r="UWU8" s="3434"/>
      <c r="UWV8" s="3434"/>
      <c r="UWW8" s="3434"/>
      <c r="UWX8" s="3434"/>
      <c r="UWY8" s="3434"/>
      <c r="UWZ8" s="3434"/>
      <c r="UXA8" s="3434"/>
      <c r="UXB8" s="3434"/>
      <c r="UXC8" s="3434"/>
      <c r="UXD8" s="3434"/>
      <c r="UXE8" s="3434"/>
      <c r="UXF8" s="3434"/>
      <c r="UXG8" s="3434"/>
      <c r="UXH8" s="3434"/>
      <c r="UXI8" s="3434"/>
      <c r="UXJ8" s="3434"/>
      <c r="UXK8" s="3434"/>
      <c r="UXL8" s="3434"/>
      <c r="UXM8" s="3434"/>
      <c r="UXN8" s="3434"/>
      <c r="UXO8" s="3434"/>
      <c r="UXP8" s="3434"/>
      <c r="UXQ8" s="3434"/>
      <c r="UXR8" s="3434"/>
      <c r="UXS8" s="3434"/>
      <c r="UXT8" s="3434"/>
      <c r="UXU8" s="3434"/>
      <c r="UXV8" s="3434"/>
      <c r="UXW8" s="3434"/>
      <c r="UXX8" s="3434"/>
      <c r="UXY8" s="3434"/>
      <c r="UXZ8" s="3434"/>
      <c r="UYA8" s="3434"/>
      <c r="UYB8" s="3434"/>
      <c r="UYC8" s="3434"/>
      <c r="UYD8" s="3434"/>
      <c r="UYE8" s="3434"/>
      <c r="UYF8" s="3434"/>
      <c r="UYG8" s="3434"/>
      <c r="UYH8" s="3434"/>
      <c r="UYI8" s="3434"/>
      <c r="UYJ8" s="3434"/>
      <c r="UYK8" s="3434"/>
      <c r="UYL8" s="3434"/>
      <c r="UYM8" s="3434"/>
      <c r="UYN8" s="3434"/>
      <c r="UYO8" s="3434"/>
      <c r="UYP8" s="3434"/>
      <c r="UYQ8" s="3434"/>
      <c r="UYR8" s="3434"/>
      <c r="UYS8" s="3434"/>
      <c r="UYT8" s="3434"/>
      <c r="UYU8" s="3434"/>
      <c r="UYV8" s="3434"/>
      <c r="UYW8" s="3434"/>
      <c r="UYX8" s="3434"/>
      <c r="UYY8" s="3434"/>
      <c r="UYZ8" s="3434"/>
      <c r="UZA8" s="3434"/>
      <c r="UZB8" s="3434"/>
      <c r="UZC8" s="3434"/>
      <c r="UZD8" s="3434"/>
      <c r="UZE8" s="3434"/>
      <c r="UZF8" s="3434"/>
      <c r="UZG8" s="3434"/>
      <c r="UZH8" s="3434"/>
      <c r="UZI8" s="3434"/>
      <c r="UZJ8" s="3434"/>
      <c r="UZK8" s="3434"/>
      <c r="UZL8" s="3434"/>
      <c r="UZM8" s="3434"/>
      <c r="UZN8" s="3434"/>
      <c r="UZO8" s="3434"/>
      <c r="UZP8" s="3434"/>
      <c r="UZQ8" s="3434"/>
      <c r="UZR8" s="3434"/>
      <c r="UZS8" s="3434"/>
      <c r="UZT8" s="3434"/>
      <c r="UZU8" s="3434"/>
      <c r="UZV8" s="3434"/>
      <c r="UZW8" s="3434"/>
      <c r="UZX8" s="3434"/>
      <c r="UZY8" s="3434"/>
      <c r="UZZ8" s="3434"/>
      <c r="VAA8" s="3434"/>
      <c r="VAB8" s="3434"/>
      <c r="VAC8" s="3434"/>
      <c r="VAD8" s="3434"/>
      <c r="VAE8" s="3434"/>
      <c r="VAF8" s="3434"/>
      <c r="VAG8" s="3434"/>
      <c r="VAH8" s="3434"/>
      <c r="VAI8" s="3434"/>
      <c r="VAJ8" s="3434"/>
      <c r="VAK8" s="3434"/>
      <c r="VAL8" s="3434"/>
      <c r="VAM8" s="3434"/>
      <c r="VAN8" s="3434"/>
      <c r="VAO8" s="3434"/>
      <c r="VAP8" s="3434"/>
      <c r="VAQ8" s="3434"/>
      <c r="VAR8" s="3434"/>
      <c r="VAS8" s="3434"/>
      <c r="VAT8" s="3434"/>
      <c r="VAU8" s="3434"/>
      <c r="VAV8" s="3434"/>
      <c r="VAW8" s="3434"/>
      <c r="VAX8" s="3434"/>
      <c r="VAY8" s="3434"/>
      <c r="VAZ8" s="3434"/>
      <c r="VBA8" s="3434"/>
      <c r="VBB8" s="3434"/>
      <c r="VBC8" s="3434"/>
      <c r="VBD8" s="3434"/>
      <c r="VBE8" s="3434"/>
      <c r="VBF8" s="3434"/>
      <c r="VBG8" s="3434"/>
      <c r="VBH8" s="3434"/>
      <c r="VBI8" s="3434"/>
      <c r="VBJ8" s="3434"/>
      <c r="VBK8" s="3434"/>
      <c r="VBL8" s="3434"/>
      <c r="VBM8" s="3434"/>
      <c r="VBN8" s="3434"/>
      <c r="VBO8" s="3434"/>
      <c r="VBP8" s="3434"/>
      <c r="VBQ8" s="3434"/>
      <c r="VBR8" s="3434"/>
      <c r="VBS8" s="3434"/>
      <c r="VBT8" s="3434"/>
      <c r="VBU8" s="3434"/>
      <c r="VBV8" s="3434"/>
      <c r="VBW8" s="3434"/>
      <c r="VBX8" s="3434"/>
      <c r="VBY8" s="3434"/>
      <c r="VBZ8" s="3434"/>
      <c r="VCA8" s="3434"/>
      <c r="VCB8" s="3434"/>
      <c r="VCC8" s="3434"/>
      <c r="VCD8" s="3434"/>
      <c r="VCE8" s="3434"/>
      <c r="VCF8" s="3434"/>
      <c r="VCG8" s="3434"/>
      <c r="VCH8" s="3434"/>
      <c r="VCI8" s="3434"/>
      <c r="VCJ8" s="3434"/>
      <c r="VCK8" s="3434"/>
      <c r="VCL8" s="3434"/>
      <c r="VCM8" s="3434"/>
      <c r="VCN8" s="3434"/>
      <c r="VCO8" s="3434"/>
      <c r="VCP8" s="3434"/>
      <c r="VCQ8" s="3434"/>
      <c r="VCR8" s="3434"/>
      <c r="VCS8" s="3434"/>
      <c r="VCT8" s="3434"/>
      <c r="VCU8" s="3434"/>
      <c r="VCV8" s="3434"/>
      <c r="VCW8" s="3434"/>
      <c r="VCX8" s="3434"/>
      <c r="VCY8" s="3434"/>
      <c r="VCZ8" s="3434"/>
      <c r="VDA8" s="3434"/>
      <c r="VDB8" s="3434"/>
      <c r="VDC8" s="3434"/>
      <c r="VDD8" s="3434"/>
      <c r="VDE8" s="3434"/>
      <c r="VDF8" s="3434"/>
      <c r="VDG8" s="3434"/>
      <c r="VDH8" s="3434"/>
      <c r="VDI8" s="3434"/>
      <c r="VDJ8" s="3434"/>
      <c r="VDK8" s="3434"/>
      <c r="VDL8" s="3434"/>
      <c r="VDM8" s="3434"/>
      <c r="VDN8" s="3434"/>
      <c r="VDO8" s="3434"/>
      <c r="VDP8" s="3434"/>
      <c r="VDQ8" s="3434"/>
      <c r="VDR8" s="3434"/>
      <c r="VDS8" s="3434"/>
      <c r="VDT8" s="3434"/>
      <c r="VDU8" s="3434"/>
      <c r="VDV8" s="3434"/>
      <c r="VDW8" s="3434"/>
      <c r="VDX8" s="3434"/>
      <c r="VDY8" s="3434"/>
      <c r="VDZ8" s="3434"/>
      <c r="VEA8" s="3434"/>
      <c r="VEB8" s="3434"/>
      <c r="VEC8" s="3434"/>
      <c r="VED8" s="3434"/>
      <c r="VEE8" s="3434"/>
      <c r="VEF8" s="3434"/>
      <c r="VEG8" s="3434"/>
      <c r="VEH8" s="3434"/>
      <c r="VEI8" s="3434"/>
      <c r="VEJ8" s="3434"/>
      <c r="VEK8" s="3434"/>
      <c r="VEL8" s="3434"/>
      <c r="VEM8" s="3434"/>
      <c r="VEN8" s="3434"/>
      <c r="VEO8" s="3434"/>
      <c r="VEP8" s="3434"/>
      <c r="VEQ8" s="3434"/>
      <c r="VER8" s="3434"/>
      <c r="VES8" s="3434"/>
      <c r="VET8" s="3434"/>
      <c r="VEU8" s="3434"/>
      <c r="VEV8" s="3434"/>
      <c r="VEW8" s="3434"/>
      <c r="VEX8" s="3434"/>
      <c r="VEY8" s="3434"/>
      <c r="VEZ8" s="3434"/>
      <c r="VFA8" s="3434"/>
      <c r="VFB8" s="3434"/>
      <c r="VFC8" s="3434"/>
      <c r="VFD8" s="3434"/>
      <c r="VFE8" s="3434"/>
      <c r="VFF8" s="3434"/>
      <c r="VFG8" s="3434"/>
      <c r="VFH8" s="3434"/>
      <c r="VFI8" s="3434"/>
      <c r="VFJ8" s="3434"/>
      <c r="VFK8" s="3434"/>
      <c r="VFL8" s="3434"/>
      <c r="VFM8" s="3434"/>
      <c r="VFN8" s="3434"/>
      <c r="VFO8" s="3434"/>
      <c r="VFP8" s="3434"/>
      <c r="VFQ8" s="3434"/>
      <c r="VFR8" s="3434"/>
      <c r="VFS8" s="3434"/>
      <c r="VFT8" s="3434"/>
      <c r="VFU8" s="3434"/>
      <c r="VFV8" s="3434"/>
      <c r="VFW8" s="3434"/>
      <c r="VFX8" s="3434"/>
      <c r="VFY8" s="3434"/>
      <c r="VFZ8" s="3434"/>
      <c r="VGA8" s="3434"/>
      <c r="VGB8" s="3434"/>
      <c r="VGC8" s="3434"/>
      <c r="VGD8" s="3434"/>
      <c r="VGE8" s="3434"/>
      <c r="VGF8" s="3434"/>
      <c r="VGG8" s="3434"/>
      <c r="VGH8" s="3434"/>
      <c r="VGI8" s="3434"/>
      <c r="VGJ8" s="3434"/>
      <c r="VGK8" s="3434"/>
      <c r="VGL8" s="3434"/>
      <c r="VGM8" s="3434"/>
      <c r="VGN8" s="3434"/>
      <c r="VGO8" s="3434"/>
      <c r="VGP8" s="3434"/>
      <c r="VGQ8" s="3434"/>
      <c r="VGR8" s="3434"/>
      <c r="VGS8" s="3434"/>
      <c r="VGT8" s="3434"/>
      <c r="VGU8" s="3434"/>
      <c r="VGV8" s="3434"/>
      <c r="VGW8" s="3434"/>
      <c r="VGX8" s="3434"/>
      <c r="VGY8" s="3434"/>
      <c r="VGZ8" s="3434"/>
      <c r="VHA8" s="3434"/>
      <c r="VHB8" s="3434"/>
      <c r="VHC8" s="3434"/>
      <c r="VHD8" s="3434"/>
      <c r="VHE8" s="3434"/>
      <c r="VHF8" s="3434"/>
      <c r="VHG8" s="3434"/>
      <c r="VHH8" s="3434"/>
      <c r="VHI8" s="3434"/>
      <c r="VHJ8" s="3434"/>
      <c r="VHK8" s="3434"/>
      <c r="VHL8" s="3434"/>
      <c r="VHM8" s="3434"/>
      <c r="VHN8" s="3434"/>
      <c r="VHO8" s="3434"/>
      <c r="VHP8" s="3434"/>
      <c r="VHQ8" s="3434"/>
      <c r="VHR8" s="3434"/>
      <c r="VHS8" s="3434"/>
      <c r="VHT8" s="3434"/>
      <c r="VHU8" s="3434"/>
      <c r="VHV8" s="3434"/>
      <c r="VHW8" s="3434"/>
      <c r="VHX8" s="3434"/>
      <c r="VHY8" s="3434"/>
      <c r="VHZ8" s="3434"/>
      <c r="VIA8" s="3434"/>
      <c r="VIB8" s="3434"/>
      <c r="VIC8" s="3434"/>
      <c r="VID8" s="3434"/>
      <c r="VIE8" s="3434"/>
      <c r="VIF8" s="3434"/>
      <c r="VIG8" s="3434"/>
      <c r="VIH8" s="3434"/>
      <c r="VII8" s="3434"/>
      <c r="VIJ8" s="3434"/>
      <c r="VIK8" s="3434"/>
      <c r="VIL8" s="3434"/>
      <c r="VIM8" s="3434"/>
      <c r="VIN8" s="3434"/>
      <c r="VIO8" s="3434"/>
      <c r="VIP8" s="3434"/>
      <c r="VIQ8" s="3434"/>
      <c r="VIR8" s="3434"/>
      <c r="VIS8" s="3434"/>
      <c r="VIT8" s="3434"/>
      <c r="VIU8" s="3434"/>
      <c r="VIV8" s="3434"/>
      <c r="VIW8" s="3434"/>
      <c r="VIX8" s="3434"/>
      <c r="VIY8" s="3434"/>
      <c r="VIZ8" s="3434"/>
      <c r="VJA8" s="3434"/>
      <c r="VJB8" s="3434"/>
      <c r="VJC8" s="3434"/>
      <c r="VJD8" s="3434"/>
      <c r="VJE8" s="3434"/>
      <c r="VJF8" s="3434"/>
      <c r="VJG8" s="3434"/>
      <c r="VJH8" s="3434"/>
      <c r="VJI8" s="3434"/>
      <c r="VJJ8" s="3434"/>
      <c r="VJK8" s="3434"/>
      <c r="VJL8" s="3434"/>
      <c r="VJM8" s="3434"/>
      <c r="VJN8" s="3434"/>
      <c r="VJO8" s="3434"/>
      <c r="VJP8" s="3434"/>
      <c r="VJQ8" s="3434"/>
      <c r="VJR8" s="3434"/>
      <c r="VJS8" s="3434"/>
      <c r="VJT8" s="3434"/>
      <c r="VJU8" s="3434"/>
      <c r="VJV8" s="3434"/>
      <c r="VJW8" s="3434"/>
      <c r="VJX8" s="3434"/>
      <c r="VJY8" s="3434"/>
      <c r="VJZ8" s="3434"/>
      <c r="VKA8" s="3434"/>
      <c r="VKB8" s="3434"/>
      <c r="VKC8" s="3434"/>
      <c r="VKD8" s="3434"/>
      <c r="VKE8" s="3434"/>
      <c r="VKF8" s="3434"/>
      <c r="VKG8" s="3434"/>
      <c r="VKH8" s="3434"/>
      <c r="VKI8" s="3434"/>
      <c r="VKJ8" s="3434"/>
      <c r="VKK8" s="3434"/>
      <c r="VKL8" s="3434"/>
      <c r="VKM8" s="3434"/>
      <c r="VKN8" s="3434"/>
      <c r="VKO8" s="3434"/>
      <c r="VKP8" s="3434"/>
      <c r="VKQ8" s="3434"/>
      <c r="VKR8" s="3434"/>
      <c r="VKS8" s="3434"/>
      <c r="VKT8" s="3434"/>
      <c r="VKU8" s="3434"/>
      <c r="VKV8" s="3434"/>
      <c r="VKW8" s="3434"/>
      <c r="VKX8" s="3434"/>
      <c r="VKY8" s="3434"/>
      <c r="VKZ8" s="3434"/>
      <c r="VLA8" s="3434"/>
      <c r="VLB8" s="3434"/>
      <c r="VLC8" s="3434"/>
      <c r="VLD8" s="3434"/>
      <c r="VLE8" s="3434"/>
      <c r="VLF8" s="3434"/>
      <c r="VLG8" s="3434"/>
      <c r="VLH8" s="3434"/>
      <c r="VLI8" s="3434"/>
      <c r="VLJ8" s="3434"/>
      <c r="VLK8" s="3434"/>
      <c r="VLL8" s="3434"/>
      <c r="VLM8" s="3434"/>
      <c r="VLN8" s="3434"/>
      <c r="VLO8" s="3434"/>
      <c r="VLP8" s="3434"/>
      <c r="VLQ8" s="3434"/>
      <c r="VLR8" s="3434"/>
      <c r="VLS8" s="3434"/>
      <c r="VLT8" s="3434"/>
      <c r="VLU8" s="3434"/>
      <c r="VLV8" s="3434"/>
      <c r="VLW8" s="3434"/>
      <c r="VLX8" s="3434"/>
      <c r="VLY8" s="3434"/>
      <c r="VLZ8" s="3434"/>
      <c r="VMA8" s="3434"/>
      <c r="VMB8" s="3434"/>
      <c r="VMC8" s="3434"/>
      <c r="VMD8" s="3434"/>
      <c r="VME8" s="3434"/>
      <c r="VMF8" s="3434"/>
      <c r="VMG8" s="3434"/>
      <c r="VMH8" s="3434"/>
      <c r="VMI8" s="3434"/>
      <c r="VMJ8" s="3434"/>
      <c r="VMK8" s="3434"/>
      <c r="VML8" s="3434"/>
      <c r="VMM8" s="3434"/>
      <c r="VMN8" s="3434"/>
      <c r="VMO8" s="3434"/>
      <c r="VMP8" s="3434"/>
      <c r="VMQ8" s="3434"/>
      <c r="VMR8" s="3434"/>
      <c r="VMS8" s="3434"/>
      <c r="VMT8" s="3434"/>
      <c r="VMU8" s="3434"/>
      <c r="VMV8" s="3434"/>
      <c r="VMW8" s="3434"/>
      <c r="VMX8" s="3434"/>
      <c r="VMY8" s="3434"/>
      <c r="VMZ8" s="3434"/>
      <c r="VNA8" s="3434"/>
      <c r="VNB8" s="3434"/>
      <c r="VNC8" s="3434"/>
      <c r="VND8" s="3434"/>
      <c r="VNE8" s="3434"/>
      <c r="VNF8" s="3434"/>
      <c r="VNG8" s="3434"/>
      <c r="VNH8" s="3434"/>
      <c r="VNI8" s="3434"/>
      <c r="VNJ8" s="3434"/>
      <c r="VNK8" s="3434"/>
      <c r="VNL8" s="3434"/>
      <c r="VNM8" s="3434"/>
      <c r="VNN8" s="3434"/>
      <c r="VNO8" s="3434"/>
      <c r="VNP8" s="3434"/>
      <c r="VNQ8" s="3434"/>
      <c r="VNR8" s="3434"/>
      <c r="VNS8" s="3434"/>
      <c r="VNT8" s="3434"/>
      <c r="VNU8" s="3434"/>
      <c r="VNV8" s="3434"/>
      <c r="VNW8" s="3434"/>
      <c r="VNX8" s="3434"/>
      <c r="VNY8" s="3434"/>
      <c r="VNZ8" s="3434"/>
      <c r="VOA8" s="3434"/>
      <c r="VOB8" s="3434"/>
      <c r="VOC8" s="3434"/>
      <c r="VOD8" s="3434"/>
      <c r="VOE8" s="3434"/>
      <c r="VOF8" s="3434"/>
      <c r="VOG8" s="3434"/>
      <c r="VOH8" s="3434"/>
      <c r="VOI8" s="3434"/>
      <c r="VOJ8" s="3434"/>
      <c r="VOK8" s="3434"/>
      <c r="VOL8" s="3434"/>
      <c r="VOM8" s="3434"/>
      <c r="VON8" s="3434"/>
      <c r="VOO8" s="3434"/>
      <c r="VOP8" s="3434"/>
      <c r="VOQ8" s="3434"/>
      <c r="VOR8" s="3434"/>
      <c r="VOS8" s="3434"/>
      <c r="VOT8" s="3434"/>
      <c r="VOU8" s="3434"/>
      <c r="VOV8" s="3434"/>
      <c r="VOW8" s="3434"/>
      <c r="VOX8" s="3434"/>
      <c r="VOY8" s="3434"/>
      <c r="VOZ8" s="3434"/>
      <c r="VPA8" s="3434"/>
      <c r="VPB8" s="3434"/>
      <c r="VPC8" s="3434"/>
      <c r="VPD8" s="3434"/>
      <c r="VPE8" s="3434"/>
      <c r="VPF8" s="3434"/>
      <c r="VPG8" s="3434"/>
      <c r="VPH8" s="3434"/>
      <c r="VPI8" s="3434"/>
      <c r="VPJ8" s="3434"/>
      <c r="VPK8" s="3434"/>
      <c r="VPL8" s="3434"/>
      <c r="VPM8" s="3434"/>
      <c r="VPN8" s="3434"/>
      <c r="VPO8" s="3434"/>
      <c r="VPP8" s="3434"/>
      <c r="VPQ8" s="3434"/>
      <c r="VPR8" s="3434"/>
      <c r="VPS8" s="3434"/>
      <c r="VPT8" s="3434"/>
      <c r="VPU8" s="3434"/>
      <c r="VPV8" s="3434"/>
      <c r="VPW8" s="3434"/>
      <c r="VPX8" s="3434"/>
      <c r="VPY8" s="3434"/>
      <c r="VPZ8" s="3434"/>
      <c r="VQA8" s="3434"/>
      <c r="VQB8" s="3434"/>
      <c r="VQC8" s="3434"/>
      <c r="VQD8" s="3434"/>
      <c r="VQE8" s="3434"/>
      <c r="VQF8" s="3434"/>
      <c r="VQG8" s="3434"/>
      <c r="VQH8" s="3434"/>
      <c r="VQI8" s="3434"/>
      <c r="VQJ8" s="3434"/>
      <c r="VQK8" s="3434"/>
      <c r="VQL8" s="3434"/>
      <c r="VQM8" s="3434"/>
      <c r="VQN8" s="3434"/>
      <c r="VQO8" s="3434"/>
      <c r="VQP8" s="3434"/>
      <c r="VQQ8" s="3434"/>
      <c r="VQR8" s="3434"/>
      <c r="VQS8" s="3434"/>
      <c r="VQT8" s="3434"/>
      <c r="VQU8" s="3434"/>
      <c r="VQV8" s="3434"/>
      <c r="VQW8" s="3434"/>
      <c r="VQX8" s="3434"/>
      <c r="VQY8" s="3434"/>
      <c r="VQZ8" s="3434"/>
      <c r="VRA8" s="3434"/>
      <c r="VRB8" s="3434"/>
      <c r="VRC8" s="3434"/>
      <c r="VRD8" s="3434"/>
      <c r="VRE8" s="3434"/>
      <c r="VRF8" s="3434"/>
      <c r="VRG8" s="3434"/>
      <c r="VRH8" s="3434"/>
      <c r="VRI8" s="3434"/>
      <c r="VRJ8" s="3434"/>
      <c r="VRK8" s="3434"/>
      <c r="VRL8" s="3434"/>
      <c r="VRM8" s="3434"/>
      <c r="VRN8" s="3434"/>
      <c r="VRO8" s="3434"/>
      <c r="VRP8" s="3434"/>
      <c r="VRQ8" s="3434"/>
      <c r="VRR8" s="3434"/>
      <c r="VRS8" s="3434"/>
      <c r="VRT8" s="3434"/>
      <c r="VRU8" s="3434"/>
      <c r="VRV8" s="3434"/>
      <c r="VRW8" s="3434"/>
      <c r="VRX8" s="3434"/>
      <c r="VRY8" s="3434"/>
      <c r="VRZ8" s="3434"/>
      <c r="VSA8" s="3434"/>
      <c r="VSB8" s="3434"/>
      <c r="VSC8" s="3434"/>
      <c r="VSD8" s="3434"/>
      <c r="VSE8" s="3434"/>
      <c r="VSF8" s="3434"/>
      <c r="VSG8" s="3434"/>
      <c r="VSH8" s="3434"/>
      <c r="VSI8" s="3434"/>
      <c r="VSJ8" s="3434"/>
      <c r="VSK8" s="3434"/>
      <c r="VSL8" s="3434"/>
      <c r="VSM8" s="3434"/>
      <c r="VSN8" s="3434"/>
      <c r="VSO8" s="3434"/>
      <c r="VSP8" s="3434"/>
      <c r="VSQ8" s="3434"/>
      <c r="VSR8" s="3434"/>
      <c r="VSS8" s="3434"/>
      <c r="VST8" s="3434"/>
      <c r="VSU8" s="3434"/>
      <c r="VSV8" s="3434"/>
      <c r="VSW8" s="3434"/>
      <c r="VSX8" s="3434"/>
      <c r="VSY8" s="3434"/>
      <c r="VSZ8" s="3434"/>
      <c r="VTA8" s="3434"/>
      <c r="VTB8" s="3434"/>
      <c r="VTC8" s="3434"/>
      <c r="VTD8" s="3434"/>
      <c r="VTE8" s="3434"/>
      <c r="VTF8" s="3434"/>
      <c r="VTG8" s="3434"/>
      <c r="VTH8" s="3434"/>
      <c r="VTI8" s="3434"/>
      <c r="VTJ8" s="3434"/>
      <c r="VTK8" s="3434"/>
      <c r="VTL8" s="3434"/>
      <c r="VTM8" s="3434"/>
      <c r="VTN8" s="3434"/>
      <c r="VTO8" s="3434"/>
      <c r="VTP8" s="3434"/>
      <c r="VTQ8" s="3434"/>
      <c r="VTR8" s="3434"/>
      <c r="VTS8" s="3434"/>
      <c r="VTT8" s="3434"/>
      <c r="VTU8" s="3434"/>
      <c r="VTV8" s="3434"/>
      <c r="VTW8" s="3434"/>
      <c r="VTX8" s="3434"/>
      <c r="VTY8" s="3434"/>
      <c r="VTZ8" s="3434"/>
      <c r="VUA8" s="3434"/>
      <c r="VUB8" s="3434"/>
      <c r="VUC8" s="3434"/>
      <c r="VUD8" s="3434"/>
      <c r="VUE8" s="3434"/>
      <c r="VUF8" s="3434"/>
      <c r="VUG8" s="3434"/>
      <c r="VUH8" s="3434"/>
      <c r="VUI8" s="3434"/>
      <c r="VUJ8" s="3434"/>
      <c r="VUK8" s="3434"/>
      <c r="VUL8" s="3434"/>
      <c r="VUM8" s="3434"/>
      <c r="VUN8" s="3434"/>
      <c r="VUO8" s="3434"/>
      <c r="VUP8" s="3434"/>
      <c r="VUQ8" s="3434"/>
      <c r="VUR8" s="3434"/>
      <c r="VUS8" s="3434"/>
      <c r="VUT8" s="3434"/>
      <c r="VUU8" s="3434"/>
      <c r="VUV8" s="3434"/>
      <c r="VUW8" s="3434"/>
      <c r="VUX8" s="3434"/>
      <c r="VUY8" s="3434"/>
      <c r="VUZ8" s="3434"/>
      <c r="VVA8" s="3434"/>
      <c r="VVB8" s="3434"/>
      <c r="VVC8" s="3434"/>
      <c r="VVD8" s="3434"/>
      <c r="VVE8" s="3434"/>
      <c r="VVF8" s="3434"/>
      <c r="VVG8" s="3434"/>
      <c r="VVH8" s="3434"/>
      <c r="VVI8" s="3434"/>
      <c r="VVJ8" s="3434"/>
      <c r="VVK8" s="3434"/>
      <c r="VVL8" s="3434"/>
      <c r="VVM8" s="3434"/>
      <c r="VVN8" s="3434"/>
      <c r="VVO8" s="3434"/>
      <c r="VVP8" s="3434"/>
      <c r="VVQ8" s="3434"/>
      <c r="VVR8" s="3434"/>
      <c r="VVS8" s="3434"/>
      <c r="VVT8" s="3434"/>
      <c r="VVU8" s="3434"/>
      <c r="VVV8" s="3434"/>
      <c r="VVW8" s="3434"/>
      <c r="VVX8" s="3434"/>
      <c r="VVY8" s="3434"/>
      <c r="VVZ8" s="3434"/>
      <c r="VWA8" s="3434"/>
      <c r="VWB8" s="3434"/>
      <c r="VWC8" s="3434"/>
      <c r="VWD8" s="3434"/>
      <c r="VWE8" s="3434"/>
      <c r="VWF8" s="3434"/>
      <c r="VWG8" s="3434"/>
      <c r="VWH8" s="3434"/>
      <c r="VWI8" s="3434"/>
      <c r="VWJ8" s="3434"/>
      <c r="VWK8" s="3434"/>
      <c r="VWL8" s="3434"/>
      <c r="VWM8" s="3434"/>
      <c r="VWN8" s="3434"/>
      <c r="VWO8" s="3434"/>
      <c r="VWP8" s="3434"/>
      <c r="VWQ8" s="3434"/>
      <c r="VWR8" s="3434"/>
      <c r="VWS8" s="3434"/>
      <c r="VWT8" s="3434"/>
      <c r="VWU8" s="3434"/>
      <c r="VWV8" s="3434"/>
      <c r="VWW8" s="3434"/>
      <c r="VWX8" s="3434"/>
      <c r="VWY8" s="3434"/>
      <c r="VWZ8" s="3434"/>
      <c r="VXA8" s="3434"/>
      <c r="VXB8" s="3434"/>
      <c r="VXC8" s="3434"/>
      <c r="VXD8" s="3434"/>
      <c r="VXE8" s="3434"/>
      <c r="VXF8" s="3434"/>
      <c r="VXG8" s="3434"/>
      <c r="VXH8" s="3434"/>
      <c r="VXI8" s="3434"/>
      <c r="VXJ8" s="3434"/>
      <c r="VXK8" s="3434"/>
      <c r="VXL8" s="3434"/>
      <c r="VXM8" s="3434"/>
      <c r="VXN8" s="3434"/>
      <c r="VXO8" s="3434"/>
      <c r="VXP8" s="3434"/>
      <c r="VXQ8" s="3434"/>
      <c r="VXR8" s="3434"/>
      <c r="VXS8" s="3434"/>
      <c r="VXT8" s="3434"/>
      <c r="VXU8" s="3434"/>
      <c r="VXV8" s="3434"/>
      <c r="VXW8" s="3434"/>
      <c r="VXX8" s="3434"/>
      <c r="VXY8" s="3434"/>
      <c r="VXZ8" s="3434"/>
      <c r="VYA8" s="3434"/>
      <c r="VYB8" s="3434"/>
      <c r="VYC8" s="3434"/>
      <c r="VYD8" s="3434"/>
      <c r="VYE8" s="3434"/>
      <c r="VYF8" s="3434"/>
      <c r="VYG8" s="3434"/>
      <c r="VYH8" s="3434"/>
      <c r="VYI8" s="3434"/>
      <c r="VYJ8" s="3434"/>
      <c r="VYK8" s="3434"/>
      <c r="VYL8" s="3434"/>
      <c r="VYM8" s="3434"/>
      <c r="VYN8" s="3434"/>
      <c r="VYO8" s="3434"/>
      <c r="VYP8" s="3434"/>
      <c r="VYQ8" s="3434"/>
      <c r="VYR8" s="3434"/>
      <c r="VYS8" s="3434"/>
      <c r="VYT8" s="3434"/>
      <c r="VYU8" s="3434"/>
      <c r="VYV8" s="3434"/>
      <c r="VYW8" s="3434"/>
      <c r="VYX8" s="3434"/>
      <c r="VYY8" s="3434"/>
      <c r="VYZ8" s="3434"/>
      <c r="VZA8" s="3434"/>
      <c r="VZB8" s="3434"/>
      <c r="VZC8" s="3434"/>
      <c r="VZD8" s="3434"/>
      <c r="VZE8" s="3434"/>
      <c r="VZF8" s="3434"/>
      <c r="VZG8" s="3434"/>
      <c r="VZH8" s="3434"/>
      <c r="VZI8" s="3434"/>
      <c r="VZJ8" s="3434"/>
      <c r="VZK8" s="3434"/>
      <c r="VZL8" s="3434"/>
      <c r="VZM8" s="3434"/>
      <c r="VZN8" s="3434"/>
      <c r="VZO8" s="3434"/>
      <c r="VZP8" s="3434"/>
      <c r="VZQ8" s="3434"/>
      <c r="VZR8" s="3434"/>
      <c r="VZS8" s="3434"/>
      <c r="VZT8" s="3434"/>
      <c r="VZU8" s="3434"/>
      <c r="VZV8" s="3434"/>
      <c r="VZW8" s="3434"/>
      <c r="VZX8" s="3434"/>
      <c r="VZY8" s="3434"/>
      <c r="VZZ8" s="3434"/>
      <c r="WAA8" s="3434"/>
      <c r="WAB8" s="3434"/>
      <c r="WAC8" s="3434"/>
      <c r="WAD8" s="3434"/>
      <c r="WAE8" s="3434"/>
      <c r="WAF8" s="3434"/>
      <c r="WAG8" s="3434"/>
      <c r="WAH8" s="3434"/>
      <c r="WAI8" s="3434"/>
      <c r="WAJ8" s="3434"/>
      <c r="WAK8" s="3434"/>
      <c r="WAL8" s="3434"/>
      <c r="WAM8" s="3434"/>
      <c r="WAN8" s="3434"/>
      <c r="WAO8" s="3434"/>
      <c r="WAP8" s="3434"/>
      <c r="WAQ8" s="3434"/>
      <c r="WAR8" s="3434"/>
      <c r="WAS8" s="3434"/>
      <c r="WAT8" s="3434"/>
      <c r="WAU8" s="3434"/>
      <c r="WAV8" s="3434"/>
      <c r="WAW8" s="3434"/>
      <c r="WAX8" s="3434"/>
      <c r="WAY8" s="3434"/>
      <c r="WAZ8" s="3434"/>
      <c r="WBA8" s="3434"/>
      <c r="WBB8" s="3434"/>
      <c r="WBC8" s="3434"/>
      <c r="WBD8" s="3434"/>
      <c r="WBE8" s="3434"/>
      <c r="WBF8" s="3434"/>
      <c r="WBG8" s="3434"/>
      <c r="WBH8" s="3434"/>
      <c r="WBI8" s="3434"/>
      <c r="WBJ8" s="3434"/>
      <c r="WBK8" s="3434"/>
      <c r="WBL8" s="3434"/>
      <c r="WBM8" s="3434"/>
      <c r="WBN8" s="3434"/>
      <c r="WBO8" s="3434"/>
      <c r="WBP8" s="3434"/>
      <c r="WBQ8" s="3434"/>
      <c r="WBR8" s="3434"/>
      <c r="WBS8" s="3434"/>
      <c r="WBT8" s="3434"/>
      <c r="WBU8" s="3434"/>
      <c r="WBV8" s="3434"/>
      <c r="WBW8" s="3434"/>
      <c r="WBX8" s="3434"/>
      <c r="WBY8" s="3434"/>
      <c r="WBZ8" s="3434"/>
      <c r="WCA8" s="3434"/>
      <c r="WCB8" s="3434"/>
      <c r="WCC8" s="3434"/>
      <c r="WCD8" s="3434"/>
      <c r="WCE8" s="3434"/>
      <c r="WCF8" s="3434"/>
      <c r="WCG8" s="3434"/>
      <c r="WCH8" s="3434"/>
      <c r="WCI8" s="3434"/>
      <c r="WCJ8" s="3434"/>
      <c r="WCK8" s="3434"/>
      <c r="WCL8" s="3434"/>
      <c r="WCM8" s="3434"/>
      <c r="WCN8" s="3434"/>
      <c r="WCO8" s="3434"/>
      <c r="WCP8" s="3434"/>
      <c r="WCQ8" s="3434"/>
      <c r="WCR8" s="3434"/>
      <c r="WCS8" s="3434"/>
      <c r="WCT8" s="3434"/>
      <c r="WCU8" s="3434"/>
      <c r="WCV8" s="3434"/>
      <c r="WCW8" s="3434"/>
      <c r="WCX8" s="3434"/>
      <c r="WCY8" s="3434"/>
      <c r="WCZ8" s="3434"/>
      <c r="WDA8" s="3434"/>
      <c r="WDB8" s="3434"/>
      <c r="WDC8" s="3434"/>
      <c r="WDD8" s="3434"/>
      <c r="WDE8" s="3434"/>
      <c r="WDF8" s="3434"/>
      <c r="WDG8" s="3434"/>
      <c r="WDH8" s="3434"/>
      <c r="WDI8" s="3434"/>
      <c r="WDJ8" s="3434"/>
      <c r="WDK8" s="3434"/>
      <c r="WDL8" s="3434"/>
      <c r="WDM8" s="3434"/>
      <c r="WDN8" s="3434"/>
      <c r="WDO8" s="3434"/>
      <c r="WDP8" s="3434"/>
      <c r="WDQ8" s="3434"/>
      <c r="WDR8" s="3434"/>
      <c r="WDS8" s="3434"/>
      <c r="WDT8" s="3434"/>
      <c r="WDU8" s="3434"/>
      <c r="WDV8" s="3434"/>
      <c r="WDW8" s="3434"/>
      <c r="WDX8" s="3434"/>
      <c r="WDY8" s="3434"/>
      <c r="WDZ8" s="3434"/>
      <c r="WEA8" s="3434"/>
      <c r="WEB8" s="3434"/>
      <c r="WEC8" s="3434"/>
      <c r="WED8" s="3434"/>
      <c r="WEE8" s="3434"/>
      <c r="WEF8" s="3434"/>
      <c r="WEG8" s="3434"/>
      <c r="WEH8" s="3434"/>
      <c r="WEI8" s="3434"/>
      <c r="WEJ8" s="3434"/>
      <c r="WEK8" s="3434"/>
      <c r="WEL8" s="3434"/>
      <c r="WEM8" s="3434"/>
      <c r="WEN8" s="3434"/>
      <c r="WEO8" s="3434"/>
      <c r="WEP8" s="3434"/>
      <c r="WEQ8" s="3434"/>
      <c r="WER8" s="3434"/>
      <c r="WES8" s="3434"/>
      <c r="WET8" s="3434"/>
      <c r="WEU8" s="3434"/>
      <c r="WEV8" s="3434"/>
      <c r="WEW8" s="3434"/>
      <c r="WEX8" s="3434"/>
      <c r="WEY8" s="3434"/>
      <c r="WEZ8" s="3434"/>
      <c r="WFA8" s="3434"/>
      <c r="WFB8" s="3434"/>
      <c r="WFC8" s="3434"/>
      <c r="WFD8" s="3434"/>
      <c r="WFE8" s="3434"/>
      <c r="WFF8" s="3434"/>
      <c r="WFG8" s="3434"/>
      <c r="WFH8" s="3434"/>
      <c r="WFI8" s="3434"/>
      <c r="WFJ8" s="3434"/>
      <c r="WFK8" s="3434"/>
      <c r="WFL8" s="3434"/>
      <c r="WFM8" s="3434"/>
      <c r="WFN8" s="3434"/>
      <c r="WFO8" s="3434"/>
      <c r="WFP8" s="3434"/>
      <c r="WFQ8" s="3434"/>
      <c r="WFR8" s="3434"/>
      <c r="WFS8" s="3434"/>
      <c r="WFT8" s="3434"/>
      <c r="WFU8" s="3434"/>
      <c r="WFV8" s="3434"/>
      <c r="WFW8" s="3434"/>
      <c r="WFX8" s="3434"/>
      <c r="WFY8" s="3434"/>
      <c r="WFZ8" s="3434"/>
      <c r="WGA8" s="3434"/>
      <c r="WGB8" s="3434"/>
      <c r="WGC8" s="3434"/>
      <c r="WGD8" s="3434"/>
      <c r="WGE8" s="3434"/>
      <c r="WGF8" s="3434"/>
      <c r="WGG8" s="3434"/>
      <c r="WGH8" s="3434"/>
      <c r="WGI8" s="3434"/>
      <c r="WGJ8" s="3434"/>
      <c r="WGK8" s="3434"/>
      <c r="WGL8" s="3434"/>
      <c r="WGM8" s="3434"/>
      <c r="WGN8" s="3434"/>
      <c r="WGO8" s="3434"/>
      <c r="WGP8" s="3434"/>
      <c r="WGQ8" s="3434"/>
      <c r="WGR8" s="3434"/>
      <c r="WGS8" s="3434"/>
      <c r="WGT8" s="3434"/>
      <c r="WGU8" s="3434"/>
      <c r="WGV8" s="3434"/>
      <c r="WGW8" s="3434"/>
      <c r="WGX8" s="3434"/>
      <c r="WGY8" s="3434"/>
      <c r="WGZ8" s="3434"/>
      <c r="WHA8" s="3434"/>
      <c r="WHB8" s="3434"/>
      <c r="WHC8" s="3434"/>
      <c r="WHD8" s="3434"/>
      <c r="WHE8" s="3434"/>
      <c r="WHF8" s="3434"/>
      <c r="WHG8" s="3434"/>
      <c r="WHH8" s="3434"/>
      <c r="WHI8" s="3434"/>
      <c r="WHJ8" s="3434"/>
      <c r="WHK8" s="3434"/>
      <c r="WHL8" s="3434"/>
      <c r="WHM8" s="3434"/>
      <c r="WHN8" s="3434"/>
      <c r="WHO8" s="3434"/>
      <c r="WHP8" s="3434"/>
      <c r="WHQ8" s="3434"/>
      <c r="WHR8" s="3434"/>
      <c r="WHS8" s="3434"/>
      <c r="WHT8" s="3434"/>
      <c r="WHU8" s="3434"/>
      <c r="WHV8" s="3434"/>
      <c r="WHW8" s="3434"/>
      <c r="WHX8" s="3434"/>
      <c r="WHY8" s="3434"/>
      <c r="WHZ8" s="3434"/>
      <c r="WIA8" s="3434"/>
      <c r="WIB8" s="3434"/>
      <c r="WIC8" s="3434"/>
      <c r="WID8" s="3434"/>
      <c r="WIE8" s="3434"/>
      <c r="WIF8" s="3434"/>
      <c r="WIG8" s="3434"/>
      <c r="WIH8" s="3434"/>
      <c r="WII8" s="3434"/>
      <c r="WIJ8" s="3434"/>
      <c r="WIK8" s="3434"/>
      <c r="WIL8" s="3434"/>
      <c r="WIM8" s="3434"/>
      <c r="WIN8" s="3434"/>
      <c r="WIO8" s="3434"/>
      <c r="WIP8" s="3434"/>
      <c r="WIQ8" s="3434"/>
      <c r="WIR8" s="3434"/>
      <c r="WIS8" s="3434"/>
      <c r="WIT8" s="3434"/>
      <c r="WIU8" s="3434"/>
      <c r="WIV8" s="3434"/>
      <c r="WIW8" s="3434"/>
      <c r="WIX8" s="3434"/>
      <c r="WIY8" s="3434"/>
      <c r="WIZ8" s="3434"/>
      <c r="WJA8" s="3434"/>
      <c r="WJB8" s="3434"/>
      <c r="WJC8" s="3434"/>
      <c r="WJD8" s="3434"/>
      <c r="WJE8" s="3434"/>
      <c r="WJF8" s="3434"/>
      <c r="WJG8" s="3434"/>
      <c r="WJH8" s="3434"/>
      <c r="WJI8" s="3434"/>
      <c r="WJJ8" s="3434"/>
      <c r="WJK8" s="3434"/>
      <c r="WJL8" s="3434"/>
      <c r="WJM8" s="3434"/>
      <c r="WJN8" s="3434"/>
      <c r="WJO8" s="3434"/>
      <c r="WJP8" s="3434"/>
      <c r="WJQ8" s="3434"/>
      <c r="WJR8" s="3434"/>
      <c r="WJS8" s="3434"/>
      <c r="WJT8" s="3434"/>
      <c r="WJU8" s="3434"/>
      <c r="WJV8" s="3434"/>
      <c r="WJW8" s="3434"/>
      <c r="WJX8" s="3434"/>
      <c r="WJY8" s="3434"/>
      <c r="WJZ8" s="3434"/>
      <c r="WKA8" s="3434"/>
      <c r="WKB8" s="3434"/>
      <c r="WKC8" s="3434"/>
      <c r="WKD8" s="3434"/>
      <c r="WKE8" s="3434"/>
      <c r="WKF8" s="3434"/>
      <c r="WKG8" s="3434"/>
      <c r="WKH8" s="3434"/>
      <c r="WKI8" s="3434"/>
      <c r="WKJ8" s="3434"/>
      <c r="WKK8" s="3434"/>
      <c r="WKL8" s="3434"/>
      <c r="WKM8" s="3434"/>
      <c r="WKN8" s="3434"/>
      <c r="WKO8" s="3434"/>
      <c r="WKP8" s="3434"/>
      <c r="WKQ8" s="3434"/>
      <c r="WKR8" s="3434"/>
      <c r="WKS8" s="3434"/>
      <c r="WKT8" s="3434"/>
      <c r="WKU8" s="3434"/>
      <c r="WKV8" s="3434"/>
      <c r="WKW8" s="3434"/>
      <c r="WKX8" s="3434"/>
      <c r="WKY8" s="3434"/>
      <c r="WKZ8" s="3434"/>
      <c r="WLA8" s="3434"/>
      <c r="WLB8" s="3434"/>
      <c r="WLC8" s="3434"/>
      <c r="WLD8" s="3434"/>
      <c r="WLE8" s="3434"/>
      <c r="WLF8" s="3434"/>
      <c r="WLG8" s="3434"/>
      <c r="WLH8" s="3434"/>
      <c r="WLI8" s="3434"/>
      <c r="WLJ8" s="3434"/>
      <c r="WLK8" s="3434"/>
      <c r="WLL8" s="3434"/>
      <c r="WLM8" s="3434"/>
      <c r="WLN8" s="3434"/>
      <c r="WLO8" s="3434"/>
      <c r="WLP8" s="3434"/>
      <c r="WLQ8" s="3434"/>
      <c r="WLR8" s="3434"/>
      <c r="WLS8" s="3434"/>
      <c r="WLT8" s="3434"/>
      <c r="WLU8" s="3434"/>
      <c r="WLV8" s="3434"/>
      <c r="WLW8" s="3434"/>
      <c r="WLX8" s="3434"/>
      <c r="WLY8" s="3434"/>
      <c r="WLZ8" s="3434"/>
      <c r="WMA8" s="3434"/>
      <c r="WMB8" s="3434"/>
      <c r="WMC8" s="3434"/>
      <c r="WMD8" s="3434"/>
      <c r="WME8" s="3434"/>
      <c r="WMF8" s="3434"/>
      <c r="WMG8" s="3434"/>
      <c r="WMH8" s="3434"/>
      <c r="WMI8" s="3434"/>
      <c r="WMJ8" s="3434"/>
      <c r="WMK8" s="3434"/>
      <c r="WML8" s="3434"/>
      <c r="WMM8" s="3434"/>
      <c r="WMN8" s="3434"/>
      <c r="WMO8" s="3434"/>
      <c r="WMP8" s="3434"/>
      <c r="WMQ8" s="3434"/>
      <c r="WMR8" s="3434"/>
      <c r="WMS8" s="3434"/>
      <c r="WMT8" s="3434"/>
      <c r="WMU8" s="3434"/>
      <c r="WMV8" s="3434"/>
      <c r="WMW8" s="3434"/>
      <c r="WMX8" s="3434"/>
      <c r="WMY8" s="3434"/>
      <c r="WMZ8" s="3434"/>
      <c r="WNA8" s="3434"/>
      <c r="WNB8" s="3434"/>
      <c r="WNC8" s="3434"/>
      <c r="WND8" s="3434"/>
      <c r="WNE8" s="3434"/>
      <c r="WNF8" s="3434"/>
      <c r="WNG8" s="3434"/>
      <c r="WNH8" s="3434"/>
      <c r="WNI8" s="3434"/>
      <c r="WNJ8" s="3434"/>
      <c r="WNK8" s="3434"/>
      <c r="WNL8" s="3434"/>
      <c r="WNM8" s="3434"/>
      <c r="WNN8" s="3434"/>
      <c r="WNO8" s="3434"/>
      <c r="WNP8" s="3434"/>
      <c r="WNQ8" s="3434"/>
      <c r="WNR8" s="3434"/>
      <c r="WNS8" s="3434"/>
      <c r="WNT8" s="3434"/>
      <c r="WNU8" s="3434"/>
      <c r="WNV8" s="3434"/>
      <c r="WNW8" s="3434"/>
      <c r="WNX8" s="3434"/>
      <c r="WNY8" s="3434"/>
      <c r="WNZ8" s="3434"/>
      <c r="WOA8" s="3434"/>
      <c r="WOB8" s="3434"/>
      <c r="WOC8" s="3434"/>
      <c r="WOD8" s="3434"/>
      <c r="WOE8" s="3434"/>
      <c r="WOF8" s="3434"/>
      <c r="WOG8" s="3434"/>
      <c r="WOH8" s="3434"/>
      <c r="WOI8" s="3434"/>
      <c r="WOJ8" s="3434"/>
      <c r="WOK8" s="3434"/>
      <c r="WOL8" s="3434"/>
      <c r="WOM8" s="3434"/>
      <c r="WON8" s="3434"/>
      <c r="WOO8" s="3434"/>
      <c r="WOP8" s="3434"/>
      <c r="WOQ8" s="3434"/>
      <c r="WOR8" s="3434"/>
      <c r="WOS8" s="3434"/>
      <c r="WOT8" s="3434"/>
      <c r="WOU8" s="3434"/>
      <c r="WOV8" s="3434"/>
      <c r="WOW8" s="3434"/>
      <c r="WOX8" s="3434"/>
      <c r="WOY8" s="3434"/>
      <c r="WOZ8" s="3434"/>
      <c r="WPA8" s="3434"/>
      <c r="WPB8" s="3434"/>
      <c r="WPC8" s="3434"/>
      <c r="WPD8" s="3434"/>
      <c r="WPE8" s="3434"/>
      <c r="WPF8" s="3434"/>
      <c r="WPG8" s="3434"/>
      <c r="WPH8" s="3434"/>
      <c r="WPI8" s="3434"/>
      <c r="WPJ8" s="3434"/>
      <c r="WPK8" s="3434"/>
      <c r="WPL8" s="3434"/>
      <c r="WPM8" s="3434"/>
      <c r="WPN8" s="3434"/>
      <c r="WPO8" s="3434"/>
      <c r="WPP8" s="3434"/>
      <c r="WPQ8" s="3434"/>
      <c r="WPR8" s="3434"/>
      <c r="WPS8" s="3434"/>
      <c r="WPT8" s="3434"/>
      <c r="WPU8" s="3434"/>
      <c r="WPV8" s="3434"/>
      <c r="WPW8" s="3434"/>
      <c r="WPX8" s="3434"/>
      <c r="WPY8" s="3434"/>
      <c r="WPZ8" s="3434"/>
      <c r="WQA8" s="3434"/>
      <c r="WQB8" s="3434"/>
      <c r="WQC8" s="3434"/>
      <c r="WQD8" s="3434"/>
      <c r="WQE8" s="3434"/>
      <c r="WQF8" s="3434"/>
      <c r="WQG8" s="3434"/>
      <c r="WQH8" s="3434"/>
      <c r="WQI8" s="3434"/>
      <c r="WQJ8" s="3434"/>
      <c r="WQK8" s="3434"/>
      <c r="WQL8" s="3434"/>
      <c r="WQM8" s="3434"/>
      <c r="WQN8" s="3434"/>
      <c r="WQO8" s="3434"/>
      <c r="WQP8" s="3434"/>
      <c r="WQQ8" s="3434"/>
      <c r="WQR8" s="3434"/>
      <c r="WQS8" s="3434"/>
      <c r="WQT8" s="3434"/>
      <c r="WQU8" s="3434"/>
      <c r="WQV8" s="3434"/>
      <c r="WQW8" s="3434"/>
      <c r="WQX8" s="3434"/>
      <c r="WQY8" s="3434"/>
      <c r="WQZ8" s="3434"/>
      <c r="WRA8" s="3434"/>
      <c r="WRB8" s="3434"/>
      <c r="WRC8" s="3434"/>
      <c r="WRD8" s="3434"/>
      <c r="WRE8" s="3434"/>
      <c r="WRF8" s="3434"/>
      <c r="WRG8" s="3434"/>
      <c r="WRH8" s="3434"/>
      <c r="WRI8" s="3434"/>
      <c r="WRJ8" s="3434"/>
      <c r="WRK8" s="3434"/>
      <c r="WRL8" s="3434"/>
      <c r="WRM8" s="3434"/>
      <c r="WRN8" s="3434"/>
      <c r="WRO8" s="3434"/>
      <c r="WRP8" s="3434"/>
      <c r="WRQ8" s="3434"/>
      <c r="WRR8" s="3434"/>
      <c r="WRS8" s="3434"/>
      <c r="WRT8" s="3434"/>
      <c r="WRU8" s="3434"/>
      <c r="WRV8" s="3434"/>
      <c r="WRW8" s="3434"/>
      <c r="WRX8" s="3434"/>
      <c r="WRY8" s="3434"/>
      <c r="WRZ8" s="3434"/>
      <c r="WSA8" s="3434"/>
      <c r="WSB8" s="3434"/>
      <c r="WSC8" s="3434"/>
      <c r="WSD8" s="3434"/>
      <c r="WSE8" s="3434"/>
      <c r="WSF8" s="3434"/>
      <c r="WSG8" s="3434"/>
      <c r="WSH8" s="3434"/>
      <c r="WSI8" s="3434"/>
      <c r="WSJ8" s="3434"/>
      <c r="WSK8" s="3434"/>
      <c r="WSL8" s="3434"/>
      <c r="WSM8" s="3434"/>
      <c r="WSN8" s="3434"/>
      <c r="WSO8" s="3434"/>
      <c r="WSP8" s="3434"/>
      <c r="WSQ8" s="3434"/>
      <c r="WSR8" s="3434"/>
      <c r="WSS8" s="3434"/>
      <c r="WST8" s="3434"/>
      <c r="WSU8" s="3434"/>
      <c r="WSV8" s="3434"/>
      <c r="WSW8" s="3434"/>
      <c r="WSX8" s="3434"/>
      <c r="WSY8" s="3434"/>
      <c r="WSZ8" s="3434"/>
      <c r="WTA8" s="3434"/>
      <c r="WTB8" s="3434"/>
      <c r="WTC8" s="3434"/>
      <c r="WTD8" s="3434"/>
      <c r="WTE8" s="3434"/>
      <c r="WTF8" s="3434"/>
      <c r="WTG8" s="3434"/>
      <c r="WTH8" s="3434"/>
      <c r="WTI8" s="3434"/>
      <c r="WTJ8" s="3434"/>
      <c r="WTK8" s="3434"/>
      <c r="WTL8" s="3434"/>
      <c r="WTM8" s="3434"/>
      <c r="WTN8" s="3434"/>
      <c r="WTO8" s="3434"/>
      <c r="WTP8" s="3434"/>
      <c r="WTQ8" s="3434"/>
      <c r="WTR8" s="3434"/>
      <c r="WTS8" s="3434"/>
      <c r="WTT8" s="3434"/>
      <c r="WTU8" s="3434"/>
      <c r="WTV8" s="3434"/>
      <c r="WTW8" s="3434"/>
      <c r="WTX8" s="3434"/>
      <c r="WTY8" s="3434"/>
      <c r="WTZ8" s="3434"/>
      <c r="WUA8" s="3434"/>
      <c r="WUB8" s="3434"/>
      <c r="WUC8" s="3434"/>
      <c r="WUD8" s="3434"/>
      <c r="WUE8" s="3434"/>
      <c r="WUF8" s="3434"/>
      <c r="WUG8" s="3434"/>
      <c r="WUH8" s="3434"/>
      <c r="WUI8" s="3434"/>
      <c r="WUJ8" s="3434"/>
      <c r="WUK8" s="3434"/>
      <c r="WUL8" s="3434"/>
      <c r="WUM8" s="3434"/>
      <c r="WUN8" s="3434"/>
      <c r="WUO8" s="3434"/>
      <c r="WUP8" s="3434"/>
      <c r="WUQ8" s="3434"/>
      <c r="WUR8" s="3434"/>
      <c r="WUS8" s="3434"/>
      <c r="WUT8" s="3434"/>
      <c r="WUU8" s="3434"/>
      <c r="WUV8" s="3434"/>
      <c r="WUW8" s="3434"/>
      <c r="WUX8" s="3434"/>
      <c r="WUY8" s="3434"/>
      <c r="WUZ8" s="3434"/>
      <c r="WVA8" s="3434"/>
      <c r="WVB8" s="3434"/>
      <c r="WVC8" s="3434"/>
      <c r="WVD8" s="3434"/>
      <c r="WVE8" s="3434"/>
      <c r="WVF8" s="3434"/>
      <c r="WVG8" s="3434"/>
      <c r="WVH8" s="3434"/>
      <c r="WVI8" s="3434"/>
      <c r="WVJ8" s="3434"/>
      <c r="WVK8" s="3434"/>
      <c r="WVL8" s="3434"/>
      <c r="WVM8" s="3434"/>
      <c r="WVN8" s="3434"/>
      <c r="WVO8" s="3434"/>
      <c r="WVP8" s="3434"/>
      <c r="WVQ8" s="3434"/>
      <c r="WVR8" s="3434"/>
      <c r="WVS8" s="3434"/>
      <c r="WVT8" s="3434"/>
      <c r="WVU8" s="3434"/>
      <c r="WVV8" s="3434"/>
      <c r="WVW8" s="3434"/>
      <c r="WVX8" s="3434"/>
      <c r="WVY8" s="3434"/>
      <c r="WVZ8" s="3434"/>
      <c r="WWA8" s="3434"/>
      <c r="WWB8" s="3434"/>
      <c r="WWC8" s="3434"/>
      <c r="WWD8" s="3434"/>
      <c r="WWE8" s="3434"/>
      <c r="WWF8" s="3434"/>
      <c r="WWG8" s="3434"/>
      <c r="WWH8" s="3434"/>
      <c r="WWI8" s="3434"/>
      <c r="WWJ8" s="3434"/>
      <c r="WWK8" s="3434"/>
      <c r="WWL8" s="3434"/>
      <c r="WWM8" s="3434"/>
      <c r="WWN8" s="3434"/>
      <c r="WWO8" s="3434"/>
      <c r="WWP8" s="3434"/>
      <c r="WWQ8" s="3434"/>
      <c r="WWR8" s="3434"/>
      <c r="WWS8" s="3434"/>
      <c r="WWT8" s="3434"/>
      <c r="WWU8" s="3434"/>
      <c r="WWV8" s="3434"/>
      <c r="WWW8" s="3434"/>
      <c r="WWX8" s="3434"/>
      <c r="WWY8" s="3434"/>
      <c r="WWZ8" s="3434"/>
      <c r="WXA8" s="3434"/>
      <c r="WXB8" s="3434"/>
      <c r="WXC8" s="3434"/>
      <c r="WXD8" s="3434"/>
      <c r="WXE8" s="3434"/>
      <c r="WXF8" s="3434"/>
      <c r="WXG8" s="3434"/>
      <c r="WXH8" s="3434"/>
      <c r="WXI8" s="3434"/>
      <c r="WXJ8" s="3434"/>
      <c r="WXK8" s="3434"/>
      <c r="WXL8" s="3434"/>
      <c r="WXM8" s="3434"/>
      <c r="WXN8" s="3434"/>
      <c r="WXO8" s="3434"/>
      <c r="WXP8" s="3434"/>
      <c r="WXQ8" s="3434"/>
      <c r="WXR8" s="3434"/>
      <c r="WXS8" s="3434"/>
      <c r="WXT8" s="3434"/>
      <c r="WXU8" s="3434"/>
      <c r="WXV8" s="3434"/>
      <c r="WXW8" s="3434"/>
      <c r="WXX8" s="3434"/>
      <c r="WXY8" s="3434"/>
      <c r="WXZ8" s="3434"/>
      <c r="WYA8" s="3434"/>
      <c r="WYB8" s="3434"/>
      <c r="WYC8" s="3434"/>
      <c r="WYD8" s="3434"/>
      <c r="WYE8" s="3434"/>
      <c r="WYF8" s="3434"/>
      <c r="WYG8" s="3434"/>
      <c r="WYH8" s="3434"/>
      <c r="WYI8" s="3434"/>
      <c r="WYJ8" s="3434"/>
      <c r="WYK8" s="3434"/>
      <c r="WYL8" s="3434"/>
      <c r="WYM8" s="3434"/>
      <c r="WYN8" s="3434"/>
      <c r="WYO8" s="3434"/>
      <c r="WYP8" s="3434"/>
      <c r="WYQ8" s="3434"/>
      <c r="WYR8" s="3434"/>
      <c r="WYS8" s="3434"/>
      <c r="WYT8" s="3434"/>
      <c r="WYU8" s="3434"/>
      <c r="WYV8" s="3434"/>
      <c r="WYW8" s="3434"/>
      <c r="WYX8" s="3434"/>
      <c r="WYY8" s="3434"/>
      <c r="WYZ8" s="3434"/>
      <c r="WZA8" s="3434"/>
      <c r="WZB8" s="3434"/>
      <c r="WZC8" s="3434"/>
      <c r="WZD8" s="3434"/>
      <c r="WZE8" s="3434"/>
      <c r="WZF8" s="3434"/>
      <c r="WZG8" s="3434"/>
      <c r="WZH8" s="3434"/>
      <c r="WZI8" s="3434"/>
      <c r="WZJ8" s="3434"/>
      <c r="WZK8" s="3434"/>
      <c r="WZL8" s="3434"/>
      <c r="WZM8" s="3434"/>
      <c r="WZN8" s="3434"/>
      <c r="WZO8" s="3434"/>
      <c r="WZP8" s="3434"/>
      <c r="WZQ8" s="3434"/>
      <c r="WZR8" s="3434"/>
      <c r="WZS8" s="3434"/>
      <c r="WZT8" s="3434"/>
      <c r="WZU8" s="3434"/>
      <c r="WZV8" s="3434"/>
      <c r="WZW8" s="3434"/>
      <c r="WZX8" s="3434"/>
      <c r="WZY8" s="3434"/>
      <c r="WZZ8" s="3434"/>
      <c r="XAA8" s="3434"/>
      <c r="XAB8" s="3434"/>
      <c r="XAC8" s="3434"/>
      <c r="XAD8" s="3434"/>
      <c r="XAE8" s="3434"/>
      <c r="XAF8" s="3434"/>
      <c r="XAG8" s="3434"/>
      <c r="XAH8" s="3434"/>
      <c r="XAI8" s="3434"/>
      <c r="XAJ8" s="3434"/>
      <c r="XAK8" s="3434"/>
      <c r="XAL8" s="3434"/>
      <c r="XAM8" s="3434"/>
      <c r="XAN8" s="3434"/>
      <c r="XAO8" s="3434"/>
      <c r="XAP8" s="3434"/>
      <c r="XAQ8" s="3434"/>
      <c r="XAR8" s="3434"/>
      <c r="XAS8" s="3434"/>
      <c r="XAT8" s="3434"/>
      <c r="XAU8" s="3434"/>
      <c r="XAV8" s="3434"/>
      <c r="XAW8" s="3434"/>
      <c r="XAX8" s="3434"/>
      <c r="XAY8" s="3434"/>
      <c r="XAZ8" s="3434"/>
      <c r="XBA8" s="3434"/>
      <c r="XBB8" s="3434"/>
      <c r="XBC8" s="3434"/>
      <c r="XBD8" s="3434"/>
      <c r="XBE8" s="3434"/>
      <c r="XBF8" s="3434"/>
      <c r="XBG8" s="3434"/>
      <c r="XBH8" s="3434"/>
      <c r="XBI8" s="3434"/>
      <c r="XBJ8" s="3434"/>
      <c r="XBK8" s="3434"/>
      <c r="XBL8" s="3434"/>
      <c r="XBM8" s="3434"/>
      <c r="XBN8" s="3434"/>
      <c r="XBO8" s="3434"/>
      <c r="XBP8" s="3434"/>
      <c r="XBQ8" s="3434"/>
      <c r="XBR8" s="3434"/>
      <c r="XBS8" s="3434"/>
      <c r="XBT8" s="3434"/>
      <c r="XBU8" s="3434"/>
      <c r="XBV8" s="3434"/>
      <c r="XBW8" s="3434"/>
      <c r="XBX8" s="3434"/>
      <c r="XBY8" s="3434"/>
      <c r="XBZ8" s="3434"/>
      <c r="XCA8" s="3434"/>
      <c r="XCB8" s="3434"/>
      <c r="XCC8" s="3434"/>
      <c r="XCD8" s="3434"/>
      <c r="XCE8" s="3434"/>
      <c r="XCF8" s="3434"/>
      <c r="XCG8" s="3434"/>
      <c r="XCH8" s="3434"/>
      <c r="XCI8" s="3434"/>
      <c r="XCJ8" s="3434"/>
      <c r="XCK8" s="3434"/>
      <c r="XCL8" s="3434"/>
      <c r="XCM8" s="3434"/>
      <c r="XCN8" s="3434"/>
      <c r="XCO8" s="3434"/>
      <c r="XCP8" s="3434"/>
      <c r="XCQ8" s="3434"/>
      <c r="XCR8" s="3434"/>
      <c r="XCS8" s="3434"/>
      <c r="XCT8" s="3434"/>
      <c r="XCU8" s="3434"/>
      <c r="XCV8" s="3434"/>
      <c r="XCW8" s="3434"/>
      <c r="XCX8" s="3434"/>
      <c r="XCY8" s="3434"/>
      <c r="XCZ8" s="3434"/>
      <c r="XDA8" s="3434"/>
      <c r="XDB8" s="3434"/>
      <c r="XDC8" s="3434"/>
      <c r="XDD8" s="3434"/>
      <c r="XDE8" s="3434"/>
      <c r="XDF8" s="3434"/>
      <c r="XDG8" s="3434"/>
      <c r="XDH8" s="3434"/>
      <c r="XDI8" s="3434"/>
      <c r="XDJ8" s="3434"/>
      <c r="XDK8" s="3434"/>
      <c r="XDL8" s="3434"/>
      <c r="XDM8" s="3434"/>
      <c r="XDN8" s="3434"/>
      <c r="XDO8" s="3434"/>
      <c r="XDP8" s="3434"/>
      <c r="XDQ8" s="3434"/>
      <c r="XDR8" s="3434"/>
      <c r="XDS8" s="3434"/>
      <c r="XDT8" s="3434"/>
      <c r="XDU8" s="3434"/>
      <c r="XDV8" s="3434"/>
      <c r="XDW8" s="3434"/>
      <c r="XDX8" s="3434"/>
      <c r="XDY8" s="3434"/>
    </row>
    <row r="9" spans="1:16353" ht="135">
      <c r="A9" s="3402">
        <v>201</v>
      </c>
      <c r="B9" s="3410">
        <v>2016</v>
      </c>
      <c r="C9" s="3413" t="s">
        <v>3405</v>
      </c>
      <c r="D9" s="3405">
        <v>1</v>
      </c>
      <c r="E9" s="3407" t="s">
        <v>3375</v>
      </c>
      <c r="F9" s="3407" t="s">
        <v>3376</v>
      </c>
      <c r="G9" s="3407" t="s">
        <v>3406</v>
      </c>
      <c r="H9" s="3407" t="s">
        <v>3407</v>
      </c>
      <c r="I9" s="3407" t="s">
        <v>3378</v>
      </c>
      <c r="J9" s="3407" t="s">
        <v>3408</v>
      </c>
      <c r="K9" s="3412" t="s">
        <v>3409</v>
      </c>
      <c r="L9" s="3411">
        <v>9.52</v>
      </c>
      <c r="M9" s="3407">
        <v>7.05</v>
      </c>
      <c r="N9" s="3407">
        <v>17.64</v>
      </c>
      <c r="O9" s="3407">
        <v>139708.23000000001</v>
      </c>
      <c r="P9" s="3408" t="s">
        <v>3410</v>
      </c>
      <c r="Q9" s="3414" t="s">
        <v>3411</v>
      </c>
      <c r="R9">
        <v>183464.63</v>
      </c>
      <c r="S9">
        <v>26023</v>
      </c>
      <c r="U9" s="2235"/>
      <c r="V9" s="2235"/>
      <c r="W9" s="2235"/>
      <c r="X9" s="2235"/>
      <c r="Y9" s="2235"/>
      <c r="Z9" s="2235"/>
      <c r="AA9" s="2235"/>
      <c r="AB9" s="2235"/>
      <c r="AC9" s="2235"/>
      <c r="AD9" s="2235"/>
      <c r="AE9" s="2235"/>
      <c r="AF9" s="2235"/>
      <c r="AG9" s="2235"/>
      <c r="AH9" s="2235"/>
      <c r="AI9" s="2235"/>
      <c r="AJ9" s="2235"/>
      <c r="AK9" s="2235"/>
      <c r="AL9" s="2235"/>
      <c r="AM9" s="2235"/>
      <c r="AN9" s="2235"/>
      <c r="AO9" s="2235"/>
      <c r="AP9" s="2235"/>
      <c r="AQ9" s="2235"/>
      <c r="AR9" s="2235"/>
      <c r="AS9" s="2235"/>
      <c r="AT9" s="2235"/>
      <c r="AU9" s="2235"/>
      <c r="AV9" s="2235"/>
      <c r="AW9" s="2235"/>
      <c r="AX9" s="2235"/>
      <c r="AY9" s="2235"/>
      <c r="AZ9" s="2235"/>
      <c r="BA9" s="2235"/>
      <c r="BB9" s="2235"/>
      <c r="BC9" s="2235"/>
      <c r="BD9" s="2235"/>
      <c r="BE9" s="2235"/>
      <c r="BF9" s="2235"/>
      <c r="BG9" s="2235"/>
      <c r="BH9" s="2235"/>
      <c r="BI9" s="2235"/>
      <c r="BJ9" s="2235"/>
      <c r="BK9" s="2235"/>
      <c r="BL9" s="2235"/>
      <c r="BM9" s="2235"/>
      <c r="BN9" s="2235"/>
      <c r="BO9" s="2235"/>
      <c r="BP9" s="2235"/>
      <c r="BQ9" s="2235"/>
      <c r="BR9" s="2235"/>
      <c r="BS9" s="2235"/>
      <c r="BT9" s="2235"/>
      <c r="BU9" s="2235"/>
      <c r="BV9" s="2235"/>
      <c r="BW9" s="2235"/>
      <c r="BX9" s="2235"/>
      <c r="BY9" s="2235"/>
      <c r="BZ9" s="2235"/>
      <c r="CA9" s="2235"/>
      <c r="CB9" s="2235"/>
      <c r="CC9" s="2235"/>
      <c r="CD9" s="2235"/>
      <c r="CE9" s="2235"/>
      <c r="CF9" s="2235"/>
      <c r="CG9" s="2235"/>
      <c r="CH9" s="2235"/>
      <c r="CI9" s="2235"/>
      <c r="CJ9" s="2235"/>
      <c r="CK9" s="2235"/>
      <c r="CL9" s="2235"/>
      <c r="CM9" s="2235"/>
      <c r="CN9" s="2235"/>
      <c r="CO9" s="2235"/>
      <c r="CP9" s="2235"/>
      <c r="CQ9" s="2235"/>
      <c r="CR9" s="2235"/>
      <c r="CS9" s="2235"/>
      <c r="CT9" s="2235"/>
      <c r="CU9" s="2235"/>
      <c r="CV9" s="2235"/>
      <c r="CW9" s="2235"/>
      <c r="CX9" s="2235"/>
      <c r="CY9" s="2235"/>
      <c r="CZ9" s="2235"/>
      <c r="DA9" s="2235"/>
      <c r="DB9" s="2235"/>
      <c r="DC9" s="2235"/>
      <c r="DD9" s="2235"/>
      <c r="DE9" s="2235"/>
      <c r="DF9" s="2235"/>
      <c r="DG9" s="2235"/>
      <c r="DH9" s="2235"/>
      <c r="DI9" s="2235"/>
      <c r="DJ9" s="2235"/>
      <c r="DK9" s="2235"/>
      <c r="DL9" s="2235"/>
      <c r="DM9" s="2235"/>
      <c r="DN9" s="2235"/>
      <c r="DO9" s="2235"/>
      <c r="DP9" s="2235"/>
      <c r="DQ9" s="2235"/>
      <c r="DR9" s="2235"/>
      <c r="DS9" s="2235"/>
      <c r="DT9" s="2235"/>
      <c r="DU9" s="2235"/>
      <c r="DV9" s="2235"/>
      <c r="DW9" s="2235"/>
      <c r="DX9" s="2235"/>
      <c r="DY9" s="2235"/>
      <c r="DZ9" s="2235"/>
      <c r="EA9" s="2235"/>
      <c r="EB9" s="2235"/>
      <c r="EC9" s="2235"/>
      <c r="ED9" s="2235"/>
      <c r="EE9" s="2235"/>
      <c r="EF9" s="2235"/>
      <c r="EG9" s="2235"/>
      <c r="EH9" s="2235"/>
      <c r="EI9" s="2235"/>
      <c r="EJ9" s="2235"/>
      <c r="EK9" s="2235"/>
      <c r="EL9" s="2235"/>
      <c r="EM9" s="2235"/>
      <c r="EN9" s="2235"/>
      <c r="EO9" s="2235"/>
      <c r="EP9" s="2235"/>
      <c r="EQ9" s="2235"/>
      <c r="ER9" s="2235"/>
      <c r="ES9" s="2235"/>
      <c r="ET9" s="2235"/>
      <c r="EU9" s="2235"/>
      <c r="EV9" s="2235"/>
      <c r="EW9" s="2235"/>
      <c r="EX9" s="2235"/>
      <c r="EY9" s="2235"/>
      <c r="EZ9" s="2235"/>
      <c r="FA9" s="2235"/>
      <c r="FB9" s="2235"/>
      <c r="FC9" s="2235"/>
      <c r="FD9" s="2235"/>
      <c r="FE9" s="2235"/>
      <c r="FF9" s="2235"/>
      <c r="FG9" s="2235"/>
      <c r="FH9" s="2235"/>
      <c r="FI9" s="2235"/>
      <c r="FJ9" s="2235"/>
      <c r="FK9" s="2235"/>
      <c r="FL9" s="2235"/>
      <c r="FM9" s="2235"/>
      <c r="FN9" s="2235"/>
      <c r="FO9" s="2235"/>
      <c r="FP9" s="2235"/>
      <c r="FQ9" s="2235"/>
      <c r="FR9" s="2235"/>
      <c r="FS9" s="2235"/>
      <c r="FT9" s="2235"/>
      <c r="FU9" s="2235"/>
      <c r="FV9" s="2235"/>
      <c r="FW9" s="2235"/>
      <c r="FX9" s="2235"/>
      <c r="FY9" s="2235"/>
      <c r="FZ9" s="2235"/>
      <c r="GA9" s="2235"/>
      <c r="GB9" s="2235"/>
      <c r="GC9" s="2235"/>
      <c r="GD9" s="2235"/>
      <c r="GE9" s="2235"/>
      <c r="GF9" s="2235"/>
      <c r="GG9" s="2235"/>
      <c r="GH9" s="2235"/>
      <c r="GI9" s="2235"/>
      <c r="GJ9" s="2235"/>
      <c r="GK9" s="2235"/>
      <c r="GL9" s="2235"/>
      <c r="GM9" s="2235"/>
      <c r="GN9" s="2235"/>
      <c r="GO9" s="2235"/>
      <c r="GP9" s="2235"/>
      <c r="GQ9" s="2235"/>
      <c r="GR9" s="2235"/>
      <c r="GS9" s="2235"/>
      <c r="GT9" s="2235"/>
      <c r="GU9" s="2235"/>
      <c r="GV9" s="2235"/>
      <c r="GW9" s="2235"/>
      <c r="GX9" s="2235"/>
      <c r="GY9" s="2235"/>
      <c r="GZ9" s="2235"/>
      <c r="HA9" s="2235"/>
      <c r="HB9" s="2235"/>
      <c r="HC9" s="2235"/>
      <c r="HD9" s="2235"/>
      <c r="HE9" s="2235"/>
      <c r="HF9" s="2235"/>
      <c r="HG9" s="2235"/>
      <c r="HH9" s="2235"/>
      <c r="HI9" s="2235"/>
      <c r="HJ9" s="2235"/>
      <c r="HK9" s="2235"/>
      <c r="HL9" s="2235"/>
      <c r="HM9" s="2235"/>
      <c r="HN9" s="2235"/>
      <c r="HO9" s="2235"/>
      <c r="HP9" s="2235"/>
      <c r="HQ9" s="2235"/>
      <c r="HR9" s="2235"/>
      <c r="HS9" s="2235"/>
      <c r="HT9" s="2235"/>
      <c r="HU9" s="2235"/>
      <c r="HV9" s="2235"/>
      <c r="HW9" s="2235"/>
      <c r="HX9" s="2235"/>
      <c r="HY9" s="2235"/>
      <c r="HZ9" s="2235"/>
      <c r="IA9" s="2235"/>
      <c r="IB9" s="2235"/>
      <c r="IC9" s="2235"/>
      <c r="ID9" s="2235"/>
      <c r="IE9" s="2235"/>
      <c r="IF9" s="2235"/>
      <c r="IG9" s="2235"/>
      <c r="IH9" s="2235"/>
      <c r="II9" s="2235"/>
      <c r="IJ9" s="2235"/>
      <c r="IK9" s="2235"/>
      <c r="IL9" s="2235"/>
      <c r="IM9" s="2235"/>
      <c r="IN9" s="2235"/>
      <c r="IO9" s="2235"/>
      <c r="IP9" s="2235"/>
      <c r="IQ9" s="2235"/>
      <c r="IR9" s="2235"/>
      <c r="IS9" s="2235"/>
      <c r="IT9" s="2235"/>
      <c r="IU9" s="2235"/>
      <c r="IV9" s="2235"/>
      <c r="IW9" s="2235"/>
      <c r="IX9" s="2235"/>
      <c r="IY9" s="2235"/>
      <c r="IZ9" s="2235"/>
      <c r="JA9" s="2235"/>
      <c r="JB9" s="2235"/>
      <c r="JC9" s="2235"/>
      <c r="JD9" s="2235"/>
      <c r="JE9" s="2235"/>
      <c r="JF9" s="2235"/>
      <c r="JG9" s="2235"/>
      <c r="JH9" s="2235"/>
      <c r="JI9" s="2235"/>
      <c r="JJ9" s="2235"/>
      <c r="JK9" s="2235"/>
      <c r="JL9" s="2235"/>
      <c r="JM9" s="2235"/>
      <c r="JN9" s="2235"/>
      <c r="JO9" s="2235"/>
      <c r="JP9" s="2235"/>
      <c r="JQ9" s="2235"/>
      <c r="JR9" s="2235"/>
      <c r="JS9" s="2235"/>
      <c r="JT9" s="2235"/>
      <c r="JU9" s="2235"/>
      <c r="JV9" s="2235"/>
      <c r="JW9" s="2235"/>
      <c r="JX9" s="2235"/>
      <c r="JY9" s="2235"/>
      <c r="JZ9" s="2235"/>
      <c r="KA9" s="2235"/>
      <c r="KB9" s="2235"/>
      <c r="KC9" s="2235"/>
      <c r="KD9" s="2235"/>
      <c r="KE9" s="2235"/>
      <c r="KF9" s="2235"/>
      <c r="KG9" s="2235"/>
      <c r="KH9" s="2235"/>
      <c r="KI9" s="2235"/>
      <c r="KJ9" s="2235"/>
      <c r="KK9" s="2235"/>
      <c r="KL9" s="2235"/>
      <c r="KM9" s="2235"/>
      <c r="KN9" s="2235"/>
      <c r="KO9" s="2235"/>
      <c r="KP9" s="2235"/>
      <c r="KQ9" s="2235"/>
      <c r="KR9" s="2235"/>
      <c r="KS9" s="2235"/>
      <c r="KT9" s="2235"/>
      <c r="KU9" s="2235"/>
      <c r="KV9" s="2235"/>
      <c r="KW9" s="2235"/>
      <c r="KX9" s="2235"/>
      <c r="KY9" s="2235"/>
      <c r="KZ9" s="2235"/>
      <c r="LA9" s="2235"/>
      <c r="LB9" s="2235"/>
      <c r="LC9" s="2235"/>
      <c r="LD9" s="2235"/>
      <c r="LE9" s="2235"/>
      <c r="LF9" s="2235"/>
      <c r="LG9" s="2235"/>
      <c r="LH9" s="2235"/>
      <c r="LI9" s="2235"/>
      <c r="LJ9" s="2235"/>
      <c r="LK9" s="2235"/>
      <c r="LL9" s="2235"/>
      <c r="LM9" s="2235"/>
      <c r="LN9" s="2235"/>
      <c r="LO9" s="2235"/>
      <c r="LP9" s="2235"/>
      <c r="LQ9" s="2235"/>
      <c r="LR9" s="2235"/>
      <c r="LS9" s="2235"/>
      <c r="LT9" s="2235"/>
      <c r="LU9" s="2235"/>
      <c r="LV9" s="2235"/>
      <c r="LW9" s="2235"/>
      <c r="LX9" s="2235"/>
      <c r="LY9" s="2235"/>
      <c r="LZ9" s="2235"/>
      <c r="MA9" s="2235"/>
      <c r="MB9" s="2235"/>
      <c r="MC9" s="2235"/>
      <c r="MD9" s="2235"/>
      <c r="ME9" s="2235"/>
      <c r="MF9" s="2235"/>
      <c r="MG9" s="2235"/>
      <c r="MH9" s="2235"/>
      <c r="MI9" s="2235"/>
      <c r="MJ9" s="2235"/>
      <c r="MK9" s="2235"/>
      <c r="ML9" s="2235"/>
      <c r="MM9" s="2235"/>
      <c r="MN9" s="2235"/>
      <c r="MO9" s="2235"/>
      <c r="MP9" s="2235"/>
      <c r="MQ9" s="2235"/>
      <c r="MR9" s="2235"/>
      <c r="MS9" s="2235"/>
      <c r="MT9" s="2235"/>
      <c r="MU9" s="2235"/>
      <c r="MV9" s="2235"/>
      <c r="MW9" s="2235"/>
      <c r="MX9" s="2235"/>
      <c r="MY9" s="2235"/>
      <c r="MZ9" s="2235"/>
      <c r="NA9" s="2235"/>
      <c r="NB9" s="2235"/>
      <c r="NC9" s="2235"/>
      <c r="ND9" s="2235"/>
      <c r="NE9" s="2235"/>
      <c r="NF9" s="2235"/>
      <c r="NG9" s="2235"/>
      <c r="NH9" s="2235"/>
      <c r="NI9" s="2235"/>
      <c r="NJ9" s="2235"/>
      <c r="NK9" s="2235"/>
      <c r="NL9" s="2235"/>
      <c r="NM9" s="2235"/>
      <c r="NN9" s="2235"/>
      <c r="NO9" s="2235"/>
      <c r="NP9" s="2235"/>
      <c r="NQ9" s="2235"/>
      <c r="NR9" s="2235"/>
      <c r="NS9" s="2235"/>
      <c r="NT9" s="2235"/>
      <c r="NU9" s="2235"/>
      <c r="NV9" s="2235"/>
      <c r="NW9" s="2235"/>
      <c r="NX9" s="2235"/>
      <c r="NY9" s="2235"/>
      <c r="NZ9" s="2235"/>
      <c r="OA9" s="2235"/>
      <c r="OB9" s="2235"/>
      <c r="OC9" s="2235"/>
      <c r="OD9" s="2235"/>
      <c r="OE9" s="2235"/>
      <c r="OF9" s="2235"/>
      <c r="OG9" s="2235"/>
      <c r="OH9" s="2235"/>
      <c r="OI9" s="2235"/>
      <c r="OJ9" s="2235"/>
      <c r="OK9" s="2235"/>
      <c r="OL9" s="2235"/>
      <c r="OM9" s="2235"/>
      <c r="ON9" s="2235"/>
      <c r="OO9" s="2235"/>
      <c r="OP9" s="2235"/>
      <c r="OQ9" s="2235"/>
      <c r="OR9" s="2235"/>
      <c r="OS9" s="2235"/>
      <c r="OT9" s="2235"/>
      <c r="OU9" s="2235"/>
      <c r="OV9" s="2235"/>
      <c r="OW9" s="2235"/>
      <c r="OX9" s="2235"/>
      <c r="OY9" s="2235"/>
      <c r="OZ9" s="2235"/>
      <c r="PA9" s="2235"/>
      <c r="PB9" s="2235"/>
      <c r="PC9" s="2235"/>
      <c r="PD9" s="2235"/>
      <c r="PE9" s="2235"/>
      <c r="PF9" s="2235"/>
      <c r="PG9" s="2235"/>
      <c r="PH9" s="2235"/>
      <c r="PI9" s="2235"/>
      <c r="PJ9" s="2235"/>
      <c r="PK9" s="2235"/>
      <c r="PL9" s="2235"/>
      <c r="PM9" s="2235"/>
      <c r="PN9" s="2235"/>
      <c r="PO9" s="2235"/>
      <c r="PP9" s="2235"/>
      <c r="PQ9" s="2235"/>
      <c r="PR9" s="2235"/>
      <c r="PS9" s="2235"/>
      <c r="PT9" s="2235"/>
      <c r="PU9" s="2235"/>
      <c r="PV9" s="2235"/>
      <c r="PW9" s="2235"/>
      <c r="PX9" s="2235"/>
      <c r="PY9" s="2235"/>
      <c r="PZ9" s="2235"/>
      <c r="QA9" s="2235"/>
      <c r="QB9" s="2235"/>
      <c r="QC9" s="2235"/>
      <c r="QD9" s="2235"/>
      <c r="QE9" s="2235"/>
      <c r="QF9" s="2235"/>
      <c r="QG9" s="2235"/>
      <c r="QH9" s="2235"/>
      <c r="QI9" s="2235"/>
      <c r="QJ9" s="2235"/>
      <c r="QK9" s="2235"/>
      <c r="QL9" s="2235"/>
      <c r="QM9" s="2235"/>
      <c r="QN9" s="2235"/>
      <c r="QO9" s="2235"/>
      <c r="QP9" s="2235"/>
      <c r="QQ9" s="2235"/>
      <c r="QR9" s="2235"/>
      <c r="QS9" s="2235"/>
      <c r="QT9" s="2235"/>
      <c r="QU9" s="2235"/>
      <c r="QV9" s="2235"/>
      <c r="QW9" s="2235"/>
      <c r="QX9" s="2235"/>
      <c r="QY9" s="2235"/>
      <c r="QZ9" s="2235"/>
      <c r="RA9" s="2235"/>
      <c r="RB9" s="2235"/>
      <c r="RC9" s="2235"/>
      <c r="RD9" s="2235"/>
      <c r="RE9" s="2235"/>
      <c r="RF9" s="2235"/>
      <c r="RG9" s="2235"/>
      <c r="RH9" s="2235"/>
      <c r="RI9" s="2235"/>
      <c r="RJ9" s="2235"/>
      <c r="RK9" s="2235"/>
      <c r="RL9" s="2235"/>
      <c r="RM9" s="2235"/>
      <c r="RN9" s="2235"/>
      <c r="RO9" s="2235"/>
      <c r="RP9" s="2235"/>
      <c r="RQ9" s="2235"/>
      <c r="RR9" s="2235"/>
      <c r="RS9" s="2235"/>
      <c r="RT9" s="2235"/>
      <c r="RU9" s="2235"/>
      <c r="RV9" s="2235"/>
      <c r="RW9" s="2235"/>
      <c r="RX9" s="2235"/>
      <c r="RY9" s="2235"/>
      <c r="RZ9" s="2235"/>
      <c r="SA9" s="2235"/>
      <c r="SB9" s="2235"/>
      <c r="SC9" s="2235"/>
      <c r="SD9" s="2235"/>
      <c r="SE9" s="2235"/>
      <c r="SF9" s="2235"/>
      <c r="SG9" s="2235"/>
      <c r="SH9" s="2235"/>
      <c r="SI9" s="2235"/>
      <c r="SJ9" s="2235"/>
      <c r="SK9" s="2235"/>
      <c r="SL9" s="2235"/>
      <c r="SM9" s="2235"/>
      <c r="SN9" s="2235"/>
      <c r="SO9" s="2235"/>
      <c r="SP9" s="2235"/>
      <c r="SQ9" s="2235"/>
      <c r="SR9" s="2235"/>
      <c r="SS9" s="2235"/>
      <c r="ST9" s="2235"/>
      <c r="SU9" s="2235"/>
      <c r="SV9" s="2235"/>
      <c r="SW9" s="2235"/>
      <c r="SX9" s="2235"/>
      <c r="SY9" s="2235"/>
      <c r="SZ9" s="2235"/>
      <c r="TA9" s="2235"/>
      <c r="TB9" s="2235"/>
      <c r="TC9" s="2235"/>
      <c r="TD9" s="2235"/>
      <c r="TE9" s="2235"/>
      <c r="TF9" s="2235"/>
      <c r="TG9" s="2235"/>
      <c r="TH9" s="2235"/>
      <c r="TI9" s="2235"/>
      <c r="TJ9" s="2235"/>
      <c r="TK9" s="2235"/>
      <c r="TL9" s="2235"/>
      <c r="TM9" s="2235"/>
      <c r="TN9" s="2235"/>
      <c r="TO9" s="2235"/>
      <c r="TP9" s="2235"/>
      <c r="TQ9" s="2235"/>
      <c r="TR9" s="2235"/>
      <c r="TS9" s="2235"/>
      <c r="TT9" s="2235"/>
      <c r="TU9" s="2235"/>
      <c r="TV9" s="2235"/>
      <c r="TW9" s="2235"/>
      <c r="TX9" s="2235"/>
      <c r="TY9" s="2235"/>
      <c r="TZ9" s="2235"/>
      <c r="UA9" s="2235"/>
      <c r="UB9" s="2235"/>
      <c r="UC9" s="2235"/>
      <c r="UD9" s="2235"/>
      <c r="UE9" s="2235"/>
      <c r="UF9" s="2235"/>
      <c r="UG9" s="2235"/>
      <c r="UH9" s="2235"/>
      <c r="UI9" s="2235"/>
      <c r="UJ9" s="2235"/>
      <c r="UK9" s="2235"/>
      <c r="UL9" s="2235"/>
      <c r="UM9" s="2235"/>
      <c r="UN9" s="2235"/>
      <c r="UO9" s="2235"/>
      <c r="UP9" s="2235"/>
      <c r="UQ9" s="2235"/>
      <c r="UR9" s="2235"/>
      <c r="US9" s="2235"/>
      <c r="UT9" s="2235"/>
      <c r="UU9" s="2235"/>
      <c r="UV9" s="2235"/>
      <c r="UW9" s="2235"/>
      <c r="UX9" s="2235"/>
      <c r="UY9" s="2235"/>
      <c r="UZ9" s="2235"/>
      <c r="VA9" s="2235"/>
      <c r="VB9" s="2235"/>
      <c r="VC9" s="2235"/>
      <c r="VD9" s="2235"/>
      <c r="VE9" s="2235"/>
      <c r="VF9" s="2235"/>
      <c r="VG9" s="2235"/>
      <c r="VH9" s="2235"/>
      <c r="VI9" s="2235"/>
      <c r="VJ9" s="2235"/>
      <c r="VK9" s="2235"/>
      <c r="VL9" s="2235"/>
      <c r="VM9" s="2235"/>
      <c r="VN9" s="2235"/>
      <c r="VO9" s="2235"/>
      <c r="VP9" s="2235"/>
      <c r="VQ9" s="2235"/>
      <c r="VR9" s="2235"/>
      <c r="VS9" s="2235"/>
      <c r="VT9" s="2235"/>
      <c r="VU9" s="2235"/>
      <c r="VV9" s="2235"/>
      <c r="VW9" s="2235"/>
      <c r="VX9" s="2235"/>
      <c r="VY9" s="2235"/>
      <c r="VZ9" s="2235"/>
      <c r="WA9" s="2235"/>
      <c r="WB9" s="2235"/>
      <c r="WC9" s="2235"/>
      <c r="WD9" s="2235"/>
      <c r="WE9" s="2235"/>
      <c r="WF9" s="2235"/>
      <c r="WG9" s="2235"/>
      <c r="WH9" s="2235"/>
      <c r="WI9" s="2235"/>
      <c r="WJ9" s="2235"/>
      <c r="WK9" s="2235"/>
      <c r="WL9" s="2235"/>
      <c r="WM9" s="2235"/>
      <c r="WN9" s="2235"/>
      <c r="WO9" s="2235"/>
      <c r="WP9" s="2235"/>
      <c r="WQ9" s="2235"/>
      <c r="WR9" s="2235"/>
      <c r="WS9" s="2235"/>
      <c r="WT9" s="2235"/>
      <c r="WU9" s="2235"/>
      <c r="WV9" s="2235"/>
      <c r="WW9" s="2235"/>
      <c r="WX9" s="2235"/>
      <c r="WY9" s="2235"/>
      <c r="WZ9" s="2235"/>
      <c r="XA9" s="2235"/>
      <c r="XB9" s="2235"/>
      <c r="XC9" s="2235"/>
      <c r="XD9" s="2235"/>
      <c r="XE9" s="2235"/>
      <c r="XF9" s="2235"/>
      <c r="XG9" s="2235"/>
      <c r="XH9" s="2235"/>
      <c r="XI9" s="2235"/>
      <c r="XJ9" s="2235"/>
      <c r="XK9" s="2235"/>
      <c r="XL9" s="2235"/>
      <c r="XM9" s="2235"/>
      <c r="XN9" s="2235"/>
      <c r="XO9" s="2235"/>
      <c r="XP9" s="2235"/>
      <c r="XQ9" s="2235"/>
      <c r="XR9" s="2235"/>
      <c r="XS9" s="2235"/>
      <c r="XT9" s="2235"/>
      <c r="XU9" s="2235"/>
      <c r="XV9" s="2235"/>
      <c r="XW9" s="2235"/>
      <c r="XX9" s="2235"/>
      <c r="XY9" s="2235"/>
      <c r="XZ9" s="2235"/>
      <c r="YA9" s="2235"/>
      <c r="YB9" s="2235"/>
      <c r="YC9" s="2235"/>
      <c r="YD9" s="2235"/>
      <c r="YE9" s="2235"/>
      <c r="YF9" s="2235"/>
      <c r="YG9" s="2235"/>
      <c r="YH9" s="2235"/>
      <c r="YI9" s="2235"/>
      <c r="YJ9" s="2235"/>
      <c r="YK9" s="2235"/>
      <c r="YL9" s="2235"/>
      <c r="YM9" s="2235"/>
      <c r="YN9" s="2235"/>
      <c r="YO9" s="2235"/>
      <c r="YP9" s="2235"/>
      <c r="YQ9" s="2235"/>
      <c r="YR9" s="2235"/>
      <c r="YS9" s="2235"/>
      <c r="YT9" s="2235"/>
      <c r="YU9" s="2235"/>
      <c r="YV9" s="2235"/>
      <c r="YW9" s="2235"/>
      <c r="YX9" s="2235"/>
      <c r="YY9" s="2235"/>
      <c r="YZ9" s="2235"/>
      <c r="ZA9" s="2235"/>
      <c r="ZB9" s="2235"/>
      <c r="ZC9" s="2235"/>
      <c r="ZD9" s="2235"/>
      <c r="ZE9" s="2235"/>
      <c r="ZF9" s="2235"/>
      <c r="ZG9" s="2235"/>
      <c r="ZH9" s="2235"/>
      <c r="ZI9" s="2235"/>
      <c r="ZJ9" s="2235"/>
      <c r="ZK9" s="2235"/>
      <c r="ZL9" s="2235"/>
      <c r="ZM9" s="2235"/>
      <c r="ZN9" s="2235"/>
      <c r="ZO9" s="2235"/>
      <c r="ZP9" s="2235"/>
      <c r="ZQ9" s="2235"/>
      <c r="ZR9" s="2235"/>
      <c r="ZS9" s="2235"/>
      <c r="ZT9" s="2235"/>
      <c r="ZU9" s="2235"/>
      <c r="ZV9" s="2235"/>
      <c r="ZW9" s="2235"/>
      <c r="ZX9" s="2235"/>
      <c r="ZY9" s="2235"/>
      <c r="ZZ9" s="2235"/>
      <c r="AAA9" s="2235"/>
      <c r="AAB9" s="2235"/>
      <c r="AAC9" s="2235"/>
      <c r="AAD9" s="2235"/>
      <c r="AAE9" s="2235"/>
      <c r="AAF9" s="2235"/>
      <c r="AAG9" s="2235"/>
      <c r="AAH9" s="2235"/>
      <c r="AAI9" s="2235"/>
      <c r="AAJ9" s="2235"/>
      <c r="AAK9" s="2235"/>
      <c r="AAL9" s="2235"/>
      <c r="AAM9" s="2235"/>
      <c r="AAN9" s="2235"/>
      <c r="AAO9" s="2235"/>
      <c r="AAP9" s="2235"/>
      <c r="AAQ9" s="2235"/>
      <c r="AAR9" s="2235"/>
      <c r="AAS9" s="2235"/>
      <c r="AAT9" s="2235"/>
      <c r="AAU9" s="2235"/>
      <c r="AAV9" s="2235"/>
      <c r="AAW9" s="2235"/>
      <c r="AAX9" s="2235"/>
      <c r="AAY9" s="2235"/>
      <c r="AAZ9" s="2235"/>
      <c r="ABA9" s="2235"/>
      <c r="ABB9" s="2235"/>
      <c r="ABC9" s="2235"/>
      <c r="ABD9" s="2235"/>
      <c r="ABE9" s="2235"/>
      <c r="ABF9" s="2235"/>
      <c r="ABG9" s="2235"/>
      <c r="ABH9" s="2235"/>
      <c r="ABI9" s="2235"/>
      <c r="ABJ9" s="2235"/>
      <c r="ABK9" s="2235"/>
      <c r="ABL9" s="2235"/>
      <c r="ABM9" s="2235"/>
      <c r="ABN9" s="2235"/>
      <c r="ABO9" s="2235"/>
      <c r="ABP9" s="2235"/>
      <c r="ABQ9" s="2235"/>
      <c r="ABR9" s="2235"/>
      <c r="ABS9" s="2235"/>
      <c r="ABT9" s="2235"/>
      <c r="ABU9" s="2235"/>
      <c r="ABV9" s="2235"/>
      <c r="ABW9" s="2235"/>
      <c r="ABX9" s="2235"/>
      <c r="ABY9" s="2235"/>
      <c r="ABZ9" s="2235"/>
      <c r="ACA9" s="2235"/>
      <c r="ACB9" s="2235"/>
      <c r="ACC9" s="2235"/>
      <c r="ACD9" s="2235"/>
      <c r="ACE9" s="2235"/>
      <c r="ACF9" s="2235"/>
      <c r="ACG9" s="2235"/>
      <c r="ACH9" s="2235"/>
      <c r="ACI9" s="2235"/>
      <c r="ACJ9" s="2235"/>
      <c r="ACK9" s="2235"/>
      <c r="ACL9" s="2235"/>
      <c r="ACM9" s="2235"/>
      <c r="ACN9" s="2235"/>
      <c r="ACO9" s="2235"/>
      <c r="ACP9" s="2235"/>
      <c r="ACQ9" s="2235"/>
      <c r="ACR9" s="2235"/>
      <c r="ACS9" s="2235"/>
      <c r="ACT9" s="2235"/>
      <c r="ACU9" s="2235"/>
      <c r="ACV9" s="2235"/>
      <c r="ACW9" s="2235"/>
      <c r="ACX9" s="2235"/>
      <c r="ACY9" s="2235"/>
      <c r="ACZ9" s="2235"/>
      <c r="ADA9" s="2235"/>
      <c r="ADB9" s="2235"/>
      <c r="ADC9" s="2235"/>
      <c r="ADD9" s="2235"/>
      <c r="ADE9" s="2235"/>
      <c r="ADF9" s="2235"/>
      <c r="ADG9" s="2235"/>
      <c r="ADH9" s="2235"/>
      <c r="ADI9" s="2235"/>
      <c r="ADJ9" s="2235"/>
      <c r="ADK9" s="2235"/>
      <c r="ADL9" s="2235"/>
      <c r="ADM9" s="2235"/>
      <c r="ADN9" s="2235"/>
      <c r="ADO9" s="2235"/>
      <c r="ADP9" s="2235"/>
      <c r="ADQ9" s="2235"/>
      <c r="ADR9" s="2235"/>
      <c r="ADS9" s="2235"/>
      <c r="ADT9" s="2235"/>
      <c r="ADU9" s="2235"/>
      <c r="ADV9" s="2235"/>
      <c r="ADW9" s="2235"/>
      <c r="ADX9" s="2235"/>
      <c r="ADY9" s="2235"/>
      <c r="ADZ9" s="2235"/>
      <c r="AEA9" s="2235"/>
      <c r="AEB9" s="2235"/>
      <c r="AEC9" s="2235"/>
      <c r="AED9" s="2235"/>
      <c r="AEE9" s="2235"/>
      <c r="AEF9" s="2235"/>
      <c r="AEG9" s="2235"/>
      <c r="AEH9" s="2235"/>
      <c r="AEI9" s="2235"/>
      <c r="AEJ9" s="2235"/>
      <c r="AEK9" s="2235"/>
      <c r="AEL9" s="2235"/>
      <c r="AEM9" s="2235"/>
      <c r="AEN9" s="2235"/>
      <c r="AEO9" s="2235"/>
      <c r="AEP9" s="2235"/>
      <c r="AEQ9" s="2235"/>
      <c r="AER9" s="2235"/>
      <c r="AES9" s="2235"/>
      <c r="AET9" s="2235"/>
      <c r="AEU9" s="2235"/>
      <c r="AEV9" s="2235"/>
      <c r="AEW9" s="2235"/>
      <c r="AEX9" s="2235"/>
      <c r="AEY9" s="2235"/>
      <c r="AEZ9" s="2235"/>
      <c r="AFA9" s="2235"/>
      <c r="AFB9" s="2235"/>
      <c r="AFC9" s="2235"/>
      <c r="AFD9" s="2235"/>
      <c r="AFE9" s="2235"/>
      <c r="AFF9" s="2235"/>
      <c r="AFG9" s="2235"/>
      <c r="AFH9" s="2235"/>
      <c r="AFI9" s="2235"/>
      <c r="AFJ9" s="2235"/>
      <c r="AFK9" s="2235"/>
      <c r="AFL9" s="2235"/>
      <c r="AFM9" s="2235"/>
      <c r="AFN9" s="2235"/>
      <c r="AFO9" s="2235"/>
      <c r="AFP9" s="2235"/>
      <c r="AFQ9" s="2235"/>
      <c r="AFR9" s="2235"/>
      <c r="AFS9" s="2235"/>
      <c r="AFT9" s="2235"/>
      <c r="AFU9" s="2235"/>
      <c r="AFV9" s="2235"/>
      <c r="AFW9" s="2235"/>
      <c r="AFX9" s="2235"/>
      <c r="AFY9" s="2235"/>
      <c r="AFZ9" s="2235"/>
      <c r="AGA9" s="2235"/>
      <c r="AGB9" s="2235"/>
      <c r="AGC9" s="2235"/>
      <c r="AGD9" s="2235"/>
      <c r="AGE9" s="2235"/>
      <c r="AGF9" s="2235"/>
      <c r="AGG9" s="2235"/>
      <c r="AGH9" s="2235"/>
      <c r="AGI9" s="2235"/>
      <c r="AGJ9" s="2235"/>
      <c r="AGK9" s="2235"/>
      <c r="AGL9" s="2235"/>
      <c r="AGM9" s="2235"/>
      <c r="AGN9" s="2235"/>
      <c r="AGO9" s="2235"/>
      <c r="AGP9" s="2235"/>
      <c r="AGQ9" s="2235"/>
      <c r="AGR9" s="2235"/>
      <c r="AGS9" s="2235"/>
      <c r="AGT9" s="2235"/>
      <c r="AGU9" s="2235"/>
      <c r="AGV9" s="2235"/>
      <c r="AGW9" s="2235"/>
      <c r="AGX9" s="2235"/>
      <c r="AGY9" s="2235"/>
      <c r="AGZ9" s="2235"/>
      <c r="AHA9" s="2235"/>
      <c r="AHB9" s="2235"/>
      <c r="AHC9" s="2235"/>
      <c r="AHD9" s="2235"/>
      <c r="AHE9" s="2235"/>
      <c r="AHF9" s="2235"/>
      <c r="AHG9" s="2235"/>
      <c r="AHH9" s="2235"/>
      <c r="AHI9" s="2235"/>
      <c r="AHJ9" s="2235"/>
      <c r="AHK9" s="2235"/>
      <c r="AHL9" s="2235"/>
      <c r="AHM9" s="2235"/>
      <c r="AHN9" s="2235"/>
      <c r="AHO9" s="2235"/>
      <c r="AHP9" s="2235"/>
      <c r="AHQ9" s="2235"/>
      <c r="AHR9" s="2235"/>
      <c r="AHS9" s="2235"/>
      <c r="AHT9" s="2235"/>
      <c r="AHU9" s="2235"/>
      <c r="AHV9" s="2235"/>
      <c r="AHW9" s="2235"/>
      <c r="AHX9" s="2235"/>
      <c r="AHY9" s="2235"/>
      <c r="AHZ9" s="2235"/>
      <c r="AIA9" s="2235"/>
      <c r="AIB9" s="2235"/>
      <c r="AIC9" s="2235"/>
      <c r="AID9" s="2235"/>
      <c r="AIE9" s="2235"/>
      <c r="AIF9" s="2235"/>
      <c r="AIG9" s="2235"/>
      <c r="AIH9" s="2235"/>
      <c r="AII9" s="2235"/>
      <c r="AIJ9" s="2235"/>
      <c r="AIK9" s="2235"/>
      <c r="AIL9" s="2235"/>
      <c r="AIM9" s="2235"/>
      <c r="AIN9" s="2235"/>
      <c r="AIO9" s="2235"/>
      <c r="AIP9" s="2235"/>
      <c r="AIQ9" s="2235"/>
      <c r="AIR9" s="2235"/>
      <c r="AIS9" s="2235"/>
      <c r="AIT9" s="2235"/>
      <c r="AIU9" s="2235"/>
      <c r="AIV9" s="2235"/>
      <c r="AIW9" s="2235"/>
      <c r="AIX9" s="2235"/>
      <c r="AIY9" s="2235"/>
      <c r="AIZ9" s="2235"/>
      <c r="AJA9" s="2235"/>
      <c r="AJB9" s="2235"/>
      <c r="AJC9" s="2235"/>
      <c r="AJD9" s="2235"/>
      <c r="AJE9" s="2235"/>
      <c r="AJF9" s="2235"/>
      <c r="AJG9" s="2235"/>
      <c r="AJH9" s="2235"/>
      <c r="AJI9" s="2235"/>
      <c r="AJJ9" s="2235"/>
      <c r="AJK9" s="2235"/>
      <c r="AJL9" s="2235"/>
      <c r="AJM9" s="2235"/>
      <c r="AJN9" s="2235"/>
      <c r="AJO9" s="2235"/>
      <c r="AJP9" s="2235"/>
      <c r="AJQ9" s="2235"/>
      <c r="AJR9" s="2235"/>
      <c r="AJS9" s="2235"/>
      <c r="AJT9" s="2235"/>
      <c r="AJU9" s="2235"/>
      <c r="AJV9" s="2235"/>
      <c r="AJW9" s="2235"/>
      <c r="AJX9" s="2235"/>
      <c r="AJY9" s="2235"/>
      <c r="AJZ9" s="2235"/>
      <c r="AKA9" s="2235"/>
      <c r="AKB9" s="2235"/>
      <c r="AKC9" s="2235"/>
      <c r="AKD9" s="2235"/>
      <c r="AKE9" s="2235"/>
      <c r="AKF9" s="2235"/>
      <c r="AKG9" s="2235"/>
      <c r="AKH9" s="2235"/>
      <c r="AKI9" s="2235"/>
      <c r="AKJ9" s="2235"/>
      <c r="AKK9" s="2235"/>
      <c r="AKL9" s="2235"/>
      <c r="AKM9" s="2235"/>
      <c r="AKN9" s="2235"/>
      <c r="AKO9" s="2235"/>
      <c r="AKP9" s="2235"/>
      <c r="AKQ9" s="2235"/>
      <c r="AKR9" s="2235"/>
      <c r="AKS9" s="2235"/>
      <c r="AKT9" s="2235"/>
      <c r="AKU9" s="2235"/>
      <c r="AKV9" s="2235"/>
      <c r="AKW9" s="2235"/>
      <c r="AKX9" s="2235"/>
      <c r="AKY9" s="2235"/>
      <c r="AKZ9" s="2235"/>
      <c r="ALA9" s="2235"/>
      <c r="ALB9" s="2235"/>
      <c r="ALC9" s="2235"/>
      <c r="ALD9" s="2235"/>
      <c r="ALE9" s="2235"/>
      <c r="ALF9" s="2235"/>
      <c r="ALG9" s="2235"/>
      <c r="ALH9" s="2235"/>
      <c r="ALI9" s="2235"/>
      <c r="ALJ9" s="2235"/>
      <c r="ALK9" s="2235"/>
      <c r="ALL9" s="2235"/>
      <c r="ALM9" s="2235"/>
      <c r="ALN9" s="2235"/>
      <c r="ALO9" s="2235"/>
      <c r="ALP9" s="2235"/>
      <c r="ALQ9" s="2235"/>
      <c r="ALR9" s="2235"/>
      <c r="ALS9" s="2235"/>
      <c r="ALT9" s="2235"/>
      <c r="ALU9" s="2235"/>
      <c r="ALV9" s="2235"/>
      <c r="ALW9" s="2235"/>
      <c r="ALX9" s="2235"/>
      <c r="ALY9" s="2235"/>
      <c r="ALZ9" s="2235"/>
      <c r="AMA9" s="2235"/>
      <c r="AMB9" s="2235"/>
      <c r="AMC9" s="2235"/>
      <c r="AMD9" s="2235"/>
      <c r="AME9" s="2235"/>
      <c r="AMF9" s="2235"/>
      <c r="AMG9" s="2235"/>
      <c r="AMH9" s="2235"/>
      <c r="AMI9" s="2235"/>
      <c r="AMJ9" s="2235"/>
      <c r="AMK9" s="2235"/>
      <c r="AML9" s="2235"/>
      <c r="AMM9" s="2235"/>
      <c r="AMN9" s="2235"/>
      <c r="AMO9" s="2235"/>
      <c r="AMP9" s="2235"/>
      <c r="AMQ9" s="2235"/>
      <c r="AMR9" s="2235"/>
      <c r="AMS9" s="2235"/>
      <c r="AMT9" s="2235"/>
      <c r="AMU9" s="2235"/>
      <c r="AMV9" s="2235"/>
      <c r="AMW9" s="2235"/>
      <c r="AMX9" s="2235"/>
      <c r="AMY9" s="2235"/>
      <c r="AMZ9" s="2235"/>
      <c r="ANA9" s="2235"/>
      <c r="ANB9" s="2235"/>
      <c r="ANC9" s="2235"/>
      <c r="AND9" s="2235"/>
      <c r="ANE9" s="2235"/>
      <c r="ANF9" s="2235"/>
      <c r="ANG9" s="2235"/>
      <c r="ANH9" s="2235"/>
      <c r="ANI9" s="2235"/>
      <c r="ANJ9" s="2235"/>
      <c r="ANK9" s="2235"/>
      <c r="ANL9" s="2235"/>
      <c r="ANM9" s="2235"/>
      <c r="ANN9" s="2235"/>
      <c r="ANO9" s="2235"/>
      <c r="ANP9" s="2235"/>
      <c r="ANQ9" s="2235"/>
      <c r="ANR9" s="2235"/>
      <c r="ANS9" s="2235"/>
      <c r="ANT9" s="2235"/>
      <c r="ANU9" s="2235"/>
      <c r="ANV9" s="2235"/>
      <c r="ANW9" s="2235"/>
      <c r="ANX9" s="2235"/>
      <c r="ANY9" s="2235"/>
      <c r="ANZ9" s="2235"/>
      <c r="AOA9" s="2235"/>
      <c r="AOB9" s="2235"/>
      <c r="AOC9" s="2235"/>
      <c r="AOD9" s="2235"/>
      <c r="AOE9" s="2235"/>
      <c r="AOF9" s="2235"/>
      <c r="AOG9" s="2235"/>
      <c r="AOH9" s="2235"/>
      <c r="AOI9" s="2235"/>
      <c r="AOJ9" s="2235"/>
      <c r="AOK9" s="2235"/>
      <c r="AOL9" s="2235"/>
      <c r="AOM9" s="2235"/>
      <c r="AON9" s="2235"/>
      <c r="AOO9" s="2235"/>
      <c r="AOP9" s="2235"/>
      <c r="AOQ9" s="2235"/>
      <c r="AOR9" s="2235"/>
      <c r="AOS9" s="2235"/>
      <c r="AOT9" s="2235"/>
      <c r="AOU9" s="2235"/>
      <c r="AOV9" s="2235"/>
      <c r="AOW9" s="2235"/>
      <c r="AOX9" s="2235"/>
      <c r="AOY9" s="2235"/>
      <c r="AOZ9" s="2235"/>
      <c r="APA9" s="2235"/>
      <c r="APB9" s="2235"/>
      <c r="APC9" s="2235"/>
      <c r="APD9" s="2235"/>
      <c r="APE9" s="2235"/>
      <c r="APF9" s="2235"/>
      <c r="APG9" s="2235"/>
      <c r="APH9" s="2235"/>
      <c r="API9" s="2235"/>
      <c r="APJ9" s="2235"/>
      <c r="APK9" s="2235"/>
      <c r="APL9" s="2235"/>
      <c r="APM9" s="2235"/>
      <c r="APN9" s="2235"/>
      <c r="APO9" s="2235"/>
      <c r="APP9" s="2235"/>
      <c r="APQ9" s="2235"/>
      <c r="APR9" s="2235"/>
      <c r="APS9" s="2235"/>
      <c r="APT9" s="2235"/>
      <c r="APU9" s="2235"/>
      <c r="APV9" s="2235"/>
      <c r="APW9" s="2235"/>
      <c r="APX9" s="2235"/>
      <c r="APY9" s="2235"/>
      <c r="APZ9" s="2235"/>
      <c r="AQA9" s="2235"/>
      <c r="AQB9" s="2235"/>
      <c r="AQC9" s="2235"/>
      <c r="AQD9" s="2235"/>
      <c r="AQE9" s="2235"/>
      <c r="AQF9" s="2235"/>
      <c r="AQG9" s="2235"/>
      <c r="AQH9" s="2235"/>
      <c r="AQI9" s="2235"/>
      <c r="AQJ9" s="2235"/>
      <c r="AQK9" s="2235"/>
      <c r="AQL9" s="2235"/>
      <c r="AQM9" s="2235"/>
      <c r="AQN9" s="2235"/>
      <c r="AQO9" s="2235"/>
      <c r="AQP9" s="2235"/>
      <c r="AQQ9" s="2235"/>
      <c r="AQR9" s="2235"/>
      <c r="AQS9" s="2235"/>
      <c r="AQT9" s="2235"/>
      <c r="AQU9" s="2235"/>
      <c r="AQV9" s="2235"/>
      <c r="AQW9" s="2235"/>
      <c r="AQX9" s="2235"/>
      <c r="AQY9" s="2235"/>
      <c r="AQZ9" s="2235"/>
      <c r="ARA9" s="2235"/>
      <c r="ARB9" s="2235"/>
      <c r="ARC9" s="2235"/>
      <c r="ARD9" s="2235"/>
      <c r="ARE9" s="2235"/>
      <c r="ARF9" s="2235"/>
      <c r="ARG9" s="2235"/>
      <c r="ARH9" s="2235"/>
      <c r="ARI9" s="2235"/>
      <c r="ARJ9" s="2235"/>
      <c r="ARK9" s="2235"/>
      <c r="ARL9" s="2235"/>
      <c r="ARM9" s="2235"/>
      <c r="ARN9" s="2235"/>
      <c r="ARO9" s="2235"/>
      <c r="ARP9" s="2235"/>
      <c r="ARQ9" s="2235"/>
      <c r="ARR9" s="2235"/>
      <c r="ARS9" s="2235"/>
      <c r="ART9" s="2235"/>
      <c r="ARU9" s="2235"/>
      <c r="ARV9" s="2235"/>
      <c r="ARW9" s="2235"/>
      <c r="ARX9" s="2235"/>
      <c r="ARY9" s="2235"/>
      <c r="ARZ9" s="2235"/>
      <c r="ASA9" s="2235"/>
      <c r="ASB9" s="2235"/>
      <c r="ASC9" s="2235"/>
      <c r="ASD9" s="2235"/>
      <c r="ASE9" s="2235"/>
      <c r="ASF9" s="2235"/>
      <c r="ASG9" s="2235"/>
      <c r="ASH9" s="2235"/>
      <c r="ASI9" s="2235"/>
      <c r="ASJ9" s="2235"/>
      <c r="ASK9" s="2235"/>
      <c r="ASL9" s="2235"/>
      <c r="ASM9" s="2235"/>
      <c r="ASN9" s="2235"/>
      <c r="ASO9" s="2235"/>
      <c r="ASP9" s="2235"/>
      <c r="ASQ9" s="2235"/>
      <c r="ASR9" s="2235"/>
      <c r="ASS9" s="2235"/>
      <c r="AST9" s="2235"/>
      <c r="ASU9" s="2235"/>
      <c r="ASV9" s="2235"/>
      <c r="ASW9" s="2235"/>
      <c r="ASX9" s="2235"/>
      <c r="ASY9" s="2235"/>
      <c r="ASZ9" s="2235"/>
      <c r="ATA9" s="2235"/>
      <c r="ATB9" s="2235"/>
      <c r="ATC9" s="2235"/>
      <c r="ATD9" s="2235"/>
      <c r="ATE9" s="2235"/>
      <c r="ATF9" s="2235"/>
      <c r="ATG9" s="2235"/>
      <c r="ATH9" s="2235"/>
      <c r="ATI9" s="2235"/>
      <c r="ATJ9" s="2235"/>
      <c r="ATK9" s="2235"/>
      <c r="ATL9" s="2235"/>
      <c r="ATM9" s="2235"/>
      <c r="ATN9" s="2235"/>
      <c r="ATO9" s="2235"/>
      <c r="ATP9" s="2235"/>
      <c r="ATQ9" s="2235"/>
      <c r="ATR9" s="2235"/>
      <c r="ATS9" s="2235"/>
      <c r="ATT9" s="2235"/>
      <c r="ATU9" s="2235"/>
      <c r="ATV9" s="2235"/>
      <c r="ATW9" s="2235"/>
      <c r="ATX9" s="2235"/>
      <c r="ATY9" s="2235"/>
      <c r="ATZ9" s="2235"/>
      <c r="AUA9" s="2235"/>
      <c r="AUB9" s="2235"/>
      <c r="AUC9" s="2235"/>
      <c r="AUD9" s="2235"/>
      <c r="AUE9" s="2235"/>
      <c r="AUF9" s="2235"/>
      <c r="AUG9" s="2235"/>
      <c r="AUH9" s="2235"/>
      <c r="AUI9" s="2235"/>
      <c r="AUJ9" s="2235"/>
      <c r="AUK9" s="2235"/>
      <c r="AUL9" s="2235"/>
      <c r="AUM9" s="2235"/>
      <c r="AUN9" s="2235"/>
      <c r="AUO9" s="2235"/>
      <c r="AUP9" s="2235"/>
      <c r="AUQ9" s="2235"/>
      <c r="AUR9" s="2235"/>
      <c r="AUS9" s="2235"/>
      <c r="AUT9" s="2235"/>
      <c r="AUU9" s="2235"/>
      <c r="AUV9" s="2235"/>
      <c r="AUW9" s="2235"/>
      <c r="AUX9" s="2235"/>
      <c r="AUY9" s="2235"/>
      <c r="AUZ9" s="2235"/>
      <c r="AVA9" s="2235"/>
      <c r="AVB9" s="2235"/>
      <c r="AVC9" s="2235"/>
      <c r="AVD9" s="2235"/>
      <c r="AVE9" s="2235"/>
      <c r="AVF9" s="2235"/>
      <c r="AVG9" s="2235"/>
      <c r="AVH9" s="2235"/>
      <c r="AVI9" s="2235"/>
      <c r="AVJ9" s="2235"/>
      <c r="AVK9" s="2235"/>
      <c r="AVL9" s="2235"/>
      <c r="AVM9" s="2235"/>
      <c r="AVN9" s="2235"/>
      <c r="AVO9" s="2235"/>
      <c r="AVP9" s="2235"/>
      <c r="AVQ9" s="2235"/>
      <c r="AVR9" s="2235"/>
      <c r="AVS9" s="2235"/>
      <c r="AVT9" s="2235"/>
      <c r="AVU9" s="2235"/>
      <c r="AVV9" s="2235"/>
      <c r="AVW9" s="2235"/>
      <c r="AVX9" s="2235"/>
      <c r="AVY9" s="2235"/>
      <c r="AVZ9" s="2235"/>
      <c r="AWA9" s="2235"/>
      <c r="AWB9" s="2235"/>
      <c r="AWC9" s="2235"/>
      <c r="AWD9" s="2235"/>
      <c r="AWE9" s="2235"/>
      <c r="AWF9" s="2235"/>
      <c r="AWG9" s="2235"/>
      <c r="AWH9" s="2235"/>
      <c r="AWI9" s="2235"/>
      <c r="AWJ9" s="2235"/>
      <c r="AWK9" s="2235"/>
      <c r="AWL9" s="2235"/>
      <c r="AWM9" s="2235"/>
      <c r="AWN9" s="2235"/>
      <c r="AWO9" s="2235"/>
      <c r="AWP9" s="2235"/>
      <c r="AWQ9" s="2235"/>
      <c r="AWR9" s="2235"/>
      <c r="AWS9" s="2235"/>
      <c r="AWT9" s="2235"/>
      <c r="AWU9" s="2235"/>
      <c r="AWV9" s="2235"/>
      <c r="AWW9" s="2235"/>
      <c r="AWX9" s="2235"/>
      <c r="AWY9" s="2235"/>
      <c r="AWZ9" s="2235"/>
      <c r="AXA9" s="2235"/>
      <c r="AXB9" s="2235"/>
      <c r="AXC9" s="2235"/>
      <c r="AXD9" s="2235"/>
      <c r="AXE9" s="2235"/>
      <c r="AXF9" s="2235"/>
      <c r="AXG9" s="2235"/>
      <c r="AXH9" s="2235"/>
      <c r="AXI9" s="2235"/>
      <c r="AXJ9" s="2235"/>
      <c r="AXK9" s="2235"/>
      <c r="AXL9" s="2235"/>
      <c r="AXM9" s="2235"/>
      <c r="AXN9" s="2235"/>
      <c r="AXO9" s="2235"/>
      <c r="AXP9" s="2235"/>
      <c r="AXQ9" s="2235"/>
      <c r="AXR9" s="2235"/>
      <c r="AXS9" s="2235"/>
      <c r="AXT9" s="2235"/>
      <c r="AXU9" s="2235"/>
      <c r="AXV9" s="2235"/>
      <c r="AXW9" s="2235"/>
      <c r="AXX9" s="2235"/>
      <c r="AXY9" s="2235"/>
      <c r="AXZ9" s="2235"/>
      <c r="AYA9" s="2235"/>
      <c r="AYB9" s="2235"/>
      <c r="AYC9" s="2235"/>
      <c r="AYD9" s="2235"/>
      <c r="AYE9" s="2235"/>
      <c r="AYF9" s="2235"/>
      <c r="AYG9" s="2235"/>
      <c r="AYH9" s="2235"/>
      <c r="AYI9" s="2235"/>
      <c r="AYJ9" s="2235"/>
      <c r="AYK9" s="2235"/>
      <c r="AYL9" s="2235"/>
      <c r="AYM9" s="2235"/>
      <c r="AYN9" s="2235"/>
      <c r="AYO9" s="2235"/>
      <c r="AYP9" s="2235"/>
      <c r="AYQ9" s="2235"/>
      <c r="AYR9" s="2235"/>
      <c r="AYS9" s="2235"/>
      <c r="AYT9" s="2235"/>
      <c r="AYU9" s="2235"/>
      <c r="AYV9" s="2235"/>
      <c r="AYW9" s="2235"/>
      <c r="AYX9" s="2235"/>
      <c r="AYY9" s="2235"/>
      <c r="AYZ9" s="2235"/>
      <c r="AZA9" s="2235"/>
      <c r="AZB9" s="2235"/>
      <c r="AZC9" s="2235"/>
      <c r="AZD9" s="2235"/>
      <c r="AZE9" s="2235"/>
      <c r="AZF9" s="2235"/>
      <c r="AZG9" s="2235"/>
      <c r="AZH9" s="2235"/>
      <c r="AZI9" s="2235"/>
      <c r="AZJ9" s="2235"/>
      <c r="AZK9" s="2235"/>
      <c r="AZL9" s="2235"/>
      <c r="AZM9" s="2235"/>
      <c r="AZN9" s="2235"/>
      <c r="AZO9" s="2235"/>
      <c r="AZP9" s="2235"/>
      <c r="AZQ9" s="2235"/>
      <c r="AZR9" s="2235"/>
      <c r="AZS9" s="2235"/>
      <c r="AZT9" s="2235"/>
      <c r="AZU9" s="2235"/>
      <c r="AZV9" s="2235"/>
      <c r="AZW9" s="2235"/>
      <c r="AZX9" s="2235"/>
      <c r="AZY9" s="2235"/>
      <c r="AZZ9" s="2235"/>
      <c r="BAA9" s="2235"/>
      <c r="BAB9" s="2235"/>
      <c r="BAC9" s="2235"/>
      <c r="BAD9" s="2235"/>
      <c r="BAE9" s="2235"/>
      <c r="BAF9" s="2235"/>
      <c r="BAG9" s="2235"/>
      <c r="BAH9" s="2235"/>
      <c r="BAI9" s="2235"/>
      <c r="BAJ9" s="2235"/>
      <c r="BAK9" s="2235"/>
      <c r="BAL9" s="2235"/>
      <c r="BAM9" s="2235"/>
      <c r="BAN9" s="2235"/>
      <c r="BAO9" s="2235"/>
      <c r="BAP9" s="2235"/>
      <c r="BAQ9" s="2235"/>
      <c r="BAR9" s="2235"/>
      <c r="BAS9" s="2235"/>
      <c r="BAT9" s="2235"/>
      <c r="BAU9" s="2235"/>
      <c r="BAV9" s="2235"/>
      <c r="BAW9" s="2235"/>
      <c r="BAX9" s="2235"/>
      <c r="BAY9" s="2235"/>
      <c r="BAZ9" s="2235"/>
      <c r="BBA9" s="2235"/>
      <c r="BBB9" s="2235"/>
      <c r="BBC9" s="2235"/>
      <c r="BBD9" s="2235"/>
      <c r="BBE9" s="2235"/>
      <c r="BBF9" s="2235"/>
      <c r="BBG9" s="2235"/>
      <c r="BBH9" s="2235"/>
      <c r="BBI9" s="2235"/>
      <c r="BBJ9" s="2235"/>
      <c r="BBK9" s="2235"/>
      <c r="BBL9" s="2235"/>
      <c r="BBM9" s="2235"/>
      <c r="BBN9" s="2235"/>
      <c r="BBO9" s="2235"/>
      <c r="BBP9" s="2235"/>
      <c r="BBQ9" s="2235"/>
      <c r="BBR9" s="2235"/>
      <c r="BBS9" s="2235"/>
      <c r="BBT9" s="2235"/>
      <c r="BBU9" s="2235"/>
      <c r="BBV9" s="2235"/>
      <c r="BBW9" s="2235"/>
      <c r="BBX9" s="2235"/>
      <c r="BBY9" s="2235"/>
      <c r="BBZ9" s="2235"/>
      <c r="BCA9" s="2235"/>
      <c r="BCB9" s="2235"/>
      <c r="BCC9" s="2235"/>
      <c r="BCD9" s="2235"/>
      <c r="BCE9" s="2235"/>
      <c r="BCF9" s="2235"/>
      <c r="BCG9" s="2235"/>
      <c r="BCH9" s="2235"/>
      <c r="BCI9" s="2235"/>
      <c r="BCJ9" s="2235"/>
      <c r="BCK9" s="2235"/>
      <c r="BCL9" s="2235"/>
      <c r="BCM9" s="2235"/>
      <c r="BCN9" s="2235"/>
      <c r="BCO9" s="2235"/>
      <c r="BCP9" s="2235"/>
      <c r="BCQ9" s="2235"/>
      <c r="BCR9" s="2235"/>
      <c r="BCS9" s="2235"/>
      <c r="BCT9" s="2235"/>
      <c r="BCU9" s="2235"/>
      <c r="BCV9" s="2235"/>
      <c r="BCW9" s="2235"/>
      <c r="BCX9" s="2235"/>
      <c r="BCY9" s="2235"/>
      <c r="BCZ9" s="2235"/>
      <c r="BDA9" s="2235"/>
      <c r="BDB9" s="2235"/>
      <c r="BDC9" s="2235"/>
      <c r="BDD9" s="2235"/>
      <c r="BDE9" s="2235"/>
      <c r="BDF9" s="2235"/>
      <c r="BDG9" s="2235"/>
      <c r="BDH9" s="2235"/>
      <c r="BDI9" s="2235"/>
      <c r="BDJ9" s="2235"/>
      <c r="BDK9" s="2235"/>
      <c r="BDL9" s="2235"/>
      <c r="BDM9" s="2235"/>
      <c r="BDN9" s="2235"/>
      <c r="BDO9" s="2235"/>
      <c r="BDP9" s="2235"/>
      <c r="BDQ9" s="2235"/>
      <c r="BDR9" s="2235"/>
      <c r="BDS9" s="2235"/>
      <c r="BDT9" s="2235"/>
      <c r="BDU9" s="2235"/>
      <c r="BDV9" s="2235"/>
      <c r="BDW9" s="2235"/>
      <c r="BDX9" s="2235"/>
      <c r="BDY9" s="2235"/>
      <c r="BDZ9" s="2235"/>
      <c r="BEA9" s="2235"/>
      <c r="BEB9" s="2235"/>
      <c r="BEC9" s="2235"/>
      <c r="BED9" s="2235"/>
      <c r="BEE9" s="2235"/>
      <c r="BEF9" s="2235"/>
      <c r="BEG9" s="2235"/>
      <c r="BEH9" s="2235"/>
      <c r="BEI9" s="2235"/>
      <c r="BEJ9" s="2235"/>
      <c r="BEK9" s="2235"/>
      <c r="BEL9" s="2235"/>
      <c r="BEM9" s="2235"/>
      <c r="BEN9" s="2235"/>
      <c r="BEO9" s="2235"/>
      <c r="BEP9" s="2235"/>
      <c r="BEQ9" s="2235"/>
      <c r="BER9" s="2235"/>
      <c r="BES9" s="2235"/>
      <c r="BET9" s="2235"/>
      <c r="BEU9" s="2235"/>
      <c r="BEV9" s="2235"/>
      <c r="BEW9" s="2235"/>
      <c r="BEX9" s="2235"/>
      <c r="BEY9" s="2235"/>
      <c r="BEZ9" s="2235"/>
      <c r="BFA9" s="2235"/>
      <c r="BFB9" s="2235"/>
      <c r="BFC9" s="2235"/>
      <c r="BFD9" s="2235"/>
      <c r="BFE9" s="2235"/>
      <c r="BFF9" s="2235"/>
      <c r="BFG9" s="2235"/>
      <c r="BFH9" s="2235"/>
      <c r="BFI9" s="2235"/>
      <c r="BFJ9" s="2235"/>
      <c r="BFK9" s="2235"/>
      <c r="BFL9" s="2235"/>
      <c r="BFM9" s="2235"/>
      <c r="BFN9" s="2235"/>
      <c r="BFO9" s="2235"/>
      <c r="BFP9" s="2235"/>
      <c r="BFQ9" s="2235"/>
      <c r="BFR9" s="2235"/>
      <c r="BFS9" s="2235"/>
      <c r="BFT9" s="2235"/>
      <c r="BFU9" s="2235"/>
      <c r="BFV9" s="2235"/>
      <c r="BFW9" s="2235"/>
      <c r="BFX9" s="2235"/>
      <c r="BFY9" s="2235"/>
      <c r="BFZ9" s="2235"/>
      <c r="BGA9" s="2235"/>
      <c r="BGB9" s="2235"/>
      <c r="BGC9" s="2235"/>
      <c r="BGD9" s="2235"/>
      <c r="BGE9" s="2235"/>
      <c r="BGF9" s="2235"/>
      <c r="BGG9" s="2235"/>
      <c r="BGH9" s="2235"/>
      <c r="BGI9" s="2235"/>
      <c r="BGJ9" s="2235"/>
      <c r="BGK9" s="2235"/>
      <c r="BGL9" s="2235"/>
      <c r="BGM9" s="2235"/>
      <c r="BGN9" s="2235"/>
      <c r="BGO9" s="2235"/>
      <c r="BGP9" s="2235"/>
      <c r="BGQ9" s="2235"/>
      <c r="BGR9" s="2235"/>
      <c r="BGS9" s="2235"/>
      <c r="BGT9" s="2235"/>
      <c r="BGU9" s="2235"/>
      <c r="BGV9" s="2235"/>
      <c r="BGW9" s="2235"/>
      <c r="BGX9" s="2235"/>
      <c r="BGY9" s="2235"/>
      <c r="BGZ9" s="2235"/>
      <c r="BHA9" s="2235"/>
      <c r="BHB9" s="2235"/>
      <c r="BHC9" s="2235"/>
      <c r="BHD9" s="2235"/>
      <c r="BHE9" s="2235"/>
      <c r="BHF9" s="2235"/>
      <c r="BHG9" s="2235"/>
      <c r="BHH9" s="2235"/>
      <c r="BHI9" s="2235"/>
      <c r="BHJ9" s="2235"/>
      <c r="BHK9" s="2235"/>
      <c r="BHL9" s="2235"/>
      <c r="BHM9" s="2235"/>
      <c r="BHN9" s="2235"/>
      <c r="BHO9" s="2235"/>
      <c r="BHP9" s="2235"/>
      <c r="BHQ9" s="2235"/>
      <c r="BHR9" s="2235"/>
      <c r="BHS9" s="2235"/>
      <c r="BHT9" s="2235"/>
      <c r="BHU9" s="2235"/>
      <c r="BHV9" s="2235"/>
      <c r="BHW9" s="2235"/>
      <c r="BHX9" s="2235"/>
      <c r="BHY9" s="2235"/>
      <c r="BHZ9" s="2235"/>
      <c r="BIA9" s="2235"/>
      <c r="BIB9" s="2235"/>
      <c r="BIC9" s="2235"/>
      <c r="BID9" s="2235"/>
      <c r="BIE9" s="2235"/>
      <c r="BIF9" s="2235"/>
      <c r="BIG9" s="2235"/>
      <c r="BIH9" s="2235"/>
      <c r="BII9" s="2235"/>
      <c r="BIJ9" s="2235"/>
      <c r="BIK9" s="2235"/>
      <c r="BIL9" s="2235"/>
      <c r="BIM9" s="2235"/>
      <c r="BIN9" s="2235"/>
      <c r="BIO9" s="2235"/>
      <c r="BIP9" s="2235"/>
      <c r="BIQ9" s="2235"/>
      <c r="BIR9" s="2235"/>
      <c r="BIS9" s="2235"/>
      <c r="BIT9" s="2235"/>
      <c r="BIU9" s="2235"/>
      <c r="BIV9" s="2235"/>
      <c r="BIW9" s="2235"/>
      <c r="BIX9" s="2235"/>
      <c r="BIY9" s="2235"/>
      <c r="BIZ9" s="2235"/>
      <c r="BJA9" s="2235"/>
      <c r="BJB9" s="2235"/>
      <c r="BJC9" s="2235"/>
      <c r="BJD9" s="2235"/>
      <c r="BJE9" s="2235"/>
      <c r="BJF9" s="2235"/>
      <c r="BJG9" s="2235"/>
      <c r="BJH9" s="2235"/>
      <c r="BJI9" s="2235"/>
      <c r="BJJ9" s="2235"/>
      <c r="BJK9" s="2235"/>
      <c r="BJL9" s="2235"/>
      <c r="BJM9" s="2235"/>
      <c r="BJN9" s="2235"/>
      <c r="BJO9" s="2235"/>
      <c r="BJP9" s="2235"/>
      <c r="BJQ9" s="2235"/>
      <c r="BJR9" s="2235"/>
      <c r="BJS9" s="2235"/>
      <c r="BJT9" s="2235"/>
      <c r="BJU9" s="2235"/>
      <c r="BJV9" s="2235"/>
      <c r="BJW9" s="2235"/>
      <c r="BJX9" s="2235"/>
      <c r="BJY9" s="2235"/>
      <c r="BJZ9" s="2235"/>
      <c r="BKA9" s="2235"/>
      <c r="BKB9" s="2235"/>
      <c r="BKC9" s="2235"/>
      <c r="BKD9" s="2235"/>
      <c r="BKE9" s="2235"/>
      <c r="BKF9" s="2235"/>
      <c r="BKG9" s="2235"/>
      <c r="BKH9" s="2235"/>
      <c r="BKI9" s="2235"/>
      <c r="BKJ9" s="2235"/>
      <c r="BKK9" s="2235"/>
      <c r="BKL9" s="2235"/>
      <c r="BKM9" s="2235"/>
      <c r="BKN9" s="2235"/>
      <c r="BKO9" s="2235"/>
      <c r="BKP9" s="2235"/>
      <c r="BKQ9" s="2235"/>
      <c r="BKR9" s="2235"/>
      <c r="BKS9" s="2235"/>
      <c r="BKT9" s="2235"/>
      <c r="BKU9" s="2235"/>
      <c r="BKV9" s="2235"/>
      <c r="BKW9" s="2235"/>
      <c r="BKX9" s="2235"/>
      <c r="BKY9" s="2235"/>
      <c r="BKZ9" s="2235"/>
      <c r="BLA9" s="2235"/>
      <c r="BLB9" s="2235"/>
      <c r="BLC9" s="2235"/>
      <c r="BLD9" s="2235"/>
      <c r="BLE9" s="2235"/>
      <c r="BLF9" s="2235"/>
      <c r="BLG9" s="2235"/>
      <c r="BLH9" s="2235"/>
      <c r="BLI9" s="2235"/>
      <c r="BLJ9" s="2235"/>
      <c r="BLK9" s="2235"/>
      <c r="BLL9" s="2235"/>
      <c r="BLM9" s="2235"/>
      <c r="BLN9" s="2235"/>
      <c r="BLO9" s="2235"/>
      <c r="BLP9" s="2235"/>
      <c r="BLQ9" s="2235"/>
      <c r="BLR9" s="2235"/>
      <c r="BLS9" s="2235"/>
      <c r="BLT9" s="2235"/>
      <c r="BLU9" s="2235"/>
      <c r="BLV9" s="2235"/>
      <c r="BLW9" s="2235"/>
      <c r="BLX9" s="2235"/>
      <c r="BLY9" s="2235"/>
      <c r="BLZ9" s="2235"/>
      <c r="BMA9" s="2235"/>
      <c r="BMB9" s="2235"/>
      <c r="BMC9" s="2235"/>
      <c r="BMD9" s="2235"/>
      <c r="BME9" s="2235"/>
      <c r="BMF9" s="2235"/>
      <c r="BMG9" s="2235"/>
      <c r="BMH9" s="2235"/>
      <c r="BMI9" s="2235"/>
      <c r="BMJ9" s="2235"/>
      <c r="BMK9" s="2235"/>
      <c r="BML9" s="2235"/>
      <c r="BMM9" s="2235"/>
      <c r="BMN9" s="2235"/>
      <c r="BMO9" s="2235"/>
      <c r="BMP9" s="2235"/>
      <c r="BMQ9" s="2235"/>
      <c r="BMR9" s="2235"/>
      <c r="BMS9" s="2235"/>
      <c r="BMT9" s="2235"/>
      <c r="BMU9" s="2235"/>
      <c r="BMV9" s="2235"/>
      <c r="BMW9" s="2235"/>
      <c r="BMX9" s="2235"/>
      <c r="BMY9" s="2235"/>
      <c r="BMZ9" s="2235"/>
      <c r="BNA9" s="2235"/>
      <c r="BNB9" s="2235"/>
      <c r="BNC9" s="2235"/>
      <c r="BND9" s="2235"/>
      <c r="BNE9" s="2235"/>
      <c r="BNF9" s="2235"/>
      <c r="BNG9" s="2235"/>
      <c r="BNH9" s="2235"/>
      <c r="BNI9" s="2235"/>
      <c r="BNJ9" s="2235"/>
      <c r="BNK9" s="2235"/>
      <c r="BNL9" s="2235"/>
      <c r="BNM9" s="2235"/>
      <c r="BNN9" s="2235"/>
      <c r="BNO9" s="2235"/>
      <c r="BNP9" s="2235"/>
      <c r="BNQ9" s="2235"/>
      <c r="BNR9" s="2235"/>
      <c r="BNS9" s="2235"/>
      <c r="BNT9" s="2235"/>
      <c r="BNU9" s="2235"/>
      <c r="BNV9" s="2235"/>
      <c r="BNW9" s="2235"/>
      <c r="BNX9" s="2235"/>
      <c r="BNY9" s="2235"/>
      <c r="BNZ9" s="2235"/>
      <c r="BOA9" s="2235"/>
      <c r="BOB9" s="2235"/>
      <c r="BOC9" s="2235"/>
      <c r="BOD9" s="2235"/>
      <c r="BOE9" s="2235"/>
      <c r="BOF9" s="2235"/>
      <c r="BOG9" s="2235"/>
      <c r="BOH9" s="2235"/>
      <c r="BOI9" s="2235"/>
      <c r="BOJ9" s="2235"/>
      <c r="BOK9" s="2235"/>
      <c r="BOL9" s="2235"/>
      <c r="BOM9" s="2235"/>
      <c r="BON9" s="2235"/>
      <c r="BOO9" s="2235"/>
      <c r="BOP9" s="2235"/>
      <c r="BOQ9" s="2235"/>
      <c r="BOR9" s="2235"/>
      <c r="BOS9" s="2235"/>
      <c r="BOT9" s="2235"/>
      <c r="BOU9" s="2235"/>
      <c r="BOV9" s="2235"/>
      <c r="BOW9" s="2235"/>
      <c r="BOX9" s="2235"/>
      <c r="BOY9" s="2235"/>
      <c r="BOZ9" s="2235"/>
      <c r="BPA9" s="2235"/>
      <c r="BPB9" s="2235"/>
      <c r="BPC9" s="2235"/>
      <c r="BPD9" s="2235"/>
      <c r="BPE9" s="2235"/>
      <c r="BPF9" s="2235"/>
      <c r="BPG9" s="2235"/>
      <c r="BPH9" s="2235"/>
      <c r="BPI9" s="2235"/>
      <c r="BPJ9" s="2235"/>
      <c r="BPK9" s="2235"/>
      <c r="BPL9" s="2235"/>
      <c r="BPM9" s="2235"/>
      <c r="BPN9" s="2235"/>
      <c r="BPO9" s="2235"/>
      <c r="BPP9" s="2235"/>
      <c r="BPQ9" s="2235"/>
      <c r="BPR9" s="2235"/>
      <c r="BPS9" s="2235"/>
      <c r="BPT9" s="2235"/>
      <c r="BPU9" s="2235"/>
      <c r="BPV9" s="2235"/>
      <c r="BPW9" s="2235"/>
      <c r="BPX9" s="2235"/>
      <c r="BPY9" s="2235"/>
      <c r="BPZ9" s="2235"/>
      <c r="BQA9" s="2235"/>
      <c r="BQB9" s="2235"/>
      <c r="BQC9" s="2235"/>
      <c r="BQD9" s="2235"/>
      <c r="BQE9" s="2235"/>
      <c r="BQF9" s="2235"/>
      <c r="BQG9" s="2235"/>
      <c r="BQH9" s="2235"/>
      <c r="BQI9" s="2235"/>
      <c r="BQJ9" s="2235"/>
      <c r="BQK9" s="2235"/>
      <c r="BQL9" s="2235"/>
      <c r="BQM9" s="2235"/>
      <c r="BQN9" s="2235"/>
      <c r="BQO9" s="2235"/>
      <c r="BQP9" s="2235"/>
      <c r="BQQ9" s="2235"/>
      <c r="BQR9" s="2235"/>
      <c r="BQS9" s="2235"/>
      <c r="BQT9" s="2235"/>
      <c r="BQU9" s="2235"/>
      <c r="BQV9" s="2235"/>
      <c r="BQW9" s="2235"/>
      <c r="BQX9" s="2235"/>
      <c r="BQY9" s="2235"/>
      <c r="BQZ9" s="2235"/>
      <c r="BRA9" s="2235"/>
      <c r="BRB9" s="2235"/>
      <c r="BRC9" s="2235"/>
      <c r="BRD9" s="2235"/>
      <c r="BRE9" s="2235"/>
      <c r="BRF9" s="2235"/>
      <c r="BRG9" s="2235"/>
      <c r="BRH9" s="2235"/>
      <c r="BRI9" s="2235"/>
      <c r="BRJ9" s="2235"/>
      <c r="BRK9" s="2235"/>
      <c r="BRL9" s="2235"/>
      <c r="BRM9" s="2235"/>
      <c r="BRN9" s="2235"/>
      <c r="BRO9" s="2235"/>
      <c r="BRP9" s="2235"/>
      <c r="BRQ9" s="2235"/>
      <c r="BRR9" s="2235"/>
      <c r="BRS9" s="2235"/>
      <c r="BRT9" s="2235"/>
      <c r="BRU9" s="2235"/>
      <c r="BRV9" s="2235"/>
      <c r="BRW9" s="2235"/>
      <c r="BRX9" s="2235"/>
      <c r="BRY9" s="2235"/>
      <c r="BRZ9" s="2235"/>
      <c r="BSA9" s="2235"/>
      <c r="BSB9" s="2235"/>
      <c r="BSC9" s="2235"/>
      <c r="BSD9" s="2235"/>
      <c r="BSE9" s="2235"/>
      <c r="BSF9" s="2235"/>
      <c r="BSG9" s="2235"/>
      <c r="BSH9" s="2235"/>
      <c r="BSI9" s="2235"/>
      <c r="BSJ9" s="2235"/>
      <c r="BSK9" s="2235"/>
      <c r="BSL9" s="2235"/>
      <c r="BSM9" s="2235"/>
      <c r="BSN9" s="2235"/>
      <c r="BSO9" s="2235"/>
      <c r="BSP9" s="2235"/>
      <c r="BSQ9" s="2235"/>
      <c r="BSR9" s="2235"/>
      <c r="BSS9" s="2235"/>
      <c r="BST9" s="2235"/>
      <c r="BSU9" s="2235"/>
      <c r="BSV9" s="2235"/>
      <c r="BSW9" s="2235"/>
      <c r="BSX9" s="2235"/>
      <c r="BSY9" s="2235"/>
      <c r="BSZ9" s="2235"/>
      <c r="BTA9" s="2235"/>
      <c r="BTB9" s="2235"/>
      <c r="BTC9" s="2235"/>
      <c r="BTD9" s="2235"/>
      <c r="BTE9" s="2235"/>
      <c r="BTF9" s="2235"/>
      <c r="BTG9" s="2235"/>
      <c r="BTH9" s="2235"/>
      <c r="BTI9" s="2235"/>
      <c r="BTJ9" s="2235"/>
      <c r="BTK9" s="2235"/>
      <c r="BTL9" s="2235"/>
      <c r="BTM9" s="2235"/>
      <c r="BTN9" s="2235"/>
      <c r="BTO9" s="2235"/>
      <c r="BTP9" s="2235"/>
      <c r="BTQ9" s="2235"/>
      <c r="BTR9" s="2235"/>
      <c r="BTS9" s="2235"/>
      <c r="BTT9" s="2235"/>
      <c r="BTU9" s="2235"/>
      <c r="BTV9" s="2235"/>
      <c r="BTW9" s="2235"/>
      <c r="BTX9" s="2235"/>
      <c r="BTY9" s="2235"/>
      <c r="BTZ9" s="2235"/>
      <c r="BUA9" s="2235"/>
      <c r="BUB9" s="2235"/>
      <c r="BUC9" s="2235"/>
      <c r="BUD9" s="2235"/>
      <c r="BUE9" s="2235"/>
      <c r="BUF9" s="2235"/>
      <c r="BUG9" s="2235"/>
      <c r="BUH9" s="2235"/>
      <c r="BUI9" s="2235"/>
      <c r="BUJ9" s="2235"/>
      <c r="BUK9" s="2235"/>
      <c r="BUL9" s="2235"/>
      <c r="BUM9" s="2235"/>
      <c r="BUN9" s="2235"/>
      <c r="BUO9" s="2235"/>
      <c r="BUP9" s="2235"/>
      <c r="BUQ9" s="2235"/>
      <c r="BUR9" s="2235"/>
      <c r="BUS9" s="2235"/>
      <c r="BUT9" s="2235"/>
      <c r="BUU9" s="2235"/>
      <c r="BUV9" s="2235"/>
      <c r="BUW9" s="2235"/>
      <c r="BUX9" s="2235"/>
      <c r="BUY9" s="2235"/>
      <c r="BUZ9" s="2235"/>
      <c r="BVA9" s="2235"/>
      <c r="BVB9" s="2235"/>
      <c r="BVC9" s="2235"/>
      <c r="BVD9" s="2235"/>
      <c r="BVE9" s="2235"/>
      <c r="BVF9" s="2235"/>
      <c r="BVG9" s="2235"/>
      <c r="BVH9" s="2235"/>
      <c r="BVI9" s="2235"/>
      <c r="BVJ9" s="2235"/>
      <c r="BVK9" s="2235"/>
      <c r="BVL9" s="2235"/>
      <c r="BVM9" s="2235"/>
      <c r="BVN9" s="2235"/>
      <c r="BVO9" s="2235"/>
      <c r="BVP9" s="2235"/>
      <c r="BVQ9" s="2235"/>
      <c r="BVR9" s="2235"/>
      <c r="BVS9" s="2235"/>
      <c r="BVT9" s="2235"/>
      <c r="BVU9" s="2235"/>
      <c r="BVV9" s="2235"/>
      <c r="BVW9" s="2235"/>
      <c r="BVX9" s="2235"/>
      <c r="BVY9" s="2235"/>
      <c r="BVZ9" s="2235"/>
      <c r="BWA9" s="2235"/>
      <c r="BWB9" s="2235"/>
      <c r="BWC9" s="2235"/>
      <c r="BWD9" s="2235"/>
      <c r="BWE9" s="2235"/>
      <c r="BWF9" s="2235"/>
      <c r="BWG9" s="2235"/>
      <c r="BWH9" s="2235"/>
      <c r="BWI9" s="2235"/>
      <c r="BWJ9" s="2235"/>
      <c r="BWK9" s="2235"/>
      <c r="BWL9" s="2235"/>
      <c r="BWM9" s="2235"/>
      <c r="BWN9" s="2235"/>
      <c r="BWO9" s="2235"/>
      <c r="BWP9" s="2235"/>
      <c r="BWQ9" s="2235"/>
      <c r="BWR9" s="2235"/>
      <c r="BWS9" s="2235"/>
      <c r="BWT9" s="2235"/>
      <c r="BWU9" s="2235"/>
      <c r="BWV9" s="2235"/>
      <c r="BWW9" s="2235"/>
      <c r="BWX9" s="2235"/>
      <c r="BWY9" s="2235"/>
      <c r="BWZ9" s="2235"/>
      <c r="BXA9" s="2235"/>
      <c r="BXB9" s="2235"/>
      <c r="BXC9" s="2235"/>
      <c r="BXD9" s="2235"/>
      <c r="BXE9" s="2235"/>
      <c r="BXF9" s="2235"/>
      <c r="BXG9" s="2235"/>
      <c r="BXH9" s="2235"/>
      <c r="BXI9" s="2235"/>
      <c r="BXJ9" s="2235"/>
      <c r="BXK9" s="2235"/>
      <c r="BXL9" s="2235"/>
      <c r="BXM9" s="2235"/>
      <c r="BXN9" s="2235"/>
      <c r="BXO9" s="2235"/>
      <c r="BXP9" s="2235"/>
      <c r="BXQ9" s="2235"/>
      <c r="BXR9" s="2235"/>
      <c r="BXS9" s="2235"/>
      <c r="BXT9" s="2235"/>
      <c r="BXU9" s="2235"/>
      <c r="BXV9" s="2235"/>
      <c r="BXW9" s="2235"/>
      <c r="BXX9" s="2235"/>
      <c r="BXY9" s="2235"/>
      <c r="BXZ9" s="2235"/>
      <c r="BYA9" s="2235"/>
      <c r="BYB9" s="2235"/>
      <c r="BYC9" s="2235"/>
      <c r="BYD9" s="2235"/>
      <c r="BYE9" s="2235"/>
      <c r="BYF9" s="2235"/>
      <c r="BYG9" s="2235"/>
      <c r="BYH9" s="2235"/>
      <c r="BYI9" s="2235"/>
      <c r="BYJ9" s="2235"/>
      <c r="BYK9" s="2235"/>
      <c r="BYL9" s="2235"/>
      <c r="BYM9" s="2235"/>
      <c r="BYN9" s="2235"/>
      <c r="BYO9" s="2235"/>
      <c r="BYP9" s="2235"/>
      <c r="BYQ9" s="2235"/>
      <c r="BYR9" s="2235"/>
      <c r="BYS9" s="2235"/>
      <c r="BYT9" s="2235"/>
      <c r="BYU9" s="2235"/>
      <c r="BYV9" s="2235"/>
      <c r="BYW9" s="2235"/>
      <c r="BYX9" s="2235"/>
      <c r="BYY9" s="2235"/>
      <c r="BYZ9" s="2235"/>
      <c r="BZA9" s="2235"/>
      <c r="BZB9" s="2235"/>
      <c r="BZC9" s="2235"/>
      <c r="BZD9" s="2235"/>
      <c r="BZE9" s="2235"/>
      <c r="BZF9" s="2235"/>
      <c r="BZG9" s="2235"/>
      <c r="BZH9" s="2235"/>
      <c r="BZI9" s="2235"/>
      <c r="BZJ9" s="2235"/>
      <c r="BZK9" s="2235"/>
      <c r="BZL9" s="2235"/>
      <c r="BZM9" s="2235"/>
      <c r="BZN9" s="2235"/>
      <c r="BZO9" s="2235"/>
      <c r="BZP9" s="2235"/>
      <c r="BZQ9" s="2235"/>
      <c r="BZR9" s="2235"/>
      <c r="BZS9" s="2235"/>
      <c r="BZT9" s="2235"/>
      <c r="BZU9" s="2235"/>
      <c r="BZV9" s="2235"/>
      <c r="BZW9" s="2235"/>
      <c r="BZX9" s="2235"/>
      <c r="BZY9" s="2235"/>
      <c r="BZZ9" s="2235"/>
      <c r="CAA9" s="2235"/>
      <c r="CAB9" s="2235"/>
      <c r="CAC9" s="2235"/>
      <c r="CAD9" s="2235"/>
      <c r="CAE9" s="2235"/>
      <c r="CAF9" s="2235"/>
      <c r="CAG9" s="2235"/>
      <c r="CAH9" s="2235"/>
      <c r="CAI9" s="2235"/>
      <c r="CAJ9" s="2235"/>
      <c r="CAK9" s="2235"/>
      <c r="CAL9" s="2235"/>
      <c r="CAM9" s="2235"/>
      <c r="CAN9" s="2235"/>
      <c r="CAO9" s="2235"/>
      <c r="CAP9" s="2235"/>
      <c r="CAQ9" s="2235"/>
      <c r="CAR9" s="2235"/>
      <c r="CAS9" s="2235"/>
      <c r="CAT9" s="2235"/>
      <c r="CAU9" s="2235"/>
      <c r="CAV9" s="2235"/>
      <c r="CAW9" s="2235"/>
      <c r="CAX9" s="2235"/>
      <c r="CAY9" s="2235"/>
      <c r="CAZ9" s="2235"/>
      <c r="CBA9" s="2235"/>
      <c r="CBB9" s="2235"/>
      <c r="CBC9" s="2235"/>
      <c r="CBD9" s="2235"/>
      <c r="CBE9" s="2235"/>
      <c r="CBF9" s="2235"/>
      <c r="CBG9" s="2235"/>
      <c r="CBH9" s="2235"/>
      <c r="CBI9" s="2235"/>
      <c r="CBJ9" s="2235"/>
      <c r="CBK9" s="2235"/>
      <c r="CBL9" s="2235"/>
      <c r="CBM9" s="2235"/>
      <c r="CBN9" s="2235"/>
      <c r="CBO9" s="2235"/>
      <c r="CBP9" s="2235"/>
      <c r="CBQ9" s="2235"/>
      <c r="CBR9" s="2235"/>
      <c r="CBS9" s="2235"/>
      <c r="CBT9" s="2235"/>
      <c r="CBU9" s="2235"/>
      <c r="CBV9" s="2235"/>
      <c r="CBW9" s="2235"/>
      <c r="CBX9" s="2235"/>
      <c r="CBY9" s="2235"/>
      <c r="CBZ9" s="2235"/>
      <c r="CCA9" s="2235"/>
      <c r="CCB9" s="2235"/>
      <c r="CCC9" s="2235"/>
      <c r="CCD9" s="2235"/>
      <c r="CCE9" s="2235"/>
      <c r="CCF9" s="2235"/>
      <c r="CCG9" s="2235"/>
      <c r="CCH9" s="2235"/>
      <c r="CCI9" s="2235"/>
      <c r="CCJ9" s="2235"/>
      <c r="CCK9" s="2235"/>
      <c r="CCL9" s="2235"/>
      <c r="CCM9" s="2235"/>
      <c r="CCN9" s="2235"/>
      <c r="CCO9" s="2235"/>
      <c r="CCP9" s="2235"/>
      <c r="CCQ9" s="2235"/>
      <c r="CCR9" s="2235"/>
      <c r="CCS9" s="2235"/>
      <c r="CCT9" s="2235"/>
      <c r="CCU9" s="2235"/>
      <c r="CCV9" s="2235"/>
      <c r="CCW9" s="2235"/>
      <c r="CCX9" s="2235"/>
      <c r="CCY9" s="2235"/>
      <c r="CCZ9" s="2235"/>
      <c r="CDA9" s="2235"/>
      <c r="CDB9" s="2235"/>
      <c r="CDC9" s="2235"/>
      <c r="CDD9" s="2235"/>
      <c r="CDE9" s="2235"/>
      <c r="CDF9" s="2235"/>
      <c r="CDG9" s="2235"/>
      <c r="CDH9" s="2235"/>
      <c r="CDI9" s="2235"/>
      <c r="CDJ9" s="2235"/>
      <c r="CDK9" s="2235"/>
      <c r="CDL9" s="2235"/>
      <c r="CDM9" s="2235"/>
      <c r="CDN9" s="2235"/>
      <c r="CDO9" s="2235"/>
      <c r="CDP9" s="2235"/>
      <c r="CDQ9" s="2235"/>
      <c r="CDR9" s="2235"/>
      <c r="CDS9" s="2235"/>
      <c r="CDT9" s="2235"/>
      <c r="CDU9" s="2235"/>
      <c r="CDV9" s="2235"/>
      <c r="CDW9" s="2235"/>
      <c r="CDX9" s="2235"/>
      <c r="CDY9" s="2235"/>
      <c r="CDZ9" s="2235"/>
      <c r="CEA9" s="2235"/>
      <c r="CEB9" s="2235"/>
      <c r="CEC9" s="2235"/>
      <c r="CED9" s="2235"/>
      <c r="CEE9" s="2235"/>
      <c r="CEF9" s="2235"/>
      <c r="CEG9" s="2235"/>
      <c r="CEH9" s="2235"/>
      <c r="CEI9" s="2235"/>
      <c r="CEJ9" s="2235"/>
      <c r="CEK9" s="2235"/>
      <c r="CEL9" s="2235"/>
      <c r="CEM9" s="2235"/>
      <c r="CEN9" s="2235"/>
      <c r="CEO9" s="2235"/>
      <c r="CEP9" s="2235"/>
      <c r="CEQ9" s="2235"/>
      <c r="CER9" s="2235"/>
      <c r="CES9" s="2235"/>
      <c r="CET9" s="2235"/>
      <c r="CEU9" s="2235"/>
      <c r="CEV9" s="2235"/>
      <c r="CEW9" s="2235"/>
      <c r="CEX9" s="2235"/>
      <c r="CEY9" s="2235"/>
      <c r="CEZ9" s="2235"/>
      <c r="CFA9" s="2235"/>
      <c r="CFB9" s="2235"/>
      <c r="CFC9" s="2235"/>
      <c r="CFD9" s="2235"/>
      <c r="CFE9" s="2235"/>
      <c r="CFF9" s="2235"/>
      <c r="CFG9" s="2235"/>
      <c r="CFH9" s="2235"/>
      <c r="CFI9" s="2235"/>
      <c r="CFJ9" s="2235"/>
      <c r="CFK9" s="2235"/>
      <c r="CFL9" s="2235"/>
      <c r="CFM9" s="2235"/>
      <c r="CFN9" s="2235"/>
      <c r="CFO9" s="2235"/>
      <c r="CFP9" s="2235"/>
      <c r="CFQ9" s="2235"/>
      <c r="CFR9" s="2235"/>
      <c r="CFS9" s="2235"/>
      <c r="CFT9" s="2235"/>
      <c r="CFU9" s="2235"/>
      <c r="CFV9" s="2235"/>
      <c r="CFW9" s="2235"/>
      <c r="CFX9" s="2235"/>
      <c r="CFY9" s="2235"/>
      <c r="CFZ9" s="2235"/>
      <c r="CGA9" s="2235"/>
      <c r="CGB9" s="2235"/>
      <c r="CGC9" s="2235"/>
      <c r="CGD9" s="2235"/>
      <c r="CGE9" s="2235"/>
      <c r="CGF9" s="2235"/>
      <c r="CGG9" s="2235"/>
      <c r="CGH9" s="2235"/>
      <c r="CGI9" s="2235"/>
      <c r="CGJ9" s="2235"/>
      <c r="CGK9" s="2235"/>
      <c r="CGL9" s="2235"/>
      <c r="CGM9" s="2235"/>
      <c r="CGN9" s="2235"/>
      <c r="CGO9" s="2235"/>
      <c r="CGP9" s="2235"/>
      <c r="CGQ9" s="2235"/>
      <c r="CGR9" s="2235"/>
      <c r="CGS9" s="2235"/>
      <c r="CGT9" s="2235"/>
      <c r="CGU9" s="2235"/>
      <c r="CGV9" s="2235"/>
      <c r="CGW9" s="2235"/>
      <c r="CGX9" s="2235"/>
      <c r="CGY9" s="2235"/>
      <c r="CGZ9" s="2235"/>
      <c r="CHA9" s="2235"/>
      <c r="CHB9" s="2235"/>
      <c r="CHC9" s="2235"/>
      <c r="CHD9" s="2235"/>
      <c r="CHE9" s="2235"/>
      <c r="CHF9" s="2235"/>
      <c r="CHG9" s="2235"/>
      <c r="CHH9" s="2235"/>
      <c r="CHI9" s="2235"/>
      <c r="CHJ9" s="2235"/>
      <c r="CHK9" s="2235"/>
      <c r="CHL9" s="2235"/>
      <c r="CHM9" s="2235"/>
      <c r="CHN9" s="2235"/>
      <c r="CHO9" s="2235"/>
      <c r="CHP9" s="2235"/>
      <c r="CHQ9" s="2235"/>
      <c r="CHR9" s="2235"/>
      <c r="CHS9" s="2235"/>
      <c r="CHT9" s="2235"/>
      <c r="CHU9" s="2235"/>
      <c r="CHV9" s="2235"/>
      <c r="CHW9" s="2235"/>
      <c r="CHX9" s="2235"/>
      <c r="CHY9" s="2235"/>
      <c r="CHZ9" s="2235"/>
      <c r="CIA9" s="2235"/>
      <c r="CIB9" s="2235"/>
      <c r="CIC9" s="2235"/>
      <c r="CID9" s="2235"/>
      <c r="CIE9" s="2235"/>
      <c r="CIF9" s="2235"/>
      <c r="CIG9" s="2235"/>
      <c r="CIH9" s="2235"/>
      <c r="CII9" s="2235"/>
      <c r="CIJ9" s="2235"/>
      <c r="CIK9" s="2235"/>
      <c r="CIL9" s="2235"/>
      <c r="CIM9" s="2235"/>
      <c r="CIN9" s="2235"/>
      <c r="CIO9" s="2235"/>
      <c r="CIP9" s="2235"/>
      <c r="CIQ9" s="2235"/>
      <c r="CIR9" s="2235"/>
      <c r="CIS9" s="2235"/>
      <c r="CIT9" s="2235"/>
      <c r="CIU9" s="2235"/>
      <c r="CIV9" s="2235"/>
      <c r="CIW9" s="2235"/>
      <c r="CIX9" s="2235"/>
      <c r="CIY9" s="2235"/>
      <c r="CIZ9" s="2235"/>
      <c r="CJA9" s="2235"/>
      <c r="CJB9" s="2235"/>
      <c r="CJC9" s="2235"/>
      <c r="CJD9" s="2235"/>
      <c r="CJE9" s="2235"/>
      <c r="CJF9" s="2235"/>
      <c r="CJG9" s="2235"/>
      <c r="CJH9" s="2235"/>
      <c r="CJI9" s="2235"/>
      <c r="CJJ9" s="2235"/>
      <c r="CJK9" s="2235"/>
      <c r="CJL9" s="2235"/>
      <c r="CJM9" s="2235"/>
      <c r="CJN9" s="2235"/>
      <c r="CJO9" s="2235"/>
      <c r="CJP9" s="2235"/>
      <c r="CJQ9" s="2235"/>
      <c r="CJR9" s="2235"/>
      <c r="CJS9" s="2235"/>
      <c r="CJT9" s="2235"/>
      <c r="CJU9" s="2235"/>
      <c r="CJV9" s="2235"/>
      <c r="CJW9" s="2235"/>
      <c r="CJX9" s="2235"/>
      <c r="CJY9" s="2235"/>
      <c r="CJZ9" s="2235"/>
      <c r="CKA9" s="2235"/>
      <c r="CKB9" s="2235"/>
      <c r="CKC9" s="2235"/>
      <c r="CKD9" s="2235"/>
      <c r="CKE9" s="2235"/>
      <c r="CKF9" s="2235"/>
      <c r="CKG9" s="2235"/>
      <c r="CKH9" s="2235"/>
      <c r="CKI9" s="2235"/>
      <c r="CKJ9" s="2235"/>
      <c r="CKK9" s="2235"/>
      <c r="CKL9" s="2235"/>
      <c r="CKM9" s="2235"/>
      <c r="CKN9" s="2235"/>
      <c r="CKO9" s="2235"/>
      <c r="CKP9" s="2235"/>
      <c r="CKQ9" s="2235"/>
      <c r="CKR9" s="2235"/>
      <c r="CKS9" s="2235"/>
      <c r="CKT9" s="2235"/>
      <c r="CKU9" s="2235"/>
      <c r="CKV9" s="2235"/>
      <c r="CKW9" s="2235"/>
      <c r="CKX9" s="2235"/>
      <c r="CKY9" s="2235"/>
      <c r="CKZ9" s="2235"/>
      <c r="CLA9" s="2235"/>
      <c r="CLB9" s="2235"/>
      <c r="CLC9" s="2235"/>
      <c r="CLD9" s="2235"/>
      <c r="CLE9" s="2235"/>
      <c r="CLF9" s="2235"/>
      <c r="CLG9" s="2235"/>
      <c r="CLH9" s="2235"/>
      <c r="CLI9" s="2235"/>
      <c r="CLJ9" s="2235"/>
      <c r="CLK9" s="2235"/>
      <c r="CLL9" s="2235"/>
      <c r="CLM9" s="2235"/>
      <c r="CLN9" s="2235"/>
      <c r="CLO9" s="2235"/>
      <c r="CLP9" s="2235"/>
      <c r="CLQ9" s="2235"/>
      <c r="CLR9" s="2235"/>
      <c r="CLS9" s="2235"/>
      <c r="CLT9" s="2235"/>
      <c r="CLU9" s="2235"/>
      <c r="CLV9" s="2235"/>
      <c r="CLW9" s="2235"/>
      <c r="CLX9" s="2235"/>
      <c r="CLY9" s="2235"/>
      <c r="CLZ9" s="2235"/>
      <c r="CMA9" s="2235"/>
      <c r="CMB9" s="2235"/>
      <c r="CMC9" s="2235"/>
      <c r="CMD9" s="2235"/>
      <c r="CME9" s="2235"/>
      <c r="CMF9" s="2235"/>
      <c r="CMG9" s="2235"/>
      <c r="CMH9" s="2235"/>
      <c r="CMI9" s="2235"/>
      <c r="CMJ9" s="2235"/>
      <c r="CMK9" s="2235"/>
      <c r="CML9" s="2235"/>
      <c r="CMM9" s="2235"/>
      <c r="CMN9" s="2235"/>
      <c r="CMO9" s="2235"/>
      <c r="CMP9" s="2235"/>
      <c r="CMQ9" s="2235"/>
      <c r="CMR9" s="2235"/>
      <c r="CMS9" s="2235"/>
      <c r="CMT9" s="2235"/>
      <c r="CMU9" s="2235"/>
      <c r="CMV9" s="2235"/>
      <c r="CMW9" s="2235"/>
      <c r="CMX9" s="2235"/>
      <c r="CMY9" s="2235"/>
      <c r="CMZ9" s="2235"/>
      <c r="CNA9" s="2235"/>
      <c r="CNB9" s="2235"/>
      <c r="CNC9" s="2235"/>
      <c r="CND9" s="2235"/>
      <c r="CNE9" s="2235"/>
      <c r="CNF9" s="2235"/>
      <c r="CNG9" s="2235"/>
      <c r="CNH9" s="2235"/>
      <c r="CNI9" s="2235"/>
      <c r="CNJ9" s="2235"/>
      <c r="CNK9" s="2235"/>
      <c r="CNL9" s="2235"/>
      <c r="CNM9" s="2235"/>
      <c r="CNN9" s="2235"/>
      <c r="CNO9" s="2235"/>
      <c r="CNP9" s="2235"/>
      <c r="CNQ9" s="2235"/>
      <c r="CNR9" s="2235"/>
      <c r="CNS9" s="2235"/>
      <c r="CNT9" s="2235"/>
      <c r="CNU9" s="2235"/>
      <c r="CNV9" s="2235"/>
      <c r="CNW9" s="2235"/>
      <c r="CNX9" s="2235"/>
      <c r="CNY9" s="2235"/>
      <c r="CNZ9" s="2235"/>
      <c r="COA9" s="2235"/>
      <c r="COB9" s="2235"/>
      <c r="COC9" s="2235"/>
      <c r="COD9" s="2235"/>
      <c r="COE9" s="2235"/>
      <c r="COF9" s="2235"/>
      <c r="COG9" s="2235"/>
      <c r="COH9" s="2235"/>
      <c r="COI9" s="2235"/>
      <c r="COJ9" s="2235"/>
      <c r="COK9" s="2235"/>
      <c r="COL9" s="2235"/>
      <c r="COM9" s="2235"/>
      <c r="CON9" s="2235"/>
      <c r="COO9" s="2235"/>
      <c r="COP9" s="2235"/>
      <c r="COQ9" s="2235"/>
      <c r="COR9" s="2235"/>
      <c r="COS9" s="2235"/>
      <c r="COT9" s="2235"/>
      <c r="COU9" s="2235"/>
      <c r="COV9" s="2235"/>
      <c r="COW9" s="2235"/>
      <c r="COX9" s="2235"/>
      <c r="COY9" s="2235"/>
      <c r="COZ9" s="2235"/>
      <c r="CPA9" s="2235"/>
      <c r="CPB9" s="2235"/>
      <c r="CPC9" s="2235"/>
      <c r="CPD9" s="2235"/>
      <c r="CPE9" s="2235"/>
      <c r="CPF9" s="2235"/>
      <c r="CPG9" s="2235"/>
      <c r="CPH9" s="2235"/>
      <c r="CPI9" s="2235"/>
      <c r="CPJ9" s="2235"/>
      <c r="CPK9" s="2235"/>
      <c r="CPL9" s="2235"/>
      <c r="CPM9" s="2235"/>
      <c r="CPN9" s="2235"/>
      <c r="CPO9" s="2235"/>
      <c r="CPP9" s="2235"/>
      <c r="CPQ9" s="2235"/>
      <c r="CPR9" s="2235"/>
      <c r="CPS9" s="2235"/>
      <c r="CPT9" s="2235"/>
      <c r="CPU9" s="2235"/>
      <c r="CPV9" s="2235"/>
      <c r="CPW9" s="2235"/>
      <c r="CPX9" s="2235"/>
      <c r="CPY9" s="2235"/>
      <c r="CPZ9" s="2235"/>
      <c r="CQA9" s="2235"/>
      <c r="CQB9" s="2235"/>
      <c r="CQC9" s="2235"/>
      <c r="CQD9" s="2235"/>
      <c r="CQE9" s="2235"/>
      <c r="CQF9" s="2235"/>
      <c r="CQG9" s="2235"/>
      <c r="CQH9" s="2235"/>
      <c r="CQI9" s="2235"/>
      <c r="CQJ9" s="2235"/>
      <c r="CQK9" s="2235"/>
      <c r="CQL9" s="2235"/>
      <c r="CQM9" s="2235"/>
      <c r="CQN9" s="2235"/>
      <c r="CQO9" s="2235"/>
      <c r="CQP9" s="2235"/>
      <c r="CQQ9" s="2235"/>
      <c r="CQR9" s="2235"/>
      <c r="CQS9" s="2235"/>
      <c r="CQT9" s="2235"/>
      <c r="CQU9" s="2235"/>
      <c r="CQV9" s="2235"/>
      <c r="CQW9" s="2235"/>
      <c r="CQX9" s="2235"/>
      <c r="CQY9" s="2235"/>
      <c r="CQZ9" s="2235"/>
      <c r="CRA9" s="2235"/>
      <c r="CRB9" s="2235"/>
      <c r="CRC9" s="2235"/>
      <c r="CRD9" s="2235"/>
      <c r="CRE9" s="2235"/>
      <c r="CRF9" s="2235"/>
      <c r="CRG9" s="2235"/>
      <c r="CRH9" s="2235"/>
      <c r="CRI9" s="2235"/>
      <c r="CRJ9" s="2235"/>
      <c r="CRK9" s="2235"/>
      <c r="CRL9" s="2235"/>
      <c r="CRM9" s="2235"/>
      <c r="CRN9" s="2235"/>
      <c r="CRO9" s="2235"/>
      <c r="CRP9" s="2235"/>
      <c r="CRQ9" s="2235"/>
      <c r="CRR9" s="2235"/>
      <c r="CRS9" s="2235"/>
      <c r="CRT9" s="2235"/>
      <c r="CRU9" s="2235"/>
      <c r="CRV9" s="2235"/>
      <c r="CRW9" s="2235"/>
      <c r="CRX9" s="2235"/>
      <c r="CRY9" s="2235"/>
      <c r="CRZ9" s="2235"/>
      <c r="CSA9" s="2235"/>
      <c r="CSB9" s="2235"/>
      <c r="CSC9" s="2235"/>
      <c r="CSD9" s="2235"/>
      <c r="CSE9" s="2235"/>
      <c r="CSF9" s="2235"/>
      <c r="CSG9" s="2235"/>
      <c r="CSH9" s="2235"/>
      <c r="CSI9" s="2235"/>
      <c r="CSJ9" s="2235"/>
      <c r="CSK9" s="2235"/>
      <c r="CSL9" s="2235"/>
      <c r="CSM9" s="2235"/>
      <c r="CSN9" s="2235"/>
      <c r="CSO9" s="2235"/>
      <c r="CSP9" s="2235"/>
      <c r="CSQ9" s="2235"/>
      <c r="CSR9" s="2235"/>
      <c r="CSS9" s="2235"/>
      <c r="CST9" s="2235"/>
      <c r="CSU9" s="2235"/>
      <c r="CSV9" s="2235"/>
      <c r="CSW9" s="2235"/>
      <c r="CSX9" s="2235"/>
      <c r="CSY9" s="2235"/>
      <c r="CSZ9" s="2235"/>
      <c r="CTA9" s="2235"/>
      <c r="CTB9" s="2235"/>
      <c r="CTC9" s="2235"/>
      <c r="CTD9" s="2235"/>
      <c r="CTE9" s="2235"/>
      <c r="CTF9" s="2235"/>
      <c r="CTG9" s="2235"/>
      <c r="CTH9" s="2235"/>
      <c r="CTI9" s="2235"/>
      <c r="CTJ9" s="2235"/>
      <c r="CTK9" s="2235"/>
      <c r="CTL9" s="2235"/>
      <c r="CTM9" s="2235"/>
      <c r="CTN9" s="2235"/>
      <c r="CTO9" s="2235"/>
      <c r="CTP9" s="2235"/>
      <c r="CTQ9" s="2235"/>
      <c r="CTR9" s="2235"/>
      <c r="CTS9" s="2235"/>
      <c r="CTT9" s="2235"/>
      <c r="CTU9" s="2235"/>
      <c r="CTV9" s="2235"/>
      <c r="CTW9" s="2235"/>
      <c r="CTX9" s="2235"/>
      <c r="CTY9" s="2235"/>
      <c r="CTZ9" s="2235"/>
      <c r="CUA9" s="2235"/>
      <c r="CUB9" s="2235"/>
      <c r="CUC9" s="2235"/>
      <c r="CUD9" s="2235"/>
      <c r="CUE9" s="2235"/>
      <c r="CUF9" s="2235"/>
      <c r="CUG9" s="2235"/>
      <c r="CUH9" s="2235"/>
      <c r="CUI9" s="2235"/>
      <c r="CUJ9" s="2235"/>
      <c r="CUK9" s="2235"/>
      <c r="CUL9" s="2235"/>
      <c r="CUM9" s="2235"/>
      <c r="CUN9" s="2235"/>
      <c r="CUO9" s="2235"/>
      <c r="CUP9" s="2235"/>
      <c r="CUQ9" s="2235"/>
      <c r="CUR9" s="2235"/>
      <c r="CUS9" s="2235"/>
      <c r="CUT9" s="2235"/>
      <c r="CUU9" s="2235"/>
      <c r="CUV9" s="2235"/>
      <c r="CUW9" s="2235"/>
      <c r="CUX9" s="2235"/>
      <c r="CUY9" s="2235"/>
      <c r="CUZ9" s="2235"/>
      <c r="CVA9" s="2235"/>
      <c r="CVB9" s="2235"/>
      <c r="CVC9" s="2235"/>
      <c r="CVD9" s="2235"/>
      <c r="CVE9" s="2235"/>
      <c r="CVF9" s="2235"/>
      <c r="CVG9" s="2235"/>
      <c r="CVH9" s="2235"/>
      <c r="CVI9" s="2235"/>
      <c r="CVJ9" s="2235"/>
      <c r="CVK9" s="2235"/>
      <c r="CVL9" s="2235"/>
      <c r="CVM9" s="2235"/>
      <c r="CVN9" s="2235"/>
      <c r="CVO9" s="2235"/>
      <c r="CVP9" s="2235"/>
      <c r="CVQ9" s="2235"/>
      <c r="CVR9" s="2235"/>
      <c r="CVS9" s="2235"/>
      <c r="CVT9" s="2235"/>
      <c r="CVU9" s="2235"/>
      <c r="CVV9" s="2235"/>
      <c r="CVW9" s="2235"/>
      <c r="CVX9" s="2235"/>
      <c r="CVY9" s="2235"/>
      <c r="CVZ9" s="2235"/>
      <c r="CWA9" s="2235"/>
      <c r="CWB9" s="2235"/>
      <c r="CWC9" s="2235"/>
      <c r="CWD9" s="2235"/>
      <c r="CWE9" s="2235"/>
      <c r="CWF9" s="2235"/>
      <c r="CWG9" s="2235"/>
      <c r="CWH9" s="2235"/>
      <c r="CWI9" s="2235"/>
      <c r="CWJ9" s="2235"/>
      <c r="CWK9" s="2235"/>
      <c r="CWL9" s="2235"/>
      <c r="CWM9" s="2235"/>
      <c r="CWN9" s="2235"/>
      <c r="CWO9" s="2235"/>
      <c r="CWP9" s="2235"/>
      <c r="CWQ9" s="2235"/>
      <c r="CWR9" s="2235"/>
      <c r="CWS9" s="2235"/>
      <c r="CWT9" s="2235"/>
      <c r="CWU9" s="2235"/>
      <c r="CWV9" s="2235"/>
      <c r="CWW9" s="2235"/>
      <c r="CWX9" s="2235"/>
      <c r="CWY9" s="2235"/>
      <c r="CWZ9" s="2235"/>
      <c r="CXA9" s="2235"/>
      <c r="CXB9" s="2235"/>
      <c r="CXC9" s="2235"/>
      <c r="CXD9" s="2235"/>
      <c r="CXE9" s="2235"/>
      <c r="CXF9" s="2235"/>
      <c r="CXG9" s="2235"/>
      <c r="CXH9" s="2235"/>
      <c r="CXI9" s="2235"/>
      <c r="CXJ9" s="2235"/>
      <c r="CXK9" s="2235"/>
      <c r="CXL9" s="2235"/>
      <c r="CXM9" s="2235"/>
      <c r="CXN9" s="2235"/>
      <c r="CXO9" s="2235"/>
      <c r="CXP9" s="2235"/>
      <c r="CXQ9" s="2235"/>
      <c r="CXR9" s="2235"/>
      <c r="CXS9" s="2235"/>
      <c r="CXT9" s="2235"/>
      <c r="CXU9" s="2235"/>
      <c r="CXV9" s="2235"/>
      <c r="CXW9" s="2235"/>
      <c r="CXX9" s="2235"/>
      <c r="CXY9" s="2235"/>
      <c r="CXZ9" s="2235"/>
      <c r="CYA9" s="2235"/>
      <c r="CYB9" s="2235"/>
      <c r="CYC9" s="2235"/>
      <c r="CYD9" s="2235"/>
      <c r="CYE9" s="2235"/>
      <c r="CYF9" s="2235"/>
      <c r="CYG9" s="2235"/>
      <c r="CYH9" s="2235"/>
      <c r="CYI9" s="2235"/>
      <c r="CYJ9" s="2235"/>
      <c r="CYK9" s="2235"/>
      <c r="CYL9" s="2235"/>
      <c r="CYM9" s="2235"/>
      <c r="CYN9" s="2235"/>
      <c r="CYO9" s="2235"/>
      <c r="CYP9" s="2235"/>
      <c r="CYQ9" s="2235"/>
      <c r="CYR9" s="2235"/>
      <c r="CYS9" s="2235"/>
      <c r="CYT9" s="2235"/>
      <c r="CYU9" s="2235"/>
      <c r="CYV9" s="2235"/>
      <c r="CYW9" s="2235"/>
      <c r="CYX9" s="2235"/>
      <c r="CYY9" s="2235"/>
      <c r="CYZ9" s="2235"/>
      <c r="CZA9" s="2235"/>
      <c r="CZB9" s="2235"/>
      <c r="CZC9" s="2235"/>
      <c r="CZD9" s="2235"/>
      <c r="CZE9" s="2235"/>
      <c r="CZF9" s="2235"/>
      <c r="CZG9" s="2235"/>
      <c r="CZH9" s="2235"/>
      <c r="CZI9" s="2235"/>
      <c r="CZJ9" s="2235"/>
      <c r="CZK9" s="2235"/>
      <c r="CZL9" s="2235"/>
      <c r="CZM9" s="2235"/>
      <c r="CZN9" s="2235"/>
      <c r="CZO9" s="2235"/>
      <c r="CZP9" s="2235"/>
      <c r="CZQ9" s="2235"/>
      <c r="CZR9" s="2235"/>
      <c r="CZS9" s="2235"/>
      <c r="CZT9" s="2235"/>
      <c r="CZU9" s="2235"/>
      <c r="CZV9" s="2235"/>
      <c r="CZW9" s="2235"/>
      <c r="CZX9" s="2235"/>
      <c r="CZY9" s="2235"/>
      <c r="CZZ9" s="2235"/>
      <c r="DAA9" s="2235"/>
      <c r="DAB9" s="2235"/>
      <c r="DAC9" s="2235"/>
      <c r="DAD9" s="2235"/>
      <c r="DAE9" s="2235"/>
      <c r="DAF9" s="2235"/>
      <c r="DAG9" s="2235"/>
      <c r="DAH9" s="2235"/>
      <c r="DAI9" s="2235"/>
      <c r="DAJ9" s="2235"/>
      <c r="DAK9" s="2235"/>
      <c r="DAL9" s="2235"/>
      <c r="DAM9" s="2235"/>
      <c r="DAN9" s="2235"/>
      <c r="DAO9" s="2235"/>
      <c r="DAP9" s="2235"/>
      <c r="DAQ9" s="2235"/>
      <c r="DAR9" s="2235"/>
      <c r="DAS9" s="2235"/>
      <c r="DAT9" s="2235"/>
      <c r="DAU9" s="2235"/>
      <c r="DAV9" s="2235"/>
      <c r="DAW9" s="2235"/>
      <c r="DAX9" s="2235"/>
      <c r="DAY9" s="2235"/>
      <c r="DAZ9" s="2235"/>
      <c r="DBA9" s="2235"/>
      <c r="DBB9" s="2235"/>
      <c r="DBC9" s="2235"/>
      <c r="DBD9" s="2235"/>
      <c r="DBE9" s="2235"/>
      <c r="DBF9" s="2235"/>
      <c r="DBG9" s="2235"/>
      <c r="DBH9" s="2235"/>
      <c r="DBI9" s="2235"/>
      <c r="DBJ9" s="2235"/>
      <c r="DBK9" s="2235"/>
      <c r="DBL9" s="2235"/>
      <c r="DBM9" s="2235"/>
      <c r="DBN9" s="2235"/>
      <c r="DBO9" s="2235"/>
      <c r="DBP9" s="2235"/>
      <c r="DBQ9" s="2235"/>
      <c r="DBR9" s="2235"/>
      <c r="DBS9" s="2235"/>
      <c r="DBT9" s="2235"/>
      <c r="DBU9" s="2235"/>
      <c r="DBV9" s="2235"/>
      <c r="DBW9" s="2235"/>
      <c r="DBX9" s="2235"/>
      <c r="DBY9" s="2235"/>
      <c r="DBZ9" s="2235"/>
      <c r="DCA9" s="2235"/>
      <c r="DCB9" s="2235"/>
      <c r="DCC9" s="2235"/>
      <c r="DCD9" s="2235"/>
      <c r="DCE9" s="2235"/>
      <c r="DCF9" s="2235"/>
      <c r="DCG9" s="2235"/>
      <c r="DCH9" s="2235"/>
      <c r="DCI9" s="2235"/>
      <c r="DCJ9" s="2235"/>
      <c r="DCK9" s="2235"/>
      <c r="DCL9" s="2235"/>
      <c r="DCM9" s="2235"/>
      <c r="DCN9" s="2235"/>
      <c r="DCO9" s="2235"/>
      <c r="DCP9" s="2235"/>
      <c r="DCQ9" s="2235"/>
      <c r="DCR9" s="2235"/>
      <c r="DCS9" s="2235"/>
      <c r="DCT9" s="2235"/>
      <c r="DCU9" s="2235"/>
      <c r="DCV9" s="2235"/>
      <c r="DCW9" s="2235"/>
      <c r="DCX9" s="2235"/>
      <c r="DCY9" s="2235"/>
      <c r="DCZ9" s="2235"/>
      <c r="DDA9" s="2235"/>
      <c r="DDB9" s="2235"/>
      <c r="DDC9" s="2235"/>
      <c r="DDD9" s="2235"/>
      <c r="DDE9" s="2235"/>
      <c r="DDF9" s="2235"/>
      <c r="DDG9" s="2235"/>
      <c r="DDH9" s="2235"/>
      <c r="DDI9" s="2235"/>
      <c r="DDJ9" s="2235"/>
      <c r="DDK9" s="2235"/>
      <c r="DDL9" s="2235"/>
      <c r="DDM9" s="2235"/>
      <c r="DDN9" s="2235"/>
      <c r="DDO9" s="2235"/>
      <c r="DDP9" s="2235"/>
      <c r="DDQ9" s="2235"/>
      <c r="DDR9" s="2235"/>
      <c r="DDS9" s="2235"/>
      <c r="DDT9" s="2235"/>
      <c r="DDU9" s="2235"/>
      <c r="DDV9" s="2235"/>
      <c r="DDW9" s="2235"/>
      <c r="DDX9" s="2235"/>
      <c r="DDY9" s="2235"/>
      <c r="DDZ9" s="2235"/>
      <c r="DEA9" s="2235"/>
      <c r="DEB9" s="2235"/>
      <c r="DEC9" s="2235"/>
      <c r="DED9" s="2235"/>
      <c r="DEE9" s="2235"/>
      <c r="DEF9" s="2235"/>
      <c r="DEG9" s="2235"/>
      <c r="DEH9" s="2235"/>
      <c r="DEI9" s="2235"/>
      <c r="DEJ9" s="2235"/>
      <c r="DEK9" s="2235"/>
      <c r="DEL9" s="2235"/>
      <c r="DEM9" s="2235"/>
      <c r="DEN9" s="2235"/>
      <c r="DEO9" s="2235"/>
      <c r="DEP9" s="2235"/>
      <c r="DEQ9" s="2235"/>
      <c r="DER9" s="2235"/>
      <c r="DES9" s="2235"/>
      <c r="DET9" s="2235"/>
      <c r="DEU9" s="2235"/>
      <c r="DEV9" s="2235"/>
      <c r="DEW9" s="2235"/>
      <c r="DEX9" s="2235"/>
      <c r="DEY9" s="2235"/>
      <c r="DEZ9" s="2235"/>
      <c r="DFA9" s="2235"/>
      <c r="DFB9" s="2235"/>
      <c r="DFC9" s="2235"/>
      <c r="DFD9" s="2235"/>
      <c r="DFE9" s="2235"/>
      <c r="DFF9" s="2235"/>
      <c r="DFG9" s="2235"/>
      <c r="DFH9" s="2235"/>
      <c r="DFI9" s="2235"/>
      <c r="DFJ9" s="2235"/>
      <c r="DFK9" s="2235"/>
      <c r="DFL9" s="2235"/>
      <c r="DFM9" s="2235"/>
      <c r="DFN9" s="2235"/>
      <c r="DFO9" s="2235"/>
      <c r="DFP9" s="2235"/>
      <c r="DFQ9" s="2235"/>
      <c r="DFR9" s="2235"/>
      <c r="DFS9" s="2235"/>
      <c r="DFT9" s="2235"/>
      <c r="DFU9" s="2235"/>
      <c r="DFV9" s="2235"/>
      <c r="DFW9" s="2235"/>
      <c r="DFX9" s="2235"/>
      <c r="DFY9" s="2235"/>
      <c r="DFZ9" s="2235"/>
      <c r="DGA9" s="2235"/>
      <c r="DGB9" s="2235"/>
      <c r="DGC9" s="2235"/>
      <c r="DGD9" s="2235"/>
      <c r="DGE9" s="2235"/>
      <c r="DGF9" s="2235"/>
      <c r="DGG9" s="2235"/>
      <c r="DGH9" s="2235"/>
      <c r="DGI9" s="2235"/>
      <c r="DGJ9" s="2235"/>
      <c r="DGK9" s="2235"/>
      <c r="DGL9" s="2235"/>
      <c r="DGM9" s="2235"/>
      <c r="DGN9" s="2235"/>
      <c r="DGO9" s="2235"/>
      <c r="DGP9" s="2235"/>
      <c r="DGQ9" s="2235"/>
      <c r="DGR9" s="2235"/>
      <c r="DGS9" s="2235"/>
      <c r="DGT9" s="2235"/>
      <c r="DGU9" s="2235"/>
      <c r="DGV9" s="2235"/>
      <c r="DGW9" s="2235"/>
      <c r="DGX9" s="2235"/>
      <c r="DGY9" s="2235"/>
      <c r="DGZ9" s="2235"/>
      <c r="DHA9" s="2235"/>
      <c r="DHB9" s="2235"/>
      <c r="DHC9" s="2235"/>
      <c r="DHD9" s="2235"/>
      <c r="DHE9" s="2235"/>
      <c r="DHF9" s="2235"/>
      <c r="DHG9" s="2235"/>
      <c r="DHH9" s="2235"/>
      <c r="DHI9" s="2235"/>
      <c r="DHJ9" s="2235"/>
      <c r="DHK9" s="2235"/>
      <c r="DHL9" s="2235"/>
      <c r="DHM9" s="2235"/>
      <c r="DHN9" s="2235"/>
      <c r="DHO9" s="2235"/>
      <c r="DHP9" s="2235"/>
      <c r="DHQ9" s="2235"/>
      <c r="DHR9" s="2235"/>
      <c r="DHS9" s="2235"/>
      <c r="DHT9" s="2235"/>
      <c r="DHU9" s="2235"/>
      <c r="DHV9" s="2235"/>
      <c r="DHW9" s="2235"/>
      <c r="DHX9" s="2235"/>
      <c r="DHY9" s="2235"/>
      <c r="DHZ9" s="2235"/>
      <c r="DIA9" s="2235"/>
      <c r="DIB9" s="2235"/>
      <c r="DIC9" s="2235"/>
      <c r="DID9" s="2235"/>
      <c r="DIE9" s="2235"/>
      <c r="DIF9" s="2235"/>
      <c r="DIG9" s="2235"/>
      <c r="DIH9" s="2235"/>
      <c r="DII9" s="2235"/>
      <c r="DIJ9" s="2235"/>
      <c r="DIK9" s="2235"/>
      <c r="DIL9" s="2235"/>
      <c r="DIM9" s="2235"/>
      <c r="DIN9" s="2235"/>
      <c r="DIO9" s="2235"/>
      <c r="DIP9" s="2235"/>
      <c r="DIQ9" s="2235"/>
      <c r="DIR9" s="2235"/>
      <c r="DIS9" s="2235"/>
      <c r="DIT9" s="2235"/>
      <c r="DIU9" s="2235"/>
      <c r="DIV9" s="2235"/>
      <c r="DIW9" s="2235"/>
      <c r="DIX9" s="2235"/>
      <c r="DIY9" s="2235"/>
      <c r="DIZ9" s="2235"/>
      <c r="DJA9" s="2235"/>
      <c r="DJB9" s="2235"/>
      <c r="DJC9" s="2235"/>
      <c r="DJD9" s="2235"/>
      <c r="DJE9" s="2235"/>
      <c r="DJF9" s="2235"/>
      <c r="DJG9" s="2235"/>
      <c r="DJH9" s="2235"/>
      <c r="DJI9" s="2235"/>
      <c r="DJJ9" s="2235"/>
      <c r="DJK9" s="2235"/>
      <c r="DJL9" s="2235"/>
      <c r="DJM9" s="2235"/>
      <c r="DJN9" s="2235"/>
      <c r="DJO9" s="2235"/>
      <c r="DJP9" s="2235"/>
      <c r="DJQ9" s="2235"/>
      <c r="DJR9" s="2235"/>
      <c r="DJS9" s="2235"/>
      <c r="DJT9" s="2235"/>
      <c r="DJU9" s="2235"/>
      <c r="DJV9" s="2235"/>
      <c r="DJW9" s="2235"/>
      <c r="DJX9" s="2235"/>
      <c r="DJY9" s="2235"/>
      <c r="DJZ9" s="2235"/>
      <c r="DKA9" s="2235"/>
      <c r="DKB9" s="2235"/>
      <c r="DKC9" s="2235"/>
      <c r="DKD9" s="2235"/>
      <c r="DKE9" s="2235"/>
      <c r="DKF9" s="2235"/>
      <c r="DKG9" s="2235"/>
      <c r="DKH9" s="2235"/>
      <c r="DKI9" s="2235"/>
      <c r="DKJ9" s="2235"/>
      <c r="DKK9" s="2235"/>
      <c r="DKL9" s="2235"/>
      <c r="DKM9" s="2235"/>
      <c r="DKN9" s="2235"/>
      <c r="DKO9" s="2235"/>
      <c r="DKP9" s="2235"/>
      <c r="DKQ9" s="2235"/>
      <c r="DKR9" s="2235"/>
      <c r="DKS9" s="2235"/>
      <c r="DKT9" s="2235"/>
      <c r="DKU9" s="2235"/>
      <c r="DKV9" s="2235"/>
      <c r="DKW9" s="2235"/>
      <c r="DKX9" s="2235"/>
      <c r="DKY9" s="2235"/>
      <c r="DKZ9" s="2235"/>
      <c r="DLA9" s="2235"/>
      <c r="DLB9" s="2235"/>
      <c r="DLC9" s="2235"/>
      <c r="DLD9" s="2235"/>
      <c r="DLE9" s="2235"/>
      <c r="DLF9" s="2235"/>
      <c r="DLG9" s="2235"/>
      <c r="DLH9" s="2235"/>
      <c r="DLI9" s="2235"/>
      <c r="DLJ9" s="2235"/>
      <c r="DLK9" s="2235"/>
      <c r="DLL9" s="2235"/>
      <c r="DLM9" s="2235"/>
      <c r="DLN9" s="2235"/>
      <c r="DLO9" s="2235"/>
      <c r="DLP9" s="2235"/>
      <c r="DLQ9" s="2235"/>
      <c r="DLR9" s="2235"/>
      <c r="DLS9" s="2235"/>
      <c r="DLT9" s="2235"/>
      <c r="DLU9" s="2235"/>
      <c r="DLV9" s="2235"/>
      <c r="DLW9" s="2235"/>
      <c r="DLX9" s="2235"/>
      <c r="DLY9" s="2235"/>
      <c r="DLZ9" s="2235"/>
      <c r="DMA9" s="2235"/>
      <c r="DMB9" s="2235"/>
      <c r="DMC9" s="2235"/>
      <c r="DMD9" s="2235"/>
      <c r="DME9" s="2235"/>
      <c r="DMF9" s="2235"/>
      <c r="DMG9" s="2235"/>
      <c r="DMH9" s="2235"/>
      <c r="DMI9" s="2235"/>
      <c r="DMJ9" s="2235"/>
      <c r="DMK9" s="2235"/>
      <c r="DML9" s="2235"/>
      <c r="DMM9" s="2235"/>
      <c r="DMN9" s="2235"/>
      <c r="DMO9" s="2235"/>
      <c r="DMP9" s="2235"/>
      <c r="DMQ9" s="2235"/>
      <c r="DMR9" s="2235"/>
      <c r="DMS9" s="2235"/>
      <c r="DMT9" s="2235"/>
      <c r="DMU9" s="2235"/>
      <c r="DMV9" s="2235"/>
      <c r="DMW9" s="2235"/>
      <c r="DMX9" s="2235"/>
      <c r="DMY9" s="2235"/>
      <c r="DMZ9" s="2235"/>
      <c r="DNA9" s="2235"/>
      <c r="DNB9" s="2235"/>
      <c r="DNC9" s="2235"/>
      <c r="DND9" s="2235"/>
      <c r="DNE9" s="2235"/>
      <c r="DNF9" s="2235"/>
      <c r="DNG9" s="2235"/>
      <c r="DNH9" s="2235"/>
      <c r="DNI9" s="2235"/>
      <c r="DNJ9" s="2235"/>
      <c r="DNK9" s="2235"/>
      <c r="DNL9" s="2235"/>
      <c r="DNM9" s="2235"/>
      <c r="DNN9" s="2235"/>
      <c r="DNO9" s="2235"/>
      <c r="DNP9" s="2235"/>
      <c r="DNQ9" s="2235"/>
      <c r="DNR9" s="2235"/>
      <c r="DNS9" s="2235"/>
      <c r="DNT9" s="2235"/>
      <c r="DNU9" s="2235"/>
      <c r="DNV9" s="2235"/>
      <c r="DNW9" s="2235"/>
      <c r="DNX9" s="2235"/>
      <c r="DNY9" s="2235"/>
      <c r="DNZ9" s="2235"/>
      <c r="DOA9" s="2235"/>
      <c r="DOB9" s="2235"/>
      <c r="DOC9" s="2235"/>
      <c r="DOD9" s="2235"/>
      <c r="DOE9" s="2235"/>
      <c r="DOF9" s="2235"/>
      <c r="DOG9" s="2235"/>
      <c r="DOH9" s="2235"/>
      <c r="DOI9" s="2235"/>
      <c r="DOJ9" s="2235"/>
      <c r="DOK9" s="2235"/>
      <c r="DOL9" s="2235"/>
      <c r="DOM9" s="2235"/>
      <c r="DON9" s="2235"/>
      <c r="DOO9" s="2235"/>
      <c r="DOP9" s="2235"/>
      <c r="DOQ9" s="2235"/>
      <c r="DOR9" s="2235"/>
      <c r="DOS9" s="2235"/>
      <c r="DOT9" s="2235"/>
      <c r="DOU9" s="2235"/>
      <c r="DOV9" s="2235"/>
      <c r="DOW9" s="2235"/>
      <c r="DOX9" s="2235"/>
      <c r="DOY9" s="2235"/>
      <c r="DOZ9" s="2235"/>
      <c r="DPA9" s="2235"/>
      <c r="DPB9" s="2235"/>
      <c r="DPC9" s="2235"/>
      <c r="DPD9" s="2235"/>
      <c r="DPE9" s="2235"/>
      <c r="DPF9" s="2235"/>
      <c r="DPG9" s="2235"/>
      <c r="DPH9" s="2235"/>
      <c r="DPI9" s="2235"/>
      <c r="DPJ9" s="2235"/>
      <c r="DPK9" s="2235"/>
      <c r="DPL9" s="2235"/>
      <c r="DPM9" s="2235"/>
      <c r="DPN9" s="2235"/>
      <c r="DPO9" s="2235"/>
      <c r="DPP9" s="2235"/>
      <c r="DPQ9" s="2235"/>
      <c r="DPR9" s="2235"/>
      <c r="DPS9" s="2235"/>
      <c r="DPT9" s="2235"/>
      <c r="DPU9" s="2235"/>
      <c r="DPV9" s="2235"/>
      <c r="DPW9" s="2235"/>
      <c r="DPX9" s="2235"/>
      <c r="DPY9" s="2235"/>
      <c r="DPZ9" s="2235"/>
      <c r="DQA9" s="2235"/>
      <c r="DQB9" s="2235"/>
      <c r="DQC9" s="2235"/>
      <c r="DQD9" s="2235"/>
      <c r="DQE9" s="2235"/>
      <c r="DQF9" s="2235"/>
      <c r="DQG9" s="2235"/>
      <c r="DQH9" s="2235"/>
      <c r="DQI9" s="2235"/>
      <c r="DQJ9" s="2235"/>
      <c r="DQK9" s="2235"/>
      <c r="DQL9" s="2235"/>
      <c r="DQM9" s="2235"/>
      <c r="DQN9" s="2235"/>
      <c r="DQO9" s="2235"/>
      <c r="DQP9" s="2235"/>
      <c r="DQQ9" s="2235"/>
      <c r="DQR9" s="2235"/>
      <c r="DQS9" s="2235"/>
      <c r="DQT9" s="2235"/>
      <c r="DQU9" s="2235"/>
      <c r="DQV9" s="2235"/>
      <c r="DQW9" s="2235"/>
      <c r="DQX9" s="2235"/>
      <c r="DQY9" s="2235"/>
      <c r="DQZ9" s="2235"/>
      <c r="DRA9" s="2235"/>
      <c r="DRB9" s="2235"/>
      <c r="DRC9" s="2235"/>
      <c r="DRD9" s="2235"/>
      <c r="DRE9" s="2235"/>
      <c r="DRF9" s="2235"/>
      <c r="DRG9" s="2235"/>
      <c r="DRH9" s="2235"/>
      <c r="DRI9" s="2235"/>
      <c r="DRJ9" s="2235"/>
      <c r="DRK9" s="2235"/>
      <c r="DRL9" s="2235"/>
      <c r="DRM9" s="2235"/>
      <c r="DRN9" s="2235"/>
      <c r="DRO9" s="2235"/>
      <c r="DRP9" s="2235"/>
      <c r="DRQ9" s="2235"/>
      <c r="DRR9" s="2235"/>
      <c r="DRS9" s="2235"/>
      <c r="DRT9" s="2235"/>
      <c r="DRU9" s="2235"/>
      <c r="DRV9" s="2235"/>
      <c r="DRW9" s="2235"/>
      <c r="DRX9" s="2235"/>
      <c r="DRY9" s="2235"/>
      <c r="DRZ9" s="2235"/>
      <c r="DSA9" s="2235"/>
      <c r="DSB9" s="2235"/>
      <c r="DSC9" s="2235"/>
      <c r="DSD9" s="2235"/>
      <c r="DSE9" s="2235"/>
      <c r="DSF9" s="2235"/>
      <c r="DSG9" s="2235"/>
      <c r="DSH9" s="2235"/>
      <c r="DSI9" s="2235"/>
      <c r="DSJ9" s="2235"/>
      <c r="DSK9" s="2235"/>
      <c r="DSL9" s="2235"/>
      <c r="DSM9" s="2235"/>
      <c r="DSN9" s="2235"/>
      <c r="DSO9" s="2235"/>
      <c r="DSP9" s="2235"/>
      <c r="DSQ9" s="2235"/>
      <c r="DSR9" s="2235"/>
      <c r="DSS9" s="2235"/>
      <c r="DST9" s="2235"/>
      <c r="DSU9" s="2235"/>
      <c r="DSV9" s="2235"/>
      <c r="DSW9" s="2235"/>
      <c r="DSX9" s="2235"/>
      <c r="DSY9" s="2235"/>
      <c r="DSZ9" s="2235"/>
      <c r="DTA9" s="2235"/>
      <c r="DTB9" s="2235"/>
      <c r="DTC9" s="2235"/>
      <c r="DTD9" s="2235"/>
      <c r="DTE9" s="2235"/>
      <c r="DTF9" s="2235"/>
      <c r="DTG9" s="2235"/>
      <c r="DTH9" s="2235"/>
      <c r="DTI9" s="2235"/>
      <c r="DTJ9" s="2235"/>
      <c r="DTK9" s="2235"/>
      <c r="DTL9" s="2235"/>
      <c r="DTM9" s="2235"/>
      <c r="DTN9" s="2235"/>
      <c r="DTO9" s="2235"/>
      <c r="DTP9" s="2235"/>
      <c r="DTQ9" s="2235"/>
      <c r="DTR9" s="2235"/>
      <c r="DTS9" s="2235"/>
      <c r="DTT9" s="2235"/>
      <c r="DTU9" s="2235"/>
      <c r="DTV9" s="2235"/>
      <c r="DTW9" s="2235"/>
      <c r="DTX9" s="2235"/>
      <c r="DTY9" s="2235"/>
      <c r="DTZ9" s="2235"/>
      <c r="DUA9" s="2235"/>
      <c r="DUB9" s="2235"/>
      <c r="DUC9" s="2235"/>
      <c r="DUD9" s="2235"/>
      <c r="DUE9" s="2235"/>
      <c r="DUF9" s="2235"/>
      <c r="DUG9" s="2235"/>
      <c r="DUH9" s="2235"/>
      <c r="DUI9" s="2235"/>
      <c r="DUJ9" s="2235"/>
      <c r="DUK9" s="2235"/>
      <c r="DUL9" s="2235"/>
      <c r="DUM9" s="2235"/>
      <c r="DUN9" s="2235"/>
      <c r="DUO9" s="2235"/>
      <c r="DUP9" s="2235"/>
      <c r="DUQ9" s="2235"/>
      <c r="DUR9" s="2235"/>
      <c r="DUS9" s="2235"/>
      <c r="DUT9" s="2235"/>
      <c r="DUU9" s="2235"/>
      <c r="DUV9" s="2235"/>
      <c r="DUW9" s="2235"/>
      <c r="DUX9" s="2235"/>
      <c r="DUY9" s="2235"/>
      <c r="DUZ9" s="2235"/>
      <c r="DVA9" s="2235"/>
      <c r="DVB9" s="2235"/>
      <c r="DVC9" s="2235"/>
      <c r="DVD9" s="2235"/>
      <c r="DVE9" s="2235"/>
      <c r="DVF9" s="2235"/>
      <c r="DVG9" s="2235"/>
      <c r="DVH9" s="2235"/>
      <c r="DVI9" s="2235"/>
      <c r="DVJ9" s="2235"/>
      <c r="DVK9" s="2235"/>
      <c r="DVL9" s="2235"/>
      <c r="DVM9" s="2235"/>
      <c r="DVN9" s="2235"/>
      <c r="DVO9" s="2235"/>
      <c r="DVP9" s="2235"/>
      <c r="DVQ9" s="2235"/>
      <c r="DVR9" s="2235"/>
      <c r="DVS9" s="2235"/>
      <c r="DVT9" s="2235"/>
      <c r="DVU9" s="2235"/>
      <c r="DVV9" s="2235"/>
      <c r="DVW9" s="2235"/>
      <c r="DVX9" s="2235"/>
      <c r="DVY9" s="2235"/>
      <c r="DVZ9" s="2235"/>
      <c r="DWA9" s="2235"/>
      <c r="DWB9" s="2235"/>
      <c r="DWC9" s="2235"/>
      <c r="DWD9" s="2235"/>
      <c r="DWE9" s="2235"/>
      <c r="DWF9" s="2235"/>
      <c r="DWG9" s="2235"/>
      <c r="DWH9" s="2235"/>
      <c r="DWI9" s="2235"/>
      <c r="DWJ9" s="2235"/>
      <c r="DWK9" s="2235"/>
      <c r="DWL9" s="2235"/>
      <c r="DWM9" s="2235"/>
      <c r="DWN9" s="2235"/>
      <c r="DWO9" s="2235"/>
      <c r="DWP9" s="2235"/>
      <c r="DWQ9" s="2235"/>
      <c r="DWR9" s="2235"/>
      <c r="DWS9" s="2235"/>
      <c r="DWT9" s="2235"/>
      <c r="DWU9" s="2235"/>
      <c r="DWV9" s="2235"/>
      <c r="DWW9" s="2235"/>
      <c r="DWX9" s="2235"/>
      <c r="DWY9" s="2235"/>
      <c r="DWZ9" s="2235"/>
      <c r="DXA9" s="2235"/>
      <c r="DXB9" s="2235"/>
      <c r="DXC9" s="2235"/>
      <c r="DXD9" s="2235"/>
      <c r="DXE9" s="2235"/>
      <c r="DXF9" s="2235"/>
      <c r="DXG9" s="2235"/>
      <c r="DXH9" s="2235"/>
      <c r="DXI9" s="2235"/>
      <c r="DXJ9" s="2235"/>
      <c r="DXK9" s="2235"/>
      <c r="DXL9" s="2235"/>
      <c r="DXM9" s="2235"/>
      <c r="DXN9" s="2235"/>
      <c r="DXO9" s="2235"/>
      <c r="DXP9" s="2235"/>
      <c r="DXQ9" s="2235"/>
      <c r="DXR9" s="2235"/>
      <c r="DXS9" s="2235"/>
      <c r="DXT9" s="2235"/>
      <c r="DXU9" s="2235"/>
      <c r="DXV9" s="2235"/>
      <c r="DXW9" s="2235"/>
      <c r="DXX9" s="2235"/>
      <c r="DXY9" s="2235"/>
      <c r="DXZ9" s="2235"/>
      <c r="DYA9" s="2235"/>
      <c r="DYB9" s="2235"/>
      <c r="DYC9" s="2235"/>
      <c r="DYD9" s="2235"/>
      <c r="DYE9" s="2235"/>
      <c r="DYF9" s="2235"/>
      <c r="DYG9" s="2235"/>
      <c r="DYH9" s="2235"/>
      <c r="DYI9" s="2235"/>
      <c r="DYJ9" s="2235"/>
      <c r="DYK9" s="2235"/>
      <c r="DYL9" s="2235"/>
      <c r="DYM9" s="2235"/>
      <c r="DYN9" s="2235"/>
      <c r="DYO9" s="2235"/>
      <c r="DYP9" s="2235"/>
      <c r="DYQ9" s="2235"/>
      <c r="DYR9" s="2235"/>
      <c r="DYS9" s="2235"/>
      <c r="DYT9" s="2235"/>
      <c r="DYU9" s="2235"/>
      <c r="DYV9" s="2235"/>
      <c r="DYW9" s="2235"/>
      <c r="DYX9" s="2235"/>
      <c r="DYY9" s="2235"/>
      <c r="DYZ9" s="2235"/>
      <c r="DZA9" s="2235"/>
      <c r="DZB9" s="2235"/>
      <c r="DZC9" s="2235"/>
      <c r="DZD9" s="2235"/>
      <c r="DZE9" s="2235"/>
      <c r="DZF9" s="2235"/>
      <c r="DZG9" s="2235"/>
      <c r="DZH9" s="2235"/>
      <c r="DZI9" s="2235"/>
      <c r="DZJ9" s="2235"/>
      <c r="DZK9" s="2235"/>
      <c r="DZL9" s="2235"/>
      <c r="DZM9" s="2235"/>
      <c r="DZN9" s="2235"/>
      <c r="DZO9" s="2235"/>
      <c r="DZP9" s="2235"/>
      <c r="DZQ9" s="2235"/>
      <c r="DZR9" s="2235"/>
      <c r="DZS9" s="2235"/>
      <c r="DZT9" s="2235"/>
      <c r="DZU9" s="2235"/>
      <c r="DZV9" s="2235"/>
      <c r="DZW9" s="2235"/>
      <c r="DZX9" s="2235"/>
      <c r="DZY9" s="2235"/>
      <c r="DZZ9" s="2235"/>
      <c r="EAA9" s="2235"/>
      <c r="EAB9" s="2235"/>
      <c r="EAC9" s="2235"/>
      <c r="EAD9" s="2235"/>
      <c r="EAE9" s="2235"/>
      <c r="EAF9" s="2235"/>
      <c r="EAG9" s="2235"/>
      <c r="EAH9" s="2235"/>
      <c r="EAI9" s="2235"/>
      <c r="EAJ9" s="2235"/>
      <c r="EAK9" s="2235"/>
      <c r="EAL9" s="2235"/>
      <c r="EAM9" s="2235"/>
      <c r="EAN9" s="2235"/>
      <c r="EAO9" s="2235"/>
      <c r="EAP9" s="2235"/>
      <c r="EAQ9" s="2235"/>
      <c r="EAR9" s="2235"/>
      <c r="EAS9" s="2235"/>
      <c r="EAT9" s="2235"/>
      <c r="EAU9" s="2235"/>
      <c r="EAV9" s="2235"/>
      <c r="EAW9" s="2235"/>
      <c r="EAX9" s="2235"/>
      <c r="EAY9" s="2235"/>
      <c r="EAZ9" s="2235"/>
      <c r="EBA9" s="2235"/>
      <c r="EBB9" s="2235"/>
      <c r="EBC9" s="2235"/>
      <c r="EBD9" s="2235"/>
      <c r="EBE9" s="2235"/>
      <c r="EBF9" s="2235"/>
      <c r="EBG9" s="2235"/>
      <c r="EBH9" s="2235"/>
      <c r="EBI9" s="2235"/>
      <c r="EBJ9" s="2235"/>
      <c r="EBK9" s="2235"/>
      <c r="EBL9" s="2235"/>
      <c r="EBM9" s="2235"/>
      <c r="EBN9" s="2235"/>
      <c r="EBO9" s="2235"/>
      <c r="EBP9" s="2235"/>
      <c r="EBQ9" s="2235"/>
      <c r="EBR9" s="2235"/>
      <c r="EBS9" s="2235"/>
      <c r="EBT9" s="2235"/>
      <c r="EBU9" s="2235"/>
      <c r="EBV9" s="2235"/>
      <c r="EBW9" s="2235"/>
      <c r="EBX9" s="2235"/>
      <c r="EBY9" s="2235"/>
      <c r="EBZ9" s="2235"/>
      <c r="ECA9" s="2235"/>
      <c r="ECB9" s="2235"/>
      <c r="ECC9" s="2235"/>
      <c r="ECD9" s="2235"/>
      <c r="ECE9" s="2235"/>
      <c r="ECF9" s="2235"/>
      <c r="ECG9" s="2235"/>
      <c r="ECH9" s="2235"/>
      <c r="ECI9" s="2235"/>
      <c r="ECJ9" s="2235"/>
      <c r="ECK9" s="2235"/>
      <c r="ECL9" s="2235"/>
      <c r="ECM9" s="2235"/>
      <c r="ECN9" s="2235"/>
      <c r="ECO9" s="2235"/>
      <c r="ECP9" s="2235"/>
      <c r="ECQ9" s="2235"/>
      <c r="ECR9" s="2235"/>
      <c r="ECS9" s="2235"/>
      <c r="ECT9" s="2235"/>
      <c r="ECU9" s="2235"/>
      <c r="ECV9" s="2235"/>
      <c r="ECW9" s="2235"/>
      <c r="ECX9" s="2235"/>
      <c r="ECY9" s="2235"/>
      <c r="ECZ9" s="2235"/>
      <c r="EDA9" s="2235"/>
      <c r="EDB9" s="2235"/>
      <c r="EDC9" s="2235"/>
      <c r="EDD9" s="2235"/>
      <c r="EDE9" s="2235"/>
      <c r="EDF9" s="2235"/>
      <c r="EDG9" s="2235"/>
      <c r="EDH9" s="2235"/>
      <c r="EDI9" s="2235"/>
      <c r="EDJ9" s="2235"/>
      <c r="EDK9" s="2235"/>
      <c r="EDL9" s="2235"/>
      <c r="EDM9" s="2235"/>
      <c r="EDN9" s="2235"/>
      <c r="EDO9" s="2235"/>
      <c r="EDP9" s="2235"/>
      <c r="EDQ9" s="2235"/>
      <c r="EDR9" s="2235"/>
      <c r="EDS9" s="2235"/>
      <c r="EDT9" s="2235"/>
      <c r="EDU9" s="2235"/>
      <c r="EDV9" s="2235"/>
      <c r="EDW9" s="2235"/>
      <c r="EDX9" s="2235"/>
      <c r="EDY9" s="2235"/>
      <c r="EDZ9" s="2235"/>
      <c r="EEA9" s="2235"/>
      <c r="EEB9" s="2235"/>
      <c r="EEC9" s="2235"/>
      <c r="EED9" s="2235"/>
      <c r="EEE9" s="2235"/>
      <c r="EEF9" s="2235"/>
      <c r="EEG9" s="2235"/>
      <c r="EEH9" s="2235"/>
      <c r="EEI9" s="2235"/>
      <c r="EEJ9" s="2235"/>
      <c r="EEK9" s="2235"/>
      <c r="EEL9" s="2235"/>
      <c r="EEM9" s="2235"/>
      <c r="EEN9" s="2235"/>
      <c r="EEO9" s="2235"/>
      <c r="EEP9" s="2235"/>
      <c r="EEQ9" s="2235"/>
      <c r="EER9" s="2235"/>
      <c r="EES9" s="2235"/>
      <c r="EET9" s="2235"/>
      <c r="EEU9" s="2235"/>
      <c r="EEV9" s="2235"/>
      <c r="EEW9" s="2235"/>
      <c r="EEX9" s="2235"/>
      <c r="EEY9" s="2235"/>
      <c r="EEZ9" s="2235"/>
      <c r="EFA9" s="2235"/>
      <c r="EFB9" s="2235"/>
      <c r="EFC9" s="2235"/>
      <c r="EFD9" s="2235"/>
      <c r="EFE9" s="2235"/>
      <c r="EFF9" s="2235"/>
      <c r="EFG9" s="2235"/>
      <c r="EFH9" s="2235"/>
      <c r="EFI9" s="2235"/>
      <c r="EFJ9" s="2235"/>
      <c r="EFK9" s="2235"/>
      <c r="EFL9" s="2235"/>
      <c r="EFM9" s="2235"/>
      <c r="EFN9" s="2235"/>
      <c r="EFO9" s="2235"/>
      <c r="EFP9" s="2235"/>
      <c r="EFQ9" s="2235"/>
      <c r="EFR9" s="2235"/>
      <c r="EFS9" s="2235"/>
      <c r="EFT9" s="2235"/>
      <c r="EFU9" s="2235"/>
      <c r="EFV9" s="2235"/>
      <c r="EFW9" s="2235"/>
      <c r="EFX9" s="2235"/>
      <c r="EFY9" s="2235"/>
      <c r="EFZ9" s="2235"/>
      <c r="EGA9" s="2235"/>
      <c r="EGB9" s="2235"/>
      <c r="EGC9" s="2235"/>
      <c r="EGD9" s="2235"/>
      <c r="EGE9" s="2235"/>
      <c r="EGF9" s="2235"/>
      <c r="EGG9" s="2235"/>
      <c r="EGH9" s="2235"/>
      <c r="EGI9" s="2235"/>
      <c r="EGJ9" s="2235"/>
      <c r="EGK9" s="2235"/>
      <c r="EGL9" s="2235"/>
      <c r="EGM9" s="2235"/>
      <c r="EGN9" s="2235"/>
      <c r="EGO9" s="2235"/>
      <c r="EGP9" s="2235"/>
      <c r="EGQ9" s="2235"/>
      <c r="EGR9" s="2235"/>
      <c r="EGS9" s="2235"/>
      <c r="EGT9" s="2235"/>
      <c r="EGU9" s="2235"/>
      <c r="EGV9" s="2235"/>
      <c r="EGW9" s="2235"/>
      <c r="EGX9" s="2235"/>
      <c r="EGY9" s="2235"/>
      <c r="EGZ9" s="2235"/>
      <c r="EHA9" s="2235"/>
      <c r="EHB9" s="2235"/>
      <c r="EHC9" s="2235"/>
      <c r="EHD9" s="2235"/>
      <c r="EHE9" s="2235"/>
      <c r="EHF9" s="2235"/>
      <c r="EHG9" s="2235"/>
      <c r="EHH9" s="2235"/>
      <c r="EHI9" s="2235"/>
      <c r="EHJ9" s="2235"/>
      <c r="EHK9" s="2235"/>
      <c r="EHL9" s="2235"/>
      <c r="EHM9" s="2235"/>
      <c r="EHN9" s="2235"/>
      <c r="EHO9" s="2235"/>
      <c r="EHP9" s="2235"/>
      <c r="EHQ9" s="2235"/>
      <c r="EHR9" s="2235"/>
      <c r="EHS9" s="2235"/>
      <c r="EHT9" s="2235"/>
      <c r="EHU9" s="2235"/>
      <c r="EHV9" s="2235"/>
      <c r="EHW9" s="2235"/>
      <c r="EHX9" s="2235"/>
      <c r="EHY9" s="2235"/>
      <c r="EHZ9" s="2235"/>
      <c r="EIA9" s="2235"/>
      <c r="EIB9" s="2235"/>
      <c r="EIC9" s="2235"/>
      <c r="EID9" s="2235"/>
      <c r="EIE9" s="2235"/>
      <c r="EIF9" s="2235"/>
      <c r="EIG9" s="2235"/>
      <c r="EIH9" s="2235"/>
      <c r="EII9" s="2235"/>
      <c r="EIJ9" s="2235"/>
      <c r="EIK9" s="2235"/>
      <c r="EIL9" s="2235"/>
      <c r="EIM9" s="2235"/>
      <c r="EIN9" s="2235"/>
      <c r="EIO9" s="2235"/>
      <c r="EIP9" s="2235"/>
      <c r="EIQ9" s="2235"/>
      <c r="EIR9" s="2235"/>
      <c r="EIS9" s="2235"/>
      <c r="EIT9" s="2235"/>
      <c r="EIU9" s="2235"/>
      <c r="EIV9" s="2235"/>
      <c r="EIW9" s="2235"/>
      <c r="EIX9" s="2235"/>
      <c r="EIY9" s="2235"/>
      <c r="EIZ9" s="2235"/>
      <c r="EJA9" s="2235"/>
      <c r="EJB9" s="2235"/>
      <c r="EJC9" s="2235"/>
      <c r="EJD9" s="2235"/>
      <c r="EJE9" s="2235"/>
      <c r="EJF9" s="2235"/>
      <c r="EJG9" s="2235"/>
      <c r="EJH9" s="2235"/>
      <c r="EJI9" s="2235"/>
      <c r="EJJ9" s="2235"/>
      <c r="EJK9" s="2235"/>
      <c r="EJL9" s="2235"/>
      <c r="EJM9" s="2235"/>
      <c r="EJN9" s="2235"/>
      <c r="EJO9" s="2235"/>
      <c r="EJP9" s="2235"/>
      <c r="EJQ9" s="2235"/>
      <c r="EJR9" s="2235"/>
      <c r="EJS9" s="2235"/>
      <c r="EJT9" s="2235"/>
      <c r="EJU9" s="2235"/>
      <c r="EJV9" s="2235"/>
      <c r="EJW9" s="2235"/>
      <c r="EJX9" s="2235"/>
      <c r="EJY9" s="2235"/>
      <c r="EJZ9" s="2235"/>
      <c r="EKA9" s="2235"/>
      <c r="EKB9" s="2235"/>
      <c r="EKC9" s="2235"/>
      <c r="EKD9" s="2235"/>
      <c r="EKE9" s="2235"/>
      <c r="EKF9" s="2235"/>
      <c r="EKG9" s="2235"/>
      <c r="EKH9" s="2235"/>
      <c r="EKI9" s="2235"/>
      <c r="EKJ9" s="2235"/>
      <c r="EKK9" s="2235"/>
      <c r="EKL9" s="2235"/>
      <c r="EKM9" s="2235"/>
      <c r="EKN9" s="2235"/>
      <c r="EKO9" s="2235"/>
      <c r="EKP9" s="2235"/>
      <c r="EKQ9" s="2235"/>
      <c r="EKR9" s="2235"/>
      <c r="EKS9" s="2235"/>
      <c r="EKT9" s="2235"/>
      <c r="EKU9" s="2235"/>
      <c r="EKV9" s="2235"/>
      <c r="EKW9" s="2235"/>
      <c r="EKX9" s="2235"/>
      <c r="EKY9" s="2235"/>
      <c r="EKZ9" s="2235"/>
      <c r="ELA9" s="2235"/>
      <c r="ELB9" s="2235"/>
      <c r="ELC9" s="2235"/>
      <c r="ELD9" s="2235"/>
      <c r="ELE9" s="2235"/>
      <c r="ELF9" s="2235"/>
      <c r="ELG9" s="2235"/>
      <c r="ELH9" s="2235"/>
      <c r="ELI9" s="2235"/>
      <c r="ELJ9" s="2235"/>
      <c r="ELK9" s="2235"/>
      <c r="ELL9" s="2235"/>
      <c r="ELM9" s="2235"/>
      <c r="ELN9" s="2235"/>
      <c r="ELO9" s="2235"/>
      <c r="ELP9" s="2235"/>
      <c r="ELQ9" s="2235"/>
      <c r="ELR9" s="2235"/>
      <c r="ELS9" s="2235"/>
      <c r="ELT9" s="2235"/>
      <c r="ELU9" s="2235"/>
      <c r="ELV9" s="2235"/>
      <c r="ELW9" s="2235"/>
      <c r="ELX9" s="2235"/>
      <c r="ELY9" s="2235"/>
      <c r="ELZ9" s="2235"/>
      <c r="EMA9" s="2235"/>
      <c r="EMB9" s="2235"/>
      <c r="EMC9" s="2235"/>
      <c r="EMD9" s="2235"/>
      <c r="EME9" s="2235"/>
      <c r="EMF9" s="2235"/>
      <c r="EMG9" s="2235"/>
      <c r="EMH9" s="2235"/>
      <c r="EMI9" s="2235"/>
      <c r="EMJ9" s="2235"/>
      <c r="EMK9" s="2235"/>
      <c r="EML9" s="2235"/>
      <c r="EMM9" s="2235"/>
      <c r="EMN9" s="2235"/>
      <c r="EMO9" s="2235"/>
      <c r="EMP9" s="2235"/>
      <c r="EMQ9" s="2235"/>
      <c r="EMR9" s="2235"/>
      <c r="EMS9" s="2235"/>
      <c r="EMT9" s="2235"/>
      <c r="EMU9" s="2235"/>
      <c r="EMV9" s="2235"/>
      <c r="EMW9" s="2235"/>
      <c r="EMX9" s="2235"/>
      <c r="EMY9" s="2235"/>
      <c r="EMZ9" s="2235"/>
      <c r="ENA9" s="2235"/>
      <c r="ENB9" s="2235"/>
      <c r="ENC9" s="2235"/>
      <c r="END9" s="2235"/>
      <c r="ENE9" s="2235"/>
      <c r="ENF9" s="2235"/>
      <c r="ENG9" s="2235"/>
      <c r="ENH9" s="2235"/>
      <c r="ENI9" s="2235"/>
      <c r="ENJ9" s="2235"/>
      <c r="ENK9" s="2235"/>
      <c r="ENL9" s="2235"/>
      <c r="ENM9" s="2235"/>
      <c r="ENN9" s="2235"/>
      <c r="ENO9" s="2235"/>
      <c r="ENP9" s="2235"/>
      <c r="ENQ9" s="2235"/>
      <c r="ENR9" s="2235"/>
      <c r="ENS9" s="2235"/>
      <c r="ENT9" s="2235"/>
      <c r="ENU9" s="2235"/>
      <c r="ENV9" s="2235"/>
      <c r="ENW9" s="2235"/>
      <c r="ENX9" s="2235"/>
      <c r="ENY9" s="2235"/>
      <c r="ENZ9" s="2235"/>
      <c r="EOA9" s="2235"/>
      <c r="EOB9" s="2235"/>
      <c r="EOC9" s="2235"/>
      <c r="EOD9" s="2235"/>
      <c r="EOE9" s="2235"/>
      <c r="EOF9" s="2235"/>
      <c r="EOG9" s="2235"/>
      <c r="EOH9" s="2235"/>
      <c r="EOI9" s="2235"/>
      <c r="EOJ9" s="2235"/>
      <c r="EOK9" s="2235"/>
      <c r="EOL9" s="2235"/>
      <c r="EOM9" s="2235"/>
      <c r="EON9" s="2235"/>
      <c r="EOO9" s="2235"/>
      <c r="EOP9" s="2235"/>
      <c r="EOQ9" s="2235"/>
      <c r="EOR9" s="2235"/>
      <c r="EOS9" s="2235"/>
      <c r="EOT9" s="2235"/>
      <c r="EOU9" s="2235"/>
      <c r="EOV9" s="2235"/>
      <c r="EOW9" s="2235"/>
      <c r="EOX9" s="2235"/>
      <c r="EOY9" s="2235"/>
      <c r="EOZ9" s="2235"/>
      <c r="EPA9" s="2235"/>
      <c r="EPB9" s="2235"/>
      <c r="EPC9" s="2235"/>
      <c r="EPD9" s="2235"/>
      <c r="EPE9" s="2235"/>
      <c r="EPF9" s="2235"/>
      <c r="EPG9" s="2235"/>
      <c r="EPH9" s="2235"/>
      <c r="EPI9" s="2235"/>
      <c r="EPJ9" s="2235"/>
      <c r="EPK9" s="2235"/>
      <c r="EPL9" s="2235"/>
      <c r="EPM9" s="2235"/>
      <c r="EPN9" s="2235"/>
      <c r="EPO9" s="2235"/>
      <c r="EPP9" s="2235"/>
      <c r="EPQ9" s="2235"/>
      <c r="EPR9" s="2235"/>
      <c r="EPS9" s="2235"/>
      <c r="EPT9" s="2235"/>
      <c r="EPU9" s="2235"/>
      <c r="EPV9" s="2235"/>
      <c r="EPW9" s="2235"/>
      <c r="EPX9" s="2235"/>
      <c r="EPY9" s="2235"/>
      <c r="EPZ9" s="2235"/>
      <c r="EQA9" s="2235"/>
      <c r="EQB9" s="2235"/>
      <c r="EQC9" s="2235"/>
      <c r="EQD9" s="2235"/>
      <c r="EQE9" s="2235"/>
      <c r="EQF9" s="2235"/>
      <c r="EQG9" s="2235"/>
      <c r="EQH9" s="2235"/>
      <c r="EQI9" s="2235"/>
      <c r="EQJ9" s="2235"/>
      <c r="EQK9" s="2235"/>
      <c r="EQL9" s="2235"/>
      <c r="EQM9" s="2235"/>
      <c r="EQN9" s="2235"/>
      <c r="EQO9" s="2235"/>
      <c r="EQP9" s="2235"/>
      <c r="EQQ9" s="2235"/>
      <c r="EQR9" s="2235"/>
      <c r="EQS9" s="2235"/>
      <c r="EQT9" s="2235"/>
      <c r="EQU9" s="2235"/>
      <c r="EQV9" s="2235"/>
      <c r="EQW9" s="2235"/>
      <c r="EQX9" s="2235"/>
      <c r="EQY9" s="2235"/>
      <c r="EQZ9" s="2235"/>
      <c r="ERA9" s="2235"/>
      <c r="ERB9" s="2235"/>
      <c r="ERC9" s="2235"/>
      <c r="ERD9" s="2235"/>
      <c r="ERE9" s="2235"/>
      <c r="ERF9" s="2235"/>
      <c r="ERG9" s="2235"/>
      <c r="ERH9" s="2235"/>
      <c r="ERI9" s="2235"/>
      <c r="ERJ9" s="2235"/>
      <c r="ERK9" s="2235"/>
      <c r="ERL9" s="2235"/>
      <c r="ERM9" s="2235"/>
      <c r="ERN9" s="2235"/>
      <c r="ERO9" s="2235"/>
      <c r="ERP9" s="2235"/>
      <c r="ERQ9" s="2235"/>
      <c r="ERR9" s="2235"/>
      <c r="ERS9" s="2235"/>
      <c r="ERT9" s="2235"/>
      <c r="ERU9" s="2235"/>
      <c r="ERV9" s="2235"/>
      <c r="ERW9" s="2235"/>
      <c r="ERX9" s="2235"/>
      <c r="ERY9" s="2235"/>
      <c r="ERZ9" s="2235"/>
      <c r="ESA9" s="2235"/>
      <c r="ESB9" s="2235"/>
      <c r="ESC9" s="2235"/>
      <c r="ESD9" s="2235"/>
      <c r="ESE9" s="2235"/>
      <c r="ESF9" s="2235"/>
      <c r="ESG9" s="2235"/>
      <c r="ESH9" s="2235"/>
      <c r="ESI9" s="2235"/>
      <c r="ESJ9" s="2235"/>
      <c r="ESK9" s="2235"/>
      <c r="ESL9" s="2235"/>
      <c r="ESM9" s="2235"/>
      <c r="ESN9" s="2235"/>
      <c r="ESO9" s="2235"/>
      <c r="ESP9" s="2235"/>
      <c r="ESQ9" s="2235"/>
      <c r="ESR9" s="2235"/>
      <c r="ESS9" s="2235"/>
      <c r="EST9" s="2235"/>
      <c r="ESU9" s="2235"/>
      <c r="ESV9" s="2235"/>
      <c r="ESW9" s="2235"/>
      <c r="ESX9" s="2235"/>
      <c r="ESY9" s="2235"/>
      <c r="ESZ9" s="2235"/>
      <c r="ETA9" s="2235"/>
      <c r="ETB9" s="2235"/>
      <c r="ETC9" s="2235"/>
      <c r="ETD9" s="2235"/>
      <c r="ETE9" s="2235"/>
      <c r="ETF9" s="2235"/>
      <c r="ETG9" s="2235"/>
      <c r="ETH9" s="2235"/>
      <c r="ETI9" s="2235"/>
      <c r="ETJ9" s="2235"/>
      <c r="ETK9" s="2235"/>
      <c r="ETL9" s="2235"/>
      <c r="ETM9" s="2235"/>
      <c r="ETN9" s="2235"/>
      <c r="ETO9" s="2235"/>
      <c r="ETP9" s="2235"/>
      <c r="ETQ9" s="2235"/>
      <c r="ETR9" s="2235"/>
      <c r="ETS9" s="2235"/>
      <c r="ETT9" s="2235"/>
      <c r="ETU9" s="2235"/>
      <c r="ETV9" s="2235"/>
      <c r="ETW9" s="2235"/>
      <c r="ETX9" s="2235"/>
      <c r="ETY9" s="2235"/>
      <c r="ETZ9" s="2235"/>
      <c r="EUA9" s="2235"/>
      <c r="EUB9" s="2235"/>
      <c r="EUC9" s="2235"/>
      <c r="EUD9" s="2235"/>
      <c r="EUE9" s="2235"/>
      <c r="EUF9" s="2235"/>
      <c r="EUG9" s="2235"/>
      <c r="EUH9" s="2235"/>
      <c r="EUI9" s="2235"/>
      <c r="EUJ9" s="2235"/>
      <c r="EUK9" s="2235"/>
      <c r="EUL9" s="2235"/>
      <c r="EUM9" s="2235"/>
      <c r="EUN9" s="2235"/>
      <c r="EUO9" s="2235"/>
      <c r="EUP9" s="2235"/>
      <c r="EUQ9" s="2235"/>
      <c r="EUR9" s="2235"/>
      <c r="EUS9" s="2235"/>
      <c r="EUT9" s="2235"/>
      <c r="EUU9" s="2235"/>
      <c r="EUV9" s="2235"/>
      <c r="EUW9" s="2235"/>
      <c r="EUX9" s="2235"/>
      <c r="EUY9" s="2235"/>
      <c r="EUZ9" s="2235"/>
      <c r="EVA9" s="2235"/>
      <c r="EVB9" s="2235"/>
      <c r="EVC9" s="2235"/>
      <c r="EVD9" s="2235"/>
      <c r="EVE9" s="2235"/>
      <c r="EVF9" s="2235"/>
      <c r="EVG9" s="2235"/>
      <c r="EVH9" s="2235"/>
      <c r="EVI9" s="2235"/>
      <c r="EVJ9" s="2235"/>
      <c r="EVK9" s="2235"/>
      <c r="EVL9" s="2235"/>
      <c r="EVM9" s="2235"/>
      <c r="EVN9" s="2235"/>
      <c r="EVO9" s="2235"/>
      <c r="EVP9" s="2235"/>
      <c r="EVQ9" s="2235"/>
      <c r="EVR9" s="2235"/>
      <c r="EVS9" s="2235"/>
      <c r="EVT9" s="2235"/>
      <c r="EVU9" s="2235"/>
      <c r="EVV9" s="2235"/>
      <c r="EVW9" s="2235"/>
      <c r="EVX9" s="2235"/>
      <c r="EVY9" s="2235"/>
      <c r="EVZ9" s="2235"/>
      <c r="EWA9" s="2235"/>
      <c r="EWB9" s="2235"/>
      <c r="EWC9" s="2235"/>
      <c r="EWD9" s="2235"/>
      <c r="EWE9" s="2235"/>
      <c r="EWF9" s="2235"/>
      <c r="EWG9" s="2235"/>
      <c r="EWH9" s="2235"/>
      <c r="EWI9" s="2235"/>
      <c r="EWJ9" s="2235"/>
      <c r="EWK9" s="2235"/>
      <c r="EWL9" s="2235"/>
      <c r="EWM9" s="2235"/>
      <c r="EWN9" s="2235"/>
      <c r="EWO9" s="2235"/>
      <c r="EWP9" s="2235"/>
      <c r="EWQ9" s="2235"/>
      <c r="EWR9" s="2235"/>
      <c r="EWS9" s="2235"/>
      <c r="EWT9" s="2235"/>
      <c r="EWU9" s="2235"/>
      <c r="EWV9" s="2235"/>
      <c r="EWW9" s="2235"/>
      <c r="EWX9" s="2235"/>
      <c r="EWY9" s="2235"/>
      <c r="EWZ9" s="2235"/>
      <c r="EXA9" s="2235"/>
      <c r="EXB9" s="2235"/>
      <c r="EXC9" s="2235"/>
      <c r="EXD9" s="2235"/>
      <c r="EXE9" s="2235"/>
      <c r="EXF9" s="2235"/>
      <c r="EXG9" s="2235"/>
      <c r="EXH9" s="2235"/>
      <c r="EXI9" s="2235"/>
      <c r="EXJ9" s="2235"/>
      <c r="EXK9" s="2235"/>
      <c r="EXL9" s="2235"/>
      <c r="EXM9" s="2235"/>
      <c r="EXN9" s="2235"/>
      <c r="EXO9" s="2235"/>
      <c r="EXP9" s="2235"/>
      <c r="EXQ9" s="2235"/>
      <c r="EXR9" s="2235"/>
      <c r="EXS9" s="2235"/>
      <c r="EXT9" s="2235"/>
      <c r="EXU9" s="2235"/>
      <c r="EXV9" s="2235"/>
      <c r="EXW9" s="2235"/>
      <c r="EXX9" s="2235"/>
      <c r="EXY9" s="2235"/>
      <c r="EXZ9" s="2235"/>
      <c r="EYA9" s="2235"/>
      <c r="EYB9" s="2235"/>
      <c r="EYC9" s="2235"/>
      <c r="EYD9" s="2235"/>
      <c r="EYE9" s="2235"/>
      <c r="EYF9" s="2235"/>
      <c r="EYG9" s="2235"/>
      <c r="EYH9" s="2235"/>
      <c r="EYI9" s="2235"/>
      <c r="EYJ9" s="2235"/>
      <c r="EYK9" s="2235"/>
      <c r="EYL9" s="2235"/>
      <c r="EYM9" s="2235"/>
      <c r="EYN9" s="2235"/>
      <c r="EYO9" s="2235"/>
      <c r="EYP9" s="2235"/>
      <c r="EYQ9" s="2235"/>
      <c r="EYR9" s="2235"/>
      <c r="EYS9" s="2235"/>
      <c r="EYT9" s="2235"/>
      <c r="EYU9" s="2235"/>
      <c r="EYV9" s="2235"/>
      <c r="EYW9" s="2235"/>
      <c r="EYX9" s="2235"/>
      <c r="EYY9" s="2235"/>
      <c r="EYZ9" s="2235"/>
      <c r="EZA9" s="2235"/>
      <c r="EZB9" s="2235"/>
      <c r="EZC9" s="2235"/>
      <c r="EZD9" s="2235"/>
      <c r="EZE9" s="2235"/>
      <c r="EZF9" s="2235"/>
      <c r="EZG9" s="2235"/>
      <c r="EZH9" s="2235"/>
      <c r="EZI9" s="2235"/>
      <c r="EZJ9" s="2235"/>
      <c r="EZK9" s="2235"/>
      <c r="EZL9" s="2235"/>
      <c r="EZM9" s="2235"/>
      <c r="EZN9" s="2235"/>
      <c r="EZO9" s="2235"/>
      <c r="EZP9" s="2235"/>
      <c r="EZQ9" s="2235"/>
      <c r="EZR9" s="2235"/>
      <c r="EZS9" s="2235"/>
      <c r="EZT9" s="2235"/>
      <c r="EZU9" s="2235"/>
      <c r="EZV9" s="2235"/>
      <c r="EZW9" s="2235"/>
      <c r="EZX9" s="2235"/>
      <c r="EZY9" s="2235"/>
      <c r="EZZ9" s="2235"/>
      <c r="FAA9" s="2235"/>
      <c r="FAB9" s="2235"/>
      <c r="FAC9" s="2235"/>
      <c r="FAD9" s="2235"/>
      <c r="FAE9" s="2235"/>
      <c r="FAF9" s="2235"/>
      <c r="FAG9" s="2235"/>
      <c r="FAH9" s="2235"/>
      <c r="FAI9" s="2235"/>
      <c r="FAJ9" s="2235"/>
      <c r="FAK9" s="2235"/>
      <c r="FAL9" s="2235"/>
      <c r="FAM9" s="2235"/>
      <c r="FAN9" s="2235"/>
      <c r="FAO9" s="2235"/>
      <c r="FAP9" s="2235"/>
      <c r="FAQ9" s="2235"/>
      <c r="FAR9" s="2235"/>
      <c r="FAS9" s="2235"/>
      <c r="FAT9" s="2235"/>
      <c r="FAU9" s="2235"/>
      <c r="FAV9" s="2235"/>
      <c r="FAW9" s="2235"/>
      <c r="FAX9" s="2235"/>
      <c r="FAY9" s="2235"/>
      <c r="FAZ9" s="2235"/>
      <c r="FBA9" s="2235"/>
      <c r="FBB9" s="2235"/>
      <c r="FBC9" s="2235"/>
      <c r="FBD9" s="2235"/>
      <c r="FBE9" s="2235"/>
      <c r="FBF9" s="2235"/>
      <c r="FBG9" s="2235"/>
      <c r="FBH9" s="2235"/>
      <c r="FBI9" s="2235"/>
      <c r="FBJ9" s="2235"/>
      <c r="FBK9" s="2235"/>
      <c r="FBL9" s="2235"/>
      <c r="FBM9" s="2235"/>
      <c r="FBN9" s="2235"/>
      <c r="FBO9" s="2235"/>
      <c r="FBP9" s="2235"/>
      <c r="FBQ9" s="2235"/>
      <c r="FBR9" s="2235"/>
      <c r="FBS9" s="2235"/>
      <c r="FBT9" s="2235"/>
      <c r="FBU9" s="2235"/>
      <c r="FBV9" s="2235"/>
      <c r="FBW9" s="2235"/>
      <c r="FBX9" s="2235"/>
      <c r="FBY9" s="2235"/>
      <c r="FBZ9" s="2235"/>
      <c r="FCA9" s="2235"/>
      <c r="FCB9" s="2235"/>
      <c r="FCC9" s="2235"/>
      <c r="FCD9" s="2235"/>
      <c r="FCE9" s="2235"/>
      <c r="FCF9" s="2235"/>
      <c r="FCG9" s="2235"/>
      <c r="FCH9" s="2235"/>
      <c r="FCI9" s="2235"/>
      <c r="FCJ9" s="2235"/>
      <c r="FCK9" s="2235"/>
      <c r="FCL9" s="2235"/>
      <c r="FCM9" s="2235"/>
      <c r="FCN9" s="2235"/>
      <c r="FCO9" s="2235"/>
      <c r="FCP9" s="2235"/>
      <c r="FCQ9" s="2235"/>
      <c r="FCR9" s="2235"/>
      <c r="FCS9" s="2235"/>
      <c r="FCT9" s="2235"/>
      <c r="FCU9" s="2235"/>
      <c r="FCV9" s="2235"/>
      <c r="FCW9" s="2235"/>
      <c r="FCX9" s="2235"/>
      <c r="FCY9" s="2235"/>
      <c r="FCZ9" s="2235"/>
      <c r="FDA9" s="2235"/>
      <c r="FDB9" s="2235"/>
      <c r="FDC9" s="2235"/>
      <c r="FDD9" s="2235"/>
      <c r="FDE9" s="2235"/>
      <c r="FDF9" s="2235"/>
      <c r="FDG9" s="2235"/>
      <c r="FDH9" s="2235"/>
      <c r="FDI9" s="2235"/>
      <c r="FDJ9" s="2235"/>
      <c r="FDK9" s="2235"/>
      <c r="FDL9" s="2235"/>
      <c r="FDM9" s="2235"/>
      <c r="FDN9" s="2235"/>
      <c r="FDO9" s="2235"/>
      <c r="FDP9" s="2235"/>
      <c r="FDQ9" s="2235"/>
      <c r="FDR9" s="2235"/>
      <c r="FDS9" s="2235"/>
      <c r="FDT9" s="2235"/>
      <c r="FDU9" s="2235"/>
      <c r="FDV9" s="2235"/>
      <c r="FDW9" s="2235"/>
      <c r="FDX9" s="2235"/>
      <c r="FDY9" s="2235"/>
      <c r="FDZ9" s="2235"/>
      <c r="FEA9" s="2235"/>
      <c r="FEB9" s="2235"/>
      <c r="FEC9" s="2235"/>
      <c r="FED9" s="2235"/>
      <c r="FEE9" s="2235"/>
      <c r="FEF9" s="2235"/>
      <c r="FEG9" s="2235"/>
      <c r="FEH9" s="2235"/>
      <c r="FEI9" s="2235"/>
      <c r="FEJ9" s="2235"/>
      <c r="FEK9" s="2235"/>
      <c r="FEL9" s="2235"/>
      <c r="FEM9" s="2235"/>
      <c r="FEN9" s="2235"/>
      <c r="FEO9" s="2235"/>
      <c r="FEP9" s="2235"/>
      <c r="FEQ9" s="2235"/>
      <c r="FER9" s="2235"/>
      <c r="FES9" s="2235"/>
      <c r="FET9" s="2235"/>
      <c r="FEU9" s="2235"/>
      <c r="FEV9" s="2235"/>
      <c r="FEW9" s="2235"/>
      <c r="FEX9" s="2235"/>
      <c r="FEY9" s="2235"/>
      <c r="FEZ9" s="2235"/>
      <c r="FFA9" s="2235"/>
      <c r="FFB9" s="2235"/>
      <c r="FFC9" s="2235"/>
      <c r="FFD9" s="2235"/>
      <c r="FFE9" s="2235"/>
      <c r="FFF9" s="2235"/>
      <c r="FFG9" s="2235"/>
      <c r="FFH9" s="2235"/>
      <c r="FFI9" s="2235"/>
      <c r="FFJ9" s="2235"/>
      <c r="FFK9" s="2235"/>
      <c r="FFL9" s="2235"/>
      <c r="FFM9" s="2235"/>
      <c r="FFN9" s="2235"/>
      <c r="FFO9" s="2235"/>
      <c r="FFP9" s="2235"/>
      <c r="FFQ9" s="2235"/>
      <c r="FFR9" s="2235"/>
      <c r="FFS9" s="2235"/>
      <c r="FFT9" s="2235"/>
      <c r="FFU9" s="2235"/>
      <c r="FFV9" s="2235"/>
      <c r="FFW9" s="2235"/>
      <c r="FFX9" s="2235"/>
      <c r="FFY9" s="2235"/>
      <c r="FFZ9" s="2235"/>
      <c r="FGA9" s="2235"/>
      <c r="FGB9" s="2235"/>
      <c r="FGC9" s="2235"/>
      <c r="FGD9" s="2235"/>
      <c r="FGE9" s="2235"/>
      <c r="FGF9" s="2235"/>
      <c r="FGG9" s="2235"/>
      <c r="FGH9" s="2235"/>
      <c r="FGI9" s="2235"/>
      <c r="FGJ9" s="2235"/>
      <c r="FGK9" s="2235"/>
      <c r="FGL9" s="2235"/>
      <c r="FGM9" s="2235"/>
      <c r="FGN9" s="2235"/>
      <c r="FGO9" s="2235"/>
      <c r="FGP9" s="2235"/>
      <c r="FGQ9" s="2235"/>
      <c r="FGR9" s="2235"/>
      <c r="FGS9" s="2235"/>
      <c r="FGT9" s="2235"/>
      <c r="FGU9" s="2235"/>
      <c r="FGV9" s="2235"/>
      <c r="FGW9" s="2235"/>
      <c r="FGX9" s="2235"/>
      <c r="FGY9" s="2235"/>
      <c r="FGZ9" s="2235"/>
      <c r="FHA9" s="2235"/>
      <c r="FHB9" s="2235"/>
      <c r="FHC9" s="2235"/>
      <c r="FHD9" s="2235"/>
      <c r="FHE9" s="2235"/>
      <c r="FHF9" s="2235"/>
      <c r="FHG9" s="2235"/>
      <c r="FHH9" s="2235"/>
      <c r="FHI9" s="2235"/>
      <c r="FHJ9" s="2235"/>
      <c r="FHK9" s="2235"/>
      <c r="FHL9" s="2235"/>
      <c r="FHM9" s="2235"/>
      <c r="FHN9" s="2235"/>
      <c r="FHO9" s="2235"/>
      <c r="FHP9" s="2235"/>
      <c r="FHQ9" s="2235"/>
      <c r="FHR9" s="2235"/>
      <c r="FHS9" s="2235"/>
      <c r="FHT9" s="2235"/>
      <c r="FHU9" s="2235"/>
      <c r="FHV9" s="2235"/>
      <c r="FHW9" s="2235"/>
      <c r="FHX9" s="2235"/>
      <c r="FHY9" s="2235"/>
      <c r="FHZ9" s="2235"/>
      <c r="FIA9" s="2235"/>
      <c r="FIB9" s="2235"/>
      <c r="FIC9" s="2235"/>
      <c r="FID9" s="2235"/>
      <c r="FIE9" s="2235"/>
      <c r="FIF9" s="2235"/>
      <c r="FIG9" s="2235"/>
      <c r="FIH9" s="2235"/>
      <c r="FII9" s="2235"/>
      <c r="FIJ9" s="2235"/>
      <c r="FIK9" s="2235"/>
      <c r="FIL9" s="2235"/>
      <c r="FIM9" s="2235"/>
      <c r="FIN9" s="2235"/>
      <c r="FIO9" s="2235"/>
      <c r="FIP9" s="2235"/>
      <c r="FIQ9" s="2235"/>
      <c r="FIR9" s="2235"/>
      <c r="FIS9" s="2235"/>
      <c r="FIT9" s="2235"/>
      <c r="FIU9" s="2235"/>
      <c r="FIV9" s="2235"/>
      <c r="FIW9" s="2235"/>
      <c r="FIX9" s="2235"/>
      <c r="FIY9" s="2235"/>
      <c r="FIZ9" s="2235"/>
      <c r="FJA9" s="2235"/>
      <c r="FJB9" s="2235"/>
      <c r="FJC9" s="2235"/>
      <c r="FJD9" s="2235"/>
      <c r="FJE9" s="2235"/>
      <c r="FJF9" s="2235"/>
      <c r="FJG9" s="2235"/>
      <c r="FJH9" s="2235"/>
      <c r="FJI9" s="2235"/>
      <c r="FJJ9" s="2235"/>
      <c r="FJK9" s="2235"/>
      <c r="FJL9" s="2235"/>
      <c r="FJM9" s="2235"/>
      <c r="FJN9" s="2235"/>
      <c r="FJO9" s="2235"/>
      <c r="FJP9" s="2235"/>
      <c r="FJQ9" s="2235"/>
      <c r="FJR9" s="2235"/>
      <c r="FJS9" s="2235"/>
      <c r="FJT9" s="2235"/>
      <c r="FJU9" s="2235"/>
      <c r="FJV9" s="2235"/>
      <c r="FJW9" s="2235"/>
      <c r="FJX9" s="2235"/>
      <c r="FJY9" s="2235"/>
      <c r="FJZ9" s="2235"/>
      <c r="FKA9" s="2235"/>
      <c r="FKB9" s="2235"/>
      <c r="FKC9" s="2235"/>
      <c r="FKD9" s="2235"/>
      <c r="FKE9" s="2235"/>
      <c r="FKF9" s="2235"/>
      <c r="FKG9" s="2235"/>
      <c r="FKH9" s="2235"/>
      <c r="FKI9" s="2235"/>
      <c r="FKJ9" s="2235"/>
      <c r="FKK9" s="2235"/>
      <c r="FKL9" s="2235"/>
      <c r="FKM9" s="2235"/>
      <c r="FKN9" s="2235"/>
      <c r="FKO9" s="2235"/>
      <c r="FKP9" s="2235"/>
      <c r="FKQ9" s="2235"/>
      <c r="FKR9" s="2235"/>
      <c r="FKS9" s="2235"/>
      <c r="FKT9" s="2235"/>
      <c r="FKU9" s="2235"/>
      <c r="FKV9" s="2235"/>
      <c r="FKW9" s="2235"/>
      <c r="FKX9" s="2235"/>
      <c r="FKY9" s="2235"/>
      <c r="FKZ9" s="2235"/>
      <c r="FLA9" s="2235"/>
      <c r="FLB9" s="2235"/>
      <c r="FLC9" s="2235"/>
      <c r="FLD9" s="2235"/>
      <c r="FLE9" s="2235"/>
      <c r="FLF9" s="2235"/>
      <c r="FLG9" s="2235"/>
      <c r="FLH9" s="2235"/>
      <c r="FLI9" s="2235"/>
      <c r="FLJ9" s="2235"/>
      <c r="FLK9" s="2235"/>
      <c r="FLL9" s="2235"/>
      <c r="FLM9" s="2235"/>
      <c r="FLN9" s="2235"/>
      <c r="FLO9" s="2235"/>
      <c r="FLP9" s="2235"/>
      <c r="FLQ9" s="2235"/>
      <c r="FLR9" s="2235"/>
      <c r="FLS9" s="2235"/>
      <c r="FLT9" s="2235"/>
      <c r="FLU9" s="2235"/>
      <c r="FLV9" s="2235"/>
      <c r="FLW9" s="2235"/>
      <c r="FLX9" s="2235"/>
      <c r="FLY9" s="2235"/>
      <c r="FLZ9" s="2235"/>
      <c r="FMA9" s="2235"/>
      <c r="FMB9" s="2235"/>
      <c r="FMC9" s="2235"/>
      <c r="FMD9" s="2235"/>
      <c r="FME9" s="2235"/>
      <c r="FMF9" s="2235"/>
      <c r="FMG9" s="2235"/>
      <c r="FMH9" s="2235"/>
      <c r="FMI9" s="2235"/>
      <c r="FMJ9" s="2235"/>
      <c r="FMK9" s="2235"/>
      <c r="FML9" s="2235"/>
      <c r="FMM9" s="2235"/>
      <c r="FMN9" s="2235"/>
      <c r="FMO9" s="2235"/>
      <c r="FMP9" s="2235"/>
      <c r="FMQ9" s="2235"/>
      <c r="FMR9" s="2235"/>
      <c r="FMS9" s="2235"/>
      <c r="FMT9" s="2235"/>
      <c r="FMU9" s="2235"/>
      <c r="FMV9" s="2235"/>
      <c r="FMW9" s="2235"/>
      <c r="FMX9" s="2235"/>
      <c r="FMY9" s="2235"/>
      <c r="FMZ9" s="2235"/>
      <c r="FNA9" s="2235"/>
      <c r="FNB9" s="2235"/>
      <c r="FNC9" s="2235"/>
      <c r="FND9" s="2235"/>
      <c r="FNE9" s="2235"/>
      <c r="FNF9" s="2235"/>
      <c r="FNG9" s="2235"/>
      <c r="FNH9" s="2235"/>
      <c r="FNI9" s="2235"/>
      <c r="FNJ9" s="2235"/>
      <c r="FNK9" s="2235"/>
      <c r="FNL9" s="2235"/>
      <c r="FNM9" s="2235"/>
      <c r="FNN9" s="2235"/>
      <c r="FNO9" s="2235"/>
      <c r="FNP9" s="2235"/>
      <c r="FNQ9" s="2235"/>
      <c r="FNR9" s="2235"/>
      <c r="FNS9" s="2235"/>
      <c r="FNT9" s="2235"/>
      <c r="FNU9" s="2235"/>
      <c r="FNV9" s="2235"/>
      <c r="FNW9" s="2235"/>
      <c r="FNX9" s="2235"/>
      <c r="FNY9" s="2235"/>
      <c r="FNZ9" s="2235"/>
      <c r="FOA9" s="2235"/>
      <c r="FOB9" s="2235"/>
      <c r="FOC9" s="2235"/>
      <c r="FOD9" s="2235"/>
      <c r="FOE9" s="2235"/>
      <c r="FOF9" s="2235"/>
      <c r="FOG9" s="2235"/>
      <c r="FOH9" s="2235"/>
      <c r="FOI9" s="2235"/>
      <c r="FOJ9" s="2235"/>
      <c r="FOK9" s="2235"/>
      <c r="FOL9" s="2235"/>
      <c r="FOM9" s="2235"/>
      <c r="FON9" s="2235"/>
      <c r="FOO9" s="2235"/>
      <c r="FOP9" s="2235"/>
      <c r="FOQ9" s="2235"/>
      <c r="FOR9" s="2235"/>
      <c r="FOS9" s="2235"/>
      <c r="FOT9" s="2235"/>
      <c r="FOU9" s="2235"/>
      <c r="FOV9" s="2235"/>
      <c r="FOW9" s="2235"/>
      <c r="FOX9" s="2235"/>
      <c r="FOY9" s="2235"/>
      <c r="FOZ9" s="2235"/>
      <c r="FPA9" s="2235"/>
      <c r="FPB9" s="2235"/>
      <c r="FPC9" s="2235"/>
      <c r="FPD9" s="2235"/>
      <c r="FPE9" s="2235"/>
      <c r="FPF9" s="2235"/>
      <c r="FPG9" s="2235"/>
      <c r="FPH9" s="2235"/>
      <c r="FPI9" s="2235"/>
      <c r="FPJ9" s="2235"/>
      <c r="FPK9" s="2235"/>
      <c r="FPL9" s="2235"/>
      <c r="FPM9" s="2235"/>
      <c r="FPN9" s="2235"/>
      <c r="FPO9" s="2235"/>
      <c r="FPP9" s="2235"/>
      <c r="FPQ9" s="2235"/>
      <c r="FPR9" s="2235"/>
      <c r="FPS9" s="2235"/>
      <c r="FPT9" s="2235"/>
      <c r="FPU9" s="2235"/>
      <c r="FPV9" s="2235"/>
      <c r="FPW9" s="2235"/>
      <c r="FPX9" s="2235"/>
      <c r="FPY9" s="2235"/>
      <c r="FPZ9" s="2235"/>
      <c r="FQA9" s="2235"/>
      <c r="FQB9" s="2235"/>
      <c r="FQC9" s="2235"/>
      <c r="FQD9" s="2235"/>
      <c r="FQE9" s="2235"/>
      <c r="FQF9" s="2235"/>
      <c r="FQG9" s="2235"/>
      <c r="FQH9" s="2235"/>
      <c r="FQI9" s="2235"/>
      <c r="FQJ9" s="2235"/>
      <c r="FQK9" s="2235"/>
      <c r="FQL9" s="2235"/>
      <c r="FQM9" s="2235"/>
      <c r="FQN9" s="2235"/>
      <c r="FQO9" s="2235"/>
      <c r="FQP9" s="2235"/>
      <c r="FQQ9" s="2235"/>
      <c r="FQR9" s="2235"/>
      <c r="FQS9" s="2235"/>
      <c r="FQT9" s="2235"/>
      <c r="FQU9" s="2235"/>
      <c r="FQV9" s="2235"/>
      <c r="FQW9" s="2235"/>
      <c r="FQX9" s="2235"/>
      <c r="FQY9" s="2235"/>
      <c r="FQZ9" s="2235"/>
      <c r="FRA9" s="2235"/>
      <c r="FRB9" s="2235"/>
      <c r="FRC9" s="2235"/>
      <c r="FRD9" s="2235"/>
      <c r="FRE9" s="2235"/>
      <c r="FRF9" s="2235"/>
      <c r="FRG9" s="2235"/>
      <c r="FRH9" s="2235"/>
      <c r="FRI9" s="2235"/>
      <c r="FRJ9" s="2235"/>
      <c r="FRK9" s="2235"/>
      <c r="FRL9" s="2235"/>
      <c r="FRM9" s="2235"/>
      <c r="FRN9" s="2235"/>
      <c r="FRO9" s="2235"/>
      <c r="FRP9" s="2235"/>
      <c r="FRQ9" s="2235"/>
      <c r="FRR9" s="2235"/>
      <c r="FRS9" s="2235"/>
      <c r="FRT9" s="2235"/>
      <c r="FRU9" s="2235"/>
      <c r="FRV9" s="2235"/>
      <c r="FRW9" s="2235"/>
      <c r="FRX9" s="2235"/>
      <c r="FRY9" s="2235"/>
      <c r="FRZ9" s="2235"/>
      <c r="FSA9" s="2235"/>
      <c r="FSB9" s="2235"/>
      <c r="FSC9" s="2235"/>
      <c r="FSD9" s="2235"/>
      <c r="FSE9" s="2235"/>
      <c r="FSF9" s="2235"/>
      <c r="FSG9" s="2235"/>
      <c r="FSH9" s="2235"/>
      <c r="FSI9" s="2235"/>
      <c r="FSJ9" s="2235"/>
      <c r="FSK9" s="2235"/>
      <c r="FSL9" s="2235"/>
      <c r="FSM9" s="2235"/>
      <c r="FSN9" s="2235"/>
      <c r="FSO9" s="2235"/>
      <c r="FSP9" s="2235"/>
      <c r="FSQ9" s="2235"/>
      <c r="FSR9" s="2235"/>
      <c r="FSS9" s="2235"/>
      <c r="FST9" s="2235"/>
      <c r="FSU9" s="2235"/>
      <c r="FSV9" s="2235"/>
      <c r="FSW9" s="2235"/>
      <c r="FSX9" s="2235"/>
      <c r="FSY9" s="2235"/>
      <c r="FSZ9" s="2235"/>
      <c r="FTA9" s="2235"/>
      <c r="FTB9" s="2235"/>
      <c r="FTC9" s="2235"/>
      <c r="FTD9" s="2235"/>
      <c r="FTE9" s="2235"/>
      <c r="FTF9" s="2235"/>
      <c r="FTG9" s="2235"/>
      <c r="FTH9" s="2235"/>
      <c r="FTI9" s="2235"/>
      <c r="FTJ9" s="2235"/>
      <c r="FTK9" s="2235"/>
      <c r="FTL9" s="2235"/>
      <c r="FTM9" s="2235"/>
      <c r="FTN9" s="2235"/>
      <c r="FTO9" s="2235"/>
      <c r="FTP9" s="2235"/>
      <c r="FTQ9" s="2235"/>
      <c r="FTR9" s="2235"/>
      <c r="FTS9" s="2235"/>
      <c r="FTT9" s="2235"/>
      <c r="FTU9" s="2235"/>
      <c r="FTV9" s="2235"/>
      <c r="FTW9" s="2235"/>
      <c r="FTX9" s="2235"/>
      <c r="FTY9" s="2235"/>
      <c r="FTZ9" s="2235"/>
      <c r="FUA9" s="2235"/>
      <c r="FUB9" s="2235"/>
      <c r="FUC9" s="2235"/>
      <c r="FUD9" s="2235"/>
      <c r="FUE9" s="2235"/>
      <c r="FUF9" s="2235"/>
      <c r="FUG9" s="2235"/>
      <c r="FUH9" s="2235"/>
      <c r="FUI9" s="2235"/>
      <c r="FUJ9" s="2235"/>
      <c r="FUK9" s="2235"/>
      <c r="FUL9" s="2235"/>
      <c r="FUM9" s="2235"/>
      <c r="FUN9" s="2235"/>
      <c r="FUO9" s="2235"/>
      <c r="FUP9" s="2235"/>
      <c r="FUQ9" s="2235"/>
      <c r="FUR9" s="2235"/>
      <c r="FUS9" s="2235"/>
      <c r="FUT9" s="2235"/>
      <c r="FUU9" s="2235"/>
      <c r="FUV9" s="2235"/>
      <c r="FUW9" s="2235"/>
      <c r="FUX9" s="2235"/>
      <c r="FUY9" s="2235"/>
      <c r="FUZ9" s="2235"/>
      <c r="FVA9" s="2235"/>
      <c r="FVB9" s="2235"/>
      <c r="FVC9" s="2235"/>
      <c r="FVD9" s="2235"/>
      <c r="FVE9" s="2235"/>
      <c r="FVF9" s="2235"/>
      <c r="FVG9" s="2235"/>
      <c r="FVH9" s="2235"/>
      <c r="FVI9" s="2235"/>
      <c r="FVJ9" s="2235"/>
      <c r="FVK9" s="2235"/>
      <c r="FVL9" s="2235"/>
      <c r="FVM9" s="2235"/>
      <c r="FVN9" s="2235"/>
      <c r="FVO9" s="2235"/>
      <c r="FVP9" s="2235"/>
      <c r="FVQ9" s="2235"/>
      <c r="FVR9" s="2235"/>
      <c r="FVS9" s="2235"/>
      <c r="FVT9" s="2235"/>
      <c r="FVU9" s="2235"/>
      <c r="FVV9" s="2235"/>
      <c r="FVW9" s="2235"/>
      <c r="FVX9" s="2235"/>
      <c r="FVY9" s="2235"/>
      <c r="FVZ9" s="2235"/>
      <c r="FWA9" s="2235"/>
      <c r="FWB9" s="2235"/>
      <c r="FWC9" s="2235"/>
      <c r="FWD9" s="2235"/>
      <c r="FWE9" s="2235"/>
      <c r="FWF9" s="2235"/>
      <c r="FWG9" s="2235"/>
      <c r="FWH9" s="2235"/>
      <c r="FWI9" s="2235"/>
      <c r="FWJ9" s="2235"/>
      <c r="FWK9" s="2235"/>
      <c r="FWL9" s="2235"/>
      <c r="FWM9" s="2235"/>
      <c r="FWN9" s="2235"/>
      <c r="FWO9" s="2235"/>
      <c r="FWP9" s="2235"/>
      <c r="FWQ9" s="2235"/>
      <c r="FWR9" s="2235"/>
      <c r="FWS9" s="2235"/>
      <c r="FWT9" s="2235"/>
      <c r="FWU9" s="2235"/>
      <c r="FWV9" s="2235"/>
      <c r="FWW9" s="2235"/>
      <c r="FWX9" s="2235"/>
      <c r="FWY9" s="2235"/>
      <c r="FWZ9" s="2235"/>
      <c r="FXA9" s="2235"/>
      <c r="FXB9" s="2235"/>
      <c r="FXC9" s="2235"/>
      <c r="FXD9" s="2235"/>
      <c r="FXE9" s="2235"/>
      <c r="FXF9" s="2235"/>
      <c r="FXG9" s="2235"/>
      <c r="FXH9" s="2235"/>
      <c r="FXI9" s="2235"/>
      <c r="FXJ9" s="2235"/>
      <c r="FXK9" s="2235"/>
      <c r="FXL9" s="2235"/>
      <c r="FXM9" s="2235"/>
      <c r="FXN9" s="2235"/>
      <c r="FXO9" s="2235"/>
      <c r="FXP9" s="2235"/>
      <c r="FXQ9" s="2235"/>
      <c r="FXR9" s="2235"/>
      <c r="FXS9" s="2235"/>
      <c r="FXT9" s="2235"/>
      <c r="FXU9" s="2235"/>
      <c r="FXV9" s="2235"/>
      <c r="FXW9" s="2235"/>
      <c r="FXX9" s="2235"/>
      <c r="FXY9" s="2235"/>
      <c r="FXZ9" s="2235"/>
      <c r="FYA9" s="2235"/>
      <c r="FYB9" s="2235"/>
      <c r="FYC9" s="2235"/>
      <c r="FYD9" s="2235"/>
      <c r="FYE9" s="2235"/>
      <c r="FYF9" s="2235"/>
      <c r="FYG9" s="2235"/>
      <c r="FYH9" s="2235"/>
      <c r="FYI9" s="2235"/>
      <c r="FYJ9" s="2235"/>
      <c r="FYK9" s="2235"/>
      <c r="FYL9" s="2235"/>
      <c r="FYM9" s="2235"/>
      <c r="FYN9" s="2235"/>
      <c r="FYO9" s="2235"/>
      <c r="FYP9" s="2235"/>
      <c r="FYQ9" s="2235"/>
      <c r="FYR9" s="2235"/>
      <c r="FYS9" s="2235"/>
      <c r="FYT9" s="2235"/>
      <c r="FYU9" s="2235"/>
      <c r="FYV9" s="2235"/>
      <c r="FYW9" s="2235"/>
      <c r="FYX9" s="2235"/>
      <c r="FYY9" s="2235"/>
      <c r="FYZ9" s="2235"/>
      <c r="FZA9" s="2235"/>
      <c r="FZB9" s="2235"/>
      <c r="FZC9" s="2235"/>
      <c r="FZD9" s="2235"/>
      <c r="FZE9" s="2235"/>
      <c r="FZF9" s="2235"/>
      <c r="FZG9" s="2235"/>
      <c r="FZH9" s="2235"/>
      <c r="FZI9" s="2235"/>
      <c r="FZJ9" s="2235"/>
      <c r="FZK9" s="2235"/>
      <c r="FZL9" s="2235"/>
      <c r="FZM9" s="2235"/>
      <c r="FZN9" s="2235"/>
      <c r="FZO9" s="2235"/>
      <c r="FZP9" s="2235"/>
      <c r="FZQ9" s="2235"/>
      <c r="FZR9" s="2235"/>
      <c r="FZS9" s="2235"/>
      <c r="FZT9" s="2235"/>
      <c r="FZU9" s="2235"/>
      <c r="FZV9" s="2235"/>
      <c r="FZW9" s="2235"/>
      <c r="FZX9" s="2235"/>
      <c r="FZY9" s="2235"/>
      <c r="FZZ9" s="2235"/>
      <c r="GAA9" s="2235"/>
      <c r="GAB9" s="2235"/>
      <c r="GAC9" s="2235"/>
      <c r="GAD9" s="2235"/>
      <c r="GAE9" s="2235"/>
      <c r="GAF9" s="2235"/>
      <c r="GAG9" s="2235"/>
      <c r="GAH9" s="2235"/>
      <c r="GAI9" s="2235"/>
      <c r="GAJ9" s="2235"/>
      <c r="GAK9" s="2235"/>
      <c r="GAL9" s="2235"/>
      <c r="GAM9" s="2235"/>
      <c r="GAN9" s="2235"/>
      <c r="GAO9" s="2235"/>
      <c r="GAP9" s="2235"/>
      <c r="GAQ9" s="2235"/>
      <c r="GAR9" s="2235"/>
      <c r="GAS9" s="2235"/>
      <c r="GAT9" s="2235"/>
      <c r="GAU9" s="2235"/>
      <c r="GAV9" s="2235"/>
      <c r="GAW9" s="2235"/>
      <c r="GAX9" s="2235"/>
      <c r="GAY9" s="2235"/>
      <c r="GAZ9" s="2235"/>
      <c r="GBA9" s="2235"/>
      <c r="GBB9" s="2235"/>
      <c r="GBC9" s="2235"/>
      <c r="GBD9" s="2235"/>
      <c r="GBE9" s="2235"/>
      <c r="GBF9" s="2235"/>
      <c r="GBG9" s="2235"/>
      <c r="GBH9" s="2235"/>
      <c r="GBI9" s="2235"/>
      <c r="GBJ9" s="2235"/>
      <c r="GBK9" s="2235"/>
      <c r="GBL9" s="2235"/>
      <c r="GBM9" s="2235"/>
      <c r="GBN9" s="2235"/>
      <c r="GBO9" s="2235"/>
      <c r="GBP9" s="2235"/>
      <c r="GBQ9" s="2235"/>
      <c r="GBR9" s="2235"/>
      <c r="GBS9" s="2235"/>
      <c r="GBT9" s="2235"/>
      <c r="GBU9" s="2235"/>
      <c r="GBV9" s="2235"/>
      <c r="GBW9" s="2235"/>
      <c r="GBX9" s="2235"/>
      <c r="GBY9" s="2235"/>
      <c r="GBZ9" s="2235"/>
      <c r="GCA9" s="2235"/>
      <c r="GCB9" s="2235"/>
      <c r="GCC9" s="2235"/>
      <c r="GCD9" s="2235"/>
      <c r="GCE9" s="2235"/>
      <c r="GCF9" s="2235"/>
      <c r="GCG9" s="2235"/>
      <c r="GCH9" s="2235"/>
      <c r="GCI9" s="2235"/>
      <c r="GCJ9" s="2235"/>
      <c r="GCK9" s="2235"/>
      <c r="GCL9" s="2235"/>
      <c r="GCM9" s="2235"/>
      <c r="GCN9" s="2235"/>
      <c r="GCO9" s="2235"/>
      <c r="GCP9" s="2235"/>
      <c r="GCQ9" s="2235"/>
      <c r="GCR9" s="2235"/>
      <c r="GCS9" s="2235"/>
      <c r="GCT9" s="2235"/>
      <c r="GCU9" s="2235"/>
      <c r="GCV9" s="2235"/>
      <c r="GCW9" s="2235"/>
      <c r="GCX9" s="2235"/>
      <c r="GCY9" s="2235"/>
      <c r="GCZ9" s="2235"/>
      <c r="GDA9" s="2235"/>
      <c r="GDB9" s="2235"/>
      <c r="GDC9" s="2235"/>
      <c r="GDD9" s="2235"/>
      <c r="GDE9" s="2235"/>
      <c r="GDF9" s="2235"/>
      <c r="GDG9" s="2235"/>
      <c r="GDH9" s="2235"/>
      <c r="GDI9" s="2235"/>
      <c r="GDJ9" s="2235"/>
      <c r="GDK9" s="2235"/>
      <c r="GDL9" s="2235"/>
      <c r="GDM9" s="2235"/>
      <c r="GDN9" s="2235"/>
      <c r="GDO9" s="2235"/>
      <c r="GDP9" s="2235"/>
      <c r="GDQ9" s="2235"/>
      <c r="GDR9" s="2235"/>
      <c r="GDS9" s="2235"/>
      <c r="GDT9" s="2235"/>
      <c r="GDU9" s="2235"/>
      <c r="GDV9" s="2235"/>
      <c r="GDW9" s="2235"/>
      <c r="GDX9" s="2235"/>
      <c r="GDY9" s="2235"/>
      <c r="GDZ9" s="2235"/>
      <c r="GEA9" s="2235"/>
      <c r="GEB9" s="2235"/>
      <c r="GEC9" s="2235"/>
      <c r="GED9" s="2235"/>
      <c r="GEE9" s="2235"/>
      <c r="GEF9" s="2235"/>
      <c r="GEG9" s="2235"/>
      <c r="GEH9" s="2235"/>
      <c r="GEI9" s="2235"/>
      <c r="GEJ9" s="2235"/>
      <c r="GEK9" s="2235"/>
      <c r="GEL9" s="2235"/>
      <c r="GEM9" s="2235"/>
      <c r="GEN9" s="2235"/>
      <c r="GEO9" s="2235"/>
      <c r="GEP9" s="2235"/>
      <c r="GEQ9" s="2235"/>
      <c r="GER9" s="2235"/>
      <c r="GES9" s="2235"/>
      <c r="GET9" s="2235"/>
      <c r="GEU9" s="2235"/>
      <c r="GEV9" s="2235"/>
      <c r="GEW9" s="2235"/>
      <c r="GEX9" s="2235"/>
      <c r="GEY9" s="2235"/>
      <c r="GEZ9" s="2235"/>
      <c r="GFA9" s="2235"/>
      <c r="GFB9" s="2235"/>
      <c r="GFC9" s="2235"/>
      <c r="GFD9" s="2235"/>
      <c r="GFE9" s="2235"/>
      <c r="GFF9" s="2235"/>
      <c r="GFG9" s="2235"/>
      <c r="GFH9" s="2235"/>
      <c r="GFI9" s="2235"/>
      <c r="GFJ9" s="2235"/>
      <c r="GFK9" s="2235"/>
      <c r="GFL9" s="2235"/>
      <c r="GFM9" s="2235"/>
      <c r="GFN9" s="2235"/>
      <c r="GFO9" s="2235"/>
      <c r="GFP9" s="2235"/>
      <c r="GFQ9" s="2235"/>
      <c r="GFR9" s="2235"/>
      <c r="GFS9" s="2235"/>
      <c r="GFT9" s="2235"/>
      <c r="GFU9" s="2235"/>
      <c r="GFV9" s="2235"/>
      <c r="GFW9" s="2235"/>
      <c r="GFX9" s="2235"/>
      <c r="GFY9" s="2235"/>
      <c r="GFZ9" s="2235"/>
      <c r="GGA9" s="2235"/>
      <c r="GGB9" s="2235"/>
      <c r="GGC9" s="2235"/>
      <c r="GGD9" s="2235"/>
      <c r="GGE9" s="2235"/>
      <c r="GGF9" s="2235"/>
      <c r="GGG9" s="2235"/>
      <c r="GGH9" s="2235"/>
      <c r="GGI9" s="2235"/>
      <c r="GGJ9" s="2235"/>
      <c r="GGK9" s="2235"/>
      <c r="GGL9" s="2235"/>
      <c r="GGM9" s="2235"/>
      <c r="GGN9" s="2235"/>
      <c r="GGO9" s="2235"/>
      <c r="GGP9" s="2235"/>
      <c r="GGQ9" s="2235"/>
      <c r="GGR9" s="2235"/>
      <c r="GGS9" s="2235"/>
      <c r="GGT9" s="2235"/>
      <c r="GGU9" s="2235"/>
      <c r="GGV9" s="2235"/>
      <c r="GGW9" s="2235"/>
      <c r="GGX9" s="2235"/>
      <c r="GGY9" s="2235"/>
      <c r="GGZ9" s="2235"/>
      <c r="GHA9" s="2235"/>
      <c r="GHB9" s="2235"/>
      <c r="GHC9" s="2235"/>
      <c r="GHD9" s="2235"/>
      <c r="GHE9" s="2235"/>
      <c r="GHF9" s="2235"/>
      <c r="GHG9" s="2235"/>
      <c r="GHH9" s="2235"/>
      <c r="GHI9" s="2235"/>
      <c r="GHJ9" s="2235"/>
      <c r="GHK9" s="2235"/>
      <c r="GHL9" s="2235"/>
      <c r="GHM9" s="2235"/>
      <c r="GHN9" s="2235"/>
      <c r="GHO9" s="2235"/>
      <c r="GHP9" s="2235"/>
      <c r="GHQ9" s="2235"/>
      <c r="GHR9" s="2235"/>
      <c r="GHS9" s="2235"/>
      <c r="GHT9" s="2235"/>
      <c r="GHU9" s="2235"/>
      <c r="GHV9" s="2235"/>
      <c r="GHW9" s="2235"/>
      <c r="GHX9" s="2235"/>
      <c r="GHY9" s="2235"/>
      <c r="GHZ9" s="2235"/>
      <c r="GIA9" s="2235"/>
      <c r="GIB9" s="2235"/>
      <c r="GIC9" s="2235"/>
      <c r="GID9" s="2235"/>
      <c r="GIE9" s="2235"/>
      <c r="GIF9" s="2235"/>
      <c r="GIG9" s="2235"/>
      <c r="GIH9" s="2235"/>
      <c r="GII9" s="2235"/>
      <c r="GIJ9" s="2235"/>
      <c r="GIK9" s="2235"/>
      <c r="GIL9" s="2235"/>
      <c r="GIM9" s="2235"/>
      <c r="GIN9" s="2235"/>
      <c r="GIO9" s="2235"/>
      <c r="GIP9" s="2235"/>
      <c r="GIQ9" s="2235"/>
      <c r="GIR9" s="2235"/>
      <c r="GIS9" s="2235"/>
      <c r="GIT9" s="2235"/>
      <c r="GIU9" s="2235"/>
      <c r="GIV9" s="2235"/>
      <c r="GIW9" s="2235"/>
      <c r="GIX9" s="2235"/>
      <c r="GIY9" s="2235"/>
      <c r="GIZ9" s="2235"/>
      <c r="GJA9" s="2235"/>
      <c r="GJB9" s="2235"/>
      <c r="GJC9" s="2235"/>
      <c r="GJD9" s="2235"/>
      <c r="GJE9" s="2235"/>
      <c r="GJF9" s="2235"/>
      <c r="GJG9" s="2235"/>
      <c r="GJH9" s="2235"/>
      <c r="GJI9" s="2235"/>
      <c r="GJJ9" s="2235"/>
      <c r="GJK9" s="2235"/>
      <c r="GJL9" s="2235"/>
      <c r="GJM9" s="2235"/>
      <c r="GJN9" s="2235"/>
      <c r="GJO9" s="2235"/>
      <c r="GJP9" s="2235"/>
      <c r="GJQ9" s="2235"/>
      <c r="GJR9" s="2235"/>
      <c r="GJS9" s="2235"/>
      <c r="GJT9" s="2235"/>
      <c r="GJU9" s="2235"/>
      <c r="GJV9" s="2235"/>
      <c r="GJW9" s="2235"/>
      <c r="GJX9" s="2235"/>
      <c r="GJY9" s="2235"/>
      <c r="GJZ9" s="2235"/>
      <c r="GKA9" s="2235"/>
      <c r="GKB9" s="2235"/>
      <c r="GKC9" s="2235"/>
      <c r="GKD9" s="2235"/>
      <c r="GKE9" s="2235"/>
      <c r="GKF9" s="2235"/>
      <c r="GKG9" s="2235"/>
      <c r="GKH9" s="2235"/>
      <c r="GKI9" s="2235"/>
      <c r="GKJ9" s="2235"/>
      <c r="GKK9" s="2235"/>
      <c r="GKL9" s="2235"/>
      <c r="GKM9" s="2235"/>
      <c r="GKN9" s="2235"/>
      <c r="GKO9" s="2235"/>
      <c r="GKP9" s="2235"/>
      <c r="GKQ9" s="2235"/>
      <c r="GKR9" s="2235"/>
      <c r="GKS9" s="2235"/>
      <c r="GKT9" s="2235"/>
      <c r="GKU9" s="2235"/>
      <c r="GKV9" s="2235"/>
      <c r="GKW9" s="2235"/>
      <c r="GKX9" s="2235"/>
      <c r="GKY9" s="2235"/>
      <c r="GKZ9" s="2235"/>
      <c r="GLA9" s="2235"/>
      <c r="GLB9" s="2235"/>
      <c r="GLC9" s="2235"/>
      <c r="GLD9" s="2235"/>
      <c r="GLE9" s="2235"/>
      <c r="GLF9" s="2235"/>
      <c r="GLG9" s="2235"/>
      <c r="GLH9" s="2235"/>
      <c r="GLI9" s="2235"/>
      <c r="GLJ9" s="2235"/>
      <c r="GLK9" s="2235"/>
      <c r="GLL9" s="2235"/>
      <c r="GLM9" s="2235"/>
      <c r="GLN9" s="2235"/>
      <c r="GLO9" s="2235"/>
      <c r="GLP9" s="2235"/>
      <c r="GLQ9" s="2235"/>
      <c r="GLR9" s="2235"/>
      <c r="GLS9" s="2235"/>
      <c r="GLT9" s="2235"/>
      <c r="GLU9" s="2235"/>
      <c r="GLV9" s="2235"/>
      <c r="GLW9" s="2235"/>
      <c r="GLX9" s="2235"/>
      <c r="GLY9" s="2235"/>
      <c r="GLZ9" s="2235"/>
      <c r="GMA9" s="2235"/>
      <c r="GMB9" s="2235"/>
      <c r="GMC9" s="2235"/>
      <c r="GMD9" s="2235"/>
      <c r="GME9" s="2235"/>
      <c r="GMF9" s="2235"/>
      <c r="GMG9" s="2235"/>
      <c r="GMH9" s="2235"/>
      <c r="GMI9" s="2235"/>
      <c r="GMJ9" s="2235"/>
      <c r="GMK9" s="2235"/>
      <c r="GML9" s="2235"/>
      <c r="GMM9" s="2235"/>
      <c r="GMN9" s="2235"/>
      <c r="GMO9" s="2235"/>
      <c r="GMP9" s="2235"/>
      <c r="GMQ9" s="2235"/>
      <c r="GMR9" s="2235"/>
      <c r="GMS9" s="2235"/>
      <c r="GMT9" s="2235"/>
      <c r="GMU9" s="2235"/>
      <c r="GMV9" s="2235"/>
      <c r="GMW9" s="2235"/>
      <c r="GMX9" s="2235"/>
      <c r="GMY9" s="2235"/>
      <c r="GMZ9" s="2235"/>
      <c r="GNA9" s="2235"/>
      <c r="GNB9" s="2235"/>
      <c r="GNC9" s="2235"/>
      <c r="GND9" s="2235"/>
      <c r="GNE9" s="2235"/>
      <c r="GNF9" s="2235"/>
      <c r="GNG9" s="2235"/>
      <c r="GNH9" s="2235"/>
      <c r="GNI9" s="2235"/>
      <c r="GNJ9" s="2235"/>
      <c r="GNK9" s="2235"/>
      <c r="GNL9" s="2235"/>
      <c r="GNM9" s="2235"/>
      <c r="GNN9" s="2235"/>
      <c r="GNO9" s="2235"/>
      <c r="GNP9" s="2235"/>
      <c r="GNQ9" s="2235"/>
      <c r="GNR9" s="2235"/>
      <c r="GNS9" s="2235"/>
      <c r="GNT9" s="2235"/>
      <c r="GNU9" s="2235"/>
      <c r="GNV9" s="2235"/>
      <c r="GNW9" s="2235"/>
      <c r="GNX9" s="2235"/>
      <c r="GNY9" s="2235"/>
      <c r="GNZ9" s="2235"/>
      <c r="GOA9" s="2235"/>
      <c r="GOB9" s="2235"/>
      <c r="GOC9" s="2235"/>
      <c r="GOD9" s="2235"/>
      <c r="GOE9" s="2235"/>
      <c r="GOF9" s="2235"/>
      <c r="GOG9" s="2235"/>
      <c r="GOH9" s="2235"/>
      <c r="GOI9" s="2235"/>
      <c r="GOJ9" s="2235"/>
      <c r="GOK9" s="2235"/>
      <c r="GOL9" s="2235"/>
      <c r="GOM9" s="2235"/>
      <c r="GON9" s="2235"/>
      <c r="GOO9" s="2235"/>
      <c r="GOP9" s="2235"/>
      <c r="GOQ9" s="2235"/>
      <c r="GOR9" s="2235"/>
      <c r="GOS9" s="2235"/>
      <c r="GOT9" s="2235"/>
      <c r="GOU9" s="2235"/>
      <c r="GOV9" s="2235"/>
      <c r="GOW9" s="2235"/>
      <c r="GOX9" s="2235"/>
      <c r="GOY9" s="2235"/>
      <c r="GOZ9" s="2235"/>
      <c r="GPA9" s="2235"/>
      <c r="GPB9" s="2235"/>
      <c r="GPC9" s="2235"/>
      <c r="GPD9" s="2235"/>
      <c r="GPE9" s="2235"/>
      <c r="GPF9" s="2235"/>
      <c r="GPG9" s="2235"/>
      <c r="GPH9" s="2235"/>
      <c r="GPI9" s="2235"/>
      <c r="GPJ9" s="2235"/>
      <c r="GPK9" s="2235"/>
      <c r="GPL9" s="2235"/>
      <c r="GPM9" s="2235"/>
      <c r="GPN9" s="2235"/>
      <c r="GPO9" s="2235"/>
      <c r="GPP9" s="2235"/>
      <c r="GPQ9" s="2235"/>
      <c r="GPR9" s="2235"/>
      <c r="GPS9" s="2235"/>
      <c r="GPT9" s="2235"/>
      <c r="GPU9" s="2235"/>
      <c r="GPV9" s="2235"/>
      <c r="GPW9" s="2235"/>
      <c r="GPX9" s="2235"/>
      <c r="GPY9" s="2235"/>
      <c r="GPZ9" s="2235"/>
      <c r="GQA9" s="2235"/>
      <c r="GQB9" s="2235"/>
      <c r="GQC9" s="2235"/>
      <c r="GQD9" s="2235"/>
      <c r="GQE9" s="2235"/>
      <c r="GQF9" s="2235"/>
      <c r="GQG9" s="2235"/>
      <c r="GQH9" s="2235"/>
      <c r="GQI9" s="2235"/>
      <c r="GQJ9" s="2235"/>
      <c r="GQK9" s="2235"/>
      <c r="GQL9" s="2235"/>
      <c r="GQM9" s="2235"/>
      <c r="GQN9" s="2235"/>
      <c r="GQO9" s="2235"/>
      <c r="GQP9" s="2235"/>
      <c r="GQQ9" s="2235"/>
      <c r="GQR9" s="2235"/>
      <c r="GQS9" s="2235"/>
      <c r="GQT9" s="2235"/>
      <c r="GQU9" s="2235"/>
      <c r="GQV9" s="2235"/>
      <c r="GQW9" s="2235"/>
      <c r="GQX9" s="2235"/>
      <c r="GQY9" s="2235"/>
      <c r="GQZ9" s="2235"/>
      <c r="GRA9" s="2235"/>
      <c r="GRB9" s="2235"/>
      <c r="GRC9" s="2235"/>
      <c r="GRD9" s="2235"/>
      <c r="GRE9" s="2235"/>
      <c r="GRF9" s="2235"/>
      <c r="GRG9" s="2235"/>
      <c r="GRH9" s="2235"/>
      <c r="GRI9" s="2235"/>
      <c r="GRJ9" s="2235"/>
      <c r="GRK9" s="2235"/>
      <c r="GRL9" s="2235"/>
      <c r="GRM9" s="2235"/>
      <c r="GRN9" s="2235"/>
      <c r="GRO9" s="2235"/>
      <c r="GRP9" s="2235"/>
      <c r="GRQ9" s="2235"/>
      <c r="GRR9" s="2235"/>
      <c r="GRS9" s="2235"/>
      <c r="GRT9" s="2235"/>
      <c r="GRU9" s="2235"/>
      <c r="GRV9" s="2235"/>
      <c r="GRW9" s="2235"/>
      <c r="GRX9" s="2235"/>
      <c r="GRY9" s="2235"/>
      <c r="GRZ9" s="2235"/>
      <c r="GSA9" s="2235"/>
      <c r="GSB9" s="2235"/>
      <c r="GSC9" s="2235"/>
      <c r="GSD9" s="2235"/>
      <c r="GSE9" s="2235"/>
      <c r="GSF9" s="2235"/>
      <c r="GSG9" s="2235"/>
      <c r="GSH9" s="2235"/>
      <c r="GSI9" s="2235"/>
      <c r="GSJ9" s="2235"/>
      <c r="GSK9" s="2235"/>
      <c r="GSL9" s="2235"/>
      <c r="GSM9" s="2235"/>
      <c r="GSN9" s="2235"/>
      <c r="GSO9" s="2235"/>
      <c r="GSP9" s="2235"/>
      <c r="GSQ9" s="2235"/>
      <c r="GSR9" s="2235"/>
      <c r="GSS9" s="2235"/>
      <c r="GST9" s="2235"/>
      <c r="GSU9" s="2235"/>
      <c r="GSV9" s="2235"/>
      <c r="GSW9" s="2235"/>
      <c r="GSX9" s="2235"/>
      <c r="GSY9" s="2235"/>
      <c r="GSZ9" s="2235"/>
      <c r="GTA9" s="2235"/>
      <c r="GTB9" s="2235"/>
      <c r="GTC9" s="2235"/>
      <c r="GTD9" s="2235"/>
      <c r="GTE9" s="2235"/>
      <c r="GTF9" s="2235"/>
      <c r="GTG9" s="2235"/>
      <c r="GTH9" s="2235"/>
      <c r="GTI9" s="2235"/>
      <c r="GTJ9" s="2235"/>
      <c r="GTK9" s="2235"/>
      <c r="GTL9" s="2235"/>
      <c r="GTM9" s="2235"/>
      <c r="GTN9" s="2235"/>
      <c r="GTO9" s="2235"/>
      <c r="GTP9" s="2235"/>
      <c r="GTQ9" s="2235"/>
      <c r="GTR9" s="2235"/>
      <c r="GTS9" s="2235"/>
      <c r="GTT9" s="2235"/>
      <c r="GTU9" s="2235"/>
      <c r="GTV9" s="2235"/>
      <c r="GTW9" s="2235"/>
      <c r="GTX9" s="2235"/>
      <c r="GTY9" s="2235"/>
      <c r="GTZ9" s="2235"/>
      <c r="GUA9" s="2235"/>
      <c r="GUB9" s="2235"/>
      <c r="GUC9" s="2235"/>
      <c r="GUD9" s="2235"/>
      <c r="GUE9" s="2235"/>
      <c r="GUF9" s="2235"/>
      <c r="GUG9" s="2235"/>
      <c r="GUH9" s="2235"/>
      <c r="GUI9" s="2235"/>
      <c r="GUJ9" s="2235"/>
      <c r="GUK9" s="2235"/>
      <c r="GUL9" s="2235"/>
      <c r="GUM9" s="2235"/>
      <c r="GUN9" s="2235"/>
      <c r="GUO9" s="2235"/>
      <c r="GUP9" s="2235"/>
      <c r="GUQ9" s="2235"/>
      <c r="GUR9" s="2235"/>
      <c r="GUS9" s="2235"/>
      <c r="GUT9" s="2235"/>
      <c r="GUU9" s="2235"/>
      <c r="GUV9" s="2235"/>
      <c r="GUW9" s="2235"/>
      <c r="GUX9" s="2235"/>
      <c r="GUY9" s="2235"/>
      <c r="GUZ9" s="2235"/>
      <c r="GVA9" s="2235"/>
      <c r="GVB9" s="2235"/>
      <c r="GVC9" s="2235"/>
      <c r="GVD9" s="2235"/>
      <c r="GVE9" s="2235"/>
      <c r="GVF9" s="2235"/>
      <c r="GVG9" s="2235"/>
      <c r="GVH9" s="2235"/>
      <c r="GVI9" s="2235"/>
      <c r="GVJ9" s="2235"/>
      <c r="GVK9" s="2235"/>
      <c r="GVL9" s="2235"/>
      <c r="GVM9" s="2235"/>
      <c r="GVN9" s="2235"/>
      <c r="GVO9" s="2235"/>
      <c r="GVP9" s="2235"/>
      <c r="GVQ9" s="2235"/>
      <c r="GVR9" s="2235"/>
      <c r="GVS9" s="2235"/>
      <c r="GVT9" s="2235"/>
      <c r="GVU9" s="2235"/>
      <c r="GVV9" s="2235"/>
      <c r="GVW9" s="2235"/>
      <c r="GVX9" s="2235"/>
      <c r="GVY9" s="2235"/>
      <c r="GVZ9" s="2235"/>
      <c r="GWA9" s="2235"/>
      <c r="GWB9" s="2235"/>
      <c r="GWC9" s="2235"/>
      <c r="GWD9" s="2235"/>
      <c r="GWE9" s="2235"/>
      <c r="GWF9" s="2235"/>
      <c r="GWG9" s="2235"/>
      <c r="GWH9" s="2235"/>
      <c r="GWI9" s="2235"/>
      <c r="GWJ9" s="2235"/>
      <c r="GWK9" s="2235"/>
      <c r="GWL9" s="2235"/>
      <c r="GWM9" s="2235"/>
      <c r="GWN9" s="2235"/>
      <c r="GWO9" s="2235"/>
      <c r="GWP9" s="2235"/>
      <c r="GWQ9" s="2235"/>
      <c r="GWR9" s="2235"/>
      <c r="GWS9" s="2235"/>
      <c r="GWT9" s="2235"/>
      <c r="GWU9" s="2235"/>
      <c r="GWV9" s="2235"/>
      <c r="GWW9" s="2235"/>
      <c r="GWX9" s="2235"/>
      <c r="GWY9" s="2235"/>
      <c r="GWZ9" s="2235"/>
      <c r="GXA9" s="2235"/>
      <c r="GXB9" s="2235"/>
      <c r="GXC9" s="2235"/>
      <c r="GXD9" s="2235"/>
      <c r="GXE9" s="2235"/>
      <c r="GXF9" s="2235"/>
      <c r="GXG9" s="2235"/>
      <c r="GXH9" s="2235"/>
      <c r="GXI9" s="2235"/>
      <c r="GXJ9" s="2235"/>
      <c r="GXK9" s="2235"/>
      <c r="GXL9" s="2235"/>
      <c r="GXM9" s="2235"/>
      <c r="GXN9" s="2235"/>
      <c r="GXO9" s="2235"/>
      <c r="GXP9" s="2235"/>
      <c r="GXQ9" s="2235"/>
      <c r="GXR9" s="2235"/>
      <c r="GXS9" s="2235"/>
      <c r="GXT9" s="2235"/>
      <c r="GXU9" s="2235"/>
      <c r="GXV9" s="2235"/>
      <c r="GXW9" s="2235"/>
      <c r="GXX9" s="2235"/>
      <c r="GXY9" s="2235"/>
      <c r="GXZ9" s="2235"/>
      <c r="GYA9" s="2235"/>
      <c r="GYB9" s="2235"/>
      <c r="GYC9" s="2235"/>
      <c r="GYD9" s="2235"/>
      <c r="GYE9" s="2235"/>
      <c r="GYF9" s="2235"/>
      <c r="GYG9" s="2235"/>
      <c r="GYH9" s="2235"/>
      <c r="GYI9" s="2235"/>
      <c r="GYJ9" s="2235"/>
      <c r="GYK9" s="2235"/>
      <c r="GYL9" s="2235"/>
      <c r="GYM9" s="2235"/>
      <c r="GYN9" s="2235"/>
      <c r="GYO9" s="2235"/>
      <c r="GYP9" s="2235"/>
      <c r="GYQ9" s="2235"/>
      <c r="GYR9" s="2235"/>
      <c r="GYS9" s="2235"/>
      <c r="GYT9" s="2235"/>
      <c r="GYU9" s="2235"/>
      <c r="GYV9" s="2235"/>
      <c r="GYW9" s="2235"/>
      <c r="GYX9" s="2235"/>
      <c r="GYY9" s="2235"/>
      <c r="GYZ9" s="2235"/>
      <c r="GZA9" s="2235"/>
      <c r="GZB9" s="2235"/>
      <c r="GZC9" s="2235"/>
      <c r="GZD9" s="2235"/>
      <c r="GZE9" s="2235"/>
      <c r="GZF9" s="2235"/>
      <c r="GZG9" s="2235"/>
      <c r="GZH9" s="2235"/>
      <c r="GZI9" s="2235"/>
      <c r="GZJ9" s="2235"/>
      <c r="GZK9" s="2235"/>
      <c r="GZL9" s="2235"/>
      <c r="GZM9" s="2235"/>
      <c r="GZN9" s="2235"/>
      <c r="GZO9" s="2235"/>
      <c r="GZP9" s="2235"/>
      <c r="GZQ9" s="2235"/>
      <c r="GZR9" s="2235"/>
      <c r="GZS9" s="2235"/>
      <c r="GZT9" s="2235"/>
      <c r="GZU9" s="2235"/>
      <c r="GZV9" s="2235"/>
      <c r="GZW9" s="2235"/>
      <c r="GZX9" s="2235"/>
      <c r="GZY9" s="2235"/>
      <c r="GZZ9" s="2235"/>
      <c r="HAA9" s="2235"/>
      <c r="HAB9" s="2235"/>
      <c r="HAC9" s="2235"/>
      <c r="HAD9" s="2235"/>
      <c r="HAE9" s="2235"/>
      <c r="HAF9" s="2235"/>
      <c r="HAG9" s="2235"/>
      <c r="HAH9" s="2235"/>
      <c r="HAI9" s="2235"/>
      <c r="HAJ9" s="2235"/>
      <c r="HAK9" s="2235"/>
      <c r="HAL9" s="2235"/>
      <c r="HAM9" s="2235"/>
      <c r="HAN9" s="2235"/>
      <c r="HAO9" s="2235"/>
      <c r="HAP9" s="2235"/>
      <c r="HAQ9" s="2235"/>
      <c r="HAR9" s="2235"/>
      <c r="HAS9" s="2235"/>
      <c r="HAT9" s="2235"/>
      <c r="HAU9" s="2235"/>
      <c r="HAV9" s="2235"/>
      <c r="HAW9" s="2235"/>
      <c r="HAX9" s="2235"/>
      <c r="HAY9" s="2235"/>
      <c r="HAZ9" s="2235"/>
      <c r="HBA9" s="2235"/>
      <c r="HBB9" s="2235"/>
      <c r="HBC9" s="2235"/>
      <c r="HBD9" s="2235"/>
      <c r="HBE9" s="2235"/>
      <c r="HBF9" s="2235"/>
      <c r="HBG9" s="2235"/>
      <c r="HBH9" s="2235"/>
      <c r="HBI9" s="2235"/>
      <c r="HBJ9" s="2235"/>
      <c r="HBK9" s="2235"/>
      <c r="HBL9" s="2235"/>
      <c r="HBM9" s="2235"/>
      <c r="HBN9" s="2235"/>
      <c r="HBO9" s="2235"/>
      <c r="HBP9" s="2235"/>
      <c r="HBQ9" s="2235"/>
      <c r="HBR9" s="2235"/>
      <c r="HBS9" s="2235"/>
      <c r="HBT9" s="2235"/>
      <c r="HBU9" s="2235"/>
      <c r="HBV9" s="2235"/>
      <c r="HBW9" s="2235"/>
      <c r="HBX9" s="2235"/>
      <c r="HBY9" s="2235"/>
      <c r="HBZ9" s="2235"/>
      <c r="HCA9" s="2235"/>
      <c r="HCB9" s="2235"/>
      <c r="HCC9" s="2235"/>
      <c r="HCD9" s="2235"/>
      <c r="HCE9" s="2235"/>
      <c r="HCF9" s="2235"/>
      <c r="HCG9" s="2235"/>
      <c r="HCH9" s="2235"/>
      <c r="HCI9" s="2235"/>
      <c r="HCJ9" s="2235"/>
      <c r="HCK9" s="2235"/>
      <c r="HCL9" s="2235"/>
      <c r="HCM9" s="2235"/>
      <c r="HCN9" s="2235"/>
      <c r="HCO9" s="2235"/>
      <c r="HCP9" s="2235"/>
      <c r="HCQ9" s="2235"/>
      <c r="HCR9" s="2235"/>
      <c r="HCS9" s="2235"/>
      <c r="HCT9" s="2235"/>
      <c r="HCU9" s="2235"/>
      <c r="HCV9" s="2235"/>
      <c r="HCW9" s="2235"/>
      <c r="HCX9" s="2235"/>
      <c r="HCY9" s="2235"/>
      <c r="HCZ9" s="2235"/>
      <c r="HDA9" s="2235"/>
      <c r="HDB9" s="2235"/>
      <c r="HDC9" s="2235"/>
      <c r="HDD9" s="2235"/>
      <c r="HDE9" s="2235"/>
      <c r="HDF9" s="2235"/>
      <c r="HDG9" s="2235"/>
      <c r="HDH9" s="2235"/>
      <c r="HDI9" s="2235"/>
      <c r="HDJ9" s="2235"/>
      <c r="HDK9" s="2235"/>
      <c r="HDL9" s="2235"/>
      <c r="HDM9" s="2235"/>
      <c r="HDN9" s="2235"/>
      <c r="HDO9" s="2235"/>
      <c r="HDP9" s="2235"/>
      <c r="HDQ9" s="2235"/>
      <c r="HDR9" s="2235"/>
      <c r="HDS9" s="2235"/>
      <c r="HDT9" s="2235"/>
      <c r="HDU9" s="2235"/>
      <c r="HDV9" s="2235"/>
      <c r="HDW9" s="2235"/>
      <c r="HDX9" s="2235"/>
      <c r="HDY9" s="2235"/>
      <c r="HDZ9" s="2235"/>
      <c r="HEA9" s="2235"/>
      <c r="HEB9" s="2235"/>
      <c r="HEC9" s="2235"/>
      <c r="HED9" s="2235"/>
      <c r="HEE9" s="2235"/>
      <c r="HEF9" s="2235"/>
      <c r="HEG9" s="2235"/>
      <c r="HEH9" s="2235"/>
      <c r="HEI9" s="2235"/>
      <c r="HEJ9" s="2235"/>
      <c r="HEK9" s="2235"/>
      <c r="HEL9" s="2235"/>
      <c r="HEM9" s="2235"/>
      <c r="HEN9" s="2235"/>
      <c r="HEO9" s="2235"/>
      <c r="HEP9" s="2235"/>
      <c r="HEQ9" s="2235"/>
      <c r="HER9" s="2235"/>
      <c r="HES9" s="2235"/>
      <c r="HET9" s="2235"/>
      <c r="HEU9" s="2235"/>
      <c r="HEV9" s="2235"/>
      <c r="HEW9" s="2235"/>
      <c r="HEX9" s="2235"/>
      <c r="HEY9" s="2235"/>
      <c r="HEZ9" s="2235"/>
      <c r="HFA9" s="2235"/>
      <c r="HFB9" s="2235"/>
      <c r="HFC9" s="2235"/>
      <c r="HFD9" s="2235"/>
      <c r="HFE9" s="2235"/>
      <c r="HFF9" s="2235"/>
      <c r="HFG9" s="2235"/>
      <c r="HFH9" s="2235"/>
      <c r="HFI9" s="2235"/>
      <c r="HFJ9" s="2235"/>
      <c r="HFK9" s="2235"/>
      <c r="HFL9" s="2235"/>
      <c r="HFM9" s="2235"/>
      <c r="HFN9" s="2235"/>
      <c r="HFO9" s="2235"/>
      <c r="HFP9" s="2235"/>
      <c r="HFQ9" s="2235"/>
      <c r="HFR9" s="2235"/>
      <c r="HFS9" s="2235"/>
      <c r="HFT9" s="2235"/>
      <c r="HFU9" s="2235"/>
      <c r="HFV9" s="2235"/>
      <c r="HFW9" s="2235"/>
      <c r="HFX9" s="2235"/>
      <c r="HFY9" s="2235"/>
      <c r="HFZ9" s="2235"/>
      <c r="HGA9" s="2235"/>
      <c r="HGB9" s="2235"/>
      <c r="HGC9" s="2235"/>
      <c r="HGD9" s="2235"/>
      <c r="HGE9" s="2235"/>
      <c r="HGF9" s="2235"/>
      <c r="HGG9" s="2235"/>
      <c r="HGH9" s="2235"/>
      <c r="HGI9" s="2235"/>
      <c r="HGJ9" s="2235"/>
      <c r="HGK9" s="2235"/>
      <c r="HGL9" s="2235"/>
      <c r="HGM9" s="2235"/>
      <c r="HGN9" s="2235"/>
      <c r="HGO9" s="2235"/>
      <c r="HGP9" s="2235"/>
      <c r="HGQ9" s="2235"/>
      <c r="HGR9" s="2235"/>
      <c r="HGS9" s="2235"/>
      <c r="HGT9" s="2235"/>
      <c r="HGU9" s="2235"/>
      <c r="HGV9" s="2235"/>
      <c r="HGW9" s="2235"/>
      <c r="HGX9" s="2235"/>
      <c r="HGY9" s="2235"/>
      <c r="HGZ9" s="2235"/>
      <c r="HHA9" s="2235"/>
      <c r="HHB9" s="2235"/>
      <c r="HHC9" s="2235"/>
      <c r="HHD9" s="2235"/>
      <c r="HHE9" s="2235"/>
      <c r="HHF9" s="2235"/>
      <c r="HHG9" s="2235"/>
      <c r="HHH9" s="2235"/>
      <c r="HHI9" s="2235"/>
      <c r="HHJ9" s="2235"/>
      <c r="HHK9" s="2235"/>
      <c r="HHL9" s="2235"/>
      <c r="HHM9" s="2235"/>
      <c r="HHN9" s="2235"/>
      <c r="HHO9" s="2235"/>
      <c r="HHP9" s="2235"/>
      <c r="HHQ9" s="2235"/>
      <c r="HHR9" s="2235"/>
      <c r="HHS9" s="2235"/>
      <c r="HHT9" s="2235"/>
      <c r="HHU9" s="2235"/>
      <c r="HHV9" s="2235"/>
      <c r="HHW9" s="2235"/>
      <c r="HHX9" s="2235"/>
      <c r="HHY9" s="2235"/>
      <c r="HHZ9" s="2235"/>
      <c r="HIA9" s="2235"/>
      <c r="HIB9" s="2235"/>
      <c r="HIC9" s="2235"/>
      <c r="HID9" s="2235"/>
      <c r="HIE9" s="2235"/>
      <c r="HIF9" s="2235"/>
      <c r="HIG9" s="2235"/>
      <c r="HIH9" s="2235"/>
      <c r="HII9" s="2235"/>
      <c r="HIJ9" s="2235"/>
      <c r="HIK9" s="2235"/>
      <c r="HIL9" s="2235"/>
      <c r="HIM9" s="2235"/>
      <c r="HIN9" s="2235"/>
      <c r="HIO9" s="2235"/>
      <c r="HIP9" s="2235"/>
      <c r="HIQ9" s="2235"/>
      <c r="HIR9" s="2235"/>
      <c r="HIS9" s="2235"/>
      <c r="HIT9" s="2235"/>
      <c r="HIU9" s="2235"/>
      <c r="HIV9" s="2235"/>
      <c r="HIW9" s="2235"/>
      <c r="HIX9" s="2235"/>
      <c r="HIY9" s="2235"/>
      <c r="HIZ9" s="2235"/>
      <c r="HJA9" s="2235"/>
      <c r="HJB9" s="2235"/>
      <c r="HJC9" s="2235"/>
      <c r="HJD9" s="2235"/>
      <c r="HJE9" s="2235"/>
      <c r="HJF9" s="2235"/>
      <c r="HJG9" s="2235"/>
      <c r="HJH9" s="2235"/>
      <c r="HJI9" s="2235"/>
      <c r="HJJ9" s="2235"/>
      <c r="HJK9" s="2235"/>
      <c r="HJL9" s="2235"/>
      <c r="HJM9" s="2235"/>
      <c r="HJN9" s="2235"/>
      <c r="HJO9" s="2235"/>
      <c r="HJP9" s="2235"/>
      <c r="HJQ9" s="2235"/>
      <c r="HJR9" s="2235"/>
      <c r="HJS9" s="2235"/>
      <c r="HJT9" s="2235"/>
      <c r="HJU9" s="2235"/>
      <c r="HJV9" s="2235"/>
      <c r="HJW9" s="2235"/>
      <c r="HJX9" s="2235"/>
      <c r="HJY9" s="2235"/>
      <c r="HJZ9" s="2235"/>
      <c r="HKA9" s="2235"/>
      <c r="HKB9" s="2235"/>
      <c r="HKC9" s="2235"/>
      <c r="HKD9" s="2235"/>
      <c r="HKE9" s="2235"/>
      <c r="HKF9" s="2235"/>
      <c r="HKG9" s="2235"/>
      <c r="HKH9" s="2235"/>
      <c r="HKI9" s="2235"/>
      <c r="HKJ9" s="2235"/>
      <c r="HKK9" s="2235"/>
      <c r="HKL9" s="2235"/>
      <c r="HKM9" s="2235"/>
      <c r="HKN9" s="2235"/>
      <c r="HKO9" s="2235"/>
      <c r="HKP9" s="2235"/>
      <c r="HKQ9" s="2235"/>
      <c r="HKR9" s="2235"/>
      <c r="HKS9" s="2235"/>
      <c r="HKT9" s="2235"/>
      <c r="HKU9" s="2235"/>
      <c r="HKV9" s="2235"/>
      <c r="HKW9" s="2235"/>
      <c r="HKX9" s="2235"/>
      <c r="HKY9" s="2235"/>
      <c r="HKZ9" s="2235"/>
      <c r="HLA9" s="2235"/>
      <c r="HLB9" s="2235"/>
      <c r="HLC9" s="2235"/>
      <c r="HLD9" s="2235"/>
      <c r="HLE9" s="2235"/>
      <c r="HLF9" s="2235"/>
      <c r="HLG9" s="2235"/>
      <c r="HLH9" s="2235"/>
      <c r="HLI9" s="2235"/>
      <c r="HLJ9" s="2235"/>
      <c r="HLK9" s="2235"/>
      <c r="HLL9" s="2235"/>
      <c r="HLM9" s="2235"/>
      <c r="HLN9" s="2235"/>
      <c r="HLO9" s="2235"/>
      <c r="HLP9" s="2235"/>
      <c r="HLQ9" s="2235"/>
      <c r="HLR9" s="2235"/>
      <c r="HLS9" s="2235"/>
      <c r="HLT9" s="2235"/>
      <c r="HLU9" s="2235"/>
      <c r="HLV9" s="2235"/>
      <c r="HLW9" s="2235"/>
      <c r="HLX9" s="2235"/>
      <c r="HLY9" s="2235"/>
      <c r="HLZ9" s="2235"/>
      <c r="HMA9" s="2235"/>
      <c r="HMB9" s="2235"/>
      <c r="HMC9" s="2235"/>
      <c r="HMD9" s="2235"/>
      <c r="HME9" s="2235"/>
      <c r="HMF9" s="2235"/>
      <c r="HMG9" s="2235"/>
      <c r="HMH9" s="2235"/>
      <c r="HMI9" s="2235"/>
      <c r="HMJ9" s="2235"/>
      <c r="HMK9" s="2235"/>
      <c r="HML9" s="2235"/>
      <c r="HMM9" s="2235"/>
      <c r="HMN9" s="2235"/>
      <c r="HMO9" s="2235"/>
      <c r="HMP9" s="2235"/>
      <c r="HMQ9" s="2235"/>
      <c r="HMR9" s="2235"/>
      <c r="HMS9" s="2235"/>
      <c r="HMT9" s="2235"/>
      <c r="HMU9" s="2235"/>
      <c r="HMV9" s="2235"/>
      <c r="HMW9" s="2235"/>
      <c r="HMX9" s="2235"/>
      <c r="HMY9" s="2235"/>
      <c r="HMZ9" s="2235"/>
      <c r="HNA9" s="2235"/>
      <c r="HNB9" s="2235"/>
      <c r="HNC9" s="2235"/>
      <c r="HND9" s="2235"/>
      <c r="HNE9" s="2235"/>
      <c r="HNF9" s="2235"/>
      <c r="HNG9" s="2235"/>
      <c r="HNH9" s="2235"/>
      <c r="HNI9" s="2235"/>
      <c r="HNJ9" s="2235"/>
      <c r="HNK9" s="2235"/>
      <c r="HNL9" s="2235"/>
      <c r="HNM9" s="2235"/>
      <c r="HNN9" s="2235"/>
      <c r="HNO9" s="2235"/>
      <c r="HNP9" s="2235"/>
      <c r="HNQ9" s="2235"/>
      <c r="HNR9" s="2235"/>
      <c r="HNS9" s="2235"/>
      <c r="HNT9" s="2235"/>
      <c r="HNU9" s="2235"/>
      <c r="HNV9" s="2235"/>
      <c r="HNW9" s="2235"/>
      <c r="HNX9" s="2235"/>
      <c r="HNY9" s="2235"/>
      <c r="HNZ9" s="2235"/>
      <c r="HOA9" s="2235"/>
      <c r="HOB9" s="2235"/>
      <c r="HOC9" s="2235"/>
      <c r="HOD9" s="2235"/>
      <c r="HOE9" s="2235"/>
      <c r="HOF9" s="2235"/>
      <c r="HOG9" s="2235"/>
      <c r="HOH9" s="2235"/>
      <c r="HOI9" s="2235"/>
      <c r="HOJ9" s="2235"/>
      <c r="HOK9" s="2235"/>
      <c r="HOL9" s="2235"/>
      <c r="HOM9" s="2235"/>
      <c r="HON9" s="2235"/>
      <c r="HOO9" s="2235"/>
      <c r="HOP9" s="2235"/>
      <c r="HOQ9" s="2235"/>
      <c r="HOR9" s="2235"/>
      <c r="HOS9" s="2235"/>
      <c r="HOT9" s="2235"/>
      <c r="HOU9" s="2235"/>
      <c r="HOV9" s="2235"/>
      <c r="HOW9" s="2235"/>
      <c r="HOX9" s="2235"/>
      <c r="HOY9" s="2235"/>
      <c r="HOZ9" s="2235"/>
      <c r="HPA9" s="2235"/>
      <c r="HPB9" s="2235"/>
      <c r="HPC9" s="2235"/>
      <c r="HPD9" s="2235"/>
      <c r="HPE9" s="2235"/>
      <c r="HPF9" s="2235"/>
      <c r="HPG9" s="2235"/>
      <c r="HPH9" s="2235"/>
      <c r="HPI9" s="2235"/>
      <c r="HPJ9" s="2235"/>
      <c r="HPK9" s="2235"/>
      <c r="HPL9" s="2235"/>
      <c r="HPM9" s="2235"/>
      <c r="HPN9" s="2235"/>
      <c r="HPO9" s="2235"/>
      <c r="HPP9" s="2235"/>
      <c r="HPQ9" s="2235"/>
      <c r="HPR9" s="2235"/>
      <c r="HPS9" s="2235"/>
      <c r="HPT9" s="2235"/>
      <c r="HPU9" s="2235"/>
      <c r="HPV9" s="2235"/>
      <c r="HPW9" s="2235"/>
      <c r="HPX9" s="2235"/>
      <c r="HPY9" s="2235"/>
      <c r="HPZ9" s="2235"/>
      <c r="HQA9" s="2235"/>
      <c r="HQB9" s="2235"/>
      <c r="HQC9" s="2235"/>
      <c r="HQD9" s="2235"/>
      <c r="HQE9" s="2235"/>
      <c r="HQF9" s="2235"/>
      <c r="HQG9" s="2235"/>
      <c r="HQH9" s="2235"/>
      <c r="HQI9" s="2235"/>
      <c r="HQJ9" s="2235"/>
      <c r="HQK9" s="2235"/>
      <c r="HQL9" s="2235"/>
      <c r="HQM9" s="2235"/>
      <c r="HQN9" s="2235"/>
      <c r="HQO9" s="2235"/>
      <c r="HQP9" s="2235"/>
      <c r="HQQ9" s="2235"/>
      <c r="HQR9" s="2235"/>
      <c r="HQS9" s="2235"/>
      <c r="HQT9" s="2235"/>
      <c r="HQU9" s="2235"/>
      <c r="HQV9" s="2235"/>
      <c r="HQW9" s="2235"/>
      <c r="HQX9" s="2235"/>
      <c r="HQY9" s="2235"/>
      <c r="HQZ9" s="2235"/>
      <c r="HRA9" s="2235"/>
      <c r="HRB9" s="2235"/>
      <c r="HRC9" s="2235"/>
      <c r="HRD9" s="2235"/>
      <c r="HRE9" s="2235"/>
      <c r="HRF9" s="2235"/>
      <c r="HRG9" s="2235"/>
      <c r="HRH9" s="2235"/>
      <c r="HRI9" s="2235"/>
      <c r="HRJ9" s="2235"/>
      <c r="HRK9" s="2235"/>
      <c r="HRL9" s="2235"/>
      <c r="HRM9" s="2235"/>
      <c r="HRN9" s="2235"/>
      <c r="HRO9" s="2235"/>
      <c r="HRP9" s="2235"/>
      <c r="HRQ9" s="2235"/>
      <c r="HRR9" s="2235"/>
      <c r="HRS9" s="2235"/>
      <c r="HRT9" s="2235"/>
      <c r="HRU9" s="2235"/>
      <c r="HRV9" s="2235"/>
      <c r="HRW9" s="2235"/>
      <c r="HRX9" s="2235"/>
      <c r="HRY9" s="2235"/>
      <c r="HRZ9" s="2235"/>
      <c r="HSA9" s="2235"/>
      <c r="HSB9" s="2235"/>
      <c r="HSC9" s="2235"/>
      <c r="HSD9" s="2235"/>
      <c r="HSE9" s="2235"/>
      <c r="HSF9" s="2235"/>
      <c r="HSG9" s="2235"/>
      <c r="HSH9" s="2235"/>
      <c r="HSI9" s="2235"/>
      <c r="HSJ9" s="2235"/>
      <c r="HSK9" s="2235"/>
      <c r="HSL9" s="2235"/>
      <c r="HSM9" s="2235"/>
      <c r="HSN9" s="2235"/>
      <c r="HSO9" s="2235"/>
      <c r="HSP9" s="2235"/>
      <c r="HSQ9" s="2235"/>
      <c r="HSR9" s="2235"/>
      <c r="HSS9" s="2235"/>
      <c r="HST9" s="2235"/>
      <c r="HSU9" s="2235"/>
      <c r="HSV9" s="2235"/>
      <c r="HSW9" s="2235"/>
      <c r="HSX9" s="2235"/>
      <c r="HSY9" s="2235"/>
      <c r="HSZ9" s="2235"/>
      <c r="HTA9" s="2235"/>
      <c r="HTB9" s="2235"/>
      <c r="HTC9" s="2235"/>
      <c r="HTD9" s="2235"/>
      <c r="HTE9" s="2235"/>
      <c r="HTF9" s="2235"/>
      <c r="HTG9" s="2235"/>
      <c r="HTH9" s="2235"/>
      <c r="HTI9" s="2235"/>
      <c r="HTJ9" s="2235"/>
      <c r="HTK9" s="2235"/>
      <c r="HTL9" s="2235"/>
      <c r="HTM9" s="2235"/>
      <c r="HTN9" s="2235"/>
      <c r="HTO9" s="2235"/>
      <c r="HTP9" s="2235"/>
      <c r="HTQ9" s="2235"/>
      <c r="HTR9" s="2235"/>
      <c r="HTS9" s="2235"/>
      <c r="HTT9" s="2235"/>
      <c r="HTU9" s="2235"/>
      <c r="HTV9" s="2235"/>
      <c r="HTW9" s="2235"/>
      <c r="HTX9" s="2235"/>
      <c r="HTY9" s="2235"/>
      <c r="HTZ9" s="2235"/>
      <c r="HUA9" s="2235"/>
      <c r="HUB9" s="2235"/>
      <c r="HUC9" s="2235"/>
      <c r="HUD9" s="2235"/>
      <c r="HUE9" s="2235"/>
      <c r="HUF9" s="2235"/>
      <c r="HUG9" s="2235"/>
      <c r="HUH9" s="2235"/>
      <c r="HUI9" s="2235"/>
      <c r="HUJ9" s="2235"/>
      <c r="HUK9" s="2235"/>
      <c r="HUL9" s="2235"/>
      <c r="HUM9" s="2235"/>
      <c r="HUN9" s="2235"/>
      <c r="HUO9" s="2235"/>
      <c r="HUP9" s="2235"/>
      <c r="HUQ9" s="2235"/>
      <c r="HUR9" s="2235"/>
      <c r="HUS9" s="2235"/>
      <c r="HUT9" s="2235"/>
      <c r="HUU9" s="2235"/>
      <c r="HUV9" s="2235"/>
      <c r="HUW9" s="2235"/>
      <c r="HUX9" s="2235"/>
      <c r="HUY9" s="2235"/>
      <c r="HUZ9" s="2235"/>
      <c r="HVA9" s="2235"/>
      <c r="HVB9" s="2235"/>
      <c r="HVC9" s="2235"/>
      <c r="HVD9" s="2235"/>
      <c r="HVE9" s="2235"/>
      <c r="HVF9" s="2235"/>
      <c r="HVG9" s="2235"/>
      <c r="HVH9" s="2235"/>
      <c r="HVI9" s="2235"/>
      <c r="HVJ9" s="2235"/>
      <c r="HVK9" s="2235"/>
      <c r="HVL9" s="2235"/>
      <c r="HVM9" s="2235"/>
      <c r="HVN9" s="2235"/>
      <c r="HVO9" s="2235"/>
      <c r="HVP9" s="2235"/>
      <c r="HVQ9" s="2235"/>
      <c r="HVR9" s="2235"/>
      <c r="HVS9" s="2235"/>
      <c r="HVT9" s="2235"/>
      <c r="HVU9" s="2235"/>
      <c r="HVV9" s="2235"/>
      <c r="HVW9" s="2235"/>
      <c r="HVX9" s="2235"/>
      <c r="HVY9" s="2235"/>
      <c r="HVZ9" s="2235"/>
      <c r="HWA9" s="2235"/>
      <c r="HWB9" s="2235"/>
      <c r="HWC9" s="2235"/>
      <c r="HWD9" s="2235"/>
      <c r="HWE9" s="2235"/>
      <c r="HWF9" s="2235"/>
      <c r="HWG9" s="2235"/>
      <c r="HWH9" s="2235"/>
      <c r="HWI9" s="2235"/>
      <c r="HWJ9" s="2235"/>
      <c r="HWK9" s="2235"/>
      <c r="HWL9" s="2235"/>
      <c r="HWM9" s="2235"/>
      <c r="HWN9" s="2235"/>
      <c r="HWO9" s="2235"/>
      <c r="HWP9" s="2235"/>
      <c r="HWQ9" s="2235"/>
      <c r="HWR9" s="2235"/>
      <c r="HWS9" s="2235"/>
      <c r="HWT9" s="2235"/>
      <c r="HWU9" s="2235"/>
      <c r="HWV9" s="2235"/>
      <c r="HWW9" s="2235"/>
      <c r="HWX9" s="2235"/>
      <c r="HWY9" s="2235"/>
      <c r="HWZ9" s="2235"/>
      <c r="HXA9" s="2235"/>
      <c r="HXB9" s="2235"/>
      <c r="HXC9" s="2235"/>
      <c r="HXD9" s="2235"/>
      <c r="HXE9" s="2235"/>
      <c r="HXF9" s="2235"/>
      <c r="HXG9" s="2235"/>
      <c r="HXH9" s="2235"/>
      <c r="HXI9" s="2235"/>
      <c r="HXJ9" s="2235"/>
      <c r="HXK9" s="2235"/>
      <c r="HXL9" s="2235"/>
      <c r="HXM9" s="2235"/>
      <c r="HXN9" s="2235"/>
      <c r="HXO9" s="2235"/>
      <c r="HXP9" s="2235"/>
      <c r="HXQ9" s="2235"/>
      <c r="HXR9" s="2235"/>
      <c r="HXS9" s="2235"/>
      <c r="HXT9" s="2235"/>
      <c r="HXU9" s="2235"/>
      <c r="HXV9" s="2235"/>
      <c r="HXW9" s="2235"/>
      <c r="HXX9" s="2235"/>
      <c r="HXY9" s="2235"/>
      <c r="HXZ9" s="2235"/>
      <c r="HYA9" s="2235"/>
      <c r="HYB9" s="2235"/>
      <c r="HYC9" s="2235"/>
      <c r="HYD9" s="2235"/>
      <c r="HYE9" s="2235"/>
      <c r="HYF9" s="2235"/>
      <c r="HYG9" s="2235"/>
      <c r="HYH9" s="2235"/>
      <c r="HYI9" s="2235"/>
      <c r="HYJ9" s="2235"/>
      <c r="HYK9" s="2235"/>
      <c r="HYL9" s="2235"/>
      <c r="HYM9" s="2235"/>
      <c r="HYN9" s="2235"/>
      <c r="HYO9" s="2235"/>
      <c r="HYP9" s="2235"/>
      <c r="HYQ9" s="2235"/>
      <c r="HYR9" s="2235"/>
      <c r="HYS9" s="2235"/>
      <c r="HYT9" s="2235"/>
      <c r="HYU9" s="2235"/>
      <c r="HYV9" s="2235"/>
      <c r="HYW9" s="2235"/>
      <c r="HYX9" s="2235"/>
      <c r="HYY9" s="2235"/>
      <c r="HYZ9" s="2235"/>
      <c r="HZA9" s="2235"/>
      <c r="HZB9" s="2235"/>
      <c r="HZC9" s="2235"/>
      <c r="HZD9" s="2235"/>
      <c r="HZE9" s="2235"/>
      <c r="HZF9" s="2235"/>
      <c r="HZG9" s="2235"/>
      <c r="HZH9" s="2235"/>
      <c r="HZI9" s="2235"/>
      <c r="HZJ9" s="2235"/>
      <c r="HZK9" s="2235"/>
      <c r="HZL9" s="2235"/>
      <c r="HZM9" s="2235"/>
      <c r="HZN9" s="2235"/>
      <c r="HZO9" s="2235"/>
      <c r="HZP9" s="2235"/>
      <c r="HZQ9" s="2235"/>
      <c r="HZR9" s="2235"/>
      <c r="HZS9" s="2235"/>
      <c r="HZT9" s="2235"/>
      <c r="HZU9" s="2235"/>
      <c r="HZV9" s="2235"/>
      <c r="HZW9" s="2235"/>
      <c r="HZX9" s="2235"/>
      <c r="HZY9" s="2235"/>
      <c r="HZZ9" s="2235"/>
      <c r="IAA9" s="2235"/>
      <c r="IAB9" s="2235"/>
      <c r="IAC9" s="2235"/>
      <c r="IAD9" s="2235"/>
      <c r="IAE9" s="2235"/>
      <c r="IAF9" s="2235"/>
      <c r="IAG9" s="2235"/>
      <c r="IAH9" s="2235"/>
      <c r="IAI9" s="2235"/>
      <c r="IAJ9" s="2235"/>
      <c r="IAK9" s="2235"/>
      <c r="IAL9" s="2235"/>
      <c r="IAM9" s="2235"/>
      <c r="IAN9" s="2235"/>
      <c r="IAO9" s="2235"/>
      <c r="IAP9" s="2235"/>
      <c r="IAQ9" s="2235"/>
      <c r="IAR9" s="2235"/>
      <c r="IAS9" s="2235"/>
      <c r="IAT9" s="2235"/>
      <c r="IAU9" s="2235"/>
      <c r="IAV9" s="2235"/>
      <c r="IAW9" s="2235"/>
      <c r="IAX9" s="2235"/>
      <c r="IAY9" s="2235"/>
      <c r="IAZ9" s="2235"/>
      <c r="IBA9" s="2235"/>
      <c r="IBB9" s="2235"/>
      <c r="IBC9" s="2235"/>
      <c r="IBD9" s="2235"/>
      <c r="IBE9" s="2235"/>
      <c r="IBF9" s="2235"/>
      <c r="IBG9" s="2235"/>
      <c r="IBH9" s="2235"/>
      <c r="IBI9" s="2235"/>
      <c r="IBJ9" s="2235"/>
      <c r="IBK9" s="2235"/>
      <c r="IBL9" s="2235"/>
      <c r="IBM9" s="2235"/>
      <c r="IBN9" s="2235"/>
      <c r="IBO9" s="2235"/>
      <c r="IBP9" s="2235"/>
      <c r="IBQ9" s="2235"/>
      <c r="IBR9" s="2235"/>
      <c r="IBS9" s="2235"/>
      <c r="IBT9" s="2235"/>
      <c r="IBU9" s="2235"/>
      <c r="IBV9" s="2235"/>
      <c r="IBW9" s="2235"/>
      <c r="IBX9" s="2235"/>
      <c r="IBY9" s="2235"/>
      <c r="IBZ9" s="2235"/>
      <c r="ICA9" s="2235"/>
      <c r="ICB9" s="2235"/>
      <c r="ICC9" s="2235"/>
      <c r="ICD9" s="2235"/>
      <c r="ICE9" s="2235"/>
      <c r="ICF9" s="2235"/>
      <c r="ICG9" s="2235"/>
      <c r="ICH9" s="2235"/>
      <c r="ICI9" s="2235"/>
      <c r="ICJ9" s="2235"/>
      <c r="ICK9" s="2235"/>
      <c r="ICL9" s="2235"/>
      <c r="ICM9" s="2235"/>
      <c r="ICN9" s="2235"/>
      <c r="ICO9" s="2235"/>
      <c r="ICP9" s="2235"/>
      <c r="ICQ9" s="2235"/>
      <c r="ICR9" s="2235"/>
      <c r="ICS9" s="2235"/>
      <c r="ICT9" s="2235"/>
      <c r="ICU9" s="2235"/>
      <c r="ICV9" s="2235"/>
      <c r="ICW9" s="2235"/>
      <c r="ICX9" s="2235"/>
      <c r="ICY9" s="2235"/>
      <c r="ICZ9" s="2235"/>
      <c r="IDA9" s="2235"/>
      <c r="IDB9" s="2235"/>
      <c r="IDC9" s="2235"/>
      <c r="IDD9" s="2235"/>
      <c r="IDE9" s="2235"/>
      <c r="IDF9" s="2235"/>
      <c r="IDG9" s="2235"/>
      <c r="IDH9" s="2235"/>
      <c r="IDI9" s="2235"/>
      <c r="IDJ9" s="2235"/>
      <c r="IDK9" s="2235"/>
      <c r="IDL9" s="2235"/>
      <c r="IDM9" s="2235"/>
      <c r="IDN9" s="2235"/>
      <c r="IDO9" s="2235"/>
      <c r="IDP9" s="2235"/>
      <c r="IDQ9" s="2235"/>
      <c r="IDR9" s="2235"/>
      <c r="IDS9" s="2235"/>
      <c r="IDT9" s="2235"/>
      <c r="IDU9" s="2235"/>
      <c r="IDV9" s="2235"/>
      <c r="IDW9" s="2235"/>
      <c r="IDX9" s="2235"/>
      <c r="IDY9" s="2235"/>
      <c r="IDZ9" s="2235"/>
      <c r="IEA9" s="2235"/>
      <c r="IEB9" s="2235"/>
      <c r="IEC9" s="2235"/>
      <c r="IED9" s="2235"/>
      <c r="IEE9" s="2235"/>
      <c r="IEF9" s="2235"/>
      <c r="IEG9" s="2235"/>
      <c r="IEH9" s="2235"/>
      <c r="IEI9" s="2235"/>
      <c r="IEJ9" s="2235"/>
      <c r="IEK9" s="2235"/>
      <c r="IEL9" s="2235"/>
      <c r="IEM9" s="2235"/>
      <c r="IEN9" s="2235"/>
      <c r="IEO9" s="2235"/>
      <c r="IEP9" s="2235"/>
      <c r="IEQ9" s="2235"/>
      <c r="IER9" s="2235"/>
      <c r="IES9" s="2235"/>
      <c r="IET9" s="2235"/>
      <c r="IEU9" s="2235"/>
      <c r="IEV9" s="2235"/>
      <c r="IEW9" s="2235"/>
      <c r="IEX9" s="2235"/>
      <c r="IEY9" s="2235"/>
      <c r="IEZ9" s="2235"/>
      <c r="IFA9" s="2235"/>
      <c r="IFB9" s="2235"/>
      <c r="IFC9" s="2235"/>
      <c r="IFD9" s="2235"/>
      <c r="IFE9" s="2235"/>
      <c r="IFF9" s="2235"/>
      <c r="IFG9" s="2235"/>
      <c r="IFH9" s="2235"/>
      <c r="IFI9" s="2235"/>
      <c r="IFJ9" s="2235"/>
      <c r="IFK9" s="2235"/>
      <c r="IFL9" s="2235"/>
      <c r="IFM9" s="2235"/>
      <c r="IFN9" s="2235"/>
      <c r="IFO9" s="2235"/>
      <c r="IFP9" s="2235"/>
      <c r="IFQ9" s="2235"/>
      <c r="IFR9" s="2235"/>
      <c r="IFS9" s="2235"/>
      <c r="IFT9" s="2235"/>
      <c r="IFU9" s="2235"/>
      <c r="IFV9" s="2235"/>
      <c r="IFW9" s="2235"/>
      <c r="IFX9" s="2235"/>
      <c r="IFY9" s="2235"/>
      <c r="IFZ9" s="2235"/>
      <c r="IGA9" s="2235"/>
      <c r="IGB9" s="2235"/>
      <c r="IGC9" s="2235"/>
      <c r="IGD9" s="2235"/>
      <c r="IGE9" s="2235"/>
      <c r="IGF9" s="2235"/>
      <c r="IGG9" s="2235"/>
      <c r="IGH9" s="2235"/>
      <c r="IGI9" s="2235"/>
      <c r="IGJ9" s="2235"/>
      <c r="IGK9" s="2235"/>
      <c r="IGL9" s="2235"/>
      <c r="IGM9" s="2235"/>
      <c r="IGN9" s="2235"/>
      <c r="IGO9" s="2235"/>
      <c r="IGP9" s="2235"/>
      <c r="IGQ9" s="2235"/>
      <c r="IGR9" s="2235"/>
      <c r="IGS9" s="2235"/>
      <c r="IGT9" s="2235"/>
      <c r="IGU9" s="2235"/>
      <c r="IGV9" s="2235"/>
      <c r="IGW9" s="2235"/>
      <c r="IGX9" s="2235"/>
      <c r="IGY9" s="2235"/>
      <c r="IGZ9" s="2235"/>
      <c r="IHA9" s="2235"/>
      <c r="IHB9" s="2235"/>
      <c r="IHC9" s="2235"/>
      <c r="IHD9" s="2235"/>
      <c r="IHE9" s="2235"/>
      <c r="IHF9" s="2235"/>
      <c r="IHG9" s="2235"/>
      <c r="IHH9" s="2235"/>
      <c r="IHI9" s="2235"/>
      <c r="IHJ9" s="2235"/>
      <c r="IHK9" s="2235"/>
      <c r="IHL9" s="2235"/>
      <c r="IHM9" s="2235"/>
      <c r="IHN9" s="2235"/>
      <c r="IHO9" s="2235"/>
      <c r="IHP9" s="2235"/>
      <c r="IHQ9" s="2235"/>
      <c r="IHR9" s="2235"/>
      <c r="IHS9" s="2235"/>
      <c r="IHT9" s="2235"/>
      <c r="IHU9" s="2235"/>
      <c r="IHV9" s="2235"/>
      <c r="IHW9" s="2235"/>
      <c r="IHX9" s="2235"/>
      <c r="IHY9" s="2235"/>
      <c r="IHZ9" s="2235"/>
      <c r="IIA9" s="2235"/>
      <c r="IIB9" s="2235"/>
      <c r="IIC9" s="2235"/>
      <c r="IID9" s="2235"/>
      <c r="IIE9" s="2235"/>
      <c r="IIF9" s="2235"/>
      <c r="IIG9" s="2235"/>
      <c r="IIH9" s="2235"/>
      <c r="III9" s="2235"/>
      <c r="IIJ9" s="2235"/>
      <c r="IIK9" s="2235"/>
      <c r="IIL9" s="2235"/>
      <c r="IIM9" s="2235"/>
      <c r="IIN9" s="2235"/>
      <c r="IIO9" s="2235"/>
      <c r="IIP9" s="2235"/>
      <c r="IIQ9" s="2235"/>
      <c r="IIR9" s="2235"/>
      <c r="IIS9" s="2235"/>
      <c r="IIT9" s="2235"/>
      <c r="IIU9" s="2235"/>
      <c r="IIV9" s="2235"/>
      <c r="IIW9" s="2235"/>
      <c r="IIX9" s="2235"/>
      <c r="IIY9" s="2235"/>
      <c r="IIZ9" s="2235"/>
      <c r="IJA9" s="2235"/>
      <c r="IJB9" s="2235"/>
      <c r="IJC9" s="2235"/>
      <c r="IJD9" s="2235"/>
      <c r="IJE9" s="2235"/>
      <c r="IJF9" s="2235"/>
      <c r="IJG9" s="2235"/>
      <c r="IJH9" s="2235"/>
      <c r="IJI9" s="2235"/>
      <c r="IJJ9" s="2235"/>
      <c r="IJK9" s="2235"/>
      <c r="IJL9" s="2235"/>
      <c r="IJM9" s="2235"/>
      <c r="IJN9" s="2235"/>
      <c r="IJO9" s="2235"/>
      <c r="IJP9" s="2235"/>
      <c r="IJQ9" s="2235"/>
      <c r="IJR9" s="2235"/>
      <c r="IJS9" s="2235"/>
      <c r="IJT9" s="2235"/>
      <c r="IJU9" s="2235"/>
      <c r="IJV9" s="2235"/>
      <c r="IJW9" s="2235"/>
      <c r="IJX9" s="2235"/>
      <c r="IJY9" s="2235"/>
      <c r="IJZ9" s="2235"/>
      <c r="IKA9" s="2235"/>
      <c r="IKB9" s="2235"/>
      <c r="IKC9" s="2235"/>
      <c r="IKD9" s="2235"/>
      <c r="IKE9" s="2235"/>
      <c r="IKF9" s="2235"/>
      <c r="IKG9" s="2235"/>
      <c r="IKH9" s="2235"/>
      <c r="IKI9" s="2235"/>
      <c r="IKJ9" s="2235"/>
      <c r="IKK9" s="2235"/>
      <c r="IKL9" s="2235"/>
      <c r="IKM9" s="2235"/>
      <c r="IKN9" s="2235"/>
      <c r="IKO9" s="2235"/>
      <c r="IKP9" s="2235"/>
      <c r="IKQ9" s="2235"/>
      <c r="IKR9" s="2235"/>
      <c r="IKS9" s="2235"/>
      <c r="IKT9" s="2235"/>
      <c r="IKU9" s="2235"/>
      <c r="IKV9" s="2235"/>
      <c r="IKW9" s="2235"/>
      <c r="IKX9" s="2235"/>
      <c r="IKY9" s="2235"/>
      <c r="IKZ9" s="2235"/>
      <c r="ILA9" s="2235"/>
      <c r="ILB9" s="2235"/>
      <c r="ILC9" s="2235"/>
      <c r="ILD9" s="2235"/>
      <c r="ILE9" s="2235"/>
      <c r="ILF9" s="2235"/>
      <c r="ILG9" s="2235"/>
      <c r="ILH9" s="2235"/>
      <c r="ILI9" s="2235"/>
      <c r="ILJ9" s="2235"/>
      <c r="ILK9" s="2235"/>
      <c r="ILL9" s="2235"/>
      <c r="ILM9" s="2235"/>
      <c r="ILN9" s="2235"/>
      <c r="ILO9" s="2235"/>
      <c r="ILP9" s="2235"/>
      <c r="ILQ9" s="2235"/>
      <c r="ILR9" s="2235"/>
      <c r="ILS9" s="2235"/>
      <c r="ILT9" s="2235"/>
      <c r="ILU9" s="2235"/>
      <c r="ILV9" s="2235"/>
      <c r="ILW9" s="2235"/>
      <c r="ILX9" s="2235"/>
      <c r="ILY9" s="2235"/>
      <c r="ILZ9" s="2235"/>
      <c r="IMA9" s="2235"/>
      <c r="IMB9" s="2235"/>
      <c r="IMC9" s="2235"/>
      <c r="IMD9" s="2235"/>
      <c r="IME9" s="2235"/>
      <c r="IMF9" s="2235"/>
      <c r="IMG9" s="2235"/>
      <c r="IMH9" s="2235"/>
      <c r="IMI9" s="2235"/>
      <c r="IMJ9" s="2235"/>
      <c r="IMK9" s="2235"/>
      <c r="IML9" s="2235"/>
      <c r="IMM9" s="2235"/>
      <c r="IMN9" s="2235"/>
      <c r="IMO9" s="2235"/>
      <c r="IMP9" s="2235"/>
      <c r="IMQ9" s="2235"/>
      <c r="IMR9" s="2235"/>
      <c r="IMS9" s="2235"/>
      <c r="IMT9" s="2235"/>
      <c r="IMU9" s="2235"/>
      <c r="IMV9" s="2235"/>
      <c r="IMW9" s="2235"/>
      <c r="IMX9" s="2235"/>
      <c r="IMY9" s="2235"/>
      <c r="IMZ9" s="2235"/>
      <c r="INA9" s="2235"/>
      <c r="INB9" s="2235"/>
      <c r="INC9" s="2235"/>
      <c r="IND9" s="2235"/>
      <c r="INE9" s="2235"/>
      <c r="INF9" s="2235"/>
      <c r="ING9" s="2235"/>
      <c r="INH9" s="2235"/>
      <c r="INI9" s="2235"/>
      <c r="INJ9" s="2235"/>
      <c r="INK9" s="2235"/>
      <c r="INL9" s="2235"/>
      <c r="INM9" s="2235"/>
      <c r="INN9" s="2235"/>
      <c r="INO9" s="2235"/>
      <c r="INP9" s="2235"/>
      <c r="INQ9" s="2235"/>
      <c r="INR9" s="2235"/>
      <c r="INS9" s="2235"/>
      <c r="INT9" s="2235"/>
      <c r="INU9" s="2235"/>
      <c r="INV9" s="2235"/>
      <c r="INW9" s="2235"/>
      <c r="INX9" s="2235"/>
      <c r="INY9" s="2235"/>
      <c r="INZ9" s="2235"/>
      <c r="IOA9" s="2235"/>
      <c r="IOB9" s="2235"/>
      <c r="IOC9" s="2235"/>
      <c r="IOD9" s="2235"/>
      <c r="IOE9" s="2235"/>
      <c r="IOF9" s="2235"/>
      <c r="IOG9" s="2235"/>
      <c r="IOH9" s="2235"/>
      <c r="IOI9" s="2235"/>
      <c r="IOJ9" s="2235"/>
      <c r="IOK9" s="2235"/>
      <c r="IOL9" s="2235"/>
      <c r="IOM9" s="2235"/>
      <c r="ION9" s="2235"/>
      <c r="IOO9" s="2235"/>
      <c r="IOP9" s="2235"/>
      <c r="IOQ9" s="2235"/>
      <c r="IOR9" s="2235"/>
      <c r="IOS9" s="2235"/>
      <c r="IOT9" s="2235"/>
      <c r="IOU9" s="2235"/>
      <c r="IOV9" s="2235"/>
      <c r="IOW9" s="2235"/>
      <c r="IOX9" s="2235"/>
      <c r="IOY9" s="2235"/>
      <c r="IOZ9" s="2235"/>
      <c r="IPA9" s="2235"/>
      <c r="IPB9" s="2235"/>
      <c r="IPC9" s="2235"/>
      <c r="IPD9" s="2235"/>
      <c r="IPE9" s="2235"/>
      <c r="IPF9" s="2235"/>
      <c r="IPG9" s="2235"/>
      <c r="IPH9" s="2235"/>
      <c r="IPI9" s="2235"/>
      <c r="IPJ9" s="2235"/>
      <c r="IPK9" s="2235"/>
      <c r="IPL9" s="2235"/>
      <c r="IPM9" s="2235"/>
      <c r="IPN9" s="2235"/>
      <c r="IPO9" s="2235"/>
      <c r="IPP9" s="2235"/>
      <c r="IPQ9" s="2235"/>
      <c r="IPR9" s="2235"/>
      <c r="IPS9" s="2235"/>
      <c r="IPT9" s="2235"/>
      <c r="IPU9" s="2235"/>
      <c r="IPV9" s="2235"/>
      <c r="IPW9" s="2235"/>
      <c r="IPX9" s="2235"/>
      <c r="IPY9" s="2235"/>
      <c r="IPZ9" s="2235"/>
      <c r="IQA9" s="2235"/>
      <c r="IQB9" s="2235"/>
      <c r="IQC9" s="2235"/>
      <c r="IQD9" s="2235"/>
      <c r="IQE9" s="2235"/>
      <c r="IQF9" s="2235"/>
      <c r="IQG9" s="2235"/>
      <c r="IQH9" s="2235"/>
      <c r="IQI9" s="2235"/>
      <c r="IQJ9" s="2235"/>
      <c r="IQK9" s="2235"/>
      <c r="IQL9" s="2235"/>
      <c r="IQM9" s="2235"/>
      <c r="IQN9" s="2235"/>
      <c r="IQO9" s="2235"/>
      <c r="IQP9" s="2235"/>
      <c r="IQQ9" s="2235"/>
      <c r="IQR9" s="2235"/>
      <c r="IQS9" s="2235"/>
      <c r="IQT9" s="2235"/>
      <c r="IQU9" s="2235"/>
      <c r="IQV9" s="2235"/>
      <c r="IQW9" s="2235"/>
      <c r="IQX9" s="2235"/>
      <c r="IQY9" s="2235"/>
      <c r="IQZ9" s="2235"/>
      <c r="IRA9" s="2235"/>
      <c r="IRB9" s="2235"/>
      <c r="IRC9" s="2235"/>
      <c r="IRD9" s="2235"/>
      <c r="IRE9" s="2235"/>
      <c r="IRF9" s="2235"/>
      <c r="IRG9" s="2235"/>
      <c r="IRH9" s="2235"/>
      <c r="IRI9" s="2235"/>
      <c r="IRJ9" s="2235"/>
      <c r="IRK9" s="2235"/>
      <c r="IRL9" s="2235"/>
      <c r="IRM9" s="2235"/>
      <c r="IRN9" s="2235"/>
      <c r="IRO9" s="2235"/>
      <c r="IRP9" s="2235"/>
      <c r="IRQ9" s="2235"/>
      <c r="IRR9" s="2235"/>
      <c r="IRS9" s="2235"/>
      <c r="IRT9" s="2235"/>
      <c r="IRU9" s="2235"/>
      <c r="IRV9" s="2235"/>
      <c r="IRW9" s="2235"/>
      <c r="IRX9" s="2235"/>
      <c r="IRY9" s="2235"/>
      <c r="IRZ9" s="2235"/>
      <c r="ISA9" s="2235"/>
      <c r="ISB9" s="2235"/>
      <c r="ISC9" s="2235"/>
      <c r="ISD9" s="2235"/>
      <c r="ISE9" s="2235"/>
      <c r="ISF9" s="2235"/>
      <c r="ISG9" s="2235"/>
      <c r="ISH9" s="2235"/>
      <c r="ISI9" s="2235"/>
      <c r="ISJ9" s="2235"/>
      <c r="ISK9" s="2235"/>
      <c r="ISL9" s="2235"/>
      <c r="ISM9" s="2235"/>
      <c r="ISN9" s="2235"/>
      <c r="ISO9" s="2235"/>
      <c r="ISP9" s="2235"/>
      <c r="ISQ9" s="2235"/>
      <c r="ISR9" s="2235"/>
      <c r="ISS9" s="2235"/>
      <c r="IST9" s="2235"/>
      <c r="ISU9" s="2235"/>
      <c r="ISV9" s="2235"/>
      <c r="ISW9" s="2235"/>
      <c r="ISX9" s="2235"/>
      <c r="ISY9" s="2235"/>
      <c r="ISZ9" s="2235"/>
      <c r="ITA9" s="2235"/>
      <c r="ITB9" s="2235"/>
      <c r="ITC9" s="2235"/>
      <c r="ITD9" s="2235"/>
      <c r="ITE9" s="2235"/>
      <c r="ITF9" s="2235"/>
      <c r="ITG9" s="2235"/>
      <c r="ITH9" s="2235"/>
      <c r="ITI9" s="2235"/>
      <c r="ITJ9" s="2235"/>
      <c r="ITK9" s="2235"/>
      <c r="ITL9" s="2235"/>
      <c r="ITM9" s="2235"/>
      <c r="ITN9" s="2235"/>
      <c r="ITO9" s="2235"/>
      <c r="ITP9" s="2235"/>
      <c r="ITQ9" s="2235"/>
      <c r="ITR9" s="2235"/>
      <c r="ITS9" s="2235"/>
      <c r="ITT9" s="2235"/>
      <c r="ITU9" s="2235"/>
      <c r="ITV9" s="2235"/>
      <c r="ITW9" s="2235"/>
      <c r="ITX9" s="2235"/>
      <c r="ITY9" s="2235"/>
      <c r="ITZ9" s="2235"/>
      <c r="IUA9" s="2235"/>
      <c r="IUB9" s="2235"/>
      <c r="IUC9" s="2235"/>
      <c r="IUD9" s="2235"/>
      <c r="IUE9" s="2235"/>
      <c r="IUF9" s="2235"/>
      <c r="IUG9" s="2235"/>
      <c r="IUH9" s="2235"/>
      <c r="IUI9" s="2235"/>
      <c r="IUJ9" s="2235"/>
      <c r="IUK9" s="2235"/>
      <c r="IUL9" s="2235"/>
      <c r="IUM9" s="2235"/>
      <c r="IUN9" s="2235"/>
      <c r="IUO9" s="2235"/>
      <c r="IUP9" s="2235"/>
      <c r="IUQ9" s="2235"/>
      <c r="IUR9" s="2235"/>
      <c r="IUS9" s="2235"/>
      <c r="IUT9" s="2235"/>
      <c r="IUU9" s="2235"/>
      <c r="IUV9" s="2235"/>
      <c r="IUW9" s="2235"/>
      <c r="IUX9" s="2235"/>
      <c r="IUY9" s="2235"/>
      <c r="IUZ9" s="2235"/>
      <c r="IVA9" s="2235"/>
      <c r="IVB9" s="2235"/>
      <c r="IVC9" s="2235"/>
      <c r="IVD9" s="2235"/>
      <c r="IVE9" s="2235"/>
      <c r="IVF9" s="2235"/>
      <c r="IVG9" s="2235"/>
      <c r="IVH9" s="2235"/>
      <c r="IVI9" s="2235"/>
      <c r="IVJ9" s="2235"/>
      <c r="IVK9" s="2235"/>
      <c r="IVL9" s="2235"/>
      <c r="IVM9" s="2235"/>
      <c r="IVN9" s="2235"/>
      <c r="IVO9" s="2235"/>
      <c r="IVP9" s="2235"/>
      <c r="IVQ9" s="2235"/>
      <c r="IVR9" s="2235"/>
      <c r="IVS9" s="2235"/>
      <c r="IVT9" s="2235"/>
      <c r="IVU9" s="2235"/>
      <c r="IVV9" s="2235"/>
      <c r="IVW9" s="2235"/>
      <c r="IVX9" s="2235"/>
      <c r="IVY9" s="2235"/>
      <c r="IVZ9" s="2235"/>
      <c r="IWA9" s="2235"/>
      <c r="IWB9" s="2235"/>
      <c r="IWC9" s="2235"/>
      <c r="IWD9" s="2235"/>
      <c r="IWE9" s="2235"/>
      <c r="IWF9" s="2235"/>
      <c r="IWG9" s="2235"/>
      <c r="IWH9" s="2235"/>
      <c r="IWI9" s="2235"/>
      <c r="IWJ9" s="2235"/>
      <c r="IWK9" s="2235"/>
      <c r="IWL9" s="2235"/>
      <c r="IWM9" s="2235"/>
      <c r="IWN9" s="2235"/>
      <c r="IWO9" s="2235"/>
      <c r="IWP9" s="2235"/>
      <c r="IWQ9" s="2235"/>
      <c r="IWR9" s="2235"/>
      <c r="IWS9" s="2235"/>
      <c r="IWT9" s="2235"/>
      <c r="IWU9" s="2235"/>
      <c r="IWV9" s="2235"/>
      <c r="IWW9" s="2235"/>
      <c r="IWX9" s="2235"/>
      <c r="IWY9" s="2235"/>
      <c r="IWZ9" s="2235"/>
      <c r="IXA9" s="2235"/>
      <c r="IXB9" s="2235"/>
      <c r="IXC9" s="2235"/>
      <c r="IXD9" s="2235"/>
      <c r="IXE9" s="2235"/>
      <c r="IXF9" s="2235"/>
      <c r="IXG9" s="2235"/>
      <c r="IXH9" s="2235"/>
      <c r="IXI9" s="2235"/>
      <c r="IXJ9" s="2235"/>
      <c r="IXK9" s="2235"/>
      <c r="IXL9" s="2235"/>
      <c r="IXM9" s="2235"/>
      <c r="IXN9" s="2235"/>
      <c r="IXO9" s="2235"/>
      <c r="IXP9" s="2235"/>
      <c r="IXQ9" s="2235"/>
      <c r="IXR9" s="2235"/>
      <c r="IXS9" s="2235"/>
      <c r="IXT9" s="2235"/>
      <c r="IXU9" s="2235"/>
      <c r="IXV9" s="2235"/>
      <c r="IXW9" s="2235"/>
      <c r="IXX9" s="2235"/>
      <c r="IXY9" s="2235"/>
      <c r="IXZ9" s="2235"/>
      <c r="IYA9" s="2235"/>
      <c r="IYB9" s="2235"/>
      <c r="IYC9" s="2235"/>
      <c r="IYD9" s="2235"/>
      <c r="IYE9" s="2235"/>
      <c r="IYF9" s="2235"/>
      <c r="IYG9" s="2235"/>
      <c r="IYH9" s="2235"/>
      <c r="IYI9" s="2235"/>
      <c r="IYJ9" s="2235"/>
      <c r="IYK9" s="2235"/>
      <c r="IYL9" s="2235"/>
      <c r="IYM9" s="2235"/>
      <c r="IYN9" s="2235"/>
      <c r="IYO9" s="2235"/>
      <c r="IYP9" s="2235"/>
      <c r="IYQ9" s="2235"/>
      <c r="IYR9" s="2235"/>
      <c r="IYS9" s="2235"/>
      <c r="IYT9" s="2235"/>
      <c r="IYU9" s="2235"/>
      <c r="IYV9" s="2235"/>
      <c r="IYW9" s="2235"/>
      <c r="IYX9" s="2235"/>
      <c r="IYY9" s="2235"/>
      <c r="IYZ9" s="2235"/>
      <c r="IZA9" s="2235"/>
      <c r="IZB9" s="2235"/>
      <c r="IZC9" s="2235"/>
      <c r="IZD9" s="2235"/>
      <c r="IZE9" s="2235"/>
      <c r="IZF9" s="2235"/>
      <c r="IZG9" s="2235"/>
      <c r="IZH9" s="2235"/>
      <c r="IZI9" s="2235"/>
      <c r="IZJ9" s="2235"/>
      <c r="IZK9" s="2235"/>
      <c r="IZL9" s="2235"/>
      <c r="IZM9" s="2235"/>
      <c r="IZN9" s="2235"/>
      <c r="IZO9" s="2235"/>
      <c r="IZP9" s="2235"/>
      <c r="IZQ9" s="2235"/>
      <c r="IZR9" s="2235"/>
      <c r="IZS9" s="2235"/>
      <c r="IZT9" s="2235"/>
      <c r="IZU9" s="2235"/>
      <c r="IZV9" s="2235"/>
      <c r="IZW9" s="2235"/>
      <c r="IZX9" s="2235"/>
      <c r="IZY9" s="2235"/>
      <c r="IZZ9" s="2235"/>
      <c r="JAA9" s="2235"/>
      <c r="JAB9" s="2235"/>
      <c r="JAC9" s="2235"/>
      <c r="JAD9" s="2235"/>
      <c r="JAE9" s="2235"/>
      <c r="JAF9" s="2235"/>
      <c r="JAG9" s="2235"/>
      <c r="JAH9" s="2235"/>
      <c r="JAI9" s="2235"/>
      <c r="JAJ9" s="2235"/>
      <c r="JAK9" s="2235"/>
      <c r="JAL9" s="2235"/>
      <c r="JAM9" s="2235"/>
      <c r="JAN9" s="2235"/>
      <c r="JAO9" s="2235"/>
      <c r="JAP9" s="2235"/>
      <c r="JAQ9" s="2235"/>
      <c r="JAR9" s="2235"/>
      <c r="JAS9" s="2235"/>
      <c r="JAT9" s="2235"/>
      <c r="JAU9" s="2235"/>
      <c r="JAV9" s="2235"/>
      <c r="JAW9" s="2235"/>
      <c r="JAX9" s="2235"/>
      <c r="JAY9" s="2235"/>
      <c r="JAZ9" s="2235"/>
      <c r="JBA9" s="2235"/>
      <c r="JBB9" s="2235"/>
      <c r="JBC9" s="2235"/>
      <c r="JBD9" s="2235"/>
      <c r="JBE9" s="2235"/>
      <c r="JBF9" s="2235"/>
      <c r="JBG9" s="2235"/>
      <c r="JBH9" s="2235"/>
      <c r="JBI9" s="2235"/>
      <c r="JBJ9" s="2235"/>
      <c r="JBK9" s="2235"/>
      <c r="JBL9" s="2235"/>
      <c r="JBM9" s="2235"/>
      <c r="JBN9" s="2235"/>
      <c r="JBO9" s="2235"/>
      <c r="JBP9" s="2235"/>
      <c r="JBQ9" s="2235"/>
      <c r="JBR9" s="2235"/>
      <c r="JBS9" s="2235"/>
      <c r="JBT9" s="2235"/>
      <c r="JBU9" s="2235"/>
      <c r="JBV9" s="2235"/>
      <c r="JBW9" s="2235"/>
      <c r="JBX9" s="2235"/>
      <c r="JBY9" s="2235"/>
      <c r="JBZ9" s="2235"/>
      <c r="JCA9" s="2235"/>
      <c r="JCB9" s="2235"/>
      <c r="JCC9" s="2235"/>
      <c r="JCD9" s="2235"/>
      <c r="JCE9" s="2235"/>
      <c r="JCF9" s="2235"/>
      <c r="JCG9" s="2235"/>
      <c r="JCH9" s="2235"/>
      <c r="JCI9" s="2235"/>
      <c r="JCJ9" s="2235"/>
      <c r="JCK9" s="2235"/>
      <c r="JCL9" s="2235"/>
      <c r="JCM9" s="2235"/>
      <c r="JCN9" s="2235"/>
      <c r="JCO9" s="2235"/>
      <c r="JCP9" s="2235"/>
      <c r="JCQ9" s="2235"/>
      <c r="JCR9" s="2235"/>
      <c r="JCS9" s="2235"/>
      <c r="JCT9" s="2235"/>
      <c r="JCU9" s="2235"/>
      <c r="JCV9" s="2235"/>
      <c r="JCW9" s="2235"/>
      <c r="JCX9" s="2235"/>
      <c r="JCY9" s="2235"/>
      <c r="JCZ9" s="2235"/>
      <c r="JDA9" s="2235"/>
      <c r="JDB9" s="2235"/>
      <c r="JDC9" s="2235"/>
      <c r="JDD9" s="2235"/>
      <c r="JDE9" s="2235"/>
      <c r="JDF9" s="2235"/>
      <c r="JDG9" s="2235"/>
      <c r="JDH9" s="2235"/>
      <c r="JDI9" s="2235"/>
      <c r="JDJ9" s="2235"/>
      <c r="JDK9" s="2235"/>
      <c r="JDL9" s="2235"/>
      <c r="JDM9" s="2235"/>
      <c r="JDN9" s="2235"/>
      <c r="JDO9" s="2235"/>
      <c r="JDP9" s="2235"/>
      <c r="JDQ9" s="2235"/>
      <c r="JDR9" s="2235"/>
      <c r="JDS9" s="2235"/>
      <c r="JDT9" s="2235"/>
      <c r="JDU9" s="2235"/>
      <c r="JDV9" s="2235"/>
      <c r="JDW9" s="2235"/>
      <c r="JDX9" s="2235"/>
      <c r="JDY9" s="2235"/>
      <c r="JDZ9" s="2235"/>
      <c r="JEA9" s="2235"/>
      <c r="JEB9" s="2235"/>
      <c r="JEC9" s="2235"/>
      <c r="JED9" s="2235"/>
      <c r="JEE9" s="2235"/>
      <c r="JEF9" s="2235"/>
      <c r="JEG9" s="2235"/>
      <c r="JEH9" s="2235"/>
      <c r="JEI9" s="2235"/>
      <c r="JEJ9" s="2235"/>
      <c r="JEK9" s="2235"/>
      <c r="JEL9" s="2235"/>
      <c r="JEM9" s="2235"/>
      <c r="JEN9" s="2235"/>
      <c r="JEO9" s="2235"/>
      <c r="JEP9" s="2235"/>
      <c r="JEQ9" s="2235"/>
      <c r="JER9" s="2235"/>
      <c r="JES9" s="2235"/>
      <c r="JET9" s="2235"/>
      <c r="JEU9" s="2235"/>
      <c r="JEV9" s="2235"/>
      <c r="JEW9" s="2235"/>
      <c r="JEX9" s="2235"/>
      <c r="JEY9" s="2235"/>
      <c r="JEZ9" s="2235"/>
      <c r="JFA9" s="2235"/>
      <c r="JFB9" s="2235"/>
      <c r="JFC9" s="2235"/>
      <c r="JFD9" s="2235"/>
      <c r="JFE9" s="2235"/>
      <c r="JFF9" s="2235"/>
      <c r="JFG9" s="2235"/>
      <c r="JFH9" s="2235"/>
      <c r="JFI9" s="2235"/>
      <c r="JFJ9" s="2235"/>
      <c r="JFK9" s="2235"/>
      <c r="JFL9" s="2235"/>
      <c r="JFM9" s="2235"/>
      <c r="JFN9" s="2235"/>
      <c r="JFO9" s="2235"/>
      <c r="JFP9" s="2235"/>
      <c r="JFQ9" s="2235"/>
      <c r="JFR9" s="2235"/>
      <c r="JFS9" s="2235"/>
      <c r="JFT9" s="2235"/>
      <c r="JFU9" s="2235"/>
      <c r="JFV9" s="2235"/>
      <c r="JFW9" s="2235"/>
      <c r="JFX9" s="2235"/>
      <c r="JFY9" s="2235"/>
      <c r="JFZ9" s="2235"/>
      <c r="JGA9" s="2235"/>
      <c r="JGB9" s="2235"/>
      <c r="JGC9" s="2235"/>
      <c r="JGD9" s="2235"/>
      <c r="JGE9" s="2235"/>
      <c r="JGF9" s="2235"/>
      <c r="JGG9" s="2235"/>
      <c r="JGH9" s="2235"/>
      <c r="JGI9" s="2235"/>
      <c r="JGJ9" s="2235"/>
      <c r="JGK9" s="2235"/>
      <c r="JGL9" s="2235"/>
      <c r="JGM9" s="2235"/>
      <c r="JGN9" s="2235"/>
      <c r="JGO9" s="2235"/>
      <c r="JGP9" s="2235"/>
      <c r="JGQ9" s="2235"/>
      <c r="JGR9" s="2235"/>
      <c r="JGS9" s="2235"/>
      <c r="JGT9" s="2235"/>
      <c r="JGU9" s="2235"/>
      <c r="JGV9" s="2235"/>
      <c r="JGW9" s="2235"/>
      <c r="JGX9" s="2235"/>
      <c r="JGY9" s="2235"/>
      <c r="JGZ9" s="2235"/>
      <c r="JHA9" s="2235"/>
      <c r="JHB9" s="2235"/>
      <c r="JHC9" s="2235"/>
      <c r="JHD9" s="2235"/>
      <c r="JHE9" s="2235"/>
      <c r="JHF9" s="2235"/>
      <c r="JHG9" s="2235"/>
      <c r="JHH9" s="2235"/>
      <c r="JHI9" s="2235"/>
      <c r="JHJ9" s="2235"/>
      <c r="JHK9" s="2235"/>
      <c r="JHL9" s="2235"/>
      <c r="JHM9" s="2235"/>
      <c r="JHN9" s="2235"/>
      <c r="JHO9" s="2235"/>
      <c r="JHP9" s="2235"/>
      <c r="JHQ9" s="2235"/>
      <c r="JHR9" s="2235"/>
      <c r="JHS9" s="2235"/>
      <c r="JHT9" s="2235"/>
      <c r="JHU9" s="2235"/>
      <c r="JHV9" s="2235"/>
      <c r="JHW9" s="2235"/>
      <c r="JHX9" s="2235"/>
      <c r="JHY9" s="2235"/>
      <c r="JHZ9" s="2235"/>
      <c r="JIA9" s="2235"/>
      <c r="JIB9" s="2235"/>
      <c r="JIC9" s="2235"/>
      <c r="JID9" s="2235"/>
      <c r="JIE9" s="2235"/>
      <c r="JIF9" s="2235"/>
      <c r="JIG9" s="2235"/>
      <c r="JIH9" s="2235"/>
      <c r="JII9" s="2235"/>
      <c r="JIJ9" s="2235"/>
      <c r="JIK9" s="2235"/>
      <c r="JIL9" s="2235"/>
      <c r="JIM9" s="2235"/>
      <c r="JIN9" s="2235"/>
      <c r="JIO9" s="2235"/>
      <c r="JIP9" s="2235"/>
      <c r="JIQ9" s="2235"/>
      <c r="JIR9" s="2235"/>
      <c r="JIS9" s="2235"/>
      <c r="JIT9" s="2235"/>
      <c r="JIU9" s="2235"/>
      <c r="JIV9" s="2235"/>
      <c r="JIW9" s="2235"/>
      <c r="JIX9" s="2235"/>
      <c r="JIY9" s="2235"/>
      <c r="JIZ9" s="2235"/>
      <c r="JJA9" s="2235"/>
      <c r="JJB9" s="2235"/>
      <c r="JJC9" s="2235"/>
      <c r="JJD9" s="2235"/>
      <c r="JJE9" s="2235"/>
      <c r="JJF9" s="2235"/>
      <c r="JJG9" s="2235"/>
      <c r="JJH9" s="2235"/>
      <c r="JJI9" s="2235"/>
      <c r="JJJ9" s="2235"/>
      <c r="JJK9" s="2235"/>
      <c r="JJL9" s="2235"/>
      <c r="JJM9" s="2235"/>
      <c r="JJN9" s="2235"/>
      <c r="JJO9" s="2235"/>
      <c r="JJP9" s="2235"/>
      <c r="JJQ9" s="2235"/>
      <c r="JJR9" s="2235"/>
      <c r="JJS9" s="2235"/>
      <c r="JJT9" s="2235"/>
      <c r="JJU9" s="2235"/>
      <c r="JJV9" s="2235"/>
      <c r="JJW9" s="2235"/>
      <c r="JJX9" s="2235"/>
      <c r="JJY9" s="2235"/>
      <c r="JJZ9" s="2235"/>
      <c r="JKA9" s="2235"/>
      <c r="JKB9" s="2235"/>
      <c r="JKC9" s="2235"/>
      <c r="JKD9" s="2235"/>
      <c r="JKE9" s="2235"/>
      <c r="JKF9" s="2235"/>
      <c r="JKG9" s="2235"/>
      <c r="JKH9" s="2235"/>
      <c r="JKI9" s="2235"/>
      <c r="JKJ9" s="2235"/>
      <c r="JKK9" s="2235"/>
      <c r="JKL9" s="2235"/>
      <c r="JKM9" s="2235"/>
      <c r="JKN9" s="2235"/>
      <c r="JKO9" s="2235"/>
      <c r="JKP9" s="2235"/>
      <c r="JKQ9" s="2235"/>
      <c r="JKR9" s="2235"/>
      <c r="JKS9" s="2235"/>
      <c r="JKT9" s="2235"/>
      <c r="JKU9" s="2235"/>
      <c r="JKV9" s="2235"/>
      <c r="JKW9" s="2235"/>
      <c r="JKX9" s="2235"/>
      <c r="JKY9" s="2235"/>
      <c r="JKZ9" s="2235"/>
      <c r="JLA9" s="2235"/>
      <c r="JLB9" s="2235"/>
      <c r="JLC9" s="2235"/>
      <c r="JLD9" s="2235"/>
      <c r="JLE9" s="2235"/>
      <c r="JLF9" s="2235"/>
      <c r="JLG9" s="2235"/>
      <c r="JLH9" s="2235"/>
      <c r="JLI9" s="2235"/>
      <c r="JLJ9" s="2235"/>
      <c r="JLK9" s="2235"/>
      <c r="JLL9" s="2235"/>
      <c r="JLM9" s="2235"/>
      <c r="JLN9" s="2235"/>
      <c r="JLO9" s="2235"/>
      <c r="JLP9" s="2235"/>
      <c r="JLQ9" s="2235"/>
      <c r="JLR9" s="2235"/>
      <c r="JLS9" s="2235"/>
      <c r="JLT9" s="2235"/>
      <c r="JLU9" s="2235"/>
      <c r="JLV9" s="2235"/>
      <c r="JLW9" s="2235"/>
      <c r="JLX9" s="2235"/>
      <c r="JLY9" s="2235"/>
      <c r="JLZ9" s="2235"/>
      <c r="JMA9" s="2235"/>
      <c r="JMB9" s="2235"/>
      <c r="JMC9" s="2235"/>
      <c r="JMD9" s="2235"/>
      <c r="JME9" s="2235"/>
      <c r="JMF9" s="2235"/>
      <c r="JMG9" s="2235"/>
      <c r="JMH9" s="2235"/>
      <c r="JMI9" s="2235"/>
      <c r="JMJ9" s="2235"/>
      <c r="JMK9" s="2235"/>
      <c r="JML9" s="2235"/>
      <c r="JMM9" s="2235"/>
      <c r="JMN9" s="2235"/>
      <c r="JMO9" s="2235"/>
      <c r="JMP9" s="2235"/>
      <c r="JMQ9" s="2235"/>
      <c r="JMR9" s="2235"/>
      <c r="JMS9" s="2235"/>
      <c r="JMT9" s="2235"/>
      <c r="JMU9" s="2235"/>
      <c r="JMV9" s="2235"/>
      <c r="JMW9" s="2235"/>
      <c r="JMX9" s="2235"/>
      <c r="JMY9" s="2235"/>
      <c r="JMZ9" s="2235"/>
      <c r="JNA9" s="2235"/>
      <c r="JNB9" s="2235"/>
      <c r="JNC9" s="2235"/>
      <c r="JND9" s="2235"/>
      <c r="JNE9" s="2235"/>
      <c r="JNF9" s="2235"/>
      <c r="JNG9" s="2235"/>
      <c r="JNH9" s="2235"/>
      <c r="JNI9" s="2235"/>
      <c r="JNJ9" s="2235"/>
      <c r="JNK9" s="2235"/>
      <c r="JNL9" s="2235"/>
      <c r="JNM9" s="2235"/>
      <c r="JNN9" s="2235"/>
      <c r="JNO9" s="2235"/>
      <c r="JNP9" s="2235"/>
      <c r="JNQ9" s="2235"/>
      <c r="JNR9" s="2235"/>
      <c r="JNS9" s="2235"/>
      <c r="JNT9" s="2235"/>
      <c r="JNU9" s="2235"/>
      <c r="JNV9" s="2235"/>
      <c r="JNW9" s="2235"/>
      <c r="JNX9" s="2235"/>
      <c r="JNY9" s="2235"/>
      <c r="JNZ9" s="2235"/>
      <c r="JOA9" s="2235"/>
      <c r="JOB9" s="2235"/>
      <c r="JOC9" s="2235"/>
      <c r="JOD9" s="2235"/>
      <c r="JOE9" s="2235"/>
      <c r="JOF9" s="2235"/>
      <c r="JOG9" s="2235"/>
      <c r="JOH9" s="2235"/>
      <c r="JOI9" s="2235"/>
      <c r="JOJ9" s="2235"/>
      <c r="JOK9" s="2235"/>
      <c r="JOL9" s="2235"/>
      <c r="JOM9" s="2235"/>
      <c r="JON9" s="2235"/>
      <c r="JOO9" s="2235"/>
      <c r="JOP9" s="2235"/>
      <c r="JOQ9" s="2235"/>
      <c r="JOR9" s="2235"/>
      <c r="JOS9" s="2235"/>
      <c r="JOT9" s="2235"/>
      <c r="JOU9" s="2235"/>
      <c r="JOV9" s="2235"/>
      <c r="JOW9" s="2235"/>
      <c r="JOX9" s="2235"/>
      <c r="JOY9" s="2235"/>
      <c r="JOZ9" s="2235"/>
      <c r="JPA9" s="2235"/>
      <c r="JPB9" s="2235"/>
      <c r="JPC9" s="2235"/>
      <c r="JPD9" s="2235"/>
      <c r="JPE9" s="2235"/>
      <c r="JPF9" s="2235"/>
      <c r="JPG9" s="2235"/>
      <c r="JPH9" s="2235"/>
      <c r="JPI9" s="2235"/>
      <c r="JPJ9" s="2235"/>
      <c r="JPK9" s="2235"/>
      <c r="JPL9" s="2235"/>
      <c r="JPM9" s="2235"/>
      <c r="JPN9" s="2235"/>
      <c r="JPO9" s="2235"/>
      <c r="JPP9" s="2235"/>
      <c r="JPQ9" s="2235"/>
      <c r="JPR9" s="2235"/>
      <c r="JPS9" s="2235"/>
      <c r="JPT9" s="2235"/>
      <c r="JPU9" s="2235"/>
      <c r="JPV9" s="2235"/>
      <c r="JPW9" s="2235"/>
      <c r="JPX9" s="2235"/>
      <c r="JPY9" s="2235"/>
      <c r="JPZ9" s="2235"/>
      <c r="JQA9" s="2235"/>
      <c r="JQB9" s="2235"/>
      <c r="JQC9" s="2235"/>
      <c r="JQD9" s="2235"/>
      <c r="JQE9" s="2235"/>
      <c r="JQF9" s="2235"/>
      <c r="JQG9" s="2235"/>
      <c r="JQH9" s="2235"/>
      <c r="JQI9" s="2235"/>
      <c r="JQJ9" s="2235"/>
      <c r="JQK9" s="2235"/>
      <c r="JQL9" s="2235"/>
      <c r="JQM9" s="2235"/>
      <c r="JQN9" s="2235"/>
      <c r="JQO9" s="2235"/>
      <c r="JQP9" s="2235"/>
      <c r="JQQ9" s="2235"/>
      <c r="JQR9" s="2235"/>
      <c r="JQS9" s="2235"/>
      <c r="JQT9" s="2235"/>
      <c r="JQU9" s="2235"/>
      <c r="JQV9" s="2235"/>
      <c r="JQW9" s="2235"/>
      <c r="JQX9" s="2235"/>
      <c r="JQY9" s="2235"/>
      <c r="JQZ9" s="2235"/>
      <c r="JRA9" s="2235"/>
      <c r="JRB9" s="2235"/>
      <c r="JRC9" s="2235"/>
      <c r="JRD9" s="2235"/>
      <c r="JRE9" s="2235"/>
      <c r="JRF9" s="2235"/>
      <c r="JRG9" s="2235"/>
      <c r="JRH9" s="2235"/>
      <c r="JRI9" s="2235"/>
      <c r="JRJ9" s="2235"/>
      <c r="JRK9" s="2235"/>
      <c r="JRL9" s="2235"/>
      <c r="JRM9" s="2235"/>
      <c r="JRN9" s="2235"/>
      <c r="JRO9" s="2235"/>
      <c r="JRP9" s="2235"/>
      <c r="JRQ9" s="2235"/>
      <c r="JRR9" s="2235"/>
      <c r="JRS9" s="2235"/>
      <c r="JRT9" s="2235"/>
      <c r="JRU9" s="2235"/>
      <c r="JRV9" s="2235"/>
      <c r="JRW9" s="2235"/>
      <c r="JRX9" s="2235"/>
      <c r="JRY9" s="2235"/>
      <c r="JRZ9" s="2235"/>
      <c r="JSA9" s="2235"/>
      <c r="JSB9" s="2235"/>
      <c r="JSC9" s="2235"/>
      <c r="JSD9" s="2235"/>
      <c r="JSE9" s="2235"/>
      <c r="JSF9" s="2235"/>
      <c r="JSG9" s="2235"/>
      <c r="JSH9" s="2235"/>
      <c r="JSI9" s="2235"/>
      <c r="JSJ9" s="2235"/>
      <c r="JSK9" s="2235"/>
      <c r="JSL9" s="2235"/>
      <c r="JSM9" s="2235"/>
      <c r="JSN9" s="2235"/>
      <c r="JSO9" s="2235"/>
      <c r="JSP9" s="2235"/>
      <c r="JSQ9" s="2235"/>
      <c r="JSR9" s="2235"/>
      <c r="JSS9" s="2235"/>
      <c r="JST9" s="2235"/>
      <c r="JSU9" s="2235"/>
      <c r="JSV9" s="2235"/>
      <c r="JSW9" s="2235"/>
      <c r="JSX9" s="2235"/>
      <c r="JSY9" s="2235"/>
      <c r="JSZ9" s="2235"/>
      <c r="JTA9" s="2235"/>
      <c r="JTB9" s="2235"/>
      <c r="JTC9" s="2235"/>
      <c r="JTD9" s="2235"/>
      <c r="JTE9" s="2235"/>
      <c r="JTF9" s="2235"/>
      <c r="JTG9" s="2235"/>
      <c r="JTH9" s="2235"/>
      <c r="JTI9" s="2235"/>
      <c r="JTJ9" s="2235"/>
      <c r="JTK9" s="2235"/>
      <c r="JTL9" s="2235"/>
      <c r="JTM9" s="2235"/>
      <c r="JTN9" s="2235"/>
      <c r="JTO9" s="2235"/>
      <c r="JTP9" s="2235"/>
      <c r="JTQ9" s="2235"/>
      <c r="JTR9" s="2235"/>
      <c r="JTS9" s="2235"/>
      <c r="JTT9" s="2235"/>
      <c r="JTU9" s="2235"/>
      <c r="JTV9" s="2235"/>
      <c r="JTW9" s="2235"/>
      <c r="JTX9" s="2235"/>
      <c r="JTY9" s="2235"/>
      <c r="JTZ9" s="2235"/>
      <c r="JUA9" s="2235"/>
      <c r="JUB9" s="2235"/>
      <c r="JUC9" s="2235"/>
      <c r="JUD9" s="2235"/>
      <c r="JUE9" s="2235"/>
      <c r="JUF9" s="2235"/>
      <c r="JUG9" s="2235"/>
      <c r="JUH9" s="2235"/>
      <c r="JUI9" s="2235"/>
      <c r="JUJ9" s="2235"/>
      <c r="JUK9" s="2235"/>
      <c r="JUL9" s="2235"/>
      <c r="JUM9" s="2235"/>
      <c r="JUN9" s="2235"/>
      <c r="JUO9" s="2235"/>
      <c r="JUP9" s="2235"/>
      <c r="JUQ9" s="2235"/>
      <c r="JUR9" s="2235"/>
      <c r="JUS9" s="2235"/>
      <c r="JUT9" s="2235"/>
      <c r="JUU9" s="2235"/>
      <c r="JUV9" s="2235"/>
      <c r="JUW9" s="2235"/>
      <c r="JUX9" s="2235"/>
      <c r="JUY9" s="2235"/>
      <c r="JUZ9" s="2235"/>
      <c r="JVA9" s="2235"/>
      <c r="JVB9" s="2235"/>
      <c r="JVC9" s="2235"/>
      <c r="JVD9" s="2235"/>
      <c r="JVE9" s="2235"/>
      <c r="JVF9" s="2235"/>
      <c r="JVG9" s="2235"/>
      <c r="JVH9" s="2235"/>
      <c r="JVI9" s="2235"/>
      <c r="JVJ9" s="2235"/>
      <c r="JVK9" s="2235"/>
      <c r="JVL9" s="2235"/>
      <c r="JVM9" s="2235"/>
      <c r="JVN9" s="2235"/>
      <c r="JVO9" s="2235"/>
      <c r="JVP9" s="2235"/>
      <c r="JVQ9" s="2235"/>
      <c r="JVR9" s="2235"/>
      <c r="JVS9" s="2235"/>
      <c r="JVT9" s="2235"/>
      <c r="JVU9" s="2235"/>
      <c r="JVV9" s="2235"/>
      <c r="JVW9" s="2235"/>
      <c r="JVX9" s="2235"/>
      <c r="JVY9" s="2235"/>
      <c r="JVZ9" s="2235"/>
      <c r="JWA9" s="2235"/>
      <c r="JWB9" s="2235"/>
      <c r="JWC9" s="2235"/>
      <c r="JWD9" s="2235"/>
      <c r="JWE9" s="2235"/>
      <c r="JWF9" s="2235"/>
      <c r="JWG9" s="2235"/>
      <c r="JWH9" s="2235"/>
      <c r="JWI9" s="2235"/>
      <c r="JWJ9" s="2235"/>
      <c r="JWK9" s="2235"/>
      <c r="JWL9" s="2235"/>
      <c r="JWM9" s="2235"/>
      <c r="JWN9" s="2235"/>
      <c r="JWO9" s="2235"/>
      <c r="JWP9" s="2235"/>
      <c r="JWQ9" s="2235"/>
      <c r="JWR9" s="2235"/>
      <c r="JWS9" s="2235"/>
      <c r="JWT9" s="2235"/>
      <c r="JWU9" s="2235"/>
      <c r="JWV9" s="2235"/>
      <c r="JWW9" s="2235"/>
      <c r="JWX9" s="2235"/>
      <c r="JWY9" s="2235"/>
      <c r="JWZ9" s="2235"/>
      <c r="JXA9" s="2235"/>
      <c r="JXB9" s="2235"/>
      <c r="JXC9" s="2235"/>
      <c r="JXD9" s="2235"/>
      <c r="JXE9" s="2235"/>
      <c r="JXF9" s="2235"/>
      <c r="JXG9" s="2235"/>
      <c r="JXH9" s="2235"/>
      <c r="JXI9" s="2235"/>
      <c r="JXJ9" s="2235"/>
      <c r="JXK9" s="2235"/>
      <c r="JXL9" s="2235"/>
      <c r="JXM9" s="2235"/>
      <c r="JXN9" s="2235"/>
      <c r="JXO9" s="2235"/>
      <c r="JXP9" s="2235"/>
      <c r="JXQ9" s="2235"/>
      <c r="JXR9" s="2235"/>
      <c r="JXS9" s="2235"/>
      <c r="JXT9" s="2235"/>
      <c r="JXU9" s="2235"/>
      <c r="JXV9" s="2235"/>
      <c r="JXW9" s="2235"/>
      <c r="JXX9" s="2235"/>
      <c r="JXY9" s="2235"/>
      <c r="JXZ9" s="2235"/>
      <c r="JYA9" s="2235"/>
      <c r="JYB9" s="2235"/>
      <c r="JYC9" s="2235"/>
      <c r="JYD9" s="2235"/>
      <c r="JYE9" s="2235"/>
      <c r="JYF9" s="2235"/>
      <c r="JYG9" s="2235"/>
      <c r="JYH9" s="2235"/>
      <c r="JYI9" s="2235"/>
      <c r="JYJ9" s="2235"/>
      <c r="JYK9" s="2235"/>
      <c r="JYL9" s="2235"/>
      <c r="JYM9" s="2235"/>
      <c r="JYN9" s="2235"/>
      <c r="JYO9" s="2235"/>
      <c r="JYP9" s="2235"/>
      <c r="JYQ9" s="2235"/>
      <c r="JYR9" s="2235"/>
      <c r="JYS9" s="2235"/>
      <c r="JYT9" s="2235"/>
      <c r="JYU9" s="2235"/>
      <c r="JYV9" s="2235"/>
      <c r="JYW9" s="2235"/>
      <c r="JYX9" s="2235"/>
      <c r="JYY9" s="2235"/>
      <c r="JYZ9" s="2235"/>
      <c r="JZA9" s="2235"/>
      <c r="JZB9" s="2235"/>
      <c r="JZC9" s="2235"/>
      <c r="JZD9" s="2235"/>
      <c r="JZE9" s="2235"/>
      <c r="JZF9" s="2235"/>
      <c r="JZG9" s="2235"/>
      <c r="JZH9" s="2235"/>
      <c r="JZI9" s="2235"/>
      <c r="JZJ9" s="2235"/>
      <c r="JZK9" s="2235"/>
      <c r="JZL9" s="2235"/>
      <c r="JZM9" s="2235"/>
      <c r="JZN9" s="2235"/>
      <c r="JZO9" s="2235"/>
      <c r="JZP9" s="2235"/>
      <c r="JZQ9" s="2235"/>
      <c r="JZR9" s="2235"/>
      <c r="JZS9" s="2235"/>
      <c r="JZT9" s="2235"/>
      <c r="JZU9" s="2235"/>
      <c r="JZV9" s="2235"/>
      <c r="JZW9" s="2235"/>
      <c r="JZX9" s="2235"/>
      <c r="JZY9" s="2235"/>
      <c r="JZZ9" s="2235"/>
      <c r="KAA9" s="2235"/>
      <c r="KAB9" s="2235"/>
      <c r="KAC9" s="2235"/>
      <c r="KAD9" s="2235"/>
      <c r="KAE9" s="2235"/>
      <c r="KAF9" s="2235"/>
      <c r="KAG9" s="2235"/>
      <c r="KAH9" s="2235"/>
      <c r="KAI9" s="2235"/>
      <c r="KAJ9" s="2235"/>
      <c r="KAK9" s="2235"/>
      <c r="KAL9" s="2235"/>
      <c r="KAM9" s="2235"/>
      <c r="KAN9" s="2235"/>
      <c r="KAO9" s="2235"/>
      <c r="KAP9" s="2235"/>
      <c r="KAQ9" s="2235"/>
      <c r="KAR9" s="2235"/>
      <c r="KAS9" s="2235"/>
      <c r="KAT9" s="2235"/>
      <c r="KAU9" s="2235"/>
      <c r="KAV9" s="2235"/>
      <c r="KAW9" s="2235"/>
      <c r="KAX9" s="2235"/>
      <c r="KAY9" s="2235"/>
      <c r="KAZ9" s="2235"/>
      <c r="KBA9" s="2235"/>
      <c r="KBB9" s="2235"/>
      <c r="KBC9" s="2235"/>
      <c r="KBD9" s="2235"/>
      <c r="KBE9" s="2235"/>
      <c r="KBF9" s="2235"/>
      <c r="KBG9" s="2235"/>
      <c r="KBH9" s="2235"/>
      <c r="KBI9" s="2235"/>
      <c r="KBJ9" s="2235"/>
      <c r="KBK9" s="2235"/>
      <c r="KBL9" s="2235"/>
      <c r="KBM9" s="2235"/>
      <c r="KBN9" s="2235"/>
      <c r="KBO9" s="2235"/>
      <c r="KBP9" s="2235"/>
      <c r="KBQ9" s="2235"/>
      <c r="KBR9" s="2235"/>
      <c r="KBS9" s="2235"/>
      <c r="KBT9" s="2235"/>
      <c r="KBU9" s="2235"/>
      <c r="KBV9" s="2235"/>
      <c r="KBW9" s="2235"/>
      <c r="KBX9" s="2235"/>
      <c r="KBY9" s="2235"/>
      <c r="KBZ9" s="2235"/>
      <c r="KCA9" s="2235"/>
      <c r="KCB9" s="2235"/>
      <c r="KCC9" s="2235"/>
      <c r="KCD9" s="2235"/>
      <c r="KCE9" s="2235"/>
      <c r="KCF9" s="2235"/>
      <c r="KCG9" s="2235"/>
      <c r="KCH9" s="2235"/>
      <c r="KCI9" s="2235"/>
      <c r="KCJ9" s="2235"/>
      <c r="KCK9" s="2235"/>
      <c r="KCL9" s="2235"/>
      <c r="KCM9" s="2235"/>
      <c r="KCN9" s="2235"/>
      <c r="KCO9" s="2235"/>
      <c r="KCP9" s="2235"/>
      <c r="KCQ9" s="2235"/>
      <c r="KCR9" s="2235"/>
      <c r="KCS9" s="2235"/>
      <c r="KCT9" s="2235"/>
      <c r="KCU9" s="2235"/>
      <c r="KCV9" s="2235"/>
      <c r="KCW9" s="2235"/>
      <c r="KCX9" s="2235"/>
      <c r="KCY9" s="2235"/>
      <c r="KCZ9" s="2235"/>
      <c r="KDA9" s="2235"/>
      <c r="KDB9" s="2235"/>
      <c r="KDC9" s="2235"/>
      <c r="KDD9" s="2235"/>
      <c r="KDE9" s="2235"/>
      <c r="KDF9" s="2235"/>
      <c r="KDG9" s="2235"/>
      <c r="KDH9" s="2235"/>
      <c r="KDI9" s="2235"/>
      <c r="KDJ9" s="2235"/>
      <c r="KDK9" s="2235"/>
      <c r="KDL9" s="2235"/>
      <c r="KDM9" s="2235"/>
      <c r="KDN9" s="2235"/>
      <c r="KDO9" s="2235"/>
      <c r="KDP9" s="2235"/>
      <c r="KDQ9" s="2235"/>
      <c r="KDR9" s="2235"/>
      <c r="KDS9" s="2235"/>
      <c r="KDT9" s="2235"/>
      <c r="KDU9" s="2235"/>
      <c r="KDV9" s="2235"/>
      <c r="KDW9" s="2235"/>
      <c r="KDX9" s="2235"/>
      <c r="KDY9" s="2235"/>
      <c r="KDZ9" s="2235"/>
      <c r="KEA9" s="2235"/>
      <c r="KEB9" s="2235"/>
      <c r="KEC9" s="2235"/>
      <c r="KED9" s="2235"/>
      <c r="KEE9" s="2235"/>
      <c r="KEF9" s="2235"/>
      <c r="KEG9" s="2235"/>
      <c r="KEH9" s="2235"/>
      <c r="KEI9" s="2235"/>
      <c r="KEJ9" s="2235"/>
      <c r="KEK9" s="2235"/>
      <c r="KEL9" s="2235"/>
      <c r="KEM9" s="2235"/>
      <c r="KEN9" s="2235"/>
      <c r="KEO9" s="2235"/>
      <c r="KEP9" s="2235"/>
      <c r="KEQ9" s="2235"/>
      <c r="KER9" s="2235"/>
      <c r="KES9" s="2235"/>
      <c r="KET9" s="2235"/>
      <c r="KEU9" s="2235"/>
      <c r="KEV9" s="2235"/>
      <c r="KEW9" s="2235"/>
      <c r="KEX9" s="2235"/>
      <c r="KEY9" s="2235"/>
      <c r="KEZ9" s="2235"/>
      <c r="KFA9" s="2235"/>
      <c r="KFB9" s="2235"/>
      <c r="KFC9" s="2235"/>
      <c r="KFD9" s="2235"/>
      <c r="KFE9" s="2235"/>
      <c r="KFF9" s="2235"/>
      <c r="KFG9" s="2235"/>
      <c r="KFH9" s="2235"/>
      <c r="KFI9" s="2235"/>
      <c r="KFJ9" s="2235"/>
      <c r="KFK9" s="2235"/>
      <c r="KFL9" s="2235"/>
      <c r="KFM9" s="2235"/>
      <c r="KFN9" s="2235"/>
      <c r="KFO9" s="2235"/>
      <c r="KFP9" s="2235"/>
      <c r="KFQ9" s="2235"/>
      <c r="KFR9" s="2235"/>
      <c r="KFS9" s="2235"/>
      <c r="KFT9" s="2235"/>
      <c r="KFU9" s="2235"/>
      <c r="KFV9" s="2235"/>
      <c r="KFW9" s="2235"/>
      <c r="KFX9" s="2235"/>
      <c r="KFY9" s="2235"/>
      <c r="KFZ9" s="2235"/>
      <c r="KGA9" s="2235"/>
      <c r="KGB9" s="2235"/>
      <c r="KGC9" s="2235"/>
      <c r="KGD9" s="2235"/>
      <c r="KGE9" s="2235"/>
      <c r="KGF9" s="2235"/>
      <c r="KGG9" s="2235"/>
      <c r="KGH9" s="2235"/>
      <c r="KGI9" s="2235"/>
      <c r="KGJ9" s="2235"/>
      <c r="KGK9" s="2235"/>
      <c r="KGL9" s="2235"/>
      <c r="KGM9" s="2235"/>
      <c r="KGN9" s="2235"/>
      <c r="KGO9" s="2235"/>
      <c r="KGP9" s="2235"/>
      <c r="KGQ9" s="2235"/>
      <c r="KGR9" s="2235"/>
      <c r="KGS9" s="2235"/>
      <c r="KGT9" s="2235"/>
      <c r="KGU9" s="2235"/>
      <c r="KGV9" s="2235"/>
      <c r="KGW9" s="2235"/>
      <c r="KGX9" s="2235"/>
      <c r="KGY9" s="2235"/>
      <c r="KGZ9" s="2235"/>
      <c r="KHA9" s="2235"/>
      <c r="KHB9" s="2235"/>
      <c r="KHC9" s="2235"/>
      <c r="KHD9" s="2235"/>
      <c r="KHE9" s="2235"/>
      <c r="KHF9" s="2235"/>
      <c r="KHG9" s="2235"/>
      <c r="KHH9" s="2235"/>
      <c r="KHI9" s="2235"/>
      <c r="KHJ9" s="2235"/>
      <c r="KHK9" s="2235"/>
      <c r="KHL9" s="2235"/>
      <c r="KHM9" s="2235"/>
      <c r="KHN9" s="2235"/>
      <c r="KHO9" s="2235"/>
      <c r="KHP9" s="2235"/>
      <c r="KHQ9" s="2235"/>
      <c r="KHR9" s="2235"/>
      <c r="KHS9" s="2235"/>
      <c r="KHT9" s="2235"/>
      <c r="KHU9" s="2235"/>
      <c r="KHV9" s="2235"/>
      <c r="KHW9" s="2235"/>
      <c r="KHX9" s="2235"/>
      <c r="KHY9" s="2235"/>
      <c r="KHZ9" s="2235"/>
      <c r="KIA9" s="2235"/>
      <c r="KIB9" s="2235"/>
      <c r="KIC9" s="2235"/>
      <c r="KID9" s="2235"/>
      <c r="KIE9" s="2235"/>
      <c r="KIF9" s="2235"/>
      <c r="KIG9" s="2235"/>
      <c r="KIH9" s="2235"/>
      <c r="KII9" s="2235"/>
      <c r="KIJ9" s="2235"/>
      <c r="KIK9" s="2235"/>
      <c r="KIL9" s="2235"/>
      <c r="KIM9" s="2235"/>
      <c r="KIN9" s="2235"/>
      <c r="KIO9" s="2235"/>
      <c r="KIP9" s="2235"/>
      <c r="KIQ9" s="2235"/>
      <c r="KIR9" s="2235"/>
      <c r="KIS9" s="2235"/>
      <c r="KIT9" s="2235"/>
      <c r="KIU9" s="2235"/>
      <c r="KIV9" s="2235"/>
      <c r="KIW9" s="2235"/>
      <c r="KIX9" s="2235"/>
      <c r="KIY9" s="2235"/>
      <c r="KIZ9" s="2235"/>
      <c r="KJA9" s="2235"/>
      <c r="KJB9" s="2235"/>
      <c r="KJC9" s="2235"/>
      <c r="KJD9" s="2235"/>
      <c r="KJE9" s="2235"/>
      <c r="KJF9" s="2235"/>
      <c r="KJG9" s="2235"/>
      <c r="KJH9" s="2235"/>
      <c r="KJI9" s="2235"/>
      <c r="KJJ9" s="2235"/>
      <c r="KJK9" s="2235"/>
      <c r="KJL9" s="2235"/>
      <c r="KJM9" s="2235"/>
      <c r="KJN9" s="2235"/>
      <c r="KJO9" s="2235"/>
      <c r="KJP9" s="2235"/>
      <c r="KJQ9" s="2235"/>
      <c r="KJR9" s="2235"/>
      <c r="KJS9" s="2235"/>
      <c r="KJT9" s="2235"/>
      <c r="KJU9" s="2235"/>
      <c r="KJV9" s="2235"/>
      <c r="KJW9" s="2235"/>
      <c r="KJX9" s="2235"/>
      <c r="KJY9" s="2235"/>
      <c r="KJZ9" s="2235"/>
      <c r="KKA9" s="2235"/>
      <c r="KKB9" s="2235"/>
      <c r="KKC9" s="2235"/>
      <c r="KKD9" s="2235"/>
      <c r="KKE9" s="2235"/>
      <c r="KKF9" s="2235"/>
      <c r="KKG9" s="2235"/>
      <c r="KKH9" s="2235"/>
      <c r="KKI9" s="2235"/>
      <c r="KKJ9" s="2235"/>
      <c r="KKK9" s="2235"/>
      <c r="KKL9" s="2235"/>
      <c r="KKM9" s="2235"/>
      <c r="KKN9" s="2235"/>
      <c r="KKO9" s="2235"/>
      <c r="KKP9" s="2235"/>
      <c r="KKQ9" s="2235"/>
      <c r="KKR9" s="2235"/>
      <c r="KKS9" s="2235"/>
      <c r="KKT9" s="2235"/>
      <c r="KKU9" s="2235"/>
      <c r="KKV9" s="2235"/>
      <c r="KKW9" s="2235"/>
      <c r="KKX9" s="2235"/>
      <c r="KKY9" s="2235"/>
      <c r="KKZ9" s="2235"/>
      <c r="KLA9" s="2235"/>
      <c r="KLB9" s="2235"/>
      <c r="KLC9" s="2235"/>
      <c r="KLD9" s="2235"/>
      <c r="KLE9" s="2235"/>
      <c r="KLF9" s="2235"/>
      <c r="KLG9" s="2235"/>
      <c r="KLH9" s="2235"/>
      <c r="KLI9" s="2235"/>
      <c r="KLJ9" s="2235"/>
      <c r="KLK9" s="2235"/>
      <c r="KLL9" s="2235"/>
      <c r="KLM9" s="2235"/>
      <c r="KLN9" s="2235"/>
      <c r="KLO9" s="2235"/>
      <c r="KLP9" s="2235"/>
      <c r="KLQ9" s="2235"/>
      <c r="KLR9" s="2235"/>
      <c r="KLS9" s="2235"/>
      <c r="KLT9" s="2235"/>
      <c r="KLU9" s="2235"/>
      <c r="KLV9" s="2235"/>
      <c r="KLW9" s="2235"/>
      <c r="KLX9" s="2235"/>
      <c r="KLY9" s="2235"/>
      <c r="KLZ9" s="2235"/>
      <c r="KMA9" s="2235"/>
      <c r="KMB9" s="2235"/>
      <c r="KMC9" s="2235"/>
      <c r="KMD9" s="2235"/>
      <c r="KME9" s="2235"/>
      <c r="KMF9" s="2235"/>
      <c r="KMG9" s="2235"/>
      <c r="KMH9" s="2235"/>
      <c r="KMI9" s="2235"/>
      <c r="KMJ9" s="2235"/>
      <c r="KMK9" s="2235"/>
      <c r="KML9" s="2235"/>
      <c r="KMM9" s="2235"/>
      <c r="KMN9" s="2235"/>
      <c r="KMO9" s="2235"/>
      <c r="KMP9" s="2235"/>
      <c r="KMQ9" s="2235"/>
      <c r="KMR9" s="2235"/>
      <c r="KMS9" s="2235"/>
      <c r="KMT9" s="2235"/>
      <c r="KMU9" s="2235"/>
      <c r="KMV9" s="2235"/>
      <c r="KMW9" s="2235"/>
      <c r="KMX9" s="2235"/>
      <c r="KMY9" s="2235"/>
      <c r="KMZ9" s="2235"/>
      <c r="KNA9" s="2235"/>
      <c r="KNB9" s="2235"/>
      <c r="KNC9" s="2235"/>
      <c r="KND9" s="2235"/>
      <c r="KNE9" s="2235"/>
      <c r="KNF9" s="2235"/>
      <c r="KNG9" s="2235"/>
      <c r="KNH9" s="2235"/>
      <c r="KNI9" s="2235"/>
      <c r="KNJ9" s="2235"/>
      <c r="KNK9" s="2235"/>
      <c r="KNL9" s="2235"/>
      <c r="KNM9" s="2235"/>
      <c r="KNN9" s="2235"/>
      <c r="KNO9" s="2235"/>
      <c r="KNP9" s="2235"/>
      <c r="KNQ9" s="2235"/>
      <c r="KNR9" s="2235"/>
      <c r="KNS9" s="2235"/>
      <c r="KNT9" s="2235"/>
      <c r="KNU9" s="2235"/>
      <c r="KNV9" s="2235"/>
      <c r="KNW9" s="2235"/>
      <c r="KNX9" s="2235"/>
      <c r="KNY9" s="2235"/>
      <c r="KNZ9" s="2235"/>
      <c r="KOA9" s="2235"/>
      <c r="KOB9" s="2235"/>
      <c r="KOC9" s="2235"/>
      <c r="KOD9" s="2235"/>
      <c r="KOE9" s="2235"/>
      <c r="KOF9" s="2235"/>
      <c r="KOG9" s="2235"/>
      <c r="KOH9" s="2235"/>
      <c r="KOI9" s="2235"/>
      <c r="KOJ9" s="2235"/>
      <c r="KOK9" s="2235"/>
      <c r="KOL9" s="2235"/>
      <c r="KOM9" s="2235"/>
      <c r="KON9" s="2235"/>
      <c r="KOO9" s="2235"/>
      <c r="KOP9" s="2235"/>
      <c r="KOQ9" s="2235"/>
      <c r="KOR9" s="2235"/>
      <c r="KOS9" s="2235"/>
      <c r="KOT9" s="2235"/>
      <c r="KOU9" s="2235"/>
      <c r="KOV9" s="2235"/>
      <c r="KOW9" s="2235"/>
      <c r="KOX9" s="2235"/>
      <c r="KOY9" s="2235"/>
      <c r="KOZ9" s="2235"/>
      <c r="KPA9" s="2235"/>
      <c r="KPB9" s="2235"/>
      <c r="KPC9" s="2235"/>
      <c r="KPD9" s="2235"/>
      <c r="KPE9" s="2235"/>
      <c r="KPF9" s="2235"/>
      <c r="KPG9" s="2235"/>
      <c r="KPH9" s="2235"/>
      <c r="KPI9" s="2235"/>
      <c r="KPJ9" s="2235"/>
      <c r="KPK9" s="2235"/>
      <c r="KPL9" s="2235"/>
      <c r="KPM9" s="2235"/>
      <c r="KPN9" s="2235"/>
      <c r="KPO9" s="2235"/>
      <c r="KPP9" s="2235"/>
      <c r="KPQ9" s="2235"/>
      <c r="KPR9" s="2235"/>
      <c r="KPS9" s="2235"/>
      <c r="KPT9" s="2235"/>
      <c r="KPU9" s="2235"/>
      <c r="KPV9" s="2235"/>
      <c r="KPW9" s="2235"/>
      <c r="KPX9" s="2235"/>
      <c r="KPY9" s="2235"/>
      <c r="KPZ9" s="2235"/>
      <c r="KQA9" s="2235"/>
      <c r="KQB9" s="2235"/>
      <c r="KQC9" s="2235"/>
      <c r="KQD9" s="2235"/>
      <c r="KQE9" s="2235"/>
      <c r="KQF9" s="2235"/>
      <c r="KQG9" s="2235"/>
      <c r="KQH9" s="2235"/>
      <c r="KQI9" s="2235"/>
      <c r="KQJ9" s="2235"/>
      <c r="KQK9" s="2235"/>
      <c r="KQL9" s="2235"/>
      <c r="KQM9" s="2235"/>
      <c r="KQN9" s="2235"/>
      <c r="KQO9" s="2235"/>
      <c r="KQP9" s="2235"/>
      <c r="KQQ9" s="2235"/>
      <c r="KQR9" s="2235"/>
      <c r="KQS9" s="2235"/>
      <c r="KQT9" s="2235"/>
      <c r="KQU9" s="2235"/>
      <c r="KQV9" s="2235"/>
      <c r="KQW9" s="2235"/>
      <c r="KQX9" s="2235"/>
      <c r="KQY9" s="2235"/>
      <c r="KQZ9" s="2235"/>
      <c r="KRA9" s="2235"/>
      <c r="KRB9" s="2235"/>
      <c r="KRC9" s="2235"/>
      <c r="KRD9" s="2235"/>
      <c r="KRE9" s="2235"/>
      <c r="KRF9" s="2235"/>
      <c r="KRG9" s="2235"/>
      <c r="KRH9" s="2235"/>
      <c r="KRI9" s="2235"/>
      <c r="KRJ9" s="2235"/>
      <c r="KRK9" s="2235"/>
      <c r="KRL9" s="2235"/>
      <c r="KRM9" s="2235"/>
      <c r="KRN9" s="2235"/>
      <c r="KRO9" s="2235"/>
      <c r="KRP9" s="2235"/>
      <c r="KRQ9" s="2235"/>
      <c r="KRR9" s="2235"/>
      <c r="KRS9" s="2235"/>
      <c r="KRT9" s="2235"/>
      <c r="KRU9" s="2235"/>
      <c r="KRV9" s="2235"/>
      <c r="KRW9" s="2235"/>
      <c r="KRX9" s="2235"/>
      <c r="KRY9" s="2235"/>
      <c r="KRZ9" s="2235"/>
      <c r="KSA9" s="2235"/>
      <c r="KSB9" s="2235"/>
      <c r="KSC9" s="2235"/>
      <c r="KSD9" s="2235"/>
      <c r="KSE9" s="2235"/>
      <c r="KSF9" s="2235"/>
      <c r="KSG9" s="2235"/>
      <c r="KSH9" s="2235"/>
      <c r="KSI9" s="2235"/>
      <c r="KSJ9" s="2235"/>
      <c r="KSK9" s="2235"/>
      <c r="KSL9" s="2235"/>
      <c r="KSM9" s="2235"/>
      <c r="KSN9" s="2235"/>
      <c r="KSO9" s="2235"/>
      <c r="KSP9" s="2235"/>
      <c r="KSQ9" s="2235"/>
      <c r="KSR9" s="2235"/>
      <c r="KSS9" s="2235"/>
      <c r="KST9" s="2235"/>
      <c r="KSU9" s="2235"/>
      <c r="KSV9" s="2235"/>
      <c r="KSW9" s="2235"/>
      <c r="KSX9" s="2235"/>
      <c r="KSY9" s="2235"/>
      <c r="KSZ9" s="2235"/>
      <c r="KTA9" s="2235"/>
      <c r="KTB9" s="2235"/>
      <c r="KTC9" s="2235"/>
      <c r="KTD9" s="2235"/>
      <c r="KTE9" s="2235"/>
      <c r="KTF9" s="2235"/>
      <c r="KTG9" s="2235"/>
      <c r="KTH9" s="2235"/>
      <c r="KTI9" s="2235"/>
      <c r="KTJ9" s="2235"/>
      <c r="KTK9" s="2235"/>
      <c r="KTL9" s="2235"/>
      <c r="KTM9" s="2235"/>
      <c r="KTN9" s="2235"/>
      <c r="KTO9" s="2235"/>
      <c r="KTP9" s="2235"/>
      <c r="KTQ9" s="2235"/>
      <c r="KTR9" s="2235"/>
      <c r="KTS9" s="2235"/>
      <c r="KTT9" s="2235"/>
      <c r="KTU9" s="2235"/>
      <c r="KTV9" s="2235"/>
      <c r="KTW9" s="2235"/>
      <c r="KTX9" s="2235"/>
      <c r="KTY9" s="2235"/>
      <c r="KTZ9" s="2235"/>
      <c r="KUA9" s="2235"/>
      <c r="KUB9" s="2235"/>
      <c r="KUC9" s="2235"/>
      <c r="KUD9" s="2235"/>
      <c r="KUE9" s="2235"/>
      <c r="KUF9" s="2235"/>
      <c r="KUG9" s="2235"/>
      <c r="KUH9" s="2235"/>
      <c r="KUI9" s="2235"/>
      <c r="KUJ9" s="2235"/>
      <c r="KUK9" s="2235"/>
      <c r="KUL9" s="2235"/>
      <c r="KUM9" s="2235"/>
      <c r="KUN9" s="2235"/>
      <c r="KUO9" s="2235"/>
      <c r="KUP9" s="2235"/>
      <c r="KUQ9" s="2235"/>
      <c r="KUR9" s="2235"/>
      <c r="KUS9" s="2235"/>
      <c r="KUT9" s="2235"/>
      <c r="KUU9" s="2235"/>
      <c r="KUV9" s="2235"/>
      <c r="KUW9" s="2235"/>
      <c r="KUX9" s="2235"/>
      <c r="KUY9" s="2235"/>
      <c r="KUZ9" s="2235"/>
      <c r="KVA9" s="2235"/>
      <c r="KVB9" s="2235"/>
      <c r="KVC9" s="2235"/>
      <c r="KVD9" s="2235"/>
      <c r="KVE9" s="2235"/>
      <c r="KVF9" s="2235"/>
      <c r="KVG9" s="2235"/>
      <c r="KVH9" s="2235"/>
      <c r="KVI9" s="2235"/>
      <c r="KVJ9" s="2235"/>
      <c r="KVK9" s="2235"/>
      <c r="KVL9" s="2235"/>
      <c r="KVM9" s="2235"/>
      <c r="KVN9" s="2235"/>
      <c r="KVO9" s="2235"/>
      <c r="KVP9" s="2235"/>
      <c r="KVQ9" s="2235"/>
      <c r="KVR9" s="2235"/>
      <c r="KVS9" s="2235"/>
      <c r="KVT9" s="2235"/>
      <c r="KVU9" s="2235"/>
      <c r="KVV9" s="2235"/>
      <c r="KVW9" s="2235"/>
      <c r="KVX9" s="2235"/>
      <c r="KVY9" s="2235"/>
      <c r="KVZ9" s="2235"/>
      <c r="KWA9" s="2235"/>
      <c r="KWB9" s="2235"/>
      <c r="KWC9" s="2235"/>
      <c r="KWD9" s="2235"/>
      <c r="KWE9" s="2235"/>
      <c r="KWF9" s="2235"/>
      <c r="KWG9" s="2235"/>
      <c r="KWH9" s="2235"/>
      <c r="KWI9" s="2235"/>
      <c r="KWJ9" s="2235"/>
      <c r="KWK9" s="2235"/>
      <c r="KWL9" s="2235"/>
      <c r="KWM9" s="2235"/>
      <c r="KWN9" s="2235"/>
      <c r="KWO9" s="2235"/>
      <c r="KWP9" s="2235"/>
      <c r="KWQ9" s="2235"/>
      <c r="KWR9" s="2235"/>
      <c r="KWS9" s="2235"/>
      <c r="KWT9" s="2235"/>
      <c r="KWU9" s="2235"/>
      <c r="KWV9" s="2235"/>
      <c r="KWW9" s="2235"/>
      <c r="KWX9" s="2235"/>
      <c r="KWY9" s="2235"/>
      <c r="KWZ9" s="2235"/>
      <c r="KXA9" s="2235"/>
      <c r="KXB9" s="2235"/>
      <c r="KXC9" s="2235"/>
      <c r="KXD9" s="2235"/>
      <c r="KXE9" s="2235"/>
      <c r="KXF9" s="2235"/>
      <c r="KXG9" s="2235"/>
      <c r="KXH9" s="2235"/>
      <c r="KXI9" s="2235"/>
      <c r="KXJ9" s="2235"/>
      <c r="KXK9" s="2235"/>
      <c r="KXL9" s="2235"/>
      <c r="KXM9" s="2235"/>
      <c r="KXN9" s="2235"/>
      <c r="KXO9" s="2235"/>
      <c r="KXP9" s="2235"/>
      <c r="KXQ9" s="2235"/>
      <c r="KXR9" s="2235"/>
      <c r="KXS9" s="2235"/>
      <c r="KXT9" s="2235"/>
      <c r="KXU9" s="2235"/>
      <c r="KXV9" s="2235"/>
      <c r="KXW9" s="2235"/>
      <c r="KXX9" s="2235"/>
      <c r="KXY9" s="2235"/>
      <c r="KXZ9" s="2235"/>
      <c r="KYA9" s="2235"/>
      <c r="KYB9" s="2235"/>
      <c r="KYC9" s="2235"/>
      <c r="KYD9" s="2235"/>
      <c r="KYE9" s="2235"/>
      <c r="KYF9" s="2235"/>
      <c r="KYG9" s="2235"/>
      <c r="KYH9" s="2235"/>
      <c r="KYI9" s="2235"/>
      <c r="KYJ9" s="2235"/>
      <c r="KYK9" s="2235"/>
      <c r="KYL9" s="2235"/>
      <c r="KYM9" s="2235"/>
      <c r="KYN9" s="2235"/>
      <c r="KYO9" s="2235"/>
      <c r="KYP9" s="2235"/>
      <c r="KYQ9" s="2235"/>
      <c r="KYR9" s="2235"/>
      <c r="KYS9" s="2235"/>
      <c r="KYT9" s="2235"/>
      <c r="KYU9" s="2235"/>
      <c r="KYV9" s="2235"/>
      <c r="KYW9" s="2235"/>
      <c r="KYX9" s="2235"/>
      <c r="KYY9" s="2235"/>
      <c r="KYZ9" s="2235"/>
      <c r="KZA9" s="2235"/>
      <c r="KZB9" s="2235"/>
      <c r="KZC9" s="2235"/>
      <c r="KZD9" s="2235"/>
      <c r="KZE9" s="2235"/>
      <c r="KZF9" s="2235"/>
      <c r="KZG9" s="2235"/>
      <c r="KZH9" s="2235"/>
      <c r="KZI9" s="2235"/>
      <c r="KZJ9" s="2235"/>
      <c r="KZK9" s="2235"/>
      <c r="KZL9" s="2235"/>
      <c r="KZM9" s="2235"/>
      <c r="KZN9" s="2235"/>
      <c r="KZO9" s="2235"/>
      <c r="KZP9" s="2235"/>
      <c r="KZQ9" s="2235"/>
      <c r="KZR9" s="2235"/>
      <c r="KZS9" s="2235"/>
      <c r="KZT9" s="2235"/>
      <c r="KZU9" s="2235"/>
      <c r="KZV9" s="2235"/>
      <c r="KZW9" s="2235"/>
      <c r="KZX9" s="2235"/>
      <c r="KZY9" s="2235"/>
      <c r="KZZ9" s="2235"/>
      <c r="LAA9" s="2235"/>
      <c r="LAB9" s="2235"/>
      <c r="LAC9" s="2235"/>
      <c r="LAD9" s="2235"/>
      <c r="LAE9" s="2235"/>
      <c r="LAF9" s="2235"/>
      <c r="LAG9" s="2235"/>
      <c r="LAH9" s="2235"/>
      <c r="LAI9" s="2235"/>
      <c r="LAJ9" s="2235"/>
      <c r="LAK9" s="2235"/>
      <c r="LAL9" s="2235"/>
      <c r="LAM9" s="2235"/>
      <c r="LAN9" s="2235"/>
      <c r="LAO9" s="2235"/>
      <c r="LAP9" s="2235"/>
      <c r="LAQ9" s="2235"/>
      <c r="LAR9" s="2235"/>
      <c r="LAS9" s="2235"/>
      <c r="LAT9" s="2235"/>
      <c r="LAU9" s="2235"/>
      <c r="LAV9" s="2235"/>
      <c r="LAW9" s="2235"/>
      <c r="LAX9" s="2235"/>
      <c r="LAY9" s="2235"/>
      <c r="LAZ9" s="2235"/>
      <c r="LBA9" s="2235"/>
      <c r="LBB9" s="2235"/>
      <c r="LBC9" s="2235"/>
      <c r="LBD9" s="2235"/>
      <c r="LBE9" s="2235"/>
      <c r="LBF9" s="2235"/>
      <c r="LBG9" s="2235"/>
      <c r="LBH9" s="2235"/>
      <c r="LBI9" s="2235"/>
      <c r="LBJ9" s="2235"/>
      <c r="LBK9" s="2235"/>
      <c r="LBL9" s="2235"/>
      <c r="LBM9" s="2235"/>
      <c r="LBN9" s="2235"/>
      <c r="LBO9" s="2235"/>
      <c r="LBP9" s="2235"/>
      <c r="LBQ9" s="2235"/>
      <c r="LBR9" s="2235"/>
      <c r="LBS9" s="2235"/>
      <c r="LBT9" s="2235"/>
      <c r="LBU9" s="2235"/>
      <c r="LBV9" s="2235"/>
      <c r="LBW9" s="2235"/>
      <c r="LBX9" s="2235"/>
      <c r="LBY9" s="2235"/>
      <c r="LBZ9" s="2235"/>
      <c r="LCA9" s="2235"/>
      <c r="LCB9" s="2235"/>
      <c r="LCC9" s="2235"/>
      <c r="LCD9" s="2235"/>
      <c r="LCE9" s="2235"/>
      <c r="LCF9" s="2235"/>
      <c r="LCG9" s="2235"/>
      <c r="LCH9" s="2235"/>
      <c r="LCI9" s="2235"/>
      <c r="LCJ9" s="2235"/>
      <c r="LCK9" s="2235"/>
      <c r="LCL9" s="2235"/>
      <c r="LCM9" s="2235"/>
      <c r="LCN9" s="2235"/>
      <c r="LCO9" s="2235"/>
      <c r="LCP9" s="2235"/>
      <c r="LCQ9" s="2235"/>
      <c r="LCR9" s="2235"/>
      <c r="LCS9" s="2235"/>
      <c r="LCT9" s="2235"/>
      <c r="LCU9" s="2235"/>
      <c r="LCV9" s="2235"/>
      <c r="LCW9" s="2235"/>
      <c r="LCX9" s="2235"/>
      <c r="LCY9" s="2235"/>
      <c r="LCZ9" s="2235"/>
      <c r="LDA9" s="2235"/>
      <c r="LDB9" s="2235"/>
      <c r="LDC9" s="2235"/>
      <c r="LDD9" s="2235"/>
      <c r="LDE9" s="2235"/>
      <c r="LDF9" s="2235"/>
      <c r="LDG9" s="2235"/>
      <c r="LDH9" s="2235"/>
      <c r="LDI9" s="2235"/>
      <c r="LDJ9" s="2235"/>
      <c r="LDK9" s="2235"/>
      <c r="LDL9" s="2235"/>
      <c r="LDM9" s="2235"/>
      <c r="LDN9" s="2235"/>
      <c r="LDO9" s="2235"/>
      <c r="LDP9" s="2235"/>
      <c r="LDQ9" s="2235"/>
      <c r="LDR9" s="2235"/>
      <c r="LDS9" s="2235"/>
      <c r="LDT9" s="2235"/>
      <c r="LDU9" s="2235"/>
      <c r="LDV9" s="2235"/>
      <c r="LDW9" s="2235"/>
      <c r="LDX9" s="2235"/>
      <c r="LDY9" s="2235"/>
      <c r="LDZ9" s="2235"/>
      <c r="LEA9" s="2235"/>
      <c r="LEB9" s="2235"/>
      <c r="LEC9" s="2235"/>
      <c r="LED9" s="2235"/>
      <c r="LEE9" s="2235"/>
      <c r="LEF9" s="2235"/>
      <c r="LEG9" s="2235"/>
      <c r="LEH9" s="2235"/>
      <c r="LEI9" s="2235"/>
      <c r="LEJ9" s="2235"/>
      <c r="LEK9" s="2235"/>
      <c r="LEL9" s="2235"/>
      <c r="LEM9" s="2235"/>
      <c r="LEN9" s="2235"/>
      <c r="LEO9" s="2235"/>
      <c r="LEP9" s="2235"/>
      <c r="LEQ9" s="2235"/>
      <c r="LER9" s="2235"/>
      <c r="LES9" s="2235"/>
      <c r="LET9" s="2235"/>
      <c r="LEU9" s="2235"/>
      <c r="LEV9" s="2235"/>
      <c r="LEW9" s="2235"/>
      <c r="LEX9" s="2235"/>
      <c r="LEY9" s="2235"/>
      <c r="LEZ9" s="2235"/>
      <c r="LFA9" s="2235"/>
      <c r="LFB9" s="2235"/>
      <c r="LFC9" s="2235"/>
      <c r="LFD9" s="2235"/>
      <c r="LFE9" s="2235"/>
      <c r="LFF9" s="2235"/>
      <c r="LFG9" s="2235"/>
      <c r="LFH9" s="2235"/>
      <c r="LFI9" s="2235"/>
      <c r="LFJ9" s="2235"/>
      <c r="LFK9" s="2235"/>
      <c r="LFL9" s="2235"/>
      <c r="LFM9" s="2235"/>
      <c r="LFN9" s="2235"/>
      <c r="LFO9" s="2235"/>
      <c r="LFP9" s="2235"/>
      <c r="LFQ9" s="2235"/>
      <c r="LFR9" s="2235"/>
      <c r="LFS9" s="2235"/>
      <c r="LFT9" s="2235"/>
      <c r="LFU9" s="2235"/>
      <c r="LFV9" s="2235"/>
      <c r="LFW9" s="2235"/>
      <c r="LFX9" s="2235"/>
      <c r="LFY9" s="2235"/>
      <c r="LFZ9" s="2235"/>
      <c r="LGA9" s="2235"/>
      <c r="LGB9" s="2235"/>
      <c r="LGC9" s="2235"/>
      <c r="LGD9" s="2235"/>
      <c r="LGE9" s="2235"/>
      <c r="LGF9" s="2235"/>
      <c r="LGG9" s="2235"/>
      <c r="LGH9" s="2235"/>
      <c r="LGI9" s="2235"/>
      <c r="LGJ9" s="2235"/>
      <c r="LGK9" s="2235"/>
      <c r="LGL9" s="2235"/>
      <c r="LGM9" s="2235"/>
      <c r="LGN9" s="2235"/>
      <c r="LGO9" s="2235"/>
      <c r="LGP9" s="2235"/>
      <c r="LGQ9" s="2235"/>
      <c r="LGR9" s="2235"/>
      <c r="LGS9" s="2235"/>
      <c r="LGT9" s="2235"/>
      <c r="LGU9" s="2235"/>
      <c r="LGV9" s="2235"/>
      <c r="LGW9" s="2235"/>
      <c r="LGX9" s="2235"/>
      <c r="LGY9" s="2235"/>
      <c r="LGZ9" s="2235"/>
      <c r="LHA9" s="2235"/>
      <c r="LHB9" s="2235"/>
      <c r="LHC9" s="2235"/>
      <c r="LHD9" s="2235"/>
      <c r="LHE9" s="2235"/>
      <c r="LHF9" s="2235"/>
      <c r="LHG9" s="2235"/>
      <c r="LHH9" s="2235"/>
      <c r="LHI9" s="2235"/>
      <c r="LHJ9" s="2235"/>
      <c r="LHK9" s="2235"/>
      <c r="LHL9" s="2235"/>
      <c r="LHM9" s="2235"/>
      <c r="LHN9" s="2235"/>
      <c r="LHO9" s="2235"/>
      <c r="LHP9" s="2235"/>
      <c r="LHQ9" s="2235"/>
      <c r="LHR9" s="2235"/>
      <c r="LHS9" s="2235"/>
      <c r="LHT9" s="2235"/>
      <c r="LHU9" s="2235"/>
      <c r="LHV9" s="2235"/>
      <c r="LHW9" s="2235"/>
      <c r="LHX9" s="2235"/>
      <c r="LHY9" s="2235"/>
      <c r="LHZ9" s="2235"/>
      <c r="LIA9" s="2235"/>
      <c r="LIB9" s="2235"/>
      <c r="LIC9" s="2235"/>
      <c r="LID9" s="2235"/>
      <c r="LIE9" s="2235"/>
      <c r="LIF9" s="2235"/>
      <c r="LIG9" s="2235"/>
      <c r="LIH9" s="2235"/>
      <c r="LII9" s="2235"/>
      <c r="LIJ9" s="2235"/>
      <c r="LIK9" s="2235"/>
      <c r="LIL9" s="2235"/>
      <c r="LIM9" s="2235"/>
      <c r="LIN9" s="2235"/>
      <c r="LIO9" s="2235"/>
      <c r="LIP9" s="2235"/>
      <c r="LIQ9" s="2235"/>
      <c r="LIR9" s="2235"/>
      <c r="LIS9" s="2235"/>
      <c r="LIT9" s="2235"/>
      <c r="LIU9" s="2235"/>
      <c r="LIV9" s="2235"/>
      <c r="LIW9" s="2235"/>
      <c r="LIX9" s="2235"/>
      <c r="LIY9" s="2235"/>
      <c r="LIZ9" s="2235"/>
      <c r="LJA9" s="2235"/>
      <c r="LJB9" s="2235"/>
      <c r="LJC9" s="2235"/>
      <c r="LJD9" s="2235"/>
      <c r="LJE9" s="2235"/>
      <c r="LJF9" s="2235"/>
      <c r="LJG9" s="2235"/>
      <c r="LJH9" s="2235"/>
      <c r="LJI9" s="2235"/>
      <c r="LJJ9" s="2235"/>
      <c r="LJK9" s="2235"/>
      <c r="LJL9" s="2235"/>
      <c r="LJM9" s="2235"/>
      <c r="LJN9" s="2235"/>
      <c r="LJO9" s="2235"/>
      <c r="LJP9" s="2235"/>
      <c r="LJQ9" s="2235"/>
      <c r="LJR9" s="2235"/>
      <c r="LJS9" s="2235"/>
      <c r="LJT9" s="2235"/>
      <c r="LJU9" s="2235"/>
      <c r="LJV9" s="2235"/>
      <c r="LJW9" s="2235"/>
      <c r="LJX9" s="2235"/>
      <c r="LJY9" s="2235"/>
      <c r="LJZ9" s="2235"/>
      <c r="LKA9" s="2235"/>
      <c r="LKB9" s="2235"/>
      <c r="LKC9" s="2235"/>
      <c r="LKD9" s="2235"/>
      <c r="LKE9" s="2235"/>
      <c r="LKF9" s="2235"/>
      <c r="LKG9" s="2235"/>
      <c r="LKH9" s="2235"/>
      <c r="LKI9" s="2235"/>
      <c r="LKJ9" s="2235"/>
      <c r="LKK9" s="2235"/>
      <c r="LKL9" s="2235"/>
      <c r="LKM9" s="2235"/>
      <c r="LKN9" s="2235"/>
      <c r="LKO9" s="2235"/>
      <c r="LKP9" s="2235"/>
      <c r="LKQ9" s="2235"/>
      <c r="LKR9" s="2235"/>
      <c r="LKS9" s="2235"/>
      <c r="LKT9" s="2235"/>
      <c r="LKU9" s="2235"/>
      <c r="LKV9" s="2235"/>
      <c r="LKW9" s="2235"/>
      <c r="LKX9" s="2235"/>
      <c r="LKY9" s="2235"/>
      <c r="LKZ9" s="2235"/>
      <c r="LLA9" s="2235"/>
      <c r="LLB9" s="2235"/>
      <c r="LLC9" s="2235"/>
      <c r="LLD9" s="2235"/>
      <c r="LLE9" s="2235"/>
      <c r="LLF9" s="2235"/>
      <c r="LLG9" s="2235"/>
      <c r="LLH9" s="2235"/>
      <c r="LLI9" s="2235"/>
      <c r="LLJ9" s="2235"/>
      <c r="LLK9" s="2235"/>
      <c r="LLL9" s="2235"/>
      <c r="LLM9" s="2235"/>
      <c r="LLN9" s="2235"/>
      <c r="LLO9" s="2235"/>
      <c r="LLP9" s="2235"/>
      <c r="LLQ9" s="2235"/>
      <c r="LLR9" s="2235"/>
      <c r="LLS9" s="2235"/>
      <c r="LLT9" s="2235"/>
      <c r="LLU9" s="2235"/>
      <c r="LLV9" s="2235"/>
      <c r="LLW9" s="2235"/>
      <c r="LLX9" s="2235"/>
      <c r="LLY9" s="2235"/>
      <c r="LLZ9" s="2235"/>
      <c r="LMA9" s="2235"/>
      <c r="LMB9" s="2235"/>
      <c r="LMC9" s="2235"/>
      <c r="LMD9" s="2235"/>
      <c r="LME9" s="2235"/>
      <c r="LMF9" s="2235"/>
      <c r="LMG9" s="2235"/>
      <c r="LMH9" s="2235"/>
      <c r="LMI9" s="2235"/>
      <c r="LMJ9" s="2235"/>
      <c r="LMK9" s="2235"/>
      <c r="LML9" s="2235"/>
      <c r="LMM9" s="2235"/>
      <c r="LMN9" s="2235"/>
      <c r="LMO9" s="2235"/>
      <c r="LMP9" s="2235"/>
      <c r="LMQ9" s="2235"/>
      <c r="LMR9" s="2235"/>
      <c r="LMS9" s="2235"/>
      <c r="LMT9" s="2235"/>
      <c r="LMU9" s="2235"/>
      <c r="LMV9" s="2235"/>
      <c r="LMW9" s="2235"/>
      <c r="LMX9" s="2235"/>
      <c r="LMY9" s="2235"/>
      <c r="LMZ9" s="2235"/>
      <c r="LNA9" s="2235"/>
      <c r="LNB9" s="2235"/>
      <c r="LNC9" s="2235"/>
      <c r="LND9" s="2235"/>
      <c r="LNE9" s="2235"/>
      <c r="LNF9" s="2235"/>
      <c r="LNG9" s="2235"/>
      <c r="LNH9" s="2235"/>
      <c r="LNI9" s="2235"/>
      <c r="LNJ9" s="2235"/>
      <c r="LNK9" s="2235"/>
      <c r="LNL9" s="2235"/>
      <c r="LNM9" s="2235"/>
      <c r="LNN9" s="2235"/>
      <c r="LNO9" s="2235"/>
      <c r="LNP9" s="2235"/>
      <c r="LNQ9" s="2235"/>
      <c r="LNR9" s="2235"/>
      <c r="LNS9" s="2235"/>
      <c r="LNT9" s="2235"/>
      <c r="LNU9" s="2235"/>
      <c r="LNV9" s="2235"/>
      <c r="LNW9" s="2235"/>
      <c r="LNX9" s="2235"/>
      <c r="LNY9" s="2235"/>
      <c r="LNZ9" s="2235"/>
      <c r="LOA9" s="2235"/>
      <c r="LOB9" s="2235"/>
      <c r="LOC9" s="2235"/>
      <c r="LOD9" s="2235"/>
      <c r="LOE9" s="2235"/>
      <c r="LOF9" s="2235"/>
      <c r="LOG9" s="2235"/>
      <c r="LOH9" s="2235"/>
      <c r="LOI9" s="2235"/>
      <c r="LOJ9" s="2235"/>
      <c r="LOK9" s="2235"/>
      <c r="LOL9" s="2235"/>
      <c r="LOM9" s="2235"/>
      <c r="LON9" s="2235"/>
      <c r="LOO9" s="2235"/>
      <c r="LOP9" s="2235"/>
      <c r="LOQ9" s="2235"/>
      <c r="LOR9" s="2235"/>
      <c r="LOS9" s="2235"/>
      <c r="LOT9" s="2235"/>
      <c r="LOU9" s="2235"/>
      <c r="LOV9" s="2235"/>
      <c r="LOW9" s="2235"/>
      <c r="LOX9" s="2235"/>
      <c r="LOY9" s="2235"/>
      <c r="LOZ9" s="2235"/>
      <c r="LPA9" s="2235"/>
      <c r="LPB9" s="2235"/>
      <c r="LPC9" s="2235"/>
      <c r="LPD9" s="2235"/>
      <c r="LPE9" s="2235"/>
      <c r="LPF9" s="2235"/>
      <c r="LPG9" s="2235"/>
      <c r="LPH9" s="2235"/>
      <c r="LPI9" s="2235"/>
      <c r="LPJ9" s="2235"/>
      <c r="LPK9" s="2235"/>
      <c r="LPL9" s="2235"/>
      <c r="LPM9" s="2235"/>
      <c r="LPN9" s="2235"/>
      <c r="LPO9" s="2235"/>
      <c r="LPP9" s="2235"/>
      <c r="LPQ9" s="2235"/>
      <c r="LPR9" s="2235"/>
      <c r="LPS9" s="2235"/>
      <c r="LPT9" s="2235"/>
      <c r="LPU9" s="2235"/>
      <c r="LPV9" s="2235"/>
      <c r="LPW9" s="2235"/>
      <c r="LPX9" s="2235"/>
      <c r="LPY9" s="2235"/>
      <c r="LPZ9" s="2235"/>
      <c r="LQA9" s="2235"/>
      <c r="LQB9" s="2235"/>
      <c r="LQC9" s="2235"/>
      <c r="LQD9" s="2235"/>
      <c r="LQE9" s="2235"/>
      <c r="LQF9" s="2235"/>
      <c r="LQG9" s="2235"/>
      <c r="LQH9" s="2235"/>
      <c r="LQI9" s="2235"/>
      <c r="LQJ9" s="2235"/>
      <c r="LQK9" s="2235"/>
      <c r="LQL9" s="2235"/>
      <c r="LQM9" s="2235"/>
      <c r="LQN9" s="2235"/>
      <c r="LQO9" s="2235"/>
      <c r="LQP9" s="2235"/>
      <c r="LQQ9" s="2235"/>
      <c r="LQR9" s="2235"/>
      <c r="LQS9" s="2235"/>
      <c r="LQT9" s="2235"/>
      <c r="LQU9" s="2235"/>
      <c r="LQV9" s="2235"/>
      <c r="LQW9" s="2235"/>
      <c r="LQX9" s="2235"/>
      <c r="LQY9" s="2235"/>
      <c r="LQZ9" s="2235"/>
      <c r="LRA9" s="2235"/>
      <c r="LRB9" s="2235"/>
      <c r="LRC9" s="2235"/>
      <c r="LRD9" s="2235"/>
      <c r="LRE9" s="2235"/>
      <c r="LRF9" s="2235"/>
      <c r="LRG9" s="2235"/>
      <c r="LRH9" s="2235"/>
      <c r="LRI9" s="2235"/>
      <c r="LRJ9" s="2235"/>
      <c r="LRK9" s="2235"/>
      <c r="LRL9" s="2235"/>
      <c r="LRM9" s="2235"/>
      <c r="LRN9" s="2235"/>
      <c r="LRO9" s="2235"/>
      <c r="LRP9" s="2235"/>
      <c r="LRQ9" s="2235"/>
      <c r="LRR9" s="2235"/>
      <c r="LRS9" s="2235"/>
      <c r="LRT9" s="2235"/>
      <c r="LRU9" s="2235"/>
      <c r="LRV9" s="2235"/>
      <c r="LRW9" s="2235"/>
      <c r="LRX9" s="2235"/>
      <c r="LRY9" s="2235"/>
      <c r="LRZ9" s="2235"/>
      <c r="LSA9" s="2235"/>
      <c r="LSB9" s="2235"/>
      <c r="LSC9" s="2235"/>
      <c r="LSD9" s="2235"/>
      <c r="LSE9" s="2235"/>
      <c r="LSF9" s="2235"/>
      <c r="LSG9" s="2235"/>
      <c r="LSH9" s="2235"/>
      <c r="LSI9" s="2235"/>
      <c r="LSJ9" s="2235"/>
      <c r="LSK9" s="2235"/>
      <c r="LSL9" s="2235"/>
      <c r="LSM9" s="2235"/>
      <c r="LSN9" s="2235"/>
      <c r="LSO9" s="2235"/>
      <c r="LSP9" s="2235"/>
      <c r="LSQ9" s="2235"/>
      <c r="LSR9" s="2235"/>
      <c r="LSS9" s="2235"/>
      <c r="LST9" s="2235"/>
      <c r="LSU9" s="2235"/>
      <c r="LSV9" s="2235"/>
      <c r="LSW9" s="2235"/>
      <c r="LSX9" s="2235"/>
      <c r="LSY9" s="2235"/>
      <c r="LSZ9" s="2235"/>
      <c r="LTA9" s="2235"/>
      <c r="LTB9" s="2235"/>
      <c r="LTC9" s="2235"/>
      <c r="LTD9" s="2235"/>
      <c r="LTE9" s="2235"/>
      <c r="LTF9" s="2235"/>
      <c r="LTG9" s="2235"/>
      <c r="LTH9" s="2235"/>
      <c r="LTI9" s="2235"/>
      <c r="LTJ9" s="2235"/>
      <c r="LTK9" s="2235"/>
      <c r="LTL9" s="2235"/>
      <c r="LTM9" s="2235"/>
      <c r="LTN9" s="2235"/>
      <c r="LTO9" s="2235"/>
      <c r="LTP9" s="2235"/>
      <c r="LTQ9" s="2235"/>
      <c r="LTR9" s="2235"/>
      <c r="LTS9" s="2235"/>
      <c r="LTT9" s="2235"/>
      <c r="LTU9" s="2235"/>
      <c r="LTV9" s="2235"/>
      <c r="LTW9" s="2235"/>
      <c r="LTX9" s="2235"/>
      <c r="LTY9" s="2235"/>
      <c r="LTZ9" s="2235"/>
      <c r="LUA9" s="2235"/>
      <c r="LUB9" s="2235"/>
      <c r="LUC9" s="2235"/>
      <c r="LUD9" s="2235"/>
      <c r="LUE9" s="2235"/>
      <c r="LUF9" s="2235"/>
      <c r="LUG9" s="2235"/>
      <c r="LUH9" s="2235"/>
      <c r="LUI9" s="2235"/>
      <c r="LUJ9" s="2235"/>
      <c r="LUK9" s="2235"/>
      <c r="LUL9" s="2235"/>
      <c r="LUM9" s="2235"/>
      <c r="LUN9" s="2235"/>
      <c r="LUO9" s="2235"/>
      <c r="LUP9" s="2235"/>
      <c r="LUQ9" s="2235"/>
      <c r="LUR9" s="2235"/>
      <c r="LUS9" s="2235"/>
      <c r="LUT9" s="2235"/>
      <c r="LUU9" s="2235"/>
      <c r="LUV9" s="2235"/>
      <c r="LUW9" s="2235"/>
      <c r="LUX9" s="2235"/>
      <c r="LUY9" s="2235"/>
      <c r="LUZ9" s="2235"/>
      <c r="LVA9" s="2235"/>
      <c r="LVB9" s="2235"/>
      <c r="LVC9" s="2235"/>
      <c r="LVD9" s="2235"/>
      <c r="LVE9" s="2235"/>
      <c r="LVF9" s="2235"/>
      <c r="LVG9" s="2235"/>
      <c r="LVH9" s="2235"/>
      <c r="LVI9" s="2235"/>
      <c r="LVJ9" s="2235"/>
      <c r="LVK9" s="2235"/>
      <c r="LVL9" s="2235"/>
      <c r="LVM9" s="2235"/>
      <c r="LVN9" s="2235"/>
      <c r="LVO9" s="2235"/>
      <c r="LVP9" s="2235"/>
      <c r="LVQ9" s="2235"/>
      <c r="LVR9" s="2235"/>
      <c r="LVS9" s="2235"/>
      <c r="LVT9" s="2235"/>
      <c r="LVU9" s="2235"/>
      <c r="LVV9" s="2235"/>
      <c r="LVW9" s="2235"/>
      <c r="LVX9" s="2235"/>
      <c r="LVY9" s="2235"/>
      <c r="LVZ9" s="2235"/>
      <c r="LWA9" s="2235"/>
      <c r="LWB9" s="2235"/>
      <c r="LWC9" s="2235"/>
      <c r="LWD9" s="2235"/>
      <c r="LWE9" s="2235"/>
      <c r="LWF9" s="2235"/>
      <c r="LWG9" s="2235"/>
      <c r="LWH9" s="2235"/>
      <c r="LWI9" s="2235"/>
      <c r="LWJ9" s="2235"/>
      <c r="LWK9" s="2235"/>
      <c r="LWL9" s="2235"/>
      <c r="LWM9" s="2235"/>
      <c r="LWN9" s="2235"/>
      <c r="LWO9" s="2235"/>
      <c r="LWP9" s="2235"/>
      <c r="LWQ9" s="2235"/>
      <c r="LWR9" s="2235"/>
      <c r="LWS9" s="2235"/>
      <c r="LWT9" s="2235"/>
      <c r="LWU9" s="2235"/>
      <c r="LWV9" s="2235"/>
      <c r="LWW9" s="2235"/>
      <c r="LWX9" s="2235"/>
      <c r="LWY9" s="2235"/>
      <c r="LWZ9" s="2235"/>
      <c r="LXA9" s="2235"/>
      <c r="LXB9" s="2235"/>
      <c r="LXC9" s="2235"/>
      <c r="LXD9" s="2235"/>
      <c r="LXE9" s="2235"/>
      <c r="LXF9" s="2235"/>
      <c r="LXG9" s="2235"/>
      <c r="LXH9" s="2235"/>
      <c r="LXI9" s="2235"/>
      <c r="LXJ9" s="2235"/>
      <c r="LXK9" s="2235"/>
      <c r="LXL9" s="2235"/>
      <c r="LXM9" s="2235"/>
      <c r="LXN9" s="2235"/>
      <c r="LXO9" s="2235"/>
      <c r="LXP9" s="2235"/>
      <c r="LXQ9" s="2235"/>
      <c r="LXR9" s="2235"/>
      <c r="LXS9" s="2235"/>
      <c r="LXT9" s="2235"/>
      <c r="LXU9" s="2235"/>
      <c r="LXV9" s="2235"/>
      <c r="LXW9" s="2235"/>
      <c r="LXX9" s="2235"/>
      <c r="LXY9" s="2235"/>
      <c r="LXZ9" s="2235"/>
      <c r="LYA9" s="2235"/>
      <c r="LYB9" s="2235"/>
      <c r="LYC9" s="2235"/>
      <c r="LYD9" s="2235"/>
      <c r="LYE9" s="2235"/>
      <c r="LYF9" s="2235"/>
      <c r="LYG9" s="2235"/>
      <c r="LYH9" s="2235"/>
      <c r="LYI9" s="2235"/>
      <c r="LYJ9" s="2235"/>
      <c r="LYK9" s="2235"/>
      <c r="LYL9" s="2235"/>
      <c r="LYM9" s="2235"/>
      <c r="LYN9" s="2235"/>
      <c r="LYO9" s="2235"/>
      <c r="LYP9" s="2235"/>
      <c r="LYQ9" s="2235"/>
      <c r="LYR9" s="2235"/>
      <c r="LYS9" s="2235"/>
      <c r="LYT9" s="2235"/>
      <c r="LYU9" s="2235"/>
      <c r="LYV9" s="2235"/>
      <c r="LYW9" s="2235"/>
      <c r="LYX9" s="2235"/>
      <c r="LYY9" s="2235"/>
      <c r="LYZ9" s="2235"/>
      <c r="LZA9" s="2235"/>
      <c r="LZB9" s="2235"/>
      <c r="LZC9" s="2235"/>
      <c r="LZD9" s="2235"/>
      <c r="LZE9" s="2235"/>
      <c r="LZF9" s="2235"/>
      <c r="LZG9" s="2235"/>
      <c r="LZH9" s="2235"/>
      <c r="LZI9" s="2235"/>
      <c r="LZJ9" s="2235"/>
      <c r="LZK9" s="2235"/>
      <c r="LZL9" s="2235"/>
      <c r="LZM9" s="2235"/>
      <c r="LZN9" s="2235"/>
      <c r="LZO9" s="2235"/>
      <c r="LZP9" s="2235"/>
      <c r="LZQ9" s="2235"/>
      <c r="LZR9" s="2235"/>
      <c r="LZS9" s="2235"/>
      <c r="LZT9" s="2235"/>
      <c r="LZU9" s="2235"/>
      <c r="LZV9" s="2235"/>
      <c r="LZW9" s="2235"/>
      <c r="LZX9" s="2235"/>
      <c r="LZY9" s="2235"/>
      <c r="LZZ9" s="2235"/>
      <c r="MAA9" s="2235"/>
      <c r="MAB9" s="2235"/>
      <c r="MAC9" s="2235"/>
      <c r="MAD9" s="2235"/>
      <c r="MAE9" s="2235"/>
      <c r="MAF9" s="2235"/>
      <c r="MAG9" s="2235"/>
      <c r="MAH9" s="2235"/>
      <c r="MAI9" s="2235"/>
      <c r="MAJ9" s="2235"/>
      <c r="MAK9" s="2235"/>
      <c r="MAL9" s="2235"/>
      <c r="MAM9" s="2235"/>
      <c r="MAN9" s="2235"/>
      <c r="MAO9" s="2235"/>
      <c r="MAP9" s="2235"/>
      <c r="MAQ9" s="2235"/>
      <c r="MAR9" s="2235"/>
      <c r="MAS9" s="2235"/>
      <c r="MAT9" s="2235"/>
      <c r="MAU9" s="2235"/>
      <c r="MAV9" s="2235"/>
      <c r="MAW9" s="2235"/>
      <c r="MAX9" s="2235"/>
      <c r="MAY9" s="2235"/>
      <c r="MAZ9" s="2235"/>
      <c r="MBA9" s="2235"/>
      <c r="MBB9" s="2235"/>
      <c r="MBC9" s="2235"/>
      <c r="MBD9" s="2235"/>
      <c r="MBE9" s="2235"/>
      <c r="MBF9" s="2235"/>
      <c r="MBG9" s="2235"/>
      <c r="MBH9" s="2235"/>
      <c r="MBI9" s="2235"/>
      <c r="MBJ9" s="2235"/>
      <c r="MBK9" s="2235"/>
      <c r="MBL9" s="2235"/>
      <c r="MBM9" s="2235"/>
      <c r="MBN9" s="2235"/>
      <c r="MBO9" s="2235"/>
      <c r="MBP9" s="2235"/>
      <c r="MBQ9" s="2235"/>
      <c r="MBR9" s="2235"/>
      <c r="MBS9" s="2235"/>
      <c r="MBT9" s="2235"/>
      <c r="MBU9" s="2235"/>
      <c r="MBV9" s="2235"/>
      <c r="MBW9" s="2235"/>
      <c r="MBX9" s="2235"/>
      <c r="MBY9" s="2235"/>
      <c r="MBZ9" s="2235"/>
      <c r="MCA9" s="2235"/>
      <c r="MCB9" s="2235"/>
      <c r="MCC9" s="2235"/>
      <c r="MCD9" s="2235"/>
      <c r="MCE9" s="2235"/>
      <c r="MCF9" s="2235"/>
      <c r="MCG9" s="2235"/>
      <c r="MCH9" s="2235"/>
      <c r="MCI9" s="2235"/>
      <c r="MCJ9" s="2235"/>
      <c r="MCK9" s="2235"/>
      <c r="MCL9" s="2235"/>
      <c r="MCM9" s="2235"/>
      <c r="MCN9" s="2235"/>
      <c r="MCO9" s="2235"/>
      <c r="MCP9" s="2235"/>
      <c r="MCQ9" s="2235"/>
      <c r="MCR9" s="2235"/>
      <c r="MCS9" s="2235"/>
      <c r="MCT9" s="2235"/>
      <c r="MCU9" s="2235"/>
      <c r="MCV9" s="2235"/>
      <c r="MCW9" s="2235"/>
      <c r="MCX9" s="2235"/>
      <c r="MCY9" s="2235"/>
      <c r="MCZ9" s="2235"/>
      <c r="MDA9" s="2235"/>
      <c r="MDB9" s="2235"/>
      <c r="MDC9" s="2235"/>
      <c r="MDD9" s="2235"/>
      <c r="MDE9" s="2235"/>
      <c r="MDF9" s="2235"/>
      <c r="MDG9" s="2235"/>
      <c r="MDH9" s="2235"/>
      <c r="MDI9" s="2235"/>
      <c r="MDJ9" s="2235"/>
      <c r="MDK9" s="2235"/>
      <c r="MDL9" s="2235"/>
      <c r="MDM9" s="2235"/>
      <c r="MDN9" s="2235"/>
      <c r="MDO9" s="2235"/>
      <c r="MDP9" s="2235"/>
      <c r="MDQ9" s="2235"/>
      <c r="MDR9" s="2235"/>
      <c r="MDS9" s="2235"/>
      <c r="MDT9" s="2235"/>
      <c r="MDU9" s="2235"/>
      <c r="MDV9" s="2235"/>
      <c r="MDW9" s="2235"/>
      <c r="MDX9" s="2235"/>
      <c r="MDY9" s="2235"/>
      <c r="MDZ9" s="2235"/>
      <c r="MEA9" s="2235"/>
      <c r="MEB9" s="2235"/>
      <c r="MEC9" s="2235"/>
      <c r="MED9" s="2235"/>
      <c r="MEE9" s="2235"/>
      <c r="MEF9" s="2235"/>
      <c r="MEG9" s="2235"/>
      <c r="MEH9" s="2235"/>
      <c r="MEI9" s="2235"/>
      <c r="MEJ9" s="2235"/>
      <c r="MEK9" s="2235"/>
      <c r="MEL9" s="2235"/>
      <c r="MEM9" s="2235"/>
      <c r="MEN9" s="2235"/>
      <c r="MEO9" s="2235"/>
      <c r="MEP9" s="2235"/>
      <c r="MEQ9" s="2235"/>
      <c r="MER9" s="2235"/>
      <c r="MES9" s="2235"/>
      <c r="MET9" s="2235"/>
      <c r="MEU9" s="2235"/>
      <c r="MEV9" s="2235"/>
      <c r="MEW9" s="2235"/>
      <c r="MEX9" s="2235"/>
      <c r="MEY9" s="2235"/>
      <c r="MEZ9" s="2235"/>
      <c r="MFA9" s="2235"/>
      <c r="MFB9" s="2235"/>
      <c r="MFC9" s="2235"/>
      <c r="MFD9" s="2235"/>
      <c r="MFE9" s="2235"/>
      <c r="MFF9" s="2235"/>
      <c r="MFG9" s="2235"/>
      <c r="MFH9" s="2235"/>
      <c r="MFI9" s="2235"/>
      <c r="MFJ9" s="2235"/>
      <c r="MFK9" s="2235"/>
      <c r="MFL9" s="2235"/>
      <c r="MFM9" s="2235"/>
      <c r="MFN9" s="2235"/>
      <c r="MFO9" s="2235"/>
      <c r="MFP9" s="2235"/>
      <c r="MFQ9" s="2235"/>
      <c r="MFR9" s="2235"/>
      <c r="MFS9" s="2235"/>
      <c r="MFT9" s="2235"/>
      <c r="MFU9" s="2235"/>
      <c r="MFV9" s="2235"/>
      <c r="MFW9" s="2235"/>
      <c r="MFX9" s="2235"/>
      <c r="MFY9" s="2235"/>
      <c r="MFZ9" s="2235"/>
      <c r="MGA9" s="2235"/>
      <c r="MGB9" s="2235"/>
      <c r="MGC9" s="2235"/>
      <c r="MGD9" s="2235"/>
      <c r="MGE9" s="2235"/>
      <c r="MGF9" s="2235"/>
      <c r="MGG9" s="2235"/>
      <c r="MGH9" s="2235"/>
      <c r="MGI9" s="2235"/>
      <c r="MGJ9" s="2235"/>
      <c r="MGK9" s="2235"/>
      <c r="MGL9" s="2235"/>
      <c r="MGM9" s="2235"/>
      <c r="MGN9" s="2235"/>
      <c r="MGO9" s="2235"/>
      <c r="MGP9" s="2235"/>
      <c r="MGQ9" s="2235"/>
      <c r="MGR9" s="2235"/>
      <c r="MGS9" s="2235"/>
      <c r="MGT9" s="2235"/>
      <c r="MGU9" s="2235"/>
      <c r="MGV9" s="2235"/>
      <c r="MGW9" s="2235"/>
      <c r="MGX9" s="2235"/>
      <c r="MGY9" s="2235"/>
      <c r="MGZ9" s="2235"/>
      <c r="MHA9" s="2235"/>
      <c r="MHB9" s="2235"/>
      <c r="MHC9" s="2235"/>
      <c r="MHD9" s="2235"/>
      <c r="MHE9" s="2235"/>
      <c r="MHF9" s="2235"/>
      <c r="MHG9" s="2235"/>
      <c r="MHH9" s="2235"/>
      <c r="MHI9" s="2235"/>
      <c r="MHJ9" s="2235"/>
      <c r="MHK9" s="2235"/>
      <c r="MHL9" s="2235"/>
      <c r="MHM9" s="2235"/>
      <c r="MHN9" s="2235"/>
      <c r="MHO9" s="2235"/>
      <c r="MHP9" s="2235"/>
      <c r="MHQ9" s="2235"/>
      <c r="MHR9" s="2235"/>
      <c r="MHS9" s="2235"/>
      <c r="MHT9" s="2235"/>
      <c r="MHU9" s="2235"/>
      <c r="MHV9" s="2235"/>
      <c r="MHW9" s="2235"/>
      <c r="MHX9" s="2235"/>
      <c r="MHY9" s="2235"/>
      <c r="MHZ9" s="2235"/>
      <c r="MIA9" s="2235"/>
      <c r="MIB9" s="2235"/>
      <c r="MIC9" s="2235"/>
      <c r="MID9" s="2235"/>
      <c r="MIE9" s="2235"/>
      <c r="MIF9" s="2235"/>
      <c r="MIG9" s="2235"/>
      <c r="MIH9" s="2235"/>
      <c r="MII9" s="2235"/>
      <c r="MIJ9" s="2235"/>
      <c r="MIK9" s="2235"/>
      <c r="MIL9" s="2235"/>
      <c r="MIM9" s="2235"/>
      <c r="MIN9" s="2235"/>
      <c r="MIO9" s="2235"/>
      <c r="MIP9" s="2235"/>
      <c r="MIQ9" s="2235"/>
      <c r="MIR9" s="2235"/>
      <c r="MIS9" s="2235"/>
      <c r="MIT9" s="2235"/>
      <c r="MIU9" s="2235"/>
      <c r="MIV9" s="2235"/>
      <c r="MIW9" s="2235"/>
      <c r="MIX9" s="2235"/>
      <c r="MIY9" s="2235"/>
      <c r="MIZ9" s="2235"/>
      <c r="MJA9" s="2235"/>
      <c r="MJB9" s="2235"/>
      <c r="MJC9" s="2235"/>
      <c r="MJD9" s="2235"/>
      <c r="MJE9" s="2235"/>
      <c r="MJF9" s="2235"/>
      <c r="MJG9" s="2235"/>
      <c r="MJH9" s="2235"/>
      <c r="MJI9" s="2235"/>
      <c r="MJJ9" s="2235"/>
      <c r="MJK9" s="2235"/>
      <c r="MJL9" s="2235"/>
      <c r="MJM9" s="2235"/>
      <c r="MJN9" s="2235"/>
      <c r="MJO9" s="2235"/>
      <c r="MJP9" s="2235"/>
      <c r="MJQ9" s="2235"/>
      <c r="MJR9" s="2235"/>
      <c r="MJS9" s="2235"/>
      <c r="MJT9" s="2235"/>
      <c r="MJU9" s="2235"/>
      <c r="MJV9" s="2235"/>
      <c r="MJW9" s="2235"/>
      <c r="MJX9" s="2235"/>
      <c r="MJY9" s="2235"/>
      <c r="MJZ9" s="2235"/>
      <c r="MKA9" s="2235"/>
      <c r="MKB9" s="2235"/>
      <c r="MKC9" s="2235"/>
      <c r="MKD9" s="2235"/>
      <c r="MKE9" s="2235"/>
      <c r="MKF9" s="2235"/>
      <c r="MKG9" s="2235"/>
      <c r="MKH9" s="2235"/>
      <c r="MKI9" s="2235"/>
      <c r="MKJ9" s="2235"/>
      <c r="MKK9" s="2235"/>
      <c r="MKL9" s="2235"/>
      <c r="MKM9" s="2235"/>
      <c r="MKN9" s="2235"/>
      <c r="MKO9" s="2235"/>
      <c r="MKP9" s="2235"/>
      <c r="MKQ9" s="2235"/>
      <c r="MKR9" s="2235"/>
      <c r="MKS9" s="2235"/>
      <c r="MKT9" s="2235"/>
      <c r="MKU9" s="2235"/>
      <c r="MKV9" s="2235"/>
      <c r="MKW9" s="2235"/>
      <c r="MKX9" s="2235"/>
      <c r="MKY9" s="2235"/>
      <c r="MKZ9" s="2235"/>
      <c r="MLA9" s="2235"/>
      <c r="MLB9" s="2235"/>
      <c r="MLC9" s="2235"/>
      <c r="MLD9" s="2235"/>
      <c r="MLE9" s="2235"/>
      <c r="MLF9" s="2235"/>
      <c r="MLG9" s="2235"/>
      <c r="MLH9" s="2235"/>
      <c r="MLI9" s="2235"/>
      <c r="MLJ9" s="2235"/>
      <c r="MLK9" s="2235"/>
      <c r="MLL9" s="2235"/>
      <c r="MLM9" s="2235"/>
      <c r="MLN9" s="2235"/>
      <c r="MLO9" s="2235"/>
      <c r="MLP9" s="2235"/>
      <c r="MLQ9" s="2235"/>
      <c r="MLR9" s="2235"/>
      <c r="MLS9" s="2235"/>
      <c r="MLT9" s="2235"/>
      <c r="MLU9" s="2235"/>
      <c r="MLV9" s="2235"/>
      <c r="MLW9" s="2235"/>
      <c r="MLX9" s="2235"/>
      <c r="MLY9" s="2235"/>
      <c r="MLZ9" s="2235"/>
      <c r="MMA9" s="2235"/>
      <c r="MMB9" s="2235"/>
      <c r="MMC9" s="2235"/>
      <c r="MMD9" s="2235"/>
      <c r="MME9" s="2235"/>
      <c r="MMF9" s="2235"/>
      <c r="MMG9" s="2235"/>
      <c r="MMH9" s="2235"/>
      <c r="MMI9" s="2235"/>
      <c r="MMJ9" s="2235"/>
      <c r="MMK9" s="2235"/>
      <c r="MML9" s="2235"/>
      <c r="MMM9" s="2235"/>
      <c r="MMN9" s="2235"/>
      <c r="MMO9" s="2235"/>
      <c r="MMP9" s="2235"/>
      <c r="MMQ9" s="2235"/>
      <c r="MMR9" s="2235"/>
      <c r="MMS9" s="2235"/>
      <c r="MMT9" s="2235"/>
      <c r="MMU9" s="2235"/>
      <c r="MMV9" s="2235"/>
      <c r="MMW9" s="2235"/>
      <c r="MMX9" s="2235"/>
      <c r="MMY9" s="2235"/>
      <c r="MMZ9" s="2235"/>
      <c r="MNA9" s="2235"/>
      <c r="MNB9" s="2235"/>
      <c r="MNC9" s="2235"/>
      <c r="MND9" s="2235"/>
      <c r="MNE9" s="2235"/>
      <c r="MNF9" s="2235"/>
      <c r="MNG9" s="2235"/>
      <c r="MNH9" s="2235"/>
      <c r="MNI9" s="2235"/>
      <c r="MNJ9" s="2235"/>
      <c r="MNK9" s="2235"/>
      <c r="MNL9" s="2235"/>
      <c r="MNM9" s="2235"/>
      <c r="MNN9" s="2235"/>
      <c r="MNO9" s="2235"/>
      <c r="MNP9" s="2235"/>
      <c r="MNQ9" s="2235"/>
      <c r="MNR9" s="2235"/>
      <c r="MNS9" s="2235"/>
      <c r="MNT9" s="2235"/>
      <c r="MNU9" s="2235"/>
      <c r="MNV9" s="2235"/>
      <c r="MNW9" s="2235"/>
      <c r="MNX9" s="2235"/>
      <c r="MNY9" s="2235"/>
      <c r="MNZ9" s="2235"/>
      <c r="MOA9" s="2235"/>
      <c r="MOB9" s="2235"/>
      <c r="MOC9" s="2235"/>
      <c r="MOD9" s="2235"/>
      <c r="MOE9" s="2235"/>
      <c r="MOF9" s="2235"/>
      <c r="MOG9" s="2235"/>
      <c r="MOH9" s="2235"/>
      <c r="MOI9" s="2235"/>
      <c r="MOJ9" s="2235"/>
      <c r="MOK9" s="2235"/>
      <c r="MOL9" s="2235"/>
      <c r="MOM9" s="2235"/>
      <c r="MON9" s="2235"/>
      <c r="MOO9" s="2235"/>
      <c r="MOP9" s="2235"/>
      <c r="MOQ9" s="2235"/>
      <c r="MOR9" s="2235"/>
      <c r="MOS9" s="2235"/>
      <c r="MOT9" s="2235"/>
      <c r="MOU9" s="2235"/>
      <c r="MOV9" s="2235"/>
      <c r="MOW9" s="2235"/>
      <c r="MOX9" s="2235"/>
      <c r="MOY9" s="2235"/>
      <c r="MOZ9" s="2235"/>
      <c r="MPA9" s="2235"/>
      <c r="MPB9" s="2235"/>
      <c r="MPC9" s="2235"/>
      <c r="MPD9" s="2235"/>
      <c r="MPE9" s="2235"/>
      <c r="MPF9" s="2235"/>
      <c r="MPG9" s="2235"/>
      <c r="MPH9" s="2235"/>
      <c r="MPI9" s="2235"/>
      <c r="MPJ9" s="2235"/>
      <c r="MPK9" s="2235"/>
      <c r="MPL9" s="2235"/>
      <c r="MPM9" s="2235"/>
      <c r="MPN9" s="2235"/>
      <c r="MPO9" s="2235"/>
      <c r="MPP9" s="2235"/>
      <c r="MPQ9" s="2235"/>
      <c r="MPR9" s="2235"/>
      <c r="MPS9" s="2235"/>
      <c r="MPT9" s="2235"/>
      <c r="MPU9" s="2235"/>
      <c r="MPV9" s="2235"/>
      <c r="MPW9" s="2235"/>
      <c r="MPX9" s="2235"/>
      <c r="MPY9" s="2235"/>
      <c r="MPZ9" s="2235"/>
      <c r="MQA9" s="2235"/>
      <c r="MQB9" s="2235"/>
      <c r="MQC9" s="2235"/>
      <c r="MQD9" s="2235"/>
      <c r="MQE9" s="2235"/>
      <c r="MQF9" s="2235"/>
      <c r="MQG9" s="2235"/>
      <c r="MQH9" s="2235"/>
      <c r="MQI9" s="2235"/>
      <c r="MQJ9" s="2235"/>
      <c r="MQK9" s="2235"/>
      <c r="MQL9" s="2235"/>
      <c r="MQM9" s="2235"/>
      <c r="MQN9" s="2235"/>
      <c r="MQO9" s="2235"/>
      <c r="MQP9" s="2235"/>
      <c r="MQQ9" s="2235"/>
      <c r="MQR9" s="2235"/>
      <c r="MQS9" s="2235"/>
      <c r="MQT9" s="2235"/>
      <c r="MQU9" s="2235"/>
      <c r="MQV9" s="2235"/>
      <c r="MQW9" s="2235"/>
      <c r="MQX9" s="2235"/>
      <c r="MQY9" s="2235"/>
      <c r="MQZ9" s="2235"/>
      <c r="MRA9" s="2235"/>
      <c r="MRB9" s="2235"/>
      <c r="MRC9" s="2235"/>
      <c r="MRD9" s="2235"/>
      <c r="MRE9" s="2235"/>
      <c r="MRF9" s="2235"/>
      <c r="MRG9" s="2235"/>
      <c r="MRH9" s="2235"/>
      <c r="MRI9" s="2235"/>
      <c r="MRJ9" s="2235"/>
      <c r="MRK9" s="2235"/>
      <c r="MRL9" s="2235"/>
      <c r="MRM9" s="2235"/>
      <c r="MRN9" s="2235"/>
      <c r="MRO9" s="2235"/>
      <c r="MRP9" s="2235"/>
      <c r="MRQ9" s="2235"/>
      <c r="MRR9" s="2235"/>
      <c r="MRS9" s="2235"/>
      <c r="MRT9" s="2235"/>
      <c r="MRU9" s="2235"/>
      <c r="MRV9" s="2235"/>
      <c r="MRW9" s="2235"/>
      <c r="MRX9" s="2235"/>
      <c r="MRY9" s="2235"/>
      <c r="MRZ9" s="2235"/>
      <c r="MSA9" s="2235"/>
      <c r="MSB9" s="2235"/>
      <c r="MSC9" s="2235"/>
      <c r="MSD9" s="2235"/>
      <c r="MSE9" s="2235"/>
      <c r="MSF9" s="2235"/>
      <c r="MSG9" s="2235"/>
      <c r="MSH9" s="2235"/>
      <c r="MSI9" s="2235"/>
      <c r="MSJ9" s="2235"/>
      <c r="MSK9" s="2235"/>
      <c r="MSL9" s="2235"/>
      <c r="MSM9" s="2235"/>
      <c r="MSN9" s="2235"/>
      <c r="MSO9" s="2235"/>
      <c r="MSP9" s="2235"/>
      <c r="MSQ9" s="2235"/>
      <c r="MSR9" s="2235"/>
      <c r="MSS9" s="2235"/>
      <c r="MST9" s="2235"/>
      <c r="MSU9" s="2235"/>
      <c r="MSV9" s="2235"/>
      <c r="MSW9" s="2235"/>
      <c r="MSX9" s="2235"/>
      <c r="MSY9" s="2235"/>
      <c r="MSZ9" s="2235"/>
      <c r="MTA9" s="2235"/>
      <c r="MTB9" s="2235"/>
      <c r="MTC9" s="2235"/>
      <c r="MTD9" s="2235"/>
      <c r="MTE9" s="2235"/>
      <c r="MTF9" s="2235"/>
      <c r="MTG9" s="2235"/>
      <c r="MTH9" s="2235"/>
      <c r="MTI9" s="2235"/>
      <c r="MTJ9" s="2235"/>
      <c r="MTK9" s="2235"/>
      <c r="MTL9" s="2235"/>
      <c r="MTM9" s="2235"/>
      <c r="MTN9" s="2235"/>
      <c r="MTO9" s="2235"/>
      <c r="MTP9" s="2235"/>
      <c r="MTQ9" s="2235"/>
      <c r="MTR9" s="2235"/>
      <c r="MTS9" s="2235"/>
      <c r="MTT9" s="2235"/>
      <c r="MTU9" s="2235"/>
      <c r="MTV9" s="2235"/>
      <c r="MTW9" s="2235"/>
      <c r="MTX9" s="2235"/>
      <c r="MTY9" s="2235"/>
      <c r="MTZ9" s="2235"/>
      <c r="MUA9" s="2235"/>
      <c r="MUB9" s="2235"/>
      <c r="MUC9" s="2235"/>
      <c r="MUD9" s="2235"/>
      <c r="MUE9" s="2235"/>
      <c r="MUF9" s="2235"/>
      <c r="MUG9" s="2235"/>
      <c r="MUH9" s="2235"/>
      <c r="MUI9" s="2235"/>
      <c r="MUJ9" s="2235"/>
      <c r="MUK9" s="2235"/>
      <c r="MUL9" s="2235"/>
      <c r="MUM9" s="2235"/>
      <c r="MUN9" s="2235"/>
      <c r="MUO9" s="2235"/>
      <c r="MUP9" s="2235"/>
      <c r="MUQ9" s="2235"/>
      <c r="MUR9" s="2235"/>
      <c r="MUS9" s="2235"/>
      <c r="MUT9" s="2235"/>
      <c r="MUU9" s="2235"/>
      <c r="MUV9" s="2235"/>
      <c r="MUW9" s="2235"/>
      <c r="MUX9" s="2235"/>
      <c r="MUY9" s="2235"/>
      <c r="MUZ9" s="2235"/>
      <c r="MVA9" s="2235"/>
      <c r="MVB9" s="2235"/>
      <c r="MVC9" s="2235"/>
      <c r="MVD9" s="2235"/>
      <c r="MVE9" s="2235"/>
      <c r="MVF9" s="2235"/>
      <c r="MVG9" s="2235"/>
      <c r="MVH9" s="2235"/>
      <c r="MVI9" s="2235"/>
      <c r="MVJ9" s="2235"/>
      <c r="MVK9" s="2235"/>
      <c r="MVL9" s="2235"/>
      <c r="MVM9" s="2235"/>
      <c r="MVN9" s="2235"/>
      <c r="MVO9" s="2235"/>
      <c r="MVP9" s="2235"/>
      <c r="MVQ9" s="2235"/>
      <c r="MVR9" s="2235"/>
      <c r="MVS9" s="2235"/>
      <c r="MVT9" s="2235"/>
      <c r="MVU9" s="2235"/>
      <c r="MVV9" s="2235"/>
      <c r="MVW9" s="2235"/>
      <c r="MVX9" s="2235"/>
      <c r="MVY9" s="2235"/>
      <c r="MVZ9" s="2235"/>
      <c r="MWA9" s="2235"/>
      <c r="MWB9" s="2235"/>
      <c r="MWC9" s="2235"/>
      <c r="MWD9" s="2235"/>
      <c r="MWE9" s="2235"/>
      <c r="MWF9" s="2235"/>
      <c r="MWG9" s="2235"/>
      <c r="MWH9" s="2235"/>
      <c r="MWI9" s="2235"/>
      <c r="MWJ9" s="2235"/>
      <c r="MWK9" s="2235"/>
      <c r="MWL9" s="2235"/>
      <c r="MWM9" s="2235"/>
      <c r="MWN9" s="2235"/>
      <c r="MWO9" s="2235"/>
      <c r="MWP9" s="2235"/>
      <c r="MWQ9" s="2235"/>
      <c r="MWR9" s="2235"/>
      <c r="MWS9" s="2235"/>
      <c r="MWT9" s="2235"/>
      <c r="MWU9" s="2235"/>
      <c r="MWV9" s="2235"/>
      <c r="MWW9" s="2235"/>
      <c r="MWX9" s="2235"/>
      <c r="MWY9" s="2235"/>
      <c r="MWZ9" s="2235"/>
      <c r="MXA9" s="2235"/>
      <c r="MXB9" s="2235"/>
      <c r="MXC9" s="2235"/>
      <c r="MXD9" s="2235"/>
      <c r="MXE9" s="2235"/>
      <c r="MXF9" s="2235"/>
      <c r="MXG9" s="2235"/>
      <c r="MXH9" s="2235"/>
      <c r="MXI9" s="2235"/>
      <c r="MXJ9" s="2235"/>
      <c r="MXK9" s="2235"/>
      <c r="MXL9" s="2235"/>
      <c r="MXM9" s="2235"/>
      <c r="MXN9" s="2235"/>
      <c r="MXO9" s="2235"/>
      <c r="MXP9" s="2235"/>
      <c r="MXQ9" s="2235"/>
      <c r="MXR9" s="2235"/>
      <c r="MXS9" s="2235"/>
      <c r="MXT9" s="2235"/>
      <c r="MXU9" s="2235"/>
      <c r="MXV9" s="2235"/>
      <c r="MXW9" s="2235"/>
      <c r="MXX9" s="2235"/>
      <c r="MXY9" s="2235"/>
      <c r="MXZ9" s="2235"/>
      <c r="MYA9" s="2235"/>
      <c r="MYB9" s="2235"/>
      <c r="MYC9" s="2235"/>
      <c r="MYD9" s="2235"/>
      <c r="MYE9" s="2235"/>
      <c r="MYF9" s="2235"/>
      <c r="MYG9" s="2235"/>
      <c r="MYH9" s="2235"/>
      <c r="MYI9" s="2235"/>
      <c r="MYJ9" s="2235"/>
      <c r="MYK9" s="2235"/>
      <c r="MYL9" s="2235"/>
      <c r="MYM9" s="2235"/>
      <c r="MYN9" s="2235"/>
      <c r="MYO9" s="2235"/>
      <c r="MYP9" s="2235"/>
      <c r="MYQ9" s="2235"/>
      <c r="MYR9" s="2235"/>
      <c r="MYS9" s="2235"/>
      <c r="MYT9" s="2235"/>
      <c r="MYU9" s="2235"/>
      <c r="MYV9" s="2235"/>
      <c r="MYW9" s="2235"/>
      <c r="MYX9" s="2235"/>
      <c r="MYY9" s="2235"/>
      <c r="MYZ9" s="2235"/>
      <c r="MZA9" s="2235"/>
      <c r="MZB9" s="2235"/>
      <c r="MZC9" s="2235"/>
      <c r="MZD9" s="2235"/>
      <c r="MZE9" s="2235"/>
      <c r="MZF9" s="2235"/>
      <c r="MZG9" s="2235"/>
      <c r="MZH9" s="2235"/>
      <c r="MZI9" s="2235"/>
      <c r="MZJ9" s="2235"/>
      <c r="MZK9" s="2235"/>
      <c r="MZL9" s="2235"/>
      <c r="MZM9" s="2235"/>
      <c r="MZN9" s="2235"/>
      <c r="MZO9" s="2235"/>
      <c r="MZP9" s="2235"/>
      <c r="MZQ9" s="2235"/>
      <c r="MZR9" s="2235"/>
      <c r="MZS9" s="2235"/>
      <c r="MZT9" s="2235"/>
      <c r="MZU9" s="2235"/>
      <c r="MZV9" s="2235"/>
      <c r="MZW9" s="2235"/>
      <c r="MZX9" s="2235"/>
      <c r="MZY9" s="2235"/>
      <c r="MZZ9" s="2235"/>
      <c r="NAA9" s="2235"/>
      <c r="NAB9" s="2235"/>
      <c r="NAC9" s="2235"/>
      <c r="NAD9" s="2235"/>
      <c r="NAE9" s="2235"/>
      <c r="NAF9" s="2235"/>
      <c r="NAG9" s="2235"/>
      <c r="NAH9" s="2235"/>
      <c r="NAI9" s="2235"/>
      <c r="NAJ9" s="2235"/>
      <c r="NAK9" s="2235"/>
      <c r="NAL9" s="2235"/>
      <c r="NAM9" s="2235"/>
      <c r="NAN9" s="2235"/>
      <c r="NAO9" s="2235"/>
      <c r="NAP9" s="2235"/>
      <c r="NAQ9" s="2235"/>
      <c r="NAR9" s="2235"/>
      <c r="NAS9" s="2235"/>
      <c r="NAT9" s="2235"/>
      <c r="NAU9" s="2235"/>
      <c r="NAV9" s="2235"/>
      <c r="NAW9" s="2235"/>
      <c r="NAX9" s="2235"/>
      <c r="NAY9" s="2235"/>
      <c r="NAZ9" s="2235"/>
      <c r="NBA9" s="2235"/>
      <c r="NBB9" s="2235"/>
      <c r="NBC9" s="2235"/>
      <c r="NBD9" s="2235"/>
      <c r="NBE9" s="2235"/>
      <c r="NBF9" s="2235"/>
      <c r="NBG9" s="2235"/>
      <c r="NBH9" s="2235"/>
      <c r="NBI9" s="2235"/>
      <c r="NBJ9" s="2235"/>
      <c r="NBK9" s="2235"/>
      <c r="NBL9" s="2235"/>
      <c r="NBM9" s="2235"/>
      <c r="NBN9" s="2235"/>
      <c r="NBO9" s="2235"/>
      <c r="NBP9" s="2235"/>
      <c r="NBQ9" s="2235"/>
      <c r="NBR9" s="2235"/>
      <c r="NBS9" s="2235"/>
      <c r="NBT9" s="2235"/>
      <c r="NBU9" s="2235"/>
      <c r="NBV9" s="2235"/>
      <c r="NBW9" s="2235"/>
      <c r="NBX9" s="2235"/>
      <c r="NBY9" s="2235"/>
      <c r="NBZ9" s="2235"/>
      <c r="NCA9" s="2235"/>
      <c r="NCB9" s="2235"/>
      <c r="NCC9" s="2235"/>
      <c r="NCD9" s="2235"/>
      <c r="NCE9" s="2235"/>
      <c r="NCF9" s="2235"/>
      <c r="NCG9" s="2235"/>
      <c r="NCH9" s="2235"/>
      <c r="NCI9" s="2235"/>
      <c r="NCJ9" s="2235"/>
      <c r="NCK9" s="2235"/>
      <c r="NCL9" s="2235"/>
      <c r="NCM9" s="2235"/>
      <c r="NCN9" s="2235"/>
      <c r="NCO9" s="2235"/>
      <c r="NCP9" s="2235"/>
      <c r="NCQ9" s="2235"/>
      <c r="NCR9" s="2235"/>
      <c r="NCS9" s="2235"/>
      <c r="NCT9" s="2235"/>
      <c r="NCU9" s="2235"/>
      <c r="NCV9" s="2235"/>
      <c r="NCW9" s="2235"/>
      <c r="NCX9" s="2235"/>
      <c r="NCY9" s="2235"/>
      <c r="NCZ9" s="2235"/>
      <c r="NDA9" s="2235"/>
      <c r="NDB9" s="2235"/>
      <c r="NDC9" s="2235"/>
      <c r="NDD9" s="2235"/>
      <c r="NDE9" s="2235"/>
      <c r="NDF9" s="2235"/>
      <c r="NDG9" s="2235"/>
      <c r="NDH9" s="2235"/>
      <c r="NDI9" s="2235"/>
      <c r="NDJ9" s="2235"/>
      <c r="NDK9" s="2235"/>
      <c r="NDL9" s="2235"/>
      <c r="NDM9" s="2235"/>
      <c r="NDN9" s="2235"/>
      <c r="NDO9" s="2235"/>
      <c r="NDP9" s="2235"/>
      <c r="NDQ9" s="2235"/>
      <c r="NDR9" s="2235"/>
      <c r="NDS9" s="2235"/>
      <c r="NDT9" s="2235"/>
      <c r="NDU9" s="2235"/>
      <c r="NDV9" s="2235"/>
      <c r="NDW9" s="2235"/>
      <c r="NDX9" s="2235"/>
      <c r="NDY9" s="2235"/>
      <c r="NDZ9" s="2235"/>
      <c r="NEA9" s="2235"/>
      <c r="NEB9" s="2235"/>
      <c r="NEC9" s="2235"/>
      <c r="NED9" s="2235"/>
      <c r="NEE9" s="2235"/>
      <c r="NEF9" s="2235"/>
      <c r="NEG9" s="2235"/>
      <c r="NEH9" s="2235"/>
      <c r="NEI9" s="2235"/>
      <c r="NEJ9" s="2235"/>
      <c r="NEK9" s="2235"/>
      <c r="NEL9" s="2235"/>
      <c r="NEM9" s="2235"/>
      <c r="NEN9" s="2235"/>
      <c r="NEO9" s="2235"/>
      <c r="NEP9" s="2235"/>
      <c r="NEQ9" s="2235"/>
      <c r="NER9" s="2235"/>
      <c r="NES9" s="2235"/>
      <c r="NET9" s="2235"/>
      <c r="NEU9" s="2235"/>
      <c r="NEV9" s="2235"/>
      <c r="NEW9" s="2235"/>
      <c r="NEX9" s="2235"/>
      <c r="NEY9" s="2235"/>
      <c r="NEZ9" s="2235"/>
      <c r="NFA9" s="2235"/>
      <c r="NFB9" s="2235"/>
      <c r="NFC9" s="2235"/>
      <c r="NFD9" s="2235"/>
      <c r="NFE9" s="2235"/>
      <c r="NFF9" s="2235"/>
      <c r="NFG9" s="2235"/>
      <c r="NFH9" s="2235"/>
      <c r="NFI9" s="2235"/>
      <c r="NFJ9" s="2235"/>
      <c r="NFK9" s="2235"/>
      <c r="NFL9" s="2235"/>
      <c r="NFM9" s="2235"/>
      <c r="NFN9" s="2235"/>
      <c r="NFO9" s="2235"/>
      <c r="NFP9" s="2235"/>
      <c r="NFQ9" s="2235"/>
      <c r="NFR9" s="2235"/>
      <c r="NFS9" s="2235"/>
      <c r="NFT9" s="2235"/>
      <c r="NFU9" s="2235"/>
      <c r="NFV9" s="2235"/>
      <c r="NFW9" s="2235"/>
      <c r="NFX9" s="2235"/>
      <c r="NFY9" s="2235"/>
      <c r="NFZ9" s="2235"/>
      <c r="NGA9" s="2235"/>
      <c r="NGB9" s="2235"/>
      <c r="NGC9" s="2235"/>
      <c r="NGD9" s="2235"/>
      <c r="NGE9" s="2235"/>
      <c r="NGF9" s="2235"/>
      <c r="NGG9" s="2235"/>
      <c r="NGH9" s="2235"/>
      <c r="NGI9" s="2235"/>
      <c r="NGJ9" s="2235"/>
      <c r="NGK9" s="2235"/>
      <c r="NGL9" s="2235"/>
      <c r="NGM9" s="2235"/>
      <c r="NGN9" s="2235"/>
      <c r="NGO9" s="2235"/>
      <c r="NGP9" s="2235"/>
      <c r="NGQ9" s="2235"/>
      <c r="NGR9" s="2235"/>
      <c r="NGS9" s="2235"/>
      <c r="NGT9" s="2235"/>
      <c r="NGU9" s="2235"/>
      <c r="NGV9" s="2235"/>
      <c r="NGW9" s="2235"/>
      <c r="NGX9" s="2235"/>
      <c r="NGY9" s="2235"/>
      <c r="NGZ9" s="2235"/>
      <c r="NHA9" s="2235"/>
      <c r="NHB9" s="2235"/>
      <c r="NHC9" s="2235"/>
      <c r="NHD9" s="2235"/>
      <c r="NHE9" s="2235"/>
      <c r="NHF9" s="2235"/>
      <c r="NHG9" s="2235"/>
      <c r="NHH9" s="2235"/>
      <c r="NHI9" s="2235"/>
      <c r="NHJ9" s="2235"/>
      <c r="NHK9" s="2235"/>
      <c r="NHL9" s="2235"/>
      <c r="NHM9" s="2235"/>
      <c r="NHN9" s="2235"/>
      <c r="NHO9" s="2235"/>
      <c r="NHP9" s="2235"/>
      <c r="NHQ9" s="2235"/>
      <c r="NHR9" s="2235"/>
      <c r="NHS9" s="2235"/>
      <c r="NHT9" s="2235"/>
      <c r="NHU9" s="2235"/>
      <c r="NHV9" s="2235"/>
      <c r="NHW9" s="2235"/>
      <c r="NHX9" s="2235"/>
      <c r="NHY9" s="2235"/>
      <c r="NHZ9" s="2235"/>
      <c r="NIA9" s="2235"/>
      <c r="NIB9" s="2235"/>
      <c r="NIC9" s="2235"/>
      <c r="NID9" s="2235"/>
      <c r="NIE9" s="2235"/>
      <c r="NIF9" s="2235"/>
      <c r="NIG9" s="2235"/>
      <c r="NIH9" s="2235"/>
      <c r="NII9" s="2235"/>
      <c r="NIJ9" s="2235"/>
      <c r="NIK9" s="2235"/>
      <c r="NIL9" s="2235"/>
      <c r="NIM9" s="2235"/>
      <c r="NIN9" s="2235"/>
      <c r="NIO9" s="2235"/>
      <c r="NIP9" s="2235"/>
      <c r="NIQ9" s="2235"/>
      <c r="NIR9" s="2235"/>
      <c r="NIS9" s="2235"/>
      <c r="NIT9" s="2235"/>
      <c r="NIU9" s="2235"/>
      <c r="NIV9" s="2235"/>
      <c r="NIW9" s="2235"/>
      <c r="NIX9" s="2235"/>
      <c r="NIY9" s="2235"/>
      <c r="NIZ9" s="2235"/>
      <c r="NJA9" s="2235"/>
      <c r="NJB9" s="2235"/>
      <c r="NJC9" s="2235"/>
      <c r="NJD9" s="2235"/>
      <c r="NJE9" s="2235"/>
      <c r="NJF9" s="2235"/>
      <c r="NJG9" s="2235"/>
      <c r="NJH9" s="2235"/>
      <c r="NJI9" s="2235"/>
      <c r="NJJ9" s="2235"/>
      <c r="NJK9" s="2235"/>
      <c r="NJL9" s="2235"/>
      <c r="NJM9" s="2235"/>
      <c r="NJN9" s="2235"/>
      <c r="NJO9" s="2235"/>
      <c r="NJP9" s="2235"/>
      <c r="NJQ9" s="2235"/>
      <c r="NJR9" s="2235"/>
      <c r="NJS9" s="2235"/>
      <c r="NJT9" s="2235"/>
      <c r="NJU9" s="2235"/>
      <c r="NJV9" s="2235"/>
      <c r="NJW9" s="2235"/>
      <c r="NJX9" s="2235"/>
      <c r="NJY9" s="2235"/>
      <c r="NJZ9" s="2235"/>
      <c r="NKA9" s="2235"/>
      <c r="NKB9" s="2235"/>
      <c r="NKC9" s="2235"/>
      <c r="NKD9" s="2235"/>
      <c r="NKE9" s="2235"/>
      <c r="NKF9" s="2235"/>
      <c r="NKG9" s="2235"/>
      <c r="NKH9" s="2235"/>
      <c r="NKI9" s="2235"/>
      <c r="NKJ9" s="2235"/>
      <c r="NKK9" s="2235"/>
      <c r="NKL9" s="2235"/>
      <c r="NKM9" s="2235"/>
      <c r="NKN9" s="2235"/>
      <c r="NKO9" s="2235"/>
      <c r="NKP9" s="2235"/>
      <c r="NKQ9" s="2235"/>
      <c r="NKR9" s="2235"/>
      <c r="NKS9" s="2235"/>
      <c r="NKT9" s="2235"/>
      <c r="NKU9" s="2235"/>
      <c r="NKV9" s="2235"/>
      <c r="NKW9" s="2235"/>
      <c r="NKX9" s="2235"/>
      <c r="NKY9" s="2235"/>
      <c r="NKZ9" s="2235"/>
      <c r="NLA9" s="2235"/>
      <c r="NLB9" s="2235"/>
      <c r="NLC9" s="2235"/>
      <c r="NLD9" s="2235"/>
      <c r="NLE9" s="2235"/>
      <c r="NLF9" s="2235"/>
      <c r="NLG9" s="2235"/>
      <c r="NLH9" s="2235"/>
      <c r="NLI9" s="2235"/>
      <c r="NLJ9" s="2235"/>
      <c r="NLK9" s="2235"/>
      <c r="NLL9" s="2235"/>
      <c r="NLM9" s="2235"/>
      <c r="NLN9" s="2235"/>
      <c r="NLO9" s="2235"/>
      <c r="NLP9" s="2235"/>
      <c r="NLQ9" s="2235"/>
      <c r="NLR9" s="2235"/>
      <c r="NLS9" s="2235"/>
      <c r="NLT9" s="2235"/>
      <c r="NLU9" s="2235"/>
      <c r="NLV9" s="2235"/>
      <c r="NLW9" s="2235"/>
      <c r="NLX9" s="2235"/>
      <c r="NLY9" s="2235"/>
      <c r="NLZ9" s="2235"/>
      <c r="NMA9" s="2235"/>
      <c r="NMB9" s="2235"/>
      <c r="NMC9" s="2235"/>
      <c r="NMD9" s="2235"/>
      <c r="NME9" s="2235"/>
      <c r="NMF9" s="2235"/>
      <c r="NMG9" s="2235"/>
      <c r="NMH9" s="2235"/>
      <c r="NMI9" s="2235"/>
      <c r="NMJ9" s="2235"/>
      <c r="NMK9" s="2235"/>
      <c r="NML9" s="2235"/>
      <c r="NMM9" s="2235"/>
      <c r="NMN9" s="2235"/>
      <c r="NMO9" s="2235"/>
      <c r="NMP9" s="2235"/>
      <c r="NMQ9" s="2235"/>
      <c r="NMR9" s="2235"/>
      <c r="NMS9" s="2235"/>
      <c r="NMT9" s="2235"/>
      <c r="NMU9" s="2235"/>
      <c r="NMV9" s="2235"/>
      <c r="NMW9" s="2235"/>
      <c r="NMX9" s="2235"/>
      <c r="NMY9" s="2235"/>
      <c r="NMZ9" s="2235"/>
      <c r="NNA9" s="2235"/>
      <c r="NNB9" s="2235"/>
      <c r="NNC9" s="2235"/>
      <c r="NND9" s="2235"/>
      <c r="NNE9" s="2235"/>
      <c r="NNF9" s="2235"/>
      <c r="NNG9" s="2235"/>
      <c r="NNH9" s="2235"/>
      <c r="NNI9" s="2235"/>
      <c r="NNJ9" s="2235"/>
      <c r="NNK9" s="2235"/>
      <c r="NNL9" s="2235"/>
      <c r="NNM9" s="2235"/>
      <c r="NNN9" s="2235"/>
      <c r="NNO9" s="2235"/>
      <c r="NNP9" s="2235"/>
      <c r="NNQ9" s="2235"/>
      <c r="NNR9" s="2235"/>
      <c r="NNS9" s="2235"/>
      <c r="NNT9" s="2235"/>
      <c r="NNU9" s="2235"/>
      <c r="NNV9" s="2235"/>
      <c r="NNW9" s="2235"/>
      <c r="NNX9" s="2235"/>
      <c r="NNY9" s="2235"/>
      <c r="NNZ9" s="2235"/>
      <c r="NOA9" s="2235"/>
      <c r="NOB9" s="2235"/>
      <c r="NOC9" s="2235"/>
      <c r="NOD9" s="2235"/>
      <c r="NOE9" s="2235"/>
      <c r="NOF9" s="2235"/>
      <c r="NOG9" s="2235"/>
      <c r="NOH9" s="2235"/>
      <c r="NOI9" s="2235"/>
      <c r="NOJ9" s="2235"/>
      <c r="NOK9" s="2235"/>
      <c r="NOL9" s="2235"/>
      <c r="NOM9" s="2235"/>
      <c r="NON9" s="2235"/>
      <c r="NOO9" s="2235"/>
      <c r="NOP9" s="2235"/>
      <c r="NOQ9" s="2235"/>
      <c r="NOR9" s="2235"/>
      <c r="NOS9" s="2235"/>
      <c r="NOT9" s="2235"/>
      <c r="NOU9" s="2235"/>
      <c r="NOV9" s="2235"/>
      <c r="NOW9" s="2235"/>
      <c r="NOX9" s="2235"/>
      <c r="NOY9" s="2235"/>
      <c r="NOZ9" s="2235"/>
      <c r="NPA9" s="2235"/>
      <c r="NPB9" s="2235"/>
      <c r="NPC9" s="2235"/>
      <c r="NPD9" s="2235"/>
      <c r="NPE9" s="2235"/>
      <c r="NPF9" s="2235"/>
      <c r="NPG9" s="2235"/>
      <c r="NPH9" s="2235"/>
      <c r="NPI9" s="2235"/>
      <c r="NPJ9" s="2235"/>
      <c r="NPK9" s="2235"/>
      <c r="NPL9" s="2235"/>
      <c r="NPM9" s="2235"/>
      <c r="NPN9" s="2235"/>
      <c r="NPO9" s="2235"/>
      <c r="NPP9" s="2235"/>
      <c r="NPQ9" s="2235"/>
      <c r="NPR9" s="2235"/>
      <c r="NPS9" s="2235"/>
      <c r="NPT9" s="2235"/>
      <c r="NPU9" s="2235"/>
      <c r="NPV9" s="2235"/>
      <c r="NPW9" s="2235"/>
      <c r="NPX9" s="2235"/>
      <c r="NPY9" s="2235"/>
      <c r="NPZ9" s="2235"/>
      <c r="NQA9" s="2235"/>
      <c r="NQB9" s="2235"/>
      <c r="NQC9" s="2235"/>
      <c r="NQD9" s="2235"/>
      <c r="NQE9" s="2235"/>
      <c r="NQF9" s="2235"/>
      <c r="NQG9" s="2235"/>
      <c r="NQH9" s="2235"/>
      <c r="NQI9" s="2235"/>
      <c r="NQJ9" s="2235"/>
      <c r="NQK9" s="2235"/>
      <c r="NQL9" s="2235"/>
      <c r="NQM9" s="2235"/>
      <c r="NQN9" s="2235"/>
      <c r="NQO9" s="2235"/>
      <c r="NQP9" s="2235"/>
      <c r="NQQ9" s="2235"/>
      <c r="NQR9" s="2235"/>
      <c r="NQS9" s="2235"/>
      <c r="NQT9" s="2235"/>
      <c r="NQU9" s="2235"/>
      <c r="NQV9" s="2235"/>
      <c r="NQW9" s="2235"/>
      <c r="NQX9" s="2235"/>
      <c r="NQY9" s="2235"/>
      <c r="NQZ9" s="2235"/>
      <c r="NRA9" s="2235"/>
      <c r="NRB9" s="2235"/>
      <c r="NRC9" s="2235"/>
      <c r="NRD9" s="2235"/>
      <c r="NRE9" s="2235"/>
      <c r="NRF9" s="2235"/>
      <c r="NRG9" s="2235"/>
      <c r="NRH9" s="2235"/>
      <c r="NRI9" s="2235"/>
      <c r="NRJ9" s="2235"/>
      <c r="NRK9" s="2235"/>
      <c r="NRL9" s="2235"/>
      <c r="NRM9" s="2235"/>
      <c r="NRN9" s="2235"/>
      <c r="NRO9" s="2235"/>
      <c r="NRP9" s="2235"/>
      <c r="NRQ9" s="2235"/>
      <c r="NRR9" s="2235"/>
      <c r="NRS9" s="2235"/>
      <c r="NRT9" s="2235"/>
      <c r="NRU9" s="2235"/>
      <c r="NRV9" s="2235"/>
      <c r="NRW9" s="2235"/>
      <c r="NRX9" s="2235"/>
      <c r="NRY9" s="2235"/>
      <c r="NRZ9" s="2235"/>
      <c r="NSA9" s="2235"/>
      <c r="NSB9" s="2235"/>
      <c r="NSC9" s="2235"/>
      <c r="NSD9" s="2235"/>
      <c r="NSE9" s="2235"/>
      <c r="NSF9" s="2235"/>
      <c r="NSG9" s="2235"/>
      <c r="NSH9" s="2235"/>
      <c r="NSI9" s="2235"/>
      <c r="NSJ9" s="2235"/>
      <c r="NSK9" s="2235"/>
      <c r="NSL9" s="2235"/>
      <c r="NSM9" s="2235"/>
      <c r="NSN9" s="2235"/>
      <c r="NSO9" s="2235"/>
      <c r="NSP9" s="2235"/>
      <c r="NSQ9" s="2235"/>
      <c r="NSR9" s="2235"/>
      <c r="NSS9" s="2235"/>
      <c r="NST9" s="2235"/>
      <c r="NSU9" s="2235"/>
      <c r="NSV9" s="2235"/>
      <c r="NSW9" s="2235"/>
      <c r="NSX9" s="2235"/>
      <c r="NSY9" s="2235"/>
      <c r="NSZ9" s="2235"/>
      <c r="NTA9" s="2235"/>
      <c r="NTB9" s="2235"/>
      <c r="NTC9" s="2235"/>
      <c r="NTD9" s="2235"/>
      <c r="NTE9" s="2235"/>
      <c r="NTF9" s="2235"/>
      <c r="NTG9" s="2235"/>
      <c r="NTH9" s="2235"/>
      <c r="NTI9" s="2235"/>
      <c r="NTJ9" s="2235"/>
      <c r="NTK9" s="2235"/>
      <c r="NTL9" s="2235"/>
      <c r="NTM9" s="2235"/>
      <c r="NTN9" s="2235"/>
      <c r="NTO9" s="2235"/>
      <c r="NTP9" s="2235"/>
      <c r="NTQ9" s="2235"/>
      <c r="NTR9" s="2235"/>
      <c r="NTS9" s="2235"/>
      <c r="NTT9" s="2235"/>
      <c r="NTU9" s="2235"/>
      <c r="NTV9" s="2235"/>
      <c r="NTW9" s="2235"/>
      <c r="NTX9" s="2235"/>
      <c r="NTY9" s="2235"/>
      <c r="NTZ9" s="2235"/>
      <c r="NUA9" s="2235"/>
      <c r="NUB9" s="2235"/>
      <c r="NUC9" s="2235"/>
      <c r="NUD9" s="2235"/>
      <c r="NUE9" s="2235"/>
      <c r="NUF9" s="2235"/>
      <c r="NUG9" s="2235"/>
      <c r="NUH9" s="2235"/>
      <c r="NUI9" s="2235"/>
      <c r="NUJ9" s="2235"/>
      <c r="NUK9" s="2235"/>
      <c r="NUL9" s="2235"/>
      <c r="NUM9" s="2235"/>
      <c r="NUN9" s="2235"/>
      <c r="NUO9" s="2235"/>
      <c r="NUP9" s="2235"/>
      <c r="NUQ9" s="2235"/>
      <c r="NUR9" s="2235"/>
      <c r="NUS9" s="2235"/>
      <c r="NUT9" s="2235"/>
      <c r="NUU9" s="2235"/>
      <c r="NUV9" s="2235"/>
      <c r="NUW9" s="2235"/>
      <c r="NUX9" s="2235"/>
      <c r="NUY9" s="2235"/>
      <c r="NUZ9" s="2235"/>
      <c r="NVA9" s="2235"/>
      <c r="NVB9" s="2235"/>
      <c r="NVC9" s="2235"/>
      <c r="NVD9" s="2235"/>
      <c r="NVE9" s="2235"/>
      <c r="NVF9" s="2235"/>
      <c r="NVG9" s="2235"/>
      <c r="NVH9" s="2235"/>
      <c r="NVI9" s="2235"/>
      <c r="NVJ9" s="2235"/>
      <c r="NVK9" s="2235"/>
      <c r="NVL9" s="2235"/>
      <c r="NVM9" s="2235"/>
      <c r="NVN9" s="2235"/>
      <c r="NVO9" s="2235"/>
      <c r="NVP9" s="2235"/>
      <c r="NVQ9" s="2235"/>
      <c r="NVR9" s="2235"/>
      <c r="NVS9" s="2235"/>
      <c r="NVT9" s="2235"/>
      <c r="NVU9" s="2235"/>
      <c r="NVV9" s="2235"/>
      <c r="NVW9" s="2235"/>
      <c r="NVX9" s="2235"/>
      <c r="NVY9" s="2235"/>
      <c r="NVZ9" s="2235"/>
      <c r="NWA9" s="2235"/>
      <c r="NWB9" s="2235"/>
      <c r="NWC9" s="2235"/>
      <c r="NWD9" s="2235"/>
      <c r="NWE9" s="2235"/>
      <c r="NWF9" s="2235"/>
      <c r="NWG9" s="2235"/>
      <c r="NWH9" s="2235"/>
      <c r="NWI9" s="2235"/>
      <c r="NWJ9" s="2235"/>
      <c r="NWK9" s="2235"/>
      <c r="NWL9" s="2235"/>
      <c r="NWM9" s="2235"/>
      <c r="NWN9" s="2235"/>
      <c r="NWO9" s="2235"/>
      <c r="NWP9" s="2235"/>
      <c r="NWQ9" s="2235"/>
      <c r="NWR9" s="2235"/>
      <c r="NWS9" s="2235"/>
      <c r="NWT9" s="2235"/>
      <c r="NWU9" s="2235"/>
      <c r="NWV9" s="2235"/>
      <c r="NWW9" s="2235"/>
      <c r="NWX9" s="2235"/>
      <c r="NWY9" s="2235"/>
      <c r="NWZ9" s="2235"/>
      <c r="NXA9" s="2235"/>
      <c r="NXB9" s="2235"/>
      <c r="NXC9" s="2235"/>
      <c r="NXD9" s="2235"/>
      <c r="NXE9" s="2235"/>
      <c r="NXF9" s="2235"/>
      <c r="NXG9" s="2235"/>
      <c r="NXH9" s="2235"/>
      <c r="NXI9" s="2235"/>
      <c r="NXJ9" s="2235"/>
      <c r="NXK9" s="2235"/>
      <c r="NXL9" s="2235"/>
      <c r="NXM9" s="2235"/>
      <c r="NXN9" s="2235"/>
      <c r="NXO9" s="2235"/>
      <c r="NXP9" s="2235"/>
      <c r="NXQ9" s="2235"/>
      <c r="NXR9" s="2235"/>
      <c r="NXS9" s="2235"/>
      <c r="NXT9" s="2235"/>
      <c r="NXU9" s="2235"/>
      <c r="NXV9" s="2235"/>
      <c r="NXW9" s="2235"/>
      <c r="NXX9" s="2235"/>
      <c r="NXY9" s="2235"/>
      <c r="NXZ9" s="2235"/>
      <c r="NYA9" s="2235"/>
      <c r="NYB9" s="2235"/>
      <c r="NYC9" s="2235"/>
      <c r="NYD9" s="2235"/>
      <c r="NYE9" s="2235"/>
      <c r="NYF9" s="2235"/>
      <c r="NYG9" s="2235"/>
      <c r="NYH9" s="2235"/>
      <c r="NYI9" s="2235"/>
      <c r="NYJ9" s="2235"/>
      <c r="NYK9" s="2235"/>
      <c r="NYL9" s="2235"/>
      <c r="NYM9" s="2235"/>
      <c r="NYN9" s="2235"/>
      <c r="NYO9" s="2235"/>
      <c r="NYP9" s="2235"/>
      <c r="NYQ9" s="2235"/>
      <c r="NYR9" s="2235"/>
      <c r="NYS9" s="2235"/>
      <c r="NYT9" s="2235"/>
      <c r="NYU9" s="2235"/>
      <c r="NYV9" s="2235"/>
      <c r="NYW9" s="2235"/>
      <c r="NYX9" s="2235"/>
      <c r="NYY9" s="2235"/>
      <c r="NYZ9" s="2235"/>
      <c r="NZA9" s="2235"/>
      <c r="NZB9" s="2235"/>
      <c r="NZC9" s="2235"/>
      <c r="NZD9" s="2235"/>
      <c r="NZE9" s="2235"/>
      <c r="NZF9" s="2235"/>
      <c r="NZG9" s="2235"/>
      <c r="NZH9" s="2235"/>
      <c r="NZI9" s="2235"/>
      <c r="NZJ9" s="2235"/>
      <c r="NZK9" s="2235"/>
      <c r="NZL9" s="2235"/>
      <c r="NZM9" s="2235"/>
      <c r="NZN9" s="2235"/>
      <c r="NZO9" s="2235"/>
      <c r="NZP9" s="2235"/>
      <c r="NZQ9" s="2235"/>
      <c r="NZR9" s="2235"/>
      <c r="NZS9" s="2235"/>
      <c r="NZT9" s="2235"/>
      <c r="NZU9" s="2235"/>
      <c r="NZV9" s="2235"/>
      <c r="NZW9" s="2235"/>
      <c r="NZX9" s="2235"/>
      <c r="NZY9" s="2235"/>
      <c r="NZZ9" s="2235"/>
      <c r="OAA9" s="2235"/>
      <c r="OAB9" s="2235"/>
      <c r="OAC9" s="2235"/>
      <c r="OAD9" s="2235"/>
      <c r="OAE9" s="2235"/>
      <c r="OAF9" s="2235"/>
      <c r="OAG9" s="2235"/>
      <c r="OAH9" s="2235"/>
      <c r="OAI9" s="2235"/>
      <c r="OAJ9" s="2235"/>
      <c r="OAK9" s="2235"/>
      <c r="OAL9" s="2235"/>
      <c r="OAM9" s="2235"/>
      <c r="OAN9" s="2235"/>
      <c r="OAO9" s="2235"/>
      <c r="OAP9" s="2235"/>
      <c r="OAQ9" s="2235"/>
      <c r="OAR9" s="2235"/>
      <c r="OAS9" s="2235"/>
      <c r="OAT9" s="2235"/>
      <c r="OAU9" s="2235"/>
      <c r="OAV9" s="2235"/>
      <c r="OAW9" s="2235"/>
      <c r="OAX9" s="2235"/>
      <c r="OAY9" s="2235"/>
      <c r="OAZ9" s="2235"/>
      <c r="OBA9" s="2235"/>
      <c r="OBB9" s="2235"/>
      <c r="OBC9" s="2235"/>
      <c r="OBD9" s="2235"/>
      <c r="OBE9" s="2235"/>
      <c r="OBF9" s="2235"/>
      <c r="OBG9" s="2235"/>
      <c r="OBH9" s="2235"/>
      <c r="OBI9" s="2235"/>
      <c r="OBJ9" s="2235"/>
      <c r="OBK9" s="2235"/>
      <c r="OBL9" s="2235"/>
      <c r="OBM9" s="2235"/>
      <c r="OBN9" s="2235"/>
      <c r="OBO9" s="2235"/>
      <c r="OBP9" s="2235"/>
      <c r="OBQ9" s="2235"/>
      <c r="OBR9" s="2235"/>
      <c r="OBS9" s="2235"/>
      <c r="OBT9" s="2235"/>
      <c r="OBU9" s="2235"/>
      <c r="OBV9" s="2235"/>
      <c r="OBW9" s="2235"/>
      <c r="OBX9" s="2235"/>
      <c r="OBY9" s="2235"/>
      <c r="OBZ9" s="2235"/>
      <c r="OCA9" s="2235"/>
      <c r="OCB9" s="2235"/>
      <c r="OCC9" s="2235"/>
      <c r="OCD9" s="2235"/>
      <c r="OCE9" s="2235"/>
      <c r="OCF9" s="2235"/>
      <c r="OCG9" s="2235"/>
      <c r="OCH9" s="2235"/>
      <c r="OCI9" s="2235"/>
      <c r="OCJ9" s="2235"/>
      <c r="OCK9" s="2235"/>
      <c r="OCL9" s="2235"/>
      <c r="OCM9" s="2235"/>
      <c r="OCN9" s="2235"/>
      <c r="OCO9" s="2235"/>
      <c r="OCP9" s="2235"/>
      <c r="OCQ9" s="2235"/>
      <c r="OCR9" s="2235"/>
      <c r="OCS9" s="2235"/>
      <c r="OCT9" s="2235"/>
      <c r="OCU9" s="2235"/>
      <c r="OCV9" s="2235"/>
      <c r="OCW9" s="2235"/>
      <c r="OCX9" s="2235"/>
      <c r="OCY9" s="2235"/>
      <c r="OCZ9" s="2235"/>
      <c r="ODA9" s="2235"/>
      <c r="ODB9" s="2235"/>
      <c r="ODC9" s="2235"/>
      <c r="ODD9" s="2235"/>
      <c r="ODE9" s="2235"/>
      <c r="ODF9" s="2235"/>
      <c r="ODG9" s="2235"/>
      <c r="ODH9" s="2235"/>
      <c r="ODI9" s="2235"/>
      <c r="ODJ9" s="2235"/>
      <c r="ODK9" s="2235"/>
      <c r="ODL9" s="2235"/>
      <c r="ODM9" s="2235"/>
      <c r="ODN9" s="2235"/>
      <c r="ODO9" s="2235"/>
      <c r="ODP9" s="2235"/>
      <c r="ODQ9" s="2235"/>
      <c r="ODR9" s="2235"/>
      <c r="ODS9" s="2235"/>
      <c r="ODT9" s="2235"/>
      <c r="ODU9" s="2235"/>
      <c r="ODV9" s="2235"/>
      <c r="ODW9" s="2235"/>
      <c r="ODX9" s="2235"/>
      <c r="ODY9" s="2235"/>
      <c r="ODZ9" s="2235"/>
      <c r="OEA9" s="2235"/>
      <c r="OEB9" s="2235"/>
      <c r="OEC9" s="2235"/>
      <c r="OED9" s="2235"/>
      <c r="OEE9" s="2235"/>
      <c r="OEF9" s="2235"/>
      <c r="OEG9" s="2235"/>
      <c r="OEH9" s="2235"/>
      <c r="OEI9" s="2235"/>
      <c r="OEJ9" s="2235"/>
      <c r="OEK9" s="2235"/>
      <c r="OEL9" s="2235"/>
      <c r="OEM9" s="2235"/>
      <c r="OEN9" s="2235"/>
      <c r="OEO9" s="2235"/>
      <c r="OEP9" s="2235"/>
      <c r="OEQ9" s="2235"/>
      <c r="OER9" s="2235"/>
      <c r="OES9" s="2235"/>
      <c r="OET9" s="2235"/>
      <c r="OEU9" s="2235"/>
      <c r="OEV9" s="2235"/>
      <c r="OEW9" s="2235"/>
      <c r="OEX9" s="2235"/>
      <c r="OEY9" s="2235"/>
      <c r="OEZ9" s="2235"/>
      <c r="OFA9" s="2235"/>
      <c r="OFB9" s="2235"/>
      <c r="OFC9" s="2235"/>
      <c r="OFD9" s="2235"/>
      <c r="OFE9" s="2235"/>
      <c r="OFF9" s="2235"/>
      <c r="OFG9" s="2235"/>
      <c r="OFH9" s="2235"/>
      <c r="OFI9" s="2235"/>
      <c r="OFJ9" s="2235"/>
      <c r="OFK9" s="2235"/>
      <c r="OFL9" s="2235"/>
      <c r="OFM9" s="2235"/>
      <c r="OFN9" s="2235"/>
      <c r="OFO9" s="2235"/>
      <c r="OFP9" s="2235"/>
      <c r="OFQ9" s="2235"/>
      <c r="OFR9" s="2235"/>
      <c r="OFS9" s="2235"/>
      <c r="OFT9" s="2235"/>
      <c r="OFU9" s="2235"/>
      <c r="OFV9" s="2235"/>
      <c r="OFW9" s="2235"/>
      <c r="OFX9" s="2235"/>
      <c r="OFY9" s="2235"/>
      <c r="OFZ9" s="2235"/>
      <c r="OGA9" s="2235"/>
      <c r="OGB9" s="2235"/>
      <c r="OGC9" s="2235"/>
      <c r="OGD9" s="2235"/>
      <c r="OGE9" s="2235"/>
      <c r="OGF9" s="2235"/>
      <c r="OGG9" s="2235"/>
      <c r="OGH9" s="2235"/>
      <c r="OGI9" s="2235"/>
      <c r="OGJ9" s="2235"/>
      <c r="OGK9" s="2235"/>
      <c r="OGL9" s="2235"/>
      <c r="OGM9" s="2235"/>
      <c r="OGN9" s="2235"/>
      <c r="OGO9" s="2235"/>
      <c r="OGP9" s="2235"/>
      <c r="OGQ9" s="2235"/>
      <c r="OGR9" s="2235"/>
      <c r="OGS9" s="2235"/>
      <c r="OGT9" s="2235"/>
      <c r="OGU9" s="2235"/>
      <c r="OGV9" s="2235"/>
      <c r="OGW9" s="2235"/>
      <c r="OGX9" s="2235"/>
      <c r="OGY9" s="2235"/>
      <c r="OGZ9" s="2235"/>
      <c r="OHA9" s="2235"/>
      <c r="OHB9" s="2235"/>
      <c r="OHC9" s="2235"/>
      <c r="OHD9" s="2235"/>
      <c r="OHE9" s="2235"/>
      <c r="OHF9" s="2235"/>
      <c r="OHG9" s="2235"/>
      <c r="OHH9" s="2235"/>
      <c r="OHI9" s="2235"/>
      <c r="OHJ9" s="2235"/>
      <c r="OHK9" s="2235"/>
      <c r="OHL9" s="2235"/>
      <c r="OHM9" s="2235"/>
      <c r="OHN9" s="2235"/>
      <c r="OHO9" s="2235"/>
      <c r="OHP9" s="2235"/>
      <c r="OHQ9" s="2235"/>
      <c r="OHR9" s="2235"/>
      <c r="OHS9" s="2235"/>
      <c r="OHT9" s="2235"/>
      <c r="OHU9" s="2235"/>
      <c r="OHV9" s="2235"/>
      <c r="OHW9" s="2235"/>
      <c r="OHX9" s="2235"/>
      <c r="OHY9" s="2235"/>
      <c r="OHZ9" s="2235"/>
      <c r="OIA9" s="2235"/>
      <c r="OIB9" s="2235"/>
      <c r="OIC9" s="2235"/>
      <c r="OID9" s="2235"/>
      <c r="OIE9" s="2235"/>
      <c r="OIF9" s="2235"/>
      <c r="OIG9" s="2235"/>
      <c r="OIH9" s="2235"/>
      <c r="OII9" s="2235"/>
      <c r="OIJ9" s="2235"/>
      <c r="OIK9" s="2235"/>
      <c r="OIL9" s="2235"/>
      <c r="OIM9" s="2235"/>
      <c r="OIN9" s="2235"/>
      <c r="OIO9" s="2235"/>
      <c r="OIP9" s="2235"/>
      <c r="OIQ9" s="2235"/>
      <c r="OIR9" s="2235"/>
      <c r="OIS9" s="2235"/>
      <c r="OIT9" s="2235"/>
      <c r="OIU9" s="2235"/>
      <c r="OIV9" s="2235"/>
      <c r="OIW9" s="2235"/>
      <c r="OIX9" s="2235"/>
      <c r="OIY9" s="2235"/>
      <c r="OIZ9" s="2235"/>
      <c r="OJA9" s="2235"/>
      <c r="OJB9" s="2235"/>
      <c r="OJC9" s="2235"/>
      <c r="OJD9" s="2235"/>
      <c r="OJE9" s="2235"/>
      <c r="OJF9" s="2235"/>
      <c r="OJG9" s="2235"/>
      <c r="OJH9" s="2235"/>
      <c r="OJI9" s="2235"/>
      <c r="OJJ9" s="2235"/>
      <c r="OJK9" s="2235"/>
      <c r="OJL9" s="2235"/>
      <c r="OJM9" s="2235"/>
      <c r="OJN9" s="2235"/>
      <c r="OJO9" s="2235"/>
      <c r="OJP9" s="2235"/>
      <c r="OJQ9" s="2235"/>
      <c r="OJR9" s="2235"/>
      <c r="OJS9" s="2235"/>
      <c r="OJT9" s="2235"/>
      <c r="OJU9" s="2235"/>
      <c r="OJV9" s="2235"/>
      <c r="OJW9" s="2235"/>
      <c r="OJX9" s="2235"/>
      <c r="OJY9" s="2235"/>
      <c r="OJZ9" s="2235"/>
      <c r="OKA9" s="2235"/>
      <c r="OKB9" s="2235"/>
      <c r="OKC9" s="2235"/>
      <c r="OKD9" s="2235"/>
      <c r="OKE9" s="2235"/>
      <c r="OKF9" s="2235"/>
      <c r="OKG9" s="2235"/>
      <c r="OKH9" s="2235"/>
      <c r="OKI9" s="2235"/>
      <c r="OKJ9" s="2235"/>
      <c r="OKK9" s="2235"/>
      <c r="OKL9" s="2235"/>
      <c r="OKM9" s="2235"/>
      <c r="OKN9" s="2235"/>
      <c r="OKO9" s="2235"/>
      <c r="OKP9" s="2235"/>
      <c r="OKQ9" s="2235"/>
      <c r="OKR9" s="2235"/>
      <c r="OKS9" s="2235"/>
      <c r="OKT9" s="2235"/>
      <c r="OKU9" s="2235"/>
      <c r="OKV9" s="2235"/>
      <c r="OKW9" s="2235"/>
      <c r="OKX9" s="2235"/>
      <c r="OKY9" s="2235"/>
      <c r="OKZ9" s="2235"/>
      <c r="OLA9" s="2235"/>
      <c r="OLB9" s="2235"/>
      <c r="OLC9" s="2235"/>
      <c r="OLD9" s="2235"/>
      <c r="OLE9" s="2235"/>
      <c r="OLF9" s="2235"/>
      <c r="OLG9" s="2235"/>
      <c r="OLH9" s="2235"/>
      <c r="OLI9" s="2235"/>
      <c r="OLJ9" s="2235"/>
      <c r="OLK9" s="2235"/>
      <c r="OLL9" s="2235"/>
      <c r="OLM9" s="2235"/>
      <c r="OLN9" s="2235"/>
      <c r="OLO9" s="2235"/>
      <c r="OLP9" s="2235"/>
      <c r="OLQ9" s="2235"/>
      <c r="OLR9" s="2235"/>
      <c r="OLS9" s="2235"/>
      <c r="OLT9" s="2235"/>
      <c r="OLU9" s="2235"/>
      <c r="OLV9" s="2235"/>
      <c r="OLW9" s="2235"/>
      <c r="OLX9" s="2235"/>
      <c r="OLY9" s="2235"/>
      <c r="OLZ9" s="2235"/>
      <c r="OMA9" s="2235"/>
      <c r="OMB9" s="2235"/>
      <c r="OMC9" s="2235"/>
      <c r="OMD9" s="2235"/>
      <c r="OME9" s="2235"/>
      <c r="OMF9" s="2235"/>
      <c r="OMG9" s="2235"/>
      <c r="OMH9" s="2235"/>
      <c r="OMI9" s="2235"/>
      <c r="OMJ9" s="2235"/>
      <c r="OMK9" s="2235"/>
      <c r="OML9" s="2235"/>
      <c r="OMM9" s="2235"/>
      <c r="OMN9" s="2235"/>
      <c r="OMO9" s="2235"/>
      <c r="OMP9" s="2235"/>
      <c r="OMQ9" s="2235"/>
      <c r="OMR9" s="2235"/>
      <c r="OMS9" s="2235"/>
      <c r="OMT9" s="2235"/>
      <c r="OMU9" s="2235"/>
      <c r="OMV9" s="2235"/>
      <c r="OMW9" s="2235"/>
      <c r="OMX9" s="2235"/>
      <c r="OMY9" s="2235"/>
      <c r="OMZ9" s="2235"/>
      <c r="ONA9" s="2235"/>
      <c r="ONB9" s="2235"/>
      <c r="ONC9" s="2235"/>
      <c r="OND9" s="2235"/>
      <c r="ONE9" s="2235"/>
      <c r="ONF9" s="2235"/>
      <c r="ONG9" s="2235"/>
      <c r="ONH9" s="2235"/>
      <c r="ONI9" s="2235"/>
      <c r="ONJ9" s="2235"/>
      <c r="ONK9" s="2235"/>
      <c r="ONL9" s="2235"/>
      <c r="ONM9" s="2235"/>
      <c r="ONN9" s="2235"/>
      <c r="ONO9" s="2235"/>
      <c r="ONP9" s="2235"/>
      <c r="ONQ9" s="2235"/>
      <c r="ONR9" s="2235"/>
      <c r="ONS9" s="2235"/>
      <c r="ONT9" s="2235"/>
      <c r="ONU9" s="2235"/>
      <c r="ONV9" s="2235"/>
      <c r="ONW9" s="2235"/>
      <c r="ONX9" s="2235"/>
      <c r="ONY9" s="2235"/>
      <c r="ONZ9" s="2235"/>
      <c r="OOA9" s="2235"/>
      <c r="OOB9" s="2235"/>
      <c r="OOC9" s="2235"/>
      <c r="OOD9" s="2235"/>
      <c r="OOE9" s="2235"/>
      <c r="OOF9" s="2235"/>
      <c r="OOG9" s="2235"/>
      <c r="OOH9" s="2235"/>
      <c r="OOI9" s="2235"/>
      <c r="OOJ9" s="2235"/>
      <c r="OOK9" s="2235"/>
      <c r="OOL9" s="2235"/>
      <c r="OOM9" s="2235"/>
      <c r="OON9" s="2235"/>
      <c r="OOO9" s="2235"/>
      <c r="OOP9" s="2235"/>
      <c r="OOQ9" s="2235"/>
      <c r="OOR9" s="2235"/>
      <c r="OOS9" s="2235"/>
      <c r="OOT9" s="2235"/>
      <c r="OOU9" s="2235"/>
      <c r="OOV9" s="2235"/>
      <c r="OOW9" s="2235"/>
      <c r="OOX9" s="2235"/>
      <c r="OOY9" s="2235"/>
      <c r="OOZ9" s="2235"/>
      <c r="OPA9" s="2235"/>
      <c r="OPB9" s="2235"/>
      <c r="OPC9" s="2235"/>
      <c r="OPD9" s="2235"/>
      <c r="OPE9" s="2235"/>
      <c r="OPF9" s="2235"/>
      <c r="OPG9" s="2235"/>
      <c r="OPH9" s="2235"/>
      <c r="OPI9" s="2235"/>
      <c r="OPJ9" s="2235"/>
      <c r="OPK9" s="2235"/>
      <c r="OPL9" s="2235"/>
      <c r="OPM9" s="2235"/>
      <c r="OPN9" s="2235"/>
      <c r="OPO9" s="2235"/>
      <c r="OPP9" s="2235"/>
      <c r="OPQ9" s="2235"/>
      <c r="OPR9" s="2235"/>
      <c r="OPS9" s="2235"/>
      <c r="OPT9" s="2235"/>
      <c r="OPU9" s="2235"/>
      <c r="OPV9" s="2235"/>
      <c r="OPW9" s="2235"/>
      <c r="OPX9" s="2235"/>
      <c r="OPY9" s="2235"/>
      <c r="OPZ9" s="2235"/>
      <c r="OQA9" s="2235"/>
      <c r="OQB9" s="2235"/>
      <c r="OQC9" s="2235"/>
      <c r="OQD9" s="2235"/>
      <c r="OQE9" s="2235"/>
      <c r="OQF9" s="2235"/>
      <c r="OQG9" s="2235"/>
      <c r="OQH9" s="2235"/>
      <c r="OQI9" s="2235"/>
      <c r="OQJ9" s="2235"/>
      <c r="OQK9" s="2235"/>
      <c r="OQL9" s="2235"/>
      <c r="OQM9" s="2235"/>
      <c r="OQN9" s="2235"/>
      <c r="OQO9" s="2235"/>
      <c r="OQP9" s="2235"/>
      <c r="OQQ9" s="2235"/>
      <c r="OQR9" s="2235"/>
      <c r="OQS9" s="2235"/>
      <c r="OQT9" s="2235"/>
      <c r="OQU9" s="2235"/>
      <c r="OQV9" s="2235"/>
      <c r="OQW9" s="2235"/>
      <c r="OQX9" s="2235"/>
      <c r="OQY9" s="2235"/>
      <c r="OQZ9" s="2235"/>
      <c r="ORA9" s="2235"/>
      <c r="ORB9" s="2235"/>
      <c r="ORC9" s="2235"/>
      <c r="ORD9" s="2235"/>
      <c r="ORE9" s="2235"/>
      <c r="ORF9" s="2235"/>
      <c r="ORG9" s="2235"/>
      <c r="ORH9" s="2235"/>
      <c r="ORI9" s="2235"/>
      <c r="ORJ9" s="2235"/>
      <c r="ORK9" s="2235"/>
      <c r="ORL9" s="2235"/>
      <c r="ORM9" s="2235"/>
      <c r="ORN9" s="2235"/>
      <c r="ORO9" s="2235"/>
      <c r="ORP9" s="2235"/>
      <c r="ORQ9" s="2235"/>
      <c r="ORR9" s="2235"/>
      <c r="ORS9" s="2235"/>
      <c r="ORT9" s="2235"/>
      <c r="ORU9" s="2235"/>
      <c r="ORV9" s="2235"/>
      <c r="ORW9" s="2235"/>
      <c r="ORX9" s="2235"/>
      <c r="ORY9" s="2235"/>
      <c r="ORZ9" s="2235"/>
      <c r="OSA9" s="2235"/>
      <c r="OSB9" s="2235"/>
      <c r="OSC9" s="2235"/>
      <c r="OSD9" s="2235"/>
      <c r="OSE9" s="2235"/>
      <c r="OSF9" s="2235"/>
      <c r="OSG9" s="2235"/>
      <c r="OSH9" s="2235"/>
      <c r="OSI9" s="2235"/>
      <c r="OSJ9" s="2235"/>
      <c r="OSK9" s="2235"/>
      <c r="OSL9" s="2235"/>
      <c r="OSM9" s="2235"/>
      <c r="OSN9" s="2235"/>
      <c r="OSO9" s="2235"/>
      <c r="OSP9" s="2235"/>
      <c r="OSQ9" s="2235"/>
      <c r="OSR9" s="2235"/>
      <c r="OSS9" s="2235"/>
      <c r="OST9" s="2235"/>
      <c r="OSU9" s="2235"/>
      <c r="OSV9" s="2235"/>
      <c r="OSW9" s="2235"/>
      <c r="OSX9" s="2235"/>
      <c r="OSY9" s="2235"/>
      <c r="OSZ9" s="2235"/>
      <c r="OTA9" s="2235"/>
      <c r="OTB9" s="2235"/>
      <c r="OTC9" s="2235"/>
      <c r="OTD9" s="2235"/>
      <c r="OTE9" s="2235"/>
      <c r="OTF9" s="2235"/>
      <c r="OTG9" s="2235"/>
      <c r="OTH9" s="2235"/>
      <c r="OTI9" s="2235"/>
      <c r="OTJ9" s="2235"/>
      <c r="OTK9" s="2235"/>
      <c r="OTL9" s="2235"/>
      <c r="OTM9" s="2235"/>
      <c r="OTN9" s="2235"/>
      <c r="OTO9" s="2235"/>
      <c r="OTP9" s="2235"/>
      <c r="OTQ9" s="2235"/>
      <c r="OTR9" s="2235"/>
      <c r="OTS9" s="2235"/>
      <c r="OTT9" s="2235"/>
      <c r="OTU9" s="2235"/>
      <c r="OTV9" s="2235"/>
      <c r="OTW9" s="2235"/>
      <c r="OTX9" s="2235"/>
      <c r="OTY9" s="2235"/>
      <c r="OTZ9" s="2235"/>
      <c r="OUA9" s="2235"/>
      <c r="OUB9" s="2235"/>
      <c r="OUC9" s="2235"/>
      <c r="OUD9" s="2235"/>
      <c r="OUE9" s="2235"/>
      <c r="OUF9" s="2235"/>
      <c r="OUG9" s="2235"/>
      <c r="OUH9" s="2235"/>
      <c r="OUI9" s="2235"/>
      <c r="OUJ9" s="2235"/>
      <c r="OUK9" s="2235"/>
      <c r="OUL9" s="2235"/>
      <c r="OUM9" s="2235"/>
      <c r="OUN9" s="2235"/>
      <c r="OUO9" s="2235"/>
      <c r="OUP9" s="2235"/>
      <c r="OUQ9" s="2235"/>
      <c r="OUR9" s="2235"/>
      <c r="OUS9" s="2235"/>
      <c r="OUT9" s="2235"/>
      <c r="OUU9" s="2235"/>
      <c r="OUV9" s="2235"/>
      <c r="OUW9" s="2235"/>
      <c r="OUX9" s="2235"/>
      <c r="OUY9" s="2235"/>
      <c r="OUZ9" s="2235"/>
      <c r="OVA9" s="2235"/>
      <c r="OVB9" s="2235"/>
      <c r="OVC9" s="2235"/>
      <c r="OVD9" s="2235"/>
      <c r="OVE9" s="2235"/>
      <c r="OVF9" s="2235"/>
      <c r="OVG9" s="2235"/>
      <c r="OVH9" s="2235"/>
      <c r="OVI9" s="2235"/>
      <c r="OVJ9" s="2235"/>
      <c r="OVK9" s="2235"/>
      <c r="OVL9" s="2235"/>
      <c r="OVM9" s="2235"/>
      <c r="OVN9" s="2235"/>
      <c r="OVO9" s="2235"/>
      <c r="OVP9" s="2235"/>
      <c r="OVQ9" s="2235"/>
      <c r="OVR9" s="2235"/>
      <c r="OVS9" s="2235"/>
      <c r="OVT9" s="2235"/>
      <c r="OVU9" s="2235"/>
      <c r="OVV9" s="2235"/>
      <c r="OVW9" s="2235"/>
      <c r="OVX9" s="2235"/>
      <c r="OVY9" s="2235"/>
      <c r="OVZ9" s="2235"/>
      <c r="OWA9" s="2235"/>
      <c r="OWB9" s="2235"/>
      <c r="OWC9" s="2235"/>
      <c r="OWD9" s="2235"/>
      <c r="OWE9" s="2235"/>
      <c r="OWF9" s="2235"/>
      <c r="OWG9" s="2235"/>
      <c r="OWH9" s="2235"/>
      <c r="OWI9" s="2235"/>
      <c r="OWJ9" s="2235"/>
      <c r="OWK9" s="2235"/>
      <c r="OWL9" s="2235"/>
      <c r="OWM9" s="2235"/>
      <c r="OWN9" s="2235"/>
      <c r="OWO9" s="2235"/>
      <c r="OWP9" s="2235"/>
      <c r="OWQ9" s="2235"/>
      <c r="OWR9" s="2235"/>
      <c r="OWS9" s="2235"/>
      <c r="OWT9" s="2235"/>
      <c r="OWU9" s="2235"/>
      <c r="OWV9" s="2235"/>
      <c r="OWW9" s="2235"/>
      <c r="OWX9" s="2235"/>
      <c r="OWY9" s="2235"/>
      <c r="OWZ9" s="2235"/>
      <c r="OXA9" s="2235"/>
      <c r="OXB9" s="2235"/>
      <c r="OXC9" s="2235"/>
      <c r="OXD9" s="2235"/>
      <c r="OXE9" s="2235"/>
      <c r="OXF9" s="2235"/>
      <c r="OXG9" s="2235"/>
      <c r="OXH9" s="2235"/>
      <c r="OXI9" s="2235"/>
      <c r="OXJ9" s="2235"/>
      <c r="OXK9" s="2235"/>
      <c r="OXL9" s="2235"/>
      <c r="OXM9" s="2235"/>
      <c r="OXN9" s="2235"/>
      <c r="OXO9" s="2235"/>
      <c r="OXP9" s="2235"/>
      <c r="OXQ9" s="2235"/>
      <c r="OXR9" s="2235"/>
      <c r="OXS9" s="2235"/>
      <c r="OXT9" s="2235"/>
      <c r="OXU9" s="2235"/>
      <c r="OXV9" s="2235"/>
      <c r="OXW9" s="2235"/>
      <c r="OXX9" s="2235"/>
      <c r="OXY9" s="2235"/>
      <c r="OXZ9" s="2235"/>
      <c r="OYA9" s="2235"/>
      <c r="OYB9" s="2235"/>
      <c r="OYC9" s="2235"/>
      <c r="OYD9" s="2235"/>
      <c r="OYE9" s="2235"/>
      <c r="OYF9" s="2235"/>
      <c r="OYG9" s="2235"/>
      <c r="OYH9" s="2235"/>
      <c r="OYI9" s="2235"/>
      <c r="OYJ9" s="2235"/>
      <c r="OYK9" s="2235"/>
      <c r="OYL9" s="2235"/>
      <c r="OYM9" s="2235"/>
      <c r="OYN9" s="2235"/>
      <c r="OYO9" s="2235"/>
      <c r="OYP9" s="2235"/>
      <c r="OYQ9" s="2235"/>
      <c r="OYR9" s="2235"/>
      <c r="OYS9" s="2235"/>
      <c r="OYT9" s="2235"/>
      <c r="OYU9" s="2235"/>
      <c r="OYV9" s="2235"/>
      <c r="OYW9" s="2235"/>
      <c r="OYX9" s="2235"/>
      <c r="OYY9" s="2235"/>
      <c r="OYZ9" s="2235"/>
      <c r="OZA9" s="2235"/>
      <c r="OZB9" s="2235"/>
      <c r="OZC9" s="2235"/>
      <c r="OZD9" s="2235"/>
      <c r="OZE9" s="2235"/>
      <c r="OZF9" s="2235"/>
      <c r="OZG9" s="2235"/>
      <c r="OZH9" s="2235"/>
      <c r="OZI9" s="2235"/>
      <c r="OZJ9" s="2235"/>
      <c r="OZK9" s="2235"/>
      <c r="OZL9" s="2235"/>
      <c r="OZM9" s="2235"/>
      <c r="OZN9" s="2235"/>
      <c r="OZO9" s="2235"/>
      <c r="OZP9" s="2235"/>
      <c r="OZQ9" s="2235"/>
      <c r="OZR9" s="2235"/>
      <c r="OZS9" s="2235"/>
      <c r="OZT9" s="2235"/>
      <c r="OZU9" s="2235"/>
      <c r="OZV9" s="2235"/>
      <c r="OZW9" s="2235"/>
      <c r="OZX9" s="2235"/>
      <c r="OZY9" s="2235"/>
      <c r="OZZ9" s="2235"/>
      <c r="PAA9" s="2235"/>
      <c r="PAB9" s="2235"/>
      <c r="PAC9" s="2235"/>
      <c r="PAD9" s="2235"/>
      <c r="PAE9" s="2235"/>
      <c r="PAF9" s="2235"/>
      <c r="PAG9" s="2235"/>
      <c r="PAH9" s="2235"/>
      <c r="PAI9" s="2235"/>
      <c r="PAJ9" s="2235"/>
      <c r="PAK9" s="2235"/>
      <c r="PAL9" s="2235"/>
      <c r="PAM9" s="2235"/>
      <c r="PAN9" s="2235"/>
      <c r="PAO9" s="2235"/>
      <c r="PAP9" s="2235"/>
      <c r="PAQ9" s="2235"/>
      <c r="PAR9" s="2235"/>
      <c r="PAS9" s="2235"/>
      <c r="PAT9" s="2235"/>
      <c r="PAU9" s="2235"/>
      <c r="PAV9" s="2235"/>
      <c r="PAW9" s="2235"/>
      <c r="PAX9" s="2235"/>
      <c r="PAY9" s="2235"/>
      <c r="PAZ9" s="2235"/>
      <c r="PBA9" s="2235"/>
      <c r="PBB9" s="2235"/>
      <c r="PBC9" s="2235"/>
      <c r="PBD9" s="2235"/>
      <c r="PBE9" s="2235"/>
      <c r="PBF9" s="2235"/>
      <c r="PBG9" s="2235"/>
      <c r="PBH9" s="2235"/>
      <c r="PBI9" s="2235"/>
      <c r="PBJ9" s="2235"/>
      <c r="PBK9" s="2235"/>
      <c r="PBL9" s="2235"/>
      <c r="PBM9" s="2235"/>
      <c r="PBN9" s="2235"/>
      <c r="PBO9" s="2235"/>
      <c r="PBP9" s="2235"/>
      <c r="PBQ9" s="2235"/>
      <c r="PBR9" s="2235"/>
      <c r="PBS9" s="2235"/>
      <c r="PBT9" s="2235"/>
      <c r="PBU9" s="2235"/>
      <c r="PBV9" s="2235"/>
      <c r="PBW9" s="2235"/>
      <c r="PBX9" s="2235"/>
      <c r="PBY9" s="2235"/>
      <c r="PBZ9" s="2235"/>
      <c r="PCA9" s="2235"/>
      <c r="PCB9" s="2235"/>
      <c r="PCC9" s="2235"/>
      <c r="PCD9" s="2235"/>
      <c r="PCE9" s="2235"/>
      <c r="PCF9" s="2235"/>
      <c r="PCG9" s="2235"/>
      <c r="PCH9" s="2235"/>
      <c r="PCI9" s="2235"/>
      <c r="PCJ9" s="2235"/>
      <c r="PCK9" s="2235"/>
      <c r="PCL9" s="2235"/>
      <c r="PCM9" s="2235"/>
      <c r="PCN9" s="2235"/>
      <c r="PCO9" s="2235"/>
      <c r="PCP9" s="2235"/>
      <c r="PCQ9" s="2235"/>
      <c r="PCR9" s="2235"/>
      <c r="PCS9" s="2235"/>
      <c r="PCT9" s="2235"/>
      <c r="PCU9" s="2235"/>
      <c r="PCV9" s="2235"/>
      <c r="PCW9" s="2235"/>
      <c r="PCX9" s="2235"/>
      <c r="PCY9" s="2235"/>
      <c r="PCZ9" s="2235"/>
      <c r="PDA9" s="2235"/>
      <c r="PDB9" s="2235"/>
      <c r="PDC9" s="2235"/>
      <c r="PDD9" s="2235"/>
      <c r="PDE9" s="2235"/>
      <c r="PDF9" s="2235"/>
      <c r="PDG9" s="2235"/>
      <c r="PDH9" s="2235"/>
      <c r="PDI9" s="2235"/>
      <c r="PDJ9" s="2235"/>
      <c r="PDK9" s="2235"/>
      <c r="PDL9" s="2235"/>
      <c r="PDM9" s="2235"/>
      <c r="PDN9" s="2235"/>
      <c r="PDO9" s="2235"/>
      <c r="PDP9" s="2235"/>
      <c r="PDQ9" s="2235"/>
      <c r="PDR9" s="2235"/>
      <c r="PDS9" s="2235"/>
      <c r="PDT9" s="2235"/>
      <c r="PDU9" s="2235"/>
      <c r="PDV9" s="2235"/>
      <c r="PDW9" s="2235"/>
      <c r="PDX9" s="2235"/>
      <c r="PDY9" s="2235"/>
      <c r="PDZ9" s="2235"/>
      <c r="PEA9" s="2235"/>
      <c r="PEB9" s="2235"/>
      <c r="PEC9" s="2235"/>
      <c r="PED9" s="2235"/>
      <c r="PEE9" s="2235"/>
      <c r="PEF9" s="2235"/>
      <c r="PEG9" s="2235"/>
      <c r="PEH9" s="2235"/>
      <c r="PEI9" s="2235"/>
      <c r="PEJ9" s="2235"/>
      <c r="PEK9" s="2235"/>
      <c r="PEL9" s="2235"/>
      <c r="PEM9" s="2235"/>
      <c r="PEN9" s="2235"/>
      <c r="PEO9" s="2235"/>
      <c r="PEP9" s="2235"/>
      <c r="PEQ9" s="2235"/>
      <c r="PER9" s="2235"/>
      <c r="PES9" s="2235"/>
      <c r="PET9" s="2235"/>
      <c r="PEU9" s="2235"/>
      <c r="PEV9" s="2235"/>
      <c r="PEW9" s="2235"/>
      <c r="PEX9" s="2235"/>
      <c r="PEY9" s="2235"/>
      <c r="PEZ9" s="2235"/>
      <c r="PFA9" s="2235"/>
      <c r="PFB9" s="2235"/>
      <c r="PFC9" s="2235"/>
      <c r="PFD9" s="2235"/>
      <c r="PFE9" s="2235"/>
      <c r="PFF9" s="2235"/>
      <c r="PFG9" s="2235"/>
      <c r="PFH9" s="2235"/>
      <c r="PFI9" s="2235"/>
      <c r="PFJ9" s="2235"/>
      <c r="PFK9" s="2235"/>
      <c r="PFL9" s="2235"/>
      <c r="PFM9" s="2235"/>
      <c r="PFN9" s="2235"/>
      <c r="PFO9" s="2235"/>
      <c r="PFP9" s="2235"/>
      <c r="PFQ9" s="2235"/>
      <c r="PFR9" s="2235"/>
      <c r="PFS9" s="2235"/>
      <c r="PFT9" s="2235"/>
      <c r="PFU9" s="2235"/>
      <c r="PFV9" s="2235"/>
      <c r="PFW9" s="2235"/>
      <c r="PFX9" s="2235"/>
      <c r="PFY9" s="2235"/>
      <c r="PFZ9" s="2235"/>
      <c r="PGA9" s="2235"/>
      <c r="PGB9" s="2235"/>
      <c r="PGC9" s="2235"/>
      <c r="PGD9" s="2235"/>
      <c r="PGE9" s="2235"/>
      <c r="PGF9" s="2235"/>
      <c r="PGG9" s="2235"/>
      <c r="PGH9" s="2235"/>
      <c r="PGI9" s="2235"/>
      <c r="PGJ9" s="2235"/>
      <c r="PGK9" s="2235"/>
      <c r="PGL9" s="2235"/>
      <c r="PGM9" s="2235"/>
      <c r="PGN9" s="2235"/>
      <c r="PGO9" s="2235"/>
      <c r="PGP9" s="2235"/>
      <c r="PGQ9" s="2235"/>
      <c r="PGR9" s="2235"/>
      <c r="PGS9" s="2235"/>
      <c r="PGT9" s="2235"/>
      <c r="PGU9" s="2235"/>
      <c r="PGV9" s="2235"/>
      <c r="PGW9" s="2235"/>
      <c r="PGX9" s="2235"/>
      <c r="PGY9" s="2235"/>
      <c r="PGZ9" s="2235"/>
      <c r="PHA9" s="2235"/>
      <c r="PHB9" s="2235"/>
      <c r="PHC9" s="2235"/>
      <c r="PHD9" s="2235"/>
      <c r="PHE9" s="2235"/>
      <c r="PHF9" s="2235"/>
      <c r="PHG9" s="2235"/>
      <c r="PHH9" s="2235"/>
      <c r="PHI9" s="2235"/>
      <c r="PHJ9" s="2235"/>
      <c r="PHK9" s="2235"/>
      <c r="PHL9" s="2235"/>
      <c r="PHM9" s="2235"/>
      <c r="PHN9" s="2235"/>
      <c r="PHO9" s="2235"/>
      <c r="PHP9" s="2235"/>
      <c r="PHQ9" s="2235"/>
      <c r="PHR9" s="2235"/>
      <c r="PHS9" s="2235"/>
      <c r="PHT9" s="2235"/>
      <c r="PHU9" s="2235"/>
      <c r="PHV9" s="2235"/>
      <c r="PHW9" s="2235"/>
      <c r="PHX9" s="2235"/>
      <c r="PHY9" s="2235"/>
      <c r="PHZ9" s="2235"/>
      <c r="PIA9" s="2235"/>
      <c r="PIB9" s="2235"/>
      <c r="PIC9" s="2235"/>
      <c r="PID9" s="2235"/>
      <c r="PIE9" s="2235"/>
      <c r="PIF9" s="2235"/>
      <c r="PIG9" s="2235"/>
      <c r="PIH9" s="2235"/>
      <c r="PII9" s="2235"/>
      <c r="PIJ9" s="2235"/>
      <c r="PIK9" s="2235"/>
      <c r="PIL9" s="2235"/>
      <c r="PIM9" s="2235"/>
      <c r="PIN9" s="2235"/>
      <c r="PIO9" s="2235"/>
      <c r="PIP9" s="2235"/>
      <c r="PIQ9" s="2235"/>
      <c r="PIR9" s="2235"/>
      <c r="PIS9" s="2235"/>
      <c r="PIT9" s="2235"/>
      <c r="PIU9" s="2235"/>
      <c r="PIV9" s="2235"/>
      <c r="PIW9" s="2235"/>
      <c r="PIX9" s="2235"/>
      <c r="PIY9" s="2235"/>
      <c r="PIZ9" s="2235"/>
      <c r="PJA9" s="2235"/>
      <c r="PJB9" s="2235"/>
      <c r="PJC9" s="2235"/>
      <c r="PJD9" s="2235"/>
      <c r="PJE9" s="2235"/>
      <c r="PJF9" s="2235"/>
      <c r="PJG9" s="2235"/>
      <c r="PJH9" s="2235"/>
      <c r="PJI9" s="2235"/>
      <c r="PJJ9" s="2235"/>
      <c r="PJK9" s="2235"/>
      <c r="PJL9" s="2235"/>
      <c r="PJM9" s="2235"/>
      <c r="PJN9" s="2235"/>
      <c r="PJO9" s="2235"/>
      <c r="PJP9" s="2235"/>
      <c r="PJQ9" s="2235"/>
      <c r="PJR9" s="2235"/>
      <c r="PJS9" s="2235"/>
      <c r="PJT9" s="2235"/>
      <c r="PJU9" s="2235"/>
      <c r="PJV9" s="2235"/>
      <c r="PJW9" s="2235"/>
      <c r="PJX9" s="2235"/>
      <c r="PJY9" s="2235"/>
      <c r="PJZ9" s="2235"/>
      <c r="PKA9" s="2235"/>
      <c r="PKB9" s="2235"/>
      <c r="PKC9" s="2235"/>
      <c r="PKD9" s="2235"/>
      <c r="PKE9" s="2235"/>
      <c r="PKF9" s="2235"/>
      <c r="PKG9" s="2235"/>
      <c r="PKH9" s="2235"/>
      <c r="PKI9" s="2235"/>
      <c r="PKJ9" s="2235"/>
      <c r="PKK9" s="2235"/>
      <c r="PKL9" s="2235"/>
      <c r="PKM9" s="2235"/>
      <c r="PKN9" s="2235"/>
      <c r="PKO9" s="2235"/>
      <c r="PKP9" s="2235"/>
      <c r="PKQ9" s="2235"/>
      <c r="PKR9" s="2235"/>
      <c r="PKS9" s="2235"/>
      <c r="PKT9" s="2235"/>
      <c r="PKU9" s="2235"/>
      <c r="PKV9" s="2235"/>
      <c r="PKW9" s="2235"/>
      <c r="PKX9" s="2235"/>
      <c r="PKY9" s="2235"/>
      <c r="PKZ9" s="2235"/>
      <c r="PLA9" s="2235"/>
      <c r="PLB9" s="2235"/>
      <c r="PLC9" s="2235"/>
      <c r="PLD9" s="2235"/>
      <c r="PLE9" s="2235"/>
      <c r="PLF9" s="2235"/>
      <c r="PLG9" s="2235"/>
      <c r="PLH9" s="2235"/>
      <c r="PLI9" s="2235"/>
      <c r="PLJ9" s="2235"/>
      <c r="PLK9" s="2235"/>
      <c r="PLL9" s="2235"/>
      <c r="PLM9" s="2235"/>
      <c r="PLN9" s="2235"/>
      <c r="PLO9" s="2235"/>
      <c r="PLP9" s="2235"/>
      <c r="PLQ9" s="2235"/>
      <c r="PLR9" s="2235"/>
      <c r="PLS9" s="2235"/>
      <c r="PLT9" s="2235"/>
      <c r="PLU9" s="2235"/>
      <c r="PLV9" s="2235"/>
      <c r="PLW9" s="2235"/>
      <c r="PLX9" s="2235"/>
      <c r="PLY9" s="2235"/>
      <c r="PLZ9" s="2235"/>
      <c r="PMA9" s="2235"/>
      <c r="PMB9" s="2235"/>
      <c r="PMC9" s="2235"/>
      <c r="PMD9" s="2235"/>
      <c r="PME9" s="2235"/>
      <c r="PMF9" s="2235"/>
      <c r="PMG9" s="2235"/>
      <c r="PMH9" s="2235"/>
      <c r="PMI9" s="2235"/>
      <c r="PMJ9" s="2235"/>
      <c r="PMK9" s="2235"/>
      <c r="PML9" s="2235"/>
      <c r="PMM9" s="2235"/>
      <c r="PMN9" s="2235"/>
      <c r="PMO9" s="2235"/>
      <c r="PMP9" s="2235"/>
      <c r="PMQ9" s="2235"/>
      <c r="PMR9" s="2235"/>
      <c r="PMS9" s="2235"/>
      <c r="PMT9" s="2235"/>
      <c r="PMU9" s="2235"/>
      <c r="PMV9" s="2235"/>
      <c r="PMW9" s="2235"/>
      <c r="PMX9" s="2235"/>
      <c r="PMY9" s="2235"/>
      <c r="PMZ9" s="2235"/>
      <c r="PNA9" s="2235"/>
      <c r="PNB9" s="2235"/>
      <c r="PNC9" s="2235"/>
      <c r="PND9" s="2235"/>
      <c r="PNE9" s="2235"/>
      <c r="PNF9" s="2235"/>
      <c r="PNG9" s="2235"/>
      <c r="PNH9" s="2235"/>
      <c r="PNI9" s="2235"/>
      <c r="PNJ9" s="2235"/>
      <c r="PNK9" s="2235"/>
      <c r="PNL9" s="2235"/>
      <c r="PNM9" s="2235"/>
      <c r="PNN9" s="2235"/>
      <c r="PNO9" s="2235"/>
      <c r="PNP9" s="2235"/>
      <c r="PNQ9" s="2235"/>
      <c r="PNR9" s="2235"/>
      <c r="PNS9" s="2235"/>
      <c r="PNT9" s="2235"/>
      <c r="PNU9" s="2235"/>
      <c r="PNV9" s="2235"/>
      <c r="PNW9" s="2235"/>
      <c r="PNX9" s="2235"/>
      <c r="PNY9" s="2235"/>
      <c r="PNZ9" s="2235"/>
      <c r="POA9" s="2235"/>
      <c r="POB9" s="2235"/>
      <c r="POC9" s="2235"/>
      <c r="POD9" s="2235"/>
      <c r="POE9" s="2235"/>
      <c r="POF9" s="2235"/>
      <c r="POG9" s="2235"/>
      <c r="POH9" s="2235"/>
      <c r="POI9" s="2235"/>
      <c r="POJ9" s="2235"/>
      <c r="POK9" s="2235"/>
      <c r="POL9" s="2235"/>
      <c r="POM9" s="2235"/>
      <c r="PON9" s="2235"/>
      <c r="POO9" s="2235"/>
      <c r="POP9" s="2235"/>
      <c r="POQ9" s="2235"/>
      <c r="POR9" s="2235"/>
      <c r="POS9" s="2235"/>
      <c r="POT9" s="2235"/>
      <c r="POU9" s="2235"/>
      <c r="POV9" s="2235"/>
      <c r="POW9" s="2235"/>
      <c r="POX9" s="2235"/>
      <c r="POY9" s="2235"/>
      <c r="POZ9" s="2235"/>
      <c r="PPA9" s="2235"/>
      <c r="PPB9" s="2235"/>
      <c r="PPC9" s="2235"/>
      <c r="PPD9" s="2235"/>
      <c r="PPE9" s="2235"/>
      <c r="PPF9" s="2235"/>
      <c r="PPG9" s="2235"/>
      <c r="PPH9" s="2235"/>
      <c r="PPI9" s="2235"/>
      <c r="PPJ9" s="2235"/>
      <c r="PPK9" s="2235"/>
      <c r="PPL9" s="2235"/>
      <c r="PPM9" s="2235"/>
      <c r="PPN9" s="2235"/>
      <c r="PPO9" s="2235"/>
      <c r="PPP9" s="2235"/>
      <c r="PPQ9" s="2235"/>
      <c r="PPR9" s="2235"/>
      <c r="PPS9" s="2235"/>
      <c r="PPT9" s="2235"/>
      <c r="PPU9" s="2235"/>
      <c r="PPV9" s="2235"/>
      <c r="PPW9" s="2235"/>
      <c r="PPX9" s="2235"/>
      <c r="PPY9" s="2235"/>
      <c r="PPZ9" s="2235"/>
      <c r="PQA9" s="2235"/>
      <c r="PQB9" s="2235"/>
      <c r="PQC9" s="2235"/>
      <c r="PQD9" s="2235"/>
      <c r="PQE9" s="2235"/>
      <c r="PQF9" s="2235"/>
      <c r="PQG9" s="2235"/>
      <c r="PQH9" s="2235"/>
      <c r="PQI9" s="2235"/>
      <c r="PQJ9" s="2235"/>
      <c r="PQK9" s="2235"/>
      <c r="PQL9" s="2235"/>
      <c r="PQM9" s="2235"/>
      <c r="PQN9" s="2235"/>
      <c r="PQO9" s="2235"/>
      <c r="PQP9" s="2235"/>
      <c r="PQQ9" s="2235"/>
      <c r="PQR9" s="2235"/>
      <c r="PQS9" s="2235"/>
      <c r="PQT9" s="2235"/>
      <c r="PQU9" s="2235"/>
      <c r="PQV9" s="2235"/>
      <c r="PQW9" s="2235"/>
      <c r="PQX9" s="2235"/>
      <c r="PQY9" s="2235"/>
      <c r="PQZ9" s="2235"/>
      <c r="PRA9" s="2235"/>
      <c r="PRB9" s="2235"/>
      <c r="PRC9" s="2235"/>
      <c r="PRD9" s="2235"/>
      <c r="PRE9" s="2235"/>
      <c r="PRF9" s="2235"/>
      <c r="PRG9" s="2235"/>
      <c r="PRH9" s="2235"/>
      <c r="PRI9" s="2235"/>
      <c r="PRJ9" s="2235"/>
      <c r="PRK9" s="2235"/>
      <c r="PRL9" s="2235"/>
      <c r="PRM9" s="2235"/>
      <c r="PRN9" s="2235"/>
      <c r="PRO9" s="2235"/>
      <c r="PRP9" s="2235"/>
      <c r="PRQ9" s="2235"/>
      <c r="PRR9" s="2235"/>
      <c r="PRS9" s="2235"/>
      <c r="PRT9" s="2235"/>
      <c r="PRU9" s="2235"/>
      <c r="PRV9" s="2235"/>
      <c r="PRW9" s="2235"/>
      <c r="PRX9" s="2235"/>
      <c r="PRY9" s="2235"/>
      <c r="PRZ9" s="2235"/>
      <c r="PSA9" s="2235"/>
      <c r="PSB9" s="2235"/>
      <c r="PSC9" s="2235"/>
      <c r="PSD9" s="2235"/>
      <c r="PSE9" s="2235"/>
      <c r="PSF9" s="2235"/>
      <c r="PSG9" s="2235"/>
      <c r="PSH9" s="2235"/>
      <c r="PSI9" s="2235"/>
      <c r="PSJ9" s="2235"/>
      <c r="PSK9" s="2235"/>
      <c r="PSL9" s="2235"/>
      <c r="PSM9" s="2235"/>
      <c r="PSN9" s="2235"/>
      <c r="PSO9" s="2235"/>
      <c r="PSP9" s="2235"/>
      <c r="PSQ9" s="2235"/>
      <c r="PSR9" s="2235"/>
      <c r="PSS9" s="2235"/>
      <c r="PST9" s="2235"/>
      <c r="PSU9" s="2235"/>
      <c r="PSV9" s="2235"/>
      <c r="PSW9" s="2235"/>
      <c r="PSX9" s="2235"/>
      <c r="PSY9" s="2235"/>
      <c r="PSZ9" s="2235"/>
      <c r="PTA9" s="2235"/>
      <c r="PTB9" s="2235"/>
      <c r="PTC9" s="2235"/>
      <c r="PTD9" s="2235"/>
      <c r="PTE9" s="2235"/>
      <c r="PTF9" s="2235"/>
      <c r="PTG9" s="2235"/>
      <c r="PTH9" s="2235"/>
      <c r="PTI9" s="2235"/>
      <c r="PTJ9" s="2235"/>
      <c r="PTK9" s="2235"/>
      <c r="PTL9" s="2235"/>
      <c r="PTM9" s="2235"/>
      <c r="PTN9" s="2235"/>
      <c r="PTO9" s="2235"/>
      <c r="PTP9" s="2235"/>
      <c r="PTQ9" s="2235"/>
      <c r="PTR9" s="2235"/>
      <c r="PTS9" s="2235"/>
      <c r="PTT9" s="2235"/>
      <c r="PTU9" s="2235"/>
      <c r="PTV9" s="2235"/>
      <c r="PTW9" s="2235"/>
      <c r="PTX9" s="2235"/>
      <c r="PTY9" s="2235"/>
      <c r="PTZ9" s="2235"/>
      <c r="PUA9" s="2235"/>
      <c r="PUB9" s="2235"/>
      <c r="PUC9" s="2235"/>
      <c r="PUD9" s="2235"/>
      <c r="PUE9" s="2235"/>
      <c r="PUF9" s="2235"/>
      <c r="PUG9" s="2235"/>
      <c r="PUH9" s="2235"/>
      <c r="PUI9" s="2235"/>
      <c r="PUJ9" s="2235"/>
      <c r="PUK9" s="2235"/>
      <c r="PUL9" s="2235"/>
      <c r="PUM9" s="2235"/>
      <c r="PUN9" s="2235"/>
      <c r="PUO9" s="2235"/>
      <c r="PUP9" s="2235"/>
      <c r="PUQ9" s="2235"/>
      <c r="PUR9" s="2235"/>
      <c r="PUS9" s="2235"/>
      <c r="PUT9" s="2235"/>
      <c r="PUU9" s="2235"/>
      <c r="PUV9" s="2235"/>
      <c r="PUW9" s="2235"/>
      <c r="PUX9" s="2235"/>
      <c r="PUY9" s="2235"/>
      <c r="PUZ9" s="2235"/>
      <c r="PVA9" s="2235"/>
      <c r="PVB9" s="2235"/>
      <c r="PVC9" s="2235"/>
      <c r="PVD9" s="2235"/>
      <c r="PVE9" s="2235"/>
      <c r="PVF9" s="2235"/>
      <c r="PVG9" s="2235"/>
      <c r="PVH9" s="2235"/>
      <c r="PVI9" s="2235"/>
      <c r="PVJ9" s="2235"/>
      <c r="PVK9" s="2235"/>
      <c r="PVL9" s="2235"/>
      <c r="PVM9" s="2235"/>
      <c r="PVN9" s="2235"/>
      <c r="PVO9" s="2235"/>
      <c r="PVP9" s="2235"/>
      <c r="PVQ9" s="2235"/>
      <c r="PVR9" s="2235"/>
      <c r="PVS9" s="2235"/>
      <c r="PVT9" s="2235"/>
      <c r="PVU9" s="2235"/>
      <c r="PVV9" s="2235"/>
      <c r="PVW9" s="2235"/>
      <c r="PVX9" s="2235"/>
      <c r="PVY9" s="2235"/>
      <c r="PVZ9" s="2235"/>
      <c r="PWA9" s="2235"/>
      <c r="PWB9" s="2235"/>
      <c r="PWC9" s="2235"/>
      <c r="PWD9" s="2235"/>
      <c r="PWE9" s="2235"/>
      <c r="PWF9" s="2235"/>
      <c r="PWG9" s="2235"/>
      <c r="PWH9" s="2235"/>
      <c r="PWI9" s="2235"/>
      <c r="PWJ9" s="2235"/>
      <c r="PWK9" s="2235"/>
      <c r="PWL9" s="2235"/>
      <c r="PWM9" s="2235"/>
      <c r="PWN9" s="2235"/>
      <c r="PWO9" s="2235"/>
      <c r="PWP9" s="2235"/>
      <c r="PWQ9" s="2235"/>
      <c r="PWR9" s="2235"/>
      <c r="PWS9" s="2235"/>
      <c r="PWT9" s="2235"/>
      <c r="PWU9" s="2235"/>
      <c r="PWV9" s="2235"/>
      <c r="PWW9" s="2235"/>
      <c r="PWX9" s="2235"/>
      <c r="PWY9" s="2235"/>
      <c r="PWZ9" s="2235"/>
      <c r="PXA9" s="2235"/>
      <c r="PXB9" s="2235"/>
      <c r="PXC9" s="2235"/>
      <c r="PXD9" s="2235"/>
      <c r="PXE9" s="2235"/>
      <c r="PXF9" s="2235"/>
      <c r="PXG9" s="2235"/>
      <c r="PXH9" s="2235"/>
      <c r="PXI9" s="2235"/>
      <c r="PXJ9" s="2235"/>
      <c r="PXK9" s="2235"/>
      <c r="PXL9" s="2235"/>
      <c r="PXM9" s="2235"/>
      <c r="PXN9" s="2235"/>
      <c r="PXO9" s="2235"/>
      <c r="PXP9" s="2235"/>
      <c r="PXQ9" s="2235"/>
      <c r="PXR9" s="2235"/>
      <c r="PXS9" s="2235"/>
      <c r="PXT9" s="2235"/>
      <c r="PXU9" s="2235"/>
      <c r="PXV9" s="2235"/>
      <c r="PXW9" s="2235"/>
      <c r="PXX9" s="2235"/>
      <c r="PXY9" s="2235"/>
      <c r="PXZ9" s="2235"/>
      <c r="PYA9" s="2235"/>
      <c r="PYB9" s="2235"/>
      <c r="PYC9" s="2235"/>
      <c r="PYD9" s="2235"/>
      <c r="PYE9" s="2235"/>
      <c r="PYF9" s="2235"/>
      <c r="PYG9" s="2235"/>
      <c r="PYH9" s="2235"/>
      <c r="PYI9" s="2235"/>
      <c r="PYJ9" s="2235"/>
      <c r="PYK9" s="2235"/>
      <c r="PYL9" s="2235"/>
      <c r="PYM9" s="2235"/>
      <c r="PYN9" s="2235"/>
      <c r="PYO9" s="2235"/>
      <c r="PYP9" s="2235"/>
      <c r="PYQ9" s="2235"/>
      <c r="PYR9" s="2235"/>
      <c r="PYS9" s="2235"/>
      <c r="PYT9" s="2235"/>
      <c r="PYU9" s="2235"/>
      <c r="PYV9" s="2235"/>
      <c r="PYW9" s="2235"/>
      <c r="PYX9" s="2235"/>
      <c r="PYY9" s="2235"/>
      <c r="PYZ9" s="2235"/>
      <c r="PZA9" s="2235"/>
      <c r="PZB9" s="2235"/>
      <c r="PZC9" s="2235"/>
      <c r="PZD9" s="2235"/>
      <c r="PZE9" s="2235"/>
      <c r="PZF9" s="2235"/>
      <c r="PZG9" s="2235"/>
      <c r="PZH9" s="2235"/>
      <c r="PZI9" s="2235"/>
      <c r="PZJ9" s="2235"/>
      <c r="PZK9" s="2235"/>
      <c r="PZL9" s="2235"/>
      <c r="PZM9" s="2235"/>
      <c r="PZN9" s="2235"/>
      <c r="PZO9" s="2235"/>
      <c r="PZP9" s="2235"/>
      <c r="PZQ9" s="2235"/>
      <c r="PZR9" s="2235"/>
      <c r="PZS9" s="2235"/>
      <c r="PZT9" s="2235"/>
      <c r="PZU9" s="2235"/>
      <c r="PZV9" s="2235"/>
      <c r="PZW9" s="2235"/>
      <c r="PZX9" s="2235"/>
      <c r="PZY9" s="2235"/>
      <c r="PZZ9" s="2235"/>
      <c r="QAA9" s="2235"/>
      <c r="QAB9" s="2235"/>
      <c r="QAC9" s="2235"/>
      <c r="QAD9" s="2235"/>
      <c r="QAE9" s="2235"/>
      <c r="QAF9" s="2235"/>
      <c r="QAG9" s="2235"/>
      <c r="QAH9" s="2235"/>
      <c r="QAI9" s="2235"/>
      <c r="QAJ9" s="2235"/>
      <c r="QAK9" s="2235"/>
      <c r="QAL9" s="2235"/>
      <c r="QAM9" s="2235"/>
      <c r="QAN9" s="2235"/>
      <c r="QAO9" s="2235"/>
      <c r="QAP9" s="2235"/>
      <c r="QAQ9" s="2235"/>
      <c r="QAR9" s="2235"/>
      <c r="QAS9" s="2235"/>
      <c r="QAT9" s="2235"/>
      <c r="QAU9" s="2235"/>
      <c r="QAV9" s="2235"/>
      <c r="QAW9" s="2235"/>
      <c r="QAX9" s="2235"/>
      <c r="QAY9" s="2235"/>
      <c r="QAZ9" s="2235"/>
      <c r="QBA9" s="2235"/>
      <c r="QBB9" s="2235"/>
      <c r="QBC9" s="2235"/>
      <c r="QBD9" s="2235"/>
      <c r="QBE9" s="2235"/>
      <c r="QBF9" s="2235"/>
      <c r="QBG9" s="2235"/>
      <c r="QBH9" s="2235"/>
      <c r="QBI9" s="2235"/>
      <c r="QBJ9" s="2235"/>
      <c r="QBK9" s="2235"/>
      <c r="QBL9" s="2235"/>
      <c r="QBM9" s="2235"/>
      <c r="QBN9" s="2235"/>
      <c r="QBO9" s="2235"/>
      <c r="QBP9" s="2235"/>
      <c r="QBQ9" s="2235"/>
      <c r="QBR9" s="2235"/>
      <c r="QBS9" s="2235"/>
      <c r="QBT9" s="2235"/>
      <c r="QBU9" s="2235"/>
      <c r="QBV9" s="2235"/>
      <c r="QBW9" s="2235"/>
      <c r="QBX9" s="2235"/>
      <c r="QBY9" s="2235"/>
      <c r="QBZ9" s="2235"/>
      <c r="QCA9" s="2235"/>
      <c r="QCB9" s="2235"/>
      <c r="QCC9" s="2235"/>
      <c r="QCD9" s="2235"/>
      <c r="QCE9" s="2235"/>
      <c r="QCF9" s="2235"/>
      <c r="QCG9" s="2235"/>
      <c r="QCH9" s="2235"/>
      <c r="QCI9" s="2235"/>
      <c r="QCJ9" s="2235"/>
      <c r="QCK9" s="2235"/>
      <c r="QCL9" s="2235"/>
      <c r="QCM9" s="2235"/>
      <c r="QCN9" s="2235"/>
      <c r="QCO9" s="2235"/>
      <c r="QCP9" s="2235"/>
      <c r="QCQ9" s="2235"/>
      <c r="QCR9" s="2235"/>
      <c r="QCS9" s="2235"/>
      <c r="QCT9" s="2235"/>
      <c r="QCU9" s="2235"/>
      <c r="QCV9" s="2235"/>
      <c r="QCW9" s="2235"/>
      <c r="QCX9" s="2235"/>
      <c r="QCY9" s="2235"/>
      <c r="QCZ9" s="2235"/>
      <c r="QDA9" s="2235"/>
      <c r="QDB9" s="2235"/>
      <c r="QDC9" s="2235"/>
      <c r="QDD9" s="2235"/>
      <c r="QDE9" s="2235"/>
      <c r="QDF9" s="2235"/>
      <c r="QDG9" s="2235"/>
      <c r="QDH9" s="2235"/>
      <c r="QDI9" s="2235"/>
      <c r="QDJ9" s="2235"/>
      <c r="QDK9" s="2235"/>
      <c r="QDL9" s="2235"/>
      <c r="QDM9" s="2235"/>
      <c r="QDN9" s="2235"/>
      <c r="QDO9" s="2235"/>
      <c r="QDP9" s="2235"/>
      <c r="QDQ9" s="2235"/>
      <c r="QDR9" s="2235"/>
      <c r="QDS9" s="2235"/>
      <c r="QDT9" s="2235"/>
      <c r="QDU9" s="2235"/>
      <c r="QDV9" s="2235"/>
      <c r="QDW9" s="2235"/>
      <c r="QDX9" s="2235"/>
      <c r="QDY9" s="2235"/>
      <c r="QDZ9" s="2235"/>
      <c r="QEA9" s="2235"/>
      <c r="QEB9" s="2235"/>
      <c r="QEC9" s="2235"/>
      <c r="QED9" s="2235"/>
      <c r="QEE9" s="2235"/>
      <c r="QEF9" s="2235"/>
      <c r="QEG9" s="2235"/>
      <c r="QEH9" s="2235"/>
      <c r="QEI9" s="2235"/>
      <c r="QEJ9" s="2235"/>
      <c r="QEK9" s="2235"/>
      <c r="QEL9" s="2235"/>
      <c r="QEM9" s="2235"/>
      <c r="QEN9" s="2235"/>
      <c r="QEO9" s="2235"/>
      <c r="QEP9" s="2235"/>
      <c r="QEQ9" s="2235"/>
      <c r="QER9" s="2235"/>
      <c r="QES9" s="2235"/>
      <c r="QET9" s="2235"/>
      <c r="QEU9" s="2235"/>
      <c r="QEV9" s="2235"/>
      <c r="QEW9" s="2235"/>
      <c r="QEX9" s="2235"/>
      <c r="QEY9" s="2235"/>
      <c r="QEZ9" s="2235"/>
      <c r="QFA9" s="2235"/>
      <c r="QFB9" s="2235"/>
      <c r="QFC9" s="2235"/>
      <c r="QFD9" s="2235"/>
      <c r="QFE9" s="2235"/>
      <c r="QFF9" s="2235"/>
      <c r="QFG9" s="2235"/>
      <c r="QFH9" s="2235"/>
      <c r="QFI9" s="2235"/>
      <c r="QFJ9" s="2235"/>
      <c r="QFK9" s="2235"/>
      <c r="QFL9" s="2235"/>
      <c r="QFM9" s="2235"/>
      <c r="QFN9" s="2235"/>
      <c r="QFO9" s="2235"/>
      <c r="QFP9" s="2235"/>
      <c r="QFQ9" s="2235"/>
      <c r="QFR9" s="2235"/>
      <c r="QFS9" s="2235"/>
      <c r="QFT9" s="2235"/>
      <c r="QFU9" s="2235"/>
      <c r="QFV9" s="2235"/>
      <c r="QFW9" s="2235"/>
      <c r="QFX9" s="2235"/>
      <c r="QFY9" s="2235"/>
      <c r="QFZ9" s="2235"/>
      <c r="QGA9" s="2235"/>
      <c r="QGB9" s="2235"/>
      <c r="QGC9" s="2235"/>
      <c r="QGD9" s="2235"/>
      <c r="QGE9" s="2235"/>
      <c r="QGF9" s="2235"/>
      <c r="QGG9" s="2235"/>
      <c r="QGH9" s="2235"/>
      <c r="QGI9" s="2235"/>
      <c r="QGJ9" s="2235"/>
      <c r="QGK9" s="2235"/>
      <c r="QGL9" s="2235"/>
      <c r="QGM9" s="2235"/>
      <c r="QGN9" s="2235"/>
      <c r="QGO9" s="2235"/>
      <c r="QGP9" s="2235"/>
      <c r="QGQ9" s="2235"/>
      <c r="QGR9" s="2235"/>
      <c r="QGS9" s="2235"/>
      <c r="QGT9" s="2235"/>
      <c r="QGU9" s="2235"/>
      <c r="QGV9" s="2235"/>
      <c r="QGW9" s="2235"/>
      <c r="QGX9" s="2235"/>
      <c r="QGY9" s="2235"/>
      <c r="QGZ9" s="2235"/>
      <c r="QHA9" s="2235"/>
      <c r="QHB9" s="2235"/>
      <c r="QHC9" s="2235"/>
      <c r="QHD9" s="2235"/>
      <c r="QHE9" s="2235"/>
      <c r="QHF9" s="2235"/>
      <c r="QHG9" s="2235"/>
      <c r="QHH9" s="2235"/>
      <c r="QHI9" s="2235"/>
      <c r="QHJ9" s="2235"/>
      <c r="QHK9" s="2235"/>
      <c r="QHL9" s="2235"/>
      <c r="QHM9" s="2235"/>
      <c r="QHN9" s="2235"/>
      <c r="QHO9" s="2235"/>
      <c r="QHP9" s="2235"/>
      <c r="QHQ9" s="2235"/>
      <c r="QHR9" s="2235"/>
      <c r="QHS9" s="2235"/>
      <c r="QHT9" s="2235"/>
      <c r="QHU9" s="2235"/>
      <c r="QHV9" s="2235"/>
      <c r="QHW9" s="2235"/>
      <c r="QHX9" s="2235"/>
      <c r="QHY9" s="2235"/>
      <c r="QHZ9" s="2235"/>
      <c r="QIA9" s="2235"/>
      <c r="QIB9" s="2235"/>
      <c r="QIC9" s="2235"/>
      <c r="QID9" s="2235"/>
      <c r="QIE9" s="2235"/>
      <c r="QIF9" s="2235"/>
      <c r="QIG9" s="2235"/>
      <c r="QIH9" s="2235"/>
      <c r="QII9" s="2235"/>
      <c r="QIJ9" s="2235"/>
      <c r="QIK9" s="2235"/>
      <c r="QIL9" s="2235"/>
      <c r="QIM9" s="2235"/>
      <c r="QIN9" s="2235"/>
      <c r="QIO9" s="2235"/>
      <c r="QIP9" s="2235"/>
      <c r="QIQ9" s="2235"/>
      <c r="QIR9" s="2235"/>
      <c r="QIS9" s="2235"/>
      <c r="QIT9" s="2235"/>
      <c r="QIU9" s="2235"/>
      <c r="QIV9" s="2235"/>
      <c r="QIW9" s="2235"/>
      <c r="QIX9" s="2235"/>
      <c r="QIY9" s="2235"/>
      <c r="QIZ9" s="2235"/>
      <c r="QJA9" s="2235"/>
      <c r="QJB9" s="2235"/>
      <c r="QJC9" s="2235"/>
      <c r="QJD9" s="2235"/>
      <c r="QJE9" s="2235"/>
      <c r="QJF9" s="2235"/>
      <c r="QJG9" s="2235"/>
      <c r="QJH9" s="2235"/>
      <c r="QJI9" s="2235"/>
      <c r="QJJ9" s="2235"/>
      <c r="QJK9" s="2235"/>
      <c r="QJL9" s="2235"/>
      <c r="QJM9" s="2235"/>
      <c r="QJN9" s="2235"/>
      <c r="QJO9" s="2235"/>
      <c r="QJP9" s="2235"/>
      <c r="QJQ9" s="2235"/>
      <c r="QJR9" s="2235"/>
      <c r="QJS9" s="2235"/>
      <c r="QJT9" s="2235"/>
      <c r="QJU9" s="2235"/>
      <c r="QJV9" s="2235"/>
      <c r="QJW9" s="2235"/>
      <c r="QJX9" s="2235"/>
      <c r="QJY9" s="2235"/>
      <c r="QJZ9" s="2235"/>
      <c r="QKA9" s="2235"/>
      <c r="QKB9" s="2235"/>
      <c r="QKC9" s="2235"/>
      <c r="QKD9" s="2235"/>
      <c r="QKE9" s="2235"/>
      <c r="QKF9" s="2235"/>
      <c r="QKG9" s="2235"/>
      <c r="QKH9" s="2235"/>
      <c r="QKI9" s="2235"/>
      <c r="QKJ9" s="2235"/>
      <c r="QKK9" s="2235"/>
      <c r="QKL9" s="2235"/>
      <c r="QKM9" s="2235"/>
      <c r="QKN9" s="2235"/>
      <c r="QKO9" s="2235"/>
      <c r="QKP9" s="2235"/>
      <c r="QKQ9" s="2235"/>
      <c r="QKR9" s="2235"/>
      <c r="QKS9" s="2235"/>
      <c r="QKT9" s="2235"/>
      <c r="QKU9" s="2235"/>
      <c r="QKV9" s="2235"/>
      <c r="QKW9" s="2235"/>
      <c r="QKX9" s="2235"/>
      <c r="QKY9" s="2235"/>
      <c r="QKZ9" s="2235"/>
      <c r="QLA9" s="2235"/>
      <c r="QLB9" s="2235"/>
      <c r="QLC9" s="2235"/>
      <c r="QLD9" s="2235"/>
      <c r="QLE9" s="2235"/>
      <c r="QLF9" s="2235"/>
      <c r="QLG9" s="2235"/>
      <c r="QLH9" s="2235"/>
      <c r="QLI9" s="2235"/>
      <c r="QLJ9" s="2235"/>
      <c r="QLK9" s="2235"/>
      <c r="QLL9" s="2235"/>
      <c r="QLM9" s="2235"/>
      <c r="QLN9" s="2235"/>
      <c r="QLO9" s="2235"/>
      <c r="QLP9" s="2235"/>
      <c r="QLQ9" s="2235"/>
      <c r="QLR9" s="2235"/>
      <c r="QLS9" s="2235"/>
      <c r="QLT9" s="2235"/>
      <c r="QLU9" s="2235"/>
      <c r="QLV9" s="2235"/>
      <c r="QLW9" s="2235"/>
      <c r="QLX9" s="2235"/>
      <c r="QLY9" s="2235"/>
      <c r="QLZ9" s="2235"/>
      <c r="QMA9" s="2235"/>
      <c r="QMB9" s="2235"/>
      <c r="QMC9" s="2235"/>
      <c r="QMD9" s="2235"/>
      <c r="QME9" s="2235"/>
      <c r="QMF9" s="2235"/>
      <c r="QMG9" s="2235"/>
      <c r="QMH9" s="2235"/>
      <c r="QMI9" s="2235"/>
      <c r="QMJ9" s="2235"/>
      <c r="QMK9" s="2235"/>
      <c r="QML9" s="2235"/>
      <c r="QMM9" s="2235"/>
      <c r="QMN9" s="2235"/>
      <c r="QMO9" s="2235"/>
      <c r="QMP9" s="2235"/>
      <c r="QMQ9" s="2235"/>
      <c r="QMR9" s="2235"/>
      <c r="QMS9" s="2235"/>
      <c r="QMT9" s="2235"/>
      <c r="QMU9" s="2235"/>
      <c r="QMV9" s="2235"/>
      <c r="QMW9" s="2235"/>
      <c r="QMX9" s="2235"/>
      <c r="QMY9" s="2235"/>
      <c r="QMZ9" s="2235"/>
      <c r="QNA9" s="2235"/>
      <c r="QNB9" s="2235"/>
      <c r="QNC9" s="2235"/>
      <c r="QND9" s="2235"/>
      <c r="QNE9" s="2235"/>
      <c r="QNF9" s="2235"/>
      <c r="QNG9" s="2235"/>
      <c r="QNH9" s="2235"/>
      <c r="QNI9" s="2235"/>
      <c r="QNJ9" s="2235"/>
      <c r="QNK9" s="2235"/>
      <c r="QNL9" s="2235"/>
      <c r="QNM9" s="2235"/>
      <c r="QNN9" s="2235"/>
      <c r="QNO9" s="2235"/>
      <c r="QNP9" s="2235"/>
      <c r="QNQ9" s="2235"/>
      <c r="QNR9" s="2235"/>
      <c r="QNS9" s="2235"/>
      <c r="QNT9" s="2235"/>
      <c r="QNU9" s="2235"/>
      <c r="QNV9" s="2235"/>
      <c r="QNW9" s="2235"/>
      <c r="QNX9" s="2235"/>
      <c r="QNY9" s="2235"/>
      <c r="QNZ9" s="2235"/>
      <c r="QOA9" s="2235"/>
      <c r="QOB9" s="2235"/>
      <c r="QOC9" s="2235"/>
      <c r="QOD9" s="2235"/>
      <c r="QOE9" s="2235"/>
      <c r="QOF9" s="2235"/>
      <c r="QOG9" s="2235"/>
      <c r="QOH9" s="2235"/>
      <c r="QOI9" s="2235"/>
      <c r="QOJ9" s="2235"/>
      <c r="QOK9" s="2235"/>
      <c r="QOL9" s="2235"/>
      <c r="QOM9" s="2235"/>
      <c r="QON9" s="2235"/>
      <c r="QOO9" s="2235"/>
      <c r="QOP9" s="2235"/>
      <c r="QOQ9" s="2235"/>
      <c r="QOR9" s="2235"/>
      <c r="QOS9" s="2235"/>
      <c r="QOT9" s="2235"/>
      <c r="QOU9" s="2235"/>
      <c r="QOV9" s="2235"/>
      <c r="QOW9" s="2235"/>
      <c r="QOX9" s="2235"/>
      <c r="QOY9" s="2235"/>
      <c r="QOZ9" s="2235"/>
      <c r="QPA9" s="2235"/>
      <c r="QPB9" s="2235"/>
      <c r="QPC9" s="2235"/>
      <c r="QPD9" s="2235"/>
      <c r="QPE9" s="2235"/>
      <c r="QPF9" s="2235"/>
      <c r="QPG9" s="2235"/>
      <c r="QPH9" s="2235"/>
      <c r="QPI9" s="2235"/>
      <c r="QPJ9" s="2235"/>
      <c r="QPK9" s="2235"/>
      <c r="QPL9" s="2235"/>
      <c r="QPM9" s="2235"/>
      <c r="QPN9" s="2235"/>
      <c r="QPO9" s="2235"/>
      <c r="QPP9" s="2235"/>
      <c r="QPQ9" s="2235"/>
      <c r="QPR9" s="2235"/>
      <c r="QPS9" s="2235"/>
      <c r="QPT9" s="2235"/>
      <c r="QPU9" s="2235"/>
      <c r="QPV9" s="2235"/>
      <c r="QPW9" s="2235"/>
      <c r="QPX9" s="2235"/>
      <c r="QPY9" s="2235"/>
      <c r="QPZ9" s="2235"/>
      <c r="QQA9" s="2235"/>
      <c r="QQB9" s="2235"/>
      <c r="QQC9" s="2235"/>
      <c r="QQD9" s="2235"/>
      <c r="QQE9" s="2235"/>
      <c r="QQF9" s="2235"/>
      <c r="QQG9" s="2235"/>
      <c r="QQH9" s="2235"/>
      <c r="QQI9" s="2235"/>
      <c r="QQJ9" s="2235"/>
      <c r="QQK9" s="2235"/>
      <c r="QQL9" s="2235"/>
      <c r="QQM9" s="2235"/>
      <c r="QQN9" s="2235"/>
      <c r="QQO9" s="2235"/>
      <c r="QQP9" s="2235"/>
      <c r="QQQ9" s="2235"/>
      <c r="QQR9" s="2235"/>
      <c r="QQS9" s="2235"/>
      <c r="QQT9" s="2235"/>
      <c r="QQU9" s="2235"/>
      <c r="QQV9" s="2235"/>
      <c r="QQW9" s="2235"/>
      <c r="QQX9" s="2235"/>
      <c r="QQY9" s="2235"/>
      <c r="QQZ9" s="2235"/>
      <c r="QRA9" s="2235"/>
      <c r="QRB9" s="2235"/>
      <c r="QRC9" s="2235"/>
      <c r="QRD9" s="2235"/>
      <c r="QRE9" s="2235"/>
      <c r="QRF9" s="2235"/>
      <c r="QRG9" s="2235"/>
      <c r="QRH9" s="2235"/>
      <c r="QRI9" s="2235"/>
      <c r="QRJ9" s="2235"/>
      <c r="QRK9" s="2235"/>
      <c r="QRL9" s="2235"/>
      <c r="QRM9" s="2235"/>
      <c r="QRN9" s="2235"/>
      <c r="QRO9" s="2235"/>
      <c r="QRP9" s="2235"/>
      <c r="QRQ9" s="2235"/>
      <c r="QRR9" s="2235"/>
      <c r="QRS9" s="2235"/>
      <c r="QRT9" s="2235"/>
      <c r="QRU9" s="2235"/>
      <c r="QRV9" s="2235"/>
      <c r="QRW9" s="2235"/>
      <c r="QRX9" s="2235"/>
      <c r="QRY9" s="2235"/>
      <c r="QRZ9" s="2235"/>
      <c r="QSA9" s="2235"/>
      <c r="QSB9" s="2235"/>
      <c r="QSC9" s="2235"/>
      <c r="QSD9" s="2235"/>
      <c r="QSE9" s="2235"/>
      <c r="QSF9" s="2235"/>
      <c r="QSG9" s="2235"/>
      <c r="QSH9" s="2235"/>
      <c r="QSI9" s="2235"/>
      <c r="QSJ9" s="2235"/>
      <c r="QSK9" s="2235"/>
      <c r="QSL9" s="2235"/>
      <c r="QSM9" s="2235"/>
      <c r="QSN9" s="2235"/>
      <c r="QSO9" s="2235"/>
      <c r="QSP9" s="2235"/>
      <c r="QSQ9" s="2235"/>
      <c r="QSR9" s="2235"/>
      <c r="QSS9" s="2235"/>
      <c r="QST9" s="2235"/>
      <c r="QSU9" s="2235"/>
      <c r="QSV9" s="2235"/>
      <c r="QSW9" s="2235"/>
      <c r="QSX9" s="2235"/>
      <c r="QSY9" s="2235"/>
      <c r="QSZ9" s="2235"/>
      <c r="QTA9" s="2235"/>
      <c r="QTB9" s="2235"/>
      <c r="QTC9" s="2235"/>
      <c r="QTD9" s="2235"/>
      <c r="QTE9" s="2235"/>
      <c r="QTF9" s="2235"/>
      <c r="QTG9" s="2235"/>
      <c r="QTH9" s="2235"/>
      <c r="QTI9" s="2235"/>
      <c r="QTJ9" s="2235"/>
      <c r="QTK9" s="2235"/>
      <c r="QTL9" s="2235"/>
      <c r="QTM9" s="2235"/>
      <c r="QTN9" s="2235"/>
      <c r="QTO9" s="2235"/>
      <c r="QTP9" s="2235"/>
      <c r="QTQ9" s="2235"/>
      <c r="QTR9" s="2235"/>
      <c r="QTS9" s="2235"/>
      <c r="QTT9" s="2235"/>
      <c r="QTU9" s="2235"/>
      <c r="QTV9" s="2235"/>
      <c r="QTW9" s="2235"/>
      <c r="QTX9" s="2235"/>
      <c r="QTY9" s="2235"/>
      <c r="QTZ9" s="2235"/>
      <c r="QUA9" s="2235"/>
      <c r="QUB9" s="2235"/>
      <c r="QUC9" s="2235"/>
      <c r="QUD9" s="2235"/>
      <c r="QUE9" s="2235"/>
      <c r="QUF9" s="2235"/>
      <c r="QUG9" s="2235"/>
      <c r="QUH9" s="2235"/>
      <c r="QUI9" s="2235"/>
      <c r="QUJ9" s="2235"/>
      <c r="QUK9" s="2235"/>
      <c r="QUL9" s="2235"/>
      <c r="QUM9" s="2235"/>
      <c r="QUN9" s="2235"/>
      <c r="QUO9" s="2235"/>
      <c r="QUP9" s="2235"/>
      <c r="QUQ9" s="2235"/>
      <c r="QUR9" s="2235"/>
      <c r="QUS9" s="2235"/>
      <c r="QUT9" s="2235"/>
      <c r="QUU9" s="2235"/>
      <c r="QUV9" s="2235"/>
      <c r="QUW9" s="2235"/>
      <c r="QUX9" s="2235"/>
      <c r="QUY9" s="2235"/>
      <c r="QUZ9" s="2235"/>
      <c r="QVA9" s="2235"/>
      <c r="QVB9" s="2235"/>
      <c r="QVC9" s="2235"/>
      <c r="QVD9" s="2235"/>
      <c r="QVE9" s="2235"/>
      <c r="QVF9" s="2235"/>
      <c r="QVG9" s="2235"/>
      <c r="QVH9" s="2235"/>
      <c r="QVI9" s="2235"/>
      <c r="QVJ9" s="2235"/>
      <c r="QVK9" s="2235"/>
      <c r="QVL9" s="2235"/>
      <c r="QVM9" s="2235"/>
      <c r="QVN9" s="2235"/>
      <c r="QVO9" s="2235"/>
      <c r="QVP9" s="2235"/>
      <c r="QVQ9" s="2235"/>
      <c r="QVR9" s="2235"/>
      <c r="QVS9" s="2235"/>
      <c r="QVT9" s="2235"/>
      <c r="QVU9" s="2235"/>
      <c r="QVV9" s="2235"/>
      <c r="QVW9" s="2235"/>
      <c r="QVX9" s="2235"/>
      <c r="QVY9" s="2235"/>
      <c r="QVZ9" s="2235"/>
      <c r="QWA9" s="2235"/>
      <c r="QWB9" s="2235"/>
      <c r="QWC9" s="2235"/>
      <c r="QWD9" s="2235"/>
      <c r="QWE9" s="2235"/>
      <c r="QWF9" s="2235"/>
      <c r="QWG9" s="2235"/>
      <c r="QWH9" s="2235"/>
      <c r="QWI9" s="2235"/>
      <c r="QWJ9" s="2235"/>
      <c r="QWK9" s="2235"/>
      <c r="QWL9" s="2235"/>
      <c r="QWM9" s="2235"/>
      <c r="QWN9" s="2235"/>
      <c r="QWO9" s="2235"/>
      <c r="QWP9" s="2235"/>
      <c r="QWQ9" s="2235"/>
      <c r="QWR9" s="2235"/>
      <c r="QWS9" s="2235"/>
      <c r="QWT9" s="2235"/>
      <c r="QWU9" s="2235"/>
      <c r="QWV9" s="2235"/>
      <c r="QWW9" s="2235"/>
      <c r="QWX9" s="2235"/>
      <c r="QWY9" s="2235"/>
      <c r="QWZ9" s="2235"/>
      <c r="QXA9" s="2235"/>
      <c r="QXB9" s="2235"/>
      <c r="QXC9" s="2235"/>
      <c r="QXD9" s="2235"/>
      <c r="QXE9" s="2235"/>
      <c r="QXF9" s="2235"/>
      <c r="QXG9" s="2235"/>
      <c r="QXH9" s="2235"/>
      <c r="QXI9" s="2235"/>
      <c r="QXJ9" s="2235"/>
      <c r="QXK9" s="2235"/>
      <c r="QXL9" s="2235"/>
      <c r="QXM9" s="2235"/>
      <c r="QXN9" s="2235"/>
      <c r="QXO9" s="2235"/>
      <c r="QXP9" s="2235"/>
      <c r="QXQ9" s="2235"/>
      <c r="QXR9" s="2235"/>
      <c r="QXS9" s="2235"/>
      <c r="QXT9" s="2235"/>
      <c r="QXU9" s="2235"/>
      <c r="QXV9" s="2235"/>
      <c r="QXW9" s="2235"/>
      <c r="QXX9" s="2235"/>
      <c r="QXY9" s="2235"/>
      <c r="QXZ9" s="2235"/>
      <c r="QYA9" s="2235"/>
      <c r="QYB9" s="2235"/>
      <c r="QYC9" s="2235"/>
      <c r="QYD9" s="2235"/>
      <c r="QYE9" s="2235"/>
      <c r="QYF9" s="2235"/>
      <c r="QYG9" s="2235"/>
      <c r="QYH9" s="2235"/>
      <c r="QYI9" s="2235"/>
      <c r="QYJ9" s="2235"/>
      <c r="QYK9" s="2235"/>
      <c r="QYL9" s="2235"/>
      <c r="QYM9" s="2235"/>
      <c r="QYN9" s="2235"/>
      <c r="QYO9" s="2235"/>
      <c r="QYP9" s="2235"/>
      <c r="QYQ9" s="2235"/>
      <c r="QYR9" s="2235"/>
      <c r="QYS9" s="2235"/>
      <c r="QYT9" s="2235"/>
      <c r="QYU9" s="2235"/>
      <c r="QYV9" s="2235"/>
      <c r="QYW9" s="2235"/>
      <c r="QYX9" s="2235"/>
      <c r="QYY9" s="2235"/>
      <c r="QYZ9" s="2235"/>
      <c r="QZA9" s="2235"/>
      <c r="QZB9" s="2235"/>
      <c r="QZC9" s="2235"/>
      <c r="QZD9" s="2235"/>
      <c r="QZE9" s="2235"/>
      <c r="QZF9" s="2235"/>
      <c r="QZG9" s="2235"/>
      <c r="QZH9" s="2235"/>
      <c r="QZI9" s="2235"/>
      <c r="QZJ9" s="2235"/>
      <c r="QZK9" s="2235"/>
      <c r="QZL9" s="2235"/>
      <c r="QZM9" s="2235"/>
      <c r="QZN9" s="2235"/>
      <c r="QZO9" s="2235"/>
      <c r="QZP9" s="2235"/>
      <c r="QZQ9" s="2235"/>
      <c r="QZR9" s="2235"/>
      <c r="QZS9" s="2235"/>
      <c r="QZT9" s="2235"/>
      <c r="QZU9" s="2235"/>
      <c r="QZV9" s="2235"/>
      <c r="QZW9" s="2235"/>
      <c r="QZX9" s="2235"/>
      <c r="QZY9" s="2235"/>
      <c r="QZZ9" s="2235"/>
      <c r="RAA9" s="2235"/>
      <c r="RAB9" s="2235"/>
      <c r="RAC9" s="2235"/>
      <c r="RAD9" s="2235"/>
      <c r="RAE9" s="2235"/>
      <c r="RAF9" s="2235"/>
      <c r="RAG9" s="2235"/>
      <c r="RAH9" s="2235"/>
      <c r="RAI9" s="2235"/>
      <c r="RAJ9" s="2235"/>
      <c r="RAK9" s="2235"/>
      <c r="RAL9" s="2235"/>
      <c r="RAM9" s="2235"/>
      <c r="RAN9" s="2235"/>
      <c r="RAO9" s="2235"/>
      <c r="RAP9" s="2235"/>
      <c r="RAQ9" s="2235"/>
      <c r="RAR9" s="2235"/>
      <c r="RAS9" s="2235"/>
      <c r="RAT9" s="2235"/>
      <c r="RAU9" s="2235"/>
      <c r="RAV9" s="2235"/>
      <c r="RAW9" s="2235"/>
      <c r="RAX9" s="2235"/>
      <c r="RAY9" s="2235"/>
      <c r="RAZ9" s="2235"/>
      <c r="RBA9" s="2235"/>
      <c r="RBB9" s="2235"/>
      <c r="RBC9" s="2235"/>
      <c r="RBD9" s="2235"/>
      <c r="RBE9" s="2235"/>
      <c r="RBF9" s="2235"/>
      <c r="RBG9" s="2235"/>
      <c r="RBH9" s="2235"/>
      <c r="RBI9" s="2235"/>
      <c r="RBJ9" s="2235"/>
      <c r="RBK9" s="2235"/>
      <c r="RBL9" s="2235"/>
      <c r="RBM9" s="2235"/>
      <c r="RBN9" s="2235"/>
      <c r="RBO9" s="2235"/>
      <c r="RBP9" s="2235"/>
      <c r="RBQ9" s="2235"/>
      <c r="RBR9" s="2235"/>
      <c r="RBS9" s="2235"/>
      <c r="RBT9" s="2235"/>
      <c r="RBU9" s="2235"/>
      <c r="RBV9" s="2235"/>
      <c r="RBW9" s="2235"/>
      <c r="RBX9" s="2235"/>
      <c r="RBY9" s="2235"/>
      <c r="RBZ9" s="2235"/>
      <c r="RCA9" s="2235"/>
      <c r="RCB9" s="2235"/>
      <c r="RCC9" s="2235"/>
      <c r="RCD9" s="2235"/>
      <c r="RCE9" s="2235"/>
      <c r="RCF9" s="2235"/>
      <c r="RCG9" s="2235"/>
      <c r="RCH9" s="2235"/>
      <c r="RCI9" s="2235"/>
      <c r="RCJ9" s="2235"/>
      <c r="RCK9" s="2235"/>
      <c r="RCL9" s="2235"/>
      <c r="RCM9" s="2235"/>
      <c r="RCN9" s="2235"/>
      <c r="RCO9" s="2235"/>
      <c r="RCP9" s="2235"/>
      <c r="RCQ9" s="2235"/>
      <c r="RCR9" s="2235"/>
      <c r="RCS9" s="2235"/>
      <c r="RCT9" s="2235"/>
      <c r="RCU9" s="2235"/>
      <c r="RCV9" s="2235"/>
      <c r="RCW9" s="2235"/>
      <c r="RCX9" s="2235"/>
      <c r="RCY9" s="2235"/>
      <c r="RCZ9" s="2235"/>
      <c r="RDA9" s="2235"/>
      <c r="RDB9" s="2235"/>
      <c r="RDC9" s="2235"/>
      <c r="RDD9" s="2235"/>
      <c r="RDE9" s="2235"/>
      <c r="RDF9" s="2235"/>
      <c r="RDG9" s="2235"/>
      <c r="RDH9" s="2235"/>
      <c r="RDI9" s="2235"/>
      <c r="RDJ9" s="2235"/>
      <c r="RDK9" s="2235"/>
      <c r="RDL9" s="2235"/>
      <c r="RDM9" s="2235"/>
      <c r="RDN9" s="2235"/>
      <c r="RDO9" s="2235"/>
      <c r="RDP9" s="2235"/>
      <c r="RDQ9" s="2235"/>
      <c r="RDR9" s="2235"/>
      <c r="RDS9" s="2235"/>
      <c r="RDT9" s="2235"/>
      <c r="RDU9" s="2235"/>
      <c r="RDV9" s="2235"/>
      <c r="RDW9" s="2235"/>
      <c r="RDX9" s="2235"/>
      <c r="RDY9" s="2235"/>
      <c r="RDZ9" s="2235"/>
      <c r="REA9" s="2235"/>
      <c r="REB9" s="2235"/>
      <c r="REC9" s="2235"/>
      <c r="RED9" s="2235"/>
      <c r="REE9" s="2235"/>
      <c r="REF9" s="2235"/>
      <c r="REG9" s="2235"/>
      <c r="REH9" s="2235"/>
      <c r="REI9" s="2235"/>
      <c r="REJ9" s="2235"/>
      <c r="REK9" s="2235"/>
      <c r="REL9" s="2235"/>
      <c r="REM9" s="2235"/>
      <c r="REN9" s="2235"/>
      <c r="REO9" s="2235"/>
      <c r="REP9" s="2235"/>
      <c r="REQ9" s="2235"/>
      <c r="RER9" s="2235"/>
      <c r="RES9" s="2235"/>
      <c r="RET9" s="2235"/>
      <c r="REU9" s="2235"/>
      <c r="REV9" s="2235"/>
      <c r="REW9" s="2235"/>
      <c r="REX9" s="2235"/>
      <c r="REY9" s="2235"/>
      <c r="REZ9" s="2235"/>
      <c r="RFA9" s="2235"/>
      <c r="RFB9" s="2235"/>
      <c r="RFC9" s="2235"/>
      <c r="RFD9" s="2235"/>
      <c r="RFE9" s="2235"/>
      <c r="RFF9" s="2235"/>
      <c r="RFG9" s="2235"/>
      <c r="RFH9" s="2235"/>
      <c r="RFI9" s="2235"/>
      <c r="RFJ9" s="2235"/>
      <c r="RFK9" s="2235"/>
      <c r="RFL9" s="2235"/>
      <c r="RFM9" s="2235"/>
      <c r="RFN9" s="2235"/>
      <c r="RFO9" s="2235"/>
      <c r="RFP9" s="2235"/>
      <c r="RFQ9" s="2235"/>
      <c r="RFR9" s="2235"/>
      <c r="RFS9" s="2235"/>
      <c r="RFT9" s="2235"/>
      <c r="RFU9" s="2235"/>
      <c r="RFV9" s="2235"/>
      <c r="RFW9" s="2235"/>
      <c r="RFX9" s="2235"/>
      <c r="RFY9" s="2235"/>
      <c r="RFZ9" s="2235"/>
      <c r="RGA9" s="2235"/>
      <c r="RGB9" s="2235"/>
      <c r="RGC9" s="2235"/>
      <c r="RGD9" s="2235"/>
      <c r="RGE9" s="2235"/>
      <c r="RGF9" s="2235"/>
      <c r="RGG9" s="2235"/>
      <c r="RGH9" s="2235"/>
      <c r="RGI9" s="2235"/>
      <c r="RGJ9" s="2235"/>
      <c r="RGK9" s="2235"/>
      <c r="RGL9" s="2235"/>
      <c r="RGM9" s="2235"/>
      <c r="RGN9" s="2235"/>
      <c r="RGO9" s="2235"/>
      <c r="RGP9" s="2235"/>
      <c r="RGQ9" s="2235"/>
      <c r="RGR9" s="2235"/>
      <c r="RGS9" s="2235"/>
      <c r="RGT9" s="2235"/>
      <c r="RGU9" s="2235"/>
      <c r="RGV9" s="2235"/>
      <c r="RGW9" s="2235"/>
      <c r="RGX9" s="2235"/>
      <c r="RGY9" s="2235"/>
      <c r="RGZ9" s="2235"/>
      <c r="RHA9" s="2235"/>
      <c r="RHB9" s="2235"/>
      <c r="RHC9" s="2235"/>
      <c r="RHD9" s="2235"/>
      <c r="RHE9" s="2235"/>
      <c r="RHF9" s="2235"/>
      <c r="RHG9" s="2235"/>
      <c r="RHH9" s="2235"/>
      <c r="RHI9" s="2235"/>
      <c r="RHJ9" s="2235"/>
      <c r="RHK9" s="2235"/>
      <c r="RHL9" s="2235"/>
      <c r="RHM9" s="2235"/>
      <c r="RHN9" s="2235"/>
      <c r="RHO9" s="2235"/>
      <c r="RHP9" s="2235"/>
      <c r="RHQ9" s="2235"/>
      <c r="RHR9" s="2235"/>
      <c r="RHS9" s="2235"/>
      <c r="RHT9" s="2235"/>
      <c r="RHU9" s="2235"/>
      <c r="RHV9" s="2235"/>
      <c r="RHW9" s="2235"/>
      <c r="RHX9" s="2235"/>
      <c r="RHY9" s="2235"/>
      <c r="RHZ9" s="2235"/>
      <c r="RIA9" s="2235"/>
      <c r="RIB9" s="2235"/>
      <c r="RIC9" s="2235"/>
      <c r="RID9" s="2235"/>
      <c r="RIE9" s="2235"/>
      <c r="RIF9" s="2235"/>
      <c r="RIG9" s="2235"/>
      <c r="RIH9" s="2235"/>
      <c r="RII9" s="2235"/>
      <c r="RIJ9" s="2235"/>
      <c r="RIK9" s="2235"/>
      <c r="RIL9" s="2235"/>
      <c r="RIM9" s="2235"/>
      <c r="RIN9" s="2235"/>
      <c r="RIO9" s="2235"/>
      <c r="RIP9" s="2235"/>
      <c r="RIQ9" s="2235"/>
      <c r="RIR9" s="2235"/>
      <c r="RIS9" s="2235"/>
      <c r="RIT9" s="2235"/>
      <c r="RIU9" s="2235"/>
      <c r="RIV9" s="2235"/>
      <c r="RIW9" s="2235"/>
      <c r="RIX9" s="2235"/>
      <c r="RIY9" s="2235"/>
      <c r="RIZ9" s="2235"/>
      <c r="RJA9" s="2235"/>
      <c r="RJB9" s="2235"/>
      <c r="RJC9" s="2235"/>
      <c r="RJD9" s="2235"/>
      <c r="RJE9" s="2235"/>
      <c r="RJF9" s="2235"/>
      <c r="RJG9" s="2235"/>
      <c r="RJH9" s="2235"/>
      <c r="RJI9" s="2235"/>
      <c r="RJJ9" s="2235"/>
      <c r="RJK9" s="2235"/>
      <c r="RJL9" s="2235"/>
      <c r="RJM9" s="2235"/>
      <c r="RJN9" s="2235"/>
      <c r="RJO9" s="2235"/>
      <c r="RJP9" s="2235"/>
      <c r="RJQ9" s="2235"/>
      <c r="RJR9" s="2235"/>
      <c r="RJS9" s="2235"/>
      <c r="RJT9" s="2235"/>
      <c r="RJU9" s="2235"/>
      <c r="RJV9" s="2235"/>
      <c r="RJW9" s="2235"/>
      <c r="RJX9" s="2235"/>
      <c r="RJY9" s="2235"/>
      <c r="RJZ9" s="2235"/>
      <c r="RKA9" s="2235"/>
      <c r="RKB9" s="2235"/>
      <c r="RKC9" s="2235"/>
      <c r="RKD9" s="2235"/>
      <c r="RKE9" s="2235"/>
      <c r="RKF9" s="2235"/>
      <c r="RKG9" s="2235"/>
      <c r="RKH9" s="2235"/>
      <c r="RKI9" s="2235"/>
      <c r="RKJ9" s="2235"/>
      <c r="RKK9" s="2235"/>
      <c r="RKL9" s="2235"/>
      <c r="RKM9" s="2235"/>
      <c r="RKN9" s="2235"/>
      <c r="RKO9" s="2235"/>
      <c r="RKP9" s="2235"/>
      <c r="RKQ9" s="2235"/>
      <c r="RKR9" s="2235"/>
      <c r="RKS9" s="2235"/>
      <c r="RKT9" s="2235"/>
      <c r="RKU9" s="2235"/>
      <c r="RKV9" s="2235"/>
      <c r="RKW9" s="2235"/>
      <c r="RKX9" s="2235"/>
      <c r="RKY9" s="2235"/>
      <c r="RKZ9" s="2235"/>
      <c r="RLA9" s="2235"/>
      <c r="RLB9" s="2235"/>
      <c r="RLC9" s="2235"/>
      <c r="RLD9" s="2235"/>
      <c r="RLE9" s="2235"/>
      <c r="RLF9" s="2235"/>
      <c r="RLG9" s="2235"/>
      <c r="RLH9" s="2235"/>
      <c r="RLI9" s="2235"/>
      <c r="RLJ9" s="2235"/>
      <c r="RLK9" s="2235"/>
      <c r="RLL9" s="2235"/>
      <c r="RLM9" s="2235"/>
      <c r="RLN9" s="2235"/>
      <c r="RLO9" s="2235"/>
      <c r="RLP9" s="2235"/>
      <c r="RLQ9" s="2235"/>
      <c r="RLR9" s="2235"/>
      <c r="RLS9" s="2235"/>
      <c r="RLT9" s="2235"/>
      <c r="RLU9" s="2235"/>
      <c r="RLV9" s="2235"/>
      <c r="RLW9" s="2235"/>
      <c r="RLX9" s="2235"/>
      <c r="RLY9" s="2235"/>
      <c r="RLZ9" s="2235"/>
      <c r="RMA9" s="2235"/>
      <c r="RMB9" s="2235"/>
      <c r="RMC9" s="2235"/>
      <c r="RMD9" s="2235"/>
      <c r="RME9" s="2235"/>
      <c r="RMF9" s="2235"/>
      <c r="RMG9" s="2235"/>
      <c r="RMH9" s="2235"/>
      <c r="RMI9" s="2235"/>
      <c r="RMJ9" s="2235"/>
      <c r="RMK9" s="2235"/>
      <c r="RML9" s="2235"/>
      <c r="RMM9" s="2235"/>
      <c r="RMN9" s="2235"/>
      <c r="RMO9" s="2235"/>
      <c r="RMP9" s="2235"/>
      <c r="RMQ9" s="2235"/>
      <c r="RMR9" s="2235"/>
      <c r="RMS9" s="2235"/>
      <c r="RMT9" s="2235"/>
      <c r="RMU9" s="2235"/>
      <c r="RMV9" s="2235"/>
      <c r="RMW9" s="2235"/>
      <c r="RMX9" s="2235"/>
      <c r="RMY9" s="2235"/>
      <c r="RMZ9" s="2235"/>
      <c r="RNA9" s="2235"/>
      <c r="RNB9" s="2235"/>
      <c r="RNC9" s="2235"/>
      <c r="RND9" s="2235"/>
      <c r="RNE9" s="2235"/>
      <c r="RNF9" s="2235"/>
      <c r="RNG9" s="2235"/>
      <c r="RNH9" s="2235"/>
      <c r="RNI9" s="2235"/>
      <c r="RNJ9" s="2235"/>
      <c r="RNK9" s="2235"/>
      <c r="RNL9" s="2235"/>
      <c r="RNM9" s="2235"/>
      <c r="RNN9" s="2235"/>
      <c r="RNO9" s="2235"/>
      <c r="RNP9" s="2235"/>
      <c r="RNQ9" s="2235"/>
      <c r="RNR9" s="2235"/>
      <c r="RNS9" s="2235"/>
      <c r="RNT9" s="2235"/>
      <c r="RNU9" s="2235"/>
      <c r="RNV9" s="2235"/>
      <c r="RNW9" s="2235"/>
      <c r="RNX9" s="2235"/>
      <c r="RNY9" s="2235"/>
      <c r="RNZ9" s="2235"/>
      <c r="ROA9" s="2235"/>
      <c r="ROB9" s="2235"/>
      <c r="ROC9" s="2235"/>
      <c r="ROD9" s="2235"/>
      <c r="ROE9" s="2235"/>
      <c r="ROF9" s="2235"/>
      <c r="ROG9" s="2235"/>
      <c r="ROH9" s="2235"/>
      <c r="ROI9" s="2235"/>
      <c r="ROJ9" s="2235"/>
      <c r="ROK9" s="2235"/>
      <c r="ROL9" s="2235"/>
      <c r="ROM9" s="2235"/>
      <c r="RON9" s="2235"/>
      <c r="ROO9" s="2235"/>
      <c r="ROP9" s="2235"/>
      <c r="ROQ9" s="2235"/>
      <c r="ROR9" s="2235"/>
      <c r="ROS9" s="2235"/>
      <c r="ROT9" s="2235"/>
      <c r="ROU9" s="2235"/>
      <c r="ROV9" s="2235"/>
      <c r="ROW9" s="2235"/>
      <c r="ROX9" s="2235"/>
      <c r="ROY9" s="2235"/>
      <c r="ROZ9" s="2235"/>
      <c r="RPA9" s="2235"/>
      <c r="RPB9" s="2235"/>
      <c r="RPC9" s="2235"/>
      <c r="RPD9" s="2235"/>
      <c r="RPE9" s="2235"/>
      <c r="RPF9" s="2235"/>
      <c r="RPG9" s="2235"/>
      <c r="RPH9" s="2235"/>
      <c r="RPI9" s="2235"/>
      <c r="RPJ9" s="2235"/>
      <c r="RPK9" s="2235"/>
      <c r="RPL9" s="2235"/>
      <c r="RPM9" s="2235"/>
      <c r="RPN9" s="2235"/>
      <c r="RPO9" s="2235"/>
      <c r="RPP9" s="2235"/>
      <c r="RPQ9" s="2235"/>
      <c r="RPR9" s="2235"/>
      <c r="RPS9" s="2235"/>
      <c r="RPT9" s="2235"/>
      <c r="RPU9" s="2235"/>
      <c r="RPV9" s="2235"/>
      <c r="RPW9" s="2235"/>
      <c r="RPX9" s="2235"/>
      <c r="RPY9" s="2235"/>
      <c r="RPZ9" s="2235"/>
      <c r="RQA9" s="2235"/>
      <c r="RQB9" s="2235"/>
      <c r="RQC9" s="2235"/>
      <c r="RQD9" s="2235"/>
      <c r="RQE9" s="2235"/>
      <c r="RQF9" s="2235"/>
      <c r="RQG9" s="2235"/>
      <c r="RQH9" s="2235"/>
      <c r="RQI9" s="2235"/>
      <c r="RQJ9" s="2235"/>
      <c r="RQK9" s="2235"/>
      <c r="RQL9" s="2235"/>
      <c r="RQM9" s="2235"/>
      <c r="RQN9" s="2235"/>
      <c r="RQO9" s="2235"/>
      <c r="RQP9" s="2235"/>
      <c r="RQQ9" s="2235"/>
      <c r="RQR9" s="2235"/>
      <c r="RQS9" s="2235"/>
      <c r="RQT9" s="2235"/>
      <c r="RQU9" s="2235"/>
      <c r="RQV9" s="2235"/>
      <c r="RQW9" s="2235"/>
      <c r="RQX9" s="2235"/>
      <c r="RQY9" s="2235"/>
      <c r="RQZ9" s="2235"/>
      <c r="RRA9" s="2235"/>
      <c r="RRB9" s="2235"/>
      <c r="RRC9" s="2235"/>
      <c r="RRD9" s="2235"/>
      <c r="RRE9" s="2235"/>
      <c r="RRF9" s="2235"/>
      <c r="RRG9" s="2235"/>
      <c r="RRH9" s="2235"/>
      <c r="RRI9" s="2235"/>
      <c r="RRJ9" s="2235"/>
      <c r="RRK9" s="2235"/>
      <c r="RRL9" s="2235"/>
      <c r="RRM9" s="2235"/>
      <c r="RRN9" s="2235"/>
      <c r="RRO9" s="2235"/>
      <c r="RRP9" s="2235"/>
      <c r="RRQ9" s="2235"/>
      <c r="RRR9" s="2235"/>
      <c r="RRS9" s="2235"/>
      <c r="RRT9" s="2235"/>
      <c r="RRU9" s="2235"/>
      <c r="RRV9" s="2235"/>
      <c r="RRW9" s="2235"/>
      <c r="RRX9" s="2235"/>
      <c r="RRY9" s="2235"/>
      <c r="RRZ9" s="2235"/>
      <c r="RSA9" s="2235"/>
      <c r="RSB9" s="2235"/>
      <c r="RSC9" s="2235"/>
      <c r="RSD9" s="2235"/>
      <c r="RSE9" s="2235"/>
      <c r="RSF9" s="2235"/>
      <c r="RSG9" s="2235"/>
      <c r="RSH9" s="2235"/>
      <c r="RSI9" s="2235"/>
      <c r="RSJ9" s="2235"/>
      <c r="RSK9" s="2235"/>
      <c r="RSL9" s="2235"/>
      <c r="RSM9" s="2235"/>
      <c r="RSN9" s="2235"/>
      <c r="RSO9" s="2235"/>
      <c r="RSP9" s="2235"/>
      <c r="RSQ9" s="2235"/>
      <c r="RSR9" s="2235"/>
      <c r="RSS9" s="2235"/>
      <c r="RST9" s="2235"/>
      <c r="RSU9" s="2235"/>
      <c r="RSV9" s="2235"/>
      <c r="RSW9" s="2235"/>
      <c r="RSX9" s="2235"/>
      <c r="RSY9" s="2235"/>
      <c r="RSZ9" s="2235"/>
      <c r="RTA9" s="2235"/>
      <c r="RTB9" s="2235"/>
      <c r="RTC9" s="2235"/>
      <c r="RTD9" s="2235"/>
      <c r="RTE9" s="2235"/>
      <c r="RTF9" s="2235"/>
      <c r="RTG9" s="2235"/>
      <c r="RTH9" s="2235"/>
      <c r="RTI9" s="2235"/>
      <c r="RTJ9" s="2235"/>
      <c r="RTK9" s="2235"/>
      <c r="RTL9" s="2235"/>
      <c r="RTM9" s="2235"/>
      <c r="RTN9" s="2235"/>
      <c r="RTO9" s="2235"/>
      <c r="RTP9" s="2235"/>
      <c r="RTQ9" s="2235"/>
      <c r="RTR9" s="2235"/>
      <c r="RTS9" s="2235"/>
      <c r="RTT9" s="2235"/>
      <c r="RTU9" s="2235"/>
      <c r="RTV9" s="2235"/>
      <c r="RTW9" s="2235"/>
      <c r="RTX9" s="2235"/>
      <c r="RTY9" s="2235"/>
      <c r="RTZ9" s="2235"/>
      <c r="RUA9" s="2235"/>
      <c r="RUB9" s="2235"/>
      <c r="RUC9" s="2235"/>
      <c r="RUD9" s="2235"/>
      <c r="RUE9" s="2235"/>
      <c r="RUF9" s="2235"/>
      <c r="RUG9" s="2235"/>
      <c r="RUH9" s="2235"/>
      <c r="RUI9" s="2235"/>
      <c r="RUJ9" s="2235"/>
      <c r="RUK9" s="2235"/>
      <c r="RUL9" s="2235"/>
      <c r="RUM9" s="2235"/>
      <c r="RUN9" s="2235"/>
      <c r="RUO9" s="2235"/>
      <c r="RUP9" s="2235"/>
      <c r="RUQ9" s="2235"/>
      <c r="RUR9" s="2235"/>
      <c r="RUS9" s="2235"/>
      <c r="RUT9" s="2235"/>
      <c r="RUU9" s="2235"/>
      <c r="RUV9" s="2235"/>
      <c r="RUW9" s="2235"/>
      <c r="RUX9" s="2235"/>
      <c r="RUY9" s="2235"/>
      <c r="RUZ9" s="2235"/>
      <c r="RVA9" s="2235"/>
      <c r="RVB9" s="2235"/>
      <c r="RVC9" s="2235"/>
      <c r="RVD9" s="2235"/>
      <c r="RVE9" s="2235"/>
      <c r="RVF9" s="2235"/>
      <c r="RVG9" s="2235"/>
      <c r="RVH9" s="2235"/>
      <c r="RVI9" s="2235"/>
      <c r="RVJ9" s="2235"/>
      <c r="RVK9" s="2235"/>
      <c r="RVL9" s="2235"/>
      <c r="RVM9" s="2235"/>
      <c r="RVN9" s="2235"/>
      <c r="RVO9" s="2235"/>
      <c r="RVP9" s="2235"/>
      <c r="RVQ9" s="2235"/>
      <c r="RVR9" s="2235"/>
      <c r="RVS9" s="2235"/>
      <c r="RVT9" s="2235"/>
      <c r="RVU9" s="2235"/>
      <c r="RVV9" s="2235"/>
      <c r="RVW9" s="2235"/>
      <c r="RVX9" s="2235"/>
      <c r="RVY9" s="2235"/>
      <c r="RVZ9" s="2235"/>
      <c r="RWA9" s="2235"/>
      <c r="RWB9" s="2235"/>
      <c r="RWC9" s="2235"/>
      <c r="RWD9" s="2235"/>
      <c r="RWE9" s="2235"/>
      <c r="RWF9" s="2235"/>
      <c r="RWG9" s="2235"/>
      <c r="RWH9" s="2235"/>
      <c r="RWI9" s="2235"/>
      <c r="RWJ9" s="2235"/>
      <c r="RWK9" s="2235"/>
      <c r="RWL9" s="2235"/>
      <c r="RWM9" s="2235"/>
      <c r="RWN9" s="2235"/>
      <c r="RWO9" s="2235"/>
      <c r="RWP9" s="2235"/>
      <c r="RWQ9" s="2235"/>
      <c r="RWR9" s="2235"/>
      <c r="RWS9" s="2235"/>
      <c r="RWT9" s="2235"/>
      <c r="RWU9" s="2235"/>
      <c r="RWV9" s="2235"/>
      <c r="RWW9" s="2235"/>
      <c r="RWX9" s="2235"/>
      <c r="RWY9" s="2235"/>
      <c r="RWZ9" s="2235"/>
      <c r="RXA9" s="2235"/>
      <c r="RXB9" s="2235"/>
      <c r="RXC9" s="2235"/>
      <c r="RXD9" s="2235"/>
      <c r="RXE9" s="2235"/>
      <c r="RXF9" s="2235"/>
      <c r="RXG9" s="2235"/>
      <c r="RXH9" s="2235"/>
      <c r="RXI9" s="2235"/>
      <c r="RXJ9" s="2235"/>
      <c r="RXK9" s="2235"/>
      <c r="RXL9" s="2235"/>
      <c r="RXM9" s="2235"/>
      <c r="RXN9" s="2235"/>
      <c r="RXO9" s="2235"/>
      <c r="RXP9" s="2235"/>
      <c r="RXQ9" s="2235"/>
      <c r="RXR9" s="2235"/>
      <c r="RXS9" s="2235"/>
      <c r="RXT9" s="2235"/>
      <c r="RXU9" s="2235"/>
      <c r="RXV9" s="2235"/>
      <c r="RXW9" s="2235"/>
      <c r="RXX9" s="2235"/>
      <c r="RXY9" s="2235"/>
      <c r="RXZ9" s="2235"/>
      <c r="RYA9" s="2235"/>
      <c r="RYB9" s="2235"/>
      <c r="RYC9" s="2235"/>
      <c r="RYD9" s="2235"/>
      <c r="RYE9" s="2235"/>
      <c r="RYF9" s="2235"/>
      <c r="RYG9" s="2235"/>
      <c r="RYH9" s="2235"/>
      <c r="RYI9" s="2235"/>
      <c r="RYJ9" s="2235"/>
      <c r="RYK9" s="2235"/>
      <c r="RYL9" s="2235"/>
      <c r="RYM9" s="2235"/>
      <c r="RYN9" s="2235"/>
      <c r="RYO9" s="2235"/>
      <c r="RYP9" s="2235"/>
      <c r="RYQ9" s="2235"/>
      <c r="RYR9" s="2235"/>
      <c r="RYS9" s="2235"/>
      <c r="RYT9" s="2235"/>
      <c r="RYU9" s="2235"/>
      <c r="RYV9" s="2235"/>
      <c r="RYW9" s="2235"/>
      <c r="RYX9" s="2235"/>
      <c r="RYY9" s="2235"/>
      <c r="RYZ9" s="2235"/>
      <c r="RZA9" s="2235"/>
      <c r="RZB9" s="2235"/>
      <c r="RZC9" s="2235"/>
      <c r="RZD9" s="2235"/>
      <c r="RZE9" s="2235"/>
      <c r="RZF9" s="2235"/>
      <c r="RZG9" s="2235"/>
      <c r="RZH9" s="2235"/>
      <c r="RZI9" s="2235"/>
      <c r="RZJ9" s="2235"/>
      <c r="RZK9" s="2235"/>
      <c r="RZL9" s="2235"/>
      <c r="RZM9" s="2235"/>
      <c r="RZN9" s="2235"/>
      <c r="RZO9" s="2235"/>
      <c r="RZP9" s="2235"/>
      <c r="RZQ9" s="2235"/>
      <c r="RZR9" s="2235"/>
      <c r="RZS9" s="2235"/>
      <c r="RZT9" s="2235"/>
      <c r="RZU9" s="2235"/>
      <c r="RZV9" s="2235"/>
      <c r="RZW9" s="2235"/>
      <c r="RZX9" s="2235"/>
      <c r="RZY9" s="2235"/>
      <c r="RZZ9" s="2235"/>
      <c r="SAA9" s="2235"/>
      <c r="SAB9" s="2235"/>
      <c r="SAC9" s="2235"/>
      <c r="SAD9" s="2235"/>
      <c r="SAE9" s="2235"/>
      <c r="SAF9" s="2235"/>
      <c r="SAG9" s="2235"/>
      <c r="SAH9" s="2235"/>
      <c r="SAI9" s="2235"/>
      <c r="SAJ9" s="2235"/>
      <c r="SAK9" s="2235"/>
      <c r="SAL9" s="2235"/>
      <c r="SAM9" s="2235"/>
      <c r="SAN9" s="2235"/>
      <c r="SAO9" s="2235"/>
      <c r="SAP9" s="2235"/>
      <c r="SAQ9" s="2235"/>
      <c r="SAR9" s="2235"/>
      <c r="SAS9" s="2235"/>
      <c r="SAT9" s="2235"/>
      <c r="SAU9" s="2235"/>
      <c r="SAV9" s="2235"/>
      <c r="SAW9" s="2235"/>
      <c r="SAX9" s="2235"/>
      <c r="SAY9" s="2235"/>
      <c r="SAZ9" s="2235"/>
      <c r="SBA9" s="2235"/>
      <c r="SBB9" s="2235"/>
      <c r="SBC9" s="2235"/>
      <c r="SBD9" s="2235"/>
      <c r="SBE9" s="2235"/>
      <c r="SBF9" s="2235"/>
      <c r="SBG9" s="2235"/>
      <c r="SBH9" s="2235"/>
      <c r="SBI9" s="2235"/>
      <c r="SBJ9" s="2235"/>
      <c r="SBK9" s="2235"/>
      <c r="SBL9" s="2235"/>
      <c r="SBM9" s="2235"/>
      <c r="SBN9" s="2235"/>
      <c r="SBO9" s="2235"/>
      <c r="SBP9" s="2235"/>
      <c r="SBQ9" s="2235"/>
      <c r="SBR9" s="2235"/>
      <c r="SBS9" s="2235"/>
      <c r="SBT9" s="2235"/>
      <c r="SBU9" s="2235"/>
      <c r="SBV9" s="2235"/>
      <c r="SBW9" s="2235"/>
      <c r="SBX9" s="2235"/>
      <c r="SBY9" s="2235"/>
      <c r="SBZ9" s="2235"/>
      <c r="SCA9" s="2235"/>
      <c r="SCB9" s="2235"/>
      <c r="SCC9" s="2235"/>
      <c r="SCD9" s="2235"/>
      <c r="SCE9" s="2235"/>
      <c r="SCF9" s="2235"/>
      <c r="SCG9" s="2235"/>
      <c r="SCH9" s="2235"/>
      <c r="SCI9" s="2235"/>
      <c r="SCJ9" s="2235"/>
      <c r="SCK9" s="2235"/>
      <c r="SCL9" s="2235"/>
      <c r="SCM9" s="2235"/>
      <c r="SCN9" s="2235"/>
      <c r="SCO9" s="2235"/>
      <c r="SCP9" s="2235"/>
      <c r="SCQ9" s="2235"/>
      <c r="SCR9" s="2235"/>
      <c r="SCS9" s="2235"/>
      <c r="SCT9" s="2235"/>
      <c r="SCU9" s="2235"/>
      <c r="SCV9" s="2235"/>
      <c r="SCW9" s="2235"/>
      <c r="SCX9" s="2235"/>
      <c r="SCY9" s="2235"/>
      <c r="SCZ9" s="2235"/>
      <c r="SDA9" s="2235"/>
      <c r="SDB9" s="2235"/>
      <c r="SDC9" s="2235"/>
      <c r="SDD9" s="2235"/>
      <c r="SDE9" s="2235"/>
      <c r="SDF9" s="2235"/>
      <c r="SDG9" s="2235"/>
      <c r="SDH9" s="2235"/>
      <c r="SDI9" s="2235"/>
      <c r="SDJ9" s="2235"/>
      <c r="SDK9" s="2235"/>
      <c r="SDL9" s="2235"/>
      <c r="SDM9" s="2235"/>
      <c r="SDN9" s="2235"/>
      <c r="SDO9" s="2235"/>
      <c r="SDP9" s="2235"/>
      <c r="SDQ9" s="2235"/>
      <c r="SDR9" s="2235"/>
      <c r="SDS9" s="2235"/>
      <c r="SDT9" s="2235"/>
      <c r="SDU9" s="2235"/>
      <c r="SDV9" s="2235"/>
      <c r="SDW9" s="2235"/>
      <c r="SDX9" s="2235"/>
      <c r="SDY9" s="2235"/>
      <c r="SDZ9" s="2235"/>
      <c r="SEA9" s="2235"/>
      <c r="SEB9" s="2235"/>
      <c r="SEC9" s="2235"/>
      <c r="SED9" s="2235"/>
      <c r="SEE9" s="2235"/>
      <c r="SEF9" s="2235"/>
      <c r="SEG9" s="2235"/>
      <c r="SEH9" s="2235"/>
      <c r="SEI9" s="2235"/>
      <c r="SEJ9" s="2235"/>
      <c r="SEK9" s="2235"/>
      <c r="SEL9" s="2235"/>
      <c r="SEM9" s="2235"/>
      <c r="SEN9" s="2235"/>
      <c r="SEO9" s="2235"/>
      <c r="SEP9" s="2235"/>
      <c r="SEQ9" s="2235"/>
      <c r="SER9" s="2235"/>
      <c r="SES9" s="2235"/>
      <c r="SET9" s="2235"/>
      <c r="SEU9" s="2235"/>
      <c r="SEV9" s="2235"/>
      <c r="SEW9" s="2235"/>
      <c r="SEX9" s="2235"/>
      <c r="SEY9" s="2235"/>
      <c r="SEZ9" s="2235"/>
      <c r="SFA9" s="2235"/>
      <c r="SFB9" s="2235"/>
      <c r="SFC9" s="2235"/>
      <c r="SFD9" s="2235"/>
      <c r="SFE9" s="2235"/>
      <c r="SFF9" s="2235"/>
      <c r="SFG9" s="2235"/>
      <c r="SFH9" s="2235"/>
      <c r="SFI9" s="2235"/>
      <c r="SFJ9" s="2235"/>
      <c r="SFK9" s="2235"/>
      <c r="SFL9" s="2235"/>
      <c r="SFM9" s="2235"/>
      <c r="SFN9" s="2235"/>
      <c r="SFO9" s="2235"/>
      <c r="SFP9" s="2235"/>
      <c r="SFQ9" s="2235"/>
      <c r="SFR9" s="2235"/>
      <c r="SFS9" s="2235"/>
      <c r="SFT9" s="2235"/>
      <c r="SFU9" s="2235"/>
      <c r="SFV9" s="2235"/>
      <c r="SFW9" s="2235"/>
      <c r="SFX9" s="2235"/>
      <c r="SFY9" s="2235"/>
      <c r="SFZ9" s="2235"/>
      <c r="SGA9" s="2235"/>
      <c r="SGB9" s="2235"/>
      <c r="SGC9" s="2235"/>
      <c r="SGD9" s="2235"/>
      <c r="SGE9" s="2235"/>
      <c r="SGF9" s="2235"/>
      <c r="SGG9" s="2235"/>
      <c r="SGH9" s="2235"/>
      <c r="SGI9" s="2235"/>
      <c r="SGJ9" s="2235"/>
      <c r="SGK9" s="2235"/>
      <c r="SGL9" s="2235"/>
      <c r="SGM9" s="2235"/>
      <c r="SGN9" s="2235"/>
      <c r="SGO9" s="2235"/>
      <c r="SGP9" s="2235"/>
      <c r="SGQ9" s="2235"/>
      <c r="SGR9" s="2235"/>
      <c r="SGS9" s="2235"/>
      <c r="SGT9" s="2235"/>
      <c r="SGU9" s="2235"/>
      <c r="SGV9" s="2235"/>
      <c r="SGW9" s="2235"/>
      <c r="SGX9" s="2235"/>
      <c r="SGY9" s="2235"/>
      <c r="SGZ9" s="2235"/>
      <c r="SHA9" s="2235"/>
      <c r="SHB9" s="2235"/>
      <c r="SHC9" s="2235"/>
      <c r="SHD9" s="2235"/>
      <c r="SHE9" s="2235"/>
      <c r="SHF9" s="2235"/>
      <c r="SHG9" s="2235"/>
      <c r="SHH9" s="2235"/>
      <c r="SHI9" s="2235"/>
      <c r="SHJ9" s="2235"/>
      <c r="SHK9" s="2235"/>
      <c r="SHL9" s="2235"/>
      <c r="SHM9" s="2235"/>
      <c r="SHN9" s="2235"/>
      <c r="SHO9" s="2235"/>
      <c r="SHP9" s="2235"/>
      <c r="SHQ9" s="2235"/>
      <c r="SHR9" s="2235"/>
      <c r="SHS9" s="2235"/>
      <c r="SHT9" s="2235"/>
      <c r="SHU9" s="2235"/>
      <c r="SHV9" s="2235"/>
      <c r="SHW9" s="2235"/>
      <c r="SHX9" s="2235"/>
      <c r="SHY9" s="2235"/>
      <c r="SHZ9" s="2235"/>
      <c r="SIA9" s="2235"/>
      <c r="SIB9" s="2235"/>
      <c r="SIC9" s="2235"/>
      <c r="SID9" s="2235"/>
      <c r="SIE9" s="2235"/>
      <c r="SIF9" s="2235"/>
      <c r="SIG9" s="2235"/>
      <c r="SIH9" s="2235"/>
      <c r="SII9" s="2235"/>
      <c r="SIJ9" s="2235"/>
      <c r="SIK9" s="2235"/>
      <c r="SIL9" s="2235"/>
      <c r="SIM9" s="2235"/>
      <c r="SIN9" s="2235"/>
      <c r="SIO9" s="2235"/>
      <c r="SIP9" s="2235"/>
      <c r="SIQ9" s="2235"/>
      <c r="SIR9" s="2235"/>
      <c r="SIS9" s="2235"/>
      <c r="SIT9" s="2235"/>
      <c r="SIU9" s="2235"/>
      <c r="SIV9" s="2235"/>
      <c r="SIW9" s="2235"/>
      <c r="SIX9" s="2235"/>
      <c r="SIY9" s="2235"/>
      <c r="SIZ9" s="2235"/>
      <c r="SJA9" s="2235"/>
      <c r="SJB9" s="2235"/>
      <c r="SJC9" s="2235"/>
      <c r="SJD9" s="2235"/>
      <c r="SJE9" s="2235"/>
      <c r="SJF9" s="2235"/>
      <c r="SJG9" s="2235"/>
      <c r="SJH9" s="2235"/>
      <c r="SJI9" s="2235"/>
      <c r="SJJ9" s="2235"/>
      <c r="SJK9" s="2235"/>
      <c r="SJL9" s="2235"/>
      <c r="SJM9" s="2235"/>
      <c r="SJN9" s="2235"/>
      <c r="SJO9" s="2235"/>
      <c r="SJP9" s="2235"/>
      <c r="SJQ9" s="2235"/>
      <c r="SJR9" s="2235"/>
      <c r="SJS9" s="2235"/>
      <c r="SJT9" s="2235"/>
      <c r="SJU9" s="2235"/>
      <c r="SJV9" s="2235"/>
      <c r="SJW9" s="2235"/>
      <c r="SJX9" s="2235"/>
      <c r="SJY9" s="2235"/>
      <c r="SJZ9" s="2235"/>
      <c r="SKA9" s="2235"/>
      <c r="SKB9" s="2235"/>
      <c r="SKC9" s="2235"/>
      <c r="SKD9" s="2235"/>
      <c r="SKE9" s="2235"/>
      <c r="SKF9" s="2235"/>
      <c r="SKG9" s="2235"/>
      <c r="SKH9" s="2235"/>
      <c r="SKI9" s="2235"/>
      <c r="SKJ9" s="2235"/>
      <c r="SKK9" s="2235"/>
      <c r="SKL9" s="2235"/>
      <c r="SKM9" s="2235"/>
      <c r="SKN9" s="2235"/>
      <c r="SKO9" s="2235"/>
      <c r="SKP9" s="2235"/>
      <c r="SKQ9" s="2235"/>
      <c r="SKR9" s="2235"/>
      <c r="SKS9" s="2235"/>
      <c r="SKT9" s="2235"/>
      <c r="SKU9" s="2235"/>
      <c r="SKV9" s="2235"/>
      <c r="SKW9" s="2235"/>
      <c r="SKX9" s="2235"/>
      <c r="SKY9" s="2235"/>
      <c r="SKZ9" s="2235"/>
      <c r="SLA9" s="2235"/>
      <c r="SLB9" s="2235"/>
      <c r="SLC9" s="2235"/>
      <c r="SLD9" s="2235"/>
      <c r="SLE9" s="2235"/>
      <c r="SLF9" s="2235"/>
      <c r="SLG9" s="2235"/>
      <c r="SLH9" s="2235"/>
      <c r="SLI9" s="2235"/>
      <c r="SLJ9" s="2235"/>
      <c r="SLK9" s="2235"/>
      <c r="SLL9" s="2235"/>
      <c r="SLM9" s="2235"/>
      <c r="SLN9" s="2235"/>
      <c r="SLO9" s="2235"/>
      <c r="SLP9" s="2235"/>
      <c r="SLQ9" s="2235"/>
      <c r="SLR9" s="2235"/>
      <c r="SLS9" s="2235"/>
      <c r="SLT9" s="2235"/>
      <c r="SLU9" s="2235"/>
      <c r="SLV9" s="2235"/>
      <c r="SLW9" s="2235"/>
      <c r="SLX9" s="2235"/>
      <c r="SLY9" s="2235"/>
      <c r="SLZ9" s="2235"/>
      <c r="SMA9" s="2235"/>
      <c r="SMB9" s="2235"/>
      <c r="SMC9" s="2235"/>
      <c r="SMD9" s="2235"/>
      <c r="SME9" s="2235"/>
      <c r="SMF9" s="2235"/>
      <c r="SMG9" s="2235"/>
      <c r="SMH9" s="2235"/>
      <c r="SMI9" s="2235"/>
      <c r="SMJ9" s="2235"/>
      <c r="SMK9" s="2235"/>
      <c r="SML9" s="2235"/>
      <c r="SMM9" s="2235"/>
      <c r="SMN9" s="2235"/>
      <c r="SMO9" s="2235"/>
      <c r="SMP9" s="2235"/>
      <c r="SMQ9" s="2235"/>
      <c r="SMR9" s="2235"/>
      <c r="SMS9" s="2235"/>
      <c r="SMT9" s="2235"/>
      <c r="SMU9" s="2235"/>
      <c r="SMV9" s="2235"/>
      <c r="SMW9" s="2235"/>
      <c r="SMX9" s="2235"/>
      <c r="SMY9" s="2235"/>
      <c r="SMZ9" s="2235"/>
      <c r="SNA9" s="2235"/>
      <c r="SNB9" s="2235"/>
      <c r="SNC9" s="2235"/>
      <c r="SND9" s="2235"/>
      <c r="SNE9" s="2235"/>
      <c r="SNF9" s="2235"/>
      <c r="SNG9" s="2235"/>
      <c r="SNH9" s="2235"/>
      <c r="SNI9" s="2235"/>
      <c r="SNJ9" s="2235"/>
      <c r="SNK9" s="2235"/>
      <c r="SNL9" s="2235"/>
      <c r="SNM9" s="2235"/>
      <c r="SNN9" s="2235"/>
      <c r="SNO9" s="2235"/>
      <c r="SNP9" s="2235"/>
      <c r="SNQ9" s="2235"/>
      <c r="SNR9" s="2235"/>
      <c r="SNS9" s="2235"/>
      <c r="SNT9" s="2235"/>
      <c r="SNU9" s="2235"/>
      <c r="SNV9" s="2235"/>
      <c r="SNW9" s="2235"/>
      <c r="SNX9" s="2235"/>
      <c r="SNY9" s="2235"/>
      <c r="SNZ9" s="2235"/>
      <c r="SOA9" s="2235"/>
      <c r="SOB9" s="2235"/>
      <c r="SOC9" s="2235"/>
      <c r="SOD9" s="2235"/>
      <c r="SOE9" s="2235"/>
      <c r="SOF9" s="2235"/>
      <c r="SOG9" s="2235"/>
      <c r="SOH9" s="2235"/>
      <c r="SOI9" s="2235"/>
      <c r="SOJ9" s="2235"/>
      <c r="SOK9" s="2235"/>
      <c r="SOL9" s="2235"/>
      <c r="SOM9" s="2235"/>
      <c r="SON9" s="2235"/>
      <c r="SOO9" s="2235"/>
      <c r="SOP9" s="2235"/>
      <c r="SOQ9" s="2235"/>
      <c r="SOR9" s="2235"/>
      <c r="SOS9" s="2235"/>
      <c r="SOT9" s="2235"/>
      <c r="SOU9" s="2235"/>
      <c r="SOV9" s="2235"/>
      <c r="SOW9" s="2235"/>
      <c r="SOX9" s="2235"/>
      <c r="SOY9" s="2235"/>
      <c r="SOZ9" s="2235"/>
      <c r="SPA9" s="2235"/>
      <c r="SPB9" s="2235"/>
      <c r="SPC9" s="2235"/>
      <c r="SPD9" s="2235"/>
      <c r="SPE9" s="2235"/>
      <c r="SPF9" s="2235"/>
      <c r="SPG9" s="2235"/>
      <c r="SPH9" s="2235"/>
      <c r="SPI9" s="2235"/>
      <c r="SPJ9" s="2235"/>
      <c r="SPK9" s="2235"/>
      <c r="SPL9" s="2235"/>
      <c r="SPM9" s="2235"/>
      <c r="SPN9" s="2235"/>
      <c r="SPO9" s="2235"/>
      <c r="SPP9" s="2235"/>
      <c r="SPQ9" s="2235"/>
      <c r="SPR9" s="2235"/>
      <c r="SPS9" s="2235"/>
      <c r="SPT9" s="2235"/>
      <c r="SPU9" s="2235"/>
      <c r="SPV9" s="2235"/>
      <c r="SPW9" s="2235"/>
      <c r="SPX9" s="2235"/>
      <c r="SPY9" s="2235"/>
      <c r="SPZ9" s="2235"/>
      <c r="SQA9" s="2235"/>
      <c r="SQB9" s="2235"/>
      <c r="SQC9" s="2235"/>
      <c r="SQD9" s="2235"/>
      <c r="SQE9" s="2235"/>
      <c r="SQF9" s="2235"/>
      <c r="SQG9" s="2235"/>
      <c r="SQH9" s="2235"/>
      <c r="SQI9" s="2235"/>
      <c r="SQJ9" s="2235"/>
      <c r="SQK9" s="2235"/>
      <c r="SQL9" s="2235"/>
      <c r="SQM9" s="2235"/>
      <c r="SQN9" s="2235"/>
      <c r="SQO9" s="2235"/>
      <c r="SQP9" s="2235"/>
      <c r="SQQ9" s="2235"/>
      <c r="SQR9" s="2235"/>
      <c r="SQS9" s="2235"/>
      <c r="SQT9" s="2235"/>
      <c r="SQU9" s="2235"/>
      <c r="SQV9" s="2235"/>
      <c r="SQW9" s="2235"/>
      <c r="SQX9" s="2235"/>
      <c r="SQY9" s="2235"/>
      <c r="SQZ9" s="2235"/>
      <c r="SRA9" s="2235"/>
      <c r="SRB9" s="2235"/>
      <c r="SRC9" s="2235"/>
      <c r="SRD9" s="2235"/>
      <c r="SRE9" s="2235"/>
      <c r="SRF9" s="2235"/>
      <c r="SRG9" s="2235"/>
      <c r="SRH9" s="2235"/>
      <c r="SRI9" s="2235"/>
      <c r="SRJ9" s="2235"/>
      <c r="SRK9" s="2235"/>
      <c r="SRL9" s="2235"/>
      <c r="SRM9" s="2235"/>
      <c r="SRN9" s="2235"/>
      <c r="SRO9" s="2235"/>
      <c r="SRP9" s="2235"/>
      <c r="SRQ9" s="2235"/>
      <c r="SRR9" s="2235"/>
      <c r="SRS9" s="2235"/>
      <c r="SRT9" s="2235"/>
      <c r="SRU9" s="2235"/>
      <c r="SRV9" s="2235"/>
      <c r="SRW9" s="2235"/>
      <c r="SRX9" s="2235"/>
      <c r="SRY9" s="2235"/>
      <c r="SRZ9" s="2235"/>
      <c r="SSA9" s="2235"/>
      <c r="SSB9" s="2235"/>
      <c r="SSC9" s="2235"/>
      <c r="SSD9" s="2235"/>
      <c r="SSE9" s="2235"/>
      <c r="SSF9" s="2235"/>
      <c r="SSG9" s="2235"/>
      <c r="SSH9" s="2235"/>
      <c r="SSI9" s="2235"/>
      <c r="SSJ9" s="2235"/>
      <c r="SSK9" s="2235"/>
      <c r="SSL9" s="2235"/>
      <c r="SSM9" s="2235"/>
      <c r="SSN9" s="2235"/>
      <c r="SSO9" s="2235"/>
      <c r="SSP9" s="2235"/>
      <c r="SSQ9" s="2235"/>
      <c r="SSR9" s="2235"/>
      <c r="SSS9" s="2235"/>
      <c r="SST9" s="2235"/>
      <c r="SSU9" s="2235"/>
      <c r="SSV9" s="2235"/>
      <c r="SSW9" s="2235"/>
      <c r="SSX9" s="2235"/>
      <c r="SSY9" s="2235"/>
      <c r="SSZ9" s="2235"/>
      <c r="STA9" s="2235"/>
      <c r="STB9" s="2235"/>
      <c r="STC9" s="2235"/>
      <c r="STD9" s="2235"/>
      <c r="STE9" s="2235"/>
      <c r="STF9" s="2235"/>
      <c r="STG9" s="2235"/>
      <c r="STH9" s="2235"/>
      <c r="STI9" s="2235"/>
      <c r="STJ9" s="2235"/>
      <c r="STK9" s="2235"/>
      <c r="STL9" s="2235"/>
      <c r="STM9" s="2235"/>
      <c r="STN9" s="2235"/>
      <c r="STO9" s="2235"/>
      <c r="STP9" s="2235"/>
      <c r="STQ9" s="2235"/>
      <c r="STR9" s="2235"/>
      <c r="STS9" s="2235"/>
      <c r="STT9" s="2235"/>
      <c r="STU9" s="2235"/>
      <c r="STV9" s="2235"/>
      <c r="STW9" s="2235"/>
      <c r="STX9" s="2235"/>
      <c r="STY9" s="2235"/>
      <c r="STZ9" s="2235"/>
      <c r="SUA9" s="2235"/>
      <c r="SUB9" s="2235"/>
      <c r="SUC9" s="2235"/>
      <c r="SUD9" s="2235"/>
      <c r="SUE9" s="2235"/>
      <c r="SUF9" s="2235"/>
      <c r="SUG9" s="2235"/>
      <c r="SUH9" s="2235"/>
      <c r="SUI9" s="2235"/>
      <c r="SUJ9" s="2235"/>
      <c r="SUK9" s="2235"/>
      <c r="SUL9" s="2235"/>
      <c r="SUM9" s="2235"/>
      <c r="SUN9" s="2235"/>
      <c r="SUO9" s="2235"/>
      <c r="SUP9" s="2235"/>
      <c r="SUQ9" s="2235"/>
      <c r="SUR9" s="2235"/>
      <c r="SUS9" s="2235"/>
      <c r="SUT9" s="2235"/>
      <c r="SUU9" s="2235"/>
      <c r="SUV9" s="2235"/>
      <c r="SUW9" s="2235"/>
      <c r="SUX9" s="2235"/>
      <c r="SUY9" s="2235"/>
      <c r="SUZ9" s="2235"/>
      <c r="SVA9" s="2235"/>
      <c r="SVB9" s="2235"/>
      <c r="SVC9" s="2235"/>
      <c r="SVD9" s="2235"/>
      <c r="SVE9" s="2235"/>
      <c r="SVF9" s="2235"/>
      <c r="SVG9" s="2235"/>
      <c r="SVH9" s="2235"/>
      <c r="SVI9" s="2235"/>
      <c r="SVJ9" s="2235"/>
      <c r="SVK9" s="2235"/>
      <c r="SVL9" s="2235"/>
      <c r="SVM9" s="2235"/>
      <c r="SVN9" s="2235"/>
      <c r="SVO9" s="2235"/>
      <c r="SVP9" s="2235"/>
      <c r="SVQ9" s="2235"/>
      <c r="SVR9" s="2235"/>
      <c r="SVS9" s="2235"/>
      <c r="SVT9" s="2235"/>
      <c r="SVU9" s="2235"/>
      <c r="SVV9" s="2235"/>
      <c r="SVW9" s="2235"/>
      <c r="SVX9" s="2235"/>
      <c r="SVY9" s="2235"/>
      <c r="SVZ9" s="2235"/>
      <c r="SWA9" s="2235"/>
      <c r="SWB9" s="2235"/>
      <c r="SWC9" s="2235"/>
      <c r="SWD9" s="2235"/>
      <c r="SWE9" s="2235"/>
      <c r="SWF9" s="2235"/>
      <c r="SWG9" s="2235"/>
      <c r="SWH9" s="2235"/>
      <c r="SWI9" s="2235"/>
      <c r="SWJ9" s="2235"/>
      <c r="SWK9" s="2235"/>
      <c r="SWL9" s="2235"/>
      <c r="SWM9" s="2235"/>
      <c r="SWN9" s="2235"/>
      <c r="SWO9" s="2235"/>
      <c r="SWP9" s="2235"/>
      <c r="SWQ9" s="2235"/>
      <c r="SWR9" s="2235"/>
      <c r="SWS9" s="2235"/>
      <c r="SWT9" s="2235"/>
      <c r="SWU9" s="2235"/>
      <c r="SWV9" s="2235"/>
      <c r="SWW9" s="2235"/>
      <c r="SWX9" s="2235"/>
      <c r="SWY9" s="2235"/>
      <c r="SWZ9" s="2235"/>
      <c r="SXA9" s="2235"/>
      <c r="SXB9" s="2235"/>
      <c r="SXC9" s="2235"/>
      <c r="SXD9" s="2235"/>
      <c r="SXE9" s="2235"/>
      <c r="SXF9" s="2235"/>
      <c r="SXG9" s="2235"/>
      <c r="SXH9" s="2235"/>
      <c r="SXI9" s="2235"/>
      <c r="SXJ9" s="2235"/>
      <c r="SXK9" s="2235"/>
      <c r="SXL9" s="2235"/>
      <c r="SXM9" s="2235"/>
      <c r="SXN9" s="2235"/>
      <c r="SXO9" s="2235"/>
      <c r="SXP9" s="2235"/>
      <c r="SXQ9" s="2235"/>
      <c r="SXR9" s="2235"/>
      <c r="SXS9" s="2235"/>
      <c r="SXT9" s="2235"/>
      <c r="SXU9" s="2235"/>
      <c r="SXV9" s="2235"/>
      <c r="SXW9" s="2235"/>
      <c r="SXX9" s="2235"/>
      <c r="SXY9" s="2235"/>
      <c r="SXZ9" s="2235"/>
      <c r="SYA9" s="2235"/>
      <c r="SYB9" s="2235"/>
      <c r="SYC9" s="2235"/>
      <c r="SYD9" s="2235"/>
      <c r="SYE9" s="2235"/>
      <c r="SYF9" s="2235"/>
      <c r="SYG9" s="2235"/>
      <c r="SYH9" s="2235"/>
      <c r="SYI9" s="2235"/>
      <c r="SYJ9" s="2235"/>
      <c r="SYK9" s="2235"/>
      <c r="SYL9" s="2235"/>
      <c r="SYM9" s="2235"/>
      <c r="SYN9" s="2235"/>
      <c r="SYO9" s="2235"/>
      <c r="SYP9" s="2235"/>
      <c r="SYQ9" s="2235"/>
      <c r="SYR9" s="2235"/>
      <c r="SYS9" s="2235"/>
      <c r="SYT9" s="2235"/>
      <c r="SYU9" s="2235"/>
      <c r="SYV9" s="2235"/>
      <c r="SYW9" s="2235"/>
      <c r="SYX9" s="2235"/>
      <c r="SYY9" s="2235"/>
      <c r="SYZ9" s="2235"/>
      <c r="SZA9" s="2235"/>
      <c r="SZB9" s="2235"/>
      <c r="SZC9" s="2235"/>
      <c r="SZD9" s="2235"/>
      <c r="SZE9" s="2235"/>
      <c r="SZF9" s="2235"/>
      <c r="SZG9" s="2235"/>
      <c r="SZH9" s="2235"/>
      <c r="SZI9" s="2235"/>
      <c r="SZJ9" s="2235"/>
      <c r="SZK9" s="2235"/>
      <c r="SZL9" s="2235"/>
      <c r="SZM9" s="2235"/>
      <c r="SZN9" s="2235"/>
      <c r="SZO9" s="2235"/>
      <c r="SZP9" s="2235"/>
      <c r="SZQ9" s="2235"/>
      <c r="SZR9" s="2235"/>
      <c r="SZS9" s="2235"/>
      <c r="SZT9" s="2235"/>
      <c r="SZU9" s="2235"/>
      <c r="SZV9" s="2235"/>
      <c r="SZW9" s="2235"/>
      <c r="SZX9" s="2235"/>
      <c r="SZY9" s="2235"/>
      <c r="SZZ9" s="2235"/>
      <c r="TAA9" s="2235"/>
      <c r="TAB9" s="2235"/>
      <c r="TAC9" s="2235"/>
      <c r="TAD9" s="2235"/>
      <c r="TAE9" s="2235"/>
      <c r="TAF9" s="2235"/>
      <c r="TAG9" s="2235"/>
      <c r="TAH9" s="2235"/>
      <c r="TAI9" s="2235"/>
      <c r="TAJ9" s="2235"/>
      <c r="TAK9" s="2235"/>
      <c r="TAL9" s="2235"/>
      <c r="TAM9" s="2235"/>
      <c r="TAN9" s="2235"/>
      <c r="TAO9" s="2235"/>
      <c r="TAP9" s="2235"/>
      <c r="TAQ9" s="2235"/>
      <c r="TAR9" s="2235"/>
      <c r="TAS9" s="2235"/>
      <c r="TAT9" s="2235"/>
      <c r="TAU9" s="2235"/>
      <c r="TAV9" s="2235"/>
      <c r="TAW9" s="2235"/>
      <c r="TAX9" s="2235"/>
      <c r="TAY9" s="2235"/>
      <c r="TAZ9" s="2235"/>
      <c r="TBA9" s="2235"/>
      <c r="TBB9" s="2235"/>
      <c r="TBC9" s="2235"/>
      <c r="TBD9" s="2235"/>
      <c r="TBE9" s="2235"/>
      <c r="TBF9" s="2235"/>
      <c r="TBG9" s="2235"/>
      <c r="TBH9" s="2235"/>
      <c r="TBI9" s="2235"/>
      <c r="TBJ9" s="2235"/>
      <c r="TBK9" s="2235"/>
      <c r="TBL9" s="2235"/>
      <c r="TBM9" s="2235"/>
      <c r="TBN9" s="2235"/>
      <c r="TBO9" s="2235"/>
      <c r="TBP9" s="2235"/>
      <c r="TBQ9" s="2235"/>
      <c r="TBR9" s="2235"/>
      <c r="TBS9" s="2235"/>
      <c r="TBT9" s="2235"/>
      <c r="TBU9" s="2235"/>
      <c r="TBV9" s="2235"/>
      <c r="TBW9" s="2235"/>
      <c r="TBX9" s="2235"/>
      <c r="TBY9" s="2235"/>
      <c r="TBZ9" s="2235"/>
      <c r="TCA9" s="2235"/>
      <c r="TCB9" s="2235"/>
      <c r="TCC9" s="2235"/>
      <c r="TCD9" s="2235"/>
      <c r="TCE9" s="2235"/>
      <c r="TCF9" s="2235"/>
      <c r="TCG9" s="2235"/>
      <c r="TCH9" s="2235"/>
      <c r="TCI9" s="2235"/>
      <c r="TCJ9" s="2235"/>
      <c r="TCK9" s="2235"/>
      <c r="TCL9" s="2235"/>
      <c r="TCM9" s="2235"/>
      <c r="TCN9" s="2235"/>
      <c r="TCO9" s="2235"/>
      <c r="TCP9" s="2235"/>
      <c r="TCQ9" s="2235"/>
      <c r="TCR9" s="2235"/>
      <c r="TCS9" s="2235"/>
      <c r="TCT9" s="2235"/>
      <c r="TCU9" s="2235"/>
      <c r="TCV9" s="2235"/>
      <c r="TCW9" s="2235"/>
      <c r="TCX9" s="2235"/>
      <c r="TCY9" s="2235"/>
      <c r="TCZ9" s="2235"/>
      <c r="TDA9" s="2235"/>
      <c r="TDB9" s="2235"/>
      <c r="TDC9" s="2235"/>
      <c r="TDD9" s="2235"/>
      <c r="TDE9" s="2235"/>
      <c r="TDF9" s="2235"/>
      <c r="TDG9" s="2235"/>
      <c r="TDH9" s="2235"/>
      <c r="TDI9" s="2235"/>
      <c r="TDJ9" s="2235"/>
      <c r="TDK9" s="2235"/>
      <c r="TDL9" s="2235"/>
      <c r="TDM9" s="2235"/>
      <c r="TDN9" s="2235"/>
      <c r="TDO9" s="2235"/>
      <c r="TDP9" s="2235"/>
      <c r="TDQ9" s="2235"/>
      <c r="TDR9" s="2235"/>
      <c r="TDS9" s="2235"/>
      <c r="TDT9" s="2235"/>
      <c r="TDU9" s="2235"/>
      <c r="TDV9" s="2235"/>
      <c r="TDW9" s="2235"/>
      <c r="TDX9" s="2235"/>
      <c r="TDY9" s="2235"/>
      <c r="TDZ9" s="2235"/>
      <c r="TEA9" s="2235"/>
      <c r="TEB9" s="2235"/>
      <c r="TEC9" s="2235"/>
      <c r="TED9" s="2235"/>
      <c r="TEE9" s="2235"/>
      <c r="TEF9" s="2235"/>
      <c r="TEG9" s="2235"/>
      <c r="TEH9" s="2235"/>
      <c r="TEI9" s="2235"/>
      <c r="TEJ9" s="2235"/>
      <c r="TEK9" s="2235"/>
      <c r="TEL9" s="2235"/>
      <c r="TEM9" s="2235"/>
      <c r="TEN9" s="2235"/>
      <c r="TEO9" s="2235"/>
      <c r="TEP9" s="2235"/>
      <c r="TEQ9" s="2235"/>
      <c r="TER9" s="2235"/>
      <c r="TES9" s="2235"/>
      <c r="TET9" s="2235"/>
      <c r="TEU9" s="2235"/>
      <c r="TEV9" s="2235"/>
      <c r="TEW9" s="2235"/>
      <c r="TEX9" s="2235"/>
      <c r="TEY9" s="2235"/>
      <c r="TEZ9" s="2235"/>
      <c r="TFA9" s="2235"/>
      <c r="TFB9" s="2235"/>
      <c r="TFC9" s="2235"/>
      <c r="TFD9" s="2235"/>
      <c r="TFE9" s="2235"/>
      <c r="TFF9" s="2235"/>
      <c r="TFG9" s="2235"/>
      <c r="TFH9" s="2235"/>
      <c r="TFI9" s="2235"/>
      <c r="TFJ9" s="2235"/>
      <c r="TFK9" s="2235"/>
      <c r="TFL9" s="2235"/>
      <c r="TFM9" s="2235"/>
      <c r="TFN9" s="2235"/>
      <c r="TFO9" s="2235"/>
      <c r="TFP9" s="2235"/>
      <c r="TFQ9" s="2235"/>
      <c r="TFR9" s="2235"/>
      <c r="TFS9" s="2235"/>
      <c r="TFT9" s="2235"/>
      <c r="TFU9" s="2235"/>
      <c r="TFV9" s="2235"/>
      <c r="TFW9" s="2235"/>
      <c r="TFX9" s="2235"/>
      <c r="TFY9" s="2235"/>
      <c r="TFZ9" s="2235"/>
      <c r="TGA9" s="2235"/>
      <c r="TGB9" s="2235"/>
      <c r="TGC9" s="2235"/>
      <c r="TGD9" s="2235"/>
      <c r="TGE9" s="2235"/>
      <c r="TGF9" s="2235"/>
      <c r="TGG9" s="2235"/>
      <c r="TGH9" s="2235"/>
      <c r="TGI9" s="2235"/>
      <c r="TGJ9" s="2235"/>
      <c r="TGK9" s="2235"/>
      <c r="TGL9" s="2235"/>
      <c r="TGM9" s="2235"/>
      <c r="TGN9" s="2235"/>
      <c r="TGO9" s="2235"/>
      <c r="TGP9" s="2235"/>
      <c r="TGQ9" s="2235"/>
      <c r="TGR9" s="2235"/>
      <c r="TGS9" s="2235"/>
      <c r="TGT9" s="2235"/>
      <c r="TGU9" s="2235"/>
      <c r="TGV9" s="2235"/>
      <c r="TGW9" s="2235"/>
      <c r="TGX9" s="2235"/>
      <c r="TGY9" s="2235"/>
      <c r="TGZ9" s="2235"/>
      <c r="THA9" s="2235"/>
      <c r="THB9" s="2235"/>
      <c r="THC9" s="2235"/>
      <c r="THD9" s="2235"/>
      <c r="THE9" s="2235"/>
      <c r="THF9" s="2235"/>
      <c r="THG9" s="2235"/>
      <c r="THH9" s="2235"/>
      <c r="THI9" s="2235"/>
      <c r="THJ9" s="2235"/>
      <c r="THK9" s="2235"/>
      <c r="THL9" s="2235"/>
      <c r="THM9" s="2235"/>
      <c r="THN9" s="2235"/>
      <c r="THO9" s="2235"/>
      <c r="THP9" s="2235"/>
      <c r="THQ9" s="2235"/>
      <c r="THR9" s="2235"/>
      <c r="THS9" s="2235"/>
      <c r="THT9" s="2235"/>
      <c r="THU9" s="2235"/>
      <c r="THV9" s="2235"/>
      <c r="THW9" s="2235"/>
      <c r="THX9" s="2235"/>
      <c r="THY9" s="2235"/>
      <c r="THZ9" s="2235"/>
      <c r="TIA9" s="2235"/>
      <c r="TIB9" s="2235"/>
      <c r="TIC9" s="2235"/>
      <c r="TID9" s="2235"/>
      <c r="TIE9" s="2235"/>
      <c r="TIF9" s="2235"/>
      <c r="TIG9" s="2235"/>
      <c r="TIH9" s="2235"/>
      <c r="TII9" s="2235"/>
      <c r="TIJ9" s="2235"/>
      <c r="TIK9" s="2235"/>
      <c r="TIL9" s="2235"/>
      <c r="TIM9" s="2235"/>
      <c r="TIN9" s="2235"/>
      <c r="TIO9" s="2235"/>
      <c r="TIP9" s="2235"/>
      <c r="TIQ9" s="2235"/>
      <c r="TIR9" s="2235"/>
      <c r="TIS9" s="2235"/>
      <c r="TIT9" s="2235"/>
      <c r="TIU9" s="2235"/>
      <c r="TIV9" s="2235"/>
      <c r="TIW9" s="2235"/>
      <c r="TIX9" s="2235"/>
      <c r="TIY9" s="2235"/>
      <c r="TIZ9" s="2235"/>
      <c r="TJA9" s="2235"/>
      <c r="TJB9" s="2235"/>
      <c r="TJC9" s="2235"/>
      <c r="TJD9" s="2235"/>
      <c r="TJE9" s="2235"/>
      <c r="TJF9" s="2235"/>
      <c r="TJG9" s="2235"/>
      <c r="TJH9" s="2235"/>
      <c r="TJI9" s="2235"/>
      <c r="TJJ9" s="2235"/>
      <c r="TJK9" s="2235"/>
      <c r="TJL9" s="2235"/>
      <c r="TJM9" s="2235"/>
      <c r="TJN9" s="2235"/>
      <c r="TJO9" s="2235"/>
      <c r="TJP9" s="2235"/>
      <c r="TJQ9" s="2235"/>
      <c r="TJR9" s="2235"/>
      <c r="TJS9" s="2235"/>
      <c r="TJT9" s="2235"/>
      <c r="TJU9" s="2235"/>
      <c r="TJV9" s="2235"/>
      <c r="TJW9" s="2235"/>
      <c r="TJX9" s="2235"/>
      <c r="TJY9" s="2235"/>
      <c r="TJZ9" s="2235"/>
      <c r="TKA9" s="2235"/>
      <c r="TKB9" s="2235"/>
      <c r="TKC9" s="2235"/>
      <c r="TKD9" s="2235"/>
      <c r="TKE9" s="2235"/>
      <c r="TKF9" s="2235"/>
      <c r="TKG9" s="2235"/>
      <c r="TKH9" s="2235"/>
      <c r="TKI9" s="2235"/>
      <c r="TKJ9" s="2235"/>
      <c r="TKK9" s="2235"/>
      <c r="TKL9" s="2235"/>
      <c r="TKM9" s="2235"/>
      <c r="TKN9" s="2235"/>
      <c r="TKO9" s="2235"/>
      <c r="TKP9" s="2235"/>
      <c r="TKQ9" s="2235"/>
      <c r="TKR9" s="2235"/>
      <c r="TKS9" s="2235"/>
      <c r="TKT9" s="2235"/>
      <c r="TKU9" s="2235"/>
      <c r="TKV9" s="2235"/>
      <c r="TKW9" s="2235"/>
      <c r="TKX9" s="2235"/>
      <c r="TKY9" s="2235"/>
      <c r="TKZ9" s="2235"/>
      <c r="TLA9" s="2235"/>
      <c r="TLB9" s="2235"/>
      <c r="TLC9" s="2235"/>
      <c r="TLD9" s="2235"/>
      <c r="TLE9" s="2235"/>
      <c r="TLF9" s="2235"/>
      <c r="TLG9" s="2235"/>
      <c r="TLH9" s="2235"/>
      <c r="TLI9" s="2235"/>
      <c r="TLJ9" s="2235"/>
      <c r="TLK9" s="2235"/>
      <c r="TLL9" s="2235"/>
      <c r="TLM9" s="2235"/>
      <c r="TLN9" s="2235"/>
      <c r="TLO9" s="2235"/>
      <c r="TLP9" s="2235"/>
      <c r="TLQ9" s="2235"/>
      <c r="TLR9" s="2235"/>
      <c r="TLS9" s="2235"/>
      <c r="TLT9" s="2235"/>
      <c r="TLU9" s="2235"/>
      <c r="TLV9" s="2235"/>
      <c r="TLW9" s="2235"/>
      <c r="TLX9" s="2235"/>
      <c r="TLY9" s="2235"/>
      <c r="TLZ9" s="2235"/>
      <c r="TMA9" s="2235"/>
      <c r="TMB9" s="2235"/>
      <c r="TMC9" s="2235"/>
      <c r="TMD9" s="2235"/>
      <c r="TME9" s="2235"/>
      <c r="TMF9" s="2235"/>
      <c r="TMG9" s="2235"/>
      <c r="TMH9" s="2235"/>
      <c r="TMI9" s="2235"/>
      <c r="TMJ9" s="2235"/>
      <c r="TMK9" s="2235"/>
      <c r="TML9" s="2235"/>
      <c r="TMM9" s="2235"/>
      <c r="TMN9" s="2235"/>
      <c r="TMO9" s="2235"/>
      <c r="TMP9" s="2235"/>
      <c r="TMQ9" s="2235"/>
      <c r="TMR9" s="2235"/>
      <c r="TMS9" s="2235"/>
      <c r="TMT9" s="2235"/>
      <c r="TMU9" s="2235"/>
      <c r="TMV9" s="2235"/>
      <c r="TMW9" s="2235"/>
      <c r="TMX9" s="2235"/>
      <c r="TMY9" s="2235"/>
      <c r="TMZ9" s="2235"/>
      <c r="TNA9" s="2235"/>
      <c r="TNB9" s="2235"/>
      <c r="TNC9" s="2235"/>
      <c r="TND9" s="2235"/>
      <c r="TNE9" s="2235"/>
      <c r="TNF9" s="2235"/>
      <c r="TNG9" s="2235"/>
      <c r="TNH9" s="2235"/>
      <c r="TNI9" s="2235"/>
      <c r="TNJ9" s="2235"/>
      <c r="TNK9" s="2235"/>
      <c r="TNL9" s="2235"/>
      <c r="TNM9" s="2235"/>
      <c r="TNN9" s="2235"/>
      <c r="TNO9" s="2235"/>
      <c r="TNP9" s="2235"/>
      <c r="TNQ9" s="2235"/>
      <c r="TNR9" s="2235"/>
      <c r="TNS9" s="2235"/>
      <c r="TNT9" s="2235"/>
      <c r="TNU9" s="2235"/>
      <c r="TNV9" s="2235"/>
      <c r="TNW9" s="2235"/>
      <c r="TNX9" s="2235"/>
      <c r="TNY9" s="2235"/>
      <c r="TNZ9" s="2235"/>
      <c r="TOA9" s="2235"/>
      <c r="TOB9" s="2235"/>
      <c r="TOC9" s="2235"/>
      <c r="TOD9" s="2235"/>
      <c r="TOE9" s="2235"/>
      <c r="TOF9" s="2235"/>
      <c r="TOG9" s="2235"/>
      <c r="TOH9" s="2235"/>
      <c r="TOI9" s="2235"/>
      <c r="TOJ9" s="2235"/>
      <c r="TOK9" s="2235"/>
      <c r="TOL9" s="2235"/>
      <c r="TOM9" s="2235"/>
      <c r="TON9" s="2235"/>
      <c r="TOO9" s="2235"/>
      <c r="TOP9" s="2235"/>
      <c r="TOQ9" s="2235"/>
      <c r="TOR9" s="2235"/>
      <c r="TOS9" s="2235"/>
      <c r="TOT9" s="2235"/>
      <c r="TOU9" s="2235"/>
      <c r="TOV9" s="2235"/>
      <c r="TOW9" s="2235"/>
      <c r="TOX9" s="2235"/>
      <c r="TOY9" s="2235"/>
      <c r="TOZ9" s="2235"/>
      <c r="TPA9" s="2235"/>
      <c r="TPB9" s="2235"/>
      <c r="TPC9" s="2235"/>
      <c r="TPD9" s="2235"/>
      <c r="TPE9" s="2235"/>
      <c r="TPF9" s="2235"/>
      <c r="TPG9" s="2235"/>
      <c r="TPH9" s="2235"/>
      <c r="TPI9" s="2235"/>
      <c r="TPJ9" s="2235"/>
      <c r="TPK9" s="2235"/>
      <c r="TPL9" s="2235"/>
      <c r="TPM9" s="2235"/>
      <c r="TPN9" s="2235"/>
      <c r="TPO9" s="2235"/>
      <c r="TPP9" s="2235"/>
      <c r="TPQ9" s="2235"/>
      <c r="TPR9" s="2235"/>
      <c r="TPS9" s="2235"/>
      <c r="TPT9" s="2235"/>
      <c r="TPU9" s="2235"/>
      <c r="TPV9" s="2235"/>
      <c r="TPW9" s="2235"/>
      <c r="TPX9" s="2235"/>
      <c r="TPY9" s="2235"/>
      <c r="TPZ9" s="2235"/>
      <c r="TQA9" s="2235"/>
      <c r="TQB9" s="2235"/>
      <c r="TQC9" s="2235"/>
      <c r="TQD9" s="2235"/>
      <c r="TQE9" s="2235"/>
      <c r="TQF9" s="2235"/>
      <c r="TQG9" s="2235"/>
      <c r="TQH9" s="2235"/>
      <c r="TQI9" s="2235"/>
      <c r="TQJ9" s="2235"/>
      <c r="TQK9" s="2235"/>
      <c r="TQL9" s="2235"/>
      <c r="TQM9" s="2235"/>
      <c r="TQN9" s="2235"/>
      <c r="TQO9" s="2235"/>
      <c r="TQP9" s="2235"/>
      <c r="TQQ9" s="2235"/>
      <c r="TQR9" s="2235"/>
      <c r="TQS9" s="2235"/>
      <c r="TQT9" s="2235"/>
      <c r="TQU9" s="2235"/>
      <c r="TQV9" s="2235"/>
      <c r="TQW9" s="2235"/>
      <c r="TQX9" s="2235"/>
      <c r="TQY9" s="2235"/>
      <c r="TQZ9" s="2235"/>
      <c r="TRA9" s="2235"/>
      <c r="TRB9" s="2235"/>
      <c r="TRC9" s="2235"/>
      <c r="TRD9" s="2235"/>
      <c r="TRE9" s="2235"/>
      <c r="TRF9" s="2235"/>
      <c r="TRG9" s="2235"/>
      <c r="TRH9" s="2235"/>
      <c r="TRI9" s="2235"/>
      <c r="TRJ9" s="2235"/>
      <c r="TRK9" s="2235"/>
      <c r="TRL9" s="2235"/>
      <c r="TRM9" s="2235"/>
      <c r="TRN9" s="2235"/>
      <c r="TRO9" s="2235"/>
      <c r="TRP9" s="2235"/>
      <c r="TRQ9" s="2235"/>
      <c r="TRR9" s="2235"/>
      <c r="TRS9" s="2235"/>
      <c r="TRT9" s="2235"/>
      <c r="TRU9" s="2235"/>
      <c r="TRV9" s="2235"/>
      <c r="TRW9" s="2235"/>
      <c r="TRX9" s="2235"/>
      <c r="TRY9" s="2235"/>
      <c r="TRZ9" s="2235"/>
      <c r="TSA9" s="2235"/>
      <c r="TSB9" s="2235"/>
      <c r="TSC9" s="2235"/>
      <c r="TSD9" s="2235"/>
      <c r="TSE9" s="2235"/>
      <c r="TSF9" s="2235"/>
      <c r="TSG9" s="2235"/>
      <c r="TSH9" s="2235"/>
      <c r="TSI9" s="2235"/>
      <c r="TSJ9" s="2235"/>
      <c r="TSK9" s="2235"/>
      <c r="TSL9" s="2235"/>
      <c r="TSM9" s="2235"/>
      <c r="TSN9" s="2235"/>
      <c r="TSO9" s="2235"/>
      <c r="TSP9" s="2235"/>
      <c r="TSQ9" s="2235"/>
      <c r="TSR9" s="2235"/>
      <c r="TSS9" s="2235"/>
      <c r="TST9" s="2235"/>
      <c r="TSU9" s="2235"/>
      <c r="TSV9" s="2235"/>
      <c r="TSW9" s="2235"/>
      <c r="TSX9" s="2235"/>
      <c r="TSY9" s="2235"/>
      <c r="TSZ9" s="2235"/>
      <c r="TTA9" s="2235"/>
      <c r="TTB9" s="2235"/>
      <c r="TTC9" s="2235"/>
      <c r="TTD9" s="2235"/>
      <c r="TTE9" s="2235"/>
      <c r="TTF9" s="2235"/>
      <c r="TTG9" s="2235"/>
      <c r="TTH9" s="2235"/>
      <c r="TTI9" s="2235"/>
      <c r="TTJ9" s="2235"/>
      <c r="TTK9" s="2235"/>
      <c r="TTL9" s="2235"/>
      <c r="TTM9" s="2235"/>
      <c r="TTN9" s="2235"/>
      <c r="TTO9" s="2235"/>
      <c r="TTP9" s="2235"/>
      <c r="TTQ9" s="2235"/>
      <c r="TTR9" s="2235"/>
      <c r="TTS9" s="2235"/>
      <c r="TTT9" s="2235"/>
      <c r="TTU9" s="2235"/>
      <c r="TTV9" s="2235"/>
      <c r="TTW9" s="2235"/>
      <c r="TTX9" s="2235"/>
      <c r="TTY9" s="2235"/>
      <c r="TTZ9" s="2235"/>
      <c r="TUA9" s="2235"/>
      <c r="TUB9" s="2235"/>
      <c r="TUC9" s="2235"/>
      <c r="TUD9" s="2235"/>
      <c r="TUE9" s="2235"/>
      <c r="TUF9" s="2235"/>
      <c r="TUG9" s="2235"/>
      <c r="TUH9" s="2235"/>
      <c r="TUI9" s="2235"/>
      <c r="TUJ9" s="2235"/>
      <c r="TUK9" s="2235"/>
      <c r="TUL9" s="2235"/>
      <c r="TUM9" s="2235"/>
      <c r="TUN9" s="2235"/>
      <c r="TUO9" s="2235"/>
      <c r="TUP9" s="2235"/>
      <c r="TUQ9" s="2235"/>
      <c r="TUR9" s="2235"/>
      <c r="TUS9" s="2235"/>
      <c r="TUT9" s="2235"/>
      <c r="TUU9" s="2235"/>
      <c r="TUV9" s="2235"/>
      <c r="TUW9" s="2235"/>
      <c r="TUX9" s="2235"/>
      <c r="TUY9" s="2235"/>
      <c r="TUZ9" s="2235"/>
      <c r="TVA9" s="2235"/>
      <c r="TVB9" s="2235"/>
      <c r="TVC9" s="2235"/>
      <c r="TVD9" s="2235"/>
      <c r="TVE9" s="2235"/>
      <c r="TVF9" s="2235"/>
      <c r="TVG9" s="2235"/>
      <c r="TVH9" s="2235"/>
      <c r="TVI9" s="2235"/>
      <c r="TVJ9" s="2235"/>
      <c r="TVK9" s="2235"/>
      <c r="TVL9" s="2235"/>
      <c r="TVM9" s="2235"/>
      <c r="TVN9" s="2235"/>
      <c r="TVO9" s="2235"/>
      <c r="TVP9" s="2235"/>
      <c r="TVQ9" s="2235"/>
      <c r="TVR9" s="2235"/>
      <c r="TVS9" s="2235"/>
      <c r="TVT9" s="2235"/>
      <c r="TVU9" s="2235"/>
      <c r="TVV9" s="2235"/>
      <c r="TVW9" s="2235"/>
      <c r="TVX9" s="2235"/>
      <c r="TVY9" s="2235"/>
      <c r="TVZ9" s="2235"/>
      <c r="TWA9" s="2235"/>
      <c r="TWB9" s="2235"/>
      <c r="TWC9" s="2235"/>
      <c r="TWD9" s="2235"/>
      <c r="TWE9" s="2235"/>
      <c r="TWF9" s="2235"/>
      <c r="TWG9" s="2235"/>
      <c r="TWH9" s="2235"/>
      <c r="TWI9" s="2235"/>
      <c r="TWJ9" s="2235"/>
      <c r="TWK9" s="2235"/>
      <c r="TWL9" s="2235"/>
      <c r="TWM9" s="2235"/>
      <c r="TWN9" s="2235"/>
      <c r="TWO9" s="2235"/>
      <c r="TWP9" s="2235"/>
      <c r="TWQ9" s="2235"/>
      <c r="TWR9" s="2235"/>
      <c r="TWS9" s="2235"/>
      <c r="TWT9" s="2235"/>
      <c r="TWU9" s="2235"/>
      <c r="TWV9" s="2235"/>
      <c r="TWW9" s="2235"/>
      <c r="TWX9" s="2235"/>
      <c r="TWY9" s="2235"/>
      <c r="TWZ9" s="2235"/>
      <c r="TXA9" s="2235"/>
      <c r="TXB9" s="2235"/>
      <c r="TXC9" s="2235"/>
      <c r="TXD9" s="2235"/>
      <c r="TXE9" s="2235"/>
      <c r="TXF9" s="2235"/>
      <c r="TXG9" s="2235"/>
      <c r="TXH9" s="2235"/>
      <c r="TXI9" s="2235"/>
      <c r="TXJ9" s="2235"/>
      <c r="TXK9" s="2235"/>
      <c r="TXL9" s="2235"/>
      <c r="TXM9" s="2235"/>
      <c r="TXN9" s="2235"/>
      <c r="TXO9" s="2235"/>
      <c r="TXP9" s="2235"/>
      <c r="TXQ9" s="2235"/>
      <c r="TXR9" s="2235"/>
      <c r="TXS9" s="2235"/>
      <c r="TXT9" s="2235"/>
      <c r="TXU9" s="2235"/>
      <c r="TXV9" s="2235"/>
      <c r="TXW9" s="2235"/>
      <c r="TXX9" s="2235"/>
      <c r="TXY9" s="2235"/>
      <c r="TXZ9" s="2235"/>
      <c r="TYA9" s="2235"/>
      <c r="TYB9" s="2235"/>
      <c r="TYC9" s="2235"/>
      <c r="TYD9" s="2235"/>
      <c r="TYE9" s="2235"/>
      <c r="TYF9" s="2235"/>
      <c r="TYG9" s="2235"/>
      <c r="TYH9" s="2235"/>
      <c r="TYI9" s="2235"/>
      <c r="TYJ9" s="2235"/>
      <c r="TYK9" s="2235"/>
      <c r="TYL9" s="2235"/>
      <c r="TYM9" s="2235"/>
      <c r="TYN9" s="2235"/>
      <c r="TYO9" s="2235"/>
      <c r="TYP9" s="2235"/>
      <c r="TYQ9" s="2235"/>
      <c r="TYR9" s="2235"/>
      <c r="TYS9" s="2235"/>
      <c r="TYT9" s="2235"/>
      <c r="TYU9" s="2235"/>
      <c r="TYV9" s="2235"/>
      <c r="TYW9" s="2235"/>
      <c r="TYX9" s="2235"/>
      <c r="TYY9" s="2235"/>
      <c r="TYZ9" s="2235"/>
      <c r="TZA9" s="2235"/>
      <c r="TZB9" s="2235"/>
      <c r="TZC9" s="2235"/>
      <c r="TZD9" s="2235"/>
      <c r="TZE9" s="2235"/>
      <c r="TZF9" s="2235"/>
      <c r="TZG9" s="2235"/>
      <c r="TZH9" s="2235"/>
      <c r="TZI9" s="2235"/>
      <c r="TZJ9" s="2235"/>
      <c r="TZK9" s="2235"/>
      <c r="TZL9" s="2235"/>
      <c r="TZM9" s="2235"/>
      <c r="TZN9" s="2235"/>
      <c r="TZO9" s="2235"/>
      <c r="TZP9" s="2235"/>
      <c r="TZQ9" s="2235"/>
      <c r="TZR9" s="2235"/>
      <c r="TZS9" s="2235"/>
      <c r="TZT9" s="2235"/>
      <c r="TZU9" s="2235"/>
      <c r="TZV9" s="2235"/>
      <c r="TZW9" s="2235"/>
      <c r="TZX9" s="2235"/>
      <c r="TZY9" s="2235"/>
      <c r="TZZ9" s="2235"/>
      <c r="UAA9" s="2235"/>
      <c r="UAB9" s="2235"/>
      <c r="UAC9" s="2235"/>
      <c r="UAD9" s="2235"/>
      <c r="UAE9" s="2235"/>
      <c r="UAF9" s="2235"/>
      <c r="UAG9" s="2235"/>
      <c r="UAH9" s="2235"/>
      <c r="UAI9" s="2235"/>
      <c r="UAJ9" s="2235"/>
      <c r="UAK9" s="2235"/>
      <c r="UAL9" s="2235"/>
      <c r="UAM9" s="2235"/>
      <c r="UAN9" s="2235"/>
      <c r="UAO9" s="2235"/>
      <c r="UAP9" s="2235"/>
      <c r="UAQ9" s="2235"/>
      <c r="UAR9" s="2235"/>
      <c r="UAS9" s="2235"/>
      <c r="UAT9" s="2235"/>
      <c r="UAU9" s="2235"/>
      <c r="UAV9" s="2235"/>
      <c r="UAW9" s="2235"/>
      <c r="UAX9" s="2235"/>
      <c r="UAY9" s="2235"/>
      <c r="UAZ9" s="2235"/>
      <c r="UBA9" s="2235"/>
      <c r="UBB9" s="2235"/>
      <c r="UBC9" s="2235"/>
      <c r="UBD9" s="2235"/>
      <c r="UBE9" s="2235"/>
      <c r="UBF9" s="2235"/>
      <c r="UBG9" s="2235"/>
      <c r="UBH9" s="2235"/>
      <c r="UBI9" s="2235"/>
      <c r="UBJ9" s="2235"/>
      <c r="UBK9" s="2235"/>
      <c r="UBL9" s="2235"/>
      <c r="UBM9" s="2235"/>
      <c r="UBN9" s="2235"/>
      <c r="UBO9" s="2235"/>
      <c r="UBP9" s="2235"/>
      <c r="UBQ9" s="2235"/>
      <c r="UBR9" s="2235"/>
      <c r="UBS9" s="2235"/>
      <c r="UBT9" s="2235"/>
      <c r="UBU9" s="2235"/>
      <c r="UBV9" s="2235"/>
      <c r="UBW9" s="2235"/>
      <c r="UBX9" s="2235"/>
      <c r="UBY9" s="2235"/>
      <c r="UBZ9" s="2235"/>
      <c r="UCA9" s="2235"/>
      <c r="UCB9" s="2235"/>
      <c r="UCC9" s="2235"/>
      <c r="UCD9" s="2235"/>
      <c r="UCE9" s="2235"/>
      <c r="UCF9" s="2235"/>
      <c r="UCG9" s="2235"/>
      <c r="UCH9" s="2235"/>
      <c r="UCI9" s="2235"/>
      <c r="UCJ9" s="2235"/>
      <c r="UCK9" s="2235"/>
      <c r="UCL9" s="2235"/>
      <c r="UCM9" s="2235"/>
      <c r="UCN9" s="2235"/>
      <c r="UCO9" s="2235"/>
      <c r="UCP9" s="2235"/>
      <c r="UCQ9" s="2235"/>
      <c r="UCR9" s="2235"/>
      <c r="UCS9" s="2235"/>
      <c r="UCT9" s="2235"/>
      <c r="UCU9" s="2235"/>
      <c r="UCV9" s="2235"/>
      <c r="UCW9" s="2235"/>
      <c r="UCX9" s="2235"/>
      <c r="UCY9" s="2235"/>
      <c r="UCZ9" s="2235"/>
      <c r="UDA9" s="2235"/>
      <c r="UDB9" s="2235"/>
      <c r="UDC9" s="2235"/>
      <c r="UDD9" s="2235"/>
      <c r="UDE9" s="2235"/>
      <c r="UDF9" s="2235"/>
      <c r="UDG9" s="2235"/>
      <c r="UDH9" s="2235"/>
      <c r="UDI9" s="2235"/>
      <c r="UDJ9" s="2235"/>
      <c r="UDK9" s="2235"/>
      <c r="UDL9" s="2235"/>
      <c r="UDM9" s="2235"/>
      <c r="UDN9" s="2235"/>
      <c r="UDO9" s="2235"/>
      <c r="UDP9" s="2235"/>
      <c r="UDQ9" s="2235"/>
      <c r="UDR9" s="2235"/>
      <c r="UDS9" s="2235"/>
      <c r="UDT9" s="2235"/>
      <c r="UDU9" s="2235"/>
      <c r="UDV9" s="2235"/>
      <c r="UDW9" s="2235"/>
      <c r="UDX9" s="2235"/>
      <c r="UDY9" s="2235"/>
      <c r="UDZ9" s="2235"/>
      <c r="UEA9" s="2235"/>
      <c r="UEB9" s="2235"/>
      <c r="UEC9" s="2235"/>
      <c r="UED9" s="2235"/>
      <c r="UEE9" s="2235"/>
      <c r="UEF9" s="2235"/>
      <c r="UEG9" s="2235"/>
      <c r="UEH9" s="2235"/>
      <c r="UEI9" s="2235"/>
      <c r="UEJ9" s="2235"/>
      <c r="UEK9" s="2235"/>
      <c r="UEL9" s="2235"/>
      <c r="UEM9" s="2235"/>
      <c r="UEN9" s="2235"/>
      <c r="UEO9" s="2235"/>
      <c r="UEP9" s="2235"/>
      <c r="UEQ9" s="2235"/>
      <c r="UER9" s="2235"/>
      <c r="UES9" s="2235"/>
      <c r="UET9" s="2235"/>
      <c r="UEU9" s="2235"/>
      <c r="UEV9" s="2235"/>
      <c r="UEW9" s="2235"/>
      <c r="UEX9" s="2235"/>
      <c r="UEY9" s="2235"/>
      <c r="UEZ9" s="2235"/>
      <c r="UFA9" s="2235"/>
      <c r="UFB9" s="2235"/>
      <c r="UFC9" s="2235"/>
      <c r="UFD9" s="2235"/>
      <c r="UFE9" s="2235"/>
      <c r="UFF9" s="2235"/>
      <c r="UFG9" s="2235"/>
      <c r="UFH9" s="2235"/>
      <c r="UFI9" s="2235"/>
      <c r="UFJ9" s="2235"/>
      <c r="UFK9" s="2235"/>
      <c r="UFL9" s="2235"/>
      <c r="UFM9" s="2235"/>
      <c r="UFN9" s="2235"/>
      <c r="UFO9" s="2235"/>
      <c r="UFP9" s="2235"/>
      <c r="UFQ9" s="2235"/>
      <c r="UFR9" s="2235"/>
      <c r="UFS9" s="2235"/>
      <c r="UFT9" s="2235"/>
      <c r="UFU9" s="2235"/>
      <c r="UFV9" s="2235"/>
      <c r="UFW9" s="2235"/>
      <c r="UFX9" s="2235"/>
      <c r="UFY9" s="2235"/>
      <c r="UFZ9" s="2235"/>
      <c r="UGA9" s="2235"/>
      <c r="UGB9" s="2235"/>
      <c r="UGC9" s="2235"/>
      <c r="UGD9" s="2235"/>
      <c r="UGE9" s="2235"/>
      <c r="UGF9" s="2235"/>
      <c r="UGG9" s="2235"/>
      <c r="UGH9" s="2235"/>
      <c r="UGI9" s="2235"/>
      <c r="UGJ9" s="2235"/>
      <c r="UGK9" s="2235"/>
      <c r="UGL9" s="2235"/>
      <c r="UGM9" s="2235"/>
      <c r="UGN9" s="2235"/>
      <c r="UGO9" s="2235"/>
      <c r="UGP9" s="2235"/>
      <c r="UGQ9" s="2235"/>
      <c r="UGR9" s="2235"/>
      <c r="UGS9" s="2235"/>
      <c r="UGT9" s="2235"/>
      <c r="UGU9" s="2235"/>
      <c r="UGV9" s="2235"/>
      <c r="UGW9" s="2235"/>
      <c r="UGX9" s="2235"/>
      <c r="UGY9" s="2235"/>
      <c r="UGZ9" s="2235"/>
      <c r="UHA9" s="2235"/>
      <c r="UHB9" s="2235"/>
      <c r="UHC9" s="2235"/>
      <c r="UHD9" s="2235"/>
      <c r="UHE9" s="2235"/>
      <c r="UHF9" s="2235"/>
      <c r="UHG9" s="2235"/>
      <c r="UHH9" s="2235"/>
      <c r="UHI9" s="2235"/>
      <c r="UHJ9" s="2235"/>
      <c r="UHK9" s="2235"/>
      <c r="UHL9" s="2235"/>
      <c r="UHM9" s="2235"/>
      <c r="UHN9" s="2235"/>
      <c r="UHO9" s="2235"/>
      <c r="UHP9" s="2235"/>
      <c r="UHQ9" s="2235"/>
      <c r="UHR9" s="2235"/>
      <c r="UHS9" s="2235"/>
      <c r="UHT9" s="2235"/>
      <c r="UHU9" s="2235"/>
      <c r="UHV9" s="2235"/>
      <c r="UHW9" s="2235"/>
      <c r="UHX9" s="2235"/>
      <c r="UHY9" s="2235"/>
      <c r="UHZ9" s="2235"/>
      <c r="UIA9" s="2235"/>
      <c r="UIB9" s="2235"/>
      <c r="UIC9" s="2235"/>
      <c r="UID9" s="2235"/>
      <c r="UIE9" s="2235"/>
      <c r="UIF9" s="2235"/>
      <c r="UIG9" s="2235"/>
      <c r="UIH9" s="2235"/>
      <c r="UII9" s="2235"/>
      <c r="UIJ9" s="2235"/>
      <c r="UIK9" s="2235"/>
      <c r="UIL9" s="2235"/>
      <c r="UIM9" s="2235"/>
      <c r="UIN9" s="2235"/>
      <c r="UIO9" s="2235"/>
      <c r="UIP9" s="2235"/>
      <c r="UIQ9" s="2235"/>
      <c r="UIR9" s="2235"/>
      <c r="UIS9" s="2235"/>
      <c r="UIT9" s="2235"/>
      <c r="UIU9" s="2235"/>
      <c r="UIV9" s="2235"/>
      <c r="UIW9" s="2235"/>
      <c r="UIX9" s="2235"/>
      <c r="UIY9" s="2235"/>
      <c r="UIZ9" s="2235"/>
      <c r="UJA9" s="2235"/>
      <c r="UJB9" s="2235"/>
      <c r="UJC9" s="2235"/>
      <c r="UJD9" s="2235"/>
      <c r="UJE9" s="2235"/>
      <c r="UJF9" s="2235"/>
      <c r="UJG9" s="2235"/>
      <c r="UJH9" s="2235"/>
      <c r="UJI9" s="2235"/>
      <c r="UJJ9" s="2235"/>
      <c r="UJK9" s="2235"/>
      <c r="UJL9" s="2235"/>
      <c r="UJM9" s="2235"/>
      <c r="UJN9" s="2235"/>
      <c r="UJO9" s="2235"/>
      <c r="UJP9" s="2235"/>
      <c r="UJQ9" s="2235"/>
      <c r="UJR9" s="2235"/>
      <c r="UJS9" s="2235"/>
      <c r="UJT9" s="2235"/>
      <c r="UJU9" s="2235"/>
      <c r="UJV9" s="2235"/>
      <c r="UJW9" s="2235"/>
      <c r="UJX9" s="2235"/>
      <c r="UJY9" s="2235"/>
      <c r="UJZ9" s="2235"/>
      <c r="UKA9" s="2235"/>
      <c r="UKB9" s="2235"/>
      <c r="UKC9" s="2235"/>
      <c r="UKD9" s="2235"/>
      <c r="UKE9" s="2235"/>
      <c r="UKF9" s="2235"/>
      <c r="UKG9" s="2235"/>
      <c r="UKH9" s="2235"/>
      <c r="UKI9" s="2235"/>
      <c r="UKJ9" s="2235"/>
      <c r="UKK9" s="2235"/>
      <c r="UKL9" s="2235"/>
      <c r="UKM9" s="2235"/>
      <c r="UKN9" s="2235"/>
      <c r="UKO9" s="2235"/>
      <c r="UKP9" s="2235"/>
      <c r="UKQ9" s="2235"/>
      <c r="UKR9" s="2235"/>
      <c r="UKS9" s="2235"/>
      <c r="UKT9" s="2235"/>
      <c r="UKU9" s="2235"/>
      <c r="UKV9" s="2235"/>
      <c r="UKW9" s="2235"/>
      <c r="UKX9" s="2235"/>
      <c r="UKY9" s="2235"/>
      <c r="UKZ9" s="2235"/>
      <c r="ULA9" s="2235"/>
      <c r="ULB9" s="2235"/>
      <c r="ULC9" s="2235"/>
      <c r="ULD9" s="2235"/>
      <c r="ULE9" s="2235"/>
      <c r="ULF9" s="2235"/>
      <c r="ULG9" s="2235"/>
      <c r="ULH9" s="2235"/>
      <c r="ULI9" s="2235"/>
      <c r="ULJ9" s="2235"/>
      <c r="ULK9" s="2235"/>
      <c r="ULL9" s="2235"/>
      <c r="ULM9" s="2235"/>
      <c r="ULN9" s="2235"/>
      <c r="ULO9" s="2235"/>
      <c r="ULP9" s="2235"/>
      <c r="ULQ9" s="2235"/>
      <c r="ULR9" s="2235"/>
      <c r="ULS9" s="2235"/>
      <c r="ULT9" s="2235"/>
      <c r="ULU9" s="2235"/>
      <c r="ULV9" s="2235"/>
      <c r="ULW9" s="2235"/>
      <c r="ULX9" s="2235"/>
      <c r="ULY9" s="2235"/>
      <c r="ULZ9" s="2235"/>
      <c r="UMA9" s="2235"/>
      <c r="UMB9" s="2235"/>
      <c r="UMC9" s="2235"/>
      <c r="UMD9" s="2235"/>
      <c r="UME9" s="2235"/>
      <c r="UMF9" s="2235"/>
      <c r="UMG9" s="2235"/>
      <c r="UMH9" s="2235"/>
      <c r="UMI9" s="2235"/>
      <c r="UMJ9" s="2235"/>
      <c r="UMK9" s="2235"/>
      <c r="UML9" s="2235"/>
      <c r="UMM9" s="2235"/>
      <c r="UMN9" s="2235"/>
      <c r="UMO9" s="2235"/>
      <c r="UMP9" s="2235"/>
      <c r="UMQ9" s="2235"/>
      <c r="UMR9" s="2235"/>
      <c r="UMS9" s="2235"/>
      <c r="UMT9" s="2235"/>
      <c r="UMU9" s="2235"/>
      <c r="UMV9" s="2235"/>
      <c r="UMW9" s="2235"/>
      <c r="UMX9" s="2235"/>
      <c r="UMY9" s="2235"/>
      <c r="UMZ9" s="2235"/>
      <c r="UNA9" s="2235"/>
      <c r="UNB9" s="2235"/>
      <c r="UNC9" s="2235"/>
      <c r="UND9" s="2235"/>
      <c r="UNE9" s="2235"/>
      <c r="UNF9" s="2235"/>
      <c r="UNG9" s="2235"/>
      <c r="UNH9" s="2235"/>
      <c r="UNI9" s="2235"/>
      <c r="UNJ9" s="2235"/>
      <c r="UNK9" s="2235"/>
      <c r="UNL9" s="2235"/>
      <c r="UNM9" s="2235"/>
      <c r="UNN9" s="2235"/>
      <c r="UNO9" s="2235"/>
      <c r="UNP9" s="2235"/>
      <c r="UNQ9" s="2235"/>
      <c r="UNR9" s="2235"/>
      <c r="UNS9" s="2235"/>
      <c r="UNT9" s="2235"/>
      <c r="UNU9" s="2235"/>
      <c r="UNV9" s="2235"/>
      <c r="UNW9" s="2235"/>
      <c r="UNX9" s="2235"/>
      <c r="UNY9" s="2235"/>
      <c r="UNZ9" s="2235"/>
      <c r="UOA9" s="2235"/>
      <c r="UOB9" s="2235"/>
      <c r="UOC9" s="2235"/>
      <c r="UOD9" s="2235"/>
      <c r="UOE9" s="2235"/>
      <c r="UOF9" s="2235"/>
      <c r="UOG9" s="2235"/>
      <c r="UOH9" s="2235"/>
      <c r="UOI9" s="2235"/>
      <c r="UOJ9" s="2235"/>
      <c r="UOK9" s="2235"/>
      <c r="UOL9" s="2235"/>
      <c r="UOM9" s="2235"/>
      <c r="UON9" s="2235"/>
      <c r="UOO9" s="2235"/>
      <c r="UOP9" s="2235"/>
      <c r="UOQ9" s="2235"/>
      <c r="UOR9" s="2235"/>
      <c r="UOS9" s="2235"/>
      <c r="UOT9" s="2235"/>
      <c r="UOU9" s="2235"/>
      <c r="UOV9" s="2235"/>
      <c r="UOW9" s="2235"/>
      <c r="UOX9" s="2235"/>
      <c r="UOY9" s="2235"/>
      <c r="UOZ9" s="2235"/>
      <c r="UPA9" s="2235"/>
      <c r="UPB9" s="2235"/>
      <c r="UPC9" s="2235"/>
      <c r="UPD9" s="2235"/>
      <c r="UPE9" s="2235"/>
      <c r="UPF9" s="2235"/>
      <c r="UPG9" s="2235"/>
      <c r="UPH9" s="2235"/>
      <c r="UPI9" s="2235"/>
      <c r="UPJ9" s="2235"/>
      <c r="UPK9" s="2235"/>
      <c r="UPL9" s="2235"/>
      <c r="UPM9" s="2235"/>
      <c r="UPN9" s="2235"/>
      <c r="UPO9" s="2235"/>
      <c r="UPP9" s="2235"/>
      <c r="UPQ9" s="2235"/>
      <c r="UPR9" s="2235"/>
      <c r="UPS9" s="2235"/>
      <c r="UPT9" s="2235"/>
      <c r="UPU9" s="2235"/>
      <c r="UPV9" s="2235"/>
      <c r="UPW9" s="2235"/>
      <c r="UPX9" s="2235"/>
      <c r="UPY9" s="2235"/>
      <c r="UPZ9" s="2235"/>
      <c r="UQA9" s="2235"/>
      <c r="UQB9" s="2235"/>
      <c r="UQC9" s="2235"/>
      <c r="UQD9" s="2235"/>
      <c r="UQE9" s="2235"/>
      <c r="UQF9" s="2235"/>
      <c r="UQG9" s="2235"/>
      <c r="UQH9" s="2235"/>
      <c r="UQI9" s="2235"/>
      <c r="UQJ9" s="2235"/>
      <c r="UQK9" s="2235"/>
      <c r="UQL9" s="2235"/>
      <c r="UQM9" s="2235"/>
      <c r="UQN9" s="2235"/>
      <c r="UQO9" s="2235"/>
      <c r="UQP9" s="2235"/>
      <c r="UQQ9" s="2235"/>
      <c r="UQR9" s="2235"/>
      <c r="UQS9" s="2235"/>
      <c r="UQT9" s="2235"/>
      <c r="UQU9" s="2235"/>
      <c r="UQV9" s="2235"/>
      <c r="UQW9" s="2235"/>
      <c r="UQX9" s="2235"/>
      <c r="UQY9" s="2235"/>
      <c r="UQZ9" s="2235"/>
      <c r="URA9" s="2235"/>
      <c r="URB9" s="2235"/>
      <c r="URC9" s="2235"/>
      <c r="URD9" s="2235"/>
      <c r="URE9" s="2235"/>
      <c r="URF9" s="2235"/>
      <c r="URG9" s="2235"/>
      <c r="URH9" s="2235"/>
      <c r="URI9" s="2235"/>
      <c r="URJ9" s="2235"/>
      <c r="URK9" s="2235"/>
      <c r="URL9" s="2235"/>
      <c r="URM9" s="2235"/>
      <c r="URN9" s="2235"/>
      <c r="URO9" s="2235"/>
      <c r="URP9" s="2235"/>
      <c r="URQ9" s="2235"/>
      <c r="URR9" s="2235"/>
      <c r="URS9" s="2235"/>
      <c r="URT9" s="2235"/>
      <c r="URU9" s="2235"/>
      <c r="URV9" s="2235"/>
      <c r="URW9" s="2235"/>
      <c r="URX9" s="2235"/>
      <c r="URY9" s="2235"/>
      <c r="URZ9" s="2235"/>
      <c r="USA9" s="2235"/>
      <c r="USB9" s="2235"/>
      <c r="USC9" s="2235"/>
      <c r="USD9" s="2235"/>
      <c r="USE9" s="2235"/>
      <c r="USF9" s="2235"/>
      <c r="USG9" s="2235"/>
      <c r="USH9" s="2235"/>
      <c r="USI9" s="2235"/>
      <c r="USJ9" s="2235"/>
      <c r="USK9" s="2235"/>
      <c r="USL9" s="2235"/>
      <c r="USM9" s="2235"/>
      <c r="USN9" s="2235"/>
      <c r="USO9" s="2235"/>
      <c r="USP9" s="2235"/>
      <c r="USQ9" s="2235"/>
      <c r="USR9" s="2235"/>
      <c r="USS9" s="2235"/>
      <c r="UST9" s="2235"/>
      <c r="USU9" s="2235"/>
      <c r="USV9" s="2235"/>
      <c r="USW9" s="2235"/>
      <c r="USX9" s="2235"/>
      <c r="USY9" s="2235"/>
      <c r="USZ9" s="2235"/>
      <c r="UTA9" s="2235"/>
      <c r="UTB9" s="2235"/>
      <c r="UTC9" s="2235"/>
      <c r="UTD9" s="2235"/>
      <c r="UTE9" s="2235"/>
      <c r="UTF9" s="2235"/>
      <c r="UTG9" s="2235"/>
      <c r="UTH9" s="2235"/>
      <c r="UTI9" s="2235"/>
      <c r="UTJ9" s="2235"/>
      <c r="UTK9" s="2235"/>
      <c r="UTL9" s="2235"/>
      <c r="UTM9" s="2235"/>
      <c r="UTN9" s="2235"/>
      <c r="UTO9" s="2235"/>
      <c r="UTP9" s="2235"/>
      <c r="UTQ9" s="2235"/>
      <c r="UTR9" s="2235"/>
      <c r="UTS9" s="2235"/>
      <c r="UTT9" s="2235"/>
      <c r="UTU9" s="2235"/>
      <c r="UTV9" s="2235"/>
      <c r="UTW9" s="2235"/>
      <c r="UTX9" s="2235"/>
      <c r="UTY9" s="2235"/>
      <c r="UTZ9" s="2235"/>
      <c r="UUA9" s="2235"/>
      <c r="UUB9" s="2235"/>
      <c r="UUC9" s="2235"/>
      <c r="UUD9" s="2235"/>
      <c r="UUE9" s="2235"/>
      <c r="UUF9" s="2235"/>
      <c r="UUG9" s="2235"/>
      <c r="UUH9" s="2235"/>
      <c r="UUI9" s="2235"/>
      <c r="UUJ9" s="2235"/>
      <c r="UUK9" s="2235"/>
      <c r="UUL9" s="2235"/>
      <c r="UUM9" s="2235"/>
      <c r="UUN9" s="2235"/>
      <c r="UUO9" s="2235"/>
      <c r="UUP9" s="2235"/>
      <c r="UUQ9" s="2235"/>
      <c r="UUR9" s="2235"/>
      <c r="UUS9" s="2235"/>
      <c r="UUT9" s="2235"/>
      <c r="UUU9" s="2235"/>
      <c r="UUV9" s="2235"/>
      <c r="UUW9" s="2235"/>
      <c r="UUX9" s="2235"/>
      <c r="UUY9" s="2235"/>
      <c r="UUZ9" s="2235"/>
      <c r="UVA9" s="2235"/>
      <c r="UVB9" s="2235"/>
      <c r="UVC9" s="2235"/>
      <c r="UVD9" s="2235"/>
      <c r="UVE9" s="2235"/>
      <c r="UVF9" s="2235"/>
      <c r="UVG9" s="2235"/>
      <c r="UVH9" s="2235"/>
      <c r="UVI9" s="2235"/>
      <c r="UVJ9" s="2235"/>
      <c r="UVK9" s="2235"/>
      <c r="UVL9" s="2235"/>
      <c r="UVM9" s="2235"/>
      <c r="UVN9" s="2235"/>
      <c r="UVO9" s="2235"/>
      <c r="UVP9" s="2235"/>
      <c r="UVQ9" s="2235"/>
      <c r="UVR9" s="2235"/>
      <c r="UVS9" s="2235"/>
      <c r="UVT9" s="2235"/>
      <c r="UVU9" s="2235"/>
      <c r="UVV9" s="2235"/>
      <c r="UVW9" s="2235"/>
      <c r="UVX9" s="2235"/>
      <c r="UVY9" s="2235"/>
      <c r="UVZ9" s="2235"/>
      <c r="UWA9" s="2235"/>
      <c r="UWB9" s="2235"/>
      <c r="UWC9" s="2235"/>
      <c r="UWD9" s="2235"/>
      <c r="UWE9" s="2235"/>
      <c r="UWF9" s="2235"/>
      <c r="UWG9" s="2235"/>
      <c r="UWH9" s="2235"/>
      <c r="UWI9" s="2235"/>
      <c r="UWJ9" s="2235"/>
      <c r="UWK9" s="2235"/>
      <c r="UWL9" s="2235"/>
      <c r="UWM9" s="2235"/>
      <c r="UWN9" s="2235"/>
      <c r="UWO9" s="2235"/>
      <c r="UWP9" s="2235"/>
      <c r="UWQ9" s="2235"/>
      <c r="UWR9" s="2235"/>
      <c r="UWS9" s="2235"/>
      <c r="UWT9" s="2235"/>
      <c r="UWU9" s="2235"/>
      <c r="UWV9" s="2235"/>
      <c r="UWW9" s="2235"/>
      <c r="UWX9" s="2235"/>
      <c r="UWY9" s="2235"/>
      <c r="UWZ9" s="2235"/>
      <c r="UXA9" s="2235"/>
      <c r="UXB9" s="2235"/>
      <c r="UXC9" s="2235"/>
      <c r="UXD9" s="2235"/>
      <c r="UXE9" s="2235"/>
      <c r="UXF9" s="2235"/>
      <c r="UXG9" s="2235"/>
      <c r="UXH9" s="2235"/>
      <c r="UXI9" s="2235"/>
      <c r="UXJ9" s="2235"/>
      <c r="UXK9" s="2235"/>
      <c r="UXL9" s="2235"/>
      <c r="UXM9" s="2235"/>
      <c r="UXN9" s="2235"/>
      <c r="UXO9" s="2235"/>
      <c r="UXP9" s="2235"/>
      <c r="UXQ9" s="2235"/>
      <c r="UXR9" s="2235"/>
      <c r="UXS9" s="2235"/>
      <c r="UXT9" s="2235"/>
      <c r="UXU9" s="2235"/>
      <c r="UXV9" s="2235"/>
      <c r="UXW9" s="2235"/>
      <c r="UXX9" s="2235"/>
      <c r="UXY9" s="2235"/>
      <c r="UXZ9" s="2235"/>
      <c r="UYA9" s="2235"/>
      <c r="UYB9" s="2235"/>
      <c r="UYC9" s="2235"/>
      <c r="UYD9" s="2235"/>
      <c r="UYE9" s="2235"/>
      <c r="UYF9" s="2235"/>
      <c r="UYG9" s="2235"/>
      <c r="UYH9" s="2235"/>
      <c r="UYI9" s="2235"/>
      <c r="UYJ9" s="2235"/>
      <c r="UYK9" s="2235"/>
      <c r="UYL9" s="2235"/>
      <c r="UYM9" s="2235"/>
      <c r="UYN9" s="2235"/>
      <c r="UYO9" s="2235"/>
      <c r="UYP9" s="2235"/>
      <c r="UYQ9" s="2235"/>
      <c r="UYR9" s="2235"/>
      <c r="UYS9" s="2235"/>
      <c r="UYT9" s="2235"/>
      <c r="UYU9" s="2235"/>
      <c r="UYV9" s="2235"/>
      <c r="UYW9" s="2235"/>
      <c r="UYX9" s="2235"/>
      <c r="UYY9" s="2235"/>
      <c r="UYZ9" s="2235"/>
      <c r="UZA9" s="2235"/>
      <c r="UZB9" s="2235"/>
      <c r="UZC9" s="2235"/>
      <c r="UZD9" s="2235"/>
      <c r="UZE9" s="2235"/>
      <c r="UZF9" s="2235"/>
      <c r="UZG9" s="2235"/>
      <c r="UZH9" s="2235"/>
      <c r="UZI9" s="2235"/>
      <c r="UZJ9" s="2235"/>
      <c r="UZK9" s="2235"/>
      <c r="UZL9" s="2235"/>
      <c r="UZM9" s="2235"/>
      <c r="UZN9" s="2235"/>
      <c r="UZO9" s="2235"/>
      <c r="UZP9" s="2235"/>
      <c r="UZQ9" s="2235"/>
      <c r="UZR9" s="2235"/>
      <c r="UZS9" s="2235"/>
      <c r="UZT9" s="2235"/>
      <c r="UZU9" s="2235"/>
      <c r="UZV9" s="2235"/>
      <c r="UZW9" s="2235"/>
      <c r="UZX9" s="2235"/>
      <c r="UZY9" s="2235"/>
      <c r="UZZ9" s="2235"/>
      <c r="VAA9" s="2235"/>
      <c r="VAB9" s="2235"/>
      <c r="VAC9" s="2235"/>
      <c r="VAD9" s="2235"/>
      <c r="VAE9" s="2235"/>
      <c r="VAF9" s="2235"/>
      <c r="VAG9" s="2235"/>
      <c r="VAH9" s="2235"/>
      <c r="VAI9" s="2235"/>
      <c r="VAJ9" s="2235"/>
      <c r="VAK9" s="2235"/>
      <c r="VAL9" s="2235"/>
      <c r="VAM9" s="2235"/>
      <c r="VAN9" s="2235"/>
      <c r="VAO9" s="2235"/>
      <c r="VAP9" s="2235"/>
      <c r="VAQ9" s="2235"/>
      <c r="VAR9" s="2235"/>
      <c r="VAS9" s="2235"/>
      <c r="VAT9" s="2235"/>
      <c r="VAU9" s="2235"/>
      <c r="VAV9" s="2235"/>
      <c r="VAW9" s="2235"/>
      <c r="VAX9" s="2235"/>
      <c r="VAY9" s="2235"/>
      <c r="VAZ9" s="2235"/>
      <c r="VBA9" s="2235"/>
      <c r="VBB9" s="2235"/>
      <c r="VBC9" s="2235"/>
      <c r="VBD9" s="2235"/>
      <c r="VBE9" s="2235"/>
      <c r="VBF9" s="2235"/>
      <c r="VBG9" s="2235"/>
      <c r="VBH9" s="2235"/>
      <c r="VBI9" s="2235"/>
      <c r="VBJ9" s="2235"/>
      <c r="VBK9" s="2235"/>
      <c r="VBL9" s="2235"/>
      <c r="VBM9" s="2235"/>
      <c r="VBN9" s="2235"/>
      <c r="VBO9" s="2235"/>
      <c r="VBP9" s="2235"/>
      <c r="VBQ9" s="2235"/>
      <c r="VBR9" s="2235"/>
      <c r="VBS9" s="2235"/>
      <c r="VBT9" s="2235"/>
      <c r="VBU9" s="2235"/>
      <c r="VBV9" s="2235"/>
      <c r="VBW9" s="2235"/>
      <c r="VBX9" s="2235"/>
      <c r="VBY9" s="2235"/>
      <c r="VBZ9" s="2235"/>
      <c r="VCA9" s="2235"/>
      <c r="VCB9" s="2235"/>
      <c r="VCC9" s="2235"/>
      <c r="VCD9" s="2235"/>
      <c r="VCE9" s="2235"/>
      <c r="VCF9" s="2235"/>
      <c r="VCG9" s="2235"/>
      <c r="VCH9" s="2235"/>
      <c r="VCI9" s="2235"/>
      <c r="VCJ9" s="2235"/>
      <c r="VCK9" s="2235"/>
      <c r="VCL9" s="2235"/>
      <c r="VCM9" s="2235"/>
      <c r="VCN9" s="2235"/>
      <c r="VCO9" s="2235"/>
      <c r="VCP9" s="2235"/>
      <c r="VCQ9" s="2235"/>
      <c r="VCR9" s="2235"/>
      <c r="VCS9" s="2235"/>
      <c r="VCT9" s="2235"/>
      <c r="VCU9" s="2235"/>
      <c r="VCV9" s="2235"/>
      <c r="VCW9" s="2235"/>
      <c r="VCX9" s="2235"/>
      <c r="VCY9" s="2235"/>
      <c r="VCZ9" s="2235"/>
      <c r="VDA9" s="2235"/>
      <c r="VDB9" s="2235"/>
      <c r="VDC9" s="2235"/>
      <c r="VDD9" s="2235"/>
      <c r="VDE9" s="2235"/>
      <c r="VDF9" s="2235"/>
      <c r="VDG9" s="2235"/>
      <c r="VDH9" s="2235"/>
      <c r="VDI9" s="2235"/>
      <c r="VDJ9" s="2235"/>
      <c r="VDK9" s="2235"/>
      <c r="VDL9" s="2235"/>
      <c r="VDM9" s="2235"/>
      <c r="VDN9" s="2235"/>
      <c r="VDO9" s="2235"/>
      <c r="VDP9" s="2235"/>
      <c r="VDQ9" s="2235"/>
      <c r="VDR9" s="2235"/>
      <c r="VDS9" s="2235"/>
      <c r="VDT9" s="2235"/>
      <c r="VDU9" s="2235"/>
      <c r="VDV9" s="2235"/>
      <c r="VDW9" s="2235"/>
      <c r="VDX9" s="2235"/>
      <c r="VDY9" s="2235"/>
      <c r="VDZ9" s="2235"/>
      <c r="VEA9" s="2235"/>
      <c r="VEB9" s="2235"/>
      <c r="VEC9" s="2235"/>
      <c r="VED9" s="2235"/>
      <c r="VEE9" s="2235"/>
      <c r="VEF9" s="2235"/>
      <c r="VEG9" s="2235"/>
      <c r="VEH9" s="2235"/>
      <c r="VEI9" s="2235"/>
      <c r="VEJ9" s="2235"/>
      <c r="VEK9" s="2235"/>
      <c r="VEL9" s="2235"/>
      <c r="VEM9" s="2235"/>
      <c r="VEN9" s="2235"/>
      <c r="VEO9" s="2235"/>
      <c r="VEP9" s="2235"/>
      <c r="VEQ9" s="2235"/>
      <c r="VER9" s="2235"/>
      <c r="VES9" s="2235"/>
      <c r="VET9" s="2235"/>
      <c r="VEU9" s="2235"/>
      <c r="VEV9" s="2235"/>
      <c r="VEW9" s="2235"/>
      <c r="VEX9" s="2235"/>
      <c r="VEY9" s="2235"/>
      <c r="VEZ9" s="2235"/>
      <c r="VFA9" s="2235"/>
      <c r="VFB9" s="2235"/>
      <c r="VFC9" s="2235"/>
      <c r="VFD9" s="2235"/>
      <c r="VFE9" s="2235"/>
      <c r="VFF9" s="2235"/>
      <c r="VFG9" s="2235"/>
      <c r="VFH9" s="2235"/>
      <c r="VFI9" s="2235"/>
      <c r="VFJ9" s="2235"/>
      <c r="VFK9" s="2235"/>
      <c r="VFL9" s="2235"/>
      <c r="VFM9" s="2235"/>
      <c r="VFN9" s="2235"/>
      <c r="VFO9" s="2235"/>
      <c r="VFP9" s="2235"/>
      <c r="VFQ9" s="2235"/>
      <c r="VFR9" s="2235"/>
      <c r="VFS9" s="2235"/>
      <c r="VFT9" s="2235"/>
      <c r="VFU9" s="2235"/>
      <c r="VFV9" s="2235"/>
      <c r="VFW9" s="2235"/>
      <c r="VFX9" s="2235"/>
      <c r="VFY9" s="2235"/>
      <c r="VFZ9" s="2235"/>
      <c r="VGA9" s="2235"/>
      <c r="VGB9" s="2235"/>
      <c r="VGC9" s="2235"/>
      <c r="VGD9" s="2235"/>
      <c r="VGE9" s="2235"/>
      <c r="VGF9" s="2235"/>
      <c r="VGG9" s="2235"/>
      <c r="VGH9" s="2235"/>
      <c r="VGI9" s="2235"/>
      <c r="VGJ9" s="2235"/>
      <c r="VGK9" s="2235"/>
      <c r="VGL9" s="2235"/>
      <c r="VGM9" s="2235"/>
      <c r="VGN9" s="2235"/>
      <c r="VGO9" s="2235"/>
      <c r="VGP9" s="2235"/>
      <c r="VGQ9" s="2235"/>
      <c r="VGR9" s="2235"/>
      <c r="VGS9" s="2235"/>
      <c r="VGT9" s="2235"/>
      <c r="VGU9" s="2235"/>
      <c r="VGV9" s="2235"/>
      <c r="VGW9" s="2235"/>
      <c r="VGX9" s="2235"/>
      <c r="VGY9" s="2235"/>
      <c r="VGZ9" s="2235"/>
      <c r="VHA9" s="2235"/>
      <c r="VHB9" s="2235"/>
      <c r="VHC9" s="2235"/>
      <c r="VHD9" s="2235"/>
      <c r="VHE9" s="2235"/>
      <c r="VHF9" s="2235"/>
      <c r="VHG9" s="2235"/>
      <c r="VHH9" s="2235"/>
      <c r="VHI9" s="2235"/>
      <c r="VHJ9" s="2235"/>
      <c r="VHK9" s="2235"/>
      <c r="VHL9" s="2235"/>
      <c r="VHM9" s="2235"/>
      <c r="VHN9" s="2235"/>
      <c r="VHO9" s="2235"/>
      <c r="VHP9" s="2235"/>
      <c r="VHQ9" s="2235"/>
      <c r="VHR9" s="2235"/>
      <c r="VHS9" s="2235"/>
      <c r="VHT9" s="2235"/>
      <c r="VHU9" s="2235"/>
      <c r="VHV9" s="2235"/>
      <c r="VHW9" s="2235"/>
      <c r="VHX9" s="2235"/>
      <c r="VHY9" s="2235"/>
      <c r="VHZ9" s="2235"/>
      <c r="VIA9" s="2235"/>
      <c r="VIB9" s="2235"/>
      <c r="VIC9" s="2235"/>
      <c r="VID9" s="2235"/>
      <c r="VIE9" s="2235"/>
      <c r="VIF9" s="2235"/>
      <c r="VIG9" s="2235"/>
      <c r="VIH9" s="2235"/>
      <c r="VII9" s="2235"/>
      <c r="VIJ9" s="2235"/>
      <c r="VIK9" s="2235"/>
      <c r="VIL9" s="2235"/>
      <c r="VIM9" s="2235"/>
      <c r="VIN9" s="2235"/>
      <c r="VIO9" s="2235"/>
      <c r="VIP9" s="2235"/>
      <c r="VIQ9" s="2235"/>
      <c r="VIR9" s="2235"/>
      <c r="VIS9" s="2235"/>
      <c r="VIT9" s="2235"/>
      <c r="VIU9" s="2235"/>
      <c r="VIV9" s="2235"/>
      <c r="VIW9" s="2235"/>
      <c r="VIX9" s="2235"/>
      <c r="VIY9" s="2235"/>
      <c r="VIZ9" s="2235"/>
      <c r="VJA9" s="2235"/>
      <c r="VJB9" s="2235"/>
      <c r="VJC9" s="2235"/>
      <c r="VJD9" s="2235"/>
      <c r="VJE9" s="2235"/>
      <c r="VJF9" s="2235"/>
      <c r="VJG9" s="2235"/>
      <c r="VJH9" s="2235"/>
      <c r="VJI9" s="2235"/>
      <c r="VJJ9" s="2235"/>
      <c r="VJK9" s="2235"/>
      <c r="VJL9" s="2235"/>
      <c r="VJM9" s="2235"/>
      <c r="VJN9" s="2235"/>
      <c r="VJO9" s="2235"/>
      <c r="VJP9" s="2235"/>
      <c r="VJQ9" s="2235"/>
      <c r="VJR9" s="2235"/>
      <c r="VJS9" s="2235"/>
      <c r="VJT9" s="2235"/>
      <c r="VJU9" s="2235"/>
      <c r="VJV9" s="2235"/>
      <c r="VJW9" s="2235"/>
      <c r="VJX9" s="2235"/>
      <c r="VJY9" s="2235"/>
      <c r="VJZ9" s="2235"/>
      <c r="VKA9" s="2235"/>
      <c r="VKB9" s="2235"/>
      <c r="VKC9" s="2235"/>
      <c r="VKD9" s="2235"/>
      <c r="VKE9" s="2235"/>
      <c r="VKF9" s="2235"/>
      <c r="VKG9" s="2235"/>
      <c r="VKH9" s="2235"/>
      <c r="VKI9" s="2235"/>
      <c r="VKJ9" s="2235"/>
      <c r="VKK9" s="2235"/>
      <c r="VKL9" s="2235"/>
      <c r="VKM9" s="2235"/>
      <c r="VKN9" s="2235"/>
      <c r="VKO9" s="2235"/>
      <c r="VKP9" s="2235"/>
      <c r="VKQ9" s="2235"/>
      <c r="VKR9" s="2235"/>
      <c r="VKS9" s="2235"/>
      <c r="VKT9" s="2235"/>
      <c r="VKU9" s="2235"/>
      <c r="VKV9" s="2235"/>
      <c r="VKW9" s="2235"/>
      <c r="VKX9" s="2235"/>
      <c r="VKY9" s="2235"/>
      <c r="VKZ9" s="2235"/>
      <c r="VLA9" s="2235"/>
      <c r="VLB9" s="2235"/>
      <c r="VLC9" s="2235"/>
      <c r="VLD9" s="2235"/>
      <c r="VLE9" s="2235"/>
      <c r="VLF9" s="2235"/>
      <c r="VLG9" s="2235"/>
      <c r="VLH9" s="2235"/>
      <c r="VLI9" s="2235"/>
      <c r="VLJ9" s="2235"/>
      <c r="VLK9" s="2235"/>
      <c r="VLL9" s="2235"/>
      <c r="VLM9" s="2235"/>
      <c r="VLN9" s="2235"/>
      <c r="VLO9" s="2235"/>
      <c r="VLP9" s="2235"/>
      <c r="VLQ9" s="2235"/>
      <c r="VLR9" s="2235"/>
      <c r="VLS9" s="2235"/>
      <c r="VLT9" s="2235"/>
      <c r="VLU9" s="2235"/>
      <c r="VLV9" s="2235"/>
      <c r="VLW9" s="2235"/>
      <c r="VLX9" s="2235"/>
      <c r="VLY9" s="2235"/>
      <c r="VLZ9" s="2235"/>
      <c r="VMA9" s="2235"/>
      <c r="VMB9" s="2235"/>
      <c r="VMC9" s="2235"/>
      <c r="VMD9" s="2235"/>
      <c r="VME9" s="2235"/>
      <c r="VMF9" s="2235"/>
      <c r="VMG9" s="2235"/>
      <c r="VMH9" s="2235"/>
      <c r="VMI9" s="2235"/>
      <c r="VMJ9" s="2235"/>
      <c r="VMK9" s="2235"/>
      <c r="VML9" s="2235"/>
      <c r="VMM9" s="2235"/>
      <c r="VMN9" s="2235"/>
      <c r="VMO9" s="2235"/>
      <c r="VMP9" s="2235"/>
      <c r="VMQ9" s="2235"/>
      <c r="VMR9" s="2235"/>
      <c r="VMS9" s="2235"/>
      <c r="VMT9" s="2235"/>
      <c r="VMU9" s="2235"/>
      <c r="VMV9" s="2235"/>
      <c r="VMW9" s="2235"/>
      <c r="VMX9" s="2235"/>
      <c r="VMY9" s="2235"/>
      <c r="VMZ9" s="2235"/>
      <c r="VNA9" s="2235"/>
      <c r="VNB9" s="2235"/>
      <c r="VNC9" s="2235"/>
      <c r="VND9" s="2235"/>
      <c r="VNE9" s="2235"/>
      <c r="VNF9" s="2235"/>
      <c r="VNG9" s="2235"/>
      <c r="VNH9" s="2235"/>
      <c r="VNI9" s="2235"/>
      <c r="VNJ9" s="2235"/>
      <c r="VNK9" s="2235"/>
      <c r="VNL9" s="2235"/>
      <c r="VNM9" s="2235"/>
      <c r="VNN9" s="2235"/>
      <c r="VNO9" s="2235"/>
      <c r="VNP9" s="2235"/>
      <c r="VNQ9" s="2235"/>
      <c r="VNR9" s="2235"/>
      <c r="VNS9" s="2235"/>
      <c r="VNT9" s="2235"/>
      <c r="VNU9" s="2235"/>
      <c r="VNV9" s="2235"/>
      <c r="VNW9" s="2235"/>
      <c r="VNX9" s="2235"/>
      <c r="VNY9" s="2235"/>
      <c r="VNZ9" s="2235"/>
      <c r="VOA9" s="2235"/>
      <c r="VOB9" s="2235"/>
      <c r="VOC9" s="2235"/>
      <c r="VOD9" s="2235"/>
      <c r="VOE9" s="2235"/>
      <c r="VOF9" s="2235"/>
      <c r="VOG9" s="2235"/>
      <c r="VOH9" s="2235"/>
      <c r="VOI9" s="2235"/>
      <c r="VOJ9" s="2235"/>
      <c r="VOK9" s="2235"/>
      <c r="VOL9" s="2235"/>
      <c r="VOM9" s="2235"/>
      <c r="VON9" s="2235"/>
      <c r="VOO9" s="2235"/>
      <c r="VOP9" s="2235"/>
      <c r="VOQ9" s="2235"/>
      <c r="VOR9" s="2235"/>
      <c r="VOS9" s="2235"/>
      <c r="VOT9" s="2235"/>
      <c r="VOU9" s="2235"/>
      <c r="VOV9" s="2235"/>
      <c r="VOW9" s="2235"/>
      <c r="VOX9" s="2235"/>
      <c r="VOY9" s="2235"/>
      <c r="VOZ9" s="2235"/>
      <c r="VPA9" s="2235"/>
      <c r="VPB9" s="2235"/>
      <c r="VPC9" s="2235"/>
      <c r="VPD9" s="2235"/>
      <c r="VPE9" s="2235"/>
      <c r="VPF9" s="2235"/>
      <c r="VPG9" s="2235"/>
      <c r="VPH9" s="2235"/>
      <c r="VPI9" s="2235"/>
      <c r="VPJ9" s="2235"/>
      <c r="VPK9" s="2235"/>
      <c r="VPL9" s="2235"/>
      <c r="VPM9" s="2235"/>
      <c r="VPN9" s="2235"/>
      <c r="VPO9" s="2235"/>
      <c r="VPP9" s="2235"/>
      <c r="VPQ9" s="2235"/>
      <c r="VPR9" s="2235"/>
      <c r="VPS9" s="2235"/>
      <c r="VPT9" s="2235"/>
      <c r="VPU9" s="2235"/>
      <c r="VPV9" s="2235"/>
      <c r="VPW9" s="2235"/>
      <c r="VPX9" s="2235"/>
      <c r="VPY9" s="2235"/>
      <c r="VPZ9" s="2235"/>
      <c r="VQA9" s="2235"/>
      <c r="VQB9" s="2235"/>
      <c r="VQC9" s="2235"/>
      <c r="VQD9" s="2235"/>
      <c r="VQE9" s="2235"/>
      <c r="VQF9" s="2235"/>
      <c r="VQG9" s="2235"/>
      <c r="VQH9" s="2235"/>
      <c r="VQI9" s="2235"/>
      <c r="VQJ9" s="2235"/>
      <c r="VQK9" s="2235"/>
      <c r="VQL9" s="2235"/>
      <c r="VQM9" s="2235"/>
      <c r="VQN9" s="2235"/>
      <c r="VQO9" s="2235"/>
      <c r="VQP9" s="2235"/>
      <c r="VQQ9" s="2235"/>
      <c r="VQR9" s="2235"/>
      <c r="VQS9" s="2235"/>
      <c r="VQT9" s="2235"/>
      <c r="VQU9" s="2235"/>
      <c r="VQV9" s="2235"/>
      <c r="VQW9" s="2235"/>
      <c r="VQX9" s="2235"/>
      <c r="VQY9" s="2235"/>
      <c r="VQZ9" s="2235"/>
      <c r="VRA9" s="2235"/>
      <c r="VRB9" s="2235"/>
      <c r="VRC9" s="2235"/>
      <c r="VRD9" s="2235"/>
      <c r="VRE9" s="2235"/>
      <c r="VRF9" s="2235"/>
      <c r="VRG9" s="2235"/>
      <c r="VRH9" s="2235"/>
      <c r="VRI9" s="2235"/>
      <c r="VRJ9" s="2235"/>
      <c r="VRK9" s="2235"/>
      <c r="VRL9" s="2235"/>
      <c r="VRM9" s="2235"/>
      <c r="VRN9" s="2235"/>
      <c r="VRO9" s="2235"/>
      <c r="VRP9" s="2235"/>
      <c r="VRQ9" s="2235"/>
      <c r="VRR9" s="2235"/>
      <c r="VRS9" s="2235"/>
      <c r="VRT9" s="2235"/>
      <c r="VRU9" s="2235"/>
      <c r="VRV9" s="2235"/>
      <c r="VRW9" s="2235"/>
      <c r="VRX9" s="2235"/>
      <c r="VRY9" s="2235"/>
      <c r="VRZ9" s="2235"/>
      <c r="VSA9" s="2235"/>
      <c r="VSB9" s="2235"/>
      <c r="VSC9" s="2235"/>
      <c r="VSD9" s="2235"/>
      <c r="VSE9" s="2235"/>
      <c r="VSF9" s="2235"/>
      <c r="VSG9" s="2235"/>
      <c r="VSH9" s="2235"/>
      <c r="VSI9" s="2235"/>
      <c r="VSJ9" s="2235"/>
      <c r="VSK9" s="2235"/>
      <c r="VSL9" s="2235"/>
      <c r="VSM9" s="2235"/>
      <c r="VSN9" s="2235"/>
      <c r="VSO9" s="2235"/>
      <c r="VSP9" s="2235"/>
      <c r="VSQ9" s="2235"/>
      <c r="VSR9" s="2235"/>
      <c r="VSS9" s="2235"/>
      <c r="VST9" s="2235"/>
      <c r="VSU9" s="2235"/>
      <c r="VSV9" s="2235"/>
      <c r="VSW9" s="2235"/>
      <c r="VSX9" s="2235"/>
      <c r="VSY9" s="2235"/>
      <c r="VSZ9" s="2235"/>
      <c r="VTA9" s="2235"/>
      <c r="VTB9" s="2235"/>
      <c r="VTC9" s="2235"/>
      <c r="VTD9" s="2235"/>
      <c r="VTE9" s="2235"/>
      <c r="VTF9" s="2235"/>
      <c r="VTG9" s="2235"/>
      <c r="VTH9" s="2235"/>
      <c r="VTI9" s="2235"/>
      <c r="VTJ9" s="2235"/>
      <c r="VTK9" s="2235"/>
      <c r="VTL9" s="2235"/>
      <c r="VTM9" s="2235"/>
      <c r="VTN9" s="2235"/>
      <c r="VTO9" s="2235"/>
      <c r="VTP9" s="2235"/>
      <c r="VTQ9" s="2235"/>
      <c r="VTR9" s="2235"/>
      <c r="VTS9" s="2235"/>
      <c r="VTT9" s="2235"/>
      <c r="VTU9" s="2235"/>
      <c r="VTV9" s="2235"/>
      <c r="VTW9" s="2235"/>
      <c r="VTX9" s="2235"/>
      <c r="VTY9" s="2235"/>
      <c r="VTZ9" s="2235"/>
      <c r="VUA9" s="2235"/>
      <c r="VUB9" s="2235"/>
      <c r="VUC9" s="2235"/>
      <c r="VUD9" s="2235"/>
      <c r="VUE9" s="2235"/>
      <c r="VUF9" s="2235"/>
      <c r="VUG9" s="2235"/>
      <c r="VUH9" s="2235"/>
      <c r="VUI9" s="2235"/>
      <c r="VUJ9" s="2235"/>
      <c r="VUK9" s="2235"/>
      <c r="VUL9" s="2235"/>
      <c r="VUM9" s="2235"/>
      <c r="VUN9" s="2235"/>
      <c r="VUO9" s="2235"/>
      <c r="VUP9" s="2235"/>
      <c r="VUQ9" s="2235"/>
      <c r="VUR9" s="2235"/>
      <c r="VUS9" s="2235"/>
      <c r="VUT9" s="2235"/>
      <c r="VUU9" s="2235"/>
      <c r="VUV9" s="2235"/>
      <c r="VUW9" s="2235"/>
      <c r="VUX9" s="2235"/>
      <c r="VUY9" s="2235"/>
      <c r="VUZ9" s="2235"/>
      <c r="VVA9" s="2235"/>
      <c r="VVB9" s="2235"/>
      <c r="VVC9" s="2235"/>
      <c r="VVD9" s="2235"/>
      <c r="VVE9" s="2235"/>
      <c r="VVF9" s="2235"/>
      <c r="VVG9" s="2235"/>
      <c r="VVH9" s="2235"/>
      <c r="VVI9" s="2235"/>
      <c r="VVJ9" s="2235"/>
      <c r="VVK9" s="2235"/>
      <c r="VVL9" s="2235"/>
      <c r="VVM9" s="2235"/>
      <c r="VVN9" s="2235"/>
      <c r="VVO9" s="2235"/>
      <c r="VVP9" s="2235"/>
      <c r="VVQ9" s="2235"/>
      <c r="VVR9" s="2235"/>
      <c r="VVS9" s="2235"/>
      <c r="VVT9" s="2235"/>
      <c r="VVU9" s="2235"/>
      <c r="VVV9" s="2235"/>
      <c r="VVW9" s="2235"/>
      <c r="VVX9" s="2235"/>
      <c r="VVY9" s="2235"/>
      <c r="VVZ9" s="2235"/>
      <c r="VWA9" s="2235"/>
      <c r="VWB9" s="2235"/>
      <c r="VWC9" s="2235"/>
      <c r="VWD9" s="2235"/>
      <c r="VWE9" s="2235"/>
      <c r="VWF9" s="2235"/>
      <c r="VWG9" s="2235"/>
      <c r="VWH9" s="2235"/>
      <c r="VWI9" s="2235"/>
      <c r="VWJ9" s="2235"/>
      <c r="VWK9" s="2235"/>
      <c r="VWL9" s="2235"/>
      <c r="VWM9" s="2235"/>
      <c r="VWN9" s="2235"/>
      <c r="VWO9" s="2235"/>
      <c r="VWP9" s="2235"/>
      <c r="VWQ9" s="2235"/>
      <c r="VWR9" s="2235"/>
      <c r="VWS9" s="2235"/>
      <c r="VWT9" s="2235"/>
      <c r="VWU9" s="2235"/>
      <c r="VWV9" s="2235"/>
      <c r="VWW9" s="2235"/>
      <c r="VWX9" s="2235"/>
      <c r="VWY9" s="2235"/>
      <c r="VWZ9" s="2235"/>
      <c r="VXA9" s="2235"/>
      <c r="VXB9" s="2235"/>
      <c r="VXC9" s="2235"/>
      <c r="VXD9" s="2235"/>
      <c r="VXE9" s="2235"/>
      <c r="VXF9" s="2235"/>
      <c r="VXG9" s="2235"/>
      <c r="VXH9" s="2235"/>
      <c r="VXI9" s="2235"/>
      <c r="VXJ9" s="2235"/>
      <c r="VXK9" s="2235"/>
      <c r="VXL9" s="2235"/>
      <c r="VXM9" s="2235"/>
      <c r="VXN9" s="2235"/>
      <c r="VXO9" s="2235"/>
      <c r="VXP9" s="2235"/>
      <c r="VXQ9" s="2235"/>
      <c r="VXR9" s="2235"/>
      <c r="VXS9" s="2235"/>
      <c r="VXT9" s="2235"/>
      <c r="VXU9" s="2235"/>
      <c r="VXV9" s="2235"/>
      <c r="VXW9" s="2235"/>
      <c r="VXX9" s="2235"/>
      <c r="VXY9" s="2235"/>
      <c r="VXZ9" s="2235"/>
      <c r="VYA9" s="2235"/>
      <c r="VYB9" s="2235"/>
      <c r="VYC9" s="2235"/>
      <c r="VYD9" s="2235"/>
      <c r="VYE9" s="2235"/>
      <c r="VYF9" s="2235"/>
      <c r="VYG9" s="2235"/>
      <c r="VYH9" s="2235"/>
      <c r="VYI9" s="2235"/>
      <c r="VYJ9" s="2235"/>
      <c r="VYK9" s="2235"/>
      <c r="VYL9" s="2235"/>
      <c r="VYM9" s="2235"/>
      <c r="VYN9" s="2235"/>
      <c r="VYO9" s="2235"/>
      <c r="VYP9" s="2235"/>
      <c r="VYQ9" s="2235"/>
      <c r="VYR9" s="2235"/>
      <c r="VYS9" s="2235"/>
      <c r="VYT9" s="2235"/>
      <c r="VYU9" s="2235"/>
      <c r="VYV9" s="2235"/>
      <c r="VYW9" s="2235"/>
      <c r="VYX9" s="2235"/>
      <c r="VYY9" s="2235"/>
      <c r="VYZ9" s="2235"/>
      <c r="VZA9" s="2235"/>
      <c r="VZB9" s="2235"/>
      <c r="VZC9" s="2235"/>
      <c r="VZD9" s="2235"/>
      <c r="VZE9" s="2235"/>
      <c r="VZF9" s="2235"/>
      <c r="VZG9" s="2235"/>
      <c r="VZH9" s="2235"/>
      <c r="VZI9" s="2235"/>
      <c r="VZJ9" s="2235"/>
      <c r="VZK9" s="2235"/>
      <c r="VZL9" s="2235"/>
      <c r="VZM9" s="2235"/>
      <c r="VZN9" s="2235"/>
      <c r="VZO9" s="2235"/>
      <c r="VZP9" s="2235"/>
      <c r="VZQ9" s="2235"/>
      <c r="VZR9" s="2235"/>
      <c r="VZS9" s="2235"/>
      <c r="VZT9" s="2235"/>
      <c r="VZU9" s="2235"/>
      <c r="VZV9" s="2235"/>
      <c r="VZW9" s="2235"/>
      <c r="VZX9" s="2235"/>
      <c r="VZY9" s="2235"/>
      <c r="VZZ9" s="2235"/>
      <c r="WAA9" s="2235"/>
      <c r="WAB9" s="2235"/>
      <c r="WAC9" s="2235"/>
      <c r="WAD9" s="2235"/>
      <c r="WAE9" s="2235"/>
      <c r="WAF9" s="2235"/>
      <c r="WAG9" s="2235"/>
      <c r="WAH9" s="2235"/>
      <c r="WAI9" s="2235"/>
      <c r="WAJ9" s="2235"/>
      <c r="WAK9" s="2235"/>
      <c r="WAL9" s="2235"/>
      <c r="WAM9" s="2235"/>
      <c r="WAN9" s="2235"/>
      <c r="WAO9" s="2235"/>
      <c r="WAP9" s="2235"/>
      <c r="WAQ9" s="2235"/>
      <c r="WAR9" s="2235"/>
      <c r="WAS9" s="2235"/>
      <c r="WAT9" s="2235"/>
      <c r="WAU9" s="2235"/>
      <c r="WAV9" s="2235"/>
      <c r="WAW9" s="2235"/>
      <c r="WAX9" s="2235"/>
      <c r="WAY9" s="2235"/>
      <c r="WAZ9" s="2235"/>
      <c r="WBA9" s="2235"/>
      <c r="WBB9" s="2235"/>
      <c r="WBC9" s="2235"/>
      <c r="WBD9" s="2235"/>
      <c r="WBE9" s="2235"/>
      <c r="WBF9" s="2235"/>
      <c r="WBG9" s="2235"/>
      <c r="WBH9" s="2235"/>
      <c r="WBI9" s="2235"/>
      <c r="WBJ9" s="2235"/>
      <c r="WBK9" s="2235"/>
      <c r="WBL9" s="2235"/>
      <c r="WBM9" s="2235"/>
      <c r="WBN9" s="2235"/>
      <c r="WBO9" s="2235"/>
      <c r="WBP9" s="2235"/>
      <c r="WBQ9" s="2235"/>
      <c r="WBR9" s="2235"/>
      <c r="WBS9" s="2235"/>
      <c r="WBT9" s="2235"/>
      <c r="WBU9" s="2235"/>
      <c r="WBV9" s="2235"/>
      <c r="WBW9" s="2235"/>
      <c r="WBX9" s="2235"/>
      <c r="WBY9" s="2235"/>
      <c r="WBZ9" s="2235"/>
      <c r="WCA9" s="2235"/>
      <c r="WCB9" s="2235"/>
      <c r="WCC9" s="2235"/>
      <c r="WCD9" s="2235"/>
      <c r="WCE9" s="2235"/>
      <c r="WCF9" s="2235"/>
      <c r="WCG9" s="2235"/>
      <c r="WCH9" s="2235"/>
      <c r="WCI9" s="2235"/>
      <c r="WCJ9" s="2235"/>
      <c r="WCK9" s="2235"/>
      <c r="WCL9" s="2235"/>
      <c r="WCM9" s="2235"/>
      <c r="WCN9" s="2235"/>
      <c r="WCO9" s="2235"/>
      <c r="WCP9" s="2235"/>
      <c r="WCQ9" s="2235"/>
      <c r="WCR9" s="2235"/>
      <c r="WCS9" s="2235"/>
      <c r="WCT9" s="2235"/>
      <c r="WCU9" s="2235"/>
      <c r="WCV9" s="2235"/>
      <c r="WCW9" s="2235"/>
      <c r="WCX9" s="2235"/>
      <c r="WCY9" s="2235"/>
      <c r="WCZ9" s="2235"/>
      <c r="WDA9" s="2235"/>
      <c r="WDB9" s="2235"/>
      <c r="WDC9" s="2235"/>
      <c r="WDD9" s="2235"/>
      <c r="WDE9" s="2235"/>
      <c r="WDF9" s="2235"/>
      <c r="WDG9" s="2235"/>
      <c r="WDH9" s="2235"/>
      <c r="WDI9" s="2235"/>
      <c r="WDJ9" s="2235"/>
      <c r="WDK9" s="2235"/>
      <c r="WDL9" s="2235"/>
      <c r="WDM9" s="2235"/>
      <c r="WDN9" s="2235"/>
      <c r="WDO9" s="2235"/>
      <c r="WDP9" s="2235"/>
      <c r="WDQ9" s="2235"/>
      <c r="WDR9" s="2235"/>
      <c r="WDS9" s="2235"/>
      <c r="WDT9" s="2235"/>
      <c r="WDU9" s="2235"/>
      <c r="WDV9" s="2235"/>
      <c r="WDW9" s="2235"/>
      <c r="WDX9" s="2235"/>
      <c r="WDY9" s="2235"/>
      <c r="WDZ9" s="2235"/>
      <c r="WEA9" s="2235"/>
      <c r="WEB9" s="2235"/>
      <c r="WEC9" s="2235"/>
      <c r="WED9" s="2235"/>
      <c r="WEE9" s="2235"/>
      <c r="WEF9" s="2235"/>
      <c r="WEG9" s="2235"/>
      <c r="WEH9" s="2235"/>
      <c r="WEI9" s="2235"/>
      <c r="WEJ9" s="2235"/>
      <c r="WEK9" s="2235"/>
      <c r="WEL9" s="2235"/>
      <c r="WEM9" s="2235"/>
      <c r="WEN9" s="2235"/>
      <c r="WEO9" s="2235"/>
      <c r="WEP9" s="2235"/>
      <c r="WEQ9" s="2235"/>
      <c r="WER9" s="2235"/>
      <c r="WES9" s="2235"/>
      <c r="WET9" s="2235"/>
      <c r="WEU9" s="2235"/>
      <c r="WEV9" s="2235"/>
      <c r="WEW9" s="2235"/>
      <c r="WEX9" s="2235"/>
      <c r="WEY9" s="2235"/>
      <c r="WEZ9" s="2235"/>
      <c r="WFA9" s="2235"/>
      <c r="WFB9" s="2235"/>
      <c r="WFC9" s="2235"/>
      <c r="WFD9" s="2235"/>
      <c r="WFE9" s="2235"/>
      <c r="WFF9" s="2235"/>
      <c r="WFG9" s="2235"/>
      <c r="WFH9" s="2235"/>
      <c r="WFI9" s="2235"/>
      <c r="WFJ9" s="2235"/>
      <c r="WFK9" s="2235"/>
      <c r="WFL9" s="2235"/>
      <c r="WFM9" s="2235"/>
      <c r="WFN9" s="2235"/>
      <c r="WFO9" s="2235"/>
      <c r="WFP9" s="2235"/>
      <c r="WFQ9" s="2235"/>
      <c r="WFR9" s="2235"/>
      <c r="WFS9" s="2235"/>
      <c r="WFT9" s="2235"/>
      <c r="WFU9" s="2235"/>
      <c r="WFV9" s="2235"/>
      <c r="WFW9" s="2235"/>
      <c r="WFX9" s="2235"/>
      <c r="WFY9" s="2235"/>
      <c r="WFZ9" s="2235"/>
      <c r="WGA9" s="2235"/>
      <c r="WGB9" s="2235"/>
      <c r="WGC9" s="2235"/>
      <c r="WGD9" s="2235"/>
      <c r="WGE9" s="2235"/>
      <c r="WGF9" s="2235"/>
      <c r="WGG9" s="2235"/>
      <c r="WGH9" s="2235"/>
      <c r="WGI9" s="2235"/>
      <c r="WGJ9" s="2235"/>
      <c r="WGK9" s="2235"/>
      <c r="WGL9" s="2235"/>
      <c r="WGM9" s="2235"/>
      <c r="WGN9" s="2235"/>
      <c r="WGO9" s="2235"/>
      <c r="WGP9" s="2235"/>
      <c r="WGQ9" s="2235"/>
      <c r="WGR9" s="2235"/>
      <c r="WGS9" s="2235"/>
      <c r="WGT9" s="2235"/>
      <c r="WGU9" s="2235"/>
      <c r="WGV9" s="2235"/>
      <c r="WGW9" s="2235"/>
      <c r="WGX9" s="2235"/>
      <c r="WGY9" s="2235"/>
      <c r="WGZ9" s="2235"/>
      <c r="WHA9" s="2235"/>
      <c r="WHB9" s="2235"/>
      <c r="WHC9" s="2235"/>
      <c r="WHD9" s="2235"/>
      <c r="WHE9" s="2235"/>
      <c r="WHF9" s="2235"/>
      <c r="WHG9" s="2235"/>
      <c r="WHH9" s="2235"/>
      <c r="WHI9" s="2235"/>
      <c r="WHJ9" s="2235"/>
      <c r="WHK9" s="2235"/>
      <c r="WHL9" s="2235"/>
      <c r="WHM9" s="2235"/>
      <c r="WHN9" s="2235"/>
      <c r="WHO9" s="2235"/>
      <c r="WHP9" s="2235"/>
      <c r="WHQ9" s="2235"/>
      <c r="WHR9" s="2235"/>
      <c r="WHS9" s="2235"/>
      <c r="WHT9" s="2235"/>
      <c r="WHU9" s="2235"/>
      <c r="WHV9" s="2235"/>
      <c r="WHW9" s="2235"/>
      <c r="WHX9" s="2235"/>
      <c r="WHY9" s="2235"/>
      <c r="WHZ9" s="2235"/>
      <c r="WIA9" s="2235"/>
      <c r="WIB9" s="2235"/>
      <c r="WIC9" s="2235"/>
      <c r="WID9" s="2235"/>
      <c r="WIE9" s="2235"/>
      <c r="WIF9" s="2235"/>
      <c r="WIG9" s="2235"/>
      <c r="WIH9" s="2235"/>
      <c r="WII9" s="2235"/>
      <c r="WIJ9" s="2235"/>
      <c r="WIK9" s="2235"/>
      <c r="WIL9" s="2235"/>
      <c r="WIM9" s="2235"/>
      <c r="WIN9" s="2235"/>
      <c r="WIO9" s="2235"/>
      <c r="WIP9" s="2235"/>
      <c r="WIQ9" s="2235"/>
      <c r="WIR9" s="2235"/>
      <c r="WIS9" s="2235"/>
      <c r="WIT9" s="2235"/>
      <c r="WIU9" s="2235"/>
      <c r="WIV9" s="2235"/>
      <c r="WIW9" s="2235"/>
      <c r="WIX9" s="2235"/>
      <c r="WIY9" s="2235"/>
      <c r="WIZ9" s="2235"/>
      <c r="WJA9" s="2235"/>
      <c r="WJB9" s="2235"/>
      <c r="WJC9" s="2235"/>
      <c r="WJD9" s="2235"/>
      <c r="WJE9" s="2235"/>
      <c r="WJF9" s="2235"/>
      <c r="WJG9" s="2235"/>
      <c r="WJH9" s="2235"/>
      <c r="WJI9" s="2235"/>
      <c r="WJJ9" s="2235"/>
      <c r="WJK9" s="2235"/>
      <c r="WJL9" s="2235"/>
      <c r="WJM9" s="2235"/>
      <c r="WJN9" s="2235"/>
      <c r="WJO9" s="2235"/>
      <c r="WJP9" s="2235"/>
      <c r="WJQ9" s="2235"/>
      <c r="WJR9" s="2235"/>
      <c r="WJS9" s="2235"/>
      <c r="WJT9" s="2235"/>
      <c r="WJU9" s="2235"/>
      <c r="WJV9" s="2235"/>
      <c r="WJW9" s="2235"/>
      <c r="WJX9" s="2235"/>
      <c r="WJY9" s="2235"/>
      <c r="WJZ9" s="2235"/>
      <c r="WKA9" s="2235"/>
      <c r="WKB9" s="2235"/>
      <c r="WKC9" s="2235"/>
      <c r="WKD9" s="2235"/>
      <c r="WKE9" s="2235"/>
      <c r="WKF9" s="2235"/>
      <c r="WKG9" s="2235"/>
      <c r="WKH9" s="2235"/>
      <c r="WKI9" s="2235"/>
      <c r="WKJ9" s="2235"/>
      <c r="WKK9" s="2235"/>
      <c r="WKL9" s="2235"/>
      <c r="WKM9" s="2235"/>
      <c r="WKN9" s="2235"/>
      <c r="WKO9" s="2235"/>
      <c r="WKP9" s="2235"/>
      <c r="WKQ9" s="2235"/>
      <c r="WKR9" s="2235"/>
      <c r="WKS9" s="2235"/>
      <c r="WKT9" s="2235"/>
      <c r="WKU9" s="2235"/>
      <c r="WKV9" s="2235"/>
      <c r="WKW9" s="2235"/>
      <c r="WKX9" s="2235"/>
      <c r="WKY9" s="2235"/>
      <c r="WKZ9" s="2235"/>
      <c r="WLA9" s="2235"/>
      <c r="WLB9" s="2235"/>
      <c r="WLC9" s="2235"/>
      <c r="WLD9" s="2235"/>
      <c r="WLE9" s="2235"/>
      <c r="WLF9" s="2235"/>
      <c r="WLG9" s="2235"/>
      <c r="WLH9" s="2235"/>
      <c r="WLI9" s="2235"/>
      <c r="WLJ9" s="2235"/>
      <c r="WLK9" s="2235"/>
      <c r="WLL9" s="2235"/>
      <c r="WLM9" s="2235"/>
      <c r="WLN9" s="2235"/>
      <c r="WLO9" s="2235"/>
      <c r="WLP9" s="2235"/>
      <c r="WLQ9" s="2235"/>
      <c r="WLR9" s="2235"/>
      <c r="WLS9" s="2235"/>
      <c r="WLT9" s="2235"/>
      <c r="WLU9" s="2235"/>
      <c r="WLV9" s="2235"/>
      <c r="WLW9" s="2235"/>
      <c r="WLX9" s="2235"/>
      <c r="WLY9" s="2235"/>
      <c r="WLZ9" s="2235"/>
      <c r="WMA9" s="2235"/>
      <c r="WMB9" s="2235"/>
      <c r="WMC9" s="2235"/>
      <c r="WMD9" s="2235"/>
      <c r="WME9" s="2235"/>
      <c r="WMF9" s="2235"/>
      <c r="WMG9" s="2235"/>
      <c r="WMH9" s="2235"/>
      <c r="WMI9" s="2235"/>
      <c r="WMJ9" s="2235"/>
      <c r="WMK9" s="2235"/>
      <c r="WML9" s="2235"/>
      <c r="WMM9" s="2235"/>
      <c r="WMN9" s="2235"/>
      <c r="WMO9" s="2235"/>
      <c r="WMP9" s="2235"/>
      <c r="WMQ9" s="2235"/>
      <c r="WMR9" s="2235"/>
      <c r="WMS9" s="2235"/>
      <c r="WMT9" s="2235"/>
      <c r="WMU9" s="2235"/>
      <c r="WMV9" s="2235"/>
      <c r="WMW9" s="2235"/>
      <c r="WMX9" s="2235"/>
      <c r="WMY9" s="2235"/>
      <c r="WMZ9" s="2235"/>
      <c r="WNA9" s="2235"/>
      <c r="WNB9" s="2235"/>
      <c r="WNC9" s="2235"/>
      <c r="WND9" s="2235"/>
      <c r="WNE9" s="2235"/>
      <c r="WNF9" s="2235"/>
      <c r="WNG9" s="2235"/>
      <c r="WNH9" s="2235"/>
      <c r="WNI9" s="2235"/>
      <c r="WNJ9" s="2235"/>
      <c r="WNK9" s="2235"/>
      <c r="WNL9" s="2235"/>
      <c r="WNM9" s="2235"/>
      <c r="WNN9" s="2235"/>
      <c r="WNO9" s="2235"/>
      <c r="WNP9" s="2235"/>
      <c r="WNQ9" s="2235"/>
      <c r="WNR9" s="2235"/>
      <c r="WNS9" s="2235"/>
      <c r="WNT9" s="2235"/>
      <c r="WNU9" s="2235"/>
      <c r="WNV9" s="2235"/>
      <c r="WNW9" s="2235"/>
      <c r="WNX9" s="2235"/>
      <c r="WNY9" s="2235"/>
      <c r="WNZ9" s="2235"/>
      <c r="WOA9" s="2235"/>
      <c r="WOB9" s="2235"/>
      <c r="WOC9" s="2235"/>
      <c r="WOD9" s="2235"/>
      <c r="WOE9" s="2235"/>
      <c r="WOF9" s="2235"/>
      <c r="WOG9" s="2235"/>
      <c r="WOH9" s="2235"/>
      <c r="WOI9" s="2235"/>
      <c r="WOJ9" s="2235"/>
      <c r="WOK9" s="2235"/>
      <c r="WOL9" s="2235"/>
      <c r="WOM9" s="2235"/>
      <c r="WON9" s="2235"/>
      <c r="WOO9" s="2235"/>
      <c r="WOP9" s="2235"/>
      <c r="WOQ9" s="2235"/>
      <c r="WOR9" s="2235"/>
      <c r="WOS9" s="2235"/>
      <c r="WOT9" s="2235"/>
      <c r="WOU9" s="2235"/>
      <c r="WOV9" s="2235"/>
      <c r="WOW9" s="2235"/>
      <c r="WOX9" s="2235"/>
      <c r="WOY9" s="2235"/>
      <c r="WOZ9" s="2235"/>
      <c r="WPA9" s="2235"/>
      <c r="WPB9" s="2235"/>
      <c r="WPC9" s="2235"/>
      <c r="WPD9" s="2235"/>
      <c r="WPE9" s="2235"/>
      <c r="WPF9" s="2235"/>
      <c r="WPG9" s="2235"/>
      <c r="WPH9" s="2235"/>
      <c r="WPI9" s="2235"/>
      <c r="WPJ9" s="2235"/>
      <c r="WPK9" s="2235"/>
      <c r="WPL9" s="2235"/>
      <c r="WPM9" s="2235"/>
      <c r="WPN9" s="2235"/>
      <c r="WPO9" s="2235"/>
      <c r="WPP9" s="2235"/>
      <c r="WPQ9" s="2235"/>
      <c r="WPR9" s="2235"/>
      <c r="WPS9" s="2235"/>
      <c r="WPT9" s="2235"/>
      <c r="WPU9" s="2235"/>
      <c r="WPV9" s="2235"/>
      <c r="WPW9" s="2235"/>
      <c r="WPX9" s="2235"/>
      <c r="WPY9" s="2235"/>
      <c r="WPZ9" s="2235"/>
      <c r="WQA9" s="2235"/>
      <c r="WQB9" s="2235"/>
      <c r="WQC9" s="2235"/>
      <c r="WQD9" s="2235"/>
      <c r="WQE9" s="2235"/>
      <c r="WQF9" s="2235"/>
      <c r="WQG9" s="2235"/>
      <c r="WQH9" s="2235"/>
      <c r="WQI9" s="2235"/>
      <c r="WQJ9" s="2235"/>
      <c r="WQK9" s="2235"/>
      <c r="WQL9" s="2235"/>
      <c r="WQM9" s="2235"/>
      <c r="WQN9" s="2235"/>
      <c r="WQO9" s="2235"/>
      <c r="WQP9" s="2235"/>
      <c r="WQQ9" s="2235"/>
      <c r="WQR9" s="2235"/>
      <c r="WQS9" s="2235"/>
      <c r="WQT9" s="2235"/>
      <c r="WQU9" s="2235"/>
      <c r="WQV9" s="2235"/>
      <c r="WQW9" s="2235"/>
      <c r="WQX9" s="2235"/>
      <c r="WQY9" s="2235"/>
      <c r="WQZ9" s="2235"/>
      <c r="WRA9" s="2235"/>
      <c r="WRB9" s="2235"/>
      <c r="WRC9" s="2235"/>
      <c r="WRD9" s="2235"/>
      <c r="WRE9" s="2235"/>
      <c r="WRF9" s="2235"/>
      <c r="WRG9" s="2235"/>
      <c r="WRH9" s="2235"/>
      <c r="WRI9" s="2235"/>
      <c r="WRJ9" s="2235"/>
      <c r="WRK9" s="2235"/>
      <c r="WRL9" s="2235"/>
      <c r="WRM9" s="2235"/>
      <c r="WRN9" s="2235"/>
      <c r="WRO9" s="2235"/>
      <c r="WRP9" s="2235"/>
      <c r="WRQ9" s="2235"/>
      <c r="WRR9" s="2235"/>
      <c r="WRS9" s="2235"/>
      <c r="WRT9" s="2235"/>
      <c r="WRU9" s="2235"/>
      <c r="WRV9" s="2235"/>
      <c r="WRW9" s="2235"/>
      <c r="WRX9" s="2235"/>
      <c r="WRY9" s="2235"/>
      <c r="WRZ9" s="2235"/>
      <c r="WSA9" s="2235"/>
      <c r="WSB9" s="2235"/>
      <c r="WSC9" s="2235"/>
      <c r="WSD9" s="2235"/>
      <c r="WSE9" s="2235"/>
      <c r="WSF9" s="2235"/>
      <c r="WSG9" s="2235"/>
      <c r="WSH9" s="2235"/>
      <c r="WSI9" s="2235"/>
      <c r="WSJ9" s="2235"/>
      <c r="WSK9" s="2235"/>
      <c r="WSL9" s="2235"/>
      <c r="WSM9" s="2235"/>
      <c r="WSN9" s="2235"/>
      <c r="WSO9" s="2235"/>
      <c r="WSP9" s="2235"/>
      <c r="WSQ9" s="2235"/>
      <c r="WSR9" s="2235"/>
      <c r="WSS9" s="2235"/>
      <c r="WST9" s="2235"/>
      <c r="WSU9" s="2235"/>
      <c r="WSV9" s="2235"/>
      <c r="WSW9" s="2235"/>
      <c r="WSX9" s="2235"/>
      <c r="WSY9" s="2235"/>
      <c r="WSZ9" s="2235"/>
      <c r="WTA9" s="2235"/>
      <c r="WTB9" s="2235"/>
      <c r="WTC9" s="2235"/>
      <c r="WTD9" s="2235"/>
      <c r="WTE9" s="2235"/>
      <c r="WTF9" s="2235"/>
      <c r="WTG9" s="2235"/>
      <c r="WTH9" s="2235"/>
      <c r="WTI9" s="2235"/>
      <c r="WTJ9" s="2235"/>
      <c r="WTK9" s="2235"/>
      <c r="WTL9" s="2235"/>
      <c r="WTM9" s="2235"/>
      <c r="WTN9" s="2235"/>
      <c r="WTO9" s="2235"/>
      <c r="WTP9" s="2235"/>
      <c r="WTQ9" s="2235"/>
      <c r="WTR9" s="2235"/>
      <c r="WTS9" s="2235"/>
      <c r="WTT9" s="2235"/>
      <c r="WTU9" s="2235"/>
      <c r="WTV9" s="2235"/>
      <c r="WTW9" s="2235"/>
      <c r="WTX9" s="2235"/>
      <c r="WTY9" s="2235"/>
      <c r="WTZ9" s="2235"/>
      <c r="WUA9" s="2235"/>
      <c r="WUB9" s="2235"/>
      <c r="WUC9" s="2235"/>
      <c r="WUD9" s="2235"/>
      <c r="WUE9" s="2235"/>
      <c r="WUF9" s="2235"/>
      <c r="WUG9" s="2235"/>
      <c r="WUH9" s="2235"/>
      <c r="WUI9" s="2235"/>
      <c r="WUJ9" s="2235"/>
      <c r="WUK9" s="2235"/>
      <c r="WUL9" s="2235"/>
      <c r="WUM9" s="2235"/>
      <c r="WUN9" s="2235"/>
      <c r="WUO9" s="2235"/>
      <c r="WUP9" s="2235"/>
      <c r="WUQ9" s="2235"/>
      <c r="WUR9" s="2235"/>
      <c r="WUS9" s="2235"/>
      <c r="WUT9" s="2235"/>
      <c r="WUU9" s="2235"/>
      <c r="WUV9" s="2235"/>
      <c r="WUW9" s="2235"/>
      <c r="WUX9" s="2235"/>
      <c r="WUY9" s="2235"/>
      <c r="WUZ9" s="2235"/>
      <c r="WVA9" s="2235"/>
      <c r="WVB9" s="2235"/>
      <c r="WVC9" s="2235"/>
      <c r="WVD9" s="2235"/>
      <c r="WVE9" s="2235"/>
      <c r="WVF9" s="2235"/>
      <c r="WVG9" s="2235"/>
      <c r="WVH9" s="2235"/>
      <c r="WVI9" s="2235"/>
      <c r="WVJ9" s="2235"/>
      <c r="WVK9" s="2235"/>
      <c r="WVL9" s="2235"/>
      <c r="WVM9" s="2235"/>
      <c r="WVN9" s="2235"/>
      <c r="WVO9" s="2235"/>
      <c r="WVP9" s="2235"/>
      <c r="WVQ9" s="2235"/>
      <c r="WVR9" s="2235"/>
      <c r="WVS9" s="2235"/>
      <c r="WVT9" s="2235"/>
      <c r="WVU9" s="2235"/>
      <c r="WVV9" s="2235"/>
      <c r="WVW9" s="2235"/>
      <c r="WVX9" s="2235"/>
      <c r="WVY9" s="2235"/>
      <c r="WVZ9" s="2235"/>
      <c r="WWA9" s="2235"/>
      <c r="WWB9" s="2235"/>
      <c r="WWC9" s="2235"/>
      <c r="WWD9" s="2235"/>
      <c r="WWE9" s="2235"/>
      <c r="WWF9" s="2235"/>
      <c r="WWG9" s="2235"/>
      <c r="WWH9" s="2235"/>
      <c r="WWI9" s="2235"/>
      <c r="WWJ9" s="2235"/>
      <c r="WWK9" s="2235"/>
      <c r="WWL9" s="2235"/>
      <c r="WWM9" s="2235"/>
      <c r="WWN9" s="2235"/>
      <c r="WWO9" s="2235"/>
      <c r="WWP9" s="2235"/>
      <c r="WWQ9" s="2235"/>
      <c r="WWR9" s="2235"/>
      <c r="WWS9" s="2235"/>
      <c r="WWT9" s="2235"/>
      <c r="WWU9" s="2235"/>
      <c r="WWV9" s="2235"/>
      <c r="WWW9" s="2235"/>
      <c r="WWX9" s="2235"/>
      <c r="WWY9" s="2235"/>
      <c r="WWZ9" s="2235"/>
      <c r="WXA9" s="2235"/>
      <c r="WXB9" s="2235"/>
      <c r="WXC9" s="2235"/>
      <c r="WXD9" s="2235"/>
      <c r="WXE9" s="2235"/>
      <c r="WXF9" s="2235"/>
      <c r="WXG9" s="2235"/>
      <c r="WXH9" s="2235"/>
      <c r="WXI9" s="2235"/>
      <c r="WXJ9" s="2235"/>
      <c r="WXK9" s="2235"/>
      <c r="WXL9" s="2235"/>
      <c r="WXM9" s="2235"/>
      <c r="WXN9" s="2235"/>
      <c r="WXO9" s="2235"/>
      <c r="WXP9" s="2235"/>
      <c r="WXQ9" s="2235"/>
      <c r="WXR9" s="2235"/>
      <c r="WXS9" s="2235"/>
      <c r="WXT9" s="2235"/>
      <c r="WXU9" s="2235"/>
      <c r="WXV9" s="2235"/>
      <c r="WXW9" s="2235"/>
      <c r="WXX9" s="2235"/>
      <c r="WXY9" s="2235"/>
      <c r="WXZ9" s="2235"/>
      <c r="WYA9" s="2235"/>
      <c r="WYB9" s="2235"/>
      <c r="WYC9" s="2235"/>
      <c r="WYD9" s="2235"/>
      <c r="WYE9" s="2235"/>
      <c r="WYF9" s="2235"/>
      <c r="WYG9" s="2235"/>
      <c r="WYH9" s="2235"/>
      <c r="WYI9" s="2235"/>
      <c r="WYJ9" s="2235"/>
      <c r="WYK9" s="2235"/>
      <c r="WYL9" s="2235"/>
      <c r="WYM9" s="2235"/>
      <c r="WYN9" s="2235"/>
      <c r="WYO9" s="2235"/>
      <c r="WYP9" s="2235"/>
      <c r="WYQ9" s="2235"/>
      <c r="WYR9" s="2235"/>
      <c r="WYS9" s="2235"/>
      <c r="WYT9" s="2235"/>
      <c r="WYU9" s="2235"/>
      <c r="WYV9" s="2235"/>
      <c r="WYW9" s="2235"/>
      <c r="WYX9" s="2235"/>
      <c r="WYY9" s="2235"/>
      <c r="WYZ9" s="2235"/>
      <c r="WZA9" s="2235"/>
      <c r="WZB9" s="2235"/>
      <c r="WZC9" s="2235"/>
      <c r="WZD9" s="2235"/>
      <c r="WZE9" s="2235"/>
      <c r="WZF9" s="2235"/>
      <c r="WZG9" s="2235"/>
      <c r="WZH9" s="2235"/>
      <c r="WZI9" s="2235"/>
      <c r="WZJ9" s="2235"/>
      <c r="WZK9" s="2235"/>
      <c r="WZL9" s="2235"/>
      <c r="WZM9" s="2235"/>
      <c r="WZN9" s="2235"/>
      <c r="WZO9" s="2235"/>
      <c r="WZP9" s="2235"/>
      <c r="WZQ9" s="2235"/>
      <c r="WZR9" s="2235"/>
      <c r="WZS9" s="2235"/>
      <c r="WZT9" s="2235"/>
      <c r="WZU9" s="2235"/>
      <c r="WZV9" s="2235"/>
      <c r="WZW9" s="2235"/>
      <c r="WZX9" s="2235"/>
      <c r="WZY9" s="2235"/>
      <c r="WZZ9" s="2235"/>
      <c r="XAA9" s="2235"/>
      <c r="XAB9" s="2235"/>
      <c r="XAC9" s="2235"/>
      <c r="XAD9" s="2235"/>
      <c r="XAE9" s="2235"/>
      <c r="XAF9" s="2235"/>
      <c r="XAG9" s="2235"/>
      <c r="XAH9" s="2235"/>
      <c r="XAI9" s="2235"/>
      <c r="XAJ9" s="2235"/>
      <c r="XAK9" s="2235"/>
      <c r="XAL9" s="2235"/>
      <c r="XAM9" s="2235"/>
      <c r="XAN9" s="2235"/>
      <c r="XAO9" s="2235"/>
      <c r="XAP9" s="2235"/>
      <c r="XAQ9" s="2235"/>
      <c r="XAR9" s="2235"/>
      <c r="XAS9" s="2235"/>
      <c r="XAT9" s="2235"/>
      <c r="XAU9" s="2235"/>
      <c r="XAV9" s="2235"/>
      <c r="XAW9" s="2235"/>
      <c r="XAX9" s="2235"/>
      <c r="XAY9" s="2235"/>
      <c r="XAZ9" s="2235"/>
      <c r="XBA9" s="2235"/>
      <c r="XBB9" s="2235"/>
      <c r="XBC9" s="2235"/>
      <c r="XBD9" s="2235"/>
      <c r="XBE9" s="2235"/>
      <c r="XBF9" s="2235"/>
      <c r="XBG9" s="2235"/>
      <c r="XBH9" s="2235"/>
      <c r="XBI9" s="2235"/>
      <c r="XBJ9" s="2235"/>
      <c r="XBK9" s="2235"/>
      <c r="XBL9" s="2235"/>
      <c r="XBM9" s="2235"/>
      <c r="XBN9" s="2235"/>
      <c r="XBO9" s="2235"/>
      <c r="XBP9" s="2235"/>
      <c r="XBQ9" s="2235"/>
      <c r="XBR9" s="2235"/>
      <c r="XBS9" s="2235"/>
      <c r="XBT9" s="2235"/>
      <c r="XBU9" s="2235"/>
      <c r="XBV9" s="2235"/>
      <c r="XBW9" s="2235"/>
      <c r="XBX9" s="2235"/>
      <c r="XBY9" s="2235"/>
      <c r="XBZ9" s="2235"/>
      <c r="XCA9" s="2235"/>
      <c r="XCB9" s="2235"/>
      <c r="XCC9" s="2235"/>
      <c r="XCD9" s="2235"/>
      <c r="XCE9" s="2235"/>
      <c r="XCF9" s="2235"/>
      <c r="XCG9" s="2235"/>
      <c r="XCH9" s="2235"/>
      <c r="XCI9" s="2235"/>
      <c r="XCJ9" s="2235"/>
      <c r="XCK9" s="2235"/>
      <c r="XCL9" s="2235"/>
      <c r="XCM9" s="2235"/>
      <c r="XCN9" s="2235"/>
      <c r="XCO9" s="2235"/>
      <c r="XCP9" s="2235"/>
      <c r="XCQ9" s="2235"/>
      <c r="XCR9" s="2235"/>
      <c r="XCS9" s="2235"/>
      <c r="XCT9" s="2235"/>
      <c r="XCU9" s="2235"/>
      <c r="XCV9" s="2235"/>
      <c r="XCW9" s="2235"/>
      <c r="XCX9" s="2235"/>
      <c r="XCY9" s="2235"/>
      <c r="XCZ9" s="2235"/>
      <c r="XDA9" s="2235"/>
      <c r="XDB9" s="2235"/>
      <c r="XDC9" s="2235"/>
      <c r="XDD9" s="2235"/>
      <c r="XDE9" s="2235"/>
      <c r="XDF9" s="2235"/>
      <c r="XDG9" s="2235"/>
      <c r="XDH9" s="2235"/>
      <c r="XDI9" s="2235"/>
      <c r="XDJ9" s="2235"/>
      <c r="XDK9" s="2235"/>
      <c r="XDL9" s="2235"/>
      <c r="XDM9" s="2235"/>
      <c r="XDN9" s="2235"/>
      <c r="XDO9" s="2235"/>
      <c r="XDP9" s="2235"/>
      <c r="XDQ9" s="2235"/>
      <c r="XDR9" s="2235"/>
      <c r="XDS9" s="2235"/>
      <c r="XDT9" s="2235"/>
      <c r="XDU9" s="2235"/>
      <c r="XDV9" s="2235"/>
      <c r="XDW9" s="2235"/>
      <c r="XDX9" s="2235"/>
      <c r="XDY9" s="2235"/>
    </row>
    <row r="10" spans="1:16353" s="3436" customFormat="1" ht="189">
      <c r="A10" s="3410">
        <v>276</v>
      </c>
      <c r="B10" s="3405">
        <v>2017</v>
      </c>
      <c r="C10" s="3404">
        <v>6</v>
      </c>
      <c r="D10" s="3405">
        <v>1</v>
      </c>
      <c r="E10" s="3407" t="s">
        <v>3375</v>
      </c>
      <c r="F10" s="3407" t="s">
        <v>3376</v>
      </c>
      <c r="G10" s="3407" t="s">
        <v>3462</v>
      </c>
      <c r="H10" s="3407" t="s">
        <v>3412</v>
      </c>
      <c r="I10" s="3407" t="s">
        <v>3378</v>
      </c>
      <c r="J10" s="3407" t="s">
        <v>3413</v>
      </c>
      <c r="K10" s="3407" t="s">
        <v>3414</v>
      </c>
      <c r="L10" s="3407">
        <v>8.17</v>
      </c>
      <c r="M10" s="3407">
        <v>8.17</v>
      </c>
      <c r="N10" s="3407">
        <v>9.8000000000000007</v>
      </c>
      <c r="O10" s="3407" t="s">
        <v>3415</v>
      </c>
      <c r="P10" s="3408" t="s">
        <v>3416</v>
      </c>
      <c r="Q10" s="3437" t="s">
        <v>3417</v>
      </c>
      <c r="R10" s="3436">
        <v>43046.270000000004</v>
      </c>
      <c r="S10" s="3436">
        <v>5269</v>
      </c>
      <c r="U10" s="3438"/>
      <c r="V10" s="3438"/>
      <c r="W10" s="3438"/>
      <c r="X10" s="3438"/>
      <c r="Y10" s="3438"/>
      <c r="Z10" s="3438"/>
      <c r="AA10" s="3438"/>
      <c r="AB10" s="3438"/>
      <c r="AC10" s="3438"/>
      <c r="AD10" s="3438"/>
      <c r="AE10" s="3438"/>
      <c r="AF10" s="3438"/>
      <c r="AG10" s="3438"/>
      <c r="AH10" s="3438"/>
      <c r="AI10" s="3438"/>
      <c r="AJ10" s="3438"/>
      <c r="AK10" s="3438"/>
      <c r="AL10" s="3438"/>
      <c r="AM10" s="3438"/>
      <c r="AN10" s="3438"/>
      <c r="AO10" s="3438"/>
      <c r="AP10" s="3438"/>
      <c r="AQ10" s="3438"/>
      <c r="AR10" s="3438"/>
      <c r="AS10" s="3438"/>
      <c r="AT10" s="3438"/>
      <c r="AU10" s="3438"/>
      <c r="AV10" s="3438"/>
      <c r="AW10" s="3438"/>
      <c r="AX10" s="3438"/>
      <c r="AY10" s="3438"/>
      <c r="AZ10" s="3438"/>
      <c r="BA10" s="3438"/>
      <c r="BB10" s="3438"/>
      <c r="BC10" s="3438"/>
      <c r="BD10" s="3438"/>
      <c r="BE10" s="3438"/>
      <c r="BF10" s="3438"/>
      <c r="BG10" s="3438"/>
      <c r="BH10" s="3438"/>
      <c r="BI10" s="3438"/>
      <c r="BJ10" s="3438"/>
      <c r="BK10" s="3438"/>
      <c r="BL10" s="3438"/>
      <c r="BM10" s="3438"/>
      <c r="BN10" s="3438"/>
      <c r="BO10" s="3438"/>
      <c r="BP10" s="3438"/>
      <c r="BQ10" s="3438"/>
      <c r="BR10" s="3438"/>
      <c r="BS10" s="3438"/>
      <c r="BT10" s="3438"/>
      <c r="BU10" s="3438"/>
      <c r="BV10" s="3438"/>
      <c r="BW10" s="3438"/>
      <c r="BX10" s="3438"/>
      <c r="BY10" s="3438"/>
      <c r="BZ10" s="3438"/>
      <c r="CA10" s="3438"/>
      <c r="CB10" s="3438"/>
      <c r="CC10" s="3438"/>
      <c r="CD10" s="3438"/>
      <c r="CE10" s="3438"/>
      <c r="CF10" s="3438"/>
      <c r="CG10" s="3438"/>
      <c r="CH10" s="3438"/>
      <c r="CI10" s="3438"/>
      <c r="CJ10" s="3438"/>
      <c r="CK10" s="3438"/>
      <c r="CL10" s="3438"/>
      <c r="CM10" s="3438"/>
      <c r="CN10" s="3438"/>
      <c r="CO10" s="3438"/>
      <c r="CP10" s="3438"/>
      <c r="CQ10" s="3438"/>
      <c r="CR10" s="3438"/>
      <c r="CS10" s="3438"/>
      <c r="CT10" s="3438"/>
      <c r="CU10" s="3438"/>
      <c r="CV10" s="3438"/>
      <c r="CW10" s="3438"/>
      <c r="CX10" s="3438"/>
      <c r="CY10" s="3438"/>
      <c r="CZ10" s="3438"/>
      <c r="DA10" s="3438"/>
      <c r="DB10" s="3438"/>
      <c r="DC10" s="3438"/>
      <c r="DD10" s="3438"/>
      <c r="DE10" s="3438"/>
      <c r="DF10" s="3438"/>
      <c r="DG10" s="3438"/>
      <c r="DH10" s="3438"/>
      <c r="DI10" s="3438"/>
      <c r="DJ10" s="3438"/>
      <c r="DK10" s="3438"/>
      <c r="DL10" s="3438"/>
      <c r="DM10" s="3438"/>
      <c r="DN10" s="3438"/>
      <c r="DO10" s="3438"/>
      <c r="DP10" s="3438"/>
      <c r="DQ10" s="3438"/>
      <c r="DR10" s="3438"/>
      <c r="DS10" s="3438"/>
      <c r="DT10" s="3438"/>
      <c r="DU10" s="3438"/>
      <c r="DV10" s="3438"/>
      <c r="DW10" s="3438"/>
      <c r="DX10" s="3438"/>
      <c r="DY10" s="3438"/>
      <c r="DZ10" s="3438"/>
      <c r="EA10" s="3438"/>
      <c r="EB10" s="3438"/>
      <c r="EC10" s="3438"/>
      <c r="ED10" s="3438"/>
      <c r="EE10" s="3438"/>
      <c r="EF10" s="3438"/>
      <c r="EG10" s="3438"/>
      <c r="EH10" s="3438"/>
      <c r="EI10" s="3438"/>
      <c r="EJ10" s="3438"/>
      <c r="EK10" s="3438"/>
      <c r="EL10" s="3438"/>
      <c r="EM10" s="3438"/>
      <c r="EN10" s="3438"/>
      <c r="EO10" s="3438"/>
      <c r="EP10" s="3438"/>
      <c r="EQ10" s="3438"/>
      <c r="ER10" s="3438"/>
      <c r="ES10" s="3438"/>
      <c r="ET10" s="3438"/>
      <c r="EU10" s="3438"/>
      <c r="EV10" s="3438"/>
      <c r="EW10" s="3438"/>
      <c r="EX10" s="3438"/>
      <c r="EY10" s="3438"/>
      <c r="EZ10" s="3438"/>
      <c r="FA10" s="3438"/>
      <c r="FB10" s="3438"/>
      <c r="FC10" s="3438"/>
      <c r="FD10" s="3438"/>
      <c r="FE10" s="3438"/>
      <c r="FF10" s="3438"/>
      <c r="FG10" s="3438"/>
      <c r="FH10" s="3438"/>
      <c r="FI10" s="3438"/>
      <c r="FJ10" s="3438"/>
      <c r="FK10" s="3438"/>
      <c r="FL10" s="3438"/>
      <c r="FM10" s="3438"/>
      <c r="FN10" s="3438"/>
      <c r="FO10" s="3438"/>
      <c r="FP10" s="3438"/>
      <c r="FQ10" s="3438"/>
      <c r="FR10" s="3438"/>
      <c r="FS10" s="3438"/>
      <c r="FT10" s="3438"/>
      <c r="FU10" s="3438"/>
      <c r="FV10" s="3438"/>
      <c r="FW10" s="3438"/>
      <c r="FX10" s="3438"/>
      <c r="FY10" s="3438"/>
      <c r="FZ10" s="3438"/>
      <c r="GA10" s="3438"/>
      <c r="GB10" s="3438"/>
      <c r="GC10" s="3438"/>
      <c r="GD10" s="3438"/>
      <c r="GE10" s="3438"/>
      <c r="GF10" s="3438"/>
      <c r="GG10" s="3438"/>
      <c r="GH10" s="3438"/>
      <c r="GI10" s="3438"/>
      <c r="GJ10" s="3438"/>
      <c r="GK10" s="3438"/>
      <c r="GL10" s="3438"/>
      <c r="GM10" s="3438"/>
      <c r="GN10" s="3438"/>
      <c r="GO10" s="3438"/>
      <c r="GP10" s="3438"/>
      <c r="GQ10" s="3438"/>
      <c r="GR10" s="3438"/>
      <c r="GS10" s="3438"/>
      <c r="GT10" s="3438"/>
      <c r="GU10" s="3438"/>
      <c r="GV10" s="3438"/>
      <c r="GW10" s="3438"/>
      <c r="GX10" s="3438"/>
      <c r="GY10" s="3438"/>
      <c r="GZ10" s="3438"/>
      <c r="HA10" s="3438"/>
      <c r="HB10" s="3438"/>
      <c r="HC10" s="3438"/>
      <c r="HD10" s="3438"/>
      <c r="HE10" s="3438"/>
      <c r="HF10" s="3438"/>
      <c r="HG10" s="3438"/>
      <c r="HH10" s="3438"/>
      <c r="HI10" s="3438"/>
      <c r="HJ10" s="3438"/>
      <c r="HK10" s="3438"/>
      <c r="HL10" s="3438"/>
      <c r="HM10" s="3438"/>
      <c r="HN10" s="3438"/>
      <c r="HO10" s="3438"/>
      <c r="HP10" s="3438"/>
      <c r="HQ10" s="3438"/>
      <c r="HR10" s="3438"/>
      <c r="HS10" s="3438"/>
      <c r="HT10" s="3438"/>
      <c r="HU10" s="3438"/>
      <c r="HV10" s="3438"/>
      <c r="HW10" s="3438"/>
      <c r="HX10" s="3438"/>
      <c r="HY10" s="3438"/>
      <c r="HZ10" s="3438"/>
      <c r="IA10" s="3438"/>
      <c r="IB10" s="3438"/>
      <c r="IC10" s="3438"/>
      <c r="ID10" s="3438"/>
      <c r="IE10" s="3438"/>
      <c r="IF10" s="3438"/>
      <c r="IG10" s="3438"/>
      <c r="IH10" s="3438"/>
      <c r="II10" s="3438"/>
      <c r="IJ10" s="3438"/>
      <c r="IK10" s="3438"/>
      <c r="IL10" s="3438"/>
      <c r="IM10" s="3438"/>
      <c r="IN10" s="3438"/>
      <c r="IO10" s="3438"/>
      <c r="IP10" s="3438"/>
      <c r="IQ10" s="3438"/>
      <c r="IR10" s="3438"/>
      <c r="IS10" s="3438"/>
      <c r="IT10" s="3438"/>
      <c r="IU10" s="3438"/>
      <c r="IV10" s="3438"/>
      <c r="IW10" s="3438"/>
      <c r="IX10" s="3438"/>
      <c r="IY10" s="3438"/>
      <c r="IZ10" s="3438"/>
      <c r="JA10" s="3438"/>
      <c r="JB10" s="3438"/>
      <c r="JC10" s="3438"/>
      <c r="JD10" s="3438"/>
      <c r="JE10" s="3438"/>
      <c r="JF10" s="3438"/>
      <c r="JG10" s="3438"/>
      <c r="JH10" s="3438"/>
      <c r="JI10" s="3438"/>
      <c r="JJ10" s="3438"/>
      <c r="JK10" s="3438"/>
      <c r="JL10" s="3438"/>
      <c r="JM10" s="3438"/>
      <c r="JN10" s="3438"/>
      <c r="JO10" s="3438"/>
      <c r="JP10" s="3438"/>
      <c r="JQ10" s="3438"/>
      <c r="JR10" s="3438"/>
      <c r="JS10" s="3438"/>
      <c r="JT10" s="3438"/>
      <c r="JU10" s="3438"/>
      <c r="JV10" s="3438"/>
      <c r="JW10" s="3438"/>
      <c r="JX10" s="3438"/>
      <c r="JY10" s="3438"/>
      <c r="JZ10" s="3438"/>
      <c r="KA10" s="3438"/>
      <c r="KB10" s="3438"/>
      <c r="KC10" s="3438"/>
      <c r="KD10" s="3438"/>
      <c r="KE10" s="3438"/>
      <c r="KF10" s="3438"/>
      <c r="KG10" s="3438"/>
      <c r="KH10" s="3438"/>
      <c r="KI10" s="3438"/>
      <c r="KJ10" s="3438"/>
      <c r="KK10" s="3438"/>
      <c r="KL10" s="3438"/>
      <c r="KM10" s="3438"/>
      <c r="KN10" s="3438"/>
      <c r="KO10" s="3438"/>
      <c r="KP10" s="3438"/>
      <c r="KQ10" s="3438"/>
      <c r="KR10" s="3438"/>
      <c r="KS10" s="3438"/>
      <c r="KT10" s="3438"/>
      <c r="KU10" s="3438"/>
      <c r="KV10" s="3438"/>
      <c r="KW10" s="3438"/>
      <c r="KX10" s="3438"/>
      <c r="KY10" s="3438"/>
      <c r="KZ10" s="3438"/>
      <c r="LA10" s="3438"/>
      <c r="LB10" s="3438"/>
      <c r="LC10" s="3438"/>
      <c r="LD10" s="3438"/>
      <c r="LE10" s="3438"/>
      <c r="LF10" s="3438"/>
      <c r="LG10" s="3438"/>
      <c r="LH10" s="3438"/>
      <c r="LI10" s="3438"/>
      <c r="LJ10" s="3438"/>
      <c r="LK10" s="3438"/>
      <c r="LL10" s="3438"/>
      <c r="LM10" s="3438"/>
      <c r="LN10" s="3438"/>
      <c r="LO10" s="3438"/>
      <c r="LP10" s="3438"/>
      <c r="LQ10" s="3438"/>
      <c r="LR10" s="3438"/>
      <c r="LS10" s="3438"/>
      <c r="LT10" s="3438"/>
      <c r="LU10" s="3438"/>
      <c r="LV10" s="3438"/>
      <c r="LW10" s="3438"/>
      <c r="LX10" s="3438"/>
      <c r="LY10" s="3438"/>
      <c r="LZ10" s="3438"/>
      <c r="MA10" s="3438"/>
      <c r="MB10" s="3438"/>
      <c r="MC10" s="3438"/>
      <c r="MD10" s="3438"/>
      <c r="ME10" s="3438"/>
      <c r="MF10" s="3438"/>
      <c r="MG10" s="3438"/>
      <c r="MH10" s="3438"/>
      <c r="MI10" s="3438"/>
      <c r="MJ10" s="3438"/>
      <c r="MK10" s="3438"/>
      <c r="ML10" s="3438"/>
      <c r="MM10" s="3438"/>
      <c r="MN10" s="3438"/>
      <c r="MO10" s="3438"/>
      <c r="MP10" s="3438"/>
      <c r="MQ10" s="3438"/>
      <c r="MR10" s="3438"/>
      <c r="MS10" s="3438"/>
      <c r="MT10" s="3438"/>
      <c r="MU10" s="3438"/>
      <c r="MV10" s="3438"/>
      <c r="MW10" s="3438"/>
      <c r="MX10" s="3438"/>
      <c r="MY10" s="3438"/>
      <c r="MZ10" s="3438"/>
      <c r="NA10" s="3438"/>
      <c r="NB10" s="3438"/>
      <c r="NC10" s="3438"/>
      <c r="ND10" s="3438"/>
      <c r="NE10" s="3438"/>
      <c r="NF10" s="3438"/>
      <c r="NG10" s="3438"/>
      <c r="NH10" s="3438"/>
      <c r="NI10" s="3438"/>
      <c r="NJ10" s="3438"/>
      <c r="NK10" s="3438"/>
      <c r="NL10" s="3438"/>
      <c r="NM10" s="3438"/>
      <c r="NN10" s="3438"/>
      <c r="NO10" s="3438"/>
      <c r="NP10" s="3438"/>
      <c r="NQ10" s="3438"/>
      <c r="NR10" s="3438"/>
      <c r="NS10" s="3438"/>
      <c r="NT10" s="3438"/>
      <c r="NU10" s="3438"/>
      <c r="NV10" s="3438"/>
      <c r="NW10" s="3438"/>
      <c r="NX10" s="3438"/>
      <c r="NY10" s="3438"/>
      <c r="NZ10" s="3438"/>
      <c r="OA10" s="3438"/>
      <c r="OB10" s="3438"/>
      <c r="OC10" s="3438"/>
      <c r="OD10" s="3438"/>
      <c r="OE10" s="3438"/>
      <c r="OF10" s="3438"/>
      <c r="OG10" s="3438"/>
      <c r="OH10" s="3438"/>
      <c r="OI10" s="3438"/>
      <c r="OJ10" s="3438"/>
      <c r="OK10" s="3438"/>
      <c r="OL10" s="3438"/>
      <c r="OM10" s="3438"/>
      <c r="ON10" s="3438"/>
      <c r="OO10" s="3438"/>
      <c r="OP10" s="3438"/>
      <c r="OQ10" s="3438"/>
      <c r="OR10" s="3438"/>
      <c r="OS10" s="3438"/>
      <c r="OT10" s="3438"/>
      <c r="OU10" s="3438"/>
      <c r="OV10" s="3438"/>
      <c r="OW10" s="3438"/>
      <c r="OX10" s="3438"/>
      <c r="OY10" s="3438"/>
      <c r="OZ10" s="3438"/>
      <c r="PA10" s="3438"/>
      <c r="PB10" s="3438"/>
      <c r="PC10" s="3438"/>
      <c r="PD10" s="3438"/>
      <c r="PE10" s="3438"/>
      <c r="PF10" s="3438"/>
      <c r="PG10" s="3438"/>
      <c r="PH10" s="3438"/>
      <c r="PI10" s="3438"/>
      <c r="PJ10" s="3438"/>
      <c r="PK10" s="3438"/>
      <c r="PL10" s="3438"/>
      <c r="PM10" s="3438"/>
      <c r="PN10" s="3438"/>
      <c r="PO10" s="3438"/>
      <c r="PP10" s="3438"/>
      <c r="PQ10" s="3438"/>
      <c r="PR10" s="3438"/>
      <c r="PS10" s="3438"/>
      <c r="PT10" s="3438"/>
      <c r="PU10" s="3438"/>
      <c r="PV10" s="3438"/>
      <c r="PW10" s="3438"/>
      <c r="PX10" s="3438"/>
      <c r="PY10" s="3438"/>
      <c r="PZ10" s="3438"/>
      <c r="QA10" s="3438"/>
      <c r="QB10" s="3438"/>
      <c r="QC10" s="3438"/>
      <c r="QD10" s="3438"/>
      <c r="QE10" s="3438"/>
      <c r="QF10" s="3438"/>
      <c r="QG10" s="3438"/>
      <c r="QH10" s="3438"/>
      <c r="QI10" s="3438"/>
      <c r="QJ10" s="3438"/>
      <c r="QK10" s="3438"/>
      <c r="QL10" s="3438"/>
      <c r="QM10" s="3438"/>
      <c r="QN10" s="3438"/>
      <c r="QO10" s="3438"/>
      <c r="QP10" s="3438"/>
      <c r="QQ10" s="3438"/>
      <c r="QR10" s="3438"/>
      <c r="QS10" s="3438"/>
      <c r="QT10" s="3438"/>
      <c r="QU10" s="3438"/>
      <c r="QV10" s="3438"/>
      <c r="QW10" s="3438"/>
      <c r="QX10" s="3438"/>
      <c r="QY10" s="3438"/>
      <c r="QZ10" s="3438"/>
      <c r="RA10" s="3438"/>
      <c r="RB10" s="3438"/>
      <c r="RC10" s="3438"/>
      <c r="RD10" s="3438"/>
      <c r="RE10" s="3438"/>
      <c r="RF10" s="3438"/>
      <c r="RG10" s="3438"/>
      <c r="RH10" s="3438"/>
      <c r="RI10" s="3438"/>
      <c r="RJ10" s="3438"/>
      <c r="RK10" s="3438"/>
      <c r="RL10" s="3438"/>
      <c r="RM10" s="3438"/>
      <c r="RN10" s="3438"/>
      <c r="RO10" s="3438"/>
      <c r="RP10" s="3438"/>
      <c r="RQ10" s="3438"/>
      <c r="RR10" s="3438"/>
      <c r="RS10" s="3438"/>
      <c r="RT10" s="3438"/>
      <c r="RU10" s="3438"/>
      <c r="RV10" s="3438"/>
      <c r="RW10" s="3438"/>
      <c r="RX10" s="3438"/>
      <c r="RY10" s="3438"/>
      <c r="RZ10" s="3438"/>
      <c r="SA10" s="3438"/>
      <c r="SB10" s="3438"/>
      <c r="SC10" s="3438"/>
      <c r="SD10" s="3438"/>
      <c r="SE10" s="3438"/>
      <c r="SF10" s="3438"/>
      <c r="SG10" s="3438"/>
      <c r="SH10" s="3438"/>
      <c r="SI10" s="3438"/>
      <c r="SJ10" s="3438"/>
      <c r="SK10" s="3438"/>
      <c r="SL10" s="3438"/>
      <c r="SM10" s="3438"/>
      <c r="SN10" s="3438"/>
      <c r="SO10" s="3438"/>
      <c r="SP10" s="3438"/>
      <c r="SQ10" s="3438"/>
      <c r="SR10" s="3438"/>
      <c r="SS10" s="3438"/>
      <c r="ST10" s="3438"/>
      <c r="SU10" s="3438"/>
      <c r="SV10" s="3438"/>
      <c r="SW10" s="3438"/>
      <c r="SX10" s="3438"/>
      <c r="SY10" s="3438"/>
      <c r="SZ10" s="3438"/>
      <c r="TA10" s="3438"/>
      <c r="TB10" s="3438"/>
      <c r="TC10" s="3438"/>
      <c r="TD10" s="3438"/>
      <c r="TE10" s="3438"/>
      <c r="TF10" s="3438"/>
      <c r="TG10" s="3438"/>
      <c r="TH10" s="3438"/>
      <c r="TI10" s="3438"/>
      <c r="TJ10" s="3438"/>
      <c r="TK10" s="3438"/>
      <c r="TL10" s="3438"/>
      <c r="TM10" s="3438"/>
      <c r="TN10" s="3438"/>
      <c r="TO10" s="3438"/>
      <c r="TP10" s="3438"/>
      <c r="TQ10" s="3438"/>
      <c r="TR10" s="3438"/>
      <c r="TS10" s="3438"/>
      <c r="TT10" s="3438"/>
      <c r="TU10" s="3438"/>
      <c r="TV10" s="3438"/>
      <c r="TW10" s="3438"/>
      <c r="TX10" s="3438"/>
      <c r="TY10" s="3438"/>
      <c r="TZ10" s="3438"/>
      <c r="UA10" s="3438"/>
      <c r="UB10" s="3438"/>
      <c r="UC10" s="3438"/>
      <c r="UD10" s="3438"/>
      <c r="UE10" s="3438"/>
      <c r="UF10" s="3438"/>
      <c r="UG10" s="3438"/>
      <c r="UH10" s="3438"/>
      <c r="UI10" s="3438"/>
      <c r="UJ10" s="3438"/>
      <c r="UK10" s="3438"/>
      <c r="UL10" s="3438"/>
      <c r="UM10" s="3438"/>
      <c r="UN10" s="3438"/>
      <c r="UO10" s="3438"/>
      <c r="UP10" s="3438"/>
      <c r="UQ10" s="3438"/>
      <c r="UR10" s="3438"/>
      <c r="US10" s="3438"/>
      <c r="UT10" s="3438"/>
      <c r="UU10" s="3438"/>
      <c r="UV10" s="3438"/>
      <c r="UW10" s="3438"/>
      <c r="UX10" s="3438"/>
      <c r="UY10" s="3438"/>
      <c r="UZ10" s="3438"/>
      <c r="VA10" s="3438"/>
      <c r="VB10" s="3438"/>
      <c r="VC10" s="3438"/>
      <c r="VD10" s="3438"/>
      <c r="VE10" s="3438"/>
      <c r="VF10" s="3438"/>
      <c r="VG10" s="3438"/>
      <c r="VH10" s="3438"/>
      <c r="VI10" s="3438"/>
      <c r="VJ10" s="3438"/>
      <c r="VK10" s="3438"/>
      <c r="VL10" s="3438"/>
      <c r="VM10" s="3438"/>
      <c r="VN10" s="3438"/>
      <c r="VO10" s="3438"/>
      <c r="VP10" s="3438"/>
      <c r="VQ10" s="3438"/>
      <c r="VR10" s="3438"/>
      <c r="VS10" s="3438"/>
      <c r="VT10" s="3438"/>
      <c r="VU10" s="3438"/>
      <c r="VV10" s="3438"/>
      <c r="VW10" s="3438"/>
      <c r="VX10" s="3438"/>
      <c r="VY10" s="3438"/>
      <c r="VZ10" s="3438"/>
      <c r="WA10" s="3438"/>
      <c r="WB10" s="3438"/>
      <c r="WC10" s="3438"/>
      <c r="WD10" s="3438"/>
      <c r="WE10" s="3438"/>
      <c r="WF10" s="3438"/>
      <c r="WG10" s="3438"/>
      <c r="WH10" s="3438"/>
      <c r="WI10" s="3438"/>
      <c r="WJ10" s="3438"/>
      <c r="WK10" s="3438"/>
      <c r="WL10" s="3438"/>
      <c r="WM10" s="3438"/>
      <c r="WN10" s="3438"/>
      <c r="WO10" s="3438"/>
      <c r="WP10" s="3438"/>
      <c r="WQ10" s="3438"/>
      <c r="WR10" s="3438"/>
      <c r="WS10" s="3438"/>
      <c r="WT10" s="3438"/>
      <c r="WU10" s="3438"/>
      <c r="WV10" s="3438"/>
      <c r="WW10" s="3438"/>
      <c r="WX10" s="3438"/>
      <c r="WY10" s="3438"/>
      <c r="WZ10" s="3438"/>
      <c r="XA10" s="3438"/>
      <c r="XB10" s="3438"/>
      <c r="XC10" s="3438"/>
      <c r="XD10" s="3438"/>
      <c r="XE10" s="3438"/>
      <c r="XF10" s="3438"/>
      <c r="XG10" s="3438"/>
      <c r="XH10" s="3438"/>
      <c r="XI10" s="3438"/>
      <c r="XJ10" s="3438"/>
      <c r="XK10" s="3438"/>
      <c r="XL10" s="3438"/>
      <c r="XM10" s="3438"/>
      <c r="XN10" s="3438"/>
      <c r="XO10" s="3438"/>
      <c r="XP10" s="3438"/>
      <c r="XQ10" s="3438"/>
      <c r="XR10" s="3438"/>
      <c r="XS10" s="3438"/>
      <c r="XT10" s="3438"/>
      <c r="XU10" s="3438"/>
      <c r="XV10" s="3438"/>
      <c r="XW10" s="3438"/>
      <c r="XX10" s="3438"/>
      <c r="XY10" s="3438"/>
      <c r="XZ10" s="3438"/>
      <c r="YA10" s="3438"/>
      <c r="YB10" s="3438"/>
      <c r="YC10" s="3438"/>
      <c r="YD10" s="3438"/>
      <c r="YE10" s="3438"/>
      <c r="YF10" s="3438"/>
      <c r="YG10" s="3438"/>
      <c r="YH10" s="3438"/>
      <c r="YI10" s="3438"/>
      <c r="YJ10" s="3438"/>
      <c r="YK10" s="3438"/>
      <c r="YL10" s="3438"/>
      <c r="YM10" s="3438"/>
      <c r="YN10" s="3438"/>
      <c r="YO10" s="3438"/>
      <c r="YP10" s="3438"/>
      <c r="YQ10" s="3438"/>
      <c r="YR10" s="3438"/>
      <c r="YS10" s="3438"/>
      <c r="YT10" s="3438"/>
      <c r="YU10" s="3438"/>
      <c r="YV10" s="3438"/>
      <c r="YW10" s="3438"/>
      <c r="YX10" s="3438"/>
      <c r="YY10" s="3438"/>
      <c r="YZ10" s="3438"/>
      <c r="ZA10" s="3438"/>
      <c r="ZB10" s="3438"/>
      <c r="ZC10" s="3438"/>
      <c r="ZD10" s="3438"/>
      <c r="ZE10" s="3438"/>
      <c r="ZF10" s="3438"/>
      <c r="ZG10" s="3438"/>
      <c r="ZH10" s="3438"/>
      <c r="ZI10" s="3438"/>
      <c r="ZJ10" s="3438"/>
      <c r="ZK10" s="3438"/>
      <c r="ZL10" s="3438"/>
      <c r="ZM10" s="3438"/>
      <c r="ZN10" s="3438"/>
      <c r="ZO10" s="3438"/>
      <c r="ZP10" s="3438"/>
      <c r="ZQ10" s="3438"/>
      <c r="ZR10" s="3438"/>
      <c r="ZS10" s="3438"/>
      <c r="ZT10" s="3438"/>
      <c r="ZU10" s="3438"/>
      <c r="ZV10" s="3438"/>
      <c r="ZW10" s="3438"/>
      <c r="ZX10" s="3438"/>
      <c r="ZY10" s="3438"/>
      <c r="ZZ10" s="3438"/>
      <c r="AAA10" s="3438"/>
      <c r="AAB10" s="3438"/>
      <c r="AAC10" s="3438"/>
      <c r="AAD10" s="3438"/>
      <c r="AAE10" s="3438"/>
      <c r="AAF10" s="3438"/>
      <c r="AAG10" s="3438"/>
      <c r="AAH10" s="3438"/>
      <c r="AAI10" s="3438"/>
      <c r="AAJ10" s="3438"/>
      <c r="AAK10" s="3438"/>
      <c r="AAL10" s="3438"/>
      <c r="AAM10" s="3438"/>
      <c r="AAN10" s="3438"/>
      <c r="AAO10" s="3438"/>
      <c r="AAP10" s="3438"/>
      <c r="AAQ10" s="3438"/>
      <c r="AAR10" s="3438"/>
      <c r="AAS10" s="3438"/>
      <c r="AAT10" s="3438"/>
      <c r="AAU10" s="3438"/>
      <c r="AAV10" s="3438"/>
      <c r="AAW10" s="3438"/>
      <c r="AAX10" s="3438"/>
      <c r="AAY10" s="3438"/>
      <c r="AAZ10" s="3438"/>
      <c r="ABA10" s="3438"/>
      <c r="ABB10" s="3438"/>
      <c r="ABC10" s="3438"/>
      <c r="ABD10" s="3438"/>
      <c r="ABE10" s="3438"/>
      <c r="ABF10" s="3438"/>
      <c r="ABG10" s="3438"/>
      <c r="ABH10" s="3438"/>
      <c r="ABI10" s="3438"/>
      <c r="ABJ10" s="3438"/>
      <c r="ABK10" s="3438"/>
      <c r="ABL10" s="3438"/>
      <c r="ABM10" s="3438"/>
      <c r="ABN10" s="3438"/>
      <c r="ABO10" s="3438"/>
      <c r="ABP10" s="3438"/>
      <c r="ABQ10" s="3438"/>
      <c r="ABR10" s="3438"/>
      <c r="ABS10" s="3438"/>
      <c r="ABT10" s="3438"/>
      <c r="ABU10" s="3438"/>
      <c r="ABV10" s="3438"/>
      <c r="ABW10" s="3438"/>
      <c r="ABX10" s="3438"/>
      <c r="ABY10" s="3438"/>
      <c r="ABZ10" s="3438"/>
      <c r="ACA10" s="3438"/>
      <c r="ACB10" s="3438"/>
      <c r="ACC10" s="3438"/>
      <c r="ACD10" s="3438"/>
      <c r="ACE10" s="3438"/>
      <c r="ACF10" s="3438"/>
      <c r="ACG10" s="3438"/>
      <c r="ACH10" s="3438"/>
      <c r="ACI10" s="3438"/>
      <c r="ACJ10" s="3438"/>
      <c r="ACK10" s="3438"/>
      <c r="ACL10" s="3438"/>
      <c r="ACM10" s="3438"/>
      <c r="ACN10" s="3438"/>
      <c r="ACO10" s="3438"/>
      <c r="ACP10" s="3438"/>
      <c r="ACQ10" s="3438"/>
      <c r="ACR10" s="3438"/>
      <c r="ACS10" s="3438"/>
      <c r="ACT10" s="3438"/>
      <c r="ACU10" s="3438"/>
      <c r="ACV10" s="3438"/>
      <c r="ACW10" s="3438"/>
      <c r="ACX10" s="3438"/>
      <c r="ACY10" s="3438"/>
      <c r="ACZ10" s="3438"/>
      <c r="ADA10" s="3438"/>
      <c r="ADB10" s="3438"/>
      <c r="ADC10" s="3438"/>
      <c r="ADD10" s="3438"/>
      <c r="ADE10" s="3438"/>
      <c r="ADF10" s="3438"/>
      <c r="ADG10" s="3438"/>
      <c r="ADH10" s="3438"/>
      <c r="ADI10" s="3438"/>
      <c r="ADJ10" s="3438"/>
      <c r="ADK10" s="3438"/>
      <c r="ADL10" s="3438"/>
      <c r="ADM10" s="3438"/>
      <c r="ADN10" s="3438"/>
      <c r="ADO10" s="3438"/>
      <c r="ADP10" s="3438"/>
      <c r="ADQ10" s="3438"/>
      <c r="ADR10" s="3438"/>
      <c r="ADS10" s="3438"/>
      <c r="ADT10" s="3438"/>
      <c r="ADU10" s="3438"/>
      <c r="ADV10" s="3438"/>
      <c r="ADW10" s="3438"/>
      <c r="ADX10" s="3438"/>
      <c r="ADY10" s="3438"/>
      <c r="ADZ10" s="3438"/>
      <c r="AEA10" s="3438"/>
      <c r="AEB10" s="3438"/>
      <c r="AEC10" s="3438"/>
      <c r="AED10" s="3438"/>
      <c r="AEE10" s="3438"/>
      <c r="AEF10" s="3438"/>
      <c r="AEG10" s="3438"/>
      <c r="AEH10" s="3438"/>
      <c r="AEI10" s="3438"/>
      <c r="AEJ10" s="3438"/>
      <c r="AEK10" s="3438"/>
      <c r="AEL10" s="3438"/>
      <c r="AEM10" s="3438"/>
      <c r="AEN10" s="3438"/>
      <c r="AEO10" s="3438"/>
      <c r="AEP10" s="3438"/>
      <c r="AEQ10" s="3438"/>
      <c r="AER10" s="3438"/>
      <c r="AES10" s="3438"/>
      <c r="AET10" s="3438"/>
      <c r="AEU10" s="3438"/>
      <c r="AEV10" s="3438"/>
      <c r="AEW10" s="3438"/>
      <c r="AEX10" s="3438"/>
      <c r="AEY10" s="3438"/>
      <c r="AEZ10" s="3438"/>
      <c r="AFA10" s="3438"/>
      <c r="AFB10" s="3438"/>
      <c r="AFC10" s="3438"/>
      <c r="AFD10" s="3438"/>
      <c r="AFE10" s="3438"/>
      <c r="AFF10" s="3438"/>
      <c r="AFG10" s="3438"/>
      <c r="AFH10" s="3438"/>
      <c r="AFI10" s="3438"/>
      <c r="AFJ10" s="3438"/>
      <c r="AFK10" s="3438"/>
      <c r="AFL10" s="3438"/>
      <c r="AFM10" s="3438"/>
      <c r="AFN10" s="3438"/>
      <c r="AFO10" s="3438"/>
      <c r="AFP10" s="3438"/>
      <c r="AFQ10" s="3438"/>
      <c r="AFR10" s="3438"/>
      <c r="AFS10" s="3438"/>
      <c r="AFT10" s="3438"/>
      <c r="AFU10" s="3438"/>
      <c r="AFV10" s="3438"/>
      <c r="AFW10" s="3438"/>
      <c r="AFX10" s="3438"/>
      <c r="AFY10" s="3438"/>
      <c r="AFZ10" s="3438"/>
      <c r="AGA10" s="3438"/>
      <c r="AGB10" s="3438"/>
      <c r="AGC10" s="3438"/>
      <c r="AGD10" s="3438"/>
      <c r="AGE10" s="3438"/>
      <c r="AGF10" s="3438"/>
      <c r="AGG10" s="3438"/>
      <c r="AGH10" s="3438"/>
      <c r="AGI10" s="3438"/>
      <c r="AGJ10" s="3438"/>
      <c r="AGK10" s="3438"/>
      <c r="AGL10" s="3438"/>
      <c r="AGM10" s="3438"/>
      <c r="AGN10" s="3438"/>
      <c r="AGO10" s="3438"/>
      <c r="AGP10" s="3438"/>
      <c r="AGQ10" s="3438"/>
      <c r="AGR10" s="3438"/>
      <c r="AGS10" s="3438"/>
      <c r="AGT10" s="3438"/>
      <c r="AGU10" s="3438"/>
      <c r="AGV10" s="3438"/>
      <c r="AGW10" s="3438"/>
      <c r="AGX10" s="3438"/>
      <c r="AGY10" s="3438"/>
      <c r="AGZ10" s="3438"/>
      <c r="AHA10" s="3438"/>
      <c r="AHB10" s="3438"/>
      <c r="AHC10" s="3438"/>
      <c r="AHD10" s="3438"/>
      <c r="AHE10" s="3438"/>
      <c r="AHF10" s="3438"/>
      <c r="AHG10" s="3438"/>
      <c r="AHH10" s="3438"/>
      <c r="AHI10" s="3438"/>
      <c r="AHJ10" s="3438"/>
      <c r="AHK10" s="3438"/>
      <c r="AHL10" s="3438"/>
      <c r="AHM10" s="3438"/>
      <c r="AHN10" s="3438"/>
      <c r="AHO10" s="3438"/>
      <c r="AHP10" s="3438"/>
      <c r="AHQ10" s="3438"/>
      <c r="AHR10" s="3438"/>
      <c r="AHS10" s="3438"/>
      <c r="AHT10" s="3438"/>
      <c r="AHU10" s="3438"/>
      <c r="AHV10" s="3438"/>
      <c r="AHW10" s="3438"/>
      <c r="AHX10" s="3438"/>
      <c r="AHY10" s="3438"/>
      <c r="AHZ10" s="3438"/>
      <c r="AIA10" s="3438"/>
      <c r="AIB10" s="3438"/>
      <c r="AIC10" s="3438"/>
      <c r="AID10" s="3438"/>
      <c r="AIE10" s="3438"/>
      <c r="AIF10" s="3438"/>
      <c r="AIG10" s="3438"/>
      <c r="AIH10" s="3438"/>
      <c r="AII10" s="3438"/>
      <c r="AIJ10" s="3438"/>
      <c r="AIK10" s="3438"/>
      <c r="AIL10" s="3438"/>
      <c r="AIM10" s="3438"/>
      <c r="AIN10" s="3438"/>
      <c r="AIO10" s="3438"/>
      <c r="AIP10" s="3438"/>
      <c r="AIQ10" s="3438"/>
      <c r="AIR10" s="3438"/>
      <c r="AIS10" s="3438"/>
      <c r="AIT10" s="3438"/>
      <c r="AIU10" s="3438"/>
      <c r="AIV10" s="3438"/>
      <c r="AIW10" s="3438"/>
      <c r="AIX10" s="3438"/>
      <c r="AIY10" s="3438"/>
      <c r="AIZ10" s="3438"/>
      <c r="AJA10" s="3438"/>
      <c r="AJB10" s="3438"/>
      <c r="AJC10" s="3438"/>
      <c r="AJD10" s="3438"/>
      <c r="AJE10" s="3438"/>
      <c r="AJF10" s="3438"/>
      <c r="AJG10" s="3438"/>
      <c r="AJH10" s="3438"/>
      <c r="AJI10" s="3438"/>
      <c r="AJJ10" s="3438"/>
      <c r="AJK10" s="3438"/>
      <c r="AJL10" s="3438"/>
      <c r="AJM10" s="3438"/>
      <c r="AJN10" s="3438"/>
      <c r="AJO10" s="3438"/>
      <c r="AJP10" s="3438"/>
      <c r="AJQ10" s="3438"/>
      <c r="AJR10" s="3438"/>
      <c r="AJS10" s="3438"/>
      <c r="AJT10" s="3438"/>
      <c r="AJU10" s="3438"/>
      <c r="AJV10" s="3438"/>
      <c r="AJW10" s="3438"/>
      <c r="AJX10" s="3438"/>
      <c r="AJY10" s="3438"/>
      <c r="AJZ10" s="3438"/>
      <c r="AKA10" s="3438"/>
      <c r="AKB10" s="3438"/>
      <c r="AKC10" s="3438"/>
      <c r="AKD10" s="3438"/>
      <c r="AKE10" s="3438"/>
      <c r="AKF10" s="3438"/>
      <c r="AKG10" s="3438"/>
      <c r="AKH10" s="3438"/>
      <c r="AKI10" s="3438"/>
      <c r="AKJ10" s="3438"/>
      <c r="AKK10" s="3438"/>
      <c r="AKL10" s="3438"/>
      <c r="AKM10" s="3438"/>
      <c r="AKN10" s="3438"/>
      <c r="AKO10" s="3438"/>
      <c r="AKP10" s="3438"/>
      <c r="AKQ10" s="3438"/>
      <c r="AKR10" s="3438"/>
      <c r="AKS10" s="3438"/>
      <c r="AKT10" s="3438"/>
      <c r="AKU10" s="3438"/>
      <c r="AKV10" s="3438"/>
      <c r="AKW10" s="3438"/>
      <c r="AKX10" s="3438"/>
      <c r="AKY10" s="3438"/>
      <c r="AKZ10" s="3438"/>
      <c r="ALA10" s="3438"/>
      <c r="ALB10" s="3438"/>
      <c r="ALC10" s="3438"/>
      <c r="ALD10" s="3438"/>
      <c r="ALE10" s="3438"/>
      <c r="ALF10" s="3438"/>
      <c r="ALG10" s="3438"/>
      <c r="ALH10" s="3438"/>
      <c r="ALI10" s="3438"/>
      <c r="ALJ10" s="3438"/>
      <c r="ALK10" s="3438"/>
      <c r="ALL10" s="3438"/>
      <c r="ALM10" s="3438"/>
      <c r="ALN10" s="3438"/>
      <c r="ALO10" s="3438"/>
      <c r="ALP10" s="3438"/>
      <c r="ALQ10" s="3438"/>
      <c r="ALR10" s="3438"/>
      <c r="ALS10" s="3438"/>
      <c r="ALT10" s="3438"/>
      <c r="ALU10" s="3438"/>
      <c r="ALV10" s="3438"/>
      <c r="ALW10" s="3438"/>
      <c r="ALX10" s="3438"/>
      <c r="ALY10" s="3438"/>
      <c r="ALZ10" s="3438"/>
      <c r="AMA10" s="3438"/>
      <c r="AMB10" s="3438"/>
      <c r="AMC10" s="3438"/>
      <c r="AMD10" s="3438"/>
      <c r="AME10" s="3438"/>
      <c r="AMF10" s="3438"/>
      <c r="AMG10" s="3438"/>
      <c r="AMH10" s="3438"/>
      <c r="AMI10" s="3438"/>
      <c r="AMJ10" s="3438"/>
      <c r="AMK10" s="3438"/>
      <c r="AML10" s="3438"/>
      <c r="AMM10" s="3438"/>
      <c r="AMN10" s="3438"/>
      <c r="AMO10" s="3438"/>
      <c r="AMP10" s="3438"/>
      <c r="AMQ10" s="3438"/>
      <c r="AMR10" s="3438"/>
      <c r="AMS10" s="3438"/>
      <c r="AMT10" s="3438"/>
      <c r="AMU10" s="3438"/>
      <c r="AMV10" s="3438"/>
      <c r="AMW10" s="3438"/>
      <c r="AMX10" s="3438"/>
      <c r="AMY10" s="3438"/>
      <c r="AMZ10" s="3438"/>
      <c r="ANA10" s="3438"/>
      <c r="ANB10" s="3438"/>
      <c r="ANC10" s="3438"/>
      <c r="AND10" s="3438"/>
      <c r="ANE10" s="3438"/>
      <c r="ANF10" s="3438"/>
      <c r="ANG10" s="3438"/>
      <c r="ANH10" s="3438"/>
      <c r="ANI10" s="3438"/>
      <c r="ANJ10" s="3438"/>
      <c r="ANK10" s="3438"/>
      <c r="ANL10" s="3438"/>
      <c r="ANM10" s="3438"/>
      <c r="ANN10" s="3438"/>
      <c r="ANO10" s="3438"/>
      <c r="ANP10" s="3438"/>
      <c r="ANQ10" s="3438"/>
      <c r="ANR10" s="3438"/>
      <c r="ANS10" s="3438"/>
      <c r="ANT10" s="3438"/>
      <c r="ANU10" s="3438"/>
      <c r="ANV10" s="3438"/>
      <c r="ANW10" s="3438"/>
      <c r="ANX10" s="3438"/>
      <c r="ANY10" s="3438"/>
      <c r="ANZ10" s="3438"/>
      <c r="AOA10" s="3438"/>
      <c r="AOB10" s="3438"/>
      <c r="AOC10" s="3438"/>
      <c r="AOD10" s="3438"/>
      <c r="AOE10" s="3438"/>
      <c r="AOF10" s="3438"/>
      <c r="AOG10" s="3438"/>
      <c r="AOH10" s="3438"/>
      <c r="AOI10" s="3438"/>
      <c r="AOJ10" s="3438"/>
      <c r="AOK10" s="3438"/>
      <c r="AOL10" s="3438"/>
      <c r="AOM10" s="3438"/>
      <c r="AON10" s="3438"/>
      <c r="AOO10" s="3438"/>
      <c r="AOP10" s="3438"/>
      <c r="AOQ10" s="3438"/>
      <c r="AOR10" s="3438"/>
      <c r="AOS10" s="3438"/>
      <c r="AOT10" s="3438"/>
      <c r="AOU10" s="3438"/>
      <c r="AOV10" s="3438"/>
      <c r="AOW10" s="3438"/>
      <c r="AOX10" s="3438"/>
      <c r="AOY10" s="3438"/>
      <c r="AOZ10" s="3438"/>
      <c r="APA10" s="3438"/>
      <c r="APB10" s="3438"/>
      <c r="APC10" s="3438"/>
      <c r="APD10" s="3438"/>
      <c r="APE10" s="3438"/>
      <c r="APF10" s="3438"/>
      <c r="APG10" s="3438"/>
      <c r="APH10" s="3438"/>
      <c r="API10" s="3438"/>
      <c r="APJ10" s="3438"/>
      <c r="APK10" s="3438"/>
      <c r="APL10" s="3438"/>
      <c r="APM10" s="3438"/>
      <c r="APN10" s="3438"/>
      <c r="APO10" s="3438"/>
      <c r="APP10" s="3438"/>
      <c r="APQ10" s="3438"/>
      <c r="APR10" s="3438"/>
      <c r="APS10" s="3438"/>
      <c r="APT10" s="3438"/>
      <c r="APU10" s="3438"/>
      <c r="APV10" s="3438"/>
      <c r="APW10" s="3438"/>
      <c r="APX10" s="3438"/>
      <c r="APY10" s="3438"/>
      <c r="APZ10" s="3438"/>
      <c r="AQA10" s="3438"/>
      <c r="AQB10" s="3438"/>
      <c r="AQC10" s="3438"/>
      <c r="AQD10" s="3438"/>
      <c r="AQE10" s="3438"/>
      <c r="AQF10" s="3438"/>
      <c r="AQG10" s="3438"/>
      <c r="AQH10" s="3438"/>
      <c r="AQI10" s="3438"/>
      <c r="AQJ10" s="3438"/>
      <c r="AQK10" s="3438"/>
      <c r="AQL10" s="3438"/>
      <c r="AQM10" s="3438"/>
      <c r="AQN10" s="3438"/>
      <c r="AQO10" s="3438"/>
      <c r="AQP10" s="3438"/>
      <c r="AQQ10" s="3438"/>
      <c r="AQR10" s="3438"/>
      <c r="AQS10" s="3438"/>
      <c r="AQT10" s="3438"/>
      <c r="AQU10" s="3438"/>
      <c r="AQV10" s="3438"/>
      <c r="AQW10" s="3438"/>
      <c r="AQX10" s="3438"/>
      <c r="AQY10" s="3438"/>
      <c r="AQZ10" s="3438"/>
      <c r="ARA10" s="3438"/>
      <c r="ARB10" s="3438"/>
      <c r="ARC10" s="3438"/>
      <c r="ARD10" s="3438"/>
      <c r="ARE10" s="3438"/>
      <c r="ARF10" s="3438"/>
      <c r="ARG10" s="3438"/>
      <c r="ARH10" s="3438"/>
      <c r="ARI10" s="3438"/>
      <c r="ARJ10" s="3438"/>
      <c r="ARK10" s="3438"/>
      <c r="ARL10" s="3438"/>
      <c r="ARM10" s="3438"/>
      <c r="ARN10" s="3438"/>
      <c r="ARO10" s="3438"/>
      <c r="ARP10" s="3438"/>
      <c r="ARQ10" s="3438"/>
      <c r="ARR10" s="3438"/>
      <c r="ARS10" s="3438"/>
      <c r="ART10" s="3438"/>
      <c r="ARU10" s="3438"/>
      <c r="ARV10" s="3438"/>
      <c r="ARW10" s="3438"/>
      <c r="ARX10" s="3438"/>
      <c r="ARY10" s="3438"/>
      <c r="ARZ10" s="3438"/>
      <c r="ASA10" s="3438"/>
      <c r="ASB10" s="3438"/>
      <c r="ASC10" s="3438"/>
      <c r="ASD10" s="3438"/>
      <c r="ASE10" s="3438"/>
      <c r="ASF10" s="3438"/>
      <c r="ASG10" s="3438"/>
      <c r="ASH10" s="3438"/>
      <c r="ASI10" s="3438"/>
      <c r="ASJ10" s="3438"/>
      <c r="ASK10" s="3438"/>
      <c r="ASL10" s="3438"/>
      <c r="ASM10" s="3438"/>
      <c r="ASN10" s="3438"/>
      <c r="ASO10" s="3438"/>
      <c r="ASP10" s="3438"/>
      <c r="ASQ10" s="3438"/>
      <c r="ASR10" s="3438"/>
      <c r="ASS10" s="3438"/>
      <c r="AST10" s="3438"/>
      <c r="ASU10" s="3438"/>
      <c r="ASV10" s="3438"/>
      <c r="ASW10" s="3438"/>
      <c r="ASX10" s="3438"/>
      <c r="ASY10" s="3438"/>
      <c r="ASZ10" s="3438"/>
      <c r="ATA10" s="3438"/>
      <c r="ATB10" s="3438"/>
      <c r="ATC10" s="3438"/>
      <c r="ATD10" s="3438"/>
      <c r="ATE10" s="3438"/>
      <c r="ATF10" s="3438"/>
      <c r="ATG10" s="3438"/>
      <c r="ATH10" s="3438"/>
      <c r="ATI10" s="3438"/>
      <c r="ATJ10" s="3438"/>
      <c r="ATK10" s="3438"/>
      <c r="ATL10" s="3438"/>
      <c r="ATM10" s="3438"/>
      <c r="ATN10" s="3438"/>
      <c r="ATO10" s="3438"/>
      <c r="ATP10" s="3438"/>
      <c r="ATQ10" s="3438"/>
      <c r="ATR10" s="3438"/>
      <c r="ATS10" s="3438"/>
      <c r="ATT10" s="3438"/>
      <c r="ATU10" s="3438"/>
      <c r="ATV10" s="3438"/>
      <c r="ATW10" s="3438"/>
      <c r="ATX10" s="3438"/>
      <c r="ATY10" s="3438"/>
      <c r="ATZ10" s="3438"/>
      <c r="AUA10" s="3438"/>
      <c r="AUB10" s="3438"/>
      <c r="AUC10" s="3438"/>
      <c r="AUD10" s="3438"/>
      <c r="AUE10" s="3438"/>
      <c r="AUF10" s="3438"/>
      <c r="AUG10" s="3438"/>
      <c r="AUH10" s="3438"/>
      <c r="AUI10" s="3438"/>
      <c r="AUJ10" s="3438"/>
      <c r="AUK10" s="3438"/>
      <c r="AUL10" s="3438"/>
      <c r="AUM10" s="3438"/>
      <c r="AUN10" s="3438"/>
      <c r="AUO10" s="3438"/>
      <c r="AUP10" s="3438"/>
      <c r="AUQ10" s="3438"/>
      <c r="AUR10" s="3438"/>
      <c r="AUS10" s="3438"/>
      <c r="AUT10" s="3438"/>
      <c r="AUU10" s="3438"/>
      <c r="AUV10" s="3438"/>
      <c r="AUW10" s="3438"/>
      <c r="AUX10" s="3438"/>
      <c r="AUY10" s="3438"/>
      <c r="AUZ10" s="3438"/>
      <c r="AVA10" s="3438"/>
      <c r="AVB10" s="3438"/>
      <c r="AVC10" s="3438"/>
      <c r="AVD10" s="3438"/>
      <c r="AVE10" s="3438"/>
      <c r="AVF10" s="3438"/>
      <c r="AVG10" s="3438"/>
      <c r="AVH10" s="3438"/>
      <c r="AVI10" s="3438"/>
      <c r="AVJ10" s="3438"/>
      <c r="AVK10" s="3438"/>
      <c r="AVL10" s="3438"/>
      <c r="AVM10" s="3438"/>
      <c r="AVN10" s="3438"/>
      <c r="AVO10" s="3438"/>
      <c r="AVP10" s="3438"/>
      <c r="AVQ10" s="3438"/>
      <c r="AVR10" s="3438"/>
      <c r="AVS10" s="3438"/>
      <c r="AVT10" s="3438"/>
      <c r="AVU10" s="3438"/>
      <c r="AVV10" s="3438"/>
      <c r="AVW10" s="3438"/>
      <c r="AVX10" s="3438"/>
      <c r="AVY10" s="3438"/>
      <c r="AVZ10" s="3438"/>
      <c r="AWA10" s="3438"/>
      <c r="AWB10" s="3438"/>
      <c r="AWC10" s="3438"/>
      <c r="AWD10" s="3438"/>
      <c r="AWE10" s="3438"/>
      <c r="AWF10" s="3438"/>
      <c r="AWG10" s="3438"/>
      <c r="AWH10" s="3438"/>
      <c r="AWI10" s="3438"/>
      <c r="AWJ10" s="3438"/>
      <c r="AWK10" s="3438"/>
      <c r="AWL10" s="3438"/>
      <c r="AWM10" s="3438"/>
      <c r="AWN10" s="3438"/>
      <c r="AWO10" s="3438"/>
      <c r="AWP10" s="3438"/>
      <c r="AWQ10" s="3438"/>
      <c r="AWR10" s="3438"/>
      <c r="AWS10" s="3438"/>
      <c r="AWT10" s="3438"/>
      <c r="AWU10" s="3438"/>
      <c r="AWV10" s="3438"/>
      <c r="AWW10" s="3438"/>
      <c r="AWX10" s="3438"/>
      <c r="AWY10" s="3438"/>
      <c r="AWZ10" s="3438"/>
      <c r="AXA10" s="3438"/>
      <c r="AXB10" s="3438"/>
      <c r="AXC10" s="3438"/>
      <c r="AXD10" s="3438"/>
      <c r="AXE10" s="3438"/>
      <c r="AXF10" s="3438"/>
      <c r="AXG10" s="3438"/>
      <c r="AXH10" s="3438"/>
      <c r="AXI10" s="3438"/>
      <c r="AXJ10" s="3438"/>
      <c r="AXK10" s="3438"/>
      <c r="AXL10" s="3438"/>
      <c r="AXM10" s="3438"/>
      <c r="AXN10" s="3438"/>
      <c r="AXO10" s="3438"/>
      <c r="AXP10" s="3438"/>
      <c r="AXQ10" s="3438"/>
      <c r="AXR10" s="3438"/>
      <c r="AXS10" s="3438"/>
      <c r="AXT10" s="3438"/>
      <c r="AXU10" s="3438"/>
      <c r="AXV10" s="3438"/>
      <c r="AXW10" s="3438"/>
      <c r="AXX10" s="3438"/>
      <c r="AXY10" s="3438"/>
      <c r="AXZ10" s="3438"/>
      <c r="AYA10" s="3438"/>
      <c r="AYB10" s="3438"/>
      <c r="AYC10" s="3438"/>
      <c r="AYD10" s="3438"/>
      <c r="AYE10" s="3438"/>
      <c r="AYF10" s="3438"/>
      <c r="AYG10" s="3438"/>
      <c r="AYH10" s="3438"/>
      <c r="AYI10" s="3438"/>
      <c r="AYJ10" s="3438"/>
      <c r="AYK10" s="3438"/>
      <c r="AYL10" s="3438"/>
      <c r="AYM10" s="3438"/>
      <c r="AYN10" s="3438"/>
      <c r="AYO10" s="3438"/>
      <c r="AYP10" s="3438"/>
      <c r="AYQ10" s="3438"/>
      <c r="AYR10" s="3438"/>
      <c r="AYS10" s="3438"/>
      <c r="AYT10" s="3438"/>
      <c r="AYU10" s="3438"/>
      <c r="AYV10" s="3438"/>
      <c r="AYW10" s="3438"/>
      <c r="AYX10" s="3438"/>
      <c r="AYY10" s="3438"/>
      <c r="AYZ10" s="3438"/>
      <c r="AZA10" s="3438"/>
      <c r="AZB10" s="3438"/>
      <c r="AZC10" s="3438"/>
      <c r="AZD10" s="3438"/>
      <c r="AZE10" s="3438"/>
      <c r="AZF10" s="3438"/>
      <c r="AZG10" s="3438"/>
      <c r="AZH10" s="3438"/>
      <c r="AZI10" s="3438"/>
      <c r="AZJ10" s="3438"/>
      <c r="AZK10" s="3438"/>
      <c r="AZL10" s="3438"/>
      <c r="AZM10" s="3438"/>
      <c r="AZN10" s="3438"/>
      <c r="AZO10" s="3438"/>
      <c r="AZP10" s="3438"/>
      <c r="AZQ10" s="3438"/>
      <c r="AZR10" s="3438"/>
      <c r="AZS10" s="3438"/>
      <c r="AZT10" s="3438"/>
      <c r="AZU10" s="3438"/>
      <c r="AZV10" s="3438"/>
      <c r="AZW10" s="3438"/>
      <c r="AZX10" s="3438"/>
      <c r="AZY10" s="3438"/>
      <c r="AZZ10" s="3438"/>
      <c r="BAA10" s="3438"/>
      <c r="BAB10" s="3438"/>
      <c r="BAC10" s="3438"/>
      <c r="BAD10" s="3438"/>
      <c r="BAE10" s="3438"/>
      <c r="BAF10" s="3438"/>
      <c r="BAG10" s="3438"/>
      <c r="BAH10" s="3438"/>
      <c r="BAI10" s="3438"/>
      <c r="BAJ10" s="3438"/>
      <c r="BAK10" s="3438"/>
      <c r="BAL10" s="3438"/>
      <c r="BAM10" s="3438"/>
      <c r="BAN10" s="3438"/>
      <c r="BAO10" s="3438"/>
      <c r="BAP10" s="3438"/>
      <c r="BAQ10" s="3438"/>
      <c r="BAR10" s="3438"/>
      <c r="BAS10" s="3438"/>
      <c r="BAT10" s="3438"/>
      <c r="BAU10" s="3438"/>
      <c r="BAV10" s="3438"/>
      <c r="BAW10" s="3438"/>
      <c r="BAX10" s="3438"/>
      <c r="BAY10" s="3438"/>
      <c r="BAZ10" s="3438"/>
      <c r="BBA10" s="3438"/>
      <c r="BBB10" s="3438"/>
      <c r="BBC10" s="3438"/>
      <c r="BBD10" s="3438"/>
      <c r="BBE10" s="3438"/>
      <c r="BBF10" s="3438"/>
      <c r="BBG10" s="3438"/>
      <c r="BBH10" s="3438"/>
      <c r="BBI10" s="3438"/>
      <c r="BBJ10" s="3438"/>
      <c r="BBK10" s="3438"/>
      <c r="BBL10" s="3438"/>
      <c r="BBM10" s="3438"/>
      <c r="BBN10" s="3438"/>
      <c r="BBO10" s="3438"/>
      <c r="BBP10" s="3438"/>
      <c r="BBQ10" s="3438"/>
      <c r="BBR10" s="3438"/>
      <c r="BBS10" s="3438"/>
      <c r="BBT10" s="3438"/>
      <c r="BBU10" s="3438"/>
      <c r="BBV10" s="3438"/>
      <c r="BBW10" s="3438"/>
      <c r="BBX10" s="3438"/>
      <c r="BBY10" s="3438"/>
      <c r="BBZ10" s="3438"/>
      <c r="BCA10" s="3438"/>
      <c r="BCB10" s="3438"/>
      <c r="BCC10" s="3438"/>
      <c r="BCD10" s="3438"/>
      <c r="BCE10" s="3438"/>
      <c r="BCF10" s="3438"/>
      <c r="BCG10" s="3438"/>
      <c r="BCH10" s="3438"/>
      <c r="BCI10" s="3438"/>
      <c r="BCJ10" s="3438"/>
      <c r="BCK10" s="3438"/>
      <c r="BCL10" s="3438"/>
      <c r="BCM10" s="3438"/>
      <c r="BCN10" s="3438"/>
      <c r="BCO10" s="3438"/>
      <c r="BCP10" s="3438"/>
      <c r="BCQ10" s="3438"/>
      <c r="BCR10" s="3438"/>
      <c r="BCS10" s="3438"/>
      <c r="BCT10" s="3438"/>
      <c r="BCU10" s="3438"/>
      <c r="BCV10" s="3438"/>
      <c r="BCW10" s="3438"/>
      <c r="BCX10" s="3438"/>
      <c r="BCY10" s="3438"/>
      <c r="BCZ10" s="3438"/>
      <c r="BDA10" s="3438"/>
      <c r="BDB10" s="3438"/>
      <c r="BDC10" s="3438"/>
      <c r="BDD10" s="3438"/>
      <c r="BDE10" s="3438"/>
      <c r="BDF10" s="3438"/>
      <c r="BDG10" s="3438"/>
      <c r="BDH10" s="3438"/>
      <c r="BDI10" s="3438"/>
      <c r="BDJ10" s="3438"/>
      <c r="BDK10" s="3438"/>
      <c r="BDL10" s="3438"/>
      <c r="BDM10" s="3438"/>
      <c r="BDN10" s="3438"/>
      <c r="BDO10" s="3438"/>
      <c r="BDP10" s="3438"/>
      <c r="BDQ10" s="3438"/>
      <c r="BDR10" s="3438"/>
      <c r="BDS10" s="3438"/>
      <c r="BDT10" s="3438"/>
      <c r="BDU10" s="3438"/>
      <c r="BDV10" s="3438"/>
      <c r="BDW10" s="3438"/>
      <c r="BDX10" s="3438"/>
      <c r="BDY10" s="3438"/>
      <c r="BDZ10" s="3438"/>
      <c r="BEA10" s="3438"/>
      <c r="BEB10" s="3438"/>
      <c r="BEC10" s="3438"/>
      <c r="BED10" s="3438"/>
      <c r="BEE10" s="3438"/>
      <c r="BEF10" s="3438"/>
      <c r="BEG10" s="3438"/>
      <c r="BEH10" s="3438"/>
      <c r="BEI10" s="3438"/>
      <c r="BEJ10" s="3438"/>
      <c r="BEK10" s="3438"/>
      <c r="BEL10" s="3438"/>
      <c r="BEM10" s="3438"/>
      <c r="BEN10" s="3438"/>
      <c r="BEO10" s="3438"/>
      <c r="BEP10" s="3438"/>
      <c r="BEQ10" s="3438"/>
      <c r="BER10" s="3438"/>
      <c r="BES10" s="3438"/>
      <c r="BET10" s="3438"/>
      <c r="BEU10" s="3438"/>
      <c r="BEV10" s="3438"/>
      <c r="BEW10" s="3438"/>
      <c r="BEX10" s="3438"/>
      <c r="BEY10" s="3438"/>
      <c r="BEZ10" s="3438"/>
      <c r="BFA10" s="3438"/>
      <c r="BFB10" s="3438"/>
      <c r="BFC10" s="3438"/>
      <c r="BFD10" s="3438"/>
      <c r="BFE10" s="3438"/>
      <c r="BFF10" s="3438"/>
      <c r="BFG10" s="3438"/>
      <c r="BFH10" s="3438"/>
      <c r="BFI10" s="3438"/>
      <c r="BFJ10" s="3438"/>
      <c r="BFK10" s="3438"/>
      <c r="BFL10" s="3438"/>
      <c r="BFM10" s="3438"/>
      <c r="BFN10" s="3438"/>
      <c r="BFO10" s="3438"/>
      <c r="BFP10" s="3438"/>
      <c r="BFQ10" s="3438"/>
      <c r="BFR10" s="3438"/>
      <c r="BFS10" s="3438"/>
      <c r="BFT10" s="3438"/>
      <c r="BFU10" s="3438"/>
      <c r="BFV10" s="3438"/>
      <c r="BFW10" s="3438"/>
      <c r="BFX10" s="3438"/>
      <c r="BFY10" s="3438"/>
      <c r="BFZ10" s="3438"/>
      <c r="BGA10" s="3438"/>
      <c r="BGB10" s="3438"/>
      <c r="BGC10" s="3438"/>
      <c r="BGD10" s="3438"/>
      <c r="BGE10" s="3438"/>
      <c r="BGF10" s="3438"/>
      <c r="BGG10" s="3438"/>
      <c r="BGH10" s="3438"/>
      <c r="BGI10" s="3438"/>
      <c r="BGJ10" s="3438"/>
      <c r="BGK10" s="3438"/>
      <c r="BGL10" s="3438"/>
      <c r="BGM10" s="3438"/>
      <c r="BGN10" s="3438"/>
      <c r="BGO10" s="3438"/>
      <c r="BGP10" s="3438"/>
      <c r="BGQ10" s="3438"/>
      <c r="BGR10" s="3438"/>
      <c r="BGS10" s="3438"/>
      <c r="BGT10" s="3438"/>
      <c r="BGU10" s="3438"/>
      <c r="BGV10" s="3438"/>
      <c r="BGW10" s="3438"/>
      <c r="BGX10" s="3438"/>
      <c r="BGY10" s="3438"/>
      <c r="BGZ10" s="3438"/>
      <c r="BHA10" s="3438"/>
      <c r="BHB10" s="3438"/>
      <c r="BHC10" s="3438"/>
      <c r="BHD10" s="3438"/>
      <c r="BHE10" s="3438"/>
      <c r="BHF10" s="3438"/>
      <c r="BHG10" s="3438"/>
      <c r="BHH10" s="3438"/>
      <c r="BHI10" s="3438"/>
      <c r="BHJ10" s="3438"/>
      <c r="BHK10" s="3438"/>
      <c r="BHL10" s="3438"/>
      <c r="BHM10" s="3438"/>
      <c r="BHN10" s="3438"/>
      <c r="BHO10" s="3438"/>
      <c r="BHP10" s="3438"/>
      <c r="BHQ10" s="3438"/>
      <c r="BHR10" s="3438"/>
      <c r="BHS10" s="3438"/>
      <c r="BHT10" s="3438"/>
      <c r="BHU10" s="3438"/>
      <c r="BHV10" s="3438"/>
      <c r="BHW10" s="3438"/>
      <c r="BHX10" s="3438"/>
      <c r="BHY10" s="3438"/>
      <c r="BHZ10" s="3438"/>
      <c r="BIA10" s="3438"/>
      <c r="BIB10" s="3438"/>
      <c r="BIC10" s="3438"/>
      <c r="BID10" s="3438"/>
      <c r="BIE10" s="3438"/>
      <c r="BIF10" s="3438"/>
      <c r="BIG10" s="3438"/>
      <c r="BIH10" s="3438"/>
      <c r="BII10" s="3438"/>
      <c r="BIJ10" s="3438"/>
      <c r="BIK10" s="3438"/>
      <c r="BIL10" s="3438"/>
      <c r="BIM10" s="3438"/>
      <c r="BIN10" s="3438"/>
      <c r="BIO10" s="3438"/>
      <c r="BIP10" s="3438"/>
      <c r="BIQ10" s="3438"/>
      <c r="BIR10" s="3438"/>
      <c r="BIS10" s="3438"/>
      <c r="BIT10" s="3438"/>
      <c r="BIU10" s="3438"/>
      <c r="BIV10" s="3438"/>
      <c r="BIW10" s="3438"/>
      <c r="BIX10" s="3438"/>
      <c r="BIY10" s="3438"/>
      <c r="BIZ10" s="3438"/>
      <c r="BJA10" s="3438"/>
      <c r="BJB10" s="3438"/>
      <c r="BJC10" s="3438"/>
      <c r="BJD10" s="3438"/>
      <c r="BJE10" s="3438"/>
      <c r="BJF10" s="3438"/>
      <c r="BJG10" s="3438"/>
      <c r="BJH10" s="3438"/>
      <c r="BJI10" s="3438"/>
      <c r="BJJ10" s="3438"/>
      <c r="BJK10" s="3438"/>
      <c r="BJL10" s="3438"/>
      <c r="BJM10" s="3438"/>
      <c r="BJN10" s="3438"/>
      <c r="BJO10" s="3438"/>
      <c r="BJP10" s="3438"/>
      <c r="BJQ10" s="3438"/>
      <c r="BJR10" s="3438"/>
      <c r="BJS10" s="3438"/>
      <c r="BJT10" s="3438"/>
      <c r="BJU10" s="3438"/>
      <c r="BJV10" s="3438"/>
      <c r="BJW10" s="3438"/>
      <c r="BJX10" s="3438"/>
      <c r="BJY10" s="3438"/>
      <c r="BJZ10" s="3438"/>
      <c r="BKA10" s="3438"/>
      <c r="BKB10" s="3438"/>
      <c r="BKC10" s="3438"/>
      <c r="BKD10" s="3438"/>
      <c r="BKE10" s="3438"/>
      <c r="BKF10" s="3438"/>
      <c r="BKG10" s="3438"/>
      <c r="BKH10" s="3438"/>
      <c r="BKI10" s="3438"/>
      <c r="BKJ10" s="3438"/>
      <c r="BKK10" s="3438"/>
      <c r="BKL10" s="3438"/>
      <c r="BKM10" s="3438"/>
      <c r="BKN10" s="3438"/>
      <c r="BKO10" s="3438"/>
      <c r="BKP10" s="3438"/>
      <c r="BKQ10" s="3438"/>
      <c r="BKR10" s="3438"/>
      <c r="BKS10" s="3438"/>
      <c r="BKT10" s="3438"/>
      <c r="BKU10" s="3438"/>
      <c r="BKV10" s="3438"/>
      <c r="BKW10" s="3438"/>
      <c r="BKX10" s="3438"/>
      <c r="BKY10" s="3438"/>
      <c r="BKZ10" s="3438"/>
      <c r="BLA10" s="3438"/>
      <c r="BLB10" s="3438"/>
      <c r="BLC10" s="3438"/>
      <c r="BLD10" s="3438"/>
      <c r="BLE10" s="3438"/>
      <c r="BLF10" s="3438"/>
      <c r="BLG10" s="3438"/>
      <c r="BLH10" s="3438"/>
      <c r="BLI10" s="3438"/>
      <c r="BLJ10" s="3438"/>
      <c r="BLK10" s="3438"/>
      <c r="BLL10" s="3438"/>
      <c r="BLM10" s="3438"/>
      <c r="BLN10" s="3438"/>
      <c r="BLO10" s="3438"/>
      <c r="BLP10" s="3438"/>
      <c r="BLQ10" s="3438"/>
      <c r="BLR10" s="3438"/>
      <c r="BLS10" s="3438"/>
      <c r="BLT10" s="3438"/>
      <c r="BLU10" s="3438"/>
      <c r="BLV10" s="3438"/>
      <c r="BLW10" s="3438"/>
      <c r="BLX10" s="3438"/>
      <c r="BLY10" s="3438"/>
      <c r="BLZ10" s="3438"/>
      <c r="BMA10" s="3438"/>
      <c r="BMB10" s="3438"/>
      <c r="BMC10" s="3438"/>
      <c r="BMD10" s="3438"/>
      <c r="BME10" s="3438"/>
      <c r="BMF10" s="3438"/>
      <c r="BMG10" s="3438"/>
      <c r="BMH10" s="3438"/>
      <c r="BMI10" s="3438"/>
      <c r="BMJ10" s="3438"/>
      <c r="BMK10" s="3438"/>
      <c r="BML10" s="3438"/>
      <c r="BMM10" s="3438"/>
      <c r="BMN10" s="3438"/>
      <c r="BMO10" s="3438"/>
      <c r="BMP10" s="3438"/>
      <c r="BMQ10" s="3438"/>
      <c r="BMR10" s="3438"/>
      <c r="BMS10" s="3438"/>
      <c r="BMT10" s="3438"/>
      <c r="BMU10" s="3438"/>
      <c r="BMV10" s="3438"/>
      <c r="BMW10" s="3438"/>
      <c r="BMX10" s="3438"/>
      <c r="BMY10" s="3438"/>
      <c r="BMZ10" s="3438"/>
      <c r="BNA10" s="3438"/>
      <c r="BNB10" s="3438"/>
      <c r="BNC10" s="3438"/>
      <c r="BND10" s="3438"/>
      <c r="BNE10" s="3438"/>
      <c r="BNF10" s="3438"/>
      <c r="BNG10" s="3438"/>
      <c r="BNH10" s="3438"/>
      <c r="BNI10" s="3438"/>
      <c r="BNJ10" s="3438"/>
      <c r="BNK10" s="3438"/>
      <c r="BNL10" s="3438"/>
      <c r="BNM10" s="3438"/>
      <c r="BNN10" s="3438"/>
      <c r="BNO10" s="3438"/>
      <c r="BNP10" s="3438"/>
      <c r="BNQ10" s="3438"/>
      <c r="BNR10" s="3438"/>
      <c r="BNS10" s="3438"/>
      <c r="BNT10" s="3438"/>
      <c r="BNU10" s="3438"/>
      <c r="BNV10" s="3438"/>
      <c r="BNW10" s="3438"/>
      <c r="BNX10" s="3438"/>
      <c r="BNY10" s="3438"/>
      <c r="BNZ10" s="3438"/>
      <c r="BOA10" s="3438"/>
      <c r="BOB10" s="3438"/>
      <c r="BOC10" s="3438"/>
      <c r="BOD10" s="3438"/>
      <c r="BOE10" s="3438"/>
      <c r="BOF10" s="3438"/>
      <c r="BOG10" s="3438"/>
      <c r="BOH10" s="3438"/>
      <c r="BOI10" s="3438"/>
      <c r="BOJ10" s="3438"/>
      <c r="BOK10" s="3438"/>
      <c r="BOL10" s="3438"/>
      <c r="BOM10" s="3438"/>
      <c r="BON10" s="3438"/>
      <c r="BOO10" s="3438"/>
      <c r="BOP10" s="3438"/>
      <c r="BOQ10" s="3438"/>
      <c r="BOR10" s="3438"/>
      <c r="BOS10" s="3438"/>
      <c r="BOT10" s="3438"/>
      <c r="BOU10" s="3438"/>
      <c r="BOV10" s="3438"/>
      <c r="BOW10" s="3438"/>
      <c r="BOX10" s="3438"/>
      <c r="BOY10" s="3438"/>
      <c r="BOZ10" s="3438"/>
      <c r="BPA10" s="3438"/>
      <c r="BPB10" s="3438"/>
      <c r="BPC10" s="3438"/>
      <c r="BPD10" s="3438"/>
      <c r="BPE10" s="3438"/>
      <c r="BPF10" s="3438"/>
      <c r="BPG10" s="3438"/>
      <c r="BPH10" s="3438"/>
      <c r="BPI10" s="3438"/>
      <c r="BPJ10" s="3438"/>
      <c r="BPK10" s="3438"/>
      <c r="BPL10" s="3438"/>
      <c r="BPM10" s="3438"/>
      <c r="BPN10" s="3438"/>
      <c r="BPO10" s="3438"/>
      <c r="BPP10" s="3438"/>
      <c r="BPQ10" s="3438"/>
      <c r="BPR10" s="3438"/>
      <c r="BPS10" s="3438"/>
      <c r="BPT10" s="3438"/>
      <c r="BPU10" s="3438"/>
      <c r="BPV10" s="3438"/>
      <c r="BPW10" s="3438"/>
      <c r="BPX10" s="3438"/>
      <c r="BPY10" s="3438"/>
      <c r="BPZ10" s="3438"/>
      <c r="BQA10" s="3438"/>
      <c r="BQB10" s="3438"/>
      <c r="BQC10" s="3438"/>
      <c r="BQD10" s="3438"/>
      <c r="BQE10" s="3438"/>
      <c r="BQF10" s="3438"/>
      <c r="BQG10" s="3438"/>
      <c r="BQH10" s="3438"/>
      <c r="BQI10" s="3438"/>
      <c r="BQJ10" s="3438"/>
      <c r="BQK10" s="3438"/>
      <c r="BQL10" s="3438"/>
      <c r="BQM10" s="3438"/>
      <c r="BQN10" s="3438"/>
      <c r="BQO10" s="3438"/>
      <c r="BQP10" s="3438"/>
      <c r="BQQ10" s="3438"/>
      <c r="BQR10" s="3438"/>
      <c r="BQS10" s="3438"/>
      <c r="BQT10" s="3438"/>
      <c r="BQU10" s="3438"/>
      <c r="BQV10" s="3438"/>
      <c r="BQW10" s="3438"/>
      <c r="BQX10" s="3438"/>
      <c r="BQY10" s="3438"/>
      <c r="BQZ10" s="3438"/>
      <c r="BRA10" s="3438"/>
      <c r="BRB10" s="3438"/>
      <c r="BRC10" s="3438"/>
      <c r="BRD10" s="3438"/>
      <c r="BRE10" s="3438"/>
      <c r="BRF10" s="3438"/>
      <c r="BRG10" s="3438"/>
      <c r="BRH10" s="3438"/>
      <c r="BRI10" s="3438"/>
      <c r="BRJ10" s="3438"/>
      <c r="BRK10" s="3438"/>
      <c r="BRL10" s="3438"/>
      <c r="BRM10" s="3438"/>
      <c r="BRN10" s="3438"/>
      <c r="BRO10" s="3438"/>
      <c r="BRP10" s="3438"/>
      <c r="BRQ10" s="3438"/>
      <c r="BRR10" s="3438"/>
      <c r="BRS10" s="3438"/>
      <c r="BRT10" s="3438"/>
      <c r="BRU10" s="3438"/>
      <c r="BRV10" s="3438"/>
      <c r="BRW10" s="3438"/>
      <c r="BRX10" s="3438"/>
      <c r="BRY10" s="3438"/>
      <c r="BRZ10" s="3438"/>
      <c r="BSA10" s="3438"/>
      <c r="BSB10" s="3438"/>
      <c r="BSC10" s="3438"/>
      <c r="BSD10" s="3438"/>
      <c r="BSE10" s="3438"/>
      <c r="BSF10" s="3438"/>
      <c r="BSG10" s="3438"/>
      <c r="BSH10" s="3438"/>
      <c r="BSI10" s="3438"/>
      <c r="BSJ10" s="3438"/>
      <c r="BSK10" s="3438"/>
      <c r="BSL10" s="3438"/>
      <c r="BSM10" s="3438"/>
      <c r="BSN10" s="3438"/>
      <c r="BSO10" s="3438"/>
      <c r="BSP10" s="3438"/>
      <c r="BSQ10" s="3438"/>
      <c r="BSR10" s="3438"/>
      <c r="BSS10" s="3438"/>
      <c r="BST10" s="3438"/>
      <c r="BSU10" s="3438"/>
      <c r="BSV10" s="3438"/>
      <c r="BSW10" s="3438"/>
      <c r="BSX10" s="3438"/>
      <c r="BSY10" s="3438"/>
      <c r="BSZ10" s="3438"/>
      <c r="BTA10" s="3438"/>
      <c r="BTB10" s="3438"/>
      <c r="BTC10" s="3438"/>
      <c r="BTD10" s="3438"/>
      <c r="BTE10" s="3438"/>
      <c r="BTF10" s="3438"/>
      <c r="BTG10" s="3438"/>
      <c r="BTH10" s="3438"/>
      <c r="BTI10" s="3438"/>
      <c r="BTJ10" s="3438"/>
      <c r="BTK10" s="3438"/>
      <c r="BTL10" s="3438"/>
      <c r="BTM10" s="3438"/>
      <c r="BTN10" s="3438"/>
      <c r="BTO10" s="3438"/>
      <c r="BTP10" s="3438"/>
      <c r="BTQ10" s="3438"/>
      <c r="BTR10" s="3438"/>
      <c r="BTS10" s="3438"/>
      <c r="BTT10" s="3438"/>
      <c r="BTU10" s="3438"/>
      <c r="BTV10" s="3438"/>
      <c r="BTW10" s="3438"/>
      <c r="BTX10" s="3438"/>
      <c r="BTY10" s="3438"/>
      <c r="BTZ10" s="3438"/>
      <c r="BUA10" s="3438"/>
      <c r="BUB10" s="3438"/>
      <c r="BUC10" s="3438"/>
      <c r="BUD10" s="3438"/>
      <c r="BUE10" s="3438"/>
      <c r="BUF10" s="3438"/>
      <c r="BUG10" s="3438"/>
      <c r="BUH10" s="3438"/>
      <c r="BUI10" s="3438"/>
      <c r="BUJ10" s="3438"/>
      <c r="BUK10" s="3438"/>
      <c r="BUL10" s="3438"/>
      <c r="BUM10" s="3438"/>
      <c r="BUN10" s="3438"/>
      <c r="BUO10" s="3438"/>
      <c r="BUP10" s="3438"/>
      <c r="BUQ10" s="3438"/>
      <c r="BUR10" s="3438"/>
      <c r="BUS10" s="3438"/>
      <c r="BUT10" s="3438"/>
      <c r="BUU10" s="3438"/>
      <c r="BUV10" s="3438"/>
      <c r="BUW10" s="3438"/>
      <c r="BUX10" s="3438"/>
      <c r="BUY10" s="3438"/>
      <c r="BUZ10" s="3438"/>
      <c r="BVA10" s="3438"/>
      <c r="BVB10" s="3438"/>
      <c r="BVC10" s="3438"/>
      <c r="BVD10" s="3438"/>
      <c r="BVE10" s="3438"/>
      <c r="BVF10" s="3438"/>
      <c r="BVG10" s="3438"/>
      <c r="BVH10" s="3438"/>
      <c r="BVI10" s="3438"/>
      <c r="BVJ10" s="3438"/>
      <c r="BVK10" s="3438"/>
      <c r="BVL10" s="3438"/>
      <c r="BVM10" s="3438"/>
      <c r="BVN10" s="3438"/>
      <c r="BVO10" s="3438"/>
      <c r="BVP10" s="3438"/>
      <c r="BVQ10" s="3438"/>
      <c r="BVR10" s="3438"/>
      <c r="BVS10" s="3438"/>
      <c r="BVT10" s="3438"/>
      <c r="BVU10" s="3438"/>
      <c r="BVV10" s="3438"/>
      <c r="BVW10" s="3438"/>
      <c r="BVX10" s="3438"/>
      <c r="BVY10" s="3438"/>
      <c r="BVZ10" s="3438"/>
      <c r="BWA10" s="3438"/>
      <c r="BWB10" s="3438"/>
      <c r="BWC10" s="3438"/>
      <c r="BWD10" s="3438"/>
      <c r="BWE10" s="3438"/>
      <c r="BWF10" s="3438"/>
      <c r="BWG10" s="3438"/>
      <c r="BWH10" s="3438"/>
      <c r="BWI10" s="3438"/>
      <c r="BWJ10" s="3438"/>
      <c r="BWK10" s="3438"/>
      <c r="BWL10" s="3438"/>
      <c r="BWM10" s="3438"/>
      <c r="BWN10" s="3438"/>
      <c r="BWO10" s="3438"/>
      <c r="BWP10" s="3438"/>
      <c r="BWQ10" s="3438"/>
      <c r="BWR10" s="3438"/>
      <c r="BWS10" s="3438"/>
      <c r="BWT10" s="3438"/>
      <c r="BWU10" s="3438"/>
      <c r="BWV10" s="3438"/>
      <c r="BWW10" s="3438"/>
      <c r="BWX10" s="3438"/>
      <c r="BWY10" s="3438"/>
      <c r="BWZ10" s="3438"/>
      <c r="BXA10" s="3438"/>
      <c r="BXB10" s="3438"/>
      <c r="BXC10" s="3438"/>
      <c r="BXD10" s="3438"/>
      <c r="BXE10" s="3438"/>
      <c r="BXF10" s="3438"/>
      <c r="BXG10" s="3438"/>
      <c r="BXH10" s="3438"/>
      <c r="BXI10" s="3438"/>
      <c r="BXJ10" s="3438"/>
      <c r="BXK10" s="3438"/>
      <c r="BXL10" s="3438"/>
      <c r="BXM10" s="3438"/>
      <c r="BXN10" s="3438"/>
      <c r="BXO10" s="3438"/>
      <c r="BXP10" s="3438"/>
      <c r="BXQ10" s="3438"/>
      <c r="BXR10" s="3438"/>
      <c r="BXS10" s="3438"/>
      <c r="BXT10" s="3438"/>
      <c r="BXU10" s="3438"/>
      <c r="BXV10" s="3438"/>
      <c r="BXW10" s="3438"/>
      <c r="BXX10" s="3438"/>
      <c r="BXY10" s="3438"/>
      <c r="BXZ10" s="3438"/>
      <c r="BYA10" s="3438"/>
      <c r="BYB10" s="3438"/>
      <c r="BYC10" s="3438"/>
      <c r="BYD10" s="3438"/>
      <c r="BYE10" s="3438"/>
      <c r="BYF10" s="3438"/>
      <c r="BYG10" s="3438"/>
      <c r="BYH10" s="3438"/>
      <c r="BYI10" s="3438"/>
      <c r="BYJ10" s="3438"/>
      <c r="BYK10" s="3438"/>
      <c r="BYL10" s="3438"/>
      <c r="BYM10" s="3438"/>
      <c r="BYN10" s="3438"/>
      <c r="BYO10" s="3438"/>
      <c r="BYP10" s="3438"/>
      <c r="BYQ10" s="3438"/>
      <c r="BYR10" s="3438"/>
      <c r="BYS10" s="3438"/>
      <c r="BYT10" s="3438"/>
      <c r="BYU10" s="3438"/>
      <c r="BYV10" s="3438"/>
      <c r="BYW10" s="3438"/>
      <c r="BYX10" s="3438"/>
      <c r="BYY10" s="3438"/>
      <c r="BYZ10" s="3438"/>
      <c r="BZA10" s="3438"/>
      <c r="BZB10" s="3438"/>
      <c r="BZC10" s="3438"/>
      <c r="BZD10" s="3438"/>
      <c r="BZE10" s="3438"/>
      <c r="BZF10" s="3438"/>
      <c r="BZG10" s="3438"/>
      <c r="BZH10" s="3438"/>
      <c r="BZI10" s="3438"/>
      <c r="BZJ10" s="3438"/>
      <c r="BZK10" s="3438"/>
      <c r="BZL10" s="3438"/>
      <c r="BZM10" s="3438"/>
      <c r="BZN10" s="3438"/>
      <c r="BZO10" s="3438"/>
      <c r="BZP10" s="3438"/>
      <c r="BZQ10" s="3438"/>
      <c r="BZR10" s="3438"/>
      <c r="BZS10" s="3438"/>
      <c r="BZT10" s="3438"/>
      <c r="BZU10" s="3438"/>
      <c r="BZV10" s="3438"/>
      <c r="BZW10" s="3438"/>
      <c r="BZX10" s="3438"/>
      <c r="BZY10" s="3438"/>
      <c r="BZZ10" s="3438"/>
      <c r="CAA10" s="3438"/>
      <c r="CAB10" s="3438"/>
      <c r="CAC10" s="3438"/>
      <c r="CAD10" s="3438"/>
      <c r="CAE10" s="3438"/>
      <c r="CAF10" s="3438"/>
      <c r="CAG10" s="3438"/>
      <c r="CAH10" s="3438"/>
      <c r="CAI10" s="3438"/>
      <c r="CAJ10" s="3438"/>
      <c r="CAK10" s="3438"/>
      <c r="CAL10" s="3438"/>
      <c r="CAM10" s="3438"/>
      <c r="CAN10" s="3438"/>
      <c r="CAO10" s="3438"/>
      <c r="CAP10" s="3438"/>
      <c r="CAQ10" s="3438"/>
      <c r="CAR10" s="3438"/>
      <c r="CAS10" s="3438"/>
      <c r="CAT10" s="3438"/>
      <c r="CAU10" s="3438"/>
      <c r="CAV10" s="3438"/>
      <c r="CAW10" s="3438"/>
      <c r="CAX10" s="3438"/>
      <c r="CAY10" s="3438"/>
      <c r="CAZ10" s="3438"/>
      <c r="CBA10" s="3438"/>
      <c r="CBB10" s="3438"/>
      <c r="CBC10" s="3438"/>
      <c r="CBD10" s="3438"/>
      <c r="CBE10" s="3438"/>
      <c r="CBF10" s="3438"/>
      <c r="CBG10" s="3438"/>
      <c r="CBH10" s="3438"/>
      <c r="CBI10" s="3438"/>
      <c r="CBJ10" s="3438"/>
      <c r="CBK10" s="3438"/>
      <c r="CBL10" s="3438"/>
      <c r="CBM10" s="3438"/>
      <c r="CBN10" s="3438"/>
      <c r="CBO10" s="3438"/>
      <c r="CBP10" s="3438"/>
      <c r="CBQ10" s="3438"/>
      <c r="CBR10" s="3438"/>
      <c r="CBS10" s="3438"/>
      <c r="CBT10" s="3438"/>
      <c r="CBU10" s="3438"/>
      <c r="CBV10" s="3438"/>
      <c r="CBW10" s="3438"/>
      <c r="CBX10" s="3438"/>
      <c r="CBY10" s="3438"/>
      <c r="CBZ10" s="3438"/>
      <c r="CCA10" s="3438"/>
      <c r="CCB10" s="3438"/>
      <c r="CCC10" s="3438"/>
      <c r="CCD10" s="3438"/>
      <c r="CCE10" s="3438"/>
      <c r="CCF10" s="3438"/>
      <c r="CCG10" s="3438"/>
      <c r="CCH10" s="3438"/>
      <c r="CCI10" s="3438"/>
      <c r="CCJ10" s="3438"/>
      <c r="CCK10" s="3438"/>
      <c r="CCL10" s="3438"/>
      <c r="CCM10" s="3438"/>
      <c r="CCN10" s="3438"/>
      <c r="CCO10" s="3438"/>
      <c r="CCP10" s="3438"/>
      <c r="CCQ10" s="3438"/>
      <c r="CCR10" s="3438"/>
      <c r="CCS10" s="3438"/>
      <c r="CCT10" s="3438"/>
      <c r="CCU10" s="3438"/>
      <c r="CCV10" s="3438"/>
      <c r="CCW10" s="3438"/>
      <c r="CCX10" s="3438"/>
      <c r="CCY10" s="3438"/>
      <c r="CCZ10" s="3438"/>
      <c r="CDA10" s="3438"/>
      <c r="CDB10" s="3438"/>
      <c r="CDC10" s="3438"/>
      <c r="CDD10" s="3438"/>
      <c r="CDE10" s="3438"/>
      <c r="CDF10" s="3438"/>
      <c r="CDG10" s="3438"/>
      <c r="CDH10" s="3438"/>
      <c r="CDI10" s="3438"/>
      <c r="CDJ10" s="3438"/>
      <c r="CDK10" s="3438"/>
      <c r="CDL10" s="3438"/>
      <c r="CDM10" s="3438"/>
      <c r="CDN10" s="3438"/>
      <c r="CDO10" s="3438"/>
      <c r="CDP10" s="3438"/>
      <c r="CDQ10" s="3438"/>
      <c r="CDR10" s="3438"/>
      <c r="CDS10" s="3438"/>
      <c r="CDT10" s="3438"/>
      <c r="CDU10" s="3438"/>
      <c r="CDV10" s="3438"/>
      <c r="CDW10" s="3438"/>
      <c r="CDX10" s="3438"/>
      <c r="CDY10" s="3438"/>
      <c r="CDZ10" s="3438"/>
      <c r="CEA10" s="3438"/>
      <c r="CEB10" s="3438"/>
      <c r="CEC10" s="3438"/>
      <c r="CED10" s="3438"/>
      <c r="CEE10" s="3438"/>
      <c r="CEF10" s="3438"/>
      <c r="CEG10" s="3438"/>
      <c r="CEH10" s="3438"/>
      <c r="CEI10" s="3438"/>
      <c r="CEJ10" s="3438"/>
      <c r="CEK10" s="3438"/>
      <c r="CEL10" s="3438"/>
      <c r="CEM10" s="3438"/>
      <c r="CEN10" s="3438"/>
      <c r="CEO10" s="3438"/>
      <c r="CEP10" s="3438"/>
      <c r="CEQ10" s="3438"/>
      <c r="CER10" s="3438"/>
      <c r="CES10" s="3438"/>
      <c r="CET10" s="3438"/>
      <c r="CEU10" s="3438"/>
      <c r="CEV10" s="3438"/>
      <c r="CEW10" s="3438"/>
      <c r="CEX10" s="3438"/>
      <c r="CEY10" s="3438"/>
      <c r="CEZ10" s="3438"/>
      <c r="CFA10" s="3438"/>
      <c r="CFB10" s="3438"/>
      <c r="CFC10" s="3438"/>
      <c r="CFD10" s="3438"/>
      <c r="CFE10" s="3438"/>
      <c r="CFF10" s="3438"/>
      <c r="CFG10" s="3438"/>
      <c r="CFH10" s="3438"/>
      <c r="CFI10" s="3438"/>
      <c r="CFJ10" s="3438"/>
      <c r="CFK10" s="3438"/>
      <c r="CFL10" s="3438"/>
      <c r="CFM10" s="3438"/>
      <c r="CFN10" s="3438"/>
      <c r="CFO10" s="3438"/>
      <c r="CFP10" s="3438"/>
      <c r="CFQ10" s="3438"/>
      <c r="CFR10" s="3438"/>
      <c r="CFS10" s="3438"/>
      <c r="CFT10" s="3438"/>
      <c r="CFU10" s="3438"/>
      <c r="CFV10" s="3438"/>
      <c r="CFW10" s="3438"/>
      <c r="CFX10" s="3438"/>
      <c r="CFY10" s="3438"/>
      <c r="CFZ10" s="3438"/>
      <c r="CGA10" s="3438"/>
      <c r="CGB10" s="3438"/>
      <c r="CGC10" s="3438"/>
      <c r="CGD10" s="3438"/>
      <c r="CGE10" s="3438"/>
      <c r="CGF10" s="3438"/>
      <c r="CGG10" s="3438"/>
      <c r="CGH10" s="3438"/>
      <c r="CGI10" s="3438"/>
      <c r="CGJ10" s="3438"/>
      <c r="CGK10" s="3438"/>
      <c r="CGL10" s="3438"/>
      <c r="CGM10" s="3438"/>
      <c r="CGN10" s="3438"/>
      <c r="CGO10" s="3438"/>
      <c r="CGP10" s="3438"/>
      <c r="CGQ10" s="3438"/>
      <c r="CGR10" s="3438"/>
      <c r="CGS10" s="3438"/>
      <c r="CGT10" s="3438"/>
      <c r="CGU10" s="3438"/>
      <c r="CGV10" s="3438"/>
      <c r="CGW10" s="3438"/>
      <c r="CGX10" s="3438"/>
      <c r="CGY10" s="3438"/>
      <c r="CGZ10" s="3438"/>
      <c r="CHA10" s="3438"/>
      <c r="CHB10" s="3438"/>
      <c r="CHC10" s="3438"/>
      <c r="CHD10" s="3438"/>
      <c r="CHE10" s="3438"/>
      <c r="CHF10" s="3438"/>
      <c r="CHG10" s="3438"/>
      <c r="CHH10" s="3438"/>
      <c r="CHI10" s="3438"/>
      <c r="CHJ10" s="3438"/>
      <c r="CHK10" s="3438"/>
      <c r="CHL10" s="3438"/>
      <c r="CHM10" s="3438"/>
      <c r="CHN10" s="3438"/>
      <c r="CHO10" s="3438"/>
      <c r="CHP10" s="3438"/>
      <c r="CHQ10" s="3438"/>
      <c r="CHR10" s="3438"/>
      <c r="CHS10" s="3438"/>
      <c r="CHT10" s="3438"/>
      <c r="CHU10" s="3438"/>
      <c r="CHV10" s="3438"/>
      <c r="CHW10" s="3438"/>
      <c r="CHX10" s="3438"/>
      <c r="CHY10" s="3438"/>
      <c r="CHZ10" s="3438"/>
      <c r="CIA10" s="3438"/>
      <c r="CIB10" s="3438"/>
      <c r="CIC10" s="3438"/>
      <c r="CID10" s="3438"/>
      <c r="CIE10" s="3438"/>
      <c r="CIF10" s="3438"/>
      <c r="CIG10" s="3438"/>
      <c r="CIH10" s="3438"/>
      <c r="CII10" s="3438"/>
      <c r="CIJ10" s="3438"/>
      <c r="CIK10" s="3438"/>
      <c r="CIL10" s="3438"/>
      <c r="CIM10" s="3438"/>
      <c r="CIN10" s="3438"/>
      <c r="CIO10" s="3438"/>
      <c r="CIP10" s="3438"/>
      <c r="CIQ10" s="3438"/>
      <c r="CIR10" s="3438"/>
      <c r="CIS10" s="3438"/>
      <c r="CIT10" s="3438"/>
      <c r="CIU10" s="3438"/>
      <c r="CIV10" s="3438"/>
      <c r="CIW10" s="3438"/>
      <c r="CIX10" s="3438"/>
      <c r="CIY10" s="3438"/>
      <c r="CIZ10" s="3438"/>
      <c r="CJA10" s="3438"/>
      <c r="CJB10" s="3438"/>
      <c r="CJC10" s="3438"/>
      <c r="CJD10" s="3438"/>
      <c r="CJE10" s="3438"/>
      <c r="CJF10" s="3438"/>
      <c r="CJG10" s="3438"/>
      <c r="CJH10" s="3438"/>
      <c r="CJI10" s="3438"/>
      <c r="CJJ10" s="3438"/>
      <c r="CJK10" s="3438"/>
      <c r="CJL10" s="3438"/>
      <c r="CJM10" s="3438"/>
      <c r="CJN10" s="3438"/>
      <c r="CJO10" s="3438"/>
      <c r="CJP10" s="3438"/>
      <c r="CJQ10" s="3438"/>
      <c r="CJR10" s="3438"/>
      <c r="CJS10" s="3438"/>
      <c r="CJT10" s="3438"/>
      <c r="CJU10" s="3438"/>
      <c r="CJV10" s="3438"/>
      <c r="CJW10" s="3438"/>
      <c r="CJX10" s="3438"/>
      <c r="CJY10" s="3438"/>
      <c r="CJZ10" s="3438"/>
      <c r="CKA10" s="3438"/>
      <c r="CKB10" s="3438"/>
      <c r="CKC10" s="3438"/>
      <c r="CKD10" s="3438"/>
      <c r="CKE10" s="3438"/>
      <c r="CKF10" s="3438"/>
      <c r="CKG10" s="3438"/>
      <c r="CKH10" s="3438"/>
      <c r="CKI10" s="3438"/>
      <c r="CKJ10" s="3438"/>
      <c r="CKK10" s="3438"/>
      <c r="CKL10" s="3438"/>
      <c r="CKM10" s="3438"/>
      <c r="CKN10" s="3438"/>
      <c r="CKO10" s="3438"/>
      <c r="CKP10" s="3438"/>
      <c r="CKQ10" s="3438"/>
      <c r="CKR10" s="3438"/>
      <c r="CKS10" s="3438"/>
      <c r="CKT10" s="3438"/>
      <c r="CKU10" s="3438"/>
      <c r="CKV10" s="3438"/>
      <c r="CKW10" s="3438"/>
      <c r="CKX10" s="3438"/>
      <c r="CKY10" s="3438"/>
      <c r="CKZ10" s="3438"/>
      <c r="CLA10" s="3438"/>
      <c r="CLB10" s="3438"/>
      <c r="CLC10" s="3438"/>
      <c r="CLD10" s="3438"/>
      <c r="CLE10" s="3438"/>
      <c r="CLF10" s="3438"/>
      <c r="CLG10" s="3438"/>
      <c r="CLH10" s="3438"/>
      <c r="CLI10" s="3438"/>
      <c r="CLJ10" s="3438"/>
      <c r="CLK10" s="3438"/>
      <c r="CLL10" s="3438"/>
      <c r="CLM10" s="3438"/>
      <c r="CLN10" s="3438"/>
      <c r="CLO10" s="3438"/>
      <c r="CLP10" s="3438"/>
      <c r="CLQ10" s="3438"/>
      <c r="CLR10" s="3438"/>
      <c r="CLS10" s="3438"/>
      <c r="CLT10" s="3438"/>
      <c r="CLU10" s="3438"/>
      <c r="CLV10" s="3438"/>
      <c r="CLW10" s="3438"/>
      <c r="CLX10" s="3438"/>
      <c r="CLY10" s="3438"/>
      <c r="CLZ10" s="3438"/>
      <c r="CMA10" s="3438"/>
      <c r="CMB10" s="3438"/>
      <c r="CMC10" s="3438"/>
      <c r="CMD10" s="3438"/>
      <c r="CME10" s="3438"/>
      <c r="CMF10" s="3438"/>
      <c r="CMG10" s="3438"/>
      <c r="CMH10" s="3438"/>
      <c r="CMI10" s="3438"/>
      <c r="CMJ10" s="3438"/>
      <c r="CMK10" s="3438"/>
      <c r="CML10" s="3438"/>
      <c r="CMM10" s="3438"/>
      <c r="CMN10" s="3438"/>
      <c r="CMO10" s="3438"/>
      <c r="CMP10" s="3438"/>
      <c r="CMQ10" s="3438"/>
      <c r="CMR10" s="3438"/>
      <c r="CMS10" s="3438"/>
      <c r="CMT10" s="3438"/>
      <c r="CMU10" s="3438"/>
      <c r="CMV10" s="3438"/>
      <c r="CMW10" s="3438"/>
      <c r="CMX10" s="3438"/>
      <c r="CMY10" s="3438"/>
      <c r="CMZ10" s="3438"/>
      <c r="CNA10" s="3438"/>
      <c r="CNB10" s="3438"/>
      <c r="CNC10" s="3438"/>
      <c r="CND10" s="3438"/>
      <c r="CNE10" s="3438"/>
      <c r="CNF10" s="3438"/>
      <c r="CNG10" s="3438"/>
      <c r="CNH10" s="3438"/>
      <c r="CNI10" s="3438"/>
      <c r="CNJ10" s="3438"/>
      <c r="CNK10" s="3438"/>
      <c r="CNL10" s="3438"/>
      <c r="CNM10" s="3438"/>
      <c r="CNN10" s="3438"/>
      <c r="CNO10" s="3438"/>
      <c r="CNP10" s="3438"/>
      <c r="CNQ10" s="3438"/>
      <c r="CNR10" s="3438"/>
      <c r="CNS10" s="3438"/>
      <c r="CNT10" s="3438"/>
      <c r="CNU10" s="3438"/>
      <c r="CNV10" s="3438"/>
      <c r="CNW10" s="3438"/>
      <c r="CNX10" s="3438"/>
      <c r="CNY10" s="3438"/>
      <c r="CNZ10" s="3438"/>
      <c r="COA10" s="3438"/>
      <c r="COB10" s="3438"/>
      <c r="COC10" s="3438"/>
      <c r="COD10" s="3438"/>
      <c r="COE10" s="3438"/>
      <c r="COF10" s="3438"/>
      <c r="COG10" s="3438"/>
      <c r="COH10" s="3438"/>
      <c r="COI10" s="3438"/>
      <c r="COJ10" s="3438"/>
      <c r="COK10" s="3438"/>
      <c r="COL10" s="3438"/>
      <c r="COM10" s="3438"/>
      <c r="CON10" s="3438"/>
      <c r="COO10" s="3438"/>
      <c r="COP10" s="3438"/>
      <c r="COQ10" s="3438"/>
      <c r="COR10" s="3438"/>
      <c r="COS10" s="3438"/>
      <c r="COT10" s="3438"/>
      <c r="COU10" s="3438"/>
      <c r="COV10" s="3438"/>
      <c r="COW10" s="3438"/>
      <c r="COX10" s="3438"/>
      <c r="COY10" s="3438"/>
      <c r="COZ10" s="3438"/>
      <c r="CPA10" s="3438"/>
      <c r="CPB10" s="3438"/>
      <c r="CPC10" s="3438"/>
      <c r="CPD10" s="3438"/>
      <c r="CPE10" s="3438"/>
      <c r="CPF10" s="3438"/>
      <c r="CPG10" s="3438"/>
      <c r="CPH10" s="3438"/>
      <c r="CPI10" s="3438"/>
      <c r="CPJ10" s="3438"/>
      <c r="CPK10" s="3438"/>
      <c r="CPL10" s="3438"/>
      <c r="CPM10" s="3438"/>
      <c r="CPN10" s="3438"/>
      <c r="CPO10" s="3438"/>
      <c r="CPP10" s="3438"/>
      <c r="CPQ10" s="3438"/>
      <c r="CPR10" s="3438"/>
      <c r="CPS10" s="3438"/>
      <c r="CPT10" s="3438"/>
      <c r="CPU10" s="3438"/>
      <c r="CPV10" s="3438"/>
      <c r="CPW10" s="3438"/>
      <c r="CPX10" s="3438"/>
      <c r="CPY10" s="3438"/>
      <c r="CPZ10" s="3438"/>
      <c r="CQA10" s="3438"/>
      <c r="CQB10" s="3438"/>
      <c r="CQC10" s="3438"/>
      <c r="CQD10" s="3438"/>
      <c r="CQE10" s="3438"/>
      <c r="CQF10" s="3438"/>
      <c r="CQG10" s="3438"/>
      <c r="CQH10" s="3438"/>
      <c r="CQI10" s="3438"/>
      <c r="CQJ10" s="3438"/>
      <c r="CQK10" s="3438"/>
      <c r="CQL10" s="3438"/>
      <c r="CQM10" s="3438"/>
      <c r="CQN10" s="3438"/>
      <c r="CQO10" s="3438"/>
      <c r="CQP10" s="3438"/>
      <c r="CQQ10" s="3438"/>
      <c r="CQR10" s="3438"/>
      <c r="CQS10" s="3438"/>
      <c r="CQT10" s="3438"/>
      <c r="CQU10" s="3438"/>
      <c r="CQV10" s="3438"/>
      <c r="CQW10" s="3438"/>
      <c r="CQX10" s="3438"/>
      <c r="CQY10" s="3438"/>
      <c r="CQZ10" s="3438"/>
      <c r="CRA10" s="3438"/>
      <c r="CRB10" s="3438"/>
      <c r="CRC10" s="3438"/>
      <c r="CRD10" s="3438"/>
      <c r="CRE10" s="3438"/>
      <c r="CRF10" s="3438"/>
      <c r="CRG10" s="3438"/>
      <c r="CRH10" s="3438"/>
      <c r="CRI10" s="3438"/>
      <c r="CRJ10" s="3438"/>
      <c r="CRK10" s="3438"/>
      <c r="CRL10" s="3438"/>
      <c r="CRM10" s="3438"/>
      <c r="CRN10" s="3438"/>
      <c r="CRO10" s="3438"/>
      <c r="CRP10" s="3438"/>
      <c r="CRQ10" s="3438"/>
      <c r="CRR10" s="3438"/>
      <c r="CRS10" s="3438"/>
      <c r="CRT10" s="3438"/>
      <c r="CRU10" s="3438"/>
      <c r="CRV10" s="3438"/>
      <c r="CRW10" s="3438"/>
      <c r="CRX10" s="3438"/>
      <c r="CRY10" s="3438"/>
      <c r="CRZ10" s="3438"/>
      <c r="CSA10" s="3438"/>
      <c r="CSB10" s="3438"/>
      <c r="CSC10" s="3438"/>
      <c r="CSD10" s="3438"/>
      <c r="CSE10" s="3438"/>
      <c r="CSF10" s="3438"/>
      <c r="CSG10" s="3438"/>
      <c r="CSH10" s="3438"/>
      <c r="CSI10" s="3438"/>
      <c r="CSJ10" s="3438"/>
      <c r="CSK10" s="3438"/>
      <c r="CSL10" s="3438"/>
      <c r="CSM10" s="3438"/>
      <c r="CSN10" s="3438"/>
      <c r="CSO10" s="3438"/>
      <c r="CSP10" s="3438"/>
      <c r="CSQ10" s="3438"/>
      <c r="CSR10" s="3438"/>
      <c r="CSS10" s="3438"/>
      <c r="CST10" s="3438"/>
      <c r="CSU10" s="3438"/>
      <c r="CSV10" s="3438"/>
      <c r="CSW10" s="3438"/>
      <c r="CSX10" s="3438"/>
      <c r="CSY10" s="3438"/>
      <c r="CSZ10" s="3438"/>
      <c r="CTA10" s="3438"/>
      <c r="CTB10" s="3438"/>
      <c r="CTC10" s="3438"/>
      <c r="CTD10" s="3438"/>
      <c r="CTE10" s="3438"/>
      <c r="CTF10" s="3438"/>
      <c r="CTG10" s="3438"/>
      <c r="CTH10" s="3438"/>
      <c r="CTI10" s="3438"/>
      <c r="CTJ10" s="3438"/>
      <c r="CTK10" s="3438"/>
      <c r="CTL10" s="3438"/>
      <c r="CTM10" s="3438"/>
      <c r="CTN10" s="3438"/>
      <c r="CTO10" s="3438"/>
      <c r="CTP10" s="3438"/>
      <c r="CTQ10" s="3438"/>
      <c r="CTR10" s="3438"/>
      <c r="CTS10" s="3438"/>
      <c r="CTT10" s="3438"/>
      <c r="CTU10" s="3438"/>
      <c r="CTV10" s="3438"/>
      <c r="CTW10" s="3438"/>
      <c r="CTX10" s="3438"/>
      <c r="CTY10" s="3438"/>
      <c r="CTZ10" s="3438"/>
      <c r="CUA10" s="3438"/>
      <c r="CUB10" s="3438"/>
      <c r="CUC10" s="3438"/>
      <c r="CUD10" s="3438"/>
      <c r="CUE10" s="3438"/>
      <c r="CUF10" s="3438"/>
      <c r="CUG10" s="3438"/>
      <c r="CUH10" s="3438"/>
      <c r="CUI10" s="3438"/>
      <c r="CUJ10" s="3438"/>
      <c r="CUK10" s="3438"/>
      <c r="CUL10" s="3438"/>
      <c r="CUM10" s="3438"/>
      <c r="CUN10" s="3438"/>
      <c r="CUO10" s="3438"/>
      <c r="CUP10" s="3438"/>
      <c r="CUQ10" s="3438"/>
      <c r="CUR10" s="3438"/>
      <c r="CUS10" s="3438"/>
      <c r="CUT10" s="3438"/>
      <c r="CUU10" s="3438"/>
      <c r="CUV10" s="3438"/>
      <c r="CUW10" s="3438"/>
      <c r="CUX10" s="3438"/>
      <c r="CUY10" s="3438"/>
      <c r="CUZ10" s="3438"/>
      <c r="CVA10" s="3438"/>
      <c r="CVB10" s="3438"/>
      <c r="CVC10" s="3438"/>
      <c r="CVD10" s="3438"/>
      <c r="CVE10" s="3438"/>
      <c r="CVF10" s="3438"/>
      <c r="CVG10" s="3438"/>
      <c r="CVH10" s="3438"/>
      <c r="CVI10" s="3438"/>
      <c r="CVJ10" s="3438"/>
      <c r="CVK10" s="3438"/>
      <c r="CVL10" s="3438"/>
      <c r="CVM10" s="3438"/>
      <c r="CVN10" s="3438"/>
      <c r="CVO10" s="3438"/>
      <c r="CVP10" s="3438"/>
      <c r="CVQ10" s="3438"/>
      <c r="CVR10" s="3438"/>
      <c r="CVS10" s="3438"/>
      <c r="CVT10" s="3438"/>
      <c r="CVU10" s="3438"/>
      <c r="CVV10" s="3438"/>
      <c r="CVW10" s="3438"/>
      <c r="CVX10" s="3438"/>
      <c r="CVY10" s="3438"/>
      <c r="CVZ10" s="3438"/>
      <c r="CWA10" s="3438"/>
      <c r="CWB10" s="3438"/>
      <c r="CWC10" s="3438"/>
      <c r="CWD10" s="3438"/>
      <c r="CWE10" s="3438"/>
      <c r="CWF10" s="3438"/>
      <c r="CWG10" s="3438"/>
      <c r="CWH10" s="3438"/>
      <c r="CWI10" s="3438"/>
      <c r="CWJ10" s="3438"/>
      <c r="CWK10" s="3438"/>
      <c r="CWL10" s="3438"/>
      <c r="CWM10" s="3438"/>
      <c r="CWN10" s="3438"/>
      <c r="CWO10" s="3438"/>
      <c r="CWP10" s="3438"/>
      <c r="CWQ10" s="3438"/>
      <c r="CWR10" s="3438"/>
      <c r="CWS10" s="3438"/>
      <c r="CWT10" s="3438"/>
      <c r="CWU10" s="3438"/>
      <c r="CWV10" s="3438"/>
      <c r="CWW10" s="3438"/>
      <c r="CWX10" s="3438"/>
      <c r="CWY10" s="3438"/>
      <c r="CWZ10" s="3438"/>
      <c r="CXA10" s="3438"/>
      <c r="CXB10" s="3438"/>
      <c r="CXC10" s="3438"/>
      <c r="CXD10" s="3438"/>
      <c r="CXE10" s="3438"/>
      <c r="CXF10" s="3438"/>
      <c r="CXG10" s="3438"/>
      <c r="CXH10" s="3438"/>
      <c r="CXI10" s="3438"/>
      <c r="CXJ10" s="3438"/>
      <c r="CXK10" s="3438"/>
      <c r="CXL10" s="3438"/>
      <c r="CXM10" s="3438"/>
      <c r="CXN10" s="3438"/>
      <c r="CXO10" s="3438"/>
      <c r="CXP10" s="3438"/>
      <c r="CXQ10" s="3438"/>
      <c r="CXR10" s="3438"/>
      <c r="CXS10" s="3438"/>
      <c r="CXT10" s="3438"/>
      <c r="CXU10" s="3438"/>
      <c r="CXV10" s="3438"/>
      <c r="CXW10" s="3438"/>
      <c r="CXX10" s="3438"/>
      <c r="CXY10" s="3438"/>
      <c r="CXZ10" s="3438"/>
      <c r="CYA10" s="3438"/>
      <c r="CYB10" s="3438"/>
      <c r="CYC10" s="3438"/>
      <c r="CYD10" s="3438"/>
      <c r="CYE10" s="3438"/>
      <c r="CYF10" s="3438"/>
      <c r="CYG10" s="3438"/>
      <c r="CYH10" s="3438"/>
      <c r="CYI10" s="3438"/>
      <c r="CYJ10" s="3438"/>
      <c r="CYK10" s="3438"/>
      <c r="CYL10" s="3438"/>
      <c r="CYM10" s="3438"/>
      <c r="CYN10" s="3438"/>
      <c r="CYO10" s="3438"/>
      <c r="CYP10" s="3438"/>
      <c r="CYQ10" s="3438"/>
      <c r="CYR10" s="3438"/>
      <c r="CYS10" s="3438"/>
      <c r="CYT10" s="3438"/>
      <c r="CYU10" s="3438"/>
      <c r="CYV10" s="3438"/>
      <c r="CYW10" s="3438"/>
      <c r="CYX10" s="3438"/>
      <c r="CYY10" s="3438"/>
      <c r="CYZ10" s="3438"/>
      <c r="CZA10" s="3438"/>
      <c r="CZB10" s="3438"/>
      <c r="CZC10" s="3438"/>
      <c r="CZD10" s="3438"/>
      <c r="CZE10" s="3438"/>
      <c r="CZF10" s="3438"/>
      <c r="CZG10" s="3438"/>
      <c r="CZH10" s="3438"/>
      <c r="CZI10" s="3438"/>
      <c r="CZJ10" s="3438"/>
      <c r="CZK10" s="3438"/>
      <c r="CZL10" s="3438"/>
      <c r="CZM10" s="3438"/>
      <c r="CZN10" s="3438"/>
      <c r="CZO10" s="3438"/>
      <c r="CZP10" s="3438"/>
      <c r="CZQ10" s="3438"/>
      <c r="CZR10" s="3438"/>
      <c r="CZS10" s="3438"/>
      <c r="CZT10" s="3438"/>
      <c r="CZU10" s="3438"/>
      <c r="CZV10" s="3438"/>
      <c r="CZW10" s="3438"/>
      <c r="CZX10" s="3438"/>
      <c r="CZY10" s="3438"/>
      <c r="CZZ10" s="3438"/>
      <c r="DAA10" s="3438"/>
      <c r="DAB10" s="3438"/>
      <c r="DAC10" s="3438"/>
      <c r="DAD10" s="3438"/>
      <c r="DAE10" s="3438"/>
      <c r="DAF10" s="3438"/>
      <c r="DAG10" s="3438"/>
      <c r="DAH10" s="3438"/>
      <c r="DAI10" s="3438"/>
      <c r="DAJ10" s="3438"/>
      <c r="DAK10" s="3438"/>
      <c r="DAL10" s="3438"/>
      <c r="DAM10" s="3438"/>
      <c r="DAN10" s="3438"/>
      <c r="DAO10" s="3438"/>
      <c r="DAP10" s="3438"/>
      <c r="DAQ10" s="3438"/>
      <c r="DAR10" s="3438"/>
      <c r="DAS10" s="3438"/>
      <c r="DAT10" s="3438"/>
      <c r="DAU10" s="3438"/>
      <c r="DAV10" s="3438"/>
      <c r="DAW10" s="3438"/>
      <c r="DAX10" s="3438"/>
      <c r="DAY10" s="3438"/>
      <c r="DAZ10" s="3438"/>
      <c r="DBA10" s="3438"/>
      <c r="DBB10" s="3438"/>
      <c r="DBC10" s="3438"/>
      <c r="DBD10" s="3438"/>
      <c r="DBE10" s="3438"/>
      <c r="DBF10" s="3438"/>
      <c r="DBG10" s="3438"/>
      <c r="DBH10" s="3438"/>
      <c r="DBI10" s="3438"/>
      <c r="DBJ10" s="3438"/>
      <c r="DBK10" s="3438"/>
      <c r="DBL10" s="3438"/>
      <c r="DBM10" s="3438"/>
      <c r="DBN10" s="3438"/>
      <c r="DBO10" s="3438"/>
      <c r="DBP10" s="3438"/>
      <c r="DBQ10" s="3438"/>
      <c r="DBR10" s="3438"/>
      <c r="DBS10" s="3438"/>
      <c r="DBT10" s="3438"/>
      <c r="DBU10" s="3438"/>
      <c r="DBV10" s="3438"/>
      <c r="DBW10" s="3438"/>
      <c r="DBX10" s="3438"/>
      <c r="DBY10" s="3438"/>
      <c r="DBZ10" s="3438"/>
      <c r="DCA10" s="3438"/>
      <c r="DCB10" s="3438"/>
      <c r="DCC10" s="3438"/>
      <c r="DCD10" s="3438"/>
      <c r="DCE10" s="3438"/>
      <c r="DCF10" s="3438"/>
      <c r="DCG10" s="3438"/>
      <c r="DCH10" s="3438"/>
      <c r="DCI10" s="3438"/>
      <c r="DCJ10" s="3438"/>
      <c r="DCK10" s="3438"/>
      <c r="DCL10" s="3438"/>
      <c r="DCM10" s="3438"/>
      <c r="DCN10" s="3438"/>
      <c r="DCO10" s="3438"/>
      <c r="DCP10" s="3438"/>
      <c r="DCQ10" s="3438"/>
      <c r="DCR10" s="3438"/>
      <c r="DCS10" s="3438"/>
      <c r="DCT10" s="3438"/>
      <c r="DCU10" s="3438"/>
      <c r="DCV10" s="3438"/>
      <c r="DCW10" s="3438"/>
      <c r="DCX10" s="3438"/>
      <c r="DCY10" s="3438"/>
      <c r="DCZ10" s="3438"/>
      <c r="DDA10" s="3438"/>
      <c r="DDB10" s="3438"/>
      <c r="DDC10" s="3438"/>
      <c r="DDD10" s="3438"/>
      <c r="DDE10" s="3438"/>
      <c r="DDF10" s="3438"/>
      <c r="DDG10" s="3438"/>
      <c r="DDH10" s="3438"/>
      <c r="DDI10" s="3438"/>
      <c r="DDJ10" s="3438"/>
      <c r="DDK10" s="3438"/>
      <c r="DDL10" s="3438"/>
      <c r="DDM10" s="3438"/>
      <c r="DDN10" s="3438"/>
      <c r="DDO10" s="3438"/>
      <c r="DDP10" s="3438"/>
      <c r="DDQ10" s="3438"/>
      <c r="DDR10" s="3438"/>
      <c r="DDS10" s="3438"/>
      <c r="DDT10" s="3438"/>
      <c r="DDU10" s="3438"/>
      <c r="DDV10" s="3438"/>
      <c r="DDW10" s="3438"/>
      <c r="DDX10" s="3438"/>
      <c r="DDY10" s="3438"/>
      <c r="DDZ10" s="3438"/>
      <c r="DEA10" s="3438"/>
      <c r="DEB10" s="3438"/>
      <c r="DEC10" s="3438"/>
      <c r="DED10" s="3438"/>
      <c r="DEE10" s="3438"/>
      <c r="DEF10" s="3438"/>
      <c r="DEG10" s="3438"/>
      <c r="DEH10" s="3438"/>
      <c r="DEI10" s="3438"/>
      <c r="DEJ10" s="3438"/>
      <c r="DEK10" s="3438"/>
      <c r="DEL10" s="3438"/>
      <c r="DEM10" s="3438"/>
      <c r="DEN10" s="3438"/>
      <c r="DEO10" s="3438"/>
      <c r="DEP10" s="3438"/>
      <c r="DEQ10" s="3438"/>
      <c r="DER10" s="3438"/>
      <c r="DES10" s="3438"/>
      <c r="DET10" s="3438"/>
      <c r="DEU10" s="3438"/>
      <c r="DEV10" s="3438"/>
      <c r="DEW10" s="3438"/>
      <c r="DEX10" s="3438"/>
      <c r="DEY10" s="3438"/>
      <c r="DEZ10" s="3438"/>
      <c r="DFA10" s="3438"/>
      <c r="DFB10" s="3438"/>
      <c r="DFC10" s="3438"/>
      <c r="DFD10" s="3438"/>
      <c r="DFE10" s="3438"/>
      <c r="DFF10" s="3438"/>
      <c r="DFG10" s="3438"/>
      <c r="DFH10" s="3438"/>
      <c r="DFI10" s="3438"/>
      <c r="DFJ10" s="3438"/>
      <c r="DFK10" s="3438"/>
      <c r="DFL10" s="3438"/>
      <c r="DFM10" s="3438"/>
      <c r="DFN10" s="3438"/>
      <c r="DFO10" s="3438"/>
      <c r="DFP10" s="3438"/>
      <c r="DFQ10" s="3438"/>
      <c r="DFR10" s="3438"/>
      <c r="DFS10" s="3438"/>
      <c r="DFT10" s="3438"/>
      <c r="DFU10" s="3438"/>
      <c r="DFV10" s="3438"/>
      <c r="DFW10" s="3438"/>
      <c r="DFX10" s="3438"/>
      <c r="DFY10" s="3438"/>
      <c r="DFZ10" s="3438"/>
      <c r="DGA10" s="3438"/>
      <c r="DGB10" s="3438"/>
      <c r="DGC10" s="3438"/>
      <c r="DGD10" s="3438"/>
      <c r="DGE10" s="3438"/>
      <c r="DGF10" s="3438"/>
      <c r="DGG10" s="3438"/>
      <c r="DGH10" s="3438"/>
      <c r="DGI10" s="3438"/>
      <c r="DGJ10" s="3438"/>
      <c r="DGK10" s="3438"/>
      <c r="DGL10" s="3438"/>
      <c r="DGM10" s="3438"/>
      <c r="DGN10" s="3438"/>
      <c r="DGO10" s="3438"/>
      <c r="DGP10" s="3438"/>
      <c r="DGQ10" s="3438"/>
      <c r="DGR10" s="3438"/>
      <c r="DGS10" s="3438"/>
      <c r="DGT10" s="3438"/>
      <c r="DGU10" s="3438"/>
      <c r="DGV10" s="3438"/>
      <c r="DGW10" s="3438"/>
      <c r="DGX10" s="3438"/>
      <c r="DGY10" s="3438"/>
      <c r="DGZ10" s="3438"/>
      <c r="DHA10" s="3438"/>
      <c r="DHB10" s="3438"/>
      <c r="DHC10" s="3438"/>
      <c r="DHD10" s="3438"/>
      <c r="DHE10" s="3438"/>
      <c r="DHF10" s="3438"/>
      <c r="DHG10" s="3438"/>
      <c r="DHH10" s="3438"/>
      <c r="DHI10" s="3438"/>
      <c r="DHJ10" s="3438"/>
      <c r="DHK10" s="3438"/>
      <c r="DHL10" s="3438"/>
      <c r="DHM10" s="3438"/>
      <c r="DHN10" s="3438"/>
      <c r="DHO10" s="3438"/>
      <c r="DHP10" s="3438"/>
      <c r="DHQ10" s="3438"/>
      <c r="DHR10" s="3438"/>
      <c r="DHS10" s="3438"/>
      <c r="DHT10" s="3438"/>
      <c r="DHU10" s="3438"/>
      <c r="DHV10" s="3438"/>
      <c r="DHW10" s="3438"/>
      <c r="DHX10" s="3438"/>
      <c r="DHY10" s="3438"/>
      <c r="DHZ10" s="3438"/>
      <c r="DIA10" s="3438"/>
      <c r="DIB10" s="3438"/>
      <c r="DIC10" s="3438"/>
      <c r="DID10" s="3438"/>
      <c r="DIE10" s="3438"/>
      <c r="DIF10" s="3438"/>
      <c r="DIG10" s="3438"/>
      <c r="DIH10" s="3438"/>
      <c r="DII10" s="3438"/>
      <c r="DIJ10" s="3438"/>
      <c r="DIK10" s="3438"/>
      <c r="DIL10" s="3438"/>
      <c r="DIM10" s="3438"/>
      <c r="DIN10" s="3438"/>
      <c r="DIO10" s="3438"/>
      <c r="DIP10" s="3438"/>
      <c r="DIQ10" s="3438"/>
      <c r="DIR10" s="3438"/>
      <c r="DIS10" s="3438"/>
      <c r="DIT10" s="3438"/>
      <c r="DIU10" s="3438"/>
      <c r="DIV10" s="3438"/>
      <c r="DIW10" s="3438"/>
      <c r="DIX10" s="3438"/>
      <c r="DIY10" s="3438"/>
      <c r="DIZ10" s="3438"/>
      <c r="DJA10" s="3438"/>
      <c r="DJB10" s="3438"/>
      <c r="DJC10" s="3438"/>
      <c r="DJD10" s="3438"/>
      <c r="DJE10" s="3438"/>
      <c r="DJF10" s="3438"/>
      <c r="DJG10" s="3438"/>
      <c r="DJH10" s="3438"/>
      <c r="DJI10" s="3438"/>
      <c r="DJJ10" s="3438"/>
      <c r="DJK10" s="3438"/>
      <c r="DJL10" s="3438"/>
      <c r="DJM10" s="3438"/>
      <c r="DJN10" s="3438"/>
      <c r="DJO10" s="3438"/>
      <c r="DJP10" s="3438"/>
      <c r="DJQ10" s="3438"/>
      <c r="DJR10" s="3438"/>
      <c r="DJS10" s="3438"/>
      <c r="DJT10" s="3438"/>
      <c r="DJU10" s="3438"/>
      <c r="DJV10" s="3438"/>
      <c r="DJW10" s="3438"/>
      <c r="DJX10" s="3438"/>
      <c r="DJY10" s="3438"/>
      <c r="DJZ10" s="3438"/>
      <c r="DKA10" s="3438"/>
      <c r="DKB10" s="3438"/>
      <c r="DKC10" s="3438"/>
      <c r="DKD10" s="3438"/>
      <c r="DKE10" s="3438"/>
      <c r="DKF10" s="3438"/>
      <c r="DKG10" s="3438"/>
      <c r="DKH10" s="3438"/>
      <c r="DKI10" s="3438"/>
      <c r="DKJ10" s="3438"/>
      <c r="DKK10" s="3438"/>
      <c r="DKL10" s="3438"/>
      <c r="DKM10" s="3438"/>
      <c r="DKN10" s="3438"/>
      <c r="DKO10" s="3438"/>
      <c r="DKP10" s="3438"/>
      <c r="DKQ10" s="3438"/>
      <c r="DKR10" s="3438"/>
      <c r="DKS10" s="3438"/>
      <c r="DKT10" s="3438"/>
      <c r="DKU10" s="3438"/>
      <c r="DKV10" s="3438"/>
      <c r="DKW10" s="3438"/>
      <c r="DKX10" s="3438"/>
      <c r="DKY10" s="3438"/>
      <c r="DKZ10" s="3438"/>
      <c r="DLA10" s="3438"/>
      <c r="DLB10" s="3438"/>
      <c r="DLC10" s="3438"/>
      <c r="DLD10" s="3438"/>
      <c r="DLE10" s="3438"/>
      <c r="DLF10" s="3438"/>
      <c r="DLG10" s="3438"/>
      <c r="DLH10" s="3438"/>
      <c r="DLI10" s="3438"/>
      <c r="DLJ10" s="3438"/>
      <c r="DLK10" s="3438"/>
      <c r="DLL10" s="3438"/>
      <c r="DLM10" s="3438"/>
      <c r="DLN10" s="3438"/>
      <c r="DLO10" s="3438"/>
      <c r="DLP10" s="3438"/>
      <c r="DLQ10" s="3438"/>
      <c r="DLR10" s="3438"/>
      <c r="DLS10" s="3438"/>
      <c r="DLT10" s="3438"/>
      <c r="DLU10" s="3438"/>
      <c r="DLV10" s="3438"/>
      <c r="DLW10" s="3438"/>
      <c r="DLX10" s="3438"/>
      <c r="DLY10" s="3438"/>
      <c r="DLZ10" s="3438"/>
      <c r="DMA10" s="3438"/>
      <c r="DMB10" s="3438"/>
      <c r="DMC10" s="3438"/>
      <c r="DMD10" s="3438"/>
      <c r="DME10" s="3438"/>
      <c r="DMF10" s="3438"/>
      <c r="DMG10" s="3438"/>
      <c r="DMH10" s="3438"/>
      <c r="DMI10" s="3438"/>
      <c r="DMJ10" s="3438"/>
      <c r="DMK10" s="3438"/>
      <c r="DML10" s="3438"/>
      <c r="DMM10" s="3438"/>
      <c r="DMN10" s="3438"/>
      <c r="DMO10" s="3438"/>
      <c r="DMP10" s="3438"/>
      <c r="DMQ10" s="3438"/>
      <c r="DMR10" s="3438"/>
      <c r="DMS10" s="3438"/>
      <c r="DMT10" s="3438"/>
      <c r="DMU10" s="3438"/>
      <c r="DMV10" s="3438"/>
      <c r="DMW10" s="3438"/>
      <c r="DMX10" s="3438"/>
      <c r="DMY10" s="3438"/>
      <c r="DMZ10" s="3438"/>
      <c r="DNA10" s="3438"/>
      <c r="DNB10" s="3438"/>
      <c r="DNC10" s="3438"/>
      <c r="DND10" s="3438"/>
      <c r="DNE10" s="3438"/>
      <c r="DNF10" s="3438"/>
      <c r="DNG10" s="3438"/>
      <c r="DNH10" s="3438"/>
      <c r="DNI10" s="3438"/>
      <c r="DNJ10" s="3438"/>
      <c r="DNK10" s="3438"/>
      <c r="DNL10" s="3438"/>
      <c r="DNM10" s="3438"/>
      <c r="DNN10" s="3438"/>
      <c r="DNO10" s="3438"/>
      <c r="DNP10" s="3438"/>
      <c r="DNQ10" s="3438"/>
      <c r="DNR10" s="3438"/>
      <c r="DNS10" s="3438"/>
      <c r="DNT10" s="3438"/>
      <c r="DNU10" s="3438"/>
      <c r="DNV10" s="3438"/>
      <c r="DNW10" s="3438"/>
      <c r="DNX10" s="3438"/>
      <c r="DNY10" s="3438"/>
      <c r="DNZ10" s="3438"/>
      <c r="DOA10" s="3438"/>
      <c r="DOB10" s="3438"/>
      <c r="DOC10" s="3438"/>
      <c r="DOD10" s="3438"/>
      <c r="DOE10" s="3438"/>
      <c r="DOF10" s="3438"/>
      <c r="DOG10" s="3438"/>
      <c r="DOH10" s="3438"/>
      <c r="DOI10" s="3438"/>
      <c r="DOJ10" s="3438"/>
      <c r="DOK10" s="3438"/>
      <c r="DOL10" s="3438"/>
      <c r="DOM10" s="3438"/>
      <c r="DON10" s="3438"/>
      <c r="DOO10" s="3438"/>
      <c r="DOP10" s="3438"/>
      <c r="DOQ10" s="3438"/>
      <c r="DOR10" s="3438"/>
      <c r="DOS10" s="3438"/>
      <c r="DOT10" s="3438"/>
      <c r="DOU10" s="3438"/>
      <c r="DOV10" s="3438"/>
      <c r="DOW10" s="3438"/>
      <c r="DOX10" s="3438"/>
      <c r="DOY10" s="3438"/>
      <c r="DOZ10" s="3438"/>
      <c r="DPA10" s="3438"/>
      <c r="DPB10" s="3438"/>
      <c r="DPC10" s="3438"/>
      <c r="DPD10" s="3438"/>
      <c r="DPE10" s="3438"/>
      <c r="DPF10" s="3438"/>
      <c r="DPG10" s="3438"/>
      <c r="DPH10" s="3438"/>
      <c r="DPI10" s="3438"/>
      <c r="DPJ10" s="3438"/>
      <c r="DPK10" s="3438"/>
      <c r="DPL10" s="3438"/>
      <c r="DPM10" s="3438"/>
      <c r="DPN10" s="3438"/>
      <c r="DPO10" s="3438"/>
      <c r="DPP10" s="3438"/>
      <c r="DPQ10" s="3438"/>
      <c r="DPR10" s="3438"/>
      <c r="DPS10" s="3438"/>
      <c r="DPT10" s="3438"/>
      <c r="DPU10" s="3438"/>
      <c r="DPV10" s="3438"/>
      <c r="DPW10" s="3438"/>
      <c r="DPX10" s="3438"/>
      <c r="DPY10" s="3438"/>
      <c r="DPZ10" s="3438"/>
      <c r="DQA10" s="3438"/>
      <c r="DQB10" s="3438"/>
      <c r="DQC10" s="3438"/>
      <c r="DQD10" s="3438"/>
      <c r="DQE10" s="3438"/>
      <c r="DQF10" s="3438"/>
      <c r="DQG10" s="3438"/>
      <c r="DQH10" s="3438"/>
      <c r="DQI10" s="3438"/>
      <c r="DQJ10" s="3438"/>
      <c r="DQK10" s="3438"/>
      <c r="DQL10" s="3438"/>
      <c r="DQM10" s="3438"/>
      <c r="DQN10" s="3438"/>
      <c r="DQO10" s="3438"/>
      <c r="DQP10" s="3438"/>
      <c r="DQQ10" s="3438"/>
      <c r="DQR10" s="3438"/>
      <c r="DQS10" s="3438"/>
      <c r="DQT10" s="3438"/>
      <c r="DQU10" s="3438"/>
      <c r="DQV10" s="3438"/>
      <c r="DQW10" s="3438"/>
      <c r="DQX10" s="3438"/>
      <c r="DQY10" s="3438"/>
      <c r="DQZ10" s="3438"/>
      <c r="DRA10" s="3438"/>
      <c r="DRB10" s="3438"/>
      <c r="DRC10" s="3438"/>
      <c r="DRD10" s="3438"/>
      <c r="DRE10" s="3438"/>
      <c r="DRF10" s="3438"/>
      <c r="DRG10" s="3438"/>
      <c r="DRH10" s="3438"/>
      <c r="DRI10" s="3438"/>
      <c r="DRJ10" s="3438"/>
      <c r="DRK10" s="3438"/>
      <c r="DRL10" s="3438"/>
      <c r="DRM10" s="3438"/>
      <c r="DRN10" s="3438"/>
      <c r="DRO10" s="3438"/>
      <c r="DRP10" s="3438"/>
      <c r="DRQ10" s="3438"/>
      <c r="DRR10" s="3438"/>
      <c r="DRS10" s="3438"/>
      <c r="DRT10" s="3438"/>
      <c r="DRU10" s="3438"/>
      <c r="DRV10" s="3438"/>
      <c r="DRW10" s="3438"/>
      <c r="DRX10" s="3438"/>
      <c r="DRY10" s="3438"/>
      <c r="DRZ10" s="3438"/>
      <c r="DSA10" s="3438"/>
      <c r="DSB10" s="3438"/>
      <c r="DSC10" s="3438"/>
      <c r="DSD10" s="3438"/>
      <c r="DSE10" s="3438"/>
      <c r="DSF10" s="3438"/>
      <c r="DSG10" s="3438"/>
      <c r="DSH10" s="3438"/>
      <c r="DSI10" s="3438"/>
      <c r="DSJ10" s="3438"/>
      <c r="DSK10" s="3438"/>
      <c r="DSL10" s="3438"/>
      <c r="DSM10" s="3438"/>
      <c r="DSN10" s="3438"/>
      <c r="DSO10" s="3438"/>
      <c r="DSP10" s="3438"/>
      <c r="DSQ10" s="3438"/>
      <c r="DSR10" s="3438"/>
      <c r="DSS10" s="3438"/>
      <c r="DST10" s="3438"/>
      <c r="DSU10" s="3438"/>
      <c r="DSV10" s="3438"/>
      <c r="DSW10" s="3438"/>
      <c r="DSX10" s="3438"/>
      <c r="DSY10" s="3438"/>
      <c r="DSZ10" s="3438"/>
      <c r="DTA10" s="3438"/>
      <c r="DTB10" s="3438"/>
      <c r="DTC10" s="3438"/>
      <c r="DTD10" s="3438"/>
      <c r="DTE10" s="3438"/>
      <c r="DTF10" s="3438"/>
      <c r="DTG10" s="3438"/>
      <c r="DTH10" s="3438"/>
      <c r="DTI10" s="3438"/>
      <c r="DTJ10" s="3438"/>
      <c r="DTK10" s="3438"/>
      <c r="DTL10" s="3438"/>
      <c r="DTM10" s="3438"/>
      <c r="DTN10" s="3438"/>
      <c r="DTO10" s="3438"/>
      <c r="DTP10" s="3438"/>
      <c r="DTQ10" s="3438"/>
      <c r="DTR10" s="3438"/>
      <c r="DTS10" s="3438"/>
      <c r="DTT10" s="3438"/>
      <c r="DTU10" s="3438"/>
      <c r="DTV10" s="3438"/>
      <c r="DTW10" s="3438"/>
      <c r="DTX10" s="3438"/>
      <c r="DTY10" s="3438"/>
      <c r="DTZ10" s="3438"/>
      <c r="DUA10" s="3438"/>
      <c r="DUB10" s="3438"/>
      <c r="DUC10" s="3438"/>
      <c r="DUD10" s="3438"/>
      <c r="DUE10" s="3438"/>
      <c r="DUF10" s="3438"/>
      <c r="DUG10" s="3438"/>
      <c r="DUH10" s="3438"/>
      <c r="DUI10" s="3438"/>
      <c r="DUJ10" s="3438"/>
      <c r="DUK10" s="3438"/>
      <c r="DUL10" s="3438"/>
      <c r="DUM10" s="3438"/>
      <c r="DUN10" s="3438"/>
      <c r="DUO10" s="3438"/>
      <c r="DUP10" s="3438"/>
      <c r="DUQ10" s="3438"/>
      <c r="DUR10" s="3438"/>
      <c r="DUS10" s="3438"/>
      <c r="DUT10" s="3438"/>
      <c r="DUU10" s="3438"/>
      <c r="DUV10" s="3438"/>
      <c r="DUW10" s="3438"/>
      <c r="DUX10" s="3438"/>
      <c r="DUY10" s="3438"/>
      <c r="DUZ10" s="3438"/>
      <c r="DVA10" s="3438"/>
      <c r="DVB10" s="3438"/>
      <c r="DVC10" s="3438"/>
      <c r="DVD10" s="3438"/>
      <c r="DVE10" s="3438"/>
      <c r="DVF10" s="3438"/>
      <c r="DVG10" s="3438"/>
      <c r="DVH10" s="3438"/>
      <c r="DVI10" s="3438"/>
      <c r="DVJ10" s="3438"/>
      <c r="DVK10" s="3438"/>
      <c r="DVL10" s="3438"/>
      <c r="DVM10" s="3438"/>
      <c r="DVN10" s="3438"/>
      <c r="DVO10" s="3438"/>
      <c r="DVP10" s="3438"/>
      <c r="DVQ10" s="3438"/>
      <c r="DVR10" s="3438"/>
      <c r="DVS10" s="3438"/>
      <c r="DVT10" s="3438"/>
      <c r="DVU10" s="3438"/>
      <c r="DVV10" s="3438"/>
      <c r="DVW10" s="3438"/>
      <c r="DVX10" s="3438"/>
      <c r="DVY10" s="3438"/>
      <c r="DVZ10" s="3438"/>
      <c r="DWA10" s="3438"/>
      <c r="DWB10" s="3438"/>
      <c r="DWC10" s="3438"/>
      <c r="DWD10" s="3438"/>
      <c r="DWE10" s="3438"/>
      <c r="DWF10" s="3438"/>
      <c r="DWG10" s="3438"/>
      <c r="DWH10" s="3438"/>
      <c r="DWI10" s="3438"/>
      <c r="DWJ10" s="3438"/>
      <c r="DWK10" s="3438"/>
      <c r="DWL10" s="3438"/>
      <c r="DWM10" s="3438"/>
      <c r="DWN10" s="3438"/>
      <c r="DWO10" s="3438"/>
      <c r="DWP10" s="3438"/>
      <c r="DWQ10" s="3438"/>
      <c r="DWR10" s="3438"/>
      <c r="DWS10" s="3438"/>
      <c r="DWT10" s="3438"/>
      <c r="DWU10" s="3438"/>
      <c r="DWV10" s="3438"/>
      <c r="DWW10" s="3438"/>
      <c r="DWX10" s="3438"/>
      <c r="DWY10" s="3438"/>
      <c r="DWZ10" s="3438"/>
      <c r="DXA10" s="3438"/>
      <c r="DXB10" s="3438"/>
      <c r="DXC10" s="3438"/>
      <c r="DXD10" s="3438"/>
      <c r="DXE10" s="3438"/>
      <c r="DXF10" s="3438"/>
      <c r="DXG10" s="3438"/>
      <c r="DXH10" s="3438"/>
      <c r="DXI10" s="3438"/>
      <c r="DXJ10" s="3438"/>
      <c r="DXK10" s="3438"/>
      <c r="DXL10" s="3438"/>
      <c r="DXM10" s="3438"/>
      <c r="DXN10" s="3438"/>
      <c r="DXO10" s="3438"/>
      <c r="DXP10" s="3438"/>
      <c r="DXQ10" s="3438"/>
      <c r="DXR10" s="3438"/>
      <c r="DXS10" s="3438"/>
      <c r="DXT10" s="3438"/>
      <c r="DXU10" s="3438"/>
      <c r="DXV10" s="3438"/>
      <c r="DXW10" s="3438"/>
      <c r="DXX10" s="3438"/>
      <c r="DXY10" s="3438"/>
      <c r="DXZ10" s="3438"/>
      <c r="DYA10" s="3438"/>
      <c r="DYB10" s="3438"/>
      <c r="DYC10" s="3438"/>
      <c r="DYD10" s="3438"/>
      <c r="DYE10" s="3438"/>
      <c r="DYF10" s="3438"/>
      <c r="DYG10" s="3438"/>
      <c r="DYH10" s="3438"/>
      <c r="DYI10" s="3438"/>
      <c r="DYJ10" s="3438"/>
      <c r="DYK10" s="3438"/>
      <c r="DYL10" s="3438"/>
      <c r="DYM10" s="3438"/>
      <c r="DYN10" s="3438"/>
      <c r="DYO10" s="3438"/>
      <c r="DYP10" s="3438"/>
      <c r="DYQ10" s="3438"/>
      <c r="DYR10" s="3438"/>
      <c r="DYS10" s="3438"/>
      <c r="DYT10" s="3438"/>
      <c r="DYU10" s="3438"/>
      <c r="DYV10" s="3438"/>
      <c r="DYW10" s="3438"/>
      <c r="DYX10" s="3438"/>
      <c r="DYY10" s="3438"/>
      <c r="DYZ10" s="3438"/>
      <c r="DZA10" s="3438"/>
      <c r="DZB10" s="3438"/>
      <c r="DZC10" s="3438"/>
      <c r="DZD10" s="3438"/>
      <c r="DZE10" s="3438"/>
      <c r="DZF10" s="3438"/>
      <c r="DZG10" s="3438"/>
      <c r="DZH10" s="3438"/>
      <c r="DZI10" s="3438"/>
      <c r="DZJ10" s="3438"/>
      <c r="DZK10" s="3438"/>
      <c r="DZL10" s="3438"/>
      <c r="DZM10" s="3438"/>
      <c r="DZN10" s="3438"/>
      <c r="DZO10" s="3438"/>
      <c r="DZP10" s="3438"/>
      <c r="DZQ10" s="3438"/>
      <c r="DZR10" s="3438"/>
      <c r="DZS10" s="3438"/>
      <c r="DZT10" s="3438"/>
      <c r="DZU10" s="3438"/>
      <c r="DZV10" s="3438"/>
      <c r="DZW10" s="3438"/>
      <c r="DZX10" s="3438"/>
      <c r="DZY10" s="3438"/>
      <c r="DZZ10" s="3438"/>
      <c r="EAA10" s="3438"/>
      <c r="EAB10" s="3438"/>
      <c r="EAC10" s="3438"/>
      <c r="EAD10" s="3438"/>
      <c r="EAE10" s="3438"/>
      <c r="EAF10" s="3438"/>
      <c r="EAG10" s="3438"/>
      <c r="EAH10" s="3438"/>
      <c r="EAI10" s="3438"/>
      <c r="EAJ10" s="3438"/>
      <c r="EAK10" s="3438"/>
      <c r="EAL10" s="3438"/>
      <c r="EAM10" s="3438"/>
      <c r="EAN10" s="3438"/>
      <c r="EAO10" s="3438"/>
      <c r="EAP10" s="3438"/>
      <c r="EAQ10" s="3438"/>
      <c r="EAR10" s="3438"/>
      <c r="EAS10" s="3438"/>
      <c r="EAT10" s="3438"/>
      <c r="EAU10" s="3438"/>
      <c r="EAV10" s="3438"/>
      <c r="EAW10" s="3438"/>
      <c r="EAX10" s="3438"/>
      <c r="EAY10" s="3438"/>
      <c r="EAZ10" s="3438"/>
      <c r="EBA10" s="3438"/>
      <c r="EBB10" s="3438"/>
      <c r="EBC10" s="3438"/>
      <c r="EBD10" s="3438"/>
      <c r="EBE10" s="3438"/>
      <c r="EBF10" s="3438"/>
      <c r="EBG10" s="3438"/>
      <c r="EBH10" s="3438"/>
      <c r="EBI10" s="3438"/>
      <c r="EBJ10" s="3438"/>
      <c r="EBK10" s="3438"/>
      <c r="EBL10" s="3438"/>
      <c r="EBM10" s="3438"/>
      <c r="EBN10" s="3438"/>
      <c r="EBO10" s="3438"/>
      <c r="EBP10" s="3438"/>
      <c r="EBQ10" s="3438"/>
      <c r="EBR10" s="3438"/>
      <c r="EBS10" s="3438"/>
      <c r="EBT10" s="3438"/>
      <c r="EBU10" s="3438"/>
      <c r="EBV10" s="3438"/>
      <c r="EBW10" s="3438"/>
      <c r="EBX10" s="3438"/>
      <c r="EBY10" s="3438"/>
      <c r="EBZ10" s="3438"/>
      <c r="ECA10" s="3438"/>
      <c r="ECB10" s="3438"/>
      <c r="ECC10" s="3438"/>
      <c r="ECD10" s="3438"/>
      <c r="ECE10" s="3438"/>
      <c r="ECF10" s="3438"/>
      <c r="ECG10" s="3438"/>
      <c r="ECH10" s="3438"/>
      <c r="ECI10" s="3438"/>
      <c r="ECJ10" s="3438"/>
      <c r="ECK10" s="3438"/>
      <c r="ECL10" s="3438"/>
      <c r="ECM10" s="3438"/>
      <c r="ECN10" s="3438"/>
      <c r="ECO10" s="3438"/>
      <c r="ECP10" s="3438"/>
      <c r="ECQ10" s="3438"/>
      <c r="ECR10" s="3438"/>
      <c r="ECS10" s="3438"/>
      <c r="ECT10" s="3438"/>
      <c r="ECU10" s="3438"/>
      <c r="ECV10" s="3438"/>
      <c r="ECW10" s="3438"/>
      <c r="ECX10" s="3438"/>
      <c r="ECY10" s="3438"/>
      <c r="ECZ10" s="3438"/>
      <c r="EDA10" s="3438"/>
      <c r="EDB10" s="3438"/>
      <c r="EDC10" s="3438"/>
      <c r="EDD10" s="3438"/>
      <c r="EDE10" s="3438"/>
      <c r="EDF10" s="3438"/>
      <c r="EDG10" s="3438"/>
      <c r="EDH10" s="3438"/>
      <c r="EDI10" s="3438"/>
      <c r="EDJ10" s="3438"/>
      <c r="EDK10" s="3438"/>
      <c r="EDL10" s="3438"/>
      <c r="EDM10" s="3438"/>
      <c r="EDN10" s="3438"/>
      <c r="EDO10" s="3438"/>
      <c r="EDP10" s="3438"/>
      <c r="EDQ10" s="3438"/>
      <c r="EDR10" s="3438"/>
      <c r="EDS10" s="3438"/>
      <c r="EDT10" s="3438"/>
      <c r="EDU10" s="3438"/>
      <c r="EDV10" s="3438"/>
      <c r="EDW10" s="3438"/>
      <c r="EDX10" s="3438"/>
      <c r="EDY10" s="3438"/>
      <c r="EDZ10" s="3438"/>
      <c r="EEA10" s="3438"/>
      <c r="EEB10" s="3438"/>
      <c r="EEC10" s="3438"/>
      <c r="EED10" s="3438"/>
      <c r="EEE10" s="3438"/>
      <c r="EEF10" s="3438"/>
      <c r="EEG10" s="3438"/>
      <c r="EEH10" s="3438"/>
      <c r="EEI10" s="3438"/>
      <c r="EEJ10" s="3438"/>
      <c r="EEK10" s="3438"/>
      <c r="EEL10" s="3438"/>
      <c r="EEM10" s="3438"/>
      <c r="EEN10" s="3438"/>
      <c r="EEO10" s="3438"/>
      <c r="EEP10" s="3438"/>
      <c r="EEQ10" s="3438"/>
      <c r="EER10" s="3438"/>
      <c r="EES10" s="3438"/>
      <c r="EET10" s="3438"/>
      <c r="EEU10" s="3438"/>
      <c r="EEV10" s="3438"/>
      <c r="EEW10" s="3438"/>
      <c r="EEX10" s="3438"/>
      <c r="EEY10" s="3438"/>
      <c r="EEZ10" s="3438"/>
      <c r="EFA10" s="3438"/>
      <c r="EFB10" s="3438"/>
      <c r="EFC10" s="3438"/>
      <c r="EFD10" s="3438"/>
      <c r="EFE10" s="3438"/>
      <c r="EFF10" s="3438"/>
      <c r="EFG10" s="3438"/>
      <c r="EFH10" s="3438"/>
      <c r="EFI10" s="3438"/>
      <c r="EFJ10" s="3438"/>
      <c r="EFK10" s="3438"/>
      <c r="EFL10" s="3438"/>
      <c r="EFM10" s="3438"/>
      <c r="EFN10" s="3438"/>
      <c r="EFO10" s="3438"/>
      <c r="EFP10" s="3438"/>
      <c r="EFQ10" s="3438"/>
      <c r="EFR10" s="3438"/>
      <c r="EFS10" s="3438"/>
      <c r="EFT10" s="3438"/>
      <c r="EFU10" s="3438"/>
      <c r="EFV10" s="3438"/>
      <c r="EFW10" s="3438"/>
      <c r="EFX10" s="3438"/>
      <c r="EFY10" s="3438"/>
      <c r="EFZ10" s="3438"/>
      <c r="EGA10" s="3438"/>
      <c r="EGB10" s="3438"/>
      <c r="EGC10" s="3438"/>
      <c r="EGD10" s="3438"/>
      <c r="EGE10" s="3438"/>
      <c r="EGF10" s="3438"/>
      <c r="EGG10" s="3438"/>
      <c r="EGH10" s="3438"/>
      <c r="EGI10" s="3438"/>
      <c r="EGJ10" s="3438"/>
      <c r="EGK10" s="3438"/>
      <c r="EGL10" s="3438"/>
      <c r="EGM10" s="3438"/>
      <c r="EGN10" s="3438"/>
      <c r="EGO10" s="3438"/>
      <c r="EGP10" s="3438"/>
      <c r="EGQ10" s="3438"/>
      <c r="EGR10" s="3438"/>
      <c r="EGS10" s="3438"/>
      <c r="EGT10" s="3438"/>
      <c r="EGU10" s="3438"/>
      <c r="EGV10" s="3438"/>
      <c r="EGW10" s="3438"/>
      <c r="EGX10" s="3438"/>
      <c r="EGY10" s="3438"/>
      <c r="EGZ10" s="3438"/>
      <c r="EHA10" s="3438"/>
      <c r="EHB10" s="3438"/>
      <c r="EHC10" s="3438"/>
      <c r="EHD10" s="3438"/>
      <c r="EHE10" s="3438"/>
      <c r="EHF10" s="3438"/>
      <c r="EHG10" s="3438"/>
      <c r="EHH10" s="3438"/>
      <c r="EHI10" s="3438"/>
      <c r="EHJ10" s="3438"/>
      <c r="EHK10" s="3438"/>
      <c r="EHL10" s="3438"/>
      <c r="EHM10" s="3438"/>
      <c r="EHN10" s="3438"/>
      <c r="EHO10" s="3438"/>
      <c r="EHP10" s="3438"/>
      <c r="EHQ10" s="3438"/>
      <c r="EHR10" s="3438"/>
      <c r="EHS10" s="3438"/>
      <c r="EHT10" s="3438"/>
      <c r="EHU10" s="3438"/>
      <c r="EHV10" s="3438"/>
      <c r="EHW10" s="3438"/>
      <c r="EHX10" s="3438"/>
      <c r="EHY10" s="3438"/>
      <c r="EHZ10" s="3438"/>
      <c r="EIA10" s="3438"/>
      <c r="EIB10" s="3438"/>
      <c r="EIC10" s="3438"/>
      <c r="EID10" s="3438"/>
      <c r="EIE10" s="3438"/>
      <c r="EIF10" s="3438"/>
      <c r="EIG10" s="3438"/>
      <c r="EIH10" s="3438"/>
      <c r="EII10" s="3438"/>
      <c r="EIJ10" s="3438"/>
      <c r="EIK10" s="3438"/>
      <c r="EIL10" s="3438"/>
      <c r="EIM10" s="3438"/>
      <c r="EIN10" s="3438"/>
      <c r="EIO10" s="3438"/>
      <c r="EIP10" s="3438"/>
      <c r="EIQ10" s="3438"/>
      <c r="EIR10" s="3438"/>
      <c r="EIS10" s="3438"/>
      <c r="EIT10" s="3438"/>
      <c r="EIU10" s="3438"/>
      <c r="EIV10" s="3438"/>
      <c r="EIW10" s="3438"/>
      <c r="EIX10" s="3438"/>
      <c r="EIY10" s="3438"/>
      <c r="EIZ10" s="3438"/>
      <c r="EJA10" s="3438"/>
      <c r="EJB10" s="3438"/>
      <c r="EJC10" s="3438"/>
      <c r="EJD10" s="3438"/>
      <c r="EJE10" s="3438"/>
      <c r="EJF10" s="3438"/>
      <c r="EJG10" s="3438"/>
      <c r="EJH10" s="3438"/>
      <c r="EJI10" s="3438"/>
      <c r="EJJ10" s="3438"/>
      <c r="EJK10" s="3438"/>
      <c r="EJL10" s="3438"/>
      <c r="EJM10" s="3438"/>
      <c r="EJN10" s="3438"/>
      <c r="EJO10" s="3438"/>
      <c r="EJP10" s="3438"/>
      <c r="EJQ10" s="3438"/>
      <c r="EJR10" s="3438"/>
      <c r="EJS10" s="3438"/>
      <c r="EJT10" s="3438"/>
      <c r="EJU10" s="3438"/>
      <c r="EJV10" s="3438"/>
      <c r="EJW10" s="3438"/>
      <c r="EJX10" s="3438"/>
      <c r="EJY10" s="3438"/>
      <c r="EJZ10" s="3438"/>
      <c r="EKA10" s="3438"/>
      <c r="EKB10" s="3438"/>
      <c r="EKC10" s="3438"/>
      <c r="EKD10" s="3438"/>
      <c r="EKE10" s="3438"/>
      <c r="EKF10" s="3438"/>
      <c r="EKG10" s="3438"/>
      <c r="EKH10" s="3438"/>
      <c r="EKI10" s="3438"/>
      <c r="EKJ10" s="3438"/>
      <c r="EKK10" s="3438"/>
      <c r="EKL10" s="3438"/>
      <c r="EKM10" s="3438"/>
      <c r="EKN10" s="3438"/>
      <c r="EKO10" s="3438"/>
      <c r="EKP10" s="3438"/>
      <c r="EKQ10" s="3438"/>
      <c r="EKR10" s="3438"/>
      <c r="EKS10" s="3438"/>
      <c r="EKT10" s="3438"/>
      <c r="EKU10" s="3438"/>
      <c r="EKV10" s="3438"/>
      <c r="EKW10" s="3438"/>
      <c r="EKX10" s="3438"/>
      <c r="EKY10" s="3438"/>
      <c r="EKZ10" s="3438"/>
      <c r="ELA10" s="3438"/>
      <c r="ELB10" s="3438"/>
      <c r="ELC10" s="3438"/>
      <c r="ELD10" s="3438"/>
      <c r="ELE10" s="3438"/>
      <c r="ELF10" s="3438"/>
      <c r="ELG10" s="3438"/>
      <c r="ELH10" s="3438"/>
      <c r="ELI10" s="3438"/>
      <c r="ELJ10" s="3438"/>
      <c r="ELK10" s="3438"/>
      <c r="ELL10" s="3438"/>
      <c r="ELM10" s="3438"/>
      <c r="ELN10" s="3438"/>
      <c r="ELO10" s="3438"/>
      <c r="ELP10" s="3438"/>
      <c r="ELQ10" s="3438"/>
      <c r="ELR10" s="3438"/>
      <c r="ELS10" s="3438"/>
      <c r="ELT10" s="3438"/>
      <c r="ELU10" s="3438"/>
      <c r="ELV10" s="3438"/>
      <c r="ELW10" s="3438"/>
      <c r="ELX10" s="3438"/>
      <c r="ELY10" s="3438"/>
      <c r="ELZ10" s="3438"/>
      <c r="EMA10" s="3438"/>
      <c r="EMB10" s="3438"/>
      <c r="EMC10" s="3438"/>
      <c r="EMD10" s="3438"/>
      <c r="EME10" s="3438"/>
      <c r="EMF10" s="3438"/>
      <c r="EMG10" s="3438"/>
      <c r="EMH10" s="3438"/>
      <c r="EMI10" s="3438"/>
      <c r="EMJ10" s="3438"/>
      <c r="EMK10" s="3438"/>
      <c r="EML10" s="3438"/>
      <c r="EMM10" s="3438"/>
      <c r="EMN10" s="3438"/>
      <c r="EMO10" s="3438"/>
      <c r="EMP10" s="3438"/>
      <c r="EMQ10" s="3438"/>
      <c r="EMR10" s="3438"/>
      <c r="EMS10" s="3438"/>
      <c r="EMT10" s="3438"/>
      <c r="EMU10" s="3438"/>
      <c r="EMV10" s="3438"/>
      <c r="EMW10" s="3438"/>
      <c r="EMX10" s="3438"/>
      <c r="EMY10" s="3438"/>
      <c r="EMZ10" s="3438"/>
      <c r="ENA10" s="3438"/>
      <c r="ENB10" s="3438"/>
      <c r="ENC10" s="3438"/>
      <c r="END10" s="3438"/>
      <c r="ENE10" s="3438"/>
      <c r="ENF10" s="3438"/>
      <c r="ENG10" s="3438"/>
      <c r="ENH10" s="3438"/>
      <c r="ENI10" s="3438"/>
      <c r="ENJ10" s="3438"/>
      <c r="ENK10" s="3438"/>
      <c r="ENL10" s="3438"/>
      <c r="ENM10" s="3438"/>
      <c r="ENN10" s="3438"/>
      <c r="ENO10" s="3438"/>
      <c r="ENP10" s="3438"/>
      <c r="ENQ10" s="3438"/>
      <c r="ENR10" s="3438"/>
      <c r="ENS10" s="3438"/>
      <c r="ENT10" s="3438"/>
      <c r="ENU10" s="3438"/>
      <c r="ENV10" s="3438"/>
      <c r="ENW10" s="3438"/>
      <c r="ENX10" s="3438"/>
      <c r="ENY10" s="3438"/>
      <c r="ENZ10" s="3438"/>
      <c r="EOA10" s="3438"/>
      <c r="EOB10" s="3438"/>
      <c r="EOC10" s="3438"/>
      <c r="EOD10" s="3438"/>
      <c r="EOE10" s="3438"/>
      <c r="EOF10" s="3438"/>
      <c r="EOG10" s="3438"/>
      <c r="EOH10" s="3438"/>
      <c r="EOI10" s="3438"/>
      <c r="EOJ10" s="3438"/>
      <c r="EOK10" s="3438"/>
      <c r="EOL10" s="3438"/>
      <c r="EOM10" s="3438"/>
      <c r="EON10" s="3438"/>
      <c r="EOO10" s="3438"/>
      <c r="EOP10" s="3438"/>
      <c r="EOQ10" s="3438"/>
      <c r="EOR10" s="3438"/>
      <c r="EOS10" s="3438"/>
      <c r="EOT10" s="3438"/>
      <c r="EOU10" s="3438"/>
      <c r="EOV10" s="3438"/>
      <c r="EOW10" s="3438"/>
      <c r="EOX10" s="3438"/>
      <c r="EOY10" s="3438"/>
      <c r="EOZ10" s="3438"/>
      <c r="EPA10" s="3438"/>
      <c r="EPB10" s="3438"/>
      <c r="EPC10" s="3438"/>
      <c r="EPD10" s="3438"/>
      <c r="EPE10" s="3438"/>
      <c r="EPF10" s="3438"/>
      <c r="EPG10" s="3438"/>
      <c r="EPH10" s="3438"/>
      <c r="EPI10" s="3438"/>
      <c r="EPJ10" s="3438"/>
      <c r="EPK10" s="3438"/>
      <c r="EPL10" s="3438"/>
      <c r="EPM10" s="3438"/>
      <c r="EPN10" s="3438"/>
      <c r="EPO10" s="3438"/>
      <c r="EPP10" s="3438"/>
      <c r="EPQ10" s="3438"/>
      <c r="EPR10" s="3438"/>
      <c r="EPS10" s="3438"/>
      <c r="EPT10" s="3438"/>
      <c r="EPU10" s="3438"/>
      <c r="EPV10" s="3438"/>
      <c r="EPW10" s="3438"/>
      <c r="EPX10" s="3438"/>
      <c r="EPY10" s="3438"/>
      <c r="EPZ10" s="3438"/>
      <c r="EQA10" s="3438"/>
      <c r="EQB10" s="3438"/>
      <c r="EQC10" s="3438"/>
      <c r="EQD10" s="3438"/>
      <c r="EQE10" s="3438"/>
      <c r="EQF10" s="3438"/>
      <c r="EQG10" s="3438"/>
      <c r="EQH10" s="3438"/>
      <c r="EQI10" s="3438"/>
      <c r="EQJ10" s="3438"/>
      <c r="EQK10" s="3438"/>
      <c r="EQL10" s="3438"/>
      <c r="EQM10" s="3438"/>
      <c r="EQN10" s="3438"/>
      <c r="EQO10" s="3438"/>
      <c r="EQP10" s="3438"/>
      <c r="EQQ10" s="3438"/>
      <c r="EQR10" s="3438"/>
      <c r="EQS10" s="3438"/>
      <c r="EQT10" s="3438"/>
      <c r="EQU10" s="3438"/>
      <c r="EQV10" s="3438"/>
      <c r="EQW10" s="3438"/>
      <c r="EQX10" s="3438"/>
      <c r="EQY10" s="3438"/>
      <c r="EQZ10" s="3438"/>
      <c r="ERA10" s="3438"/>
      <c r="ERB10" s="3438"/>
      <c r="ERC10" s="3438"/>
      <c r="ERD10" s="3438"/>
      <c r="ERE10" s="3438"/>
      <c r="ERF10" s="3438"/>
      <c r="ERG10" s="3438"/>
      <c r="ERH10" s="3438"/>
      <c r="ERI10" s="3438"/>
      <c r="ERJ10" s="3438"/>
      <c r="ERK10" s="3438"/>
      <c r="ERL10" s="3438"/>
      <c r="ERM10" s="3438"/>
      <c r="ERN10" s="3438"/>
      <c r="ERO10" s="3438"/>
      <c r="ERP10" s="3438"/>
      <c r="ERQ10" s="3438"/>
      <c r="ERR10" s="3438"/>
      <c r="ERS10" s="3438"/>
      <c r="ERT10" s="3438"/>
      <c r="ERU10" s="3438"/>
      <c r="ERV10" s="3438"/>
      <c r="ERW10" s="3438"/>
      <c r="ERX10" s="3438"/>
      <c r="ERY10" s="3438"/>
      <c r="ERZ10" s="3438"/>
      <c r="ESA10" s="3438"/>
      <c r="ESB10" s="3438"/>
      <c r="ESC10" s="3438"/>
      <c r="ESD10" s="3438"/>
      <c r="ESE10" s="3438"/>
      <c r="ESF10" s="3438"/>
      <c r="ESG10" s="3438"/>
      <c r="ESH10" s="3438"/>
      <c r="ESI10" s="3438"/>
      <c r="ESJ10" s="3438"/>
      <c r="ESK10" s="3438"/>
      <c r="ESL10" s="3438"/>
      <c r="ESM10" s="3438"/>
      <c r="ESN10" s="3438"/>
      <c r="ESO10" s="3438"/>
      <c r="ESP10" s="3438"/>
      <c r="ESQ10" s="3438"/>
      <c r="ESR10" s="3438"/>
      <c r="ESS10" s="3438"/>
      <c r="EST10" s="3438"/>
      <c r="ESU10" s="3438"/>
      <c r="ESV10" s="3438"/>
      <c r="ESW10" s="3438"/>
      <c r="ESX10" s="3438"/>
      <c r="ESY10" s="3438"/>
      <c r="ESZ10" s="3438"/>
      <c r="ETA10" s="3438"/>
      <c r="ETB10" s="3438"/>
      <c r="ETC10" s="3438"/>
      <c r="ETD10" s="3438"/>
      <c r="ETE10" s="3438"/>
      <c r="ETF10" s="3438"/>
      <c r="ETG10" s="3438"/>
      <c r="ETH10" s="3438"/>
      <c r="ETI10" s="3438"/>
      <c r="ETJ10" s="3438"/>
      <c r="ETK10" s="3438"/>
      <c r="ETL10" s="3438"/>
      <c r="ETM10" s="3438"/>
      <c r="ETN10" s="3438"/>
      <c r="ETO10" s="3438"/>
      <c r="ETP10" s="3438"/>
      <c r="ETQ10" s="3438"/>
      <c r="ETR10" s="3438"/>
      <c r="ETS10" s="3438"/>
      <c r="ETT10" s="3438"/>
      <c r="ETU10" s="3438"/>
      <c r="ETV10" s="3438"/>
      <c r="ETW10" s="3438"/>
      <c r="ETX10" s="3438"/>
      <c r="ETY10" s="3438"/>
      <c r="ETZ10" s="3438"/>
      <c r="EUA10" s="3438"/>
      <c r="EUB10" s="3438"/>
      <c r="EUC10" s="3438"/>
      <c r="EUD10" s="3438"/>
      <c r="EUE10" s="3438"/>
      <c r="EUF10" s="3438"/>
      <c r="EUG10" s="3438"/>
      <c r="EUH10" s="3438"/>
      <c r="EUI10" s="3438"/>
      <c r="EUJ10" s="3438"/>
      <c r="EUK10" s="3438"/>
      <c r="EUL10" s="3438"/>
      <c r="EUM10" s="3438"/>
      <c r="EUN10" s="3438"/>
      <c r="EUO10" s="3438"/>
      <c r="EUP10" s="3438"/>
      <c r="EUQ10" s="3438"/>
      <c r="EUR10" s="3438"/>
      <c r="EUS10" s="3438"/>
      <c r="EUT10" s="3438"/>
      <c r="EUU10" s="3438"/>
      <c r="EUV10" s="3438"/>
      <c r="EUW10" s="3438"/>
      <c r="EUX10" s="3438"/>
      <c r="EUY10" s="3438"/>
      <c r="EUZ10" s="3438"/>
      <c r="EVA10" s="3438"/>
      <c r="EVB10" s="3438"/>
      <c r="EVC10" s="3438"/>
      <c r="EVD10" s="3438"/>
      <c r="EVE10" s="3438"/>
      <c r="EVF10" s="3438"/>
      <c r="EVG10" s="3438"/>
      <c r="EVH10" s="3438"/>
      <c r="EVI10" s="3438"/>
      <c r="EVJ10" s="3438"/>
      <c r="EVK10" s="3438"/>
      <c r="EVL10" s="3438"/>
      <c r="EVM10" s="3438"/>
      <c r="EVN10" s="3438"/>
      <c r="EVO10" s="3438"/>
      <c r="EVP10" s="3438"/>
      <c r="EVQ10" s="3438"/>
      <c r="EVR10" s="3438"/>
      <c r="EVS10" s="3438"/>
      <c r="EVT10" s="3438"/>
      <c r="EVU10" s="3438"/>
      <c r="EVV10" s="3438"/>
      <c r="EVW10" s="3438"/>
      <c r="EVX10" s="3438"/>
      <c r="EVY10" s="3438"/>
      <c r="EVZ10" s="3438"/>
      <c r="EWA10" s="3438"/>
      <c r="EWB10" s="3438"/>
      <c r="EWC10" s="3438"/>
      <c r="EWD10" s="3438"/>
      <c r="EWE10" s="3438"/>
      <c r="EWF10" s="3438"/>
      <c r="EWG10" s="3438"/>
      <c r="EWH10" s="3438"/>
      <c r="EWI10" s="3438"/>
      <c r="EWJ10" s="3438"/>
      <c r="EWK10" s="3438"/>
      <c r="EWL10" s="3438"/>
      <c r="EWM10" s="3438"/>
      <c r="EWN10" s="3438"/>
      <c r="EWO10" s="3438"/>
      <c r="EWP10" s="3438"/>
      <c r="EWQ10" s="3438"/>
      <c r="EWR10" s="3438"/>
      <c r="EWS10" s="3438"/>
      <c r="EWT10" s="3438"/>
      <c r="EWU10" s="3438"/>
      <c r="EWV10" s="3438"/>
      <c r="EWW10" s="3438"/>
      <c r="EWX10" s="3438"/>
      <c r="EWY10" s="3438"/>
      <c r="EWZ10" s="3438"/>
      <c r="EXA10" s="3438"/>
      <c r="EXB10" s="3438"/>
      <c r="EXC10" s="3438"/>
      <c r="EXD10" s="3438"/>
      <c r="EXE10" s="3438"/>
      <c r="EXF10" s="3438"/>
      <c r="EXG10" s="3438"/>
      <c r="EXH10" s="3438"/>
      <c r="EXI10" s="3438"/>
      <c r="EXJ10" s="3438"/>
      <c r="EXK10" s="3438"/>
      <c r="EXL10" s="3438"/>
      <c r="EXM10" s="3438"/>
      <c r="EXN10" s="3438"/>
      <c r="EXO10" s="3438"/>
      <c r="EXP10" s="3438"/>
      <c r="EXQ10" s="3438"/>
      <c r="EXR10" s="3438"/>
      <c r="EXS10" s="3438"/>
      <c r="EXT10" s="3438"/>
      <c r="EXU10" s="3438"/>
      <c r="EXV10" s="3438"/>
      <c r="EXW10" s="3438"/>
      <c r="EXX10" s="3438"/>
      <c r="EXY10" s="3438"/>
      <c r="EXZ10" s="3438"/>
      <c r="EYA10" s="3438"/>
      <c r="EYB10" s="3438"/>
      <c r="EYC10" s="3438"/>
      <c r="EYD10" s="3438"/>
      <c r="EYE10" s="3438"/>
      <c r="EYF10" s="3438"/>
      <c r="EYG10" s="3438"/>
      <c r="EYH10" s="3438"/>
      <c r="EYI10" s="3438"/>
      <c r="EYJ10" s="3438"/>
      <c r="EYK10" s="3438"/>
      <c r="EYL10" s="3438"/>
      <c r="EYM10" s="3438"/>
      <c r="EYN10" s="3438"/>
      <c r="EYO10" s="3438"/>
      <c r="EYP10" s="3438"/>
      <c r="EYQ10" s="3438"/>
      <c r="EYR10" s="3438"/>
      <c r="EYS10" s="3438"/>
      <c r="EYT10" s="3438"/>
      <c r="EYU10" s="3438"/>
      <c r="EYV10" s="3438"/>
      <c r="EYW10" s="3438"/>
      <c r="EYX10" s="3438"/>
      <c r="EYY10" s="3438"/>
      <c r="EYZ10" s="3438"/>
      <c r="EZA10" s="3438"/>
      <c r="EZB10" s="3438"/>
      <c r="EZC10" s="3438"/>
      <c r="EZD10" s="3438"/>
      <c r="EZE10" s="3438"/>
      <c r="EZF10" s="3438"/>
      <c r="EZG10" s="3438"/>
      <c r="EZH10" s="3438"/>
      <c r="EZI10" s="3438"/>
      <c r="EZJ10" s="3438"/>
      <c r="EZK10" s="3438"/>
      <c r="EZL10" s="3438"/>
      <c r="EZM10" s="3438"/>
      <c r="EZN10" s="3438"/>
      <c r="EZO10" s="3438"/>
      <c r="EZP10" s="3438"/>
      <c r="EZQ10" s="3438"/>
      <c r="EZR10" s="3438"/>
      <c r="EZS10" s="3438"/>
      <c r="EZT10" s="3438"/>
      <c r="EZU10" s="3438"/>
      <c r="EZV10" s="3438"/>
      <c r="EZW10" s="3438"/>
      <c r="EZX10" s="3438"/>
      <c r="EZY10" s="3438"/>
      <c r="EZZ10" s="3438"/>
      <c r="FAA10" s="3438"/>
      <c r="FAB10" s="3438"/>
      <c r="FAC10" s="3438"/>
      <c r="FAD10" s="3438"/>
      <c r="FAE10" s="3438"/>
      <c r="FAF10" s="3438"/>
      <c r="FAG10" s="3438"/>
      <c r="FAH10" s="3438"/>
      <c r="FAI10" s="3438"/>
      <c r="FAJ10" s="3438"/>
      <c r="FAK10" s="3438"/>
      <c r="FAL10" s="3438"/>
      <c r="FAM10" s="3438"/>
      <c r="FAN10" s="3438"/>
      <c r="FAO10" s="3438"/>
      <c r="FAP10" s="3438"/>
      <c r="FAQ10" s="3438"/>
      <c r="FAR10" s="3438"/>
      <c r="FAS10" s="3438"/>
      <c r="FAT10" s="3438"/>
      <c r="FAU10" s="3438"/>
      <c r="FAV10" s="3438"/>
      <c r="FAW10" s="3438"/>
      <c r="FAX10" s="3438"/>
      <c r="FAY10" s="3438"/>
      <c r="FAZ10" s="3438"/>
      <c r="FBA10" s="3438"/>
      <c r="FBB10" s="3438"/>
      <c r="FBC10" s="3438"/>
      <c r="FBD10" s="3438"/>
      <c r="FBE10" s="3438"/>
      <c r="FBF10" s="3438"/>
      <c r="FBG10" s="3438"/>
      <c r="FBH10" s="3438"/>
      <c r="FBI10" s="3438"/>
      <c r="FBJ10" s="3438"/>
      <c r="FBK10" s="3438"/>
      <c r="FBL10" s="3438"/>
      <c r="FBM10" s="3438"/>
      <c r="FBN10" s="3438"/>
      <c r="FBO10" s="3438"/>
      <c r="FBP10" s="3438"/>
      <c r="FBQ10" s="3438"/>
      <c r="FBR10" s="3438"/>
      <c r="FBS10" s="3438"/>
      <c r="FBT10" s="3438"/>
      <c r="FBU10" s="3438"/>
      <c r="FBV10" s="3438"/>
      <c r="FBW10" s="3438"/>
      <c r="FBX10" s="3438"/>
      <c r="FBY10" s="3438"/>
      <c r="FBZ10" s="3438"/>
      <c r="FCA10" s="3438"/>
      <c r="FCB10" s="3438"/>
      <c r="FCC10" s="3438"/>
      <c r="FCD10" s="3438"/>
      <c r="FCE10" s="3438"/>
      <c r="FCF10" s="3438"/>
      <c r="FCG10" s="3438"/>
      <c r="FCH10" s="3438"/>
      <c r="FCI10" s="3438"/>
      <c r="FCJ10" s="3438"/>
      <c r="FCK10" s="3438"/>
      <c r="FCL10" s="3438"/>
      <c r="FCM10" s="3438"/>
      <c r="FCN10" s="3438"/>
      <c r="FCO10" s="3438"/>
      <c r="FCP10" s="3438"/>
      <c r="FCQ10" s="3438"/>
      <c r="FCR10" s="3438"/>
      <c r="FCS10" s="3438"/>
      <c r="FCT10" s="3438"/>
      <c r="FCU10" s="3438"/>
      <c r="FCV10" s="3438"/>
      <c r="FCW10" s="3438"/>
      <c r="FCX10" s="3438"/>
      <c r="FCY10" s="3438"/>
      <c r="FCZ10" s="3438"/>
      <c r="FDA10" s="3438"/>
      <c r="FDB10" s="3438"/>
      <c r="FDC10" s="3438"/>
      <c r="FDD10" s="3438"/>
      <c r="FDE10" s="3438"/>
      <c r="FDF10" s="3438"/>
      <c r="FDG10" s="3438"/>
      <c r="FDH10" s="3438"/>
      <c r="FDI10" s="3438"/>
      <c r="FDJ10" s="3438"/>
      <c r="FDK10" s="3438"/>
      <c r="FDL10" s="3438"/>
      <c r="FDM10" s="3438"/>
      <c r="FDN10" s="3438"/>
      <c r="FDO10" s="3438"/>
      <c r="FDP10" s="3438"/>
      <c r="FDQ10" s="3438"/>
      <c r="FDR10" s="3438"/>
      <c r="FDS10" s="3438"/>
      <c r="FDT10" s="3438"/>
      <c r="FDU10" s="3438"/>
      <c r="FDV10" s="3438"/>
      <c r="FDW10" s="3438"/>
      <c r="FDX10" s="3438"/>
      <c r="FDY10" s="3438"/>
      <c r="FDZ10" s="3438"/>
      <c r="FEA10" s="3438"/>
      <c r="FEB10" s="3438"/>
      <c r="FEC10" s="3438"/>
      <c r="FED10" s="3438"/>
      <c r="FEE10" s="3438"/>
      <c r="FEF10" s="3438"/>
      <c r="FEG10" s="3438"/>
      <c r="FEH10" s="3438"/>
      <c r="FEI10" s="3438"/>
      <c r="FEJ10" s="3438"/>
      <c r="FEK10" s="3438"/>
      <c r="FEL10" s="3438"/>
      <c r="FEM10" s="3438"/>
      <c r="FEN10" s="3438"/>
      <c r="FEO10" s="3438"/>
      <c r="FEP10" s="3438"/>
      <c r="FEQ10" s="3438"/>
      <c r="FER10" s="3438"/>
      <c r="FES10" s="3438"/>
      <c r="FET10" s="3438"/>
      <c r="FEU10" s="3438"/>
      <c r="FEV10" s="3438"/>
      <c r="FEW10" s="3438"/>
      <c r="FEX10" s="3438"/>
      <c r="FEY10" s="3438"/>
      <c r="FEZ10" s="3438"/>
      <c r="FFA10" s="3438"/>
      <c r="FFB10" s="3438"/>
      <c r="FFC10" s="3438"/>
      <c r="FFD10" s="3438"/>
      <c r="FFE10" s="3438"/>
      <c r="FFF10" s="3438"/>
      <c r="FFG10" s="3438"/>
      <c r="FFH10" s="3438"/>
      <c r="FFI10" s="3438"/>
      <c r="FFJ10" s="3438"/>
      <c r="FFK10" s="3438"/>
      <c r="FFL10" s="3438"/>
      <c r="FFM10" s="3438"/>
      <c r="FFN10" s="3438"/>
      <c r="FFO10" s="3438"/>
      <c r="FFP10" s="3438"/>
      <c r="FFQ10" s="3438"/>
      <c r="FFR10" s="3438"/>
      <c r="FFS10" s="3438"/>
      <c r="FFT10" s="3438"/>
      <c r="FFU10" s="3438"/>
      <c r="FFV10" s="3438"/>
      <c r="FFW10" s="3438"/>
      <c r="FFX10" s="3438"/>
      <c r="FFY10" s="3438"/>
      <c r="FFZ10" s="3438"/>
      <c r="FGA10" s="3438"/>
      <c r="FGB10" s="3438"/>
      <c r="FGC10" s="3438"/>
      <c r="FGD10" s="3438"/>
      <c r="FGE10" s="3438"/>
      <c r="FGF10" s="3438"/>
      <c r="FGG10" s="3438"/>
      <c r="FGH10" s="3438"/>
      <c r="FGI10" s="3438"/>
      <c r="FGJ10" s="3438"/>
      <c r="FGK10" s="3438"/>
      <c r="FGL10" s="3438"/>
      <c r="FGM10" s="3438"/>
      <c r="FGN10" s="3438"/>
      <c r="FGO10" s="3438"/>
      <c r="FGP10" s="3438"/>
      <c r="FGQ10" s="3438"/>
      <c r="FGR10" s="3438"/>
      <c r="FGS10" s="3438"/>
      <c r="FGT10" s="3438"/>
      <c r="FGU10" s="3438"/>
      <c r="FGV10" s="3438"/>
      <c r="FGW10" s="3438"/>
      <c r="FGX10" s="3438"/>
      <c r="FGY10" s="3438"/>
      <c r="FGZ10" s="3438"/>
      <c r="FHA10" s="3438"/>
      <c r="FHB10" s="3438"/>
      <c r="FHC10" s="3438"/>
      <c r="FHD10" s="3438"/>
      <c r="FHE10" s="3438"/>
      <c r="FHF10" s="3438"/>
      <c r="FHG10" s="3438"/>
      <c r="FHH10" s="3438"/>
      <c r="FHI10" s="3438"/>
      <c r="FHJ10" s="3438"/>
      <c r="FHK10" s="3438"/>
      <c r="FHL10" s="3438"/>
      <c r="FHM10" s="3438"/>
      <c r="FHN10" s="3438"/>
      <c r="FHO10" s="3438"/>
      <c r="FHP10" s="3438"/>
      <c r="FHQ10" s="3438"/>
      <c r="FHR10" s="3438"/>
      <c r="FHS10" s="3438"/>
      <c r="FHT10" s="3438"/>
      <c r="FHU10" s="3438"/>
      <c r="FHV10" s="3438"/>
      <c r="FHW10" s="3438"/>
      <c r="FHX10" s="3438"/>
      <c r="FHY10" s="3438"/>
      <c r="FHZ10" s="3438"/>
      <c r="FIA10" s="3438"/>
      <c r="FIB10" s="3438"/>
      <c r="FIC10" s="3438"/>
      <c r="FID10" s="3438"/>
      <c r="FIE10" s="3438"/>
      <c r="FIF10" s="3438"/>
      <c r="FIG10" s="3438"/>
      <c r="FIH10" s="3438"/>
      <c r="FII10" s="3438"/>
      <c r="FIJ10" s="3438"/>
      <c r="FIK10" s="3438"/>
      <c r="FIL10" s="3438"/>
      <c r="FIM10" s="3438"/>
      <c r="FIN10" s="3438"/>
      <c r="FIO10" s="3438"/>
      <c r="FIP10" s="3438"/>
      <c r="FIQ10" s="3438"/>
      <c r="FIR10" s="3438"/>
      <c r="FIS10" s="3438"/>
      <c r="FIT10" s="3438"/>
      <c r="FIU10" s="3438"/>
      <c r="FIV10" s="3438"/>
      <c r="FIW10" s="3438"/>
      <c r="FIX10" s="3438"/>
      <c r="FIY10" s="3438"/>
      <c r="FIZ10" s="3438"/>
      <c r="FJA10" s="3438"/>
      <c r="FJB10" s="3438"/>
      <c r="FJC10" s="3438"/>
      <c r="FJD10" s="3438"/>
      <c r="FJE10" s="3438"/>
      <c r="FJF10" s="3438"/>
      <c r="FJG10" s="3438"/>
      <c r="FJH10" s="3438"/>
      <c r="FJI10" s="3438"/>
      <c r="FJJ10" s="3438"/>
      <c r="FJK10" s="3438"/>
      <c r="FJL10" s="3438"/>
      <c r="FJM10" s="3438"/>
      <c r="FJN10" s="3438"/>
      <c r="FJO10" s="3438"/>
      <c r="FJP10" s="3438"/>
      <c r="FJQ10" s="3438"/>
      <c r="FJR10" s="3438"/>
      <c r="FJS10" s="3438"/>
      <c r="FJT10" s="3438"/>
      <c r="FJU10" s="3438"/>
      <c r="FJV10" s="3438"/>
      <c r="FJW10" s="3438"/>
      <c r="FJX10" s="3438"/>
      <c r="FJY10" s="3438"/>
      <c r="FJZ10" s="3438"/>
      <c r="FKA10" s="3438"/>
      <c r="FKB10" s="3438"/>
      <c r="FKC10" s="3438"/>
      <c r="FKD10" s="3438"/>
      <c r="FKE10" s="3438"/>
      <c r="FKF10" s="3438"/>
      <c r="FKG10" s="3438"/>
      <c r="FKH10" s="3438"/>
      <c r="FKI10" s="3438"/>
      <c r="FKJ10" s="3438"/>
      <c r="FKK10" s="3438"/>
      <c r="FKL10" s="3438"/>
      <c r="FKM10" s="3438"/>
      <c r="FKN10" s="3438"/>
      <c r="FKO10" s="3438"/>
      <c r="FKP10" s="3438"/>
      <c r="FKQ10" s="3438"/>
      <c r="FKR10" s="3438"/>
      <c r="FKS10" s="3438"/>
      <c r="FKT10" s="3438"/>
      <c r="FKU10" s="3438"/>
      <c r="FKV10" s="3438"/>
      <c r="FKW10" s="3438"/>
      <c r="FKX10" s="3438"/>
      <c r="FKY10" s="3438"/>
      <c r="FKZ10" s="3438"/>
      <c r="FLA10" s="3438"/>
      <c r="FLB10" s="3438"/>
      <c r="FLC10" s="3438"/>
      <c r="FLD10" s="3438"/>
      <c r="FLE10" s="3438"/>
      <c r="FLF10" s="3438"/>
      <c r="FLG10" s="3438"/>
      <c r="FLH10" s="3438"/>
      <c r="FLI10" s="3438"/>
      <c r="FLJ10" s="3438"/>
      <c r="FLK10" s="3438"/>
      <c r="FLL10" s="3438"/>
      <c r="FLM10" s="3438"/>
      <c r="FLN10" s="3438"/>
      <c r="FLO10" s="3438"/>
      <c r="FLP10" s="3438"/>
      <c r="FLQ10" s="3438"/>
      <c r="FLR10" s="3438"/>
      <c r="FLS10" s="3438"/>
      <c r="FLT10" s="3438"/>
      <c r="FLU10" s="3438"/>
      <c r="FLV10" s="3438"/>
      <c r="FLW10" s="3438"/>
      <c r="FLX10" s="3438"/>
      <c r="FLY10" s="3438"/>
      <c r="FLZ10" s="3438"/>
      <c r="FMA10" s="3438"/>
      <c r="FMB10" s="3438"/>
      <c r="FMC10" s="3438"/>
      <c r="FMD10" s="3438"/>
      <c r="FME10" s="3438"/>
      <c r="FMF10" s="3438"/>
      <c r="FMG10" s="3438"/>
      <c r="FMH10" s="3438"/>
      <c r="FMI10" s="3438"/>
      <c r="FMJ10" s="3438"/>
      <c r="FMK10" s="3438"/>
      <c r="FML10" s="3438"/>
      <c r="FMM10" s="3438"/>
      <c r="FMN10" s="3438"/>
      <c r="FMO10" s="3438"/>
      <c r="FMP10" s="3438"/>
      <c r="FMQ10" s="3438"/>
      <c r="FMR10" s="3438"/>
      <c r="FMS10" s="3438"/>
      <c r="FMT10" s="3438"/>
      <c r="FMU10" s="3438"/>
      <c r="FMV10" s="3438"/>
      <c r="FMW10" s="3438"/>
      <c r="FMX10" s="3438"/>
      <c r="FMY10" s="3438"/>
      <c r="FMZ10" s="3438"/>
      <c r="FNA10" s="3438"/>
      <c r="FNB10" s="3438"/>
      <c r="FNC10" s="3438"/>
      <c r="FND10" s="3438"/>
      <c r="FNE10" s="3438"/>
      <c r="FNF10" s="3438"/>
      <c r="FNG10" s="3438"/>
      <c r="FNH10" s="3438"/>
      <c r="FNI10" s="3438"/>
      <c r="FNJ10" s="3438"/>
      <c r="FNK10" s="3438"/>
      <c r="FNL10" s="3438"/>
      <c r="FNM10" s="3438"/>
      <c r="FNN10" s="3438"/>
      <c r="FNO10" s="3438"/>
      <c r="FNP10" s="3438"/>
      <c r="FNQ10" s="3438"/>
      <c r="FNR10" s="3438"/>
      <c r="FNS10" s="3438"/>
      <c r="FNT10" s="3438"/>
      <c r="FNU10" s="3438"/>
      <c r="FNV10" s="3438"/>
      <c r="FNW10" s="3438"/>
      <c r="FNX10" s="3438"/>
      <c r="FNY10" s="3438"/>
      <c r="FNZ10" s="3438"/>
      <c r="FOA10" s="3438"/>
      <c r="FOB10" s="3438"/>
      <c r="FOC10" s="3438"/>
      <c r="FOD10" s="3438"/>
      <c r="FOE10" s="3438"/>
      <c r="FOF10" s="3438"/>
      <c r="FOG10" s="3438"/>
      <c r="FOH10" s="3438"/>
      <c r="FOI10" s="3438"/>
      <c r="FOJ10" s="3438"/>
      <c r="FOK10" s="3438"/>
      <c r="FOL10" s="3438"/>
      <c r="FOM10" s="3438"/>
      <c r="FON10" s="3438"/>
      <c r="FOO10" s="3438"/>
      <c r="FOP10" s="3438"/>
      <c r="FOQ10" s="3438"/>
      <c r="FOR10" s="3438"/>
      <c r="FOS10" s="3438"/>
      <c r="FOT10" s="3438"/>
      <c r="FOU10" s="3438"/>
      <c r="FOV10" s="3438"/>
      <c r="FOW10" s="3438"/>
      <c r="FOX10" s="3438"/>
      <c r="FOY10" s="3438"/>
      <c r="FOZ10" s="3438"/>
      <c r="FPA10" s="3438"/>
      <c r="FPB10" s="3438"/>
      <c r="FPC10" s="3438"/>
      <c r="FPD10" s="3438"/>
      <c r="FPE10" s="3438"/>
      <c r="FPF10" s="3438"/>
      <c r="FPG10" s="3438"/>
      <c r="FPH10" s="3438"/>
      <c r="FPI10" s="3438"/>
      <c r="FPJ10" s="3438"/>
      <c r="FPK10" s="3438"/>
      <c r="FPL10" s="3438"/>
      <c r="FPM10" s="3438"/>
      <c r="FPN10" s="3438"/>
      <c r="FPO10" s="3438"/>
      <c r="FPP10" s="3438"/>
      <c r="FPQ10" s="3438"/>
      <c r="FPR10" s="3438"/>
      <c r="FPS10" s="3438"/>
      <c r="FPT10" s="3438"/>
      <c r="FPU10" s="3438"/>
      <c r="FPV10" s="3438"/>
      <c r="FPW10" s="3438"/>
      <c r="FPX10" s="3438"/>
      <c r="FPY10" s="3438"/>
      <c r="FPZ10" s="3438"/>
      <c r="FQA10" s="3438"/>
      <c r="FQB10" s="3438"/>
      <c r="FQC10" s="3438"/>
      <c r="FQD10" s="3438"/>
      <c r="FQE10" s="3438"/>
      <c r="FQF10" s="3438"/>
      <c r="FQG10" s="3438"/>
      <c r="FQH10" s="3438"/>
      <c r="FQI10" s="3438"/>
      <c r="FQJ10" s="3438"/>
      <c r="FQK10" s="3438"/>
      <c r="FQL10" s="3438"/>
      <c r="FQM10" s="3438"/>
      <c r="FQN10" s="3438"/>
      <c r="FQO10" s="3438"/>
      <c r="FQP10" s="3438"/>
      <c r="FQQ10" s="3438"/>
      <c r="FQR10" s="3438"/>
      <c r="FQS10" s="3438"/>
      <c r="FQT10" s="3438"/>
      <c r="FQU10" s="3438"/>
      <c r="FQV10" s="3438"/>
      <c r="FQW10" s="3438"/>
      <c r="FQX10" s="3438"/>
      <c r="FQY10" s="3438"/>
      <c r="FQZ10" s="3438"/>
      <c r="FRA10" s="3438"/>
      <c r="FRB10" s="3438"/>
      <c r="FRC10" s="3438"/>
      <c r="FRD10" s="3438"/>
      <c r="FRE10" s="3438"/>
      <c r="FRF10" s="3438"/>
      <c r="FRG10" s="3438"/>
      <c r="FRH10" s="3438"/>
      <c r="FRI10" s="3438"/>
      <c r="FRJ10" s="3438"/>
      <c r="FRK10" s="3438"/>
      <c r="FRL10" s="3438"/>
      <c r="FRM10" s="3438"/>
      <c r="FRN10" s="3438"/>
      <c r="FRO10" s="3438"/>
      <c r="FRP10" s="3438"/>
      <c r="FRQ10" s="3438"/>
      <c r="FRR10" s="3438"/>
      <c r="FRS10" s="3438"/>
      <c r="FRT10" s="3438"/>
      <c r="FRU10" s="3438"/>
      <c r="FRV10" s="3438"/>
      <c r="FRW10" s="3438"/>
      <c r="FRX10" s="3438"/>
      <c r="FRY10" s="3438"/>
      <c r="FRZ10" s="3438"/>
      <c r="FSA10" s="3438"/>
      <c r="FSB10" s="3438"/>
      <c r="FSC10" s="3438"/>
      <c r="FSD10" s="3438"/>
      <c r="FSE10" s="3438"/>
      <c r="FSF10" s="3438"/>
      <c r="FSG10" s="3438"/>
      <c r="FSH10" s="3438"/>
      <c r="FSI10" s="3438"/>
      <c r="FSJ10" s="3438"/>
      <c r="FSK10" s="3438"/>
      <c r="FSL10" s="3438"/>
      <c r="FSM10" s="3438"/>
      <c r="FSN10" s="3438"/>
      <c r="FSO10" s="3438"/>
      <c r="FSP10" s="3438"/>
      <c r="FSQ10" s="3438"/>
      <c r="FSR10" s="3438"/>
      <c r="FSS10" s="3438"/>
      <c r="FST10" s="3438"/>
      <c r="FSU10" s="3438"/>
      <c r="FSV10" s="3438"/>
      <c r="FSW10" s="3438"/>
      <c r="FSX10" s="3438"/>
      <c r="FSY10" s="3438"/>
      <c r="FSZ10" s="3438"/>
      <c r="FTA10" s="3438"/>
      <c r="FTB10" s="3438"/>
      <c r="FTC10" s="3438"/>
      <c r="FTD10" s="3438"/>
      <c r="FTE10" s="3438"/>
      <c r="FTF10" s="3438"/>
      <c r="FTG10" s="3438"/>
      <c r="FTH10" s="3438"/>
      <c r="FTI10" s="3438"/>
      <c r="FTJ10" s="3438"/>
      <c r="FTK10" s="3438"/>
      <c r="FTL10" s="3438"/>
      <c r="FTM10" s="3438"/>
      <c r="FTN10" s="3438"/>
      <c r="FTO10" s="3438"/>
      <c r="FTP10" s="3438"/>
      <c r="FTQ10" s="3438"/>
      <c r="FTR10" s="3438"/>
      <c r="FTS10" s="3438"/>
      <c r="FTT10" s="3438"/>
      <c r="FTU10" s="3438"/>
      <c r="FTV10" s="3438"/>
      <c r="FTW10" s="3438"/>
      <c r="FTX10" s="3438"/>
      <c r="FTY10" s="3438"/>
      <c r="FTZ10" s="3438"/>
      <c r="FUA10" s="3438"/>
      <c r="FUB10" s="3438"/>
      <c r="FUC10" s="3438"/>
      <c r="FUD10" s="3438"/>
      <c r="FUE10" s="3438"/>
      <c r="FUF10" s="3438"/>
      <c r="FUG10" s="3438"/>
      <c r="FUH10" s="3438"/>
      <c r="FUI10" s="3438"/>
      <c r="FUJ10" s="3438"/>
      <c r="FUK10" s="3438"/>
      <c r="FUL10" s="3438"/>
      <c r="FUM10" s="3438"/>
      <c r="FUN10" s="3438"/>
      <c r="FUO10" s="3438"/>
      <c r="FUP10" s="3438"/>
      <c r="FUQ10" s="3438"/>
      <c r="FUR10" s="3438"/>
      <c r="FUS10" s="3438"/>
      <c r="FUT10" s="3438"/>
      <c r="FUU10" s="3438"/>
      <c r="FUV10" s="3438"/>
      <c r="FUW10" s="3438"/>
      <c r="FUX10" s="3438"/>
      <c r="FUY10" s="3438"/>
      <c r="FUZ10" s="3438"/>
      <c r="FVA10" s="3438"/>
      <c r="FVB10" s="3438"/>
      <c r="FVC10" s="3438"/>
      <c r="FVD10" s="3438"/>
      <c r="FVE10" s="3438"/>
      <c r="FVF10" s="3438"/>
      <c r="FVG10" s="3438"/>
      <c r="FVH10" s="3438"/>
      <c r="FVI10" s="3438"/>
      <c r="FVJ10" s="3438"/>
      <c r="FVK10" s="3438"/>
      <c r="FVL10" s="3438"/>
      <c r="FVM10" s="3438"/>
      <c r="FVN10" s="3438"/>
      <c r="FVO10" s="3438"/>
      <c r="FVP10" s="3438"/>
      <c r="FVQ10" s="3438"/>
      <c r="FVR10" s="3438"/>
      <c r="FVS10" s="3438"/>
      <c r="FVT10" s="3438"/>
      <c r="FVU10" s="3438"/>
      <c r="FVV10" s="3438"/>
      <c r="FVW10" s="3438"/>
      <c r="FVX10" s="3438"/>
      <c r="FVY10" s="3438"/>
      <c r="FVZ10" s="3438"/>
      <c r="FWA10" s="3438"/>
      <c r="FWB10" s="3438"/>
      <c r="FWC10" s="3438"/>
      <c r="FWD10" s="3438"/>
      <c r="FWE10" s="3438"/>
      <c r="FWF10" s="3438"/>
      <c r="FWG10" s="3438"/>
      <c r="FWH10" s="3438"/>
      <c r="FWI10" s="3438"/>
      <c r="FWJ10" s="3438"/>
      <c r="FWK10" s="3438"/>
      <c r="FWL10" s="3438"/>
      <c r="FWM10" s="3438"/>
      <c r="FWN10" s="3438"/>
      <c r="FWO10" s="3438"/>
      <c r="FWP10" s="3438"/>
      <c r="FWQ10" s="3438"/>
      <c r="FWR10" s="3438"/>
      <c r="FWS10" s="3438"/>
      <c r="FWT10" s="3438"/>
      <c r="FWU10" s="3438"/>
      <c r="FWV10" s="3438"/>
      <c r="FWW10" s="3438"/>
      <c r="FWX10" s="3438"/>
      <c r="FWY10" s="3438"/>
      <c r="FWZ10" s="3438"/>
      <c r="FXA10" s="3438"/>
      <c r="FXB10" s="3438"/>
      <c r="FXC10" s="3438"/>
      <c r="FXD10" s="3438"/>
      <c r="FXE10" s="3438"/>
      <c r="FXF10" s="3438"/>
      <c r="FXG10" s="3438"/>
      <c r="FXH10" s="3438"/>
      <c r="FXI10" s="3438"/>
      <c r="FXJ10" s="3438"/>
      <c r="FXK10" s="3438"/>
      <c r="FXL10" s="3438"/>
      <c r="FXM10" s="3438"/>
      <c r="FXN10" s="3438"/>
      <c r="FXO10" s="3438"/>
      <c r="FXP10" s="3438"/>
      <c r="FXQ10" s="3438"/>
      <c r="FXR10" s="3438"/>
      <c r="FXS10" s="3438"/>
      <c r="FXT10" s="3438"/>
      <c r="FXU10" s="3438"/>
      <c r="FXV10" s="3438"/>
      <c r="FXW10" s="3438"/>
      <c r="FXX10" s="3438"/>
      <c r="FXY10" s="3438"/>
      <c r="FXZ10" s="3438"/>
      <c r="FYA10" s="3438"/>
      <c r="FYB10" s="3438"/>
      <c r="FYC10" s="3438"/>
      <c r="FYD10" s="3438"/>
      <c r="FYE10" s="3438"/>
      <c r="FYF10" s="3438"/>
      <c r="FYG10" s="3438"/>
      <c r="FYH10" s="3438"/>
      <c r="FYI10" s="3438"/>
      <c r="FYJ10" s="3438"/>
      <c r="FYK10" s="3438"/>
      <c r="FYL10" s="3438"/>
      <c r="FYM10" s="3438"/>
      <c r="FYN10" s="3438"/>
      <c r="FYO10" s="3438"/>
      <c r="FYP10" s="3438"/>
      <c r="FYQ10" s="3438"/>
      <c r="FYR10" s="3438"/>
      <c r="FYS10" s="3438"/>
      <c r="FYT10" s="3438"/>
      <c r="FYU10" s="3438"/>
      <c r="FYV10" s="3438"/>
      <c r="FYW10" s="3438"/>
      <c r="FYX10" s="3438"/>
      <c r="FYY10" s="3438"/>
      <c r="FYZ10" s="3438"/>
      <c r="FZA10" s="3438"/>
      <c r="FZB10" s="3438"/>
      <c r="FZC10" s="3438"/>
      <c r="FZD10" s="3438"/>
      <c r="FZE10" s="3438"/>
      <c r="FZF10" s="3438"/>
      <c r="FZG10" s="3438"/>
      <c r="FZH10" s="3438"/>
      <c r="FZI10" s="3438"/>
      <c r="FZJ10" s="3438"/>
      <c r="FZK10" s="3438"/>
      <c r="FZL10" s="3438"/>
      <c r="FZM10" s="3438"/>
      <c r="FZN10" s="3438"/>
      <c r="FZO10" s="3438"/>
      <c r="FZP10" s="3438"/>
      <c r="FZQ10" s="3438"/>
      <c r="FZR10" s="3438"/>
      <c r="FZS10" s="3438"/>
      <c r="FZT10" s="3438"/>
      <c r="FZU10" s="3438"/>
      <c r="FZV10" s="3438"/>
      <c r="FZW10" s="3438"/>
      <c r="FZX10" s="3438"/>
      <c r="FZY10" s="3438"/>
      <c r="FZZ10" s="3438"/>
      <c r="GAA10" s="3438"/>
      <c r="GAB10" s="3438"/>
      <c r="GAC10" s="3438"/>
      <c r="GAD10" s="3438"/>
      <c r="GAE10" s="3438"/>
      <c r="GAF10" s="3438"/>
      <c r="GAG10" s="3438"/>
      <c r="GAH10" s="3438"/>
      <c r="GAI10" s="3438"/>
      <c r="GAJ10" s="3438"/>
      <c r="GAK10" s="3438"/>
      <c r="GAL10" s="3438"/>
      <c r="GAM10" s="3438"/>
      <c r="GAN10" s="3438"/>
      <c r="GAO10" s="3438"/>
      <c r="GAP10" s="3438"/>
      <c r="GAQ10" s="3438"/>
      <c r="GAR10" s="3438"/>
      <c r="GAS10" s="3438"/>
      <c r="GAT10" s="3438"/>
      <c r="GAU10" s="3438"/>
      <c r="GAV10" s="3438"/>
      <c r="GAW10" s="3438"/>
      <c r="GAX10" s="3438"/>
      <c r="GAY10" s="3438"/>
      <c r="GAZ10" s="3438"/>
      <c r="GBA10" s="3438"/>
      <c r="GBB10" s="3438"/>
      <c r="GBC10" s="3438"/>
      <c r="GBD10" s="3438"/>
      <c r="GBE10" s="3438"/>
      <c r="GBF10" s="3438"/>
      <c r="GBG10" s="3438"/>
      <c r="GBH10" s="3438"/>
      <c r="GBI10" s="3438"/>
      <c r="GBJ10" s="3438"/>
      <c r="GBK10" s="3438"/>
      <c r="GBL10" s="3438"/>
      <c r="GBM10" s="3438"/>
      <c r="GBN10" s="3438"/>
      <c r="GBO10" s="3438"/>
      <c r="GBP10" s="3438"/>
      <c r="GBQ10" s="3438"/>
      <c r="GBR10" s="3438"/>
      <c r="GBS10" s="3438"/>
      <c r="GBT10" s="3438"/>
      <c r="GBU10" s="3438"/>
      <c r="GBV10" s="3438"/>
      <c r="GBW10" s="3438"/>
      <c r="GBX10" s="3438"/>
      <c r="GBY10" s="3438"/>
      <c r="GBZ10" s="3438"/>
      <c r="GCA10" s="3438"/>
      <c r="GCB10" s="3438"/>
      <c r="GCC10" s="3438"/>
      <c r="GCD10" s="3438"/>
      <c r="GCE10" s="3438"/>
      <c r="GCF10" s="3438"/>
      <c r="GCG10" s="3438"/>
      <c r="GCH10" s="3438"/>
      <c r="GCI10" s="3438"/>
      <c r="GCJ10" s="3438"/>
      <c r="GCK10" s="3438"/>
      <c r="GCL10" s="3438"/>
      <c r="GCM10" s="3438"/>
      <c r="GCN10" s="3438"/>
      <c r="GCO10" s="3438"/>
      <c r="GCP10" s="3438"/>
      <c r="GCQ10" s="3438"/>
      <c r="GCR10" s="3438"/>
      <c r="GCS10" s="3438"/>
      <c r="GCT10" s="3438"/>
      <c r="GCU10" s="3438"/>
      <c r="GCV10" s="3438"/>
      <c r="GCW10" s="3438"/>
      <c r="GCX10" s="3438"/>
      <c r="GCY10" s="3438"/>
      <c r="GCZ10" s="3438"/>
      <c r="GDA10" s="3438"/>
      <c r="GDB10" s="3438"/>
      <c r="GDC10" s="3438"/>
      <c r="GDD10" s="3438"/>
      <c r="GDE10" s="3438"/>
      <c r="GDF10" s="3438"/>
      <c r="GDG10" s="3438"/>
      <c r="GDH10" s="3438"/>
      <c r="GDI10" s="3438"/>
      <c r="GDJ10" s="3438"/>
      <c r="GDK10" s="3438"/>
      <c r="GDL10" s="3438"/>
      <c r="GDM10" s="3438"/>
      <c r="GDN10" s="3438"/>
      <c r="GDO10" s="3438"/>
      <c r="GDP10" s="3438"/>
      <c r="GDQ10" s="3438"/>
      <c r="GDR10" s="3438"/>
      <c r="GDS10" s="3438"/>
      <c r="GDT10" s="3438"/>
      <c r="GDU10" s="3438"/>
      <c r="GDV10" s="3438"/>
      <c r="GDW10" s="3438"/>
      <c r="GDX10" s="3438"/>
      <c r="GDY10" s="3438"/>
      <c r="GDZ10" s="3438"/>
      <c r="GEA10" s="3438"/>
      <c r="GEB10" s="3438"/>
      <c r="GEC10" s="3438"/>
      <c r="GED10" s="3438"/>
      <c r="GEE10" s="3438"/>
      <c r="GEF10" s="3438"/>
      <c r="GEG10" s="3438"/>
      <c r="GEH10" s="3438"/>
      <c r="GEI10" s="3438"/>
      <c r="GEJ10" s="3438"/>
      <c r="GEK10" s="3438"/>
      <c r="GEL10" s="3438"/>
      <c r="GEM10" s="3438"/>
      <c r="GEN10" s="3438"/>
      <c r="GEO10" s="3438"/>
      <c r="GEP10" s="3438"/>
      <c r="GEQ10" s="3438"/>
      <c r="GER10" s="3438"/>
      <c r="GES10" s="3438"/>
      <c r="GET10" s="3438"/>
      <c r="GEU10" s="3438"/>
      <c r="GEV10" s="3438"/>
      <c r="GEW10" s="3438"/>
      <c r="GEX10" s="3438"/>
      <c r="GEY10" s="3438"/>
      <c r="GEZ10" s="3438"/>
      <c r="GFA10" s="3438"/>
      <c r="GFB10" s="3438"/>
      <c r="GFC10" s="3438"/>
      <c r="GFD10" s="3438"/>
      <c r="GFE10" s="3438"/>
      <c r="GFF10" s="3438"/>
      <c r="GFG10" s="3438"/>
      <c r="GFH10" s="3438"/>
      <c r="GFI10" s="3438"/>
      <c r="GFJ10" s="3438"/>
      <c r="GFK10" s="3438"/>
      <c r="GFL10" s="3438"/>
      <c r="GFM10" s="3438"/>
      <c r="GFN10" s="3438"/>
      <c r="GFO10" s="3438"/>
      <c r="GFP10" s="3438"/>
      <c r="GFQ10" s="3438"/>
      <c r="GFR10" s="3438"/>
      <c r="GFS10" s="3438"/>
      <c r="GFT10" s="3438"/>
      <c r="GFU10" s="3438"/>
      <c r="GFV10" s="3438"/>
      <c r="GFW10" s="3438"/>
      <c r="GFX10" s="3438"/>
      <c r="GFY10" s="3438"/>
      <c r="GFZ10" s="3438"/>
      <c r="GGA10" s="3438"/>
      <c r="GGB10" s="3438"/>
      <c r="GGC10" s="3438"/>
      <c r="GGD10" s="3438"/>
      <c r="GGE10" s="3438"/>
      <c r="GGF10" s="3438"/>
      <c r="GGG10" s="3438"/>
      <c r="GGH10" s="3438"/>
      <c r="GGI10" s="3438"/>
      <c r="GGJ10" s="3438"/>
      <c r="GGK10" s="3438"/>
      <c r="GGL10" s="3438"/>
      <c r="GGM10" s="3438"/>
      <c r="GGN10" s="3438"/>
      <c r="GGO10" s="3438"/>
      <c r="GGP10" s="3438"/>
      <c r="GGQ10" s="3438"/>
      <c r="GGR10" s="3438"/>
      <c r="GGS10" s="3438"/>
      <c r="GGT10" s="3438"/>
      <c r="GGU10" s="3438"/>
      <c r="GGV10" s="3438"/>
      <c r="GGW10" s="3438"/>
      <c r="GGX10" s="3438"/>
      <c r="GGY10" s="3438"/>
      <c r="GGZ10" s="3438"/>
      <c r="GHA10" s="3438"/>
      <c r="GHB10" s="3438"/>
      <c r="GHC10" s="3438"/>
      <c r="GHD10" s="3438"/>
      <c r="GHE10" s="3438"/>
      <c r="GHF10" s="3438"/>
      <c r="GHG10" s="3438"/>
      <c r="GHH10" s="3438"/>
      <c r="GHI10" s="3438"/>
      <c r="GHJ10" s="3438"/>
      <c r="GHK10" s="3438"/>
      <c r="GHL10" s="3438"/>
      <c r="GHM10" s="3438"/>
      <c r="GHN10" s="3438"/>
      <c r="GHO10" s="3438"/>
      <c r="GHP10" s="3438"/>
      <c r="GHQ10" s="3438"/>
      <c r="GHR10" s="3438"/>
      <c r="GHS10" s="3438"/>
      <c r="GHT10" s="3438"/>
      <c r="GHU10" s="3438"/>
      <c r="GHV10" s="3438"/>
      <c r="GHW10" s="3438"/>
      <c r="GHX10" s="3438"/>
      <c r="GHY10" s="3438"/>
      <c r="GHZ10" s="3438"/>
      <c r="GIA10" s="3438"/>
      <c r="GIB10" s="3438"/>
      <c r="GIC10" s="3438"/>
      <c r="GID10" s="3438"/>
      <c r="GIE10" s="3438"/>
      <c r="GIF10" s="3438"/>
      <c r="GIG10" s="3438"/>
      <c r="GIH10" s="3438"/>
      <c r="GII10" s="3438"/>
      <c r="GIJ10" s="3438"/>
      <c r="GIK10" s="3438"/>
      <c r="GIL10" s="3438"/>
      <c r="GIM10" s="3438"/>
      <c r="GIN10" s="3438"/>
      <c r="GIO10" s="3438"/>
      <c r="GIP10" s="3438"/>
      <c r="GIQ10" s="3438"/>
      <c r="GIR10" s="3438"/>
      <c r="GIS10" s="3438"/>
      <c r="GIT10" s="3438"/>
      <c r="GIU10" s="3438"/>
      <c r="GIV10" s="3438"/>
      <c r="GIW10" s="3438"/>
      <c r="GIX10" s="3438"/>
      <c r="GIY10" s="3438"/>
      <c r="GIZ10" s="3438"/>
      <c r="GJA10" s="3438"/>
      <c r="GJB10" s="3438"/>
      <c r="GJC10" s="3438"/>
      <c r="GJD10" s="3438"/>
      <c r="GJE10" s="3438"/>
      <c r="GJF10" s="3438"/>
      <c r="GJG10" s="3438"/>
      <c r="GJH10" s="3438"/>
      <c r="GJI10" s="3438"/>
      <c r="GJJ10" s="3438"/>
      <c r="GJK10" s="3438"/>
      <c r="GJL10" s="3438"/>
      <c r="GJM10" s="3438"/>
      <c r="GJN10" s="3438"/>
      <c r="GJO10" s="3438"/>
      <c r="GJP10" s="3438"/>
      <c r="GJQ10" s="3438"/>
      <c r="GJR10" s="3438"/>
      <c r="GJS10" s="3438"/>
      <c r="GJT10" s="3438"/>
      <c r="GJU10" s="3438"/>
      <c r="GJV10" s="3438"/>
      <c r="GJW10" s="3438"/>
      <c r="GJX10" s="3438"/>
      <c r="GJY10" s="3438"/>
      <c r="GJZ10" s="3438"/>
      <c r="GKA10" s="3438"/>
      <c r="GKB10" s="3438"/>
      <c r="GKC10" s="3438"/>
      <c r="GKD10" s="3438"/>
      <c r="GKE10" s="3438"/>
      <c r="GKF10" s="3438"/>
      <c r="GKG10" s="3438"/>
      <c r="GKH10" s="3438"/>
      <c r="GKI10" s="3438"/>
      <c r="GKJ10" s="3438"/>
      <c r="GKK10" s="3438"/>
      <c r="GKL10" s="3438"/>
      <c r="GKM10" s="3438"/>
      <c r="GKN10" s="3438"/>
      <c r="GKO10" s="3438"/>
      <c r="GKP10" s="3438"/>
      <c r="GKQ10" s="3438"/>
      <c r="GKR10" s="3438"/>
      <c r="GKS10" s="3438"/>
      <c r="GKT10" s="3438"/>
      <c r="GKU10" s="3438"/>
      <c r="GKV10" s="3438"/>
      <c r="GKW10" s="3438"/>
      <c r="GKX10" s="3438"/>
      <c r="GKY10" s="3438"/>
      <c r="GKZ10" s="3438"/>
      <c r="GLA10" s="3438"/>
      <c r="GLB10" s="3438"/>
      <c r="GLC10" s="3438"/>
      <c r="GLD10" s="3438"/>
      <c r="GLE10" s="3438"/>
      <c r="GLF10" s="3438"/>
      <c r="GLG10" s="3438"/>
      <c r="GLH10" s="3438"/>
      <c r="GLI10" s="3438"/>
      <c r="GLJ10" s="3438"/>
      <c r="GLK10" s="3438"/>
      <c r="GLL10" s="3438"/>
      <c r="GLM10" s="3438"/>
      <c r="GLN10" s="3438"/>
      <c r="GLO10" s="3438"/>
      <c r="GLP10" s="3438"/>
      <c r="GLQ10" s="3438"/>
      <c r="GLR10" s="3438"/>
      <c r="GLS10" s="3438"/>
      <c r="GLT10" s="3438"/>
      <c r="GLU10" s="3438"/>
      <c r="GLV10" s="3438"/>
      <c r="GLW10" s="3438"/>
      <c r="GLX10" s="3438"/>
      <c r="GLY10" s="3438"/>
      <c r="GLZ10" s="3438"/>
      <c r="GMA10" s="3438"/>
      <c r="GMB10" s="3438"/>
      <c r="GMC10" s="3438"/>
      <c r="GMD10" s="3438"/>
      <c r="GME10" s="3438"/>
      <c r="GMF10" s="3438"/>
      <c r="GMG10" s="3438"/>
      <c r="GMH10" s="3438"/>
      <c r="GMI10" s="3438"/>
      <c r="GMJ10" s="3438"/>
      <c r="GMK10" s="3438"/>
      <c r="GML10" s="3438"/>
      <c r="GMM10" s="3438"/>
      <c r="GMN10" s="3438"/>
      <c r="GMO10" s="3438"/>
      <c r="GMP10" s="3438"/>
      <c r="GMQ10" s="3438"/>
      <c r="GMR10" s="3438"/>
      <c r="GMS10" s="3438"/>
      <c r="GMT10" s="3438"/>
      <c r="GMU10" s="3438"/>
      <c r="GMV10" s="3438"/>
      <c r="GMW10" s="3438"/>
      <c r="GMX10" s="3438"/>
      <c r="GMY10" s="3438"/>
      <c r="GMZ10" s="3438"/>
      <c r="GNA10" s="3438"/>
      <c r="GNB10" s="3438"/>
      <c r="GNC10" s="3438"/>
      <c r="GND10" s="3438"/>
      <c r="GNE10" s="3438"/>
      <c r="GNF10" s="3438"/>
      <c r="GNG10" s="3438"/>
      <c r="GNH10" s="3438"/>
      <c r="GNI10" s="3438"/>
      <c r="GNJ10" s="3438"/>
      <c r="GNK10" s="3438"/>
      <c r="GNL10" s="3438"/>
      <c r="GNM10" s="3438"/>
      <c r="GNN10" s="3438"/>
      <c r="GNO10" s="3438"/>
      <c r="GNP10" s="3438"/>
      <c r="GNQ10" s="3438"/>
      <c r="GNR10" s="3438"/>
      <c r="GNS10" s="3438"/>
      <c r="GNT10" s="3438"/>
      <c r="GNU10" s="3438"/>
      <c r="GNV10" s="3438"/>
      <c r="GNW10" s="3438"/>
      <c r="GNX10" s="3438"/>
      <c r="GNY10" s="3438"/>
      <c r="GNZ10" s="3438"/>
      <c r="GOA10" s="3438"/>
      <c r="GOB10" s="3438"/>
      <c r="GOC10" s="3438"/>
      <c r="GOD10" s="3438"/>
      <c r="GOE10" s="3438"/>
      <c r="GOF10" s="3438"/>
      <c r="GOG10" s="3438"/>
      <c r="GOH10" s="3438"/>
      <c r="GOI10" s="3438"/>
      <c r="GOJ10" s="3438"/>
      <c r="GOK10" s="3438"/>
      <c r="GOL10" s="3438"/>
      <c r="GOM10" s="3438"/>
      <c r="GON10" s="3438"/>
      <c r="GOO10" s="3438"/>
      <c r="GOP10" s="3438"/>
      <c r="GOQ10" s="3438"/>
      <c r="GOR10" s="3438"/>
      <c r="GOS10" s="3438"/>
      <c r="GOT10" s="3438"/>
      <c r="GOU10" s="3438"/>
      <c r="GOV10" s="3438"/>
      <c r="GOW10" s="3438"/>
      <c r="GOX10" s="3438"/>
      <c r="GOY10" s="3438"/>
      <c r="GOZ10" s="3438"/>
      <c r="GPA10" s="3438"/>
      <c r="GPB10" s="3438"/>
      <c r="GPC10" s="3438"/>
      <c r="GPD10" s="3438"/>
      <c r="GPE10" s="3438"/>
      <c r="GPF10" s="3438"/>
      <c r="GPG10" s="3438"/>
      <c r="GPH10" s="3438"/>
      <c r="GPI10" s="3438"/>
      <c r="GPJ10" s="3438"/>
      <c r="GPK10" s="3438"/>
      <c r="GPL10" s="3438"/>
      <c r="GPM10" s="3438"/>
      <c r="GPN10" s="3438"/>
      <c r="GPO10" s="3438"/>
      <c r="GPP10" s="3438"/>
      <c r="GPQ10" s="3438"/>
      <c r="GPR10" s="3438"/>
      <c r="GPS10" s="3438"/>
      <c r="GPT10" s="3438"/>
      <c r="GPU10" s="3438"/>
      <c r="GPV10" s="3438"/>
      <c r="GPW10" s="3438"/>
      <c r="GPX10" s="3438"/>
      <c r="GPY10" s="3438"/>
      <c r="GPZ10" s="3438"/>
      <c r="GQA10" s="3438"/>
      <c r="GQB10" s="3438"/>
      <c r="GQC10" s="3438"/>
      <c r="GQD10" s="3438"/>
      <c r="GQE10" s="3438"/>
      <c r="GQF10" s="3438"/>
      <c r="GQG10" s="3438"/>
      <c r="GQH10" s="3438"/>
      <c r="GQI10" s="3438"/>
      <c r="GQJ10" s="3438"/>
      <c r="GQK10" s="3438"/>
      <c r="GQL10" s="3438"/>
      <c r="GQM10" s="3438"/>
      <c r="GQN10" s="3438"/>
      <c r="GQO10" s="3438"/>
      <c r="GQP10" s="3438"/>
      <c r="GQQ10" s="3438"/>
      <c r="GQR10" s="3438"/>
      <c r="GQS10" s="3438"/>
      <c r="GQT10" s="3438"/>
      <c r="GQU10" s="3438"/>
      <c r="GQV10" s="3438"/>
      <c r="GQW10" s="3438"/>
      <c r="GQX10" s="3438"/>
      <c r="GQY10" s="3438"/>
      <c r="GQZ10" s="3438"/>
      <c r="GRA10" s="3438"/>
      <c r="GRB10" s="3438"/>
      <c r="GRC10" s="3438"/>
      <c r="GRD10" s="3438"/>
      <c r="GRE10" s="3438"/>
      <c r="GRF10" s="3438"/>
      <c r="GRG10" s="3438"/>
      <c r="GRH10" s="3438"/>
      <c r="GRI10" s="3438"/>
      <c r="GRJ10" s="3438"/>
      <c r="GRK10" s="3438"/>
      <c r="GRL10" s="3438"/>
      <c r="GRM10" s="3438"/>
      <c r="GRN10" s="3438"/>
      <c r="GRO10" s="3438"/>
      <c r="GRP10" s="3438"/>
      <c r="GRQ10" s="3438"/>
      <c r="GRR10" s="3438"/>
      <c r="GRS10" s="3438"/>
      <c r="GRT10" s="3438"/>
      <c r="GRU10" s="3438"/>
      <c r="GRV10" s="3438"/>
      <c r="GRW10" s="3438"/>
      <c r="GRX10" s="3438"/>
      <c r="GRY10" s="3438"/>
      <c r="GRZ10" s="3438"/>
      <c r="GSA10" s="3438"/>
      <c r="GSB10" s="3438"/>
      <c r="GSC10" s="3438"/>
      <c r="GSD10" s="3438"/>
      <c r="GSE10" s="3438"/>
      <c r="GSF10" s="3438"/>
      <c r="GSG10" s="3438"/>
      <c r="GSH10" s="3438"/>
      <c r="GSI10" s="3438"/>
      <c r="GSJ10" s="3438"/>
      <c r="GSK10" s="3438"/>
      <c r="GSL10" s="3438"/>
      <c r="GSM10" s="3438"/>
      <c r="GSN10" s="3438"/>
      <c r="GSO10" s="3438"/>
      <c r="GSP10" s="3438"/>
      <c r="GSQ10" s="3438"/>
      <c r="GSR10" s="3438"/>
      <c r="GSS10" s="3438"/>
      <c r="GST10" s="3438"/>
      <c r="GSU10" s="3438"/>
      <c r="GSV10" s="3438"/>
      <c r="GSW10" s="3438"/>
      <c r="GSX10" s="3438"/>
      <c r="GSY10" s="3438"/>
      <c r="GSZ10" s="3438"/>
      <c r="GTA10" s="3438"/>
      <c r="GTB10" s="3438"/>
      <c r="GTC10" s="3438"/>
      <c r="GTD10" s="3438"/>
      <c r="GTE10" s="3438"/>
      <c r="GTF10" s="3438"/>
      <c r="GTG10" s="3438"/>
      <c r="GTH10" s="3438"/>
      <c r="GTI10" s="3438"/>
      <c r="GTJ10" s="3438"/>
      <c r="GTK10" s="3438"/>
      <c r="GTL10" s="3438"/>
      <c r="GTM10" s="3438"/>
      <c r="GTN10" s="3438"/>
      <c r="GTO10" s="3438"/>
      <c r="GTP10" s="3438"/>
      <c r="GTQ10" s="3438"/>
      <c r="GTR10" s="3438"/>
      <c r="GTS10" s="3438"/>
      <c r="GTT10" s="3438"/>
      <c r="GTU10" s="3438"/>
      <c r="GTV10" s="3438"/>
      <c r="GTW10" s="3438"/>
      <c r="GTX10" s="3438"/>
      <c r="GTY10" s="3438"/>
      <c r="GTZ10" s="3438"/>
      <c r="GUA10" s="3438"/>
      <c r="GUB10" s="3438"/>
      <c r="GUC10" s="3438"/>
      <c r="GUD10" s="3438"/>
      <c r="GUE10" s="3438"/>
      <c r="GUF10" s="3438"/>
      <c r="GUG10" s="3438"/>
      <c r="GUH10" s="3438"/>
      <c r="GUI10" s="3438"/>
      <c r="GUJ10" s="3438"/>
      <c r="GUK10" s="3438"/>
      <c r="GUL10" s="3438"/>
      <c r="GUM10" s="3438"/>
      <c r="GUN10" s="3438"/>
      <c r="GUO10" s="3438"/>
      <c r="GUP10" s="3438"/>
      <c r="GUQ10" s="3438"/>
      <c r="GUR10" s="3438"/>
      <c r="GUS10" s="3438"/>
      <c r="GUT10" s="3438"/>
      <c r="GUU10" s="3438"/>
      <c r="GUV10" s="3438"/>
      <c r="GUW10" s="3438"/>
      <c r="GUX10" s="3438"/>
      <c r="GUY10" s="3438"/>
      <c r="GUZ10" s="3438"/>
      <c r="GVA10" s="3438"/>
      <c r="GVB10" s="3438"/>
      <c r="GVC10" s="3438"/>
      <c r="GVD10" s="3438"/>
      <c r="GVE10" s="3438"/>
      <c r="GVF10" s="3438"/>
      <c r="GVG10" s="3438"/>
      <c r="GVH10" s="3438"/>
      <c r="GVI10" s="3438"/>
      <c r="GVJ10" s="3438"/>
      <c r="GVK10" s="3438"/>
      <c r="GVL10" s="3438"/>
      <c r="GVM10" s="3438"/>
      <c r="GVN10" s="3438"/>
      <c r="GVO10" s="3438"/>
      <c r="GVP10" s="3438"/>
      <c r="GVQ10" s="3438"/>
      <c r="GVR10" s="3438"/>
      <c r="GVS10" s="3438"/>
      <c r="GVT10" s="3438"/>
      <c r="GVU10" s="3438"/>
      <c r="GVV10" s="3438"/>
      <c r="GVW10" s="3438"/>
      <c r="GVX10" s="3438"/>
      <c r="GVY10" s="3438"/>
      <c r="GVZ10" s="3438"/>
      <c r="GWA10" s="3438"/>
      <c r="GWB10" s="3438"/>
      <c r="GWC10" s="3438"/>
      <c r="GWD10" s="3438"/>
      <c r="GWE10" s="3438"/>
      <c r="GWF10" s="3438"/>
      <c r="GWG10" s="3438"/>
      <c r="GWH10" s="3438"/>
      <c r="GWI10" s="3438"/>
      <c r="GWJ10" s="3438"/>
      <c r="GWK10" s="3438"/>
      <c r="GWL10" s="3438"/>
      <c r="GWM10" s="3438"/>
      <c r="GWN10" s="3438"/>
      <c r="GWO10" s="3438"/>
      <c r="GWP10" s="3438"/>
      <c r="GWQ10" s="3438"/>
      <c r="GWR10" s="3438"/>
      <c r="GWS10" s="3438"/>
      <c r="GWT10" s="3438"/>
      <c r="GWU10" s="3438"/>
      <c r="GWV10" s="3438"/>
      <c r="GWW10" s="3438"/>
      <c r="GWX10" s="3438"/>
      <c r="GWY10" s="3438"/>
      <c r="GWZ10" s="3438"/>
      <c r="GXA10" s="3438"/>
      <c r="GXB10" s="3438"/>
      <c r="GXC10" s="3438"/>
      <c r="GXD10" s="3438"/>
      <c r="GXE10" s="3438"/>
      <c r="GXF10" s="3438"/>
      <c r="GXG10" s="3438"/>
      <c r="GXH10" s="3438"/>
      <c r="GXI10" s="3438"/>
      <c r="GXJ10" s="3438"/>
      <c r="GXK10" s="3438"/>
      <c r="GXL10" s="3438"/>
      <c r="GXM10" s="3438"/>
      <c r="GXN10" s="3438"/>
      <c r="GXO10" s="3438"/>
      <c r="GXP10" s="3438"/>
      <c r="GXQ10" s="3438"/>
      <c r="GXR10" s="3438"/>
      <c r="GXS10" s="3438"/>
      <c r="GXT10" s="3438"/>
      <c r="GXU10" s="3438"/>
      <c r="GXV10" s="3438"/>
      <c r="GXW10" s="3438"/>
      <c r="GXX10" s="3438"/>
      <c r="GXY10" s="3438"/>
      <c r="GXZ10" s="3438"/>
      <c r="GYA10" s="3438"/>
      <c r="GYB10" s="3438"/>
      <c r="GYC10" s="3438"/>
      <c r="GYD10" s="3438"/>
      <c r="GYE10" s="3438"/>
      <c r="GYF10" s="3438"/>
      <c r="GYG10" s="3438"/>
      <c r="GYH10" s="3438"/>
      <c r="GYI10" s="3438"/>
      <c r="GYJ10" s="3438"/>
      <c r="GYK10" s="3438"/>
      <c r="GYL10" s="3438"/>
      <c r="GYM10" s="3438"/>
      <c r="GYN10" s="3438"/>
      <c r="GYO10" s="3438"/>
      <c r="GYP10" s="3438"/>
      <c r="GYQ10" s="3438"/>
      <c r="GYR10" s="3438"/>
      <c r="GYS10" s="3438"/>
      <c r="GYT10" s="3438"/>
      <c r="GYU10" s="3438"/>
      <c r="GYV10" s="3438"/>
      <c r="GYW10" s="3438"/>
      <c r="GYX10" s="3438"/>
      <c r="GYY10" s="3438"/>
      <c r="GYZ10" s="3438"/>
      <c r="GZA10" s="3438"/>
      <c r="GZB10" s="3438"/>
      <c r="GZC10" s="3438"/>
      <c r="GZD10" s="3438"/>
      <c r="GZE10" s="3438"/>
      <c r="GZF10" s="3438"/>
      <c r="GZG10" s="3438"/>
      <c r="GZH10" s="3438"/>
      <c r="GZI10" s="3438"/>
      <c r="GZJ10" s="3438"/>
      <c r="GZK10" s="3438"/>
      <c r="GZL10" s="3438"/>
      <c r="GZM10" s="3438"/>
      <c r="GZN10" s="3438"/>
      <c r="GZO10" s="3438"/>
      <c r="GZP10" s="3438"/>
      <c r="GZQ10" s="3438"/>
      <c r="GZR10" s="3438"/>
      <c r="GZS10" s="3438"/>
      <c r="GZT10" s="3438"/>
      <c r="GZU10" s="3438"/>
      <c r="GZV10" s="3438"/>
      <c r="GZW10" s="3438"/>
      <c r="GZX10" s="3438"/>
      <c r="GZY10" s="3438"/>
      <c r="GZZ10" s="3438"/>
      <c r="HAA10" s="3438"/>
      <c r="HAB10" s="3438"/>
      <c r="HAC10" s="3438"/>
      <c r="HAD10" s="3438"/>
      <c r="HAE10" s="3438"/>
      <c r="HAF10" s="3438"/>
      <c r="HAG10" s="3438"/>
      <c r="HAH10" s="3438"/>
      <c r="HAI10" s="3438"/>
      <c r="HAJ10" s="3438"/>
      <c r="HAK10" s="3438"/>
      <c r="HAL10" s="3438"/>
      <c r="HAM10" s="3438"/>
      <c r="HAN10" s="3438"/>
      <c r="HAO10" s="3438"/>
      <c r="HAP10" s="3438"/>
      <c r="HAQ10" s="3438"/>
      <c r="HAR10" s="3438"/>
      <c r="HAS10" s="3438"/>
      <c r="HAT10" s="3438"/>
      <c r="HAU10" s="3438"/>
      <c r="HAV10" s="3438"/>
      <c r="HAW10" s="3438"/>
      <c r="HAX10" s="3438"/>
      <c r="HAY10" s="3438"/>
      <c r="HAZ10" s="3438"/>
      <c r="HBA10" s="3438"/>
      <c r="HBB10" s="3438"/>
      <c r="HBC10" s="3438"/>
      <c r="HBD10" s="3438"/>
      <c r="HBE10" s="3438"/>
      <c r="HBF10" s="3438"/>
      <c r="HBG10" s="3438"/>
      <c r="HBH10" s="3438"/>
      <c r="HBI10" s="3438"/>
      <c r="HBJ10" s="3438"/>
      <c r="HBK10" s="3438"/>
      <c r="HBL10" s="3438"/>
      <c r="HBM10" s="3438"/>
      <c r="HBN10" s="3438"/>
      <c r="HBO10" s="3438"/>
      <c r="HBP10" s="3438"/>
      <c r="HBQ10" s="3438"/>
      <c r="HBR10" s="3438"/>
      <c r="HBS10" s="3438"/>
      <c r="HBT10" s="3438"/>
      <c r="HBU10" s="3438"/>
      <c r="HBV10" s="3438"/>
      <c r="HBW10" s="3438"/>
      <c r="HBX10" s="3438"/>
      <c r="HBY10" s="3438"/>
      <c r="HBZ10" s="3438"/>
      <c r="HCA10" s="3438"/>
      <c r="HCB10" s="3438"/>
      <c r="HCC10" s="3438"/>
      <c r="HCD10" s="3438"/>
      <c r="HCE10" s="3438"/>
      <c r="HCF10" s="3438"/>
      <c r="HCG10" s="3438"/>
      <c r="HCH10" s="3438"/>
      <c r="HCI10" s="3438"/>
      <c r="HCJ10" s="3438"/>
      <c r="HCK10" s="3438"/>
      <c r="HCL10" s="3438"/>
      <c r="HCM10" s="3438"/>
      <c r="HCN10" s="3438"/>
      <c r="HCO10" s="3438"/>
      <c r="HCP10" s="3438"/>
      <c r="HCQ10" s="3438"/>
      <c r="HCR10" s="3438"/>
      <c r="HCS10" s="3438"/>
      <c r="HCT10" s="3438"/>
      <c r="HCU10" s="3438"/>
      <c r="HCV10" s="3438"/>
      <c r="HCW10" s="3438"/>
      <c r="HCX10" s="3438"/>
      <c r="HCY10" s="3438"/>
      <c r="HCZ10" s="3438"/>
      <c r="HDA10" s="3438"/>
      <c r="HDB10" s="3438"/>
      <c r="HDC10" s="3438"/>
      <c r="HDD10" s="3438"/>
      <c r="HDE10" s="3438"/>
      <c r="HDF10" s="3438"/>
      <c r="HDG10" s="3438"/>
      <c r="HDH10" s="3438"/>
      <c r="HDI10" s="3438"/>
      <c r="HDJ10" s="3438"/>
      <c r="HDK10" s="3438"/>
      <c r="HDL10" s="3438"/>
      <c r="HDM10" s="3438"/>
      <c r="HDN10" s="3438"/>
      <c r="HDO10" s="3438"/>
      <c r="HDP10" s="3438"/>
      <c r="HDQ10" s="3438"/>
      <c r="HDR10" s="3438"/>
      <c r="HDS10" s="3438"/>
      <c r="HDT10" s="3438"/>
      <c r="HDU10" s="3438"/>
      <c r="HDV10" s="3438"/>
      <c r="HDW10" s="3438"/>
      <c r="HDX10" s="3438"/>
      <c r="HDY10" s="3438"/>
      <c r="HDZ10" s="3438"/>
      <c r="HEA10" s="3438"/>
      <c r="HEB10" s="3438"/>
      <c r="HEC10" s="3438"/>
      <c r="HED10" s="3438"/>
      <c r="HEE10" s="3438"/>
      <c r="HEF10" s="3438"/>
      <c r="HEG10" s="3438"/>
      <c r="HEH10" s="3438"/>
      <c r="HEI10" s="3438"/>
      <c r="HEJ10" s="3438"/>
      <c r="HEK10" s="3438"/>
      <c r="HEL10" s="3438"/>
      <c r="HEM10" s="3438"/>
      <c r="HEN10" s="3438"/>
      <c r="HEO10" s="3438"/>
      <c r="HEP10" s="3438"/>
      <c r="HEQ10" s="3438"/>
      <c r="HER10" s="3438"/>
      <c r="HES10" s="3438"/>
      <c r="HET10" s="3438"/>
      <c r="HEU10" s="3438"/>
      <c r="HEV10" s="3438"/>
      <c r="HEW10" s="3438"/>
      <c r="HEX10" s="3438"/>
      <c r="HEY10" s="3438"/>
      <c r="HEZ10" s="3438"/>
      <c r="HFA10" s="3438"/>
      <c r="HFB10" s="3438"/>
      <c r="HFC10" s="3438"/>
      <c r="HFD10" s="3438"/>
      <c r="HFE10" s="3438"/>
      <c r="HFF10" s="3438"/>
      <c r="HFG10" s="3438"/>
      <c r="HFH10" s="3438"/>
      <c r="HFI10" s="3438"/>
      <c r="HFJ10" s="3438"/>
      <c r="HFK10" s="3438"/>
      <c r="HFL10" s="3438"/>
      <c r="HFM10" s="3438"/>
      <c r="HFN10" s="3438"/>
      <c r="HFO10" s="3438"/>
      <c r="HFP10" s="3438"/>
      <c r="HFQ10" s="3438"/>
      <c r="HFR10" s="3438"/>
      <c r="HFS10" s="3438"/>
      <c r="HFT10" s="3438"/>
      <c r="HFU10" s="3438"/>
      <c r="HFV10" s="3438"/>
      <c r="HFW10" s="3438"/>
      <c r="HFX10" s="3438"/>
      <c r="HFY10" s="3438"/>
      <c r="HFZ10" s="3438"/>
      <c r="HGA10" s="3438"/>
      <c r="HGB10" s="3438"/>
      <c r="HGC10" s="3438"/>
      <c r="HGD10" s="3438"/>
      <c r="HGE10" s="3438"/>
      <c r="HGF10" s="3438"/>
      <c r="HGG10" s="3438"/>
      <c r="HGH10" s="3438"/>
      <c r="HGI10" s="3438"/>
      <c r="HGJ10" s="3438"/>
      <c r="HGK10" s="3438"/>
      <c r="HGL10" s="3438"/>
      <c r="HGM10" s="3438"/>
      <c r="HGN10" s="3438"/>
      <c r="HGO10" s="3438"/>
      <c r="HGP10" s="3438"/>
      <c r="HGQ10" s="3438"/>
      <c r="HGR10" s="3438"/>
      <c r="HGS10" s="3438"/>
      <c r="HGT10" s="3438"/>
      <c r="HGU10" s="3438"/>
      <c r="HGV10" s="3438"/>
      <c r="HGW10" s="3438"/>
      <c r="HGX10" s="3438"/>
      <c r="HGY10" s="3438"/>
      <c r="HGZ10" s="3438"/>
      <c r="HHA10" s="3438"/>
      <c r="HHB10" s="3438"/>
      <c r="HHC10" s="3438"/>
      <c r="HHD10" s="3438"/>
      <c r="HHE10" s="3438"/>
      <c r="HHF10" s="3438"/>
      <c r="HHG10" s="3438"/>
      <c r="HHH10" s="3438"/>
      <c r="HHI10" s="3438"/>
      <c r="HHJ10" s="3438"/>
      <c r="HHK10" s="3438"/>
      <c r="HHL10" s="3438"/>
      <c r="HHM10" s="3438"/>
      <c r="HHN10" s="3438"/>
      <c r="HHO10" s="3438"/>
      <c r="HHP10" s="3438"/>
      <c r="HHQ10" s="3438"/>
      <c r="HHR10" s="3438"/>
      <c r="HHS10" s="3438"/>
      <c r="HHT10" s="3438"/>
      <c r="HHU10" s="3438"/>
      <c r="HHV10" s="3438"/>
      <c r="HHW10" s="3438"/>
      <c r="HHX10" s="3438"/>
      <c r="HHY10" s="3438"/>
      <c r="HHZ10" s="3438"/>
      <c r="HIA10" s="3438"/>
      <c r="HIB10" s="3438"/>
      <c r="HIC10" s="3438"/>
      <c r="HID10" s="3438"/>
      <c r="HIE10" s="3438"/>
      <c r="HIF10" s="3438"/>
      <c r="HIG10" s="3438"/>
      <c r="HIH10" s="3438"/>
      <c r="HII10" s="3438"/>
      <c r="HIJ10" s="3438"/>
      <c r="HIK10" s="3438"/>
      <c r="HIL10" s="3438"/>
      <c r="HIM10" s="3438"/>
      <c r="HIN10" s="3438"/>
      <c r="HIO10" s="3438"/>
      <c r="HIP10" s="3438"/>
      <c r="HIQ10" s="3438"/>
      <c r="HIR10" s="3438"/>
      <c r="HIS10" s="3438"/>
      <c r="HIT10" s="3438"/>
      <c r="HIU10" s="3438"/>
      <c r="HIV10" s="3438"/>
      <c r="HIW10" s="3438"/>
      <c r="HIX10" s="3438"/>
      <c r="HIY10" s="3438"/>
      <c r="HIZ10" s="3438"/>
      <c r="HJA10" s="3438"/>
      <c r="HJB10" s="3438"/>
      <c r="HJC10" s="3438"/>
      <c r="HJD10" s="3438"/>
      <c r="HJE10" s="3438"/>
      <c r="HJF10" s="3438"/>
      <c r="HJG10" s="3438"/>
      <c r="HJH10" s="3438"/>
      <c r="HJI10" s="3438"/>
      <c r="HJJ10" s="3438"/>
      <c r="HJK10" s="3438"/>
      <c r="HJL10" s="3438"/>
      <c r="HJM10" s="3438"/>
      <c r="HJN10" s="3438"/>
      <c r="HJO10" s="3438"/>
      <c r="HJP10" s="3438"/>
      <c r="HJQ10" s="3438"/>
      <c r="HJR10" s="3438"/>
      <c r="HJS10" s="3438"/>
      <c r="HJT10" s="3438"/>
      <c r="HJU10" s="3438"/>
      <c r="HJV10" s="3438"/>
      <c r="HJW10" s="3438"/>
      <c r="HJX10" s="3438"/>
      <c r="HJY10" s="3438"/>
      <c r="HJZ10" s="3438"/>
      <c r="HKA10" s="3438"/>
      <c r="HKB10" s="3438"/>
      <c r="HKC10" s="3438"/>
      <c r="HKD10" s="3438"/>
      <c r="HKE10" s="3438"/>
      <c r="HKF10" s="3438"/>
      <c r="HKG10" s="3438"/>
      <c r="HKH10" s="3438"/>
      <c r="HKI10" s="3438"/>
      <c r="HKJ10" s="3438"/>
      <c r="HKK10" s="3438"/>
      <c r="HKL10" s="3438"/>
      <c r="HKM10" s="3438"/>
      <c r="HKN10" s="3438"/>
      <c r="HKO10" s="3438"/>
      <c r="HKP10" s="3438"/>
      <c r="HKQ10" s="3438"/>
      <c r="HKR10" s="3438"/>
      <c r="HKS10" s="3438"/>
      <c r="HKT10" s="3438"/>
      <c r="HKU10" s="3438"/>
      <c r="HKV10" s="3438"/>
      <c r="HKW10" s="3438"/>
      <c r="HKX10" s="3438"/>
      <c r="HKY10" s="3438"/>
      <c r="HKZ10" s="3438"/>
      <c r="HLA10" s="3438"/>
      <c r="HLB10" s="3438"/>
      <c r="HLC10" s="3438"/>
      <c r="HLD10" s="3438"/>
      <c r="HLE10" s="3438"/>
      <c r="HLF10" s="3438"/>
      <c r="HLG10" s="3438"/>
      <c r="HLH10" s="3438"/>
      <c r="HLI10" s="3438"/>
      <c r="HLJ10" s="3438"/>
      <c r="HLK10" s="3438"/>
      <c r="HLL10" s="3438"/>
      <c r="HLM10" s="3438"/>
      <c r="HLN10" s="3438"/>
      <c r="HLO10" s="3438"/>
      <c r="HLP10" s="3438"/>
      <c r="HLQ10" s="3438"/>
      <c r="HLR10" s="3438"/>
      <c r="HLS10" s="3438"/>
      <c r="HLT10" s="3438"/>
      <c r="HLU10" s="3438"/>
      <c r="HLV10" s="3438"/>
      <c r="HLW10" s="3438"/>
      <c r="HLX10" s="3438"/>
      <c r="HLY10" s="3438"/>
      <c r="HLZ10" s="3438"/>
      <c r="HMA10" s="3438"/>
      <c r="HMB10" s="3438"/>
      <c r="HMC10" s="3438"/>
      <c r="HMD10" s="3438"/>
      <c r="HME10" s="3438"/>
      <c r="HMF10" s="3438"/>
      <c r="HMG10" s="3438"/>
      <c r="HMH10" s="3438"/>
      <c r="HMI10" s="3438"/>
      <c r="HMJ10" s="3438"/>
      <c r="HMK10" s="3438"/>
      <c r="HML10" s="3438"/>
      <c r="HMM10" s="3438"/>
      <c r="HMN10" s="3438"/>
      <c r="HMO10" s="3438"/>
      <c r="HMP10" s="3438"/>
      <c r="HMQ10" s="3438"/>
      <c r="HMR10" s="3438"/>
      <c r="HMS10" s="3438"/>
      <c r="HMT10" s="3438"/>
      <c r="HMU10" s="3438"/>
      <c r="HMV10" s="3438"/>
      <c r="HMW10" s="3438"/>
      <c r="HMX10" s="3438"/>
      <c r="HMY10" s="3438"/>
      <c r="HMZ10" s="3438"/>
      <c r="HNA10" s="3438"/>
      <c r="HNB10" s="3438"/>
      <c r="HNC10" s="3438"/>
      <c r="HND10" s="3438"/>
      <c r="HNE10" s="3438"/>
      <c r="HNF10" s="3438"/>
      <c r="HNG10" s="3438"/>
      <c r="HNH10" s="3438"/>
      <c r="HNI10" s="3438"/>
      <c r="HNJ10" s="3438"/>
      <c r="HNK10" s="3438"/>
      <c r="HNL10" s="3438"/>
      <c r="HNM10" s="3438"/>
      <c r="HNN10" s="3438"/>
      <c r="HNO10" s="3438"/>
      <c r="HNP10" s="3438"/>
      <c r="HNQ10" s="3438"/>
      <c r="HNR10" s="3438"/>
      <c r="HNS10" s="3438"/>
      <c r="HNT10" s="3438"/>
      <c r="HNU10" s="3438"/>
      <c r="HNV10" s="3438"/>
      <c r="HNW10" s="3438"/>
      <c r="HNX10" s="3438"/>
      <c r="HNY10" s="3438"/>
      <c r="HNZ10" s="3438"/>
      <c r="HOA10" s="3438"/>
      <c r="HOB10" s="3438"/>
      <c r="HOC10" s="3438"/>
      <c r="HOD10" s="3438"/>
      <c r="HOE10" s="3438"/>
      <c r="HOF10" s="3438"/>
      <c r="HOG10" s="3438"/>
      <c r="HOH10" s="3438"/>
      <c r="HOI10" s="3438"/>
      <c r="HOJ10" s="3438"/>
      <c r="HOK10" s="3438"/>
      <c r="HOL10" s="3438"/>
      <c r="HOM10" s="3438"/>
      <c r="HON10" s="3438"/>
      <c r="HOO10" s="3438"/>
      <c r="HOP10" s="3438"/>
      <c r="HOQ10" s="3438"/>
      <c r="HOR10" s="3438"/>
      <c r="HOS10" s="3438"/>
      <c r="HOT10" s="3438"/>
      <c r="HOU10" s="3438"/>
      <c r="HOV10" s="3438"/>
      <c r="HOW10" s="3438"/>
      <c r="HOX10" s="3438"/>
      <c r="HOY10" s="3438"/>
      <c r="HOZ10" s="3438"/>
      <c r="HPA10" s="3438"/>
      <c r="HPB10" s="3438"/>
      <c r="HPC10" s="3438"/>
      <c r="HPD10" s="3438"/>
      <c r="HPE10" s="3438"/>
      <c r="HPF10" s="3438"/>
      <c r="HPG10" s="3438"/>
      <c r="HPH10" s="3438"/>
      <c r="HPI10" s="3438"/>
      <c r="HPJ10" s="3438"/>
      <c r="HPK10" s="3438"/>
      <c r="HPL10" s="3438"/>
      <c r="HPM10" s="3438"/>
      <c r="HPN10" s="3438"/>
      <c r="HPO10" s="3438"/>
      <c r="HPP10" s="3438"/>
      <c r="HPQ10" s="3438"/>
      <c r="HPR10" s="3438"/>
      <c r="HPS10" s="3438"/>
      <c r="HPT10" s="3438"/>
      <c r="HPU10" s="3438"/>
      <c r="HPV10" s="3438"/>
      <c r="HPW10" s="3438"/>
      <c r="HPX10" s="3438"/>
      <c r="HPY10" s="3438"/>
      <c r="HPZ10" s="3438"/>
      <c r="HQA10" s="3438"/>
      <c r="HQB10" s="3438"/>
      <c r="HQC10" s="3438"/>
      <c r="HQD10" s="3438"/>
      <c r="HQE10" s="3438"/>
      <c r="HQF10" s="3438"/>
      <c r="HQG10" s="3438"/>
      <c r="HQH10" s="3438"/>
      <c r="HQI10" s="3438"/>
      <c r="HQJ10" s="3438"/>
      <c r="HQK10" s="3438"/>
      <c r="HQL10" s="3438"/>
      <c r="HQM10" s="3438"/>
      <c r="HQN10" s="3438"/>
      <c r="HQO10" s="3438"/>
      <c r="HQP10" s="3438"/>
      <c r="HQQ10" s="3438"/>
      <c r="HQR10" s="3438"/>
      <c r="HQS10" s="3438"/>
      <c r="HQT10" s="3438"/>
      <c r="HQU10" s="3438"/>
      <c r="HQV10" s="3438"/>
      <c r="HQW10" s="3438"/>
      <c r="HQX10" s="3438"/>
      <c r="HQY10" s="3438"/>
      <c r="HQZ10" s="3438"/>
      <c r="HRA10" s="3438"/>
      <c r="HRB10" s="3438"/>
      <c r="HRC10" s="3438"/>
      <c r="HRD10" s="3438"/>
      <c r="HRE10" s="3438"/>
      <c r="HRF10" s="3438"/>
      <c r="HRG10" s="3438"/>
      <c r="HRH10" s="3438"/>
      <c r="HRI10" s="3438"/>
      <c r="HRJ10" s="3438"/>
      <c r="HRK10" s="3438"/>
      <c r="HRL10" s="3438"/>
      <c r="HRM10" s="3438"/>
      <c r="HRN10" s="3438"/>
      <c r="HRO10" s="3438"/>
      <c r="HRP10" s="3438"/>
      <c r="HRQ10" s="3438"/>
      <c r="HRR10" s="3438"/>
      <c r="HRS10" s="3438"/>
      <c r="HRT10" s="3438"/>
      <c r="HRU10" s="3438"/>
      <c r="HRV10" s="3438"/>
      <c r="HRW10" s="3438"/>
      <c r="HRX10" s="3438"/>
      <c r="HRY10" s="3438"/>
      <c r="HRZ10" s="3438"/>
      <c r="HSA10" s="3438"/>
      <c r="HSB10" s="3438"/>
      <c r="HSC10" s="3438"/>
      <c r="HSD10" s="3438"/>
      <c r="HSE10" s="3438"/>
      <c r="HSF10" s="3438"/>
      <c r="HSG10" s="3438"/>
      <c r="HSH10" s="3438"/>
      <c r="HSI10" s="3438"/>
      <c r="HSJ10" s="3438"/>
      <c r="HSK10" s="3438"/>
      <c r="HSL10" s="3438"/>
      <c r="HSM10" s="3438"/>
      <c r="HSN10" s="3438"/>
      <c r="HSO10" s="3438"/>
      <c r="HSP10" s="3438"/>
      <c r="HSQ10" s="3438"/>
      <c r="HSR10" s="3438"/>
      <c r="HSS10" s="3438"/>
      <c r="HST10" s="3438"/>
      <c r="HSU10" s="3438"/>
      <c r="HSV10" s="3438"/>
      <c r="HSW10" s="3438"/>
      <c r="HSX10" s="3438"/>
      <c r="HSY10" s="3438"/>
      <c r="HSZ10" s="3438"/>
      <c r="HTA10" s="3438"/>
      <c r="HTB10" s="3438"/>
      <c r="HTC10" s="3438"/>
      <c r="HTD10" s="3438"/>
      <c r="HTE10" s="3438"/>
      <c r="HTF10" s="3438"/>
      <c r="HTG10" s="3438"/>
      <c r="HTH10" s="3438"/>
      <c r="HTI10" s="3438"/>
      <c r="HTJ10" s="3438"/>
      <c r="HTK10" s="3438"/>
      <c r="HTL10" s="3438"/>
      <c r="HTM10" s="3438"/>
      <c r="HTN10" s="3438"/>
      <c r="HTO10" s="3438"/>
      <c r="HTP10" s="3438"/>
      <c r="HTQ10" s="3438"/>
      <c r="HTR10" s="3438"/>
      <c r="HTS10" s="3438"/>
      <c r="HTT10" s="3438"/>
      <c r="HTU10" s="3438"/>
      <c r="HTV10" s="3438"/>
      <c r="HTW10" s="3438"/>
      <c r="HTX10" s="3438"/>
      <c r="HTY10" s="3438"/>
      <c r="HTZ10" s="3438"/>
      <c r="HUA10" s="3438"/>
      <c r="HUB10" s="3438"/>
      <c r="HUC10" s="3438"/>
      <c r="HUD10" s="3438"/>
      <c r="HUE10" s="3438"/>
      <c r="HUF10" s="3438"/>
      <c r="HUG10" s="3438"/>
      <c r="HUH10" s="3438"/>
      <c r="HUI10" s="3438"/>
      <c r="HUJ10" s="3438"/>
      <c r="HUK10" s="3438"/>
      <c r="HUL10" s="3438"/>
      <c r="HUM10" s="3438"/>
      <c r="HUN10" s="3438"/>
      <c r="HUO10" s="3438"/>
      <c r="HUP10" s="3438"/>
      <c r="HUQ10" s="3438"/>
      <c r="HUR10" s="3438"/>
      <c r="HUS10" s="3438"/>
      <c r="HUT10" s="3438"/>
      <c r="HUU10" s="3438"/>
      <c r="HUV10" s="3438"/>
      <c r="HUW10" s="3438"/>
      <c r="HUX10" s="3438"/>
      <c r="HUY10" s="3438"/>
      <c r="HUZ10" s="3438"/>
      <c r="HVA10" s="3438"/>
      <c r="HVB10" s="3438"/>
      <c r="HVC10" s="3438"/>
      <c r="HVD10" s="3438"/>
      <c r="HVE10" s="3438"/>
      <c r="HVF10" s="3438"/>
      <c r="HVG10" s="3438"/>
      <c r="HVH10" s="3438"/>
      <c r="HVI10" s="3438"/>
      <c r="HVJ10" s="3438"/>
      <c r="HVK10" s="3438"/>
      <c r="HVL10" s="3438"/>
      <c r="HVM10" s="3438"/>
      <c r="HVN10" s="3438"/>
      <c r="HVO10" s="3438"/>
      <c r="HVP10" s="3438"/>
      <c r="HVQ10" s="3438"/>
      <c r="HVR10" s="3438"/>
      <c r="HVS10" s="3438"/>
      <c r="HVT10" s="3438"/>
      <c r="HVU10" s="3438"/>
      <c r="HVV10" s="3438"/>
      <c r="HVW10" s="3438"/>
      <c r="HVX10" s="3438"/>
      <c r="HVY10" s="3438"/>
      <c r="HVZ10" s="3438"/>
      <c r="HWA10" s="3438"/>
      <c r="HWB10" s="3438"/>
      <c r="HWC10" s="3438"/>
      <c r="HWD10" s="3438"/>
      <c r="HWE10" s="3438"/>
      <c r="HWF10" s="3438"/>
      <c r="HWG10" s="3438"/>
      <c r="HWH10" s="3438"/>
      <c r="HWI10" s="3438"/>
      <c r="HWJ10" s="3438"/>
      <c r="HWK10" s="3438"/>
      <c r="HWL10" s="3438"/>
      <c r="HWM10" s="3438"/>
      <c r="HWN10" s="3438"/>
      <c r="HWO10" s="3438"/>
      <c r="HWP10" s="3438"/>
      <c r="HWQ10" s="3438"/>
      <c r="HWR10" s="3438"/>
      <c r="HWS10" s="3438"/>
      <c r="HWT10" s="3438"/>
      <c r="HWU10" s="3438"/>
      <c r="HWV10" s="3438"/>
      <c r="HWW10" s="3438"/>
      <c r="HWX10" s="3438"/>
      <c r="HWY10" s="3438"/>
      <c r="HWZ10" s="3438"/>
      <c r="HXA10" s="3438"/>
      <c r="HXB10" s="3438"/>
      <c r="HXC10" s="3438"/>
      <c r="HXD10" s="3438"/>
      <c r="HXE10" s="3438"/>
      <c r="HXF10" s="3438"/>
      <c r="HXG10" s="3438"/>
      <c r="HXH10" s="3438"/>
      <c r="HXI10" s="3438"/>
      <c r="HXJ10" s="3438"/>
      <c r="HXK10" s="3438"/>
      <c r="HXL10" s="3438"/>
      <c r="HXM10" s="3438"/>
      <c r="HXN10" s="3438"/>
      <c r="HXO10" s="3438"/>
      <c r="HXP10" s="3438"/>
      <c r="HXQ10" s="3438"/>
      <c r="HXR10" s="3438"/>
      <c r="HXS10" s="3438"/>
      <c r="HXT10" s="3438"/>
      <c r="HXU10" s="3438"/>
      <c r="HXV10" s="3438"/>
      <c r="HXW10" s="3438"/>
      <c r="HXX10" s="3438"/>
      <c r="HXY10" s="3438"/>
      <c r="HXZ10" s="3438"/>
      <c r="HYA10" s="3438"/>
      <c r="HYB10" s="3438"/>
      <c r="HYC10" s="3438"/>
      <c r="HYD10" s="3438"/>
      <c r="HYE10" s="3438"/>
      <c r="HYF10" s="3438"/>
      <c r="HYG10" s="3438"/>
      <c r="HYH10" s="3438"/>
      <c r="HYI10" s="3438"/>
      <c r="HYJ10" s="3438"/>
      <c r="HYK10" s="3438"/>
      <c r="HYL10" s="3438"/>
      <c r="HYM10" s="3438"/>
      <c r="HYN10" s="3438"/>
      <c r="HYO10" s="3438"/>
      <c r="HYP10" s="3438"/>
      <c r="HYQ10" s="3438"/>
      <c r="HYR10" s="3438"/>
      <c r="HYS10" s="3438"/>
      <c r="HYT10" s="3438"/>
      <c r="HYU10" s="3438"/>
      <c r="HYV10" s="3438"/>
      <c r="HYW10" s="3438"/>
      <c r="HYX10" s="3438"/>
      <c r="HYY10" s="3438"/>
      <c r="HYZ10" s="3438"/>
      <c r="HZA10" s="3438"/>
      <c r="HZB10" s="3438"/>
      <c r="HZC10" s="3438"/>
      <c r="HZD10" s="3438"/>
      <c r="HZE10" s="3438"/>
      <c r="HZF10" s="3438"/>
      <c r="HZG10" s="3438"/>
      <c r="HZH10" s="3438"/>
      <c r="HZI10" s="3438"/>
      <c r="HZJ10" s="3438"/>
      <c r="HZK10" s="3438"/>
      <c r="HZL10" s="3438"/>
      <c r="HZM10" s="3438"/>
      <c r="HZN10" s="3438"/>
      <c r="HZO10" s="3438"/>
      <c r="HZP10" s="3438"/>
      <c r="HZQ10" s="3438"/>
      <c r="HZR10" s="3438"/>
      <c r="HZS10" s="3438"/>
      <c r="HZT10" s="3438"/>
      <c r="HZU10" s="3438"/>
      <c r="HZV10" s="3438"/>
      <c r="HZW10" s="3438"/>
      <c r="HZX10" s="3438"/>
      <c r="HZY10" s="3438"/>
      <c r="HZZ10" s="3438"/>
      <c r="IAA10" s="3438"/>
      <c r="IAB10" s="3438"/>
      <c r="IAC10" s="3438"/>
      <c r="IAD10" s="3438"/>
      <c r="IAE10" s="3438"/>
      <c r="IAF10" s="3438"/>
      <c r="IAG10" s="3438"/>
      <c r="IAH10" s="3438"/>
      <c r="IAI10" s="3438"/>
      <c r="IAJ10" s="3438"/>
      <c r="IAK10" s="3438"/>
      <c r="IAL10" s="3438"/>
      <c r="IAM10" s="3438"/>
      <c r="IAN10" s="3438"/>
      <c r="IAO10" s="3438"/>
      <c r="IAP10" s="3438"/>
      <c r="IAQ10" s="3438"/>
      <c r="IAR10" s="3438"/>
      <c r="IAS10" s="3438"/>
      <c r="IAT10" s="3438"/>
      <c r="IAU10" s="3438"/>
      <c r="IAV10" s="3438"/>
      <c r="IAW10" s="3438"/>
      <c r="IAX10" s="3438"/>
      <c r="IAY10" s="3438"/>
      <c r="IAZ10" s="3438"/>
      <c r="IBA10" s="3438"/>
      <c r="IBB10" s="3438"/>
      <c r="IBC10" s="3438"/>
      <c r="IBD10" s="3438"/>
      <c r="IBE10" s="3438"/>
      <c r="IBF10" s="3438"/>
      <c r="IBG10" s="3438"/>
      <c r="IBH10" s="3438"/>
      <c r="IBI10" s="3438"/>
      <c r="IBJ10" s="3438"/>
      <c r="IBK10" s="3438"/>
      <c r="IBL10" s="3438"/>
      <c r="IBM10" s="3438"/>
      <c r="IBN10" s="3438"/>
      <c r="IBO10" s="3438"/>
      <c r="IBP10" s="3438"/>
      <c r="IBQ10" s="3438"/>
      <c r="IBR10" s="3438"/>
      <c r="IBS10" s="3438"/>
      <c r="IBT10" s="3438"/>
      <c r="IBU10" s="3438"/>
      <c r="IBV10" s="3438"/>
      <c r="IBW10" s="3438"/>
      <c r="IBX10" s="3438"/>
      <c r="IBY10" s="3438"/>
      <c r="IBZ10" s="3438"/>
      <c r="ICA10" s="3438"/>
      <c r="ICB10" s="3438"/>
      <c r="ICC10" s="3438"/>
      <c r="ICD10" s="3438"/>
      <c r="ICE10" s="3438"/>
      <c r="ICF10" s="3438"/>
      <c r="ICG10" s="3438"/>
      <c r="ICH10" s="3438"/>
      <c r="ICI10" s="3438"/>
      <c r="ICJ10" s="3438"/>
      <c r="ICK10" s="3438"/>
      <c r="ICL10" s="3438"/>
      <c r="ICM10" s="3438"/>
      <c r="ICN10" s="3438"/>
      <c r="ICO10" s="3438"/>
      <c r="ICP10" s="3438"/>
      <c r="ICQ10" s="3438"/>
      <c r="ICR10" s="3438"/>
      <c r="ICS10" s="3438"/>
      <c r="ICT10" s="3438"/>
      <c r="ICU10" s="3438"/>
      <c r="ICV10" s="3438"/>
      <c r="ICW10" s="3438"/>
      <c r="ICX10" s="3438"/>
      <c r="ICY10" s="3438"/>
      <c r="ICZ10" s="3438"/>
      <c r="IDA10" s="3438"/>
      <c r="IDB10" s="3438"/>
      <c r="IDC10" s="3438"/>
      <c r="IDD10" s="3438"/>
      <c r="IDE10" s="3438"/>
      <c r="IDF10" s="3438"/>
      <c r="IDG10" s="3438"/>
      <c r="IDH10" s="3438"/>
      <c r="IDI10" s="3438"/>
      <c r="IDJ10" s="3438"/>
      <c r="IDK10" s="3438"/>
      <c r="IDL10" s="3438"/>
      <c r="IDM10" s="3438"/>
      <c r="IDN10" s="3438"/>
      <c r="IDO10" s="3438"/>
      <c r="IDP10" s="3438"/>
      <c r="IDQ10" s="3438"/>
      <c r="IDR10" s="3438"/>
      <c r="IDS10" s="3438"/>
      <c r="IDT10" s="3438"/>
      <c r="IDU10" s="3438"/>
      <c r="IDV10" s="3438"/>
      <c r="IDW10" s="3438"/>
      <c r="IDX10" s="3438"/>
      <c r="IDY10" s="3438"/>
      <c r="IDZ10" s="3438"/>
      <c r="IEA10" s="3438"/>
      <c r="IEB10" s="3438"/>
      <c r="IEC10" s="3438"/>
      <c r="IED10" s="3438"/>
      <c r="IEE10" s="3438"/>
      <c r="IEF10" s="3438"/>
      <c r="IEG10" s="3438"/>
      <c r="IEH10" s="3438"/>
      <c r="IEI10" s="3438"/>
      <c r="IEJ10" s="3438"/>
      <c r="IEK10" s="3438"/>
      <c r="IEL10" s="3438"/>
      <c r="IEM10" s="3438"/>
      <c r="IEN10" s="3438"/>
      <c r="IEO10" s="3438"/>
      <c r="IEP10" s="3438"/>
      <c r="IEQ10" s="3438"/>
      <c r="IER10" s="3438"/>
      <c r="IES10" s="3438"/>
      <c r="IET10" s="3438"/>
      <c r="IEU10" s="3438"/>
      <c r="IEV10" s="3438"/>
      <c r="IEW10" s="3438"/>
      <c r="IEX10" s="3438"/>
      <c r="IEY10" s="3438"/>
      <c r="IEZ10" s="3438"/>
      <c r="IFA10" s="3438"/>
      <c r="IFB10" s="3438"/>
      <c r="IFC10" s="3438"/>
      <c r="IFD10" s="3438"/>
      <c r="IFE10" s="3438"/>
      <c r="IFF10" s="3438"/>
      <c r="IFG10" s="3438"/>
      <c r="IFH10" s="3438"/>
      <c r="IFI10" s="3438"/>
      <c r="IFJ10" s="3438"/>
      <c r="IFK10" s="3438"/>
      <c r="IFL10" s="3438"/>
      <c r="IFM10" s="3438"/>
      <c r="IFN10" s="3438"/>
      <c r="IFO10" s="3438"/>
      <c r="IFP10" s="3438"/>
      <c r="IFQ10" s="3438"/>
      <c r="IFR10" s="3438"/>
      <c r="IFS10" s="3438"/>
      <c r="IFT10" s="3438"/>
      <c r="IFU10" s="3438"/>
      <c r="IFV10" s="3438"/>
      <c r="IFW10" s="3438"/>
      <c r="IFX10" s="3438"/>
      <c r="IFY10" s="3438"/>
      <c r="IFZ10" s="3438"/>
      <c r="IGA10" s="3438"/>
      <c r="IGB10" s="3438"/>
      <c r="IGC10" s="3438"/>
      <c r="IGD10" s="3438"/>
      <c r="IGE10" s="3438"/>
      <c r="IGF10" s="3438"/>
      <c r="IGG10" s="3438"/>
      <c r="IGH10" s="3438"/>
      <c r="IGI10" s="3438"/>
      <c r="IGJ10" s="3438"/>
      <c r="IGK10" s="3438"/>
      <c r="IGL10" s="3438"/>
      <c r="IGM10" s="3438"/>
      <c r="IGN10" s="3438"/>
      <c r="IGO10" s="3438"/>
      <c r="IGP10" s="3438"/>
      <c r="IGQ10" s="3438"/>
      <c r="IGR10" s="3438"/>
      <c r="IGS10" s="3438"/>
      <c r="IGT10" s="3438"/>
      <c r="IGU10" s="3438"/>
      <c r="IGV10" s="3438"/>
      <c r="IGW10" s="3438"/>
      <c r="IGX10" s="3438"/>
      <c r="IGY10" s="3438"/>
      <c r="IGZ10" s="3438"/>
      <c r="IHA10" s="3438"/>
      <c r="IHB10" s="3438"/>
      <c r="IHC10" s="3438"/>
      <c r="IHD10" s="3438"/>
      <c r="IHE10" s="3438"/>
      <c r="IHF10" s="3438"/>
      <c r="IHG10" s="3438"/>
      <c r="IHH10" s="3438"/>
      <c r="IHI10" s="3438"/>
      <c r="IHJ10" s="3438"/>
      <c r="IHK10" s="3438"/>
      <c r="IHL10" s="3438"/>
      <c r="IHM10" s="3438"/>
      <c r="IHN10" s="3438"/>
      <c r="IHO10" s="3438"/>
      <c r="IHP10" s="3438"/>
      <c r="IHQ10" s="3438"/>
      <c r="IHR10" s="3438"/>
      <c r="IHS10" s="3438"/>
      <c r="IHT10" s="3438"/>
      <c r="IHU10" s="3438"/>
      <c r="IHV10" s="3438"/>
      <c r="IHW10" s="3438"/>
      <c r="IHX10" s="3438"/>
      <c r="IHY10" s="3438"/>
      <c r="IHZ10" s="3438"/>
      <c r="IIA10" s="3438"/>
      <c r="IIB10" s="3438"/>
      <c r="IIC10" s="3438"/>
      <c r="IID10" s="3438"/>
      <c r="IIE10" s="3438"/>
      <c r="IIF10" s="3438"/>
      <c r="IIG10" s="3438"/>
      <c r="IIH10" s="3438"/>
      <c r="III10" s="3438"/>
      <c r="IIJ10" s="3438"/>
      <c r="IIK10" s="3438"/>
      <c r="IIL10" s="3438"/>
      <c r="IIM10" s="3438"/>
      <c r="IIN10" s="3438"/>
      <c r="IIO10" s="3438"/>
      <c r="IIP10" s="3438"/>
      <c r="IIQ10" s="3438"/>
      <c r="IIR10" s="3438"/>
      <c r="IIS10" s="3438"/>
      <c r="IIT10" s="3438"/>
      <c r="IIU10" s="3438"/>
      <c r="IIV10" s="3438"/>
      <c r="IIW10" s="3438"/>
      <c r="IIX10" s="3438"/>
      <c r="IIY10" s="3438"/>
      <c r="IIZ10" s="3438"/>
      <c r="IJA10" s="3438"/>
      <c r="IJB10" s="3438"/>
      <c r="IJC10" s="3438"/>
      <c r="IJD10" s="3438"/>
      <c r="IJE10" s="3438"/>
      <c r="IJF10" s="3438"/>
      <c r="IJG10" s="3438"/>
      <c r="IJH10" s="3438"/>
      <c r="IJI10" s="3438"/>
      <c r="IJJ10" s="3438"/>
      <c r="IJK10" s="3438"/>
      <c r="IJL10" s="3438"/>
      <c r="IJM10" s="3438"/>
      <c r="IJN10" s="3438"/>
      <c r="IJO10" s="3438"/>
      <c r="IJP10" s="3438"/>
      <c r="IJQ10" s="3438"/>
      <c r="IJR10" s="3438"/>
      <c r="IJS10" s="3438"/>
      <c r="IJT10" s="3438"/>
      <c r="IJU10" s="3438"/>
      <c r="IJV10" s="3438"/>
      <c r="IJW10" s="3438"/>
      <c r="IJX10" s="3438"/>
      <c r="IJY10" s="3438"/>
      <c r="IJZ10" s="3438"/>
      <c r="IKA10" s="3438"/>
      <c r="IKB10" s="3438"/>
      <c r="IKC10" s="3438"/>
      <c r="IKD10" s="3438"/>
      <c r="IKE10" s="3438"/>
      <c r="IKF10" s="3438"/>
      <c r="IKG10" s="3438"/>
      <c r="IKH10" s="3438"/>
      <c r="IKI10" s="3438"/>
      <c r="IKJ10" s="3438"/>
      <c r="IKK10" s="3438"/>
      <c r="IKL10" s="3438"/>
      <c r="IKM10" s="3438"/>
      <c r="IKN10" s="3438"/>
      <c r="IKO10" s="3438"/>
      <c r="IKP10" s="3438"/>
      <c r="IKQ10" s="3438"/>
      <c r="IKR10" s="3438"/>
      <c r="IKS10" s="3438"/>
      <c r="IKT10" s="3438"/>
      <c r="IKU10" s="3438"/>
      <c r="IKV10" s="3438"/>
      <c r="IKW10" s="3438"/>
      <c r="IKX10" s="3438"/>
      <c r="IKY10" s="3438"/>
      <c r="IKZ10" s="3438"/>
      <c r="ILA10" s="3438"/>
      <c r="ILB10" s="3438"/>
      <c r="ILC10" s="3438"/>
      <c r="ILD10" s="3438"/>
      <c r="ILE10" s="3438"/>
      <c r="ILF10" s="3438"/>
      <c r="ILG10" s="3438"/>
      <c r="ILH10" s="3438"/>
      <c r="ILI10" s="3438"/>
      <c r="ILJ10" s="3438"/>
      <c r="ILK10" s="3438"/>
      <c r="ILL10" s="3438"/>
      <c r="ILM10" s="3438"/>
      <c r="ILN10" s="3438"/>
      <c r="ILO10" s="3438"/>
      <c r="ILP10" s="3438"/>
      <c r="ILQ10" s="3438"/>
      <c r="ILR10" s="3438"/>
      <c r="ILS10" s="3438"/>
      <c r="ILT10" s="3438"/>
      <c r="ILU10" s="3438"/>
      <c r="ILV10" s="3438"/>
      <c r="ILW10" s="3438"/>
      <c r="ILX10" s="3438"/>
      <c r="ILY10" s="3438"/>
      <c r="ILZ10" s="3438"/>
      <c r="IMA10" s="3438"/>
      <c r="IMB10" s="3438"/>
      <c r="IMC10" s="3438"/>
      <c r="IMD10" s="3438"/>
      <c r="IME10" s="3438"/>
      <c r="IMF10" s="3438"/>
      <c r="IMG10" s="3438"/>
      <c r="IMH10" s="3438"/>
      <c r="IMI10" s="3438"/>
      <c r="IMJ10" s="3438"/>
      <c r="IMK10" s="3438"/>
      <c r="IML10" s="3438"/>
      <c r="IMM10" s="3438"/>
      <c r="IMN10" s="3438"/>
      <c r="IMO10" s="3438"/>
      <c r="IMP10" s="3438"/>
      <c r="IMQ10" s="3438"/>
      <c r="IMR10" s="3438"/>
      <c r="IMS10" s="3438"/>
      <c r="IMT10" s="3438"/>
      <c r="IMU10" s="3438"/>
      <c r="IMV10" s="3438"/>
      <c r="IMW10" s="3438"/>
      <c r="IMX10" s="3438"/>
      <c r="IMY10" s="3438"/>
      <c r="IMZ10" s="3438"/>
      <c r="INA10" s="3438"/>
      <c r="INB10" s="3438"/>
      <c r="INC10" s="3438"/>
      <c r="IND10" s="3438"/>
      <c r="INE10" s="3438"/>
      <c r="INF10" s="3438"/>
      <c r="ING10" s="3438"/>
      <c r="INH10" s="3438"/>
      <c r="INI10" s="3438"/>
      <c r="INJ10" s="3438"/>
      <c r="INK10" s="3438"/>
      <c r="INL10" s="3438"/>
      <c r="INM10" s="3438"/>
      <c r="INN10" s="3438"/>
      <c r="INO10" s="3438"/>
      <c r="INP10" s="3438"/>
      <c r="INQ10" s="3438"/>
      <c r="INR10" s="3438"/>
      <c r="INS10" s="3438"/>
      <c r="INT10" s="3438"/>
      <c r="INU10" s="3438"/>
      <c r="INV10" s="3438"/>
      <c r="INW10" s="3438"/>
      <c r="INX10" s="3438"/>
      <c r="INY10" s="3438"/>
      <c r="INZ10" s="3438"/>
      <c r="IOA10" s="3438"/>
      <c r="IOB10" s="3438"/>
      <c r="IOC10" s="3438"/>
      <c r="IOD10" s="3438"/>
      <c r="IOE10" s="3438"/>
      <c r="IOF10" s="3438"/>
      <c r="IOG10" s="3438"/>
      <c r="IOH10" s="3438"/>
      <c r="IOI10" s="3438"/>
      <c r="IOJ10" s="3438"/>
      <c r="IOK10" s="3438"/>
      <c r="IOL10" s="3438"/>
      <c r="IOM10" s="3438"/>
      <c r="ION10" s="3438"/>
      <c r="IOO10" s="3438"/>
      <c r="IOP10" s="3438"/>
      <c r="IOQ10" s="3438"/>
      <c r="IOR10" s="3438"/>
      <c r="IOS10" s="3438"/>
      <c r="IOT10" s="3438"/>
      <c r="IOU10" s="3438"/>
      <c r="IOV10" s="3438"/>
      <c r="IOW10" s="3438"/>
      <c r="IOX10" s="3438"/>
      <c r="IOY10" s="3438"/>
      <c r="IOZ10" s="3438"/>
      <c r="IPA10" s="3438"/>
      <c r="IPB10" s="3438"/>
      <c r="IPC10" s="3438"/>
      <c r="IPD10" s="3438"/>
      <c r="IPE10" s="3438"/>
      <c r="IPF10" s="3438"/>
      <c r="IPG10" s="3438"/>
      <c r="IPH10" s="3438"/>
      <c r="IPI10" s="3438"/>
      <c r="IPJ10" s="3438"/>
      <c r="IPK10" s="3438"/>
      <c r="IPL10" s="3438"/>
      <c r="IPM10" s="3438"/>
      <c r="IPN10" s="3438"/>
      <c r="IPO10" s="3438"/>
      <c r="IPP10" s="3438"/>
      <c r="IPQ10" s="3438"/>
      <c r="IPR10" s="3438"/>
      <c r="IPS10" s="3438"/>
      <c r="IPT10" s="3438"/>
      <c r="IPU10" s="3438"/>
      <c r="IPV10" s="3438"/>
      <c r="IPW10" s="3438"/>
      <c r="IPX10" s="3438"/>
      <c r="IPY10" s="3438"/>
      <c r="IPZ10" s="3438"/>
      <c r="IQA10" s="3438"/>
      <c r="IQB10" s="3438"/>
      <c r="IQC10" s="3438"/>
      <c r="IQD10" s="3438"/>
      <c r="IQE10" s="3438"/>
      <c r="IQF10" s="3438"/>
      <c r="IQG10" s="3438"/>
      <c r="IQH10" s="3438"/>
      <c r="IQI10" s="3438"/>
      <c r="IQJ10" s="3438"/>
      <c r="IQK10" s="3438"/>
      <c r="IQL10" s="3438"/>
      <c r="IQM10" s="3438"/>
      <c r="IQN10" s="3438"/>
      <c r="IQO10" s="3438"/>
      <c r="IQP10" s="3438"/>
      <c r="IQQ10" s="3438"/>
      <c r="IQR10" s="3438"/>
      <c r="IQS10" s="3438"/>
      <c r="IQT10" s="3438"/>
      <c r="IQU10" s="3438"/>
      <c r="IQV10" s="3438"/>
      <c r="IQW10" s="3438"/>
      <c r="IQX10" s="3438"/>
      <c r="IQY10" s="3438"/>
      <c r="IQZ10" s="3438"/>
      <c r="IRA10" s="3438"/>
      <c r="IRB10" s="3438"/>
      <c r="IRC10" s="3438"/>
      <c r="IRD10" s="3438"/>
      <c r="IRE10" s="3438"/>
      <c r="IRF10" s="3438"/>
      <c r="IRG10" s="3438"/>
      <c r="IRH10" s="3438"/>
      <c r="IRI10" s="3438"/>
      <c r="IRJ10" s="3438"/>
      <c r="IRK10" s="3438"/>
      <c r="IRL10" s="3438"/>
      <c r="IRM10" s="3438"/>
      <c r="IRN10" s="3438"/>
      <c r="IRO10" s="3438"/>
      <c r="IRP10" s="3438"/>
      <c r="IRQ10" s="3438"/>
      <c r="IRR10" s="3438"/>
      <c r="IRS10" s="3438"/>
      <c r="IRT10" s="3438"/>
      <c r="IRU10" s="3438"/>
      <c r="IRV10" s="3438"/>
      <c r="IRW10" s="3438"/>
      <c r="IRX10" s="3438"/>
      <c r="IRY10" s="3438"/>
      <c r="IRZ10" s="3438"/>
      <c r="ISA10" s="3438"/>
      <c r="ISB10" s="3438"/>
      <c r="ISC10" s="3438"/>
      <c r="ISD10" s="3438"/>
      <c r="ISE10" s="3438"/>
      <c r="ISF10" s="3438"/>
      <c r="ISG10" s="3438"/>
      <c r="ISH10" s="3438"/>
      <c r="ISI10" s="3438"/>
      <c r="ISJ10" s="3438"/>
      <c r="ISK10" s="3438"/>
      <c r="ISL10" s="3438"/>
      <c r="ISM10" s="3438"/>
      <c r="ISN10" s="3438"/>
      <c r="ISO10" s="3438"/>
      <c r="ISP10" s="3438"/>
      <c r="ISQ10" s="3438"/>
      <c r="ISR10" s="3438"/>
      <c r="ISS10" s="3438"/>
      <c r="IST10" s="3438"/>
      <c r="ISU10" s="3438"/>
      <c r="ISV10" s="3438"/>
      <c r="ISW10" s="3438"/>
      <c r="ISX10" s="3438"/>
      <c r="ISY10" s="3438"/>
      <c r="ISZ10" s="3438"/>
      <c r="ITA10" s="3438"/>
      <c r="ITB10" s="3438"/>
      <c r="ITC10" s="3438"/>
      <c r="ITD10" s="3438"/>
      <c r="ITE10" s="3438"/>
      <c r="ITF10" s="3438"/>
      <c r="ITG10" s="3438"/>
      <c r="ITH10" s="3438"/>
      <c r="ITI10" s="3438"/>
      <c r="ITJ10" s="3438"/>
      <c r="ITK10" s="3438"/>
      <c r="ITL10" s="3438"/>
      <c r="ITM10" s="3438"/>
      <c r="ITN10" s="3438"/>
      <c r="ITO10" s="3438"/>
      <c r="ITP10" s="3438"/>
      <c r="ITQ10" s="3438"/>
      <c r="ITR10" s="3438"/>
      <c r="ITS10" s="3438"/>
      <c r="ITT10" s="3438"/>
      <c r="ITU10" s="3438"/>
      <c r="ITV10" s="3438"/>
      <c r="ITW10" s="3438"/>
      <c r="ITX10" s="3438"/>
      <c r="ITY10" s="3438"/>
      <c r="ITZ10" s="3438"/>
      <c r="IUA10" s="3438"/>
      <c r="IUB10" s="3438"/>
      <c r="IUC10" s="3438"/>
      <c r="IUD10" s="3438"/>
      <c r="IUE10" s="3438"/>
      <c r="IUF10" s="3438"/>
      <c r="IUG10" s="3438"/>
      <c r="IUH10" s="3438"/>
      <c r="IUI10" s="3438"/>
      <c r="IUJ10" s="3438"/>
      <c r="IUK10" s="3438"/>
      <c r="IUL10" s="3438"/>
      <c r="IUM10" s="3438"/>
      <c r="IUN10" s="3438"/>
      <c r="IUO10" s="3438"/>
      <c r="IUP10" s="3438"/>
      <c r="IUQ10" s="3438"/>
      <c r="IUR10" s="3438"/>
      <c r="IUS10" s="3438"/>
      <c r="IUT10" s="3438"/>
      <c r="IUU10" s="3438"/>
      <c r="IUV10" s="3438"/>
      <c r="IUW10" s="3438"/>
      <c r="IUX10" s="3438"/>
      <c r="IUY10" s="3438"/>
      <c r="IUZ10" s="3438"/>
      <c r="IVA10" s="3438"/>
      <c r="IVB10" s="3438"/>
      <c r="IVC10" s="3438"/>
      <c r="IVD10" s="3438"/>
      <c r="IVE10" s="3438"/>
      <c r="IVF10" s="3438"/>
      <c r="IVG10" s="3438"/>
      <c r="IVH10" s="3438"/>
      <c r="IVI10" s="3438"/>
      <c r="IVJ10" s="3438"/>
      <c r="IVK10" s="3438"/>
      <c r="IVL10" s="3438"/>
      <c r="IVM10" s="3438"/>
      <c r="IVN10" s="3438"/>
      <c r="IVO10" s="3438"/>
      <c r="IVP10" s="3438"/>
      <c r="IVQ10" s="3438"/>
      <c r="IVR10" s="3438"/>
      <c r="IVS10" s="3438"/>
      <c r="IVT10" s="3438"/>
      <c r="IVU10" s="3438"/>
      <c r="IVV10" s="3438"/>
      <c r="IVW10" s="3438"/>
      <c r="IVX10" s="3438"/>
      <c r="IVY10" s="3438"/>
      <c r="IVZ10" s="3438"/>
      <c r="IWA10" s="3438"/>
      <c r="IWB10" s="3438"/>
      <c r="IWC10" s="3438"/>
      <c r="IWD10" s="3438"/>
      <c r="IWE10" s="3438"/>
      <c r="IWF10" s="3438"/>
      <c r="IWG10" s="3438"/>
      <c r="IWH10" s="3438"/>
      <c r="IWI10" s="3438"/>
      <c r="IWJ10" s="3438"/>
      <c r="IWK10" s="3438"/>
      <c r="IWL10" s="3438"/>
      <c r="IWM10" s="3438"/>
      <c r="IWN10" s="3438"/>
      <c r="IWO10" s="3438"/>
      <c r="IWP10" s="3438"/>
      <c r="IWQ10" s="3438"/>
      <c r="IWR10" s="3438"/>
      <c r="IWS10" s="3438"/>
      <c r="IWT10" s="3438"/>
      <c r="IWU10" s="3438"/>
      <c r="IWV10" s="3438"/>
      <c r="IWW10" s="3438"/>
      <c r="IWX10" s="3438"/>
      <c r="IWY10" s="3438"/>
      <c r="IWZ10" s="3438"/>
      <c r="IXA10" s="3438"/>
      <c r="IXB10" s="3438"/>
      <c r="IXC10" s="3438"/>
      <c r="IXD10" s="3438"/>
      <c r="IXE10" s="3438"/>
      <c r="IXF10" s="3438"/>
      <c r="IXG10" s="3438"/>
      <c r="IXH10" s="3438"/>
      <c r="IXI10" s="3438"/>
      <c r="IXJ10" s="3438"/>
      <c r="IXK10" s="3438"/>
      <c r="IXL10" s="3438"/>
      <c r="IXM10" s="3438"/>
      <c r="IXN10" s="3438"/>
      <c r="IXO10" s="3438"/>
      <c r="IXP10" s="3438"/>
      <c r="IXQ10" s="3438"/>
      <c r="IXR10" s="3438"/>
      <c r="IXS10" s="3438"/>
      <c r="IXT10" s="3438"/>
      <c r="IXU10" s="3438"/>
      <c r="IXV10" s="3438"/>
      <c r="IXW10" s="3438"/>
      <c r="IXX10" s="3438"/>
      <c r="IXY10" s="3438"/>
      <c r="IXZ10" s="3438"/>
      <c r="IYA10" s="3438"/>
      <c r="IYB10" s="3438"/>
      <c r="IYC10" s="3438"/>
      <c r="IYD10" s="3438"/>
      <c r="IYE10" s="3438"/>
      <c r="IYF10" s="3438"/>
      <c r="IYG10" s="3438"/>
      <c r="IYH10" s="3438"/>
      <c r="IYI10" s="3438"/>
      <c r="IYJ10" s="3438"/>
      <c r="IYK10" s="3438"/>
      <c r="IYL10" s="3438"/>
      <c r="IYM10" s="3438"/>
      <c r="IYN10" s="3438"/>
      <c r="IYO10" s="3438"/>
      <c r="IYP10" s="3438"/>
      <c r="IYQ10" s="3438"/>
      <c r="IYR10" s="3438"/>
      <c r="IYS10" s="3438"/>
      <c r="IYT10" s="3438"/>
      <c r="IYU10" s="3438"/>
      <c r="IYV10" s="3438"/>
      <c r="IYW10" s="3438"/>
      <c r="IYX10" s="3438"/>
      <c r="IYY10" s="3438"/>
      <c r="IYZ10" s="3438"/>
      <c r="IZA10" s="3438"/>
      <c r="IZB10" s="3438"/>
      <c r="IZC10" s="3438"/>
      <c r="IZD10" s="3438"/>
      <c r="IZE10" s="3438"/>
      <c r="IZF10" s="3438"/>
      <c r="IZG10" s="3438"/>
      <c r="IZH10" s="3438"/>
      <c r="IZI10" s="3438"/>
      <c r="IZJ10" s="3438"/>
      <c r="IZK10" s="3438"/>
      <c r="IZL10" s="3438"/>
      <c r="IZM10" s="3438"/>
      <c r="IZN10" s="3438"/>
      <c r="IZO10" s="3438"/>
      <c r="IZP10" s="3438"/>
      <c r="IZQ10" s="3438"/>
      <c r="IZR10" s="3438"/>
      <c r="IZS10" s="3438"/>
      <c r="IZT10" s="3438"/>
      <c r="IZU10" s="3438"/>
      <c r="IZV10" s="3438"/>
      <c r="IZW10" s="3438"/>
      <c r="IZX10" s="3438"/>
      <c r="IZY10" s="3438"/>
      <c r="IZZ10" s="3438"/>
      <c r="JAA10" s="3438"/>
      <c r="JAB10" s="3438"/>
      <c r="JAC10" s="3438"/>
      <c r="JAD10" s="3438"/>
      <c r="JAE10" s="3438"/>
      <c r="JAF10" s="3438"/>
      <c r="JAG10" s="3438"/>
      <c r="JAH10" s="3438"/>
      <c r="JAI10" s="3438"/>
      <c r="JAJ10" s="3438"/>
      <c r="JAK10" s="3438"/>
      <c r="JAL10" s="3438"/>
      <c r="JAM10" s="3438"/>
      <c r="JAN10" s="3438"/>
      <c r="JAO10" s="3438"/>
      <c r="JAP10" s="3438"/>
      <c r="JAQ10" s="3438"/>
      <c r="JAR10" s="3438"/>
      <c r="JAS10" s="3438"/>
      <c r="JAT10" s="3438"/>
      <c r="JAU10" s="3438"/>
      <c r="JAV10" s="3438"/>
      <c r="JAW10" s="3438"/>
      <c r="JAX10" s="3438"/>
      <c r="JAY10" s="3438"/>
      <c r="JAZ10" s="3438"/>
      <c r="JBA10" s="3438"/>
      <c r="JBB10" s="3438"/>
      <c r="JBC10" s="3438"/>
      <c r="JBD10" s="3438"/>
      <c r="JBE10" s="3438"/>
      <c r="JBF10" s="3438"/>
      <c r="JBG10" s="3438"/>
      <c r="JBH10" s="3438"/>
      <c r="JBI10" s="3438"/>
      <c r="JBJ10" s="3438"/>
      <c r="JBK10" s="3438"/>
      <c r="JBL10" s="3438"/>
      <c r="JBM10" s="3438"/>
      <c r="JBN10" s="3438"/>
      <c r="JBO10" s="3438"/>
      <c r="JBP10" s="3438"/>
      <c r="JBQ10" s="3438"/>
      <c r="JBR10" s="3438"/>
      <c r="JBS10" s="3438"/>
      <c r="JBT10" s="3438"/>
      <c r="JBU10" s="3438"/>
      <c r="JBV10" s="3438"/>
      <c r="JBW10" s="3438"/>
      <c r="JBX10" s="3438"/>
      <c r="JBY10" s="3438"/>
      <c r="JBZ10" s="3438"/>
      <c r="JCA10" s="3438"/>
      <c r="JCB10" s="3438"/>
      <c r="JCC10" s="3438"/>
      <c r="JCD10" s="3438"/>
      <c r="JCE10" s="3438"/>
      <c r="JCF10" s="3438"/>
      <c r="JCG10" s="3438"/>
      <c r="JCH10" s="3438"/>
      <c r="JCI10" s="3438"/>
      <c r="JCJ10" s="3438"/>
      <c r="JCK10" s="3438"/>
      <c r="JCL10" s="3438"/>
      <c r="JCM10" s="3438"/>
      <c r="JCN10" s="3438"/>
      <c r="JCO10" s="3438"/>
      <c r="JCP10" s="3438"/>
      <c r="JCQ10" s="3438"/>
      <c r="JCR10" s="3438"/>
      <c r="JCS10" s="3438"/>
      <c r="JCT10" s="3438"/>
      <c r="JCU10" s="3438"/>
      <c r="JCV10" s="3438"/>
      <c r="JCW10" s="3438"/>
      <c r="JCX10" s="3438"/>
      <c r="JCY10" s="3438"/>
      <c r="JCZ10" s="3438"/>
      <c r="JDA10" s="3438"/>
      <c r="JDB10" s="3438"/>
      <c r="JDC10" s="3438"/>
      <c r="JDD10" s="3438"/>
      <c r="JDE10" s="3438"/>
      <c r="JDF10" s="3438"/>
      <c r="JDG10" s="3438"/>
      <c r="JDH10" s="3438"/>
      <c r="JDI10" s="3438"/>
      <c r="JDJ10" s="3438"/>
      <c r="JDK10" s="3438"/>
      <c r="JDL10" s="3438"/>
      <c r="JDM10" s="3438"/>
      <c r="JDN10" s="3438"/>
      <c r="JDO10" s="3438"/>
      <c r="JDP10" s="3438"/>
      <c r="JDQ10" s="3438"/>
      <c r="JDR10" s="3438"/>
      <c r="JDS10" s="3438"/>
      <c r="JDT10" s="3438"/>
      <c r="JDU10" s="3438"/>
      <c r="JDV10" s="3438"/>
      <c r="JDW10" s="3438"/>
      <c r="JDX10" s="3438"/>
      <c r="JDY10" s="3438"/>
      <c r="JDZ10" s="3438"/>
      <c r="JEA10" s="3438"/>
      <c r="JEB10" s="3438"/>
      <c r="JEC10" s="3438"/>
      <c r="JED10" s="3438"/>
      <c r="JEE10" s="3438"/>
      <c r="JEF10" s="3438"/>
      <c r="JEG10" s="3438"/>
      <c r="JEH10" s="3438"/>
      <c r="JEI10" s="3438"/>
      <c r="JEJ10" s="3438"/>
      <c r="JEK10" s="3438"/>
      <c r="JEL10" s="3438"/>
      <c r="JEM10" s="3438"/>
      <c r="JEN10" s="3438"/>
      <c r="JEO10" s="3438"/>
      <c r="JEP10" s="3438"/>
      <c r="JEQ10" s="3438"/>
      <c r="JER10" s="3438"/>
      <c r="JES10" s="3438"/>
      <c r="JET10" s="3438"/>
      <c r="JEU10" s="3438"/>
      <c r="JEV10" s="3438"/>
      <c r="JEW10" s="3438"/>
      <c r="JEX10" s="3438"/>
      <c r="JEY10" s="3438"/>
      <c r="JEZ10" s="3438"/>
      <c r="JFA10" s="3438"/>
      <c r="JFB10" s="3438"/>
      <c r="JFC10" s="3438"/>
      <c r="JFD10" s="3438"/>
      <c r="JFE10" s="3438"/>
      <c r="JFF10" s="3438"/>
      <c r="JFG10" s="3438"/>
      <c r="JFH10" s="3438"/>
      <c r="JFI10" s="3438"/>
      <c r="JFJ10" s="3438"/>
      <c r="JFK10" s="3438"/>
      <c r="JFL10" s="3438"/>
      <c r="JFM10" s="3438"/>
      <c r="JFN10" s="3438"/>
      <c r="JFO10" s="3438"/>
      <c r="JFP10" s="3438"/>
      <c r="JFQ10" s="3438"/>
      <c r="JFR10" s="3438"/>
      <c r="JFS10" s="3438"/>
      <c r="JFT10" s="3438"/>
      <c r="JFU10" s="3438"/>
      <c r="JFV10" s="3438"/>
      <c r="JFW10" s="3438"/>
      <c r="JFX10" s="3438"/>
      <c r="JFY10" s="3438"/>
      <c r="JFZ10" s="3438"/>
      <c r="JGA10" s="3438"/>
      <c r="JGB10" s="3438"/>
      <c r="JGC10" s="3438"/>
      <c r="JGD10" s="3438"/>
      <c r="JGE10" s="3438"/>
      <c r="JGF10" s="3438"/>
      <c r="JGG10" s="3438"/>
      <c r="JGH10" s="3438"/>
      <c r="JGI10" s="3438"/>
      <c r="JGJ10" s="3438"/>
      <c r="JGK10" s="3438"/>
      <c r="JGL10" s="3438"/>
      <c r="JGM10" s="3438"/>
      <c r="JGN10" s="3438"/>
      <c r="JGO10" s="3438"/>
      <c r="JGP10" s="3438"/>
      <c r="JGQ10" s="3438"/>
      <c r="JGR10" s="3438"/>
      <c r="JGS10" s="3438"/>
      <c r="JGT10" s="3438"/>
      <c r="JGU10" s="3438"/>
      <c r="JGV10" s="3438"/>
      <c r="JGW10" s="3438"/>
      <c r="JGX10" s="3438"/>
      <c r="JGY10" s="3438"/>
      <c r="JGZ10" s="3438"/>
      <c r="JHA10" s="3438"/>
      <c r="JHB10" s="3438"/>
      <c r="JHC10" s="3438"/>
      <c r="JHD10" s="3438"/>
      <c r="JHE10" s="3438"/>
      <c r="JHF10" s="3438"/>
      <c r="JHG10" s="3438"/>
      <c r="JHH10" s="3438"/>
      <c r="JHI10" s="3438"/>
      <c r="JHJ10" s="3438"/>
      <c r="JHK10" s="3438"/>
      <c r="JHL10" s="3438"/>
      <c r="JHM10" s="3438"/>
      <c r="JHN10" s="3438"/>
      <c r="JHO10" s="3438"/>
      <c r="JHP10" s="3438"/>
      <c r="JHQ10" s="3438"/>
      <c r="JHR10" s="3438"/>
      <c r="JHS10" s="3438"/>
      <c r="JHT10" s="3438"/>
      <c r="JHU10" s="3438"/>
      <c r="JHV10" s="3438"/>
      <c r="JHW10" s="3438"/>
      <c r="JHX10" s="3438"/>
      <c r="JHY10" s="3438"/>
      <c r="JHZ10" s="3438"/>
      <c r="JIA10" s="3438"/>
      <c r="JIB10" s="3438"/>
      <c r="JIC10" s="3438"/>
      <c r="JID10" s="3438"/>
      <c r="JIE10" s="3438"/>
      <c r="JIF10" s="3438"/>
      <c r="JIG10" s="3438"/>
      <c r="JIH10" s="3438"/>
      <c r="JII10" s="3438"/>
      <c r="JIJ10" s="3438"/>
      <c r="JIK10" s="3438"/>
      <c r="JIL10" s="3438"/>
      <c r="JIM10" s="3438"/>
      <c r="JIN10" s="3438"/>
      <c r="JIO10" s="3438"/>
      <c r="JIP10" s="3438"/>
      <c r="JIQ10" s="3438"/>
      <c r="JIR10" s="3438"/>
      <c r="JIS10" s="3438"/>
      <c r="JIT10" s="3438"/>
      <c r="JIU10" s="3438"/>
      <c r="JIV10" s="3438"/>
      <c r="JIW10" s="3438"/>
      <c r="JIX10" s="3438"/>
      <c r="JIY10" s="3438"/>
      <c r="JIZ10" s="3438"/>
      <c r="JJA10" s="3438"/>
      <c r="JJB10" s="3438"/>
      <c r="JJC10" s="3438"/>
      <c r="JJD10" s="3438"/>
      <c r="JJE10" s="3438"/>
      <c r="JJF10" s="3438"/>
      <c r="JJG10" s="3438"/>
      <c r="JJH10" s="3438"/>
      <c r="JJI10" s="3438"/>
      <c r="JJJ10" s="3438"/>
      <c r="JJK10" s="3438"/>
      <c r="JJL10" s="3438"/>
      <c r="JJM10" s="3438"/>
      <c r="JJN10" s="3438"/>
      <c r="JJO10" s="3438"/>
      <c r="JJP10" s="3438"/>
      <c r="JJQ10" s="3438"/>
      <c r="JJR10" s="3438"/>
      <c r="JJS10" s="3438"/>
      <c r="JJT10" s="3438"/>
      <c r="JJU10" s="3438"/>
      <c r="JJV10" s="3438"/>
      <c r="JJW10" s="3438"/>
      <c r="JJX10" s="3438"/>
      <c r="JJY10" s="3438"/>
      <c r="JJZ10" s="3438"/>
      <c r="JKA10" s="3438"/>
      <c r="JKB10" s="3438"/>
      <c r="JKC10" s="3438"/>
      <c r="JKD10" s="3438"/>
      <c r="JKE10" s="3438"/>
      <c r="JKF10" s="3438"/>
      <c r="JKG10" s="3438"/>
      <c r="JKH10" s="3438"/>
      <c r="JKI10" s="3438"/>
      <c r="JKJ10" s="3438"/>
      <c r="JKK10" s="3438"/>
      <c r="JKL10" s="3438"/>
      <c r="JKM10" s="3438"/>
      <c r="JKN10" s="3438"/>
      <c r="JKO10" s="3438"/>
      <c r="JKP10" s="3438"/>
      <c r="JKQ10" s="3438"/>
      <c r="JKR10" s="3438"/>
      <c r="JKS10" s="3438"/>
      <c r="JKT10" s="3438"/>
      <c r="JKU10" s="3438"/>
      <c r="JKV10" s="3438"/>
      <c r="JKW10" s="3438"/>
      <c r="JKX10" s="3438"/>
      <c r="JKY10" s="3438"/>
      <c r="JKZ10" s="3438"/>
      <c r="JLA10" s="3438"/>
      <c r="JLB10" s="3438"/>
      <c r="JLC10" s="3438"/>
      <c r="JLD10" s="3438"/>
      <c r="JLE10" s="3438"/>
      <c r="JLF10" s="3438"/>
      <c r="JLG10" s="3438"/>
      <c r="JLH10" s="3438"/>
      <c r="JLI10" s="3438"/>
      <c r="JLJ10" s="3438"/>
      <c r="JLK10" s="3438"/>
      <c r="JLL10" s="3438"/>
      <c r="JLM10" s="3438"/>
      <c r="JLN10" s="3438"/>
      <c r="JLO10" s="3438"/>
      <c r="JLP10" s="3438"/>
      <c r="JLQ10" s="3438"/>
      <c r="JLR10" s="3438"/>
      <c r="JLS10" s="3438"/>
      <c r="JLT10" s="3438"/>
      <c r="JLU10" s="3438"/>
      <c r="JLV10" s="3438"/>
      <c r="JLW10" s="3438"/>
      <c r="JLX10" s="3438"/>
      <c r="JLY10" s="3438"/>
      <c r="JLZ10" s="3438"/>
      <c r="JMA10" s="3438"/>
      <c r="JMB10" s="3438"/>
      <c r="JMC10" s="3438"/>
      <c r="JMD10" s="3438"/>
      <c r="JME10" s="3438"/>
      <c r="JMF10" s="3438"/>
      <c r="JMG10" s="3438"/>
      <c r="JMH10" s="3438"/>
      <c r="JMI10" s="3438"/>
      <c r="JMJ10" s="3438"/>
      <c r="JMK10" s="3438"/>
      <c r="JML10" s="3438"/>
      <c r="JMM10" s="3438"/>
      <c r="JMN10" s="3438"/>
      <c r="JMO10" s="3438"/>
      <c r="JMP10" s="3438"/>
      <c r="JMQ10" s="3438"/>
      <c r="JMR10" s="3438"/>
      <c r="JMS10" s="3438"/>
      <c r="JMT10" s="3438"/>
      <c r="JMU10" s="3438"/>
      <c r="JMV10" s="3438"/>
      <c r="JMW10" s="3438"/>
      <c r="JMX10" s="3438"/>
      <c r="JMY10" s="3438"/>
      <c r="JMZ10" s="3438"/>
      <c r="JNA10" s="3438"/>
      <c r="JNB10" s="3438"/>
      <c r="JNC10" s="3438"/>
      <c r="JND10" s="3438"/>
      <c r="JNE10" s="3438"/>
      <c r="JNF10" s="3438"/>
      <c r="JNG10" s="3438"/>
      <c r="JNH10" s="3438"/>
      <c r="JNI10" s="3438"/>
      <c r="JNJ10" s="3438"/>
      <c r="JNK10" s="3438"/>
      <c r="JNL10" s="3438"/>
      <c r="JNM10" s="3438"/>
      <c r="JNN10" s="3438"/>
      <c r="JNO10" s="3438"/>
      <c r="JNP10" s="3438"/>
      <c r="JNQ10" s="3438"/>
      <c r="JNR10" s="3438"/>
      <c r="JNS10" s="3438"/>
      <c r="JNT10" s="3438"/>
      <c r="JNU10" s="3438"/>
      <c r="JNV10" s="3438"/>
      <c r="JNW10" s="3438"/>
      <c r="JNX10" s="3438"/>
      <c r="JNY10" s="3438"/>
      <c r="JNZ10" s="3438"/>
      <c r="JOA10" s="3438"/>
      <c r="JOB10" s="3438"/>
      <c r="JOC10" s="3438"/>
      <c r="JOD10" s="3438"/>
      <c r="JOE10" s="3438"/>
      <c r="JOF10" s="3438"/>
      <c r="JOG10" s="3438"/>
      <c r="JOH10" s="3438"/>
      <c r="JOI10" s="3438"/>
      <c r="JOJ10" s="3438"/>
      <c r="JOK10" s="3438"/>
      <c r="JOL10" s="3438"/>
      <c r="JOM10" s="3438"/>
      <c r="JON10" s="3438"/>
      <c r="JOO10" s="3438"/>
      <c r="JOP10" s="3438"/>
      <c r="JOQ10" s="3438"/>
      <c r="JOR10" s="3438"/>
      <c r="JOS10" s="3438"/>
      <c r="JOT10" s="3438"/>
      <c r="JOU10" s="3438"/>
      <c r="JOV10" s="3438"/>
      <c r="JOW10" s="3438"/>
      <c r="JOX10" s="3438"/>
      <c r="JOY10" s="3438"/>
      <c r="JOZ10" s="3438"/>
      <c r="JPA10" s="3438"/>
      <c r="JPB10" s="3438"/>
      <c r="JPC10" s="3438"/>
      <c r="JPD10" s="3438"/>
      <c r="JPE10" s="3438"/>
      <c r="JPF10" s="3438"/>
      <c r="JPG10" s="3438"/>
      <c r="JPH10" s="3438"/>
      <c r="JPI10" s="3438"/>
      <c r="JPJ10" s="3438"/>
      <c r="JPK10" s="3438"/>
      <c r="JPL10" s="3438"/>
      <c r="JPM10" s="3438"/>
      <c r="JPN10" s="3438"/>
      <c r="JPO10" s="3438"/>
      <c r="JPP10" s="3438"/>
      <c r="JPQ10" s="3438"/>
      <c r="JPR10" s="3438"/>
      <c r="JPS10" s="3438"/>
      <c r="JPT10" s="3438"/>
      <c r="JPU10" s="3438"/>
      <c r="JPV10" s="3438"/>
      <c r="JPW10" s="3438"/>
      <c r="JPX10" s="3438"/>
      <c r="JPY10" s="3438"/>
      <c r="JPZ10" s="3438"/>
      <c r="JQA10" s="3438"/>
      <c r="JQB10" s="3438"/>
      <c r="JQC10" s="3438"/>
      <c r="JQD10" s="3438"/>
      <c r="JQE10" s="3438"/>
      <c r="JQF10" s="3438"/>
      <c r="JQG10" s="3438"/>
      <c r="JQH10" s="3438"/>
      <c r="JQI10" s="3438"/>
      <c r="JQJ10" s="3438"/>
      <c r="JQK10" s="3438"/>
      <c r="JQL10" s="3438"/>
      <c r="JQM10" s="3438"/>
      <c r="JQN10" s="3438"/>
      <c r="JQO10" s="3438"/>
      <c r="JQP10" s="3438"/>
      <c r="JQQ10" s="3438"/>
      <c r="JQR10" s="3438"/>
      <c r="JQS10" s="3438"/>
      <c r="JQT10" s="3438"/>
      <c r="JQU10" s="3438"/>
      <c r="JQV10" s="3438"/>
      <c r="JQW10" s="3438"/>
      <c r="JQX10" s="3438"/>
      <c r="JQY10" s="3438"/>
      <c r="JQZ10" s="3438"/>
      <c r="JRA10" s="3438"/>
      <c r="JRB10" s="3438"/>
      <c r="JRC10" s="3438"/>
      <c r="JRD10" s="3438"/>
      <c r="JRE10" s="3438"/>
      <c r="JRF10" s="3438"/>
      <c r="JRG10" s="3438"/>
      <c r="JRH10" s="3438"/>
      <c r="JRI10" s="3438"/>
      <c r="JRJ10" s="3438"/>
      <c r="JRK10" s="3438"/>
      <c r="JRL10" s="3438"/>
      <c r="JRM10" s="3438"/>
      <c r="JRN10" s="3438"/>
      <c r="JRO10" s="3438"/>
      <c r="JRP10" s="3438"/>
      <c r="JRQ10" s="3438"/>
      <c r="JRR10" s="3438"/>
      <c r="JRS10" s="3438"/>
      <c r="JRT10" s="3438"/>
      <c r="JRU10" s="3438"/>
      <c r="JRV10" s="3438"/>
      <c r="JRW10" s="3438"/>
      <c r="JRX10" s="3438"/>
      <c r="JRY10" s="3438"/>
      <c r="JRZ10" s="3438"/>
      <c r="JSA10" s="3438"/>
      <c r="JSB10" s="3438"/>
      <c r="JSC10" s="3438"/>
      <c r="JSD10" s="3438"/>
      <c r="JSE10" s="3438"/>
      <c r="JSF10" s="3438"/>
      <c r="JSG10" s="3438"/>
      <c r="JSH10" s="3438"/>
      <c r="JSI10" s="3438"/>
      <c r="JSJ10" s="3438"/>
      <c r="JSK10" s="3438"/>
      <c r="JSL10" s="3438"/>
      <c r="JSM10" s="3438"/>
      <c r="JSN10" s="3438"/>
      <c r="JSO10" s="3438"/>
      <c r="JSP10" s="3438"/>
      <c r="JSQ10" s="3438"/>
      <c r="JSR10" s="3438"/>
      <c r="JSS10" s="3438"/>
      <c r="JST10" s="3438"/>
      <c r="JSU10" s="3438"/>
      <c r="JSV10" s="3438"/>
      <c r="JSW10" s="3438"/>
      <c r="JSX10" s="3438"/>
      <c r="JSY10" s="3438"/>
      <c r="JSZ10" s="3438"/>
      <c r="JTA10" s="3438"/>
      <c r="JTB10" s="3438"/>
      <c r="JTC10" s="3438"/>
      <c r="JTD10" s="3438"/>
      <c r="JTE10" s="3438"/>
      <c r="JTF10" s="3438"/>
      <c r="JTG10" s="3438"/>
      <c r="JTH10" s="3438"/>
      <c r="JTI10" s="3438"/>
      <c r="JTJ10" s="3438"/>
      <c r="JTK10" s="3438"/>
      <c r="JTL10" s="3438"/>
      <c r="JTM10" s="3438"/>
      <c r="JTN10" s="3438"/>
      <c r="JTO10" s="3438"/>
      <c r="JTP10" s="3438"/>
      <c r="JTQ10" s="3438"/>
      <c r="JTR10" s="3438"/>
      <c r="JTS10" s="3438"/>
      <c r="JTT10" s="3438"/>
      <c r="JTU10" s="3438"/>
      <c r="JTV10" s="3438"/>
      <c r="JTW10" s="3438"/>
      <c r="JTX10" s="3438"/>
      <c r="JTY10" s="3438"/>
      <c r="JTZ10" s="3438"/>
      <c r="JUA10" s="3438"/>
      <c r="JUB10" s="3438"/>
      <c r="JUC10" s="3438"/>
      <c r="JUD10" s="3438"/>
      <c r="JUE10" s="3438"/>
      <c r="JUF10" s="3438"/>
      <c r="JUG10" s="3438"/>
      <c r="JUH10" s="3438"/>
      <c r="JUI10" s="3438"/>
      <c r="JUJ10" s="3438"/>
      <c r="JUK10" s="3438"/>
      <c r="JUL10" s="3438"/>
      <c r="JUM10" s="3438"/>
      <c r="JUN10" s="3438"/>
      <c r="JUO10" s="3438"/>
      <c r="JUP10" s="3438"/>
      <c r="JUQ10" s="3438"/>
      <c r="JUR10" s="3438"/>
      <c r="JUS10" s="3438"/>
      <c r="JUT10" s="3438"/>
      <c r="JUU10" s="3438"/>
      <c r="JUV10" s="3438"/>
      <c r="JUW10" s="3438"/>
      <c r="JUX10" s="3438"/>
      <c r="JUY10" s="3438"/>
      <c r="JUZ10" s="3438"/>
      <c r="JVA10" s="3438"/>
      <c r="JVB10" s="3438"/>
      <c r="JVC10" s="3438"/>
      <c r="JVD10" s="3438"/>
      <c r="JVE10" s="3438"/>
      <c r="JVF10" s="3438"/>
      <c r="JVG10" s="3438"/>
      <c r="JVH10" s="3438"/>
      <c r="JVI10" s="3438"/>
      <c r="JVJ10" s="3438"/>
      <c r="JVK10" s="3438"/>
      <c r="JVL10" s="3438"/>
      <c r="JVM10" s="3438"/>
      <c r="JVN10" s="3438"/>
      <c r="JVO10" s="3438"/>
      <c r="JVP10" s="3438"/>
      <c r="JVQ10" s="3438"/>
      <c r="JVR10" s="3438"/>
      <c r="JVS10" s="3438"/>
      <c r="JVT10" s="3438"/>
      <c r="JVU10" s="3438"/>
      <c r="JVV10" s="3438"/>
      <c r="JVW10" s="3438"/>
      <c r="JVX10" s="3438"/>
      <c r="JVY10" s="3438"/>
      <c r="JVZ10" s="3438"/>
      <c r="JWA10" s="3438"/>
      <c r="JWB10" s="3438"/>
      <c r="JWC10" s="3438"/>
      <c r="JWD10" s="3438"/>
      <c r="JWE10" s="3438"/>
      <c r="JWF10" s="3438"/>
      <c r="JWG10" s="3438"/>
      <c r="JWH10" s="3438"/>
      <c r="JWI10" s="3438"/>
      <c r="JWJ10" s="3438"/>
      <c r="JWK10" s="3438"/>
      <c r="JWL10" s="3438"/>
      <c r="JWM10" s="3438"/>
      <c r="JWN10" s="3438"/>
      <c r="JWO10" s="3438"/>
      <c r="JWP10" s="3438"/>
      <c r="JWQ10" s="3438"/>
      <c r="JWR10" s="3438"/>
      <c r="JWS10" s="3438"/>
      <c r="JWT10" s="3438"/>
      <c r="JWU10" s="3438"/>
      <c r="JWV10" s="3438"/>
      <c r="JWW10" s="3438"/>
      <c r="JWX10" s="3438"/>
      <c r="JWY10" s="3438"/>
      <c r="JWZ10" s="3438"/>
      <c r="JXA10" s="3438"/>
      <c r="JXB10" s="3438"/>
      <c r="JXC10" s="3438"/>
      <c r="JXD10" s="3438"/>
      <c r="JXE10" s="3438"/>
      <c r="JXF10" s="3438"/>
      <c r="JXG10" s="3438"/>
      <c r="JXH10" s="3438"/>
      <c r="JXI10" s="3438"/>
      <c r="JXJ10" s="3438"/>
      <c r="JXK10" s="3438"/>
      <c r="JXL10" s="3438"/>
      <c r="JXM10" s="3438"/>
      <c r="JXN10" s="3438"/>
      <c r="JXO10" s="3438"/>
      <c r="JXP10" s="3438"/>
      <c r="JXQ10" s="3438"/>
      <c r="JXR10" s="3438"/>
      <c r="JXS10" s="3438"/>
      <c r="JXT10" s="3438"/>
      <c r="JXU10" s="3438"/>
      <c r="JXV10" s="3438"/>
      <c r="JXW10" s="3438"/>
      <c r="JXX10" s="3438"/>
      <c r="JXY10" s="3438"/>
      <c r="JXZ10" s="3438"/>
      <c r="JYA10" s="3438"/>
      <c r="JYB10" s="3438"/>
      <c r="JYC10" s="3438"/>
      <c r="JYD10" s="3438"/>
      <c r="JYE10" s="3438"/>
      <c r="JYF10" s="3438"/>
      <c r="JYG10" s="3438"/>
      <c r="JYH10" s="3438"/>
      <c r="JYI10" s="3438"/>
      <c r="JYJ10" s="3438"/>
      <c r="JYK10" s="3438"/>
      <c r="JYL10" s="3438"/>
      <c r="JYM10" s="3438"/>
      <c r="JYN10" s="3438"/>
      <c r="JYO10" s="3438"/>
      <c r="JYP10" s="3438"/>
      <c r="JYQ10" s="3438"/>
      <c r="JYR10" s="3438"/>
      <c r="JYS10" s="3438"/>
      <c r="JYT10" s="3438"/>
      <c r="JYU10" s="3438"/>
      <c r="JYV10" s="3438"/>
      <c r="JYW10" s="3438"/>
      <c r="JYX10" s="3438"/>
      <c r="JYY10" s="3438"/>
      <c r="JYZ10" s="3438"/>
      <c r="JZA10" s="3438"/>
      <c r="JZB10" s="3438"/>
      <c r="JZC10" s="3438"/>
      <c r="JZD10" s="3438"/>
      <c r="JZE10" s="3438"/>
      <c r="JZF10" s="3438"/>
      <c r="JZG10" s="3438"/>
      <c r="JZH10" s="3438"/>
      <c r="JZI10" s="3438"/>
      <c r="JZJ10" s="3438"/>
      <c r="JZK10" s="3438"/>
      <c r="JZL10" s="3438"/>
      <c r="JZM10" s="3438"/>
      <c r="JZN10" s="3438"/>
      <c r="JZO10" s="3438"/>
      <c r="JZP10" s="3438"/>
      <c r="JZQ10" s="3438"/>
      <c r="JZR10" s="3438"/>
      <c r="JZS10" s="3438"/>
      <c r="JZT10" s="3438"/>
      <c r="JZU10" s="3438"/>
      <c r="JZV10" s="3438"/>
      <c r="JZW10" s="3438"/>
      <c r="JZX10" s="3438"/>
      <c r="JZY10" s="3438"/>
      <c r="JZZ10" s="3438"/>
      <c r="KAA10" s="3438"/>
      <c r="KAB10" s="3438"/>
      <c r="KAC10" s="3438"/>
      <c r="KAD10" s="3438"/>
      <c r="KAE10" s="3438"/>
      <c r="KAF10" s="3438"/>
      <c r="KAG10" s="3438"/>
      <c r="KAH10" s="3438"/>
      <c r="KAI10" s="3438"/>
      <c r="KAJ10" s="3438"/>
      <c r="KAK10" s="3438"/>
      <c r="KAL10" s="3438"/>
      <c r="KAM10" s="3438"/>
      <c r="KAN10" s="3438"/>
      <c r="KAO10" s="3438"/>
      <c r="KAP10" s="3438"/>
      <c r="KAQ10" s="3438"/>
      <c r="KAR10" s="3438"/>
      <c r="KAS10" s="3438"/>
      <c r="KAT10" s="3438"/>
      <c r="KAU10" s="3438"/>
      <c r="KAV10" s="3438"/>
      <c r="KAW10" s="3438"/>
      <c r="KAX10" s="3438"/>
      <c r="KAY10" s="3438"/>
      <c r="KAZ10" s="3438"/>
      <c r="KBA10" s="3438"/>
      <c r="KBB10" s="3438"/>
      <c r="KBC10" s="3438"/>
      <c r="KBD10" s="3438"/>
      <c r="KBE10" s="3438"/>
      <c r="KBF10" s="3438"/>
      <c r="KBG10" s="3438"/>
      <c r="KBH10" s="3438"/>
      <c r="KBI10" s="3438"/>
      <c r="KBJ10" s="3438"/>
      <c r="KBK10" s="3438"/>
      <c r="KBL10" s="3438"/>
      <c r="KBM10" s="3438"/>
      <c r="KBN10" s="3438"/>
      <c r="KBO10" s="3438"/>
      <c r="KBP10" s="3438"/>
      <c r="KBQ10" s="3438"/>
      <c r="KBR10" s="3438"/>
      <c r="KBS10" s="3438"/>
      <c r="KBT10" s="3438"/>
      <c r="KBU10" s="3438"/>
      <c r="KBV10" s="3438"/>
      <c r="KBW10" s="3438"/>
      <c r="KBX10" s="3438"/>
      <c r="KBY10" s="3438"/>
      <c r="KBZ10" s="3438"/>
      <c r="KCA10" s="3438"/>
      <c r="KCB10" s="3438"/>
      <c r="KCC10" s="3438"/>
      <c r="KCD10" s="3438"/>
      <c r="KCE10" s="3438"/>
      <c r="KCF10" s="3438"/>
      <c r="KCG10" s="3438"/>
      <c r="KCH10" s="3438"/>
      <c r="KCI10" s="3438"/>
      <c r="KCJ10" s="3438"/>
      <c r="KCK10" s="3438"/>
      <c r="KCL10" s="3438"/>
      <c r="KCM10" s="3438"/>
      <c r="KCN10" s="3438"/>
      <c r="KCO10" s="3438"/>
      <c r="KCP10" s="3438"/>
      <c r="KCQ10" s="3438"/>
      <c r="KCR10" s="3438"/>
      <c r="KCS10" s="3438"/>
      <c r="KCT10" s="3438"/>
      <c r="KCU10" s="3438"/>
      <c r="KCV10" s="3438"/>
      <c r="KCW10" s="3438"/>
      <c r="KCX10" s="3438"/>
      <c r="KCY10" s="3438"/>
      <c r="KCZ10" s="3438"/>
      <c r="KDA10" s="3438"/>
      <c r="KDB10" s="3438"/>
      <c r="KDC10" s="3438"/>
      <c r="KDD10" s="3438"/>
      <c r="KDE10" s="3438"/>
      <c r="KDF10" s="3438"/>
      <c r="KDG10" s="3438"/>
      <c r="KDH10" s="3438"/>
      <c r="KDI10" s="3438"/>
      <c r="KDJ10" s="3438"/>
      <c r="KDK10" s="3438"/>
      <c r="KDL10" s="3438"/>
      <c r="KDM10" s="3438"/>
      <c r="KDN10" s="3438"/>
      <c r="KDO10" s="3438"/>
      <c r="KDP10" s="3438"/>
      <c r="KDQ10" s="3438"/>
      <c r="KDR10" s="3438"/>
      <c r="KDS10" s="3438"/>
      <c r="KDT10" s="3438"/>
      <c r="KDU10" s="3438"/>
      <c r="KDV10" s="3438"/>
      <c r="KDW10" s="3438"/>
      <c r="KDX10" s="3438"/>
      <c r="KDY10" s="3438"/>
      <c r="KDZ10" s="3438"/>
      <c r="KEA10" s="3438"/>
      <c r="KEB10" s="3438"/>
      <c r="KEC10" s="3438"/>
      <c r="KED10" s="3438"/>
      <c r="KEE10" s="3438"/>
      <c r="KEF10" s="3438"/>
      <c r="KEG10" s="3438"/>
      <c r="KEH10" s="3438"/>
      <c r="KEI10" s="3438"/>
      <c r="KEJ10" s="3438"/>
      <c r="KEK10" s="3438"/>
      <c r="KEL10" s="3438"/>
      <c r="KEM10" s="3438"/>
      <c r="KEN10" s="3438"/>
      <c r="KEO10" s="3438"/>
      <c r="KEP10" s="3438"/>
      <c r="KEQ10" s="3438"/>
      <c r="KER10" s="3438"/>
      <c r="KES10" s="3438"/>
      <c r="KET10" s="3438"/>
      <c r="KEU10" s="3438"/>
      <c r="KEV10" s="3438"/>
      <c r="KEW10" s="3438"/>
      <c r="KEX10" s="3438"/>
      <c r="KEY10" s="3438"/>
      <c r="KEZ10" s="3438"/>
      <c r="KFA10" s="3438"/>
      <c r="KFB10" s="3438"/>
      <c r="KFC10" s="3438"/>
      <c r="KFD10" s="3438"/>
      <c r="KFE10" s="3438"/>
      <c r="KFF10" s="3438"/>
      <c r="KFG10" s="3438"/>
      <c r="KFH10" s="3438"/>
      <c r="KFI10" s="3438"/>
      <c r="KFJ10" s="3438"/>
      <c r="KFK10" s="3438"/>
      <c r="KFL10" s="3438"/>
      <c r="KFM10" s="3438"/>
      <c r="KFN10" s="3438"/>
      <c r="KFO10" s="3438"/>
      <c r="KFP10" s="3438"/>
      <c r="KFQ10" s="3438"/>
      <c r="KFR10" s="3438"/>
      <c r="KFS10" s="3438"/>
      <c r="KFT10" s="3438"/>
      <c r="KFU10" s="3438"/>
      <c r="KFV10" s="3438"/>
      <c r="KFW10" s="3438"/>
      <c r="KFX10" s="3438"/>
      <c r="KFY10" s="3438"/>
      <c r="KFZ10" s="3438"/>
      <c r="KGA10" s="3438"/>
      <c r="KGB10" s="3438"/>
      <c r="KGC10" s="3438"/>
      <c r="KGD10" s="3438"/>
      <c r="KGE10" s="3438"/>
      <c r="KGF10" s="3438"/>
      <c r="KGG10" s="3438"/>
      <c r="KGH10" s="3438"/>
      <c r="KGI10" s="3438"/>
      <c r="KGJ10" s="3438"/>
      <c r="KGK10" s="3438"/>
      <c r="KGL10" s="3438"/>
      <c r="KGM10" s="3438"/>
      <c r="KGN10" s="3438"/>
      <c r="KGO10" s="3438"/>
      <c r="KGP10" s="3438"/>
      <c r="KGQ10" s="3438"/>
      <c r="KGR10" s="3438"/>
      <c r="KGS10" s="3438"/>
      <c r="KGT10" s="3438"/>
      <c r="KGU10" s="3438"/>
      <c r="KGV10" s="3438"/>
      <c r="KGW10" s="3438"/>
      <c r="KGX10" s="3438"/>
      <c r="KGY10" s="3438"/>
      <c r="KGZ10" s="3438"/>
      <c r="KHA10" s="3438"/>
      <c r="KHB10" s="3438"/>
      <c r="KHC10" s="3438"/>
      <c r="KHD10" s="3438"/>
      <c r="KHE10" s="3438"/>
      <c r="KHF10" s="3438"/>
      <c r="KHG10" s="3438"/>
      <c r="KHH10" s="3438"/>
      <c r="KHI10" s="3438"/>
      <c r="KHJ10" s="3438"/>
      <c r="KHK10" s="3438"/>
      <c r="KHL10" s="3438"/>
      <c r="KHM10" s="3438"/>
      <c r="KHN10" s="3438"/>
      <c r="KHO10" s="3438"/>
      <c r="KHP10" s="3438"/>
      <c r="KHQ10" s="3438"/>
      <c r="KHR10" s="3438"/>
      <c r="KHS10" s="3438"/>
      <c r="KHT10" s="3438"/>
      <c r="KHU10" s="3438"/>
      <c r="KHV10" s="3438"/>
      <c r="KHW10" s="3438"/>
      <c r="KHX10" s="3438"/>
      <c r="KHY10" s="3438"/>
      <c r="KHZ10" s="3438"/>
      <c r="KIA10" s="3438"/>
      <c r="KIB10" s="3438"/>
      <c r="KIC10" s="3438"/>
      <c r="KID10" s="3438"/>
      <c r="KIE10" s="3438"/>
      <c r="KIF10" s="3438"/>
      <c r="KIG10" s="3438"/>
      <c r="KIH10" s="3438"/>
      <c r="KII10" s="3438"/>
      <c r="KIJ10" s="3438"/>
      <c r="KIK10" s="3438"/>
      <c r="KIL10" s="3438"/>
      <c r="KIM10" s="3438"/>
      <c r="KIN10" s="3438"/>
      <c r="KIO10" s="3438"/>
      <c r="KIP10" s="3438"/>
      <c r="KIQ10" s="3438"/>
      <c r="KIR10" s="3438"/>
      <c r="KIS10" s="3438"/>
      <c r="KIT10" s="3438"/>
      <c r="KIU10" s="3438"/>
      <c r="KIV10" s="3438"/>
      <c r="KIW10" s="3438"/>
      <c r="KIX10" s="3438"/>
      <c r="KIY10" s="3438"/>
      <c r="KIZ10" s="3438"/>
      <c r="KJA10" s="3438"/>
      <c r="KJB10" s="3438"/>
      <c r="KJC10" s="3438"/>
      <c r="KJD10" s="3438"/>
      <c r="KJE10" s="3438"/>
      <c r="KJF10" s="3438"/>
      <c r="KJG10" s="3438"/>
      <c r="KJH10" s="3438"/>
      <c r="KJI10" s="3438"/>
      <c r="KJJ10" s="3438"/>
      <c r="KJK10" s="3438"/>
      <c r="KJL10" s="3438"/>
      <c r="KJM10" s="3438"/>
      <c r="KJN10" s="3438"/>
      <c r="KJO10" s="3438"/>
      <c r="KJP10" s="3438"/>
      <c r="KJQ10" s="3438"/>
      <c r="KJR10" s="3438"/>
      <c r="KJS10" s="3438"/>
      <c r="KJT10" s="3438"/>
      <c r="KJU10" s="3438"/>
      <c r="KJV10" s="3438"/>
      <c r="KJW10" s="3438"/>
      <c r="KJX10" s="3438"/>
      <c r="KJY10" s="3438"/>
      <c r="KJZ10" s="3438"/>
      <c r="KKA10" s="3438"/>
      <c r="KKB10" s="3438"/>
      <c r="KKC10" s="3438"/>
      <c r="KKD10" s="3438"/>
      <c r="KKE10" s="3438"/>
      <c r="KKF10" s="3438"/>
      <c r="KKG10" s="3438"/>
      <c r="KKH10" s="3438"/>
      <c r="KKI10" s="3438"/>
      <c r="KKJ10" s="3438"/>
      <c r="KKK10" s="3438"/>
      <c r="KKL10" s="3438"/>
      <c r="KKM10" s="3438"/>
      <c r="KKN10" s="3438"/>
      <c r="KKO10" s="3438"/>
      <c r="KKP10" s="3438"/>
      <c r="KKQ10" s="3438"/>
      <c r="KKR10" s="3438"/>
      <c r="KKS10" s="3438"/>
      <c r="KKT10" s="3438"/>
      <c r="KKU10" s="3438"/>
      <c r="KKV10" s="3438"/>
      <c r="KKW10" s="3438"/>
      <c r="KKX10" s="3438"/>
      <c r="KKY10" s="3438"/>
      <c r="KKZ10" s="3438"/>
      <c r="KLA10" s="3438"/>
      <c r="KLB10" s="3438"/>
      <c r="KLC10" s="3438"/>
      <c r="KLD10" s="3438"/>
      <c r="KLE10" s="3438"/>
      <c r="KLF10" s="3438"/>
      <c r="KLG10" s="3438"/>
      <c r="KLH10" s="3438"/>
      <c r="KLI10" s="3438"/>
      <c r="KLJ10" s="3438"/>
      <c r="KLK10" s="3438"/>
      <c r="KLL10" s="3438"/>
      <c r="KLM10" s="3438"/>
      <c r="KLN10" s="3438"/>
      <c r="KLO10" s="3438"/>
      <c r="KLP10" s="3438"/>
      <c r="KLQ10" s="3438"/>
      <c r="KLR10" s="3438"/>
      <c r="KLS10" s="3438"/>
      <c r="KLT10" s="3438"/>
      <c r="KLU10" s="3438"/>
      <c r="KLV10" s="3438"/>
      <c r="KLW10" s="3438"/>
      <c r="KLX10" s="3438"/>
      <c r="KLY10" s="3438"/>
      <c r="KLZ10" s="3438"/>
      <c r="KMA10" s="3438"/>
      <c r="KMB10" s="3438"/>
      <c r="KMC10" s="3438"/>
      <c r="KMD10" s="3438"/>
      <c r="KME10" s="3438"/>
      <c r="KMF10" s="3438"/>
      <c r="KMG10" s="3438"/>
      <c r="KMH10" s="3438"/>
      <c r="KMI10" s="3438"/>
      <c r="KMJ10" s="3438"/>
      <c r="KMK10" s="3438"/>
      <c r="KML10" s="3438"/>
      <c r="KMM10" s="3438"/>
      <c r="KMN10" s="3438"/>
      <c r="KMO10" s="3438"/>
      <c r="KMP10" s="3438"/>
      <c r="KMQ10" s="3438"/>
      <c r="KMR10" s="3438"/>
      <c r="KMS10" s="3438"/>
      <c r="KMT10" s="3438"/>
      <c r="KMU10" s="3438"/>
      <c r="KMV10" s="3438"/>
      <c r="KMW10" s="3438"/>
      <c r="KMX10" s="3438"/>
      <c r="KMY10" s="3438"/>
      <c r="KMZ10" s="3438"/>
      <c r="KNA10" s="3438"/>
      <c r="KNB10" s="3438"/>
      <c r="KNC10" s="3438"/>
      <c r="KND10" s="3438"/>
      <c r="KNE10" s="3438"/>
      <c r="KNF10" s="3438"/>
      <c r="KNG10" s="3438"/>
      <c r="KNH10" s="3438"/>
      <c r="KNI10" s="3438"/>
      <c r="KNJ10" s="3438"/>
      <c r="KNK10" s="3438"/>
      <c r="KNL10" s="3438"/>
      <c r="KNM10" s="3438"/>
      <c r="KNN10" s="3438"/>
      <c r="KNO10" s="3438"/>
      <c r="KNP10" s="3438"/>
      <c r="KNQ10" s="3438"/>
      <c r="KNR10" s="3438"/>
      <c r="KNS10" s="3438"/>
      <c r="KNT10" s="3438"/>
      <c r="KNU10" s="3438"/>
      <c r="KNV10" s="3438"/>
      <c r="KNW10" s="3438"/>
      <c r="KNX10" s="3438"/>
      <c r="KNY10" s="3438"/>
      <c r="KNZ10" s="3438"/>
      <c r="KOA10" s="3438"/>
      <c r="KOB10" s="3438"/>
      <c r="KOC10" s="3438"/>
      <c r="KOD10" s="3438"/>
      <c r="KOE10" s="3438"/>
      <c r="KOF10" s="3438"/>
      <c r="KOG10" s="3438"/>
      <c r="KOH10" s="3438"/>
      <c r="KOI10" s="3438"/>
      <c r="KOJ10" s="3438"/>
      <c r="KOK10" s="3438"/>
      <c r="KOL10" s="3438"/>
      <c r="KOM10" s="3438"/>
      <c r="KON10" s="3438"/>
      <c r="KOO10" s="3438"/>
      <c r="KOP10" s="3438"/>
      <c r="KOQ10" s="3438"/>
      <c r="KOR10" s="3438"/>
      <c r="KOS10" s="3438"/>
      <c r="KOT10" s="3438"/>
      <c r="KOU10" s="3438"/>
      <c r="KOV10" s="3438"/>
      <c r="KOW10" s="3438"/>
      <c r="KOX10" s="3438"/>
      <c r="KOY10" s="3438"/>
      <c r="KOZ10" s="3438"/>
      <c r="KPA10" s="3438"/>
      <c r="KPB10" s="3438"/>
      <c r="KPC10" s="3438"/>
      <c r="KPD10" s="3438"/>
      <c r="KPE10" s="3438"/>
      <c r="KPF10" s="3438"/>
      <c r="KPG10" s="3438"/>
      <c r="KPH10" s="3438"/>
      <c r="KPI10" s="3438"/>
      <c r="KPJ10" s="3438"/>
      <c r="KPK10" s="3438"/>
      <c r="KPL10" s="3438"/>
      <c r="KPM10" s="3438"/>
      <c r="KPN10" s="3438"/>
      <c r="KPO10" s="3438"/>
      <c r="KPP10" s="3438"/>
      <c r="KPQ10" s="3438"/>
      <c r="KPR10" s="3438"/>
      <c r="KPS10" s="3438"/>
      <c r="KPT10" s="3438"/>
      <c r="KPU10" s="3438"/>
      <c r="KPV10" s="3438"/>
      <c r="KPW10" s="3438"/>
      <c r="KPX10" s="3438"/>
      <c r="KPY10" s="3438"/>
      <c r="KPZ10" s="3438"/>
      <c r="KQA10" s="3438"/>
      <c r="KQB10" s="3438"/>
      <c r="KQC10" s="3438"/>
      <c r="KQD10" s="3438"/>
      <c r="KQE10" s="3438"/>
      <c r="KQF10" s="3438"/>
      <c r="KQG10" s="3438"/>
      <c r="KQH10" s="3438"/>
      <c r="KQI10" s="3438"/>
      <c r="KQJ10" s="3438"/>
      <c r="KQK10" s="3438"/>
      <c r="KQL10" s="3438"/>
      <c r="KQM10" s="3438"/>
      <c r="KQN10" s="3438"/>
      <c r="KQO10" s="3438"/>
      <c r="KQP10" s="3438"/>
      <c r="KQQ10" s="3438"/>
      <c r="KQR10" s="3438"/>
      <c r="KQS10" s="3438"/>
      <c r="KQT10" s="3438"/>
      <c r="KQU10" s="3438"/>
      <c r="KQV10" s="3438"/>
      <c r="KQW10" s="3438"/>
      <c r="KQX10" s="3438"/>
      <c r="KQY10" s="3438"/>
      <c r="KQZ10" s="3438"/>
      <c r="KRA10" s="3438"/>
      <c r="KRB10" s="3438"/>
      <c r="KRC10" s="3438"/>
      <c r="KRD10" s="3438"/>
      <c r="KRE10" s="3438"/>
      <c r="KRF10" s="3438"/>
      <c r="KRG10" s="3438"/>
      <c r="KRH10" s="3438"/>
      <c r="KRI10" s="3438"/>
      <c r="KRJ10" s="3438"/>
      <c r="KRK10" s="3438"/>
      <c r="KRL10" s="3438"/>
      <c r="KRM10" s="3438"/>
      <c r="KRN10" s="3438"/>
      <c r="KRO10" s="3438"/>
      <c r="KRP10" s="3438"/>
      <c r="KRQ10" s="3438"/>
      <c r="KRR10" s="3438"/>
      <c r="KRS10" s="3438"/>
      <c r="KRT10" s="3438"/>
      <c r="KRU10" s="3438"/>
      <c r="KRV10" s="3438"/>
      <c r="KRW10" s="3438"/>
      <c r="KRX10" s="3438"/>
      <c r="KRY10" s="3438"/>
      <c r="KRZ10" s="3438"/>
      <c r="KSA10" s="3438"/>
      <c r="KSB10" s="3438"/>
      <c r="KSC10" s="3438"/>
      <c r="KSD10" s="3438"/>
      <c r="KSE10" s="3438"/>
      <c r="KSF10" s="3438"/>
      <c r="KSG10" s="3438"/>
      <c r="KSH10" s="3438"/>
      <c r="KSI10" s="3438"/>
      <c r="KSJ10" s="3438"/>
      <c r="KSK10" s="3438"/>
      <c r="KSL10" s="3438"/>
      <c r="KSM10" s="3438"/>
      <c r="KSN10" s="3438"/>
      <c r="KSO10" s="3438"/>
      <c r="KSP10" s="3438"/>
      <c r="KSQ10" s="3438"/>
      <c r="KSR10" s="3438"/>
      <c r="KSS10" s="3438"/>
      <c r="KST10" s="3438"/>
      <c r="KSU10" s="3438"/>
      <c r="KSV10" s="3438"/>
      <c r="KSW10" s="3438"/>
      <c r="KSX10" s="3438"/>
      <c r="KSY10" s="3438"/>
      <c r="KSZ10" s="3438"/>
      <c r="KTA10" s="3438"/>
      <c r="KTB10" s="3438"/>
      <c r="KTC10" s="3438"/>
      <c r="KTD10" s="3438"/>
      <c r="KTE10" s="3438"/>
      <c r="KTF10" s="3438"/>
      <c r="KTG10" s="3438"/>
      <c r="KTH10" s="3438"/>
      <c r="KTI10" s="3438"/>
      <c r="KTJ10" s="3438"/>
      <c r="KTK10" s="3438"/>
      <c r="KTL10" s="3438"/>
      <c r="KTM10" s="3438"/>
      <c r="KTN10" s="3438"/>
      <c r="KTO10" s="3438"/>
      <c r="KTP10" s="3438"/>
      <c r="KTQ10" s="3438"/>
      <c r="KTR10" s="3438"/>
      <c r="KTS10" s="3438"/>
      <c r="KTT10" s="3438"/>
      <c r="KTU10" s="3438"/>
      <c r="KTV10" s="3438"/>
      <c r="KTW10" s="3438"/>
      <c r="KTX10" s="3438"/>
      <c r="KTY10" s="3438"/>
      <c r="KTZ10" s="3438"/>
      <c r="KUA10" s="3438"/>
      <c r="KUB10" s="3438"/>
      <c r="KUC10" s="3438"/>
      <c r="KUD10" s="3438"/>
      <c r="KUE10" s="3438"/>
      <c r="KUF10" s="3438"/>
      <c r="KUG10" s="3438"/>
      <c r="KUH10" s="3438"/>
      <c r="KUI10" s="3438"/>
      <c r="KUJ10" s="3438"/>
      <c r="KUK10" s="3438"/>
      <c r="KUL10" s="3438"/>
      <c r="KUM10" s="3438"/>
      <c r="KUN10" s="3438"/>
      <c r="KUO10" s="3438"/>
      <c r="KUP10" s="3438"/>
      <c r="KUQ10" s="3438"/>
      <c r="KUR10" s="3438"/>
      <c r="KUS10" s="3438"/>
      <c r="KUT10" s="3438"/>
      <c r="KUU10" s="3438"/>
      <c r="KUV10" s="3438"/>
      <c r="KUW10" s="3438"/>
      <c r="KUX10" s="3438"/>
      <c r="KUY10" s="3438"/>
      <c r="KUZ10" s="3438"/>
      <c r="KVA10" s="3438"/>
      <c r="KVB10" s="3438"/>
      <c r="KVC10" s="3438"/>
      <c r="KVD10" s="3438"/>
      <c r="KVE10" s="3438"/>
      <c r="KVF10" s="3438"/>
      <c r="KVG10" s="3438"/>
      <c r="KVH10" s="3438"/>
      <c r="KVI10" s="3438"/>
      <c r="KVJ10" s="3438"/>
      <c r="KVK10" s="3438"/>
      <c r="KVL10" s="3438"/>
      <c r="KVM10" s="3438"/>
      <c r="KVN10" s="3438"/>
      <c r="KVO10" s="3438"/>
      <c r="KVP10" s="3438"/>
      <c r="KVQ10" s="3438"/>
      <c r="KVR10" s="3438"/>
      <c r="KVS10" s="3438"/>
      <c r="KVT10" s="3438"/>
      <c r="KVU10" s="3438"/>
      <c r="KVV10" s="3438"/>
      <c r="KVW10" s="3438"/>
      <c r="KVX10" s="3438"/>
      <c r="KVY10" s="3438"/>
      <c r="KVZ10" s="3438"/>
      <c r="KWA10" s="3438"/>
      <c r="KWB10" s="3438"/>
      <c r="KWC10" s="3438"/>
      <c r="KWD10" s="3438"/>
      <c r="KWE10" s="3438"/>
      <c r="KWF10" s="3438"/>
      <c r="KWG10" s="3438"/>
      <c r="KWH10" s="3438"/>
      <c r="KWI10" s="3438"/>
      <c r="KWJ10" s="3438"/>
      <c r="KWK10" s="3438"/>
      <c r="KWL10" s="3438"/>
      <c r="KWM10" s="3438"/>
      <c r="KWN10" s="3438"/>
      <c r="KWO10" s="3438"/>
      <c r="KWP10" s="3438"/>
      <c r="KWQ10" s="3438"/>
      <c r="KWR10" s="3438"/>
      <c r="KWS10" s="3438"/>
      <c r="KWT10" s="3438"/>
      <c r="KWU10" s="3438"/>
      <c r="KWV10" s="3438"/>
      <c r="KWW10" s="3438"/>
      <c r="KWX10" s="3438"/>
      <c r="KWY10" s="3438"/>
      <c r="KWZ10" s="3438"/>
      <c r="KXA10" s="3438"/>
      <c r="KXB10" s="3438"/>
      <c r="KXC10" s="3438"/>
      <c r="KXD10" s="3438"/>
      <c r="KXE10" s="3438"/>
      <c r="KXF10" s="3438"/>
      <c r="KXG10" s="3438"/>
      <c r="KXH10" s="3438"/>
      <c r="KXI10" s="3438"/>
      <c r="KXJ10" s="3438"/>
      <c r="KXK10" s="3438"/>
      <c r="KXL10" s="3438"/>
      <c r="KXM10" s="3438"/>
      <c r="KXN10" s="3438"/>
      <c r="KXO10" s="3438"/>
      <c r="KXP10" s="3438"/>
      <c r="KXQ10" s="3438"/>
      <c r="KXR10" s="3438"/>
      <c r="KXS10" s="3438"/>
      <c r="KXT10" s="3438"/>
      <c r="KXU10" s="3438"/>
      <c r="KXV10" s="3438"/>
      <c r="KXW10" s="3438"/>
      <c r="KXX10" s="3438"/>
      <c r="KXY10" s="3438"/>
      <c r="KXZ10" s="3438"/>
      <c r="KYA10" s="3438"/>
      <c r="KYB10" s="3438"/>
      <c r="KYC10" s="3438"/>
      <c r="KYD10" s="3438"/>
      <c r="KYE10" s="3438"/>
      <c r="KYF10" s="3438"/>
      <c r="KYG10" s="3438"/>
      <c r="KYH10" s="3438"/>
      <c r="KYI10" s="3438"/>
      <c r="KYJ10" s="3438"/>
      <c r="KYK10" s="3438"/>
      <c r="KYL10" s="3438"/>
      <c r="KYM10" s="3438"/>
      <c r="KYN10" s="3438"/>
      <c r="KYO10" s="3438"/>
      <c r="KYP10" s="3438"/>
      <c r="KYQ10" s="3438"/>
      <c r="KYR10" s="3438"/>
      <c r="KYS10" s="3438"/>
      <c r="KYT10" s="3438"/>
      <c r="KYU10" s="3438"/>
      <c r="KYV10" s="3438"/>
      <c r="KYW10" s="3438"/>
      <c r="KYX10" s="3438"/>
      <c r="KYY10" s="3438"/>
      <c r="KYZ10" s="3438"/>
      <c r="KZA10" s="3438"/>
      <c r="KZB10" s="3438"/>
      <c r="KZC10" s="3438"/>
      <c r="KZD10" s="3438"/>
      <c r="KZE10" s="3438"/>
      <c r="KZF10" s="3438"/>
      <c r="KZG10" s="3438"/>
      <c r="KZH10" s="3438"/>
      <c r="KZI10" s="3438"/>
      <c r="KZJ10" s="3438"/>
      <c r="KZK10" s="3438"/>
      <c r="KZL10" s="3438"/>
      <c r="KZM10" s="3438"/>
      <c r="KZN10" s="3438"/>
      <c r="KZO10" s="3438"/>
      <c r="KZP10" s="3438"/>
      <c r="KZQ10" s="3438"/>
      <c r="KZR10" s="3438"/>
      <c r="KZS10" s="3438"/>
      <c r="KZT10" s="3438"/>
      <c r="KZU10" s="3438"/>
      <c r="KZV10" s="3438"/>
      <c r="KZW10" s="3438"/>
      <c r="KZX10" s="3438"/>
      <c r="KZY10" s="3438"/>
      <c r="KZZ10" s="3438"/>
      <c r="LAA10" s="3438"/>
      <c r="LAB10" s="3438"/>
      <c r="LAC10" s="3438"/>
      <c r="LAD10" s="3438"/>
      <c r="LAE10" s="3438"/>
      <c r="LAF10" s="3438"/>
      <c r="LAG10" s="3438"/>
      <c r="LAH10" s="3438"/>
      <c r="LAI10" s="3438"/>
      <c r="LAJ10" s="3438"/>
      <c r="LAK10" s="3438"/>
      <c r="LAL10" s="3438"/>
      <c r="LAM10" s="3438"/>
      <c r="LAN10" s="3438"/>
      <c r="LAO10" s="3438"/>
      <c r="LAP10" s="3438"/>
      <c r="LAQ10" s="3438"/>
      <c r="LAR10" s="3438"/>
      <c r="LAS10" s="3438"/>
      <c r="LAT10" s="3438"/>
      <c r="LAU10" s="3438"/>
      <c r="LAV10" s="3438"/>
      <c r="LAW10" s="3438"/>
      <c r="LAX10" s="3438"/>
      <c r="LAY10" s="3438"/>
      <c r="LAZ10" s="3438"/>
      <c r="LBA10" s="3438"/>
      <c r="LBB10" s="3438"/>
      <c r="LBC10" s="3438"/>
      <c r="LBD10" s="3438"/>
      <c r="LBE10" s="3438"/>
      <c r="LBF10" s="3438"/>
      <c r="LBG10" s="3438"/>
      <c r="LBH10" s="3438"/>
      <c r="LBI10" s="3438"/>
      <c r="LBJ10" s="3438"/>
      <c r="LBK10" s="3438"/>
      <c r="LBL10" s="3438"/>
      <c r="LBM10" s="3438"/>
      <c r="LBN10" s="3438"/>
      <c r="LBO10" s="3438"/>
      <c r="LBP10" s="3438"/>
      <c r="LBQ10" s="3438"/>
      <c r="LBR10" s="3438"/>
      <c r="LBS10" s="3438"/>
      <c r="LBT10" s="3438"/>
      <c r="LBU10" s="3438"/>
      <c r="LBV10" s="3438"/>
      <c r="LBW10" s="3438"/>
      <c r="LBX10" s="3438"/>
      <c r="LBY10" s="3438"/>
      <c r="LBZ10" s="3438"/>
      <c r="LCA10" s="3438"/>
      <c r="LCB10" s="3438"/>
      <c r="LCC10" s="3438"/>
      <c r="LCD10" s="3438"/>
      <c r="LCE10" s="3438"/>
      <c r="LCF10" s="3438"/>
      <c r="LCG10" s="3438"/>
      <c r="LCH10" s="3438"/>
      <c r="LCI10" s="3438"/>
      <c r="LCJ10" s="3438"/>
      <c r="LCK10" s="3438"/>
      <c r="LCL10" s="3438"/>
      <c r="LCM10" s="3438"/>
      <c r="LCN10" s="3438"/>
      <c r="LCO10" s="3438"/>
      <c r="LCP10" s="3438"/>
      <c r="LCQ10" s="3438"/>
      <c r="LCR10" s="3438"/>
      <c r="LCS10" s="3438"/>
      <c r="LCT10" s="3438"/>
      <c r="LCU10" s="3438"/>
      <c r="LCV10" s="3438"/>
      <c r="LCW10" s="3438"/>
      <c r="LCX10" s="3438"/>
      <c r="LCY10" s="3438"/>
      <c r="LCZ10" s="3438"/>
      <c r="LDA10" s="3438"/>
      <c r="LDB10" s="3438"/>
      <c r="LDC10" s="3438"/>
      <c r="LDD10" s="3438"/>
      <c r="LDE10" s="3438"/>
      <c r="LDF10" s="3438"/>
      <c r="LDG10" s="3438"/>
      <c r="LDH10" s="3438"/>
      <c r="LDI10" s="3438"/>
      <c r="LDJ10" s="3438"/>
      <c r="LDK10" s="3438"/>
      <c r="LDL10" s="3438"/>
      <c r="LDM10" s="3438"/>
      <c r="LDN10" s="3438"/>
      <c r="LDO10" s="3438"/>
      <c r="LDP10" s="3438"/>
      <c r="LDQ10" s="3438"/>
      <c r="LDR10" s="3438"/>
      <c r="LDS10" s="3438"/>
      <c r="LDT10" s="3438"/>
      <c r="LDU10" s="3438"/>
      <c r="LDV10" s="3438"/>
      <c r="LDW10" s="3438"/>
      <c r="LDX10" s="3438"/>
      <c r="LDY10" s="3438"/>
      <c r="LDZ10" s="3438"/>
      <c r="LEA10" s="3438"/>
      <c r="LEB10" s="3438"/>
      <c r="LEC10" s="3438"/>
      <c r="LED10" s="3438"/>
      <c r="LEE10" s="3438"/>
      <c r="LEF10" s="3438"/>
      <c r="LEG10" s="3438"/>
      <c r="LEH10" s="3438"/>
      <c r="LEI10" s="3438"/>
      <c r="LEJ10" s="3438"/>
      <c r="LEK10" s="3438"/>
      <c r="LEL10" s="3438"/>
      <c r="LEM10" s="3438"/>
      <c r="LEN10" s="3438"/>
      <c r="LEO10" s="3438"/>
      <c r="LEP10" s="3438"/>
      <c r="LEQ10" s="3438"/>
      <c r="LER10" s="3438"/>
      <c r="LES10" s="3438"/>
      <c r="LET10" s="3438"/>
      <c r="LEU10" s="3438"/>
      <c r="LEV10" s="3438"/>
      <c r="LEW10" s="3438"/>
      <c r="LEX10" s="3438"/>
      <c r="LEY10" s="3438"/>
      <c r="LEZ10" s="3438"/>
      <c r="LFA10" s="3438"/>
      <c r="LFB10" s="3438"/>
      <c r="LFC10" s="3438"/>
      <c r="LFD10" s="3438"/>
      <c r="LFE10" s="3438"/>
      <c r="LFF10" s="3438"/>
      <c r="LFG10" s="3438"/>
      <c r="LFH10" s="3438"/>
      <c r="LFI10" s="3438"/>
      <c r="LFJ10" s="3438"/>
      <c r="LFK10" s="3438"/>
      <c r="LFL10" s="3438"/>
      <c r="LFM10" s="3438"/>
      <c r="LFN10" s="3438"/>
      <c r="LFO10" s="3438"/>
      <c r="LFP10" s="3438"/>
      <c r="LFQ10" s="3438"/>
      <c r="LFR10" s="3438"/>
      <c r="LFS10" s="3438"/>
      <c r="LFT10" s="3438"/>
      <c r="LFU10" s="3438"/>
      <c r="LFV10" s="3438"/>
      <c r="LFW10" s="3438"/>
      <c r="LFX10" s="3438"/>
      <c r="LFY10" s="3438"/>
      <c r="LFZ10" s="3438"/>
      <c r="LGA10" s="3438"/>
      <c r="LGB10" s="3438"/>
      <c r="LGC10" s="3438"/>
      <c r="LGD10" s="3438"/>
      <c r="LGE10" s="3438"/>
      <c r="LGF10" s="3438"/>
      <c r="LGG10" s="3438"/>
      <c r="LGH10" s="3438"/>
      <c r="LGI10" s="3438"/>
      <c r="LGJ10" s="3438"/>
      <c r="LGK10" s="3438"/>
      <c r="LGL10" s="3438"/>
      <c r="LGM10" s="3438"/>
      <c r="LGN10" s="3438"/>
      <c r="LGO10" s="3438"/>
      <c r="LGP10" s="3438"/>
      <c r="LGQ10" s="3438"/>
      <c r="LGR10" s="3438"/>
      <c r="LGS10" s="3438"/>
      <c r="LGT10" s="3438"/>
      <c r="LGU10" s="3438"/>
      <c r="LGV10" s="3438"/>
      <c r="LGW10" s="3438"/>
      <c r="LGX10" s="3438"/>
      <c r="LGY10" s="3438"/>
      <c r="LGZ10" s="3438"/>
      <c r="LHA10" s="3438"/>
      <c r="LHB10" s="3438"/>
      <c r="LHC10" s="3438"/>
      <c r="LHD10" s="3438"/>
      <c r="LHE10" s="3438"/>
      <c r="LHF10" s="3438"/>
      <c r="LHG10" s="3438"/>
      <c r="LHH10" s="3438"/>
      <c r="LHI10" s="3438"/>
      <c r="LHJ10" s="3438"/>
      <c r="LHK10" s="3438"/>
      <c r="LHL10" s="3438"/>
      <c r="LHM10" s="3438"/>
      <c r="LHN10" s="3438"/>
      <c r="LHO10" s="3438"/>
      <c r="LHP10" s="3438"/>
      <c r="LHQ10" s="3438"/>
      <c r="LHR10" s="3438"/>
      <c r="LHS10" s="3438"/>
      <c r="LHT10" s="3438"/>
      <c r="LHU10" s="3438"/>
      <c r="LHV10" s="3438"/>
      <c r="LHW10" s="3438"/>
      <c r="LHX10" s="3438"/>
      <c r="LHY10" s="3438"/>
      <c r="LHZ10" s="3438"/>
      <c r="LIA10" s="3438"/>
      <c r="LIB10" s="3438"/>
      <c r="LIC10" s="3438"/>
      <c r="LID10" s="3438"/>
      <c r="LIE10" s="3438"/>
      <c r="LIF10" s="3438"/>
      <c r="LIG10" s="3438"/>
      <c r="LIH10" s="3438"/>
      <c r="LII10" s="3438"/>
      <c r="LIJ10" s="3438"/>
      <c r="LIK10" s="3438"/>
      <c r="LIL10" s="3438"/>
      <c r="LIM10" s="3438"/>
      <c r="LIN10" s="3438"/>
      <c r="LIO10" s="3438"/>
      <c r="LIP10" s="3438"/>
      <c r="LIQ10" s="3438"/>
      <c r="LIR10" s="3438"/>
      <c r="LIS10" s="3438"/>
      <c r="LIT10" s="3438"/>
      <c r="LIU10" s="3438"/>
      <c r="LIV10" s="3438"/>
      <c r="LIW10" s="3438"/>
      <c r="LIX10" s="3438"/>
      <c r="LIY10" s="3438"/>
      <c r="LIZ10" s="3438"/>
      <c r="LJA10" s="3438"/>
      <c r="LJB10" s="3438"/>
      <c r="LJC10" s="3438"/>
      <c r="LJD10" s="3438"/>
      <c r="LJE10" s="3438"/>
      <c r="LJF10" s="3438"/>
      <c r="LJG10" s="3438"/>
      <c r="LJH10" s="3438"/>
      <c r="LJI10" s="3438"/>
      <c r="LJJ10" s="3438"/>
      <c r="LJK10" s="3438"/>
      <c r="LJL10" s="3438"/>
      <c r="LJM10" s="3438"/>
      <c r="LJN10" s="3438"/>
      <c r="LJO10" s="3438"/>
      <c r="LJP10" s="3438"/>
      <c r="LJQ10" s="3438"/>
      <c r="LJR10" s="3438"/>
      <c r="LJS10" s="3438"/>
      <c r="LJT10" s="3438"/>
      <c r="LJU10" s="3438"/>
      <c r="LJV10" s="3438"/>
      <c r="LJW10" s="3438"/>
      <c r="LJX10" s="3438"/>
      <c r="LJY10" s="3438"/>
      <c r="LJZ10" s="3438"/>
      <c r="LKA10" s="3438"/>
      <c r="LKB10" s="3438"/>
      <c r="LKC10" s="3438"/>
      <c r="LKD10" s="3438"/>
      <c r="LKE10" s="3438"/>
      <c r="LKF10" s="3438"/>
      <c r="LKG10" s="3438"/>
      <c r="LKH10" s="3438"/>
      <c r="LKI10" s="3438"/>
      <c r="LKJ10" s="3438"/>
      <c r="LKK10" s="3438"/>
      <c r="LKL10" s="3438"/>
      <c r="LKM10" s="3438"/>
      <c r="LKN10" s="3438"/>
      <c r="LKO10" s="3438"/>
      <c r="LKP10" s="3438"/>
      <c r="LKQ10" s="3438"/>
      <c r="LKR10" s="3438"/>
      <c r="LKS10" s="3438"/>
      <c r="LKT10" s="3438"/>
      <c r="LKU10" s="3438"/>
      <c r="LKV10" s="3438"/>
      <c r="LKW10" s="3438"/>
      <c r="LKX10" s="3438"/>
      <c r="LKY10" s="3438"/>
      <c r="LKZ10" s="3438"/>
      <c r="LLA10" s="3438"/>
      <c r="LLB10" s="3438"/>
      <c r="LLC10" s="3438"/>
      <c r="LLD10" s="3438"/>
      <c r="LLE10" s="3438"/>
      <c r="LLF10" s="3438"/>
      <c r="LLG10" s="3438"/>
      <c r="LLH10" s="3438"/>
      <c r="LLI10" s="3438"/>
      <c r="LLJ10" s="3438"/>
      <c r="LLK10" s="3438"/>
      <c r="LLL10" s="3438"/>
      <c r="LLM10" s="3438"/>
      <c r="LLN10" s="3438"/>
      <c r="LLO10" s="3438"/>
      <c r="LLP10" s="3438"/>
      <c r="LLQ10" s="3438"/>
      <c r="LLR10" s="3438"/>
      <c r="LLS10" s="3438"/>
      <c r="LLT10" s="3438"/>
      <c r="LLU10" s="3438"/>
      <c r="LLV10" s="3438"/>
      <c r="LLW10" s="3438"/>
      <c r="LLX10" s="3438"/>
      <c r="LLY10" s="3438"/>
      <c r="LLZ10" s="3438"/>
      <c r="LMA10" s="3438"/>
      <c r="LMB10" s="3438"/>
      <c r="LMC10" s="3438"/>
      <c r="LMD10" s="3438"/>
      <c r="LME10" s="3438"/>
      <c r="LMF10" s="3438"/>
      <c r="LMG10" s="3438"/>
      <c r="LMH10" s="3438"/>
      <c r="LMI10" s="3438"/>
      <c r="LMJ10" s="3438"/>
      <c r="LMK10" s="3438"/>
      <c r="LML10" s="3438"/>
      <c r="LMM10" s="3438"/>
      <c r="LMN10" s="3438"/>
      <c r="LMO10" s="3438"/>
      <c r="LMP10" s="3438"/>
      <c r="LMQ10" s="3438"/>
      <c r="LMR10" s="3438"/>
      <c r="LMS10" s="3438"/>
      <c r="LMT10" s="3438"/>
      <c r="LMU10" s="3438"/>
      <c r="LMV10" s="3438"/>
      <c r="LMW10" s="3438"/>
      <c r="LMX10" s="3438"/>
      <c r="LMY10" s="3438"/>
      <c r="LMZ10" s="3438"/>
      <c r="LNA10" s="3438"/>
      <c r="LNB10" s="3438"/>
      <c r="LNC10" s="3438"/>
      <c r="LND10" s="3438"/>
      <c r="LNE10" s="3438"/>
      <c r="LNF10" s="3438"/>
      <c r="LNG10" s="3438"/>
      <c r="LNH10" s="3438"/>
      <c r="LNI10" s="3438"/>
      <c r="LNJ10" s="3438"/>
      <c r="LNK10" s="3438"/>
      <c r="LNL10" s="3438"/>
      <c r="LNM10" s="3438"/>
      <c r="LNN10" s="3438"/>
      <c r="LNO10" s="3438"/>
      <c r="LNP10" s="3438"/>
      <c r="LNQ10" s="3438"/>
      <c r="LNR10" s="3438"/>
      <c r="LNS10" s="3438"/>
      <c r="LNT10" s="3438"/>
      <c r="LNU10" s="3438"/>
      <c r="LNV10" s="3438"/>
      <c r="LNW10" s="3438"/>
      <c r="LNX10" s="3438"/>
      <c r="LNY10" s="3438"/>
      <c r="LNZ10" s="3438"/>
      <c r="LOA10" s="3438"/>
      <c r="LOB10" s="3438"/>
      <c r="LOC10" s="3438"/>
      <c r="LOD10" s="3438"/>
      <c r="LOE10" s="3438"/>
      <c r="LOF10" s="3438"/>
      <c r="LOG10" s="3438"/>
      <c r="LOH10" s="3438"/>
      <c r="LOI10" s="3438"/>
      <c r="LOJ10" s="3438"/>
      <c r="LOK10" s="3438"/>
      <c r="LOL10" s="3438"/>
      <c r="LOM10" s="3438"/>
      <c r="LON10" s="3438"/>
      <c r="LOO10" s="3438"/>
      <c r="LOP10" s="3438"/>
      <c r="LOQ10" s="3438"/>
      <c r="LOR10" s="3438"/>
      <c r="LOS10" s="3438"/>
      <c r="LOT10" s="3438"/>
      <c r="LOU10" s="3438"/>
      <c r="LOV10" s="3438"/>
      <c r="LOW10" s="3438"/>
      <c r="LOX10" s="3438"/>
      <c r="LOY10" s="3438"/>
      <c r="LOZ10" s="3438"/>
      <c r="LPA10" s="3438"/>
      <c r="LPB10" s="3438"/>
      <c r="LPC10" s="3438"/>
      <c r="LPD10" s="3438"/>
      <c r="LPE10" s="3438"/>
      <c r="LPF10" s="3438"/>
      <c r="LPG10" s="3438"/>
      <c r="LPH10" s="3438"/>
      <c r="LPI10" s="3438"/>
      <c r="LPJ10" s="3438"/>
      <c r="LPK10" s="3438"/>
      <c r="LPL10" s="3438"/>
      <c r="LPM10" s="3438"/>
      <c r="LPN10" s="3438"/>
      <c r="LPO10" s="3438"/>
      <c r="LPP10" s="3438"/>
      <c r="LPQ10" s="3438"/>
      <c r="LPR10" s="3438"/>
      <c r="LPS10" s="3438"/>
      <c r="LPT10" s="3438"/>
      <c r="LPU10" s="3438"/>
      <c r="LPV10" s="3438"/>
      <c r="LPW10" s="3438"/>
      <c r="LPX10" s="3438"/>
      <c r="LPY10" s="3438"/>
      <c r="LPZ10" s="3438"/>
      <c r="LQA10" s="3438"/>
      <c r="LQB10" s="3438"/>
      <c r="LQC10" s="3438"/>
      <c r="LQD10" s="3438"/>
      <c r="LQE10" s="3438"/>
      <c r="LQF10" s="3438"/>
      <c r="LQG10" s="3438"/>
      <c r="LQH10" s="3438"/>
      <c r="LQI10" s="3438"/>
      <c r="LQJ10" s="3438"/>
      <c r="LQK10" s="3438"/>
      <c r="LQL10" s="3438"/>
      <c r="LQM10" s="3438"/>
      <c r="LQN10" s="3438"/>
      <c r="LQO10" s="3438"/>
      <c r="LQP10" s="3438"/>
      <c r="LQQ10" s="3438"/>
      <c r="LQR10" s="3438"/>
      <c r="LQS10" s="3438"/>
      <c r="LQT10" s="3438"/>
      <c r="LQU10" s="3438"/>
      <c r="LQV10" s="3438"/>
      <c r="LQW10" s="3438"/>
      <c r="LQX10" s="3438"/>
      <c r="LQY10" s="3438"/>
      <c r="LQZ10" s="3438"/>
      <c r="LRA10" s="3438"/>
      <c r="LRB10" s="3438"/>
      <c r="LRC10" s="3438"/>
      <c r="LRD10" s="3438"/>
      <c r="LRE10" s="3438"/>
      <c r="LRF10" s="3438"/>
      <c r="LRG10" s="3438"/>
      <c r="LRH10" s="3438"/>
      <c r="LRI10" s="3438"/>
      <c r="LRJ10" s="3438"/>
      <c r="LRK10" s="3438"/>
      <c r="LRL10" s="3438"/>
      <c r="LRM10" s="3438"/>
      <c r="LRN10" s="3438"/>
      <c r="LRO10" s="3438"/>
      <c r="LRP10" s="3438"/>
      <c r="LRQ10" s="3438"/>
      <c r="LRR10" s="3438"/>
      <c r="LRS10" s="3438"/>
      <c r="LRT10" s="3438"/>
      <c r="LRU10" s="3438"/>
      <c r="LRV10" s="3438"/>
      <c r="LRW10" s="3438"/>
      <c r="LRX10" s="3438"/>
      <c r="LRY10" s="3438"/>
      <c r="LRZ10" s="3438"/>
      <c r="LSA10" s="3438"/>
      <c r="LSB10" s="3438"/>
      <c r="LSC10" s="3438"/>
      <c r="LSD10" s="3438"/>
      <c r="LSE10" s="3438"/>
      <c r="LSF10" s="3438"/>
      <c r="LSG10" s="3438"/>
      <c r="LSH10" s="3438"/>
      <c r="LSI10" s="3438"/>
      <c r="LSJ10" s="3438"/>
      <c r="LSK10" s="3438"/>
      <c r="LSL10" s="3438"/>
      <c r="LSM10" s="3438"/>
      <c r="LSN10" s="3438"/>
      <c r="LSO10" s="3438"/>
      <c r="LSP10" s="3438"/>
      <c r="LSQ10" s="3438"/>
      <c r="LSR10" s="3438"/>
      <c r="LSS10" s="3438"/>
      <c r="LST10" s="3438"/>
      <c r="LSU10" s="3438"/>
      <c r="LSV10" s="3438"/>
      <c r="LSW10" s="3438"/>
      <c r="LSX10" s="3438"/>
      <c r="LSY10" s="3438"/>
      <c r="LSZ10" s="3438"/>
      <c r="LTA10" s="3438"/>
      <c r="LTB10" s="3438"/>
      <c r="LTC10" s="3438"/>
      <c r="LTD10" s="3438"/>
      <c r="LTE10" s="3438"/>
      <c r="LTF10" s="3438"/>
      <c r="LTG10" s="3438"/>
      <c r="LTH10" s="3438"/>
      <c r="LTI10" s="3438"/>
      <c r="LTJ10" s="3438"/>
      <c r="LTK10" s="3438"/>
      <c r="LTL10" s="3438"/>
      <c r="LTM10" s="3438"/>
      <c r="LTN10" s="3438"/>
      <c r="LTO10" s="3438"/>
      <c r="LTP10" s="3438"/>
      <c r="LTQ10" s="3438"/>
      <c r="LTR10" s="3438"/>
      <c r="LTS10" s="3438"/>
      <c r="LTT10" s="3438"/>
      <c r="LTU10" s="3438"/>
      <c r="LTV10" s="3438"/>
      <c r="LTW10" s="3438"/>
      <c r="LTX10" s="3438"/>
      <c r="LTY10" s="3438"/>
      <c r="LTZ10" s="3438"/>
      <c r="LUA10" s="3438"/>
      <c r="LUB10" s="3438"/>
      <c r="LUC10" s="3438"/>
      <c r="LUD10" s="3438"/>
      <c r="LUE10" s="3438"/>
      <c r="LUF10" s="3438"/>
      <c r="LUG10" s="3438"/>
      <c r="LUH10" s="3438"/>
      <c r="LUI10" s="3438"/>
      <c r="LUJ10" s="3438"/>
      <c r="LUK10" s="3438"/>
      <c r="LUL10" s="3438"/>
      <c r="LUM10" s="3438"/>
      <c r="LUN10" s="3438"/>
      <c r="LUO10" s="3438"/>
      <c r="LUP10" s="3438"/>
      <c r="LUQ10" s="3438"/>
      <c r="LUR10" s="3438"/>
      <c r="LUS10" s="3438"/>
      <c r="LUT10" s="3438"/>
      <c r="LUU10" s="3438"/>
      <c r="LUV10" s="3438"/>
      <c r="LUW10" s="3438"/>
      <c r="LUX10" s="3438"/>
      <c r="LUY10" s="3438"/>
      <c r="LUZ10" s="3438"/>
      <c r="LVA10" s="3438"/>
      <c r="LVB10" s="3438"/>
      <c r="LVC10" s="3438"/>
      <c r="LVD10" s="3438"/>
      <c r="LVE10" s="3438"/>
      <c r="LVF10" s="3438"/>
      <c r="LVG10" s="3438"/>
      <c r="LVH10" s="3438"/>
      <c r="LVI10" s="3438"/>
      <c r="LVJ10" s="3438"/>
      <c r="LVK10" s="3438"/>
      <c r="LVL10" s="3438"/>
      <c r="LVM10" s="3438"/>
      <c r="LVN10" s="3438"/>
      <c r="LVO10" s="3438"/>
      <c r="LVP10" s="3438"/>
      <c r="LVQ10" s="3438"/>
      <c r="LVR10" s="3438"/>
      <c r="LVS10" s="3438"/>
      <c r="LVT10" s="3438"/>
      <c r="LVU10" s="3438"/>
      <c r="LVV10" s="3438"/>
      <c r="LVW10" s="3438"/>
      <c r="LVX10" s="3438"/>
      <c r="LVY10" s="3438"/>
      <c r="LVZ10" s="3438"/>
      <c r="LWA10" s="3438"/>
      <c r="LWB10" s="3438"/>
      <c r="LWC10" s="3438"/>
      <c r="LWD10" s="3438"/>
      <c r="LWE10" s="3438"/>
      <c r="LWF10" s="3438"/>
      <c r="LWG10" s="3438"/>
      <c r="LWH10" s="3438"/>
      <c r="LWI10" s="3438"/>
      <c r="LWJ10" s="3438"/>
      <c r="LWK10" s="3438"/>
      <c r="LWL10" s="3438"/>
      <c r="LWM10" s="3438"/>
      <c r="LWN10" s="3438"/>
      <c r="LWO10" s="3438"/>
      <c r="LWP10" s="3438"/>
      <c r="LWQ10" s="3438"/>
      <c r="LWR10" s="3438"/>
      <c r="LWS10" s="3438"/>
      <c r="LWT10" s="3438"/>
      <c r="LWU10" s="3438"/>
      <c r="LWV10" s="3438"/>
      <c r="LWW10" s="3438"/>
      <c r="LWX10" s="3438"/>
      <c r="LWY10" s="3438"/>
      <c r="LWZ10" s="3438"/>
      <c r="LXA10" s="3438"/>
      <c r="LXB10" s="3438"/>
      <c r="LXC10" s="3438"/>
      <c r="LXD10" s="3438"/>
      <c r="LXE10" s="3438"/>
      <c r="LXF10" s="3438"/>
      <c r="LXG10" s="3438"/>
      <c r="LXH10" s="3438"/>
      <c r="LXI10" s="3438"/>
      <c r="LXJ10" s="3438"/>
      <c r="LXK10" s="3438"/>
      <c r="LXL10" s="3438"/>
      <c r="LXM10" s="3438"/>
      <c r="LXN10" s="3438"/>
      <c r="LXO10" s="3438"/>
      <c r="LXP10" s="3438"/>
      <c r="LXQ10" s="3438"/>
      <c r="LXR10" s="3438"/>
      <c r="LXS10" s="3438"/>
      <c r="LXT10" s="3438"/>
      <c r="LXU10" s="3438"/>
      <c r="LXV10" s="3438"/>
      <c r="LXW10" s="3438"/>
      <c r="LXX10" s="3438"/>
      <c r="LXY10" s="3438"/>
      <c r="LXZ10" s="3438"/>
      <c r="LYA10" s="3438"/>
      <c r="LYB10" s="3438"/>
      <c r="LYC10" s="3438"/>
      <c r="LYD10" s="3438"/>
      <c r="LYE10" s="3438"/>
      <c r="LYF10" s="3438"/>
      <c r="LYG10" s="3438"/>
      <c r="LYH10" s="3438"/>
      <c r="LYI10" s="3438"/>
      <c r="LYJ10" s="3438"/>
      <c r="LYK10" s="3438"/>
      <c r="LYL10" s="3438"/>
      <c r="LYM10" s="3438"/>
      <c r="LYN10" s="3438"/>
      <c r="LYO10" s="3438"/>
      <c r="LYP10" s="3438"/>
      <c r="LYQ10" s="3438"/>
      <c r="LYR10" s="3438"/>
      <c r="LYS10" s="3438"/>
      <c r="LYT10" s="3438"/>
      <c r="LYU10" s="3438"/>
      <c r="LYV10" s="3438"/>
      <c r="LYW10" s="3438"/>
      <c r="LYX10" s="3438"/>
      <c r="LYY10" s="3438"/>
      <c r="LYZ10" s="3438"/>
      <c r="LZA10" s="3438"/>
      <c r="LZB10" s="3438"/>
      <c r="LZC10" s="3438"/>
      <c r="LZD10" s="3438"/>
      <c r="LZE10" s="3438"/>
      <c r="LZF10" s="3438"/>
      <c r="LZG10" s="3438"/>
      <c r="LZH10" s="3438"/>
      <c r="LZI10" s="3438"/>
      <c r="LZJ10" s="3438"/>
      <c r="LZK10" s="3438"/>
      <c r="LZL10" s="3438"/>
      <c r="LZM10" s="3438"/>
      <c r="LZN10" s="3438"/>
      <c r="LZO10" s="3438"/>
      <c r="LZP10" s="3438"/>
      <c r="LZQ10" s="3438"/>
      <c r="LZR10" s="3438"/>
      <c r="LZS10" s="3438"/>
      <c r="LZT10" s="3438"/>
      <c r="LZU10" s="3438"/>
      <c r="LZV10" s="3438"/>
      <c r="LZW10" s="3438"/>
      <c r="LZX10" s="3438"/>
      <c r="LZY10" s="3438"/>
      <c r="LZZ10" s="3438"/>
      <c r="MAA10" s="3438"/>
      <c r="MAB10" s="3438"/>
      <c r="MAC10" s="3438"/>
      <c r="MAD10" s="3438"/>
      <c r="MAE10" s="3438"/>
      <c r="MAF10" s="3438"/>
      <c r="MAG10" s="3438"/>
      <c r="MAH10" s="3438"/>
      <c r="MAI10" s="3438"/>
      <c r="MAJ10" s="3438"/>
      <c r="MAK10" s="3438"/>
      <c r="MAL10" s="3438"/>
      <c r="MAM10" s="3438"/>
      <c r="MAN10" s="3438"/>
      <c r="MAO10" s="3438"/>
      <c r="MAP10" s="3438"/>
      <c r="MAQ10" s="3438"/>
      <c r="MAR10" s="3438"/>
      <c r="MAS10" s="3438"/>
      <c r="MAT10" s="3438"/>
      <c r="MAU10" s="3438"/>
      <c r="MAV10" s="3438"/>
      <c r="MAW10" s="3438"/>
      <c r="MAX10" s="3438"/>
      <c r="MAY10" s="3438"/>
      <c r="MAZ10" s="3438"/>
      <c r="MBA10" s="3438"/>
      <c r="MBB10" s="3438"/>
      <c r="MBC10" s="3438"/>
      <c r="MBD10" s="3438"/>
      <c r="MBE10" s="3438"/>
      <c r="MBF10" s="3438"/>
      <c r="MBG10" s="3438"/>
      <c r="MBH10" s="3438"/>
      <c r="MBI10" s="3438"/>
      <c r="MBJ10" s="3438"/>
      <c r="MBK10" s="3438"/>
      <c r="MBL10" s="3438"/>
      <c r="MBM10" s="3438"/>
      <c r="MBN10" s="3438"/>
      <c r="MBO10" s="3438"/>
      <c r="MBP10" s="3438"/>
      <c r="MBQ10" s="3438"/>
      <c r="MBR10" s="3438"/>
      <c r="MBS10" s="3438"/>
      <c r="MBT10" s="3438"/>
      <c r="MBU10" s="3438"/>
      <c r="MBV10" s="3438"/>
      <c r="MBW10" s="3438"/>
      <c r="MBX10" s="3438"/>
      <c r="MBY10" s="3438"/>
      <c r="MBZ10" s="3438"/>
      <c r="MCA10" s="3438"/>
      <c r="MCB10" s="3438"/>
      <c r="MCC10" s="3438"/>
      <c r="MCD10" s="3438"/>
      <c r="MCE10" s="3438"/>
      <c r="MCF10" s="3438"/>
      <c r="MCG10" s="3438"/>
      <c r="MCH10" s="3438"/>
      <c r="MCI10" s="3438"/>
      <c r="MCJ10" s="3438"/>
      <c r="MCK10" s="3438"/>
      <c r="MCL10" s="3438"/>
      <c r="MCM10" s="3438"/>
      <c r="MCN10" s="3438"/>
      <c r="MCO10" s="3438"/>
      <c r="MCP10" s="3438"/>
      <c r="MCQ10" s="3438"/>
      <c r="MCR10" s="3438"/>
      <c r="MCS10" s="3438"/>
      <c r="MCT10" s="3438"/>
      <c r="MCU10" s="3438"/>
      <c r="MCV10" s="3438"/>
      <c r="MCW10" s="3438"/>
      <c r="MCX10" s="3438"/>
      <c r="MCY10" s="3438"/>
      <c r="MCZ10" s="3438"/>
      <c r="MDA10" s="3438"/>
      <c r="MDB10" s="3438"/>
      <c r="MDC10" s="3438"/>
      <c r="MDD10" s="3438"/>
      <c r="MDE10" s="3438"/>
      <c r="MDF10" s="3438"/>
      <c r="MDG10" s="3438"/>
      <c r="MDH10" s="3438"/>
      <c r="MDI10" s="3438"/>
      <c r="MDJ10" s="3438"/>
      <c r="MDK10" s="3438"/>
      <c r="MDL10" s="3438"/>
      <c r="MDM10" s="3438"/>
      <c r="MDN10" s="3438"/>
      <c r="MDO10" s="3438"/>
      <c r="MDP10" s="3438"/>
      <c r="MDQ10" s="3438"/>
      <c r="MDR10" s="3438"/>
      <c r="MDS10" s="3438"/>
      <c r="MDT10" s="3438"/>
      <c r="MDU10" s="3438"/>
      <c r="MDV10" s="3438"/>
      <c r="MDW10" s="3438"/>
      <c r="MDX10" s="3438"/>
      <c r="MDY10" s="3438"/>
      <c r="MDZ10" s="3438"/>
      <c r="MEA10" s="3438"/>
      <c r="MEB10" s="3438"/>
      <c r="MEC10" s="3438"/>
      <c r="MED10" s="3438"/>
      <c r="MEE10" s="3438"/>
      <c r="MEF10" s="3438"/>
      <c r="MEG10" s="3438"/>
      <c r="MEH10" s="3438"/>
      <c r="MEI10" s="3438"/>
      <c r="MEJ10" s="3438"/>
      <c r="MEK10" s="3438"/>
      <c r="MEL10" s="3438"/>
      <c r="MEM10" s="3438"/>
      <c r="MEN10" s="3438"/>
      <c r="MEO10" s="3438"/>
      <c r="MEP10" s="3438"/>
      <c r="MEQ10" s="3438"/>
      <c r="MER10" s="3438"/>
      <c r="MES10" s="3438"/>
      <c r="MET10" s="3438"/>
      <c r="MEU10" s="3438"/>
      <c r="MEV10" s="3438"/>
      <c r="MEW10" s="3438"/>
      <c r="MEX10" s="3438"/>
      <c r="MEY10" s="3438"/>
      <c r="MEZ10" s="3438"/>
      <c r="MFA10" s="3438"/>
      <c r="MFB10" s="3438"/>
      <c r="MFC10" s="3438"/>
      <c r="MFD10" s="3438"/>
      <c r="MFE10" s="3438"/>
      <c r="MFF10" s="3438"/>
      <c r="MFG10" s="3438"/>
      <c r="MFH10" s="3438"/>
      <c r="MFI10" s="3438"/>
      <c r="MFJ10" s="3438"/>
      <c r="MFK10" s="3438"/>
      <c r="MFL10" s="3438"/>
      <c r="MFM10" s="3438"/>
      <c r="MFN10" s="3438"/>
      <c r="MFO10" s="3438"/>
      <c r="MFP10" s="3438"/>
      <c r="MFQ10" s="3438"/>
      <c r="MFR10" s="3438"/>
      <c r="MFS10" s="3438"/>
      <c r="MFT10" s="3438"/>
      <c r="MFU10" s="3438"/>
      <c r="MFV10" s="3438"/>
      <c r="MFW10" s="3438"/>
      <c r="MFX10" s="3438"/>
      <c r="MFY10" s="3438"/>
      <c r="MFZ10" s="3438"/>
      <c r="MGA10" s="3438"/>
      <c r="MGB10" s="3438"/>
      <c r="MGC10" s="3438"/>
      <c r="MGD10" s="3438"/>
      <c r="MGE10" s="3438"/>
      <c r="MGF10" s="3438"/>
      <c r="MGG10" s="3438"/>
      <c r="MGH10" s="3438"/>
      <c r="MGI10" s="3438"/>
      <c r="MGJ10" s="3438"/>
      <c r="MGK10" s="3438"/>
      <c r="MGL10" s="3438"/>
      <c r="MGM10" s="3438"/>
      <c r="MGN10" s="3438"/>
      <c r="MGO10" s="3438"/>
      <c r="MGP10" s="3438"/>
      <c r="MGQ10" s="3438"/>
      <c r="MGR10" s="3438"/>
      <c r="MGS10" s="3438"/>
      <c r="MGT10" s="3438"/>
      <c r="MGU10" s="3438"/>
      <c r="MGV10" s="3438"/>
      <c r="MGW10" s="3438"/>
      <c r="MGX10" s="3438"/>
      <c r="MGY10" s="3438"/>
      <c r="MGZ10" s="3438"/>
      <c r="MHA10" s="3438"/>
      <c r="MHB10" s="3438"/>
      <c r="MHC10" s="3438"/>
      <c r="MHD10" s="3438"/>
      <c r="MHE10" s="3438"/>
      <c r="MHF10" s="3438"/>
      <c r="MHG10" s="3438"/>
      <c r="MHH10" s="3438"/>
      <c r="MHI10" s="3438"/>
      <c r="MHJ10" s="3438"/>
      <c r="MHK10" s="3438"/>
      <c r="MHL10" s="3438"/>
      <c r="MHM10" s="3438"/>
      <c r="MHN10" s="3438"/>
      <c r="MHO10" s="3438"/>
      <c r="MHP10" s="3438"/>
      <c r="MHQ10" s="3438"/>
      <c r="MHR10" s="3438"/>
      <c r="MHS10" s="3438"/>
      <c r="MHT10" s="3438"/>
      <c r="MHU10" s="3438"/>
      <c r="MHV10" s="3438"/>
      <c r="MHW10" s="3438"/>
      <c r="MHX10" s="3438"/>
      <c r="MHY10" s="3438"/>
      <c r="MHZ10" s="3438"/>
      <c r="MIA10" s="3438"/>
      <c r="MIB10" s="3438"/>
      <c r="MIC10" s="3438"/>
      <c r="MID10" s="3438"/>
      <c r="MIE10" s="3438"/>
      <c r="MIF10" s="3438"/>
      <c r="MIG10" s="3438"/>
      <c r="MIH10" s="3438"/>
      <c r="MII10" s="3438"/>
      <c r="MIJ10" s="3438"/>
      <c r="MIK10" s="3438"/>
      <c r="MIL10" s="3438"/>
      <c r="MIM10" s="3438"/>
      <c r="MIN10" s="3438"/>
      <c r="MIO10" s="3438"/>
      <c r="MIP10" s="3438"/>
      <c r="MIQ10" s="3438"/>
      <c r="MIR10" s="3438"/>
      <c r="MIS10" s="3438"/>
      <c r="MIT10" s="3438"/>
      <c r="MIU10" s="3438"/>
      <c r="MIV10" s="3438"/>
      <c r="MIW10" s="3438"/>
      <c r="MIX10" s="3438"/>
      <c r="MIY10" s="3438"/>
      <c r="MIZ10" s="3438"/>
      <c r="MJA10" s="3438"/>
      <c r="MJB10" s="3438"/>
      <c r="MJC10" s="3438"/>
      <c r="MJD10" s="3438"/>
      <c r="MJE10" s="3438"/>
      <c r="MJF10" s="3438"/>
      <c r="MJG10" s="3438"/>
      <c r="MJH10" s="3438"/>
      <c r="MJI10" s="3438"/>
      <c r="MJJ10" s="3438"/>
      <c r="MJK10" s="3438"/>
      <c r="MJL10" s="3438"/>
      <c r="MJM10" s="3438"/>
      <c r="MJN10" s="3438"/>
      <c r="MJO10" s="3438"/>
      <c r="MJP10" s="3438"/>
      <c r="MJQ10" s="3438"/>
      <c r="MJR10" s="3438"/>
      <c r="MJS10" s="3438"/>
      <c r="MJT10" s="3438"/>
      <c r="MJU10" s="3438"/>
      <c r="MJV10" s="3438"/>
      <c r="MJW10" s="3438"/>
      <c r="MJX10" s="3438"/>
      <c r="MJY10" s="3438"/>
      <c r="MJZ10" s="3438"/>
      <c r="MKA10" s="3438"/>
      <c r="MKB10" s="3438"/>
      <c r="MKC10" s="3438"/>
      <c r="MKD10" s="3438"/>
      <c r="MKE10" s="3438"/>
      <c r="MKF10" s="3438"/>
      <c r="MKG10" s="3438"/>
      <c r="MKH10" s="3438"/>
      <c r="MKI10" s="3438"/>
      <c r="MKJ10" s="3438"/>
      <c r="MKK10" s="3438"/>
      <c r="MKL10" s="3438"/>
      <c r="MKM10" s="3438"/>
      <c r="MKN10" s="3438"/>
      <c r="MKO10" s="3438"/>
      <c r="MKP10" s="3438"/>
      <c r="MKQ10" s="3438"/>
      <c r="MKR10" s="3438"/>
      <c r="MKS10" s="3438"/>
      <c r="MKT10" s="3438"/>
      <c r="MKU10" s="3438"/>
      <c r="MKV10" s="3438"/>
      <c r="MKW10" s="3438"/>
      <c r="MKX10" s="3438"/>
      <c r="MKY10" s="3438"/>
      <c r="MKZ10" s="3438"/>
      <c r="MLA10" s="3438"/>
      <c r="MLB10" s="3438"/>
      <c r="MLC10" s="3438"/>
      <c r="MLD10" s="3438"/>
      <c r="MLE10" s="3438"/>
      <c r="MLF10" s="3438"/>
      <c r="MLG10" s="3438"/>
      <c r="MLH10" s="3438"/>
      <c r="MLI10" s="3438"/>
      <c r="MLJ10" s="3438"/>
      <c r="MLK10" s="3438"/>
      <c r="MLL10" s="3438"/>
      <c r="MLM10" s="3438"/>
      <c r="MLN10" s="3438"/>
      <c r="MLO10" s="3438"/>
      <c r="MLP10" s="3438"/>
      <c r="MLQ10" s="3438"/>
      <c r="MLR10" s="3438"/>
      <c r="MLS10" s="3438"/>
      <c r="MLT10" s="3438"/>
      <c r="MLU10" s="3438"/>
      <c r="MLV10" s="3438"/>
      <c r="MLW10" s="3438"/>
      <c r="MLX10" s="3438"/>
      <c r="MLY10" s="3438"/>
      <c r="MLZ10" s="3438"/>
      <c r="MMA10" s="3438"/>
      <c r="MMB10" s="3438"/>
      <c r="MMC10" s="3438"/>
      <c r="MMD10" s="3438"/>
      <c r="MME10" s="3438"/>
      <c r="MMF10" s="3438"/>
      <c r="MMG10" s="3438"/>
      <c r="MMH10" s="3438"/>
      <c r="MMI10" s="3438"/>
      <c r="MMJ10" s="3438"/>
      <c r="MMK10" s="3438"/>
      <c r="MML10" s="3438"/>
      <c r="MMM10" s="3438"/>
      <c r="MMN10" s="3438"/>
      <c r="MMO10" s="3438"/>
      <c r="MMP10" s="3438"/>
      <c r="MMQ10" s="3438"/>
      <c r="MMR10" s="3438"/>
      <c r="MMS10" s="3438"/>
      <c r="MMT10" s="3438"/>
      <c r="MMU10" s="3438"/>
      <c r="MMV10" s="3438"/>
      <c r="MMW10" s="3438"/>
      <c r="MMX10" s="3438"/>
      <c r="MMY10" s="3438"/>
      <c r="MMZ10" s="3438"/>
      <c r="MNA10" s="3438"/>
      <c r="MNB10" s="3438"/>
      <c r="MNC10" s="3438"/>
      <c r="MND10" s="3438"/>
      <c r="MNE10" s="3438"/>
      <c r="MNF10" s="3438"/>
      <c r="MNG10" s="3438"/>
      <c r="MNH10" s="3438"/>
      <c r="MNI10" s="3438"/>
      <c r="MNJ10" s="3438"/>
      <c r="MNK10" s="3438"/>
      <c r="MNL10" s="3438"/>
      <c r="MNM10" s="3438"/>
      <c r="MNN10" s="3438"/>
      <c r="MNO10" s="3438"/>
      <c r="MNP10" s="3438"/>
      <c r="MNQ10" s="3438"/>
      <c r="MNR10" s="3438"/>
      <c r="MNS10" s="3438"/>
      <c r="MNT10" s="3438"/>
      <c r="MNU10" s="3438"/>
      <c r="MNV10" s="3438"/>
      <c r="MNW10" s="3438"/>
      <c r="MNX10" s="3438"/>
      <c r="MNY10" s="3438"/>
      <c r="MNZ10" s="3438"/>
      <c r="MOA10" s="3438"/>
      <c r="MOB10" s="3438"/>
      <c r="MOC10" s="3438"/>
      <c r="MOD10" s="3438"/>
      <c r="MOE10" s="3438"/>
      <c r="MOF10" s="3438"/>
      <c r="MOG10" s="3438"/>
      <c r="MOH10" s="3438"/>
      <c r="MOI10" s="3438"/>
      <c r="MOJ10" s="3438"/>
      <c r="MOK10" s="3438"/>
      <c r="MOL10" s="3438"/>
      <c r="MOM10" s="3438"/>
      <c r="MON10" s="3438"/>
      <c r="MOO10" s="3438"/>
      <c r="MOP10" s="3438"/>
      <c r="MOQ10" s="3438"/>
      <c r="MOR10" s="3438"/>
      <c r="MOS10" s="3438"/>
      <c r="MOT10" s="3438"/>
      <c r="MOU10" s="3438"/>
      <c r="MOV10" s="3438"/>
      <c r="MOW10" s="3438"/>
      <c r="MOX10" s="3438"/>
      <c r="MOY10" s="3438"/>
      <c r="MOZ10" s="3438"/>
      <c r="MPA10" s="3438"/>
      <c r="MPB10" s="3438"/>
      <c r="MPC10" s="3438"/>
      <c r="MPD10" s="3438"/>
      <c r="MPE10" s="3438"/>
      <c r="MPF10" s="3438"/>
      <c r="MPG10" s="3438"/>
      <c r="MPH10" s="3438"/>
      <c r="MPI10" s="3438"/>
      <c r="MPJ10" s="3438"/>
      <c r="MPK10" s="3438"/>
      <c r="MPL10" s="3438"/>
      <c r="MPM10" s="3438"/>
      <c r="MPN10" s="3438"/>
      <c r="MPO10" s="3438"/>
      <c r="MPP10" s="3438"/>
      <c r="MPQ10" s="3438"/>
      <c r="MPR10" s="3438"/>
      <c r="MPS10" s="3438"/>
      <c r="MPT10" s="3438"/>
      <c r="MPU10" s="3438"/>
      <c r="MPV10" s="3438"/>
      <c r="MPW10" s="3438"/>
      <c r="MPX10" s="3438"/>
      <c r="MPY10" s="3438"/>
      <c r="MPZ10" s="3438"/>
      <c r="MQA10" s="3438"/>
      <c r="MQB10" s="3438"/>
      <c r="MQC10" s="3438"/>
      <c r="MQD10" s="3438"/>
      <c r="MQE10" s="3438"/>
      <c r="MQF10" s="3438"/>
      <c r="MQG10" s="3438"/>
      <c r="MQH10" s="3438"/>
      <c r="MQI10" s="3438"/>
      <c r="MQJ10" s="3438"/>
      <c r="MQK10" s="3438"/>
      <c r="MQL10" s="3438"/>
      <c r="MQM10" s="3438"/>
      <c r="MQN10" s="3438"/>
      <c r="MQO10" s="3438"/>
      <c r="MQP10" s="3438"/>
      <c r="MQQ10" s="3438"/>
      <c r="MQR10" s="3438"/>
      <c r="MQS10" s="3438"/>
      <c r="MQT10" s="3438"/>
      <c r="MQU10" s="3438"/>
      <c r="MQV10" s="3438"/>
      <c r="MQW10" s="3438"/>
      <c r="MQX10" s="3438"/>
      <c r="MQY10" s="3438"/>
      <c r="MQZ10" s="3438"/>
      <c r="MRA10" s="3438"/>
      <c r="MRB10" s="3438"/>
      <c r="MRC10" s="3438"/>
      <c r="MRD10" s="3438"/>
      <c r="MRE10" s="3438"/>
      <c r="MRF10" s="3438"/>
      <c r="MRG10" s="3438"/>
      <c r="MRH10" s="3438"/>
      <c r="MRI10" s="3438"/>
      <c r="MRJ10" s="3438"/>
      <c r="MRK10" s="3438"/>
      <c r="MRL10" s="3438"/>
      <c r="MRM10" s="3438"/>
      <c r="MRN10" s="3438"/>
      <c r="MRO10" s="3438"/>
      <c r="MRP10" s="3438"/>
      <c r="MRQ10" s="3438"/>
      <c r="MRR10" s="3438"/>
      <c r="MRS10" s="3438"/>
      <c r="MRT10" s="3438"/>
      <c r="MRU10" s="3438"/>
      <c r="MRV10" s="3438"/>
      <c r="MRW10" s="3438"/>
      <c r="MRX10" s="3438"/>
      <c r="MRY10" s="3438"/>
      <c r="MRZ10" s="3438"/>
      <c r="MSA10" s="3438"/>
      <c r="MSB10" s="3438"/>
      <c r="MSC10" s="3438"/>
      <c r="MSD10" s="3438"/>
      <c r="MSE10" s="3438"/>
      <c r="MSF10" s="3438"/>
      <c r="MSG10" s="3438"/>
      <c r="MSH10" s="3438"/>
      <c r="MSI10" s="3438"/>
      <c r="MSJ10" s="3438"/>
      <c r="MSK10" s="3438"/>
      <c r="MSL10" s="3438"/>
      <c r="MSM10" s="3438"/>
      <c r="MSN10" s="3438"/>
      <c r="MSO10" s="3438"/>
      <c r="MSP10" s="3438"/>
      <c r="MSQ10" s="3438"/>
      <c r="MSR10" s="3438"/>
      <c r="MSS10" s="3438"/>
      <c r="MST10" s="3438"/>
      <c r="MSU10" s="3438"/>
      <c r="MSV10" s="3438"/>
      <c r="MSW10" s="3438"/>
      <c r="MSX10" s="3438"/>
      <c r="MSY10" s="3438"/>
      <c r="MSZ10" s="3438"/>
      <c r="MTA10" s="3438"/>
      <c r="MTB10" s="3438"/>
      <c r="MTC10" s="3438"/>
      <c r="MTD10" s="3438"/>
      <c r="MTE10" s="3438"/>
      <c r="MTF10" s="3438"/>
      <c r="MTG10" s="3438"/>
      <c r="MTH10" s="3438"/>
      <c r="MTI10" s="3438"/>
      <c r="MTJ10" s="3438"/>
      <c r="MTK10" s="3438"/>
      <c r="MTL10" s="3438"/>
      <c r="MTM10" s="3438"/>
      <c r="MTN10" s="3438"/>
      <c r="MTO10" s="3438"/>
      <c r="MTP10" s="3438"/>
      <c r="MTQ10" s="3438"/>
      <c r="MTR10" s="3438"/>
      <c r="MTS10" s="3438"/>
      <c r="MTT10" s="3438"/>
      <c r="MTU10" s="3438"/>
      <c r="MTV10" s="3438"/>
      <c r="MTW10" s="3438"/>
      <c r="MTX10" s="3438"/>
      <c r="MTY10" s="3438"/>
      <c r="MTZ10" s="3438"/>
      <c r="MUA10" s="3438"/>
      <c r="MUB10" s="3438"/>
      <c r="MUC10" s="3438"/>
      <c r="MUD10" s="3438"/>
      <c r="MUE10" s="3438"/>
      <c r="MUF10" s="3438"/>
      <c r="MUG10" s="3438"/>
      <c r="MUH10" s="3438"/>
      <c r="MUI10" s="3438"/>
      <c r="MUJ10" s="3438"/>
      <c r="MUK10" s="3438"/>
      <c r="MUL10" s="3438"/>
      <c r="MUM10" s="3438"/>
      <c r="MUN10" s="3438"/>
      <c r="MUO10" s="3438"/>
      <c r="MUP10" s="3438"/>
      <c r="MUQ10" s="3438"/>
      <c r="MUR10" s="3438"/>
      <c r="MUS10" s="3438"/>
      <c r="MUT10" s="3438"/>
      <c r="MUU10" s="3438"/>
      <c r="MUV10" s="3438"/>
      <c r="MUW10" s="3438"/>
      <c r="MUX10" s="3438"/>
      <c r="MUY10" s="3438"/>
      <c r="MUZ10" s="3438"/>
      <c r="MVA10" s="3438"/>
      <c r="MVB10" s="3438"/>
      <c r="MVC10" s="3438"/>
      <c r="MVD10" s="3438"/>
      <c r="MVE10" s="3438"/>
      <c r="MVF10" s="3438"/>
      <c r="MVG10" s="3438"/>
      <c r="MVH10" s="3438"/>
      <c r="MVI10" s="3438"/>
      <c r="MVJ10" s="3438"/>
      <c r="MVK10" s="3438"/>
      <c r="MVL10" s="3438"/>
      <c r="MVM10" s="3438"/>
      <c r="MVN10" s="3438"/>
      <c r="MVO10" s="3438"/>
      <c r="MVP10" s="3438"/>
      <c r="MVQ10" s="3438"/>
      <c r="MVR10" s="3438"/>
      <c r="MVS10" s="3438"/>
      <c r="MVT10" s="3438"/>
      <c r="MVU10" s="3438"/>
      <c r="MVV10" s="3438"/>
      <c r="MVW10" s="3438"/>
      <c r="MVX10" s="3438"/>
      <c r="MVY10" s="3438"/>
      <c r="MVZ10" s="3438"/>
      <c r="MWA10" s="3438"/>
      <c r="MWB10" s="3438"/>
      <c r="MWC10" s="3438"/>
      <c r="MWD10" s="3438"/>
      <c r="MWE10" s="3438"/>
      <c r="MWF10" s="3438"/>
      <c r="MWG10" s="3438"/>
      <c r="MWH10" s="3438"/>
      <c r="MWI10" s="3438"/>
      <c r="MWJ10" s="3438"/>
      <c r="MWK10" s="3438"/>
      <c r="MWL10" s="3438"/>
      <c r="MWM10" s="3438"/>
      <c r="MWN10" s="3438"/>
      <c r="MWO10" s="3438"/>
      <c r="MWP10" s="3438"/>
      <c r="MWQ10" s="3438"/>
      <c r="MWR10" s="3438"/>
      <c r="MWS10" s="3438"/>
      <c r="MWT10" s="3438"/>
      <c r="MWU10" s="3438"/>
      <c r="MWV10" s="3438"/>
      <c r="MWW10" s="3438"/>
      <c r="MWX10" s="3438"/>
      <c r="MWY10" s="3438"/>
      <c r="MWZ10" s="3438"/>
      <c r="MXA10" s="3438"/>
      <c r="MXB10" s="3438"/>
      <c r="MXC10" s="3438"/>
      <c r="MXD10" s="3438"/>
      <c r="MXE10" s="3438"/>
      <c r="MXF10" s="3438"/>
      <c r="MXG10" s="3438"/>
      <c r="MXH10" s="3438"/>
      <c r="MXI10" s="3438"/>
      <c r="MXJ10" s="3438"/>
      <c r="MXK10" s="3438"/>
      <c r="MXL10" s="3438"/>
      <c r="MXM10" s="3438"/>
      <c r="MXN10" s="3438"/>
      <c r="MXO10" s="3438"/>
      <c r="MXP10" s="3438"/>
      <c r="MXQ10" s="3438"/>
      <c r="MXR10" s="3438"/>
      <c r="MXS10" s="3438"/>
      <c r="MXT10" s="3438"/>
      <c r="MXU10" s="3438"/>
      <c r="MXV10" s="3438"/>
      <c r="MXW10" s="3438"/>
      <c r="MXX10" s="3438"/>
      <c r="MXY10" s="3438"/>
      <c r="MXZ10" s="3438"/>
      <c r="MYA10" s="3438"/>
      <c r="MYB10" s="3438"/>
      <c r="MYC10" s="3438"/>
      <c r="MYD10" s="3438"/>
      <c r="MYE10" s="3438"/>
      <c r="MYF10" s="3438"/>
      <c r="MYG10" s="3438"/>
      <c r="MYH10" s="3438"/>
      <c r="MYI10" s="3438"/>
      <c r="MYJ10" s="3438"/>
      <c r="MYK10" s="3438"/>
      <c r="MYL10" s="3438"/>
      <c r="MYM10" s="3438"/>
      <c r="MYN10" s="3438"/>
      <c r="MYO10" s="3438"/>
      <c r="MYP10" s="3438"/>
      <c r="MYQ10" s="3438"/>
      <c r="MYR10" s="3438"/>
      <c r="MYS10" s="3438"/>
      <c r="MYT10" s="3438"/>
      <c r="MYU10" s="3438"/>
      <c r="MYV10" s="3438"/>
      <c r="MYW10" s="3438"/>
      <c r="MYX10" s="3438"/>
      <c r="MYY10" s="3438"/>
      <c r="MYZ10" s="3438"/>
      <c r="MZA10" s="3438"/>
      <c r="MZB10" s="3438"/>
      <c r="MZC10" s="3438"/>
      <c r="MZD10" s="3438"/>
      <c r="MZE10" s="3438"/>
      <c r="MZF10" s="3438"/>
      <c r="MZG10" s="3438"/>
      <c r="MZH10" s="3438"/>
      <c r="MZI10" s="3438"/>
      <c r="MZJ10" s="3438"/>
      <c r="MZK10" s="3438"/>
      <c r="MZL10" s="3438"/>
      <c r="MZM10" s="3438"/>
      <c r="MZN10" s="3438"/>
      <c r="MZO10" s="3438"/>
      <c r="MZP10" s="3438"/>
      <c r="MZQ10" s="3438"/>
      <c r="MZR10" s="3438"/>
      <c r="MZS10" s="3438"/>
      <c r="MZT10" s="3438"/>
      <c r="MZU10" s="3438"/>
      <c r="MZV10" s="3438"/>
      <c r="MZW10" s="3438"/>
      <c r="MZX10" s="3438"/>
      <c r="MZY10" s="3438"/>
      <c r="MZZ10" s="3438"/>
      <c r="NAA10" s="3438"/>
      <c r="NAB10" s="3438"/>
      <c r="NAC10" s="3438"/>
      <c r="NAD10" s="3438"/>
      <c r="NAE10" s="3438"/>
      <c r="NAF10" s="3438"/>
      <c r="NAG10" s="3438"/>
      <c r="NAH10" s="3438"/>
      <c r="NAI10" s="3438"/>
      <c r="NAJ10" s="3438"/>
      <c r="NAK10" s="3438"/>
      <c r="NAL10" s="3438"/>
      <c r="NAM10" s="3438"/>
      <c r="NAN10" s="3438"/>
      <c r="NAO10" s="3438"/>
      <c r="NAP10" s="3438"/>
      <c r="NAQ10" s="3438"/>
      <c r="NAR10" s="3438"/>
      <c r="NAS10" s="3438"/>
      <c r="NAT10" s="3438"/>
      <c r="NAU10" s="3438"/>
      <c r="NAV10" s="3438"/>
      <c r="NAW10" s="3438"/>
      <c r="NAX10" s="3438"/>
      <c r="NAY10" s="3438"/>
      <c r="NAZ10" s="3438"/>
      <c r="NBA10" s="3438"/>
      <c r="NBB10" s="3438"/>
      <c r="NBC10" s="3438"/>
      <c r="NBD10" s="3438"/>
      <c r="NBE10" s="3438"/>
      <c r="NBF10" s="3438"/>
      <c r="NBG10" s="3438"/>
      <c r="NBH10" s="3438"/>
      <c r="NBI10" s="3438"/>
      <c r="NBJ10" s="3438"/>
      <c r="NBK10" s="3438"/>
      <c r="NBL10" s="3438"/>
      <c r="NBM10" s="3438"/>
      <c r="NBN10" s="3438"/>
      <c r="NBO10" s="3438"/>
      <c r="NBP10" s="3438"/>
      <c r="NBQ10" s="3438"/>
      <c r="NBR10" s="3438"/>
      <c r="NBS10" s="3438"/>
      <c r="NBT10" s="3438"/>
      <c r="NBU10" s="3438"/>
      <c r="NBV10" s="3438"/>
      <c r="NBW10" s="3438"/>
      <c r="NBX10" s="3438"/>
      <c r="NBY10" s="3438"/>
      <c r="NBZ10" s="3438"/>
      <c r="NCA10" s="3438"/>
      <c r="NCB10" s="3438"/>
      <c r="NCC10" s="3438"/>
      <c r="NCD10" s="3438"/>
      <c r="NCE10" s="3438"/>
      <c r="NCF10" s="3438"/>
      <c r="NCG10" s="3438"/>
      <c r="NCH10" s="3438"/>
      <c r="NCI10" s="3438"/>
      <c r="NCJ10" s="3438"/>
      <c r="NCK10" s="3438"/>
      <c r="NCL10" s="3438"/>
      <c r="NCM10" s="3438"/>
      <c r="NCN10" s="3438"/>
      <c r="NCO10" s="3438"/>
      <c r="NCP10" s="3438"/>
      <c r="NCQ10" s="3438"/>
      <c r="NCR10" s="3438"/>
      <c r="NCS10" s="3438"/>
      <c r="NCT10" s="3438"/>
      <c r="NCU10" s="3438"/>
      <c r="NCV10" s="3438"/>
      <c r="NCW10" s="3438"/>
      <c r="NCX10" s="3438"/>
      <c r="NCY10" s="3438"/>
      <c r="NCZ10" s="3438"/>
      <c r="NDA10" s="3438"/>
      <c r="NDB10" s="3438"/>
      <c r="NDC10" s="3438"/>
      <c r="NDD10" s="3438"/>
      <c r="NDE10" s="3438"/>
      <c r="NDF10" s="3438"/>
      <c r="NDG10" s="3438"/>
      <c r="NDH10" s="3438"/>
      <c r="NDI10" s="3438"/>
      <c r="NDJ10" s="3438"/>
      <c r="NDK10" s="3438"/>
      <c r="NDL10" s="3438"/>
      <c r="NDM10" s="3438"/>
      <c r="NDN10" s="3438"/>
      <c r="NDO10" s="3438"/>
      <c r="NDP10" s="3438"/>
      <c r="NDQ10" s="3438"/>
      <c r="NDR10" s="3438"/>
      <c r="NDS10" s="3438"/>
      <c r="NDT10" s="3438"/>
      <c r="NDU10" s="3438"/>
      <c r="NDV10" s="3438"/>
      <c r="NDW10" s="3438"/>
      <c r="NDX10" s="3438"/>
      <c r="NDY10" s="3438"/>
      <c r="NDZ10" s="3438"/>
      <c r="NEA10" s="3438"/>
      <c r="NEB10" s="3438"/>
      <c r="NEC10" s="3438"/>
      <c r="NED10" s="3438"/>
      <c r="NEE10" s="3438"/>
      <c r="NEF10" s="3438"/>
      <c r="NEG10" s="3438"/>
      <c r="NEH10" s="3438"/>
      <c r="NEI10" s="3438"/>
      <c r="NEJ10" s="3438"/>
      <c r="NEK10" s="3438"/>
      <c r="NEL10" s="3438"/>
      <c r="NEM10" s="3438"/>
      <c r="NEN10" s="3438"/>
      <c r="NEO10" s="3438"/>
      <c r="NEP10" s="3438"/>
      <c r="NEQ10" s="3438"/>
      <c r="NER10" s="3438"/>
      <c r="NES10" s="3438"/>
      <c r="NET10" s="3438"/>
      <c r="NEU10" s="3438"/>
      <c r="NEV10" s="3438"/>
      <c r="NEW10" s="3438"/>
      <c r="NEX10" s="3438"/>
      <c r="NEY10" s="3438"/>
      <c r="NEZ10" s="3438"/>
      <c r="NFA10" s="3438"/>
      <c r="NFB10" s="3438"/>
      <c r="NFC10" s="3438"/>
      <c r="NFD10" s="3438"/>
      <c r="NFE10" s="3438"/>
      <c r="NFF10" s="3438"/>
      <c r="NFG10" s="3438"/>
      <c r="NFH10" s="3438"/>
      <c r="NFI10" s="3438"/>
      <c r="NFJ10" s="3438"/>
      <c r="NFK10" s="3438"/>
      <c r="NFL10" s="3438"/>
      <c r="NFM10" s="3438"/>
      <c r="NFN10" s="3438"/>
      <c r="NFO10" s="3438"/>
      <c r="NFP10" s="3438"/>
      <c r="NFQ10" s="3438"/>
      <c r="NFR10" s="3438"/>
      <c r="NFS10" s="3438"/>
      <c r="NFT10" s="3438"/>
      <c r="NFU10" s="3438"/>
      <c r="NFV10" s="3438"/>
      <c r="NFW10" s="3438"/>
      <c r="NFX10" s="3438"/>
      <c r="NFY10" s="3438"/>
      <c r="NFZ10" s="3438"/>
      <c r="NGA10" s="3438"/>
      <c r="NGB10" s="3438"/>
      <c r="NGC10" s="3438"/>
      <c r="NGD10" s="3438"/>
      <c r="NGE10" s="3438"/>
      <c r="NGF10" s="3438"/>
      <c r="NGG10" s="3438"/>
      <c r="NGH10" s="3438"/>
      <c r="NGI10" s="3438"/>
      <c r="NGJ10" s="3438"/>
      <c r="NGK10" s="3438"/>
      <c r="NGL10" s="3438"/>
      <c r="NGM10" s="3438"/>
      <c r="NGN10" s="3438"/>
      <c r="NGO10" s="3438"/>
      <c r="NGP10" s="3438"/>
      <c r="NGQ10" s="3438"/>
      <c r="NGR10" s="3438"/>
      <c r="NGS10" s="3438"/>
      <c r="NGT10" s="3438"/>
      <c r="NGU10" s="3438"/>
      <c r="NGV10" s="3438"/>
      <c r="NGW10" s="3438"/>
      <c r="NGX10" s="3438"/>
      <c r="NGY10" s="3438"/>
      <c r="NGZ10" s="3438"/>
      <c r="NHA10" s="3438"/>
      <c r="NHB10" s="3438"/>
      <c r="NHC10" s="3438"/>
      <c r="NHD10" s="3438"/>
      <c r="NHE10" s="3438"/>
      <c r="NHF10" s="3438"/>
      <c r="NHG10" s="3438"/>
      <c r="NHH10" s="3438"/>
      <c r="NHI10" s="3438"/>
      <c r="NHJ10" s="3438"/>
      <c r="NHK10" s="3438"/>
      <c r="NHL10" s="3438"/>
      <c r="NHM10" s="3438"/>
      <c r="NHN10" s="3438"/>
      <c r="NHO10" s="3438"/>
      <c r="NHP10" s="3438"/>
      <c r="NHQ10" s="3438"/>
      <c r="NHR10" s="3438"/>
      <c r="NHS10" s="3438"/>
      <c r="NHT10" s="3438"/>
      <c r="NHU10" s="3438"/>
      <c r="NHV10" s="3438"/>
      <c r="NHW10" s="3438"/>
      <c r="NHX10" s="3438"/>
      <c r="NHY10" s="3438"/>
      <c r="NHZ10" s="3438"/>
      <c r="NIA10" s="3438"/>
      <c r="NIB10" s="3438"/>
      <c r="NIC10" s="3438"/>
      <c r="NID10" s="3438"/>
      <c r="NIE10" s="3438"/>
      <c r="NIF10" s="3438"/>
      <c r="NIG10" s="3438"/>
      <c r="NIH10" s="3438"/>
      <c r="NII10" s="3438"/>
      <c r="NIJ10" s="3438"/>
      <c r="NIK10" s="3438"/>
      <c r="NIL10" s="3438"/>
      <c r="NIM10" s="3438"/>
      <c r="NIN10" s="3438"/>
      <c r="NIO10" s="3438"/>
      <c r="NIP10" s="3438"/>
      <c r="NIQ10" s="3438"/>
      <c r="NIR10" s="3438"/>
      <c r="NIS10" s="3438"/>
      <c r="NIT10" s="3438"/>
      <c r="NIU10" s="3438"/>
      <c r="NIV10" s="3438"/>
      <c r="NIW10" s="3438"/>
      <c r="NIX10" s="3438"/>
      <c r="NIY10" s="3438"/>
      <c r="NIZ10" s="3438"/>
      <c r="NJA10" s="3438"/>
      <c r="NJB10" s="3438"/>
      <c r="NJC10" s="3438"/>
      <c r="NJD10" s="3438"/>
      <c r="NJE10" s="3438"/>
      <c r="NJF10" s="3438"/>
      <c r="NJG10" s="3438"/>
      <c r="NJH10" s="3438"/>
      <c r="NJI10" s="3438"/>
      <c r="NJJ10" s="3438"/>
      <c r="NJK10" s="3438"/>
      <c r="NJL10" s="3438"/>
      <c r="NJM10" s="3438"/>
      <c r="NJN10" s="3438"/>
      <c r="NJO10" s="3438"/>
      <c r="NJP10" s="3438"/>
      <c r="NJQ10" s="3438"/>
      <c r="NJR10" s="3438"/>
      <c r="NJS10" s="3438"/>
      <c r="NJT10" s="3438"/>
      <c r="NJU10" s="3438"/>
      <c r="NJV10" s="3438"/>
      <c r="NJW10" s="3438"/>
      <c r="NJX10" s="3438"/>
      <c r="NJY10" s="3438"/>
      <c r="NJZ10" s="3438"/>
      <c r="NKA10" s="3438"/>
      <c r="NKB10" s="3438"/>
      <c r="NKC10" s="3438"/>
      <c r="NKD10" s="3438"/>
      <c r="NKE10" s="3438"/>
      <c r="NKF10" s="3438"/>
      <c r="NKG10" s="3438"/>
      <c r="NKH10" s="3438"/>
      <c r="NKI10" s="3438"/>
      <c r="NKJ10" s="3438"/>
      <c r="NKK10" s="3438"/>
      <c r="NKL10" s="3438"/>
      <c r="NKM10" s="3438"/>
      <c r="NKN10" s="3438"/>
      <c r="NKO10" s="3438"/>
      <c r="NKP10" s="3438"/>
      <c r="NKQ10" s="3438"/>
      <c r="NKR10" s="3438"/>
      <c r="NKS10" s="3438"/>
      <c r="NKT10" s="3438"/>
      <c r="NKU10" s="3438"/>
      <c r="NKV10" s="3438"/>
      <c r="NKW10" s="3438"/>
      <c r="NKX10" s="3438"/>
      <c r="NKY10" s="3438"/>
      <c r="NKZ10" s="3438"/>
      <c r="NLA10" s="3438"/>
      <c r="NLB10" s="3438"/>
      <c r="NLC10" s="3438"/>
      <c r="NLD10" s="3438"/>
      <c r="NLE10" s="3438"/>
      <c r="NLF10" s="3438"/>
      <c r="NLG10" s="3438"/>
      <c r="NLH10" s="3438"/>
      <c r="NLI10" s="3438"/>
      <c r="NLJ10" s="3438"/>
      <c r="NLK10" s="3438"/>
      <c r="NLL10" s="3438"/>
      <c r="NLM10" s="3438"/>
      <c r="NLN10" s="3438"/>
      <c r="NLO10" s="3438"/>
      <c r="NLP10" s="3438"/>
      <c r="NLQ10" s="3438"/>
      <c r="NLR10" s="3438"/>
      <c r="NLS10" s="3438"/>
      <c r="NLT10" s="3438"/>
      <c r="NLU10" s="3438"/>
      <c r="NLV10" s="3438"/>
      <c r="NLW10" s="3438"/>
      <c r="NLX10" s="3438"/>
      <c r="NLY10" s="3438"/>
      <c r="NLZ10" s="3438"/>
      <c r="NMA10" s="3438"/>
      <c r="NMB10" s="3438"/>
      <c r="NMC10" s="3438"/>
      <c r="NMD10" s="3438"/>
      <c r="NME10" s="3438"/>
      <c r="NMF10" s="3438"/>
      <c r="NMG10" s="3438"/>
      <c r="NMH10" s="3438"/>
      <c r="NMI10" s="3438"/>
      <c r="NMJ10" s="3438"/>
      <c r="NMK10" s="3438"/>
      <c r="NML10" s="3438"/>
      <c r="NMM10" s="3438"/>
      <c r="NMN10" s="3438"/>
      <c r="NMO10" s="3438"/>
      <c r="NMP10" s="3438"/>
      <c r="NMQ10" s="3438"/>
      <c r="NMR10" s="3438"/>
      <c r="NMS10" s="3438"/>
      <c r="NMT10" s="3438"/>
      <c r="NMU10" s="3438"/>
      <c r="NMV10" s="3438"/>
      <c r="NMW10" s="3438"/>
      <c r="NMX10" s="3438"/>
      <c r="NMY10" s="3438"/>
      <c r="NMZ10" s="3438"/>
      <c r="NNA10" s="3438"/>
      <c r="NNB10" s="3438"/>
      <c r="NNC10" s="3438"/>
      <c r="NND10" s="3438"/>
      <c r="NNE10" s="3438"/>
      <c r="NNF10" s="3438"/>
      <c r="NNG10" s="3438"/>
      <c r="NNH10" s="3438"/>
      <c r="NNI10" s="3438"/>
      <c r="NNJ10" s="3438"/>
      <c r="NNK10" s="3438"/>
      <c r="NNL10" s="3438"/>
      <c r="NNM10" s="3438"/>
      <c r="NNN10" s="3438"/>
      <c r="NNO10" s="3438"/>
      <c r="NNP10" s="3438"/>
      <c r="NNQ10" s="3438"/>
      <c r="NNR10" s="3438"/>
      <c r="NNS10" s="3438"/>
      <c r="NNT10" s="3438"/>
      <c r="NNU10" s="3438"/>
      <c r="NNV10" s="3438"/>
      <c r="NNW10" s="3438"/>
      <c r="NNX10" s="3438"/>
      <c r="NNY10" s="3438"/>
      <c r="NNZ10" s="3438"/>
      <c r="NOA10" s="3438"/>
      <c r="NOB10" s="3438"/>
      <c r="NOC10" s="3438"/>
      <c r="NOD10" s="3438"/>
      <c r="NOE10" s="3438"/>
      <c r="NOF10" s="3438"/>
      <c r="NOG10" s="3438"/>
      <c r="NOH10" s="3438"/>
      <c r="NOI10" s="3438"/>
      <c r="NOJ10" s="3438"/>
      <c r="NOK10" s="3438"/>
      <c r="NOL10" s="3438"/>
      <c r="NOM10" s="3438"/>
      <c r="NON10" s="3438"/>
      <c r="NOO10" s="3438"/>
      <c r="NOP10" s="3438"/>
      <c r="NOQ10" s="3438"/>
      <c r="NOR10" s="3438"/>
      <c r="NOS10" s="3438"/>
      <c r="NOT10" s="3438"/>
      <c r="NOU10" s="3438"/>
      <c r="NOV10" s="3438"/>
      <c r="NOW10" s="3438"/>
      <c r="NOX10" s="3438"/>
      <c r="NOY10" s="3438"/>
      <c r="NOZ10" s="3438"/>
      <c r="NPA10" s="3438"/>
      <c r="NPB10" s="3438"/>
      <c r="NPC10" s="3438"/>
      <c r="NPD10" s="3438"/>
      <c r="NPE10" s="3438"/>
      <c r="NPF10" s="3438"/>
      <c r="NPG10" s="3438"/>
      <c r="NPH10" s="3438"/>
      <c r="NPI10" s="3438"/>
      <c r="NPJ10" s="3438"/>
      <c r="NPK10" s="3438"/>
      <c r="NPL10" s="3438"/>
      <c r="NPM10" s="3438"/>
      <c r="NPN10" s="3438"/>
      <c r="NPO10" s="3438"/>
      <c r="NPP10" s="3438"/>
      <c r="NPQ10" s="3438"/>
      <c r="NPR10" s="3438"/>
      <c r="NPS10" s="3438"/>
      <c r="NPT10" s="3438"/>
      <c r="NPU10" s="3438"/>
      <c r="NPV10" s="3438"/>
      <c r="NPW10" s="3438"/>
      <c r="NPX10" s="3438"/>
      <c r="NPY10" s="3438"/>
      <c r="NPZ10" s="3438"/>
      <c r="NQA10" s="3438"/>
      <c r="NQB10" s="3438"/>
      <c r="NQC10" s="3438"/>
      <c r="NQD10" s="3438"/>
      <c r="NQE10" s="3438"/>
      <c r="NQF10" s="3438"/>
      <c r="NQG10" s="3438"/>
      <c r="NQH10" s="3438"/>
      <c r="NQI10" s="3438"/>
      <c r="NQJ10" s="3438"/>
      <c r="NQK10" s="3438"/>
      <c r="NQL10" s="3438"/>
      <c r="NQM10" s="3438"/>
      <c r="NQN10" s="3438"/>
      <c r="NQO10" s="3438"/>
      <c r="NQP10" s="3438"/>
      <c r="NQQ10" s="3438"/>
      <c r="NQR10" s="3438"/>
      <c r="NQS10" s="3438"/>
      <c r="NQT10" s="3438"/>
      <c r="NQU10" s="3438"/>
      <c r="NQV10" s="3438"/>
      <c r="NQW10" s="3438"/>
      <c r="NQX10" s="3438"/>
      <c r="NQY10" s="3438"/>
      <c r="NQZ10" s="3438"/>
      <c r="NRA10" s="3438"/>
      <c r="NRB10" s="3438"/>
      <c r="NRC10" s="3438"/>
      <c r="NRD10" s="3438"/>
      <c r="NRE10" s="3438"/>
      <c r="NRF10" s="3438"/>
      <c r="NRG10" s="3438"/>
      <c r="NRH10" s="3438"/>
      <c r="NRI10" s="3438"/>
      <c r="NRJ10" s="3438"/>
      <c r="NRK10" s="3438"/>
      <c r="NRL10" s="3438"/>
      <c r="NRM10" s="3438"/>
      <c r="NRN10" s="3438"/>
      <c r="NRO10" s="3438"/>
      <c r="NRP10" s="3438"/>
      <c r="NRQ10" s="3438"/>
      <c r="NRR10" s="3438"/>
      <c r="NRS10" s="3438"/>
      <c r="NRT10" s="3438"/>
      <c r="NRU10" s="3438"/>
      <c r="NRV10" s="3438"/>
      <c r="NRW10" s="3438"/>
      <c r="NRX10" s="3438"/>
      <c r="NRY10" s="3438"/>
      <c r="NRZ10" s="3438"/>
      <c r="NSA10" s="3438"/>
      <c r="NSB10" s="3438"/>
      <c r="NSC10" s="3438"/>
      <c r="NSD10" s="3438"/>
      <c r="NSE10" s="3438"/>
      <c r="NSF10" s="3438"/>
      <c r="NSG10" s="3438"/>
      <c r="NSH10" s="3438"/>
      <c r="NSI10" s="3438"/>
      <c r="NSJ10" s="3438"/>
      <c r="NSK10" s="3438"/>
      <c r="NSL10" s="3438"/>
      <c r="NSM10" s="3438"/>
      <c r="NSN10" s="3438"/>
      <c r="NSO10" s="3438"/>
      <c r="NSP10" s="3438"/>
      <c r="NSQ10" s="3438"/>
      <c r="NSR10" s="3438"/>
      <c r="NSS10" s="3438"/>
      <c r="NST10" s="3438"/>
      <c r="NSU10" s="3438"/>
      <c r="NSV10" s="3438"/>
      <c r="NSW10" s="3438"/>
      <c r="NSX10" s="3438"/>
      <c r="NSY10" s="3438"/>
      <c r="NSZ10" s="3438"/>
      <c r="NTA10" s="3438"/>
      <c r="NTB10" s="3438"/>
      <c r="NTC10" s="3438"/>
      <c r="NTD10" s="3438"/>
      <c r="NTE10" s="3438"/>
      <c r="NTF10" s="3438"/>
      <c r="NTG10" s="3438"/>
      <c r="NTH10" s="3438"/>
      <c r="NTI10" s="3438"/>
      <c r="NTJ10" s="3438"/>
      <c r="NTK10" s="3438"/>
      <c r="NTL10" s="3438"/>
      <c r="NTM10" s="3438"/>
      <c r="NTN10" s="3438"/>
      <c r="NTO10" s="3438"/>
      <c r="NTP10" s="3438"/>
      <c r="NTQ10" s="3438"/>
      <c r="NTR10" s="3438"/>
      <c r="NTS10" s="3438"/>
      <c r="NTT10" s="3438"/>
      <c r="NTU10" s="3438"/>
      <c r="NTV10" s="3438"/>
      <c r="NTW10" s="3438"/>
      <c r="NTX10" s="3438"/>
      <c r="NTY10" s="3438"/>
      <c r="NTZ10" s="3438"/>
      <c r="NUA10" s="3438"/>
      <c r="NUB10" s="3438"/>
      <c r="NUC10" s="3438"/>
      <c r="NUD10" s="3438"/>
      <c r="NUE10" s="3438"/>
      <c r="NUF10" s="3438"/>
      <c r="NUG10" s="3438"/>
      <c r="NUH10" s="3438"/>
      <c r="NUI10" s="3438"/>
      <c r="NUJ10" s="3438"/>
      <c r="NUK10" s="3438"/>
      <c r="NUL10" s="3438"/>
      <c r="NUM10" s="3438"/>
      <c r="NUN10" s="3438"/>
      <c r="NUO10" s="3438"/>
      <c r="NUP10" s="3438"/>
      <c r="NUQ10" s="3438"/>
      <c r="NUR10" s="3438"/>
      <c r="NUS10" s="3438"/>
      <c r="NUT10" s="3438"/>
      <c r="NUU10" s="3438"/>
      <c r="NUV10" s="3438"/>
      <c r="NUW10" s="3438"/>
      <c r="NUX10" s="3438"/>
      <c r="NUY10" s="3438"/>
      <c r="NUZ10" s="3438"/>
      <c r="NVA10" s="3438"/>
      <c r="NVB10" s="3438"/>
      <c r="NVC10" s="3438"/>
      <c r="NVD10" s="3438"/>
      <c r="NVE10" s="3438"/>
      <c r="NVF10" s="3438"/>
      <c r="NVG10" s="3438"/>
      <c r="NVH10" s="3438"/>
      <c r="NVI10" s="3438"/>
      <c r="NVJ10" s="3438"/>
      <c r="NVK10" s="3438"/>
      <c r="NVL10" s="3438"/>
      <c r="NVM10" s="3438"/>
      <c r="NVN10" s="3438"/>
      <c r="NVO10" s="3438"/>
      <c r="NVP10" s="3438"/>
      <c r="NVQ10" s="3438"/>
      <c r="NVR10" s="3438"/>
      <c r="NVS10" s="3438"/>
      <c r="NVT10" s="3438"/>
      <c r="NVU10" s="3438"/>
      <c r="NVV10" s="3438"/>
      <c r="NVW10" s="3438"/>
      <c r="NVX10" s="3438"/>
      <c r="NVY10" s="3438"/>
      <c r="NVZ10" s="3438"/>
      <c r="NWA10" s="3438"/>
      <c r="NWB10" s="3438"/>
      <c r="NWC10" s="3438"/>
      <c r="NWD10" s="3438"/>
      <c r="NWE10" s="3438"/>
      <c r="NWF10" s="3438"/>
      <c r="NWG10" s="3438"/>
      <c r="NWH10" s="3438"/>
      <c r="NWI10" s="3438"/>
      <c r="NWJ10" s="3438"/>
      <c r="NWK10" s="3438"/>
      <c r="NWL10" s="3438"/>
      <c r="NWM10" s="3438"/>
      <c r="NWN10" s="3438"/>
      <c r="NWO10" s="3438"/>
      <c r="NWP10" s="3438"/>
      <c r="NWQ10" s="3438"/>
      <c r="NWR10" s="3438"/>
      <c r="NWS10" s="3438"/>
      <c r="NWT10" s="3438"/>
      <c r="NWU10" s="3438"/>
      <c r="NWV10" s="3438"/>
      <c r="NWW10" s="3438"/>
      <c r="NWX10" s="3438"/>
      <c r="NWY10" s="3438"/>
      <c r="NWZ10" s="3438"/>
      <c r="NXA10" s="3438"/>
      <c r="NXB10" s="3438"/>
      <c r="NXC10" s="3438"/>
      <c r="NXD10" s="3438"/>
      <c r="NXE10" s="3438"/>
      <c r="NXF10" s="3438"/>
      <c r="NXG10" s="3438"/>
      <c r="NXH10" s="3438"/>
      <c r="NXI10" s="3438"/>
      <c r="NXJ10" s="3438"/>
      <c r="NXK10" s="3438"/>
      <c r="NXL10" s="3438"/>
      <c r="NXM10" s="3438"/>
      <c r="NXN10" s="3438"/>
      <c r="NXO10" s="3438"/>
      <c r="NXP10" s="3438"/>
      <c r="NXQ10" s="3438"/>
      <c r="NXR10" s="3438"/>
      <c r="NXS10" s="3438"/>
      <c r="NXT10" s="3438"/>
      <c r="NXU10" s="3438"/>
      <c r="NXV10" s="3438"/>
      <c r="NXW10" s="3438"/>
      <c r="NXX10" s="3438"/>
      <c r="NXY10" s="3438"/>
      <c r="NXZ10" s="3438"/>
      <c r="NYA10" s="3438"/>
      <c r="NYB10" s="3438"/>
      <c r="NYC10" s="3438"/>
      <c r="NYD10" s="3438"/>
      <c r="NYE10" s="3438"/>
      <c r="NYF10" s="3438"/>
      <c r="NYG10" s="3438"/>
      <c r="NYH10" s="3438"/>
      <c r="NYI10" s="3438"/>
      <c r="NYJ10" s="3438"/>
      <c r="NYK10" s="3438"/>
      <c r="NYL10" s="3438"/>
      <c r="NYM10" s="3438"/>
      <c r="NYN10" s="3438"/>
      <c r="NYO10" s="3438"/>
      <c r="NYP10" s="3438"/>
      <c r="NYQ10" s="3438"/>
      <c r="NYR10" s="3438"/>
      <c r="NYS10" s="3438"/>
      <c r="NYT10" s="3438"/>
      <c r="NYU10" s="3438"/>
      <c r="NYV10" s="3438"/>
      <c r="NYW10" s="3438"/>
      <c r="NYX10" s="3438"/>
      <c r="NYY10" s="3438"/>
      <c r="NYZ10" s="3438"/>
      <c r="NZA10" s="3438"/>
      <c r="NZB10" s="3438"/>
      <c r="NZC10" s="3438"/>
      <c r="NZD10" s="3438"/>
      <c r="NZE10" s="3438"/>
      <c r="NZF10" s="3438"/>
      <c r="NZG10" s="3438"/>
      <c r="NZH10" s="3438"/>
      <c r="NZI10" s="3438"/>
      <c r="NZJ10" s="3438"/>
      <c r="NZK10" s="3438"/>
      <c r="NZL10" s="3438"/>
      <c r="NZM10" s="3438"/>
      <c r="NZN10" s="3438"/>
      <c r="NZO10" s="3438"/>
      <c r="NZP10" s="3438"/>
      <c r="NZQ10" s="3438"/>
      <c r="NZR10" s="3438"/>
      <c r="NZS10" s="3438"/>
      <c r="NZT10" s="3438"/>
      <c r="NZU10" s="3438"/>
      <c r="NZV10" s="3438"/>
      <c r="NZW10" s="3438"/>
      <c r="NZX10" s="3438"/>
      <c r="NZY10" s="3438"/>
      <c r="NZZ10" s="3438"/>
      <c r="OAA10" s="3438"/>
      <c r="OAB10" s="3438"/>
      <c r="OAC10" s="3438"/>
      <c r="OAD10" s="3438"/>
      <c r="OAE10" s="3438"/>
      <c r="OAF10" s="3438"/>
      <c r="OAG10" s="3438"/>
      <c r="OAH10" s="3438"/>
      <c r="OAI10" s="3438"/>
      <c r="OAJ10" s="3438"/>
      <c r="OAK10" s="3438"/>
      <c r="OAL10" s="3438"/>
      <c r="OAM10" s="3438"/>
      <c r="OAN10" s="3438"/>
      <c r="OAO10" s="3438"/>
      <c r="OAP10" s="3438"/>
      <c r="OAQ10" s="3438"/>
      <c r="OAR10" s="3438"/>
      <c r="OAS10" s="3438"/>
      <c r="OAT10" s="3438"/>
      <c r="OAU10" s="3438"/>
      <c r="OAV10" s="3438"/>
      <c r="OAW10" s="3438"/>
      <c r="OAX10" s="3438"/>
      <c r="OAY10" s="3438"/>
      <c r="OAZ10" s="3438"/>
      <c r="OBA10" s="3438"/>
      <c r="OBB10" s="3438"/>
      <c r="OBC10" s="3438"/>
      <c r="OBD10" s="3438"/>
      <c r="OBE10" s="3438"/>
      <c r="OBF10" s="3438"/>
      <c r="OBG10" s="3438"/>
      <c r="OBH10" s="3438"/>
      <c r="OBI10" s="3438"/>
      <c r="OBJ10" s="3438"/>
      <c r="OBK10" s="3438"/>
      <c r="OBL10" s="3438"/>
      <c r="OBM10" s="3438"/>
      <c r="OBN10" s="3438"/>
      <c r="OBO10" s="3438"/>
      <c r="OBP10" s="3438"/>
      <c r="OBQ10" s="3438"/>
      <c r="OBR10" s="3438"/>
      <c r="OBS10" s="3438"/>
      <c r="OBT10" s="3438"/>
      <c r="OBU10" s="3438"/>
      <c r="OBV10" s="3438"/>
      <c r="OBW10" s="3438"/>
      <c r="OBX10" s="3438"/>
      <c r="OBY10" s="3438"/>
      <c r="OBZ10" s="3438"/>
      <c r="OCA10" s="3438"/>
      <c r="OCB10" s="3438"/>
      <c r="OCC10" s="3438"/>
      <c r="OCD10" s="3438"/>
      <c r="OCE10" s="3438"/>
      <c r="OCF10" s="3438"/>
      <c r="OCG10" s="3438"/>
      <c r="OCH10" s="3438"/>
      <c r="OCI10" s="3438"/>
      <c r="OCJ10" s="3438"/>
      <c r="OCK10" s="3438"/>
      <c r="OCL10" s="3438"/>
      <c r="OCM10" s="3438"/>
      <c r="OCN10" s="3438"/>
      <c r="OCO10" s="3438"/>
      <c r="OCP10" s="3438"/>
      <c r="OCQ10" s="3438"/>
      <c r="OCR10" s="3438"/>
      <c r="OCS10" s="3438"/>
      <c r="OCT10" s="3438"/>
      <c r="OCU10" s="3438"/>
      <c r="OCV10" s="3438"/>
      <c r="OCW10" s="3438"/>
      <c r="OCX10" s="3438"/>
      <c r="OCY10" s="3438"/>
      <c r="OCZ10" s="3438"/>
      <c r="ODA10" s="3438"/>
      <c r="ODB10" s="3438"/>
      <c r="ODC10" s="3438"/>
      <c r="ODD10" s="3438"/>
      <c r="ODE10" s="3438"/>
      <c r="ODF10" s="3438"/>
      <c r="ODG10" s="3438"/>
      <c r="ODH10" s="3438"/>
      <c r="ODI10" s="3438"/>
      <c r="ODJ10" s="3438"/>
      <c r="ODK10" s="3438"/>
      <c r="ODL10" s="3438"/>
      <c r="ODM10" s="3438"/>
      <c r="ODN10" s="3438"/>
      <c r="ODO10" s="3438"/>
      <c r="ODP10" s="3438"/>
      <c r="ODQ10" s="3438"/>
      <c r="ODR10" s="3438"/>
      <c r="ODS10" s="3438"/>
      <c r="ODT10" s="3438"/>
      <c r="ODU10" s="3438"/>
      <c r="ODV10" s="3438"/>
      <c r="ODW10" s="3438"/>
      <c r="ODX10" s="3438"/>
      <c r="ODY10" s="3438"/>
      <c r="ODZ10" s="3438"/>
      <c r="OEA10" s="3438"/>
      <c r="OEB10" s="3438"/>
      <c r="OEC10" s="3438"/>
      <c r="OED10" s="3438"/>
      <c r="OEE10" s="3438"/>
      <c r="OEF10" s="3438"/>
      <c r="OEG10" s="3438"/>
      <c r="OEH10" s="3438"/>
      <c r="OEI10" s="3438"/>
      <c r="OEJ10" s="3438"/>
      <c r="OEK10" s="3438"/>
      <c r="OEL10" s="3438"/>
      <c r="OEM10" s="3438"/>
      <c r="OEN10" s="3438"/>
      <c r="OEO10" s="3438"/>
      <c r="OEP10" s="3438"/>
      <c r="OEQ10" s="3438"/>
      <c r="OER10" s="3438"/>
      <c r="OES10" s="3438"/>
      <c r="OET10" s="3438"/>
      <c r="OEU10" s="3438"/>
      <c r="OEV10" s="3438"/>
      <c r="OEW10" s="3438"/>
      <c r="OEX10" s="3438"/>
      <c r="OEY10" s="3438"/>
      <c r="OEZ10" s="3438"/>
      <c r="OFA10" s="3438"/>
      <c r="OFB10" s="3438"/>
      <c r="OFC10" s="3438"/>
      <c r="OFD10" s="3438"/>
      <c r="OFE10" s="3438"/>
      <c r="OFF10" s="3438"/>
      <c r="OFG10" s="3438"/>
      <c r="OFH10" s="3438"/>
      <c r="OFI10" s="3438"/>
      <c r="OFJ10" s="3438"/>
      <c r="OFK10" s="3438"/>
      <c r="OFL10" s="3438"/>
      <c r="OFM10" s="3438"/>
      <c r="OFN10" s="3438"/>
      <c r="OFO10" s="3438"/>
      <c r="OFP10" s="3438"/>
      <c r="OFQ10" s="3438"/>
      <c r="OFR10" s="3438"/>
      <c r="OFS10" s="3438"/>
      <c r="OFT10" s="3438"/>
      <c r="OFU10" s="3438"/>
      <c r="OFV10" s="3438"/>
      <c r="OFW10" s="3438"/>
      <c r="OFX10" s="3438"/>
      <c r="OFY10" s="3438"/>
      <c r="OFZ10" s="3438"/>
      <c r="OGA10" s="3438"/>
      <c r="OGB10" s="3438"/>
      <c r="OGC10" s="3438"/>
      <c r="OGD10" s="3438"/>
      <c r="OGE10" s="3438"/>
      <c r="OGF10" s="3438"/>
      <c r="OGG10" s="3438"/>
      <c r="OGH10" s="3438"/>
      <c r="OGI10" s="3438"/>
      <c r="OGJ10" s="3438"/>
      <c r="OGK10" s="3438"/>
      <c r="OGL10" s="3438"/>
      <c r="OGM10" s="3438"/>
      <c r="OGN10" s="3438"/>
      <c r="OGO10" s="3438"/>
      <c r="OGP10" s="3438"/>
      <c r="OGQ10" s="3438"/>
      <c r="OGR10" s="3438"/>
      <c r="OGS10" s="3438"/>
      <c r="OGT10" s="3438"/>
      <c r="OGU10" s="3438"/>
      <c r="OGV10" s="3438"/>
      <c r="OGW10" s="3438"/>
      <c r="OGX10" s="3438"/>
      <c r="OGY10" s="3438"/>
      <c r="OGZ10" s="3438"/>
      <c r="OHA10" s="3438"/>
      <c r="OHB10" s="3438"/>
      <c r="OHC10" s="3438"/>
      <c r="OHD10" s="3438"/>
      <c r="OHE10" s="3438"/>
      <c r="OHF10" s="3438"/>
      <c r="OHG10" s="3438"/>
      <c r="OHH10" s="3438"/>
      <c r="OHI10" s="3438"/>
      <c r="OHJ10" s="3438"/>
      <c r="OHK10" s="3438"/>
      <c r="OHL10" s="3438"/>
      <c r="OHM10" s="3438"/>
      <c r="OHN10" s="3438"/>
      <c r="OHO10" s="3438"/>
      <c r="OHP10" s="3438"/>
      <c r="OHQ10" s="3438"/>
      <c r="OHR10" s="3438"/>
      <c r="OHS10" s="3438"/>
      <c r="OHT10" s="3438"/>
      <c r="OHU10" s="3438"/>
      <c r="OHV10" s="3438"/>
      <c r="OHW10" s="3438"/>
      <c r="OHX10" s="3438"/>
      <c r="OHY10" s="3438"/>
      <c r="OHZ10" s="3438"/>
      <c r="OIA10" s="3438"/>
      <c r="OIB10" s="3438"/>
      <c r="OIC10" s="3438"/>
      <c r="OID10" s="3438"/>
      <c r="OIE10" s="3438"/>
      <c r="OIF10" s="3438"/>
      <c r="OIG10" s="3438"/>
      <c r="OIH10" s="3438"/>
      <c r="OII10" s="3438"/>
      <c r="OIJ10" s="3438"/>
      <c r="OIK10" s="3438"/>
      <c r="OIL10" s="3438"/>
      <c r="OIM10" s="3438"/>
      <c r="OIN10" s="3438"/>
      <c r="OIO10" s="3438"/>
      <c r="OIP10" s="3438"/>
      <c r="OIQ10" s="3438"/>
      <c r="OIR10" s="3438"/>
      <c r="OIS10" s="3438"/>
      <c r="OIT10" s="3438"/>
      <c r="OIU10" s="3438"/>
      <c r="OIV10" s="3438"/>
      <c r="OIW10" s="3438"/>
      <c r="OIX10" s="3438"/>
      <c r="OIY10" s="3438"/>
      <c r="OIZ10" s="3438"/>
      <c r="OJA10" s="3438"/>
      <c r="OJB10" s="3438"/>
      <c r="OJC10" s="3438"/>
      <c r="OJD10" s="3438"/>
      <c r="OJE10" s="3438"/>
      <c r="OJF10" s="3438"/>
      <c r="OJG10" s="3438"/>
      <c r="OJH10" s="3438"/>
      <c r="OJI10" s="3438"/>
      <c r="OJJ10" s="3438"/>
      <c r="OJK10" s="3438"/>
      <c r="OJL10" s="3438"/>
      <c r="OJM10" s="3438"/>
      <c r="OJN10" s="3438"/>
      <c r="OJO10" s="3438"/>
      <c r="OJP10" s="3438"/>
      <c r="OJQ10" s="3438"/>
      <c r="OJR10" s="3438"/>
      <c r="OJS10" s="3438"/>
      <c r="OJT10" s="3438"/>
      <c r="OJU10" s="3438"/>
      <c r="OJV10" s="3438"/>
      <c r="OJW10" s="3438"/>
      <c r="OJX10" s="3438"/>
      <c r="OJY10" s="3438"/>
      <c r="OJZ10" s="3438"/>
      <c r="OKA10" s="3438"/>
      <c r="OKB10" s="3438"/>
      <c r="OKC10" s="3438"/>
      <c r="OKD10" s="3438"/>
      <c r="OKE10" s="3438"/>
      <c r="OKF10" s="3438"/>
      <c r="OKG10" s="3438"/>
      <c r="OKH10" s="3438"/>
      <c r="OKI10" s="3438"/>
      <c r="OKJ10" s="3438"/>
      <c r="OKK10" s="3438"/>
      <c r="OKL10" s="3438"/>
      <c r="OKM10" s="3438"/>
      <c r="OKN10" s="3438"/>
      <c r="OKO10" s="3438"/>
      <c r="OKP10" s="3438"/>
      <c r="OKQ10" s="3438"/>
      <c r="OKR10" s="3438"/>
      <c r="OKS10" s="3438"/>
      <c r="OKT10" s="3438"/>
      <c r="OKU10" s="3438"/>
      <c r="OKV10" s="3438"/>
      <c r="OKW10" s="3438"/>
      <c r="OKX10" s="3438"/>
      <c r="OKY10" s="3438"/>
      <c r="OKZ10" s="3438"/>
      <c r="OLA10" s="3438"/>
      <c r="OLB10" s="3438"/>
      <c r="OLC10" s="3438"/>
      <c r="OLD10" s="3438"/>
      <c r="OLE10" s="3438"/>
      <c r="OLF10" s="3438"/>
      <c r="OLG10" s="3438"/>
      <c r="OLH10" s="3438"/>
      <c r="OLI10" s="3438"/>
      <c r="OLJ10" s="3438"/>
      <c r="OLK10" s="3438"/>
      <c r="OLL10" s="3438"/>
      <c r="OLM10" s="3438"/>
      <c r="OLN10" s="3438"/>
      <c r="OLO10" s="3438"/>
      <c r="OLP10" s="3438"/>
      <c r="OLQ10" s="3438"/>
      <c r="OLR10" s="3438"/>
      <c r="OLS10" s="3438"/>
      <c r="OLT10" s="3438"/>
      <c r="OLU10" s="3438"/>
      <c r="OLV10" s="3438"/>
      <c r="OLW10" s="3438"/>
      <c r="OLX10" s="3438"/>
      <c r="OLY10" s="3438"/>
      <c r="OLZ10" s="3438"/>
      <c r="OMA10" s="3438"/>
      <c r="OMB10" s="3438"/>
      <c r="OMC10" s="3438"/>
      <c r="OMD10" s="3438"/>
      <c r="OME10" s="3438"/>
      <c r="OMF10" s="3438"/>
      <c r="OMG10" s="3438"/>
      <c r="OMH10" s="3438"/>
      <c r="OMI10" s="3438"/>
      <c r="OMJ10" s="3438"/>
      <c r="OMK10" s="3438"/>
      <c r="OML10" s="3438"/>
      <c r="OMM10" s="3438"/>
      <c r="OMN10" s="3438"/>
      <c r="OMO10" s="3438"/>
      <c r="OMP10" s="3438"/>
      <c r="OMQ10" s="3438"/>
      <c r="OMR10" s="3438"/>
      <c r="OMS10" s="3438"/>
      <c r="OMT10" s="3438"/>
      <c r="OMU10" s="3438"/>
      <c r="OMV10" s="3438"/>
      <c r="OMW10" s="3438"/>
      <c r="OMX10" s="3438"/>
      <c r="OMY10" s="3438"/>
      <c r="OMZ10" s="3438"/>
      <c r="ONA10" s="3438"/>
      <c r="ONB10" s="3438"/>
      <c r="ONC10" s="3438"/>
      <c r="OND10" s="3438"/>
      <c r="ONE10" s="3438"/>
      <c r="ONF10" s="3438"/>
      <c r="ONG10" s="3438"/>
      <c r="ONH10" s="3438"/>
      <c r="ONI10" s="3438"/>
      <c r="ONJ10" s="3438"/>
      <c r="ONK10" s="3438"/>
      <c r="ONL10" s="3438"/>
      <c r="ONM10" s="3438"/>
      <c r="ONN10" s="3438"/>
      <c r="ONO10" s="3438"/>
      <c r="ONP10" s="3438"/>
      <c r="ONQ10" s="3438"/>
      <c r="ONR10" s="3438"/>
      <c r="ONS10" s="3438"/>
      <c r="ONT10" s="3438"/>
      <c r="ONU10" s="3438"/>
      <c r="ONV10" s="3438"/>
      <c r="ONW10" s="3438"/>
      <c r="ONX10" s="3438"/>
      <c r="ONY10" s="3438"/>
      <c r="ONZ10" s="3438"/>
      <c r="OOA10" s="3438"/>
      <c r="OOB10" s="3438"/>
      <c r="OOC10" s="3438"/>
      <c r="OOD10" s="3438"/>
      <c r="OOE10" s="3438"/>
      <c r="OOF10" s="3438"/>
      <c r="OOG10" s="3438"/>
      <c r="OOH10" s="3438"/>
      <c r="OOI10" s="3438"/>
      <c r="OOJ10" s="3438"/>
      <c r="OOK10" s="3438"/>
      <c r="OOL10" s="3438"/>
      <c r="OOM10" s="3438"/>
      <c r="OON10" s="3438"/>
      <c r="OOO10" s="3438"/>
      <c r="OOP10" s="3438"/>
      <c r="OOQ10" s="3438"/>
      <c r="OOR10" s="3438"/>
      <c r="OOS10" s="3438"/>
      <c r="OOT10" s="3438"/>
      <c r="OOU10" s="3438"/>
      <c r="OOV10" s="3438"/>
      <c r="OOW10" s="3438"/>
      <c r="OOX10" s="3438"/>
      <c r="OOY10" s="3438"/>
      <c r="OOZ10" s="3438"/>
      <c r="OPA10" s="3438"/>
      <c r="OPB10" s="3438"/>
      <c r="OPC10" s="3438"/>
      <c r="OPD10" s="3438"/>
      <c r="OPE10" s="3438"/>
      <c r="OPF10" s="3438"/>
      <c r="OPG10" s="3438"/>
      <c r="OPH10" s="3438"/>
      <c r="OPI10" s="3438"/>
      <c r="OPJ10" s="3438"/>
      <c r="OPK10" s="3438"/>
      <c r="OPL10" s="3438"/>
      <c r="OPM10" s="3438"/>
      <c r="OPN10" s="3438"/>
      <c r="OPO10" s="3438"/>
      <c r="OPP10" s="3438"/>
      <c r="OPQ10" s="3438"/>
      <c r="OPR10" s="3438"/>
      <c r="OPS10" s="3438"/>
      <c r="OPT10" s="3438"/>
      <c r="OPU10" s="3438"/>
      <c r="OPV10" s="3438"/>
      <c r="OPW10" s="3438"/>
      <c r="OPX10" s="3438"/>
      <c r="OPY10" s="3438"/>
      <c r="OPZ10" s="3438"/>
      <c r="OQA10" s="3438"/>
      <c r="OQB10" s="3438"/>
      <c r="OQC10" s="3438"/>
      <c r="OQD10" s="3438"/>
      <c r="OQE10" s="3438"/>
      <c r="OQF10" s="3438"/>
      <c r="OQG10" s="3438"/>
      <c r="OQH10" s="3438"/>
      <c r="OQI10" s="3438"/>
      <c r="OQJ10" s="3438"/>
      <c r="OQK10" s="3438"/>
      <c r="OQL10" s="3438"/>
      <c r="OQM10" s="3438"/>
      <c r="OQN10" s="3438"/>
      <c r="OQO10" s="3438"/>
      <c r="OQP10" s="3438"/>
      <c r="OQQ10" s="3438"/>
      <c r="OQR10" s="3438"/>
      <c r="OQS10" s="3438"/>
      <c r="OQT10" s="3438"/>
      <c r="OQU10" s="3438"/>
      <c r="OQV10" s="3438"/>
      <c r="OQW10" s="3438"/>
      <c r="OQX10" s="3438"/>
      <c r="OQY10" s="3438"/>
      <c r="OQZ10" s="3438"/>
      <c r="ORA10" s="3438"/>
      <c r="ORB10" s="3438"/>
      <c r="ORC10" s="3438"/>
      <c r="ORD10" s="3438"/>
      <c r="ORE10" s="3438"/>
      <c r="ORF10" s="3438"/>
      <c r="ORG10" s="3438"/>
      <c r="ORH10" s="3438"/>
      <c r="ORI10" s="3438"/>
      <c r="ORJ10" s="3438"/>
      <c r="ORK10" s="3438"/>
      <c r="ORL10" s="3438"/>
      <c r="ORM10" s="3438"/>
      <c r="ORN10" s="3438"/>
      <c r="ORO10" s="3438"/>
      <c r="ORP10" s="3438"/>
      <c r="ORQ10" s="3438"/>
      <c r="ORR10" s="3438"/>
      <c r="ORS10" s="3438"/>
      <c r="ORT10" s="3438"/>
      <c r="ORU10" s="3438"/>
      <c r="ORV10" s="3438"/>
      <c r="ORW10" s="3438"/>
      <c r="ORX10" s="3438"/>
      <c r="ORY10" s="3438"/>
      <c r="ORZ10" s="3438"/>
      <c r="OSA10" s="3438"/>
      <c r="OSB10" s="3438"/>
      <c r="OSC10" s="3438"/>
      <c r="OSD10" s="3438"/>
      <c r="OSE10" s="3438"/>
      <c r="OSF10" s="3438"/>
      <c r="OSG10" s="3438"/>
      <c r="OSH10" s="3438"/>
      <c r="OSI10" s="3438"/>
      <c r="OSJ10" s="3438"/>
      <c r="OSK10" s="3438"/>
      <c r="OSL10" s="3438"/>
      <c r="OSM10" s="3438"/>
      <c r="OSN10" s="3438"/>
      <c r="OSO10" s="3438"/>
      <c r="OSP10" s="3438"/>
      <c r="OSQ10" s="3438"/>
      <c r="OSR10" s="3438"/>
      <c r="OSS10" s="3438"/>
      <c r="OST10" s="3438"/>
      <c r="OSU10" s="3438"/>
      <c r="OSV10" s="3438"/>
      <c r="OSW10" s="3438"/>
      <c r="OSX10" s="3438"/>
      <c r="OSY10" s="3438"/>
      <c r="OSZ10" s="3438"/>
      <c r="OTA10" s="3438"/>
      <c r="OTB10" s="3438"/>
      <c r="OTC10" s="3438"/>
      <c r="OTD10" s="3438"/>
      <c r="OTE10" s="3438"/>
      <c r="OTF10" s="3438"/>
      <c r="OTG10" s="3438"/>
      <c r="OTH10" s="3438"/>
      <c r="OTI10" s="3438"/>
      <c r="OTJ10" s="3438"/>
      <c r="OTK10" s="3438"/>
      <c r="OTL10" s="3438"/>
      <c r="OTM10" s="3438"/>
      <c r="OTN10" s="3438"/>
      <c r="OTO10" s="3438"/>
      <c r="OTP10" s="3438"/>
      <c r="OTQ10" s="3438"/>
      <c r="OTR10" s="3438"/>
      <c r="OTS10" s="3438"/>
      <c r="OTT10" s="3438"/>
      <c r="OTU10" s="3438"/>
      <c r="OTV10" s="3438"/>
      <c r="OTW10" s="3438"/>
      <c r="OTX10" s="3438"/>
      <c r="OTY10" s="3438"/>
      <c r="OTZ10" s="3438"/>
      <c r="OUA10" s="3438"/>
      <c r="OUB10" s="3438"/>
      <c r="OUC10" s="3438"/>
      <c r="OUD10" s="3438"/>
      <c r="OUE10" s="3438"/>
      <c r="OUF10" s="3438"/>
      <c r="OUG10" s="3438"/>
      <c r="OUH10" s="3438"/>
      <c r="OUI10" s="3438"/>
      <c r="OUJ10" s="3438"/>
      <c r="OUK10" s="3438"/>
      <c r="OUL10" s="3438"/>
      <c r="OUM10" s="3438"/>
      <c r="OUN10" s="3438"/>
      <c r="OUO10" s="3438"/>
      <c r="OUP10" s="3438"/>
      <c r="OUQ10" s="3438"/>
      <c r="OUR10" s="3438"/>
      <c r="OUS10" s="3438"/>
      <c r="OUT10" s="3438"/>
      <c r="OUU10" s="3438"/>
      <c r="OUV10" s="3438"/>
      <c r="OUW10" s="3438"/>
      <c r="OUX10" s="3438"/>
      <c r="OUY10" s="3438"/>
      <c r="OUZ10" s="3438"/>
      <c r="OVA10" s="3438"/>
      <c r="OVB10" s="3438"/>
      <c r="OVC10" s="3438"/>
      <c r="OVD10" s="3438"/>
      <c r="OVE10" s="3438"/>
      <c r="OVF10" s="3438"/>
      <c r="OVG10" s="3438"/>
      <c r="OVH10" s="3438"/>
      <c r="OVI10" s="3438"/>
      <c r="OVJ10" s="3438"/>
      <c r="OVK10" s="3438"/>
      <c r="OVL10" s="3438"/>
      <c r="OVM10" s="3438"/>
      <c r="OVN10" s="3438"/>
      <c r="OVO10" s="3438"/>
      <c r="OVP10" s="3438"/>
      <c r="OVQ10" s="3438"/>
      <c r="OVR10" s="3438"/>
      <c r="OVS10" s="3438"/>
      <c r="OVT10" s="3438"/>
      <c r="OVU10" s="3438"/>
      <c r="OVV10" s="3438"/>
      <c r="OVW10" s="3438"/>
      <c r="OVX10" s="3438"/>
      <c r="OVY10" s="3438"/>
      <c r="OVZ10" s="3438"/>
      <c r="OWA10" s="3438"/>
      <c r="OWB10" s="3438"/>
      <c r="OWC10" s="3438"/>
      <c r="OWD10" s="3438"/>
      <c r="OWE10" s="3438"/>
      <c r="OWF10" s="3438"/>
      <c r="OWG10" s="3438"/>
      <c r="OWH10" s="3438"/>
      <c r="OWI10" s="3438"/>
      <c r="OWJ10" s="3438"/>
      <c r="OWK10" s="3438"/>
      <c r="OWL10" s="3438"/>
      <c r="OWM10" s="3438"/>
      <c r="OWN10" s="3438"/>
      <c r="OWO10" s="3438"/>
      <c r="OWP10" s="3438"/>
      <c r="OWQ10" s="3438"/>
      <c r="OWR10" s="3438"/>
      <c r="OWS10" s="3438"/>
      <c r="OWT10" s="3438"/>
      <c r="OWU10" s="3438"/>
      <c r="OWV10" s="3438"/>
      <c r="OWW10" s="3438"/>
      <c r="OWX10" s="3438"/>
      <c r="OWY10" s="3438"/>
      <c r="OWZ10" s="3438"/>
      <c r="OXA10" s="3438"/>
      <c r="OXB10" s="3438"/>
      <c r="OXC10" s="3438"/>
      <c r="OXD10" s="3438"/>
      <c r="OXE10" s="3438"/>
      <c r="OXF10" s="3438"/>
      <c r="OXG10" s="3438"/>
      <c r="OXH10" s="3438"/>
      <c r="OXI10" s="3438"/>
      <c r="OXJ10" s="3438"/>
      <c r="OXK10" s="3438"/>
      <c r="OXL10" s="3438"/>
      <c r="OXM10" s="3438"/>
      <c r="OXN10" s="3438"/>
      <c r="OXO10" s="3438"/>
      <c r="OXP10" s="3438"/>
      <c r="OXQ10" s="3438"/>
      <c r="OXR10" s="3438"/>
      <c r="OXS10" s="3438"/>
      <c r="OXT10" s="3438"/>
      <c r="OXU10" s="3438"/>
      <c r="OXV10" s="3438"/>
      <c r="OXW10" s="3438"/>
      <c r="OXX10" s="3438"/>
      <c r="OXY10" s="3438"/>
      <c r="OXZ10" s="3438"/>
      <c r="OYA10" s="3438"/>
      <c r="OYB10" s="3438"/>
      <c r="OYC10" s="3438"/>
      <c r="OYD10" s="3438"/>
      <c r="OYE10" s="3438"/>
      <c r="OYF10" s="3438"/>
      <c r="OYG10" s="3438"/>
      <c r="OYH10" s="3438"/>
      <c r="OYI10" s="3438"/>
      <c r="OYJ10" s="3438"/>
      <c r="OYK10" s="3438"/>
      <c r="OYL10" s="3438"/>
      <c r="OYM10" s="3438"/>
      <c r="OYN10" s="3438"/>
      <c r="OYO10" s="3438"/>
      <c r="OYP10" s="3438"/>
      <c r="OYQ10" s="3438"/>
      <c r="OYR10" s="3438"/>
      <c r="OYS10" s="3438"/>
      <c r="OYT10" s="3438"/>
      <c r="OYU10" s="3438"/>
      <c r="OYV10" s="3438"/>
      <c r="OYW10" s="3438"/>
      <c r="OYX10" s="3438"/>
      <c r="OYY10" s="3438"/>
      <c r="OYZ10" s="3438"/>
      <c r="OZA10" s="3438"/>
      <c r="OZB10" s="3438"/>
      <c r="OZC10" s="3438"/>
      <c r="OZD10" s="3438"/>
      <c r="OZE10" s="3438"/>
      <c r="OZF10" s="3438"/>
      <c r="OZG10" s="3438"/>
      <c r="OZH10" s="3438"/>
      <c r="OZI10" s="3438"/>
      <c r="OZJ10" s="3438"/>
      <c r="OZK10" s="3438"/>
      <c r="OZL10" s="3438"/>
      <c r="OZM10" s="3438"/>
      <c r="OZN10" s="3438"/>
      <c r="OZO10" s="3438"/>
      <c r="OZP10" s="3438"/>
      <c r="OZQ10" s="3438"/>
      <c r="OZR10" s="3438"/>
      <c r="OZS10" s="3438"/>
      <c r="OZT10" s="3438"/>
      <c r="OZU10" s="3438"/>
      <c r="OZV10" s="3438"/>
      <c r="OZW10" s="3438"/>
      <c r="OZX10" s="3438"/>
      <c r="OZY10" s="3438"/>
      <c r="OZZ10" s="3438"/>
      <c r="PAA10" s="3438"/>
      <c r="PAB10" s="3438"/>
      <c r="PAC10" s="3438"/>
      <c r="PAD10" s="3438"/>
      <c r="PAE10" s="3438"/>
      <c r="PAF10" s="3438"/>
      <c r="PAG10" s="3438"/>
      <c r="PAH10" s="3438"/>
      <c r="PAI10" s="3438"/>
      <c r="PAJ10" s="3438"/>
      <c r="PAK10" s="3438"/>
      <c r="PAL10" s="3438"/>
      <c r="PAM10" s="3438"/>
      <c r="PAN10" s="3438"/>
      <c r="PAO10" s="3438"/>
      <c r="PAP10" s="3438"/>
      <c r="PAQ10" s="3438"/>
      <c r="PAR10" s="3438"/>
      <c r="PAS10" s="3438"/>
      <c r="PAT10" s="3438"/>
      <c r="PAU10" s="3438"/>
      <c r="PAV10" s="3438"/>
      <c r="PAW10" s="3438"/>
      <c r="PAX10" s="3438"/>
      <c r="PAY10" s="3438"/>
      <c r="PAZ10" s="3438"/>
      <c r="PBA10" s="3438"/>
      <c r="PBB10" s="3438"/>
      <c r="PBC10" s="3438"/>
      <c r="PBD10" s="3438"/>
      <c r="PBE10" s="3438"/>
      <c r="PBF10" s="3438"/>
      <c r="PBG10" s="3438"/>
      <c r="PBH10" s="3438"/>
      <c r="PBI10" s="3438"/>
      <c r="PBJ10" s="3438"/>
      <c r="PBK10" s="3438"/>
      <c r="PBL10" s="3438"/>
      <c r="PBM10" s="3438"/>
      <c r="PBN10" s="3438"/>
      <c r="PBO10" s="3438"/>
      <c r="PBP10" s="3438"/>
      <c r="PBQ10" s="3438"/>
      <c r="PBR10" s="3438"/>
      <c r="PBS10" s="3438"/>
      <c r="PBT10" s="3438"/>
      <c r="PBU10" s="3438"/>
      <c r="PBV10" s="3438"/>
      <c r="PBW10" s="3438"/>
      <c r="PBX10" s="3438"/>
      <c r="PBY10" s="3438"/>
      <c r="PBZ10" s="3438"/>
      <c r="PCA10" s="3438"/>
      <c r="PCB10" s="3438"/>
      <c r="PCC10" s="3438"/>
      <c r="PCD10" s="3438"/>
      <c r="PCE10" s="3438"/>
      <c r="PCF10" s="3438"/>
      <c r="PCG10" s="3438"/>
      <c r="PCH10" s="3438"/>
      <c r="PCI10" s="3438"/>
      <c r="PCJ10" s="3438"/>
      <c r="PCK10" s="3438"/>
      <c r="PCL10" s="3438"/>
      <c r="PCM10" s="3438"/>
      <c r="PCN10" s="3438"/>
      <c r="PCO10" s="3438"/>
      <c r="PCP10" s="3438"/>
      <c r="PCQ10" s="3438"/>
      <c r="PCR10" s="3438"/>
      <c r="PCS10" s="3438"/>
      <c r="PCT10" s="3438"/>
      <c r="PCU10" s="3438"/>
      <c r="PCV10" s="3438"/>
      <c r="PCW10" s="3438"/>
      <c r="PCX10" s="3438"/>
      <c r="PCY10" s="3438"/>
      <c r="PCZ10" s="3438"/>
      <c r="PDA10" s="3438"/>
      <c r="PDB10" s="3438"/>
      <c r="PDC10" s="3438"/>
      <c r="PDD10" s="3438"/>
      <c r="PDE10" s="3438"/>
      <c r="PDF10" s="3438"/>
      <c r="PDG10" s="3438"/>
      <c r="PDH10" s="3438"/>
      <c r="PDI10" s="3438"/>
      <c r="PDJ10" s="3438"/>
      <c r="PDK10" s="3438"/>
      <c r="PDL10" s="3438"/>
      <c r="PDM10" s="3438"/>
      <c r="PDN10" s="3438"/>
      <c r="PDO10" s="3438"/>
      <c r="PDP10" s="3438"/>
      <c r="PDQ10" s="3438"/>
      <c r="PDR10" s="3438"/>
      <c r="PDS10" s="3438"/>
      <c r="PDT10" s="3438"/>
      <c r="PDU10" s="3438"/>
      <c r="PDV10" s="3438"/>
      <c r="PDW10" s="3438"/>
      <c r="PDX10" s="3438"/>
      <c r="PDY10" s="3438"/>
      <c r="PDZ10" s="3438"/>
      <c r="PEA10" s="3438"/>
      <c r="PEB10" s="3438"/>
      <c r="PEC10" s="3438"/>
      <c r="PED10" s="3438"/>
      <c r="PEE10" s="3438"/>
      <c r="PEF10" s="3438"/>
      <c r="PEG10" s="3438"/>
      <c r="PEH10" s="3438"/>
      <c r="PEI10" s="3438"/>
      <c r="PEJ10" s="3438"/>
      <c r="PEK10" s="3438"/>
      <c r="PEL10" s="3438"/>
      <c r="PEM10" s="3438"/>
      <c r="PEN10" s="3438"/>
      <c r="PEO10" s="3438"/>
      <c r="PEP10" s="3438"/>
      <c r="PEQ10" s="3438"/>
      <c r="PER10" s="3438"/>
      <c r="PES10" s="3438"/>
      <c r="PET10" s="3438"/>
      <c r="PEU10" s="3438"/>
      <c r="PEV10" s="3438"/>
      <c r="PEW10" s="3438"/>
      <c r="PEX10" s="3438"/>
      <c r="PEY10" s="3438"/>
      <c r="PEZ10" s="3438"/>
      <c r="PFA10" s="3438"/>
      <c r="PFB10" s="3438"/>
      <c r="PFC10" s="3438"/>
      <c r="PFD10" s="3438"/>
      <c r="PFE10" s="3438"/>
      <c r="PFF10" s="3438"/>
      <c r="PFG10" s="3438"/>
      <c r="PFH10" s="3438"/>
      <c r="PFI10" s="3438"/>
      <c r="PFJ10" s="3438"/>
      <c r="PFK10" s="3438"/>
      <c r="PFL10" s="3438"/>
      <c r="PFM10" s="3438"/>
      <c r="PFN10" s="3438"/>
      <c r="PFO10" s="3438"/>
      <c r="PFP10" s="3438"/>
      <c r="PFQ10" s="3438"/>
      <c r="PFR10" s="3438"/>
      <c r="PFS10" s="3438"/>
      <c r="PFT10" s="3438"/>
      <c r="PFU10" s="3438"/>
      <c r="PFV10" s="3438"/>
      <c r="PFW10" s="3438"/>
      <c r="PFX10" s="3438"/>
      <c r="PFY10" s="3438"/>
      <c r="PFZ10" s="3438"/>
      <c r="PGA10" s="3438"/>
      <c r="PGB10" s="3438"/>
      <c r="PGC10" s="3438"/>
      <c r="PGD10" s="3438"/>
      <c r="PGE10" s="3438"/>
      <c r="PGF10" s="3438"/>
      <c r="PGG10" s="3438"/>
      <c r="PGH10" s="3438"/>
      <c r="PGI10" s="3438"/>
      <c r="PGJ10" s="3438"/>
      <c r="PGK10" s="3438"/>
      <c r="PGL10" s="3438"/>
      <c r="PGM10" s="3438"/>
      <c r="PGN10" s="3438"/>
      <c r="PGO10" s="3438"/>
      <c r="PGP10" s="3438"/>
      <c r="PGQ10" s="3438"/>
      <c r="PGR10" s="3438"/>
      <c r="PGS10" s="3438"/>
      <c r="PGT10" s="3438"/>
      <c r="PGU10" s="3438"/>
      <c r="PGV10" s="3438"/>
      <c r="PGW10" s="3438"/>
      <c r="PGX10" s="3438"/>
      <c r="PGY10" s="3438"/>
      <c r="PGZ10" s="3438"/>
      <c r="PHA10" s="3438"/>
      <c r="PHB10" s="3438"/>
      <c r="PHC10" s="3438"/>
      <c r="PHD10" s="3438"/>
      <c r="PHE10" s="3438"/>
      <c r="PHF10" s="3438"/>
      <c r="PHG10" s="3438"/>
      <c r="PHH10" s="3438"/>
      <c r="PHI10" s="3438"/>
      <c r="PHJ10" s="3438"/>
      <c r="PHK10" s="3438"/>
      <c r="PHL10" s="3438"/>
      <c r="PHM10" s="3438"/>
      <c r="PHN10" s="3438"/>
      <c r="PHO10" s="3438"/>
      <c r="PHP10" s="3438"/>
      <c r="PHQ10" s="3438"/>
      <c r="PHR10" s="3438"/>
      <c r="PHS10" s="3438"/>
      <c r="PHT10" s="3438"/>
      <c r="PHU10" s="3438"/>
      <c r="PHV10" s="3438"/>
      <c r="PHW10" s="3438"/>
      <c r="PHX10" s="3438"/>
      <c r="PHY10" s="3438"/>
      <c r="PHZ10" s="3438"/>
      <c r="PIA10" s="3438"/>
      <c r="PIB10" s="3438"/>
      <c r="PIC10" s="3438"/>
      <c r="PID10" s="3438"/>
      <c r="PIE10" s="3438"/>
      <c r="PIF10" s="3438"/>
      <c r="PIG10" s="3438"/>
      <c r="PIH10" s="3438"/>
      <c r="PII10" s="3438"/>
      <c r="PIJ10" s="3438"/>
      <c r="PIK10" s="3438"/>
      <c r="PIL10" s="3438"/>
      <c r="PIM10" s="3438"/>
      <c r="PIN10" s="3438"/>
      <c r="PIO10" s="3438"/>
      <c r="PIP10" s="3438"/>
      <c r="PIQ10" s="3438"/>
      <c r="PIR10" s="3438"/>
      <c r="PIS10" s="3438"/>
      <c r="PIT10" s="3438"/>
      <c r="PIU10" s="3438"/>
      <c r="PIV10" s="3438"/>
      <c r="PIW10" s="3438"/>
      <c r="PIX10" s="3438"/>
      <c r="PIY10" s="3438"/>
      <c r="PIZ10" s="3438"/>
      <c r="PJA10" s="3438"/>
      <c r="PJB10" s="3438"/>
      <c r="PJC10" s="3438"/>
      <c r="PJD10" s="3438"/>
      <c r="PJE10" s="3438"/>
      <c r="PJF10" s="3438"/>
      <c r="PJG10" s="3438"/>
      <c r="PJH10" s="3438"/>
      <c r="PJI10" s="3438"/>
      <c r="PJJ10" s="3438"/>
      <c r="PJK10" s="3438"/>
      <c r="PJL10" s="3438"/>
      <c r="PJM10" s="3438"/>
      <c r="PJN10" s="3438"/>
      <c r="PJO10" s="3438"/>
      <c r="PJP10" s="3438"/>
      <c r="PJQ10" s="3438"/>
      <c r="PJR10" s="3438"/>
      <c r="PJS10" s="3438"/>
      <c r="PJT10" s="3438"/>
      <c r="PJU10" s="3438"/>
      <c r="PJV10" s="3438"/>
      <c r="PJW10" s="3438"/>
      <c r="PJX10" s="3438"/>
      <c r="PJY10" s="3438"/>
      <c r="PJZ10" s="3438"/>
      <c r="PKA10" s="3438"/>
      <c r="PKB10" s="3438"/>
      <c r="PKC10" s="3438"/>
      <c r="PKD10" s="3438"/>
      <c r="PKE10" s="3438"/>
      <c r="PKF10" s="3438"/>
      <c r="PKG10" s="3438"/>
      <c r="PKH10" s="3438"/>
      <c r="PKI10" s="3438"/>
      <c r="PKJ10" s="3438"/>
      <c r="PKK10" s="3438"/>
      <c r="PKL10" s="3438"/>
      <c r="PKM10" s="3438"/>
      <c r="PKN10" s="3438"/>
      <c r="PKO10" s="3438"/>
      <c r="PKP10" s="3438"/>
      <c r="PKQ10" s="3438"/>
      <c r="PKR10" s="3438"/>
      <c r="PKS10" s="3438"/>
      <c r="PKT10" s="3438"/>
      <c r="PKU10" s="3438"/>
      <c r="PKV10" s="3438"/>
      <c r="PKW10" s="3438"/>
      <c r="PKX10" s="3438"/>
      <c r="PKY10" s="3438"/>
      <c r="PKZ10" s="3438"/>
      <c r="PLA10" s="3438"/>
      <c r="PLB10" s="3438"/>
      <c r="PLC10" s="3438"/>
      <c r="PLD10" s="3438"/>
      <c r="PLE10" s="3438"/>
      <c r="PLF10" s="3438"/>
      <c r="PLG10" s="3438"/>
      <c r="PLH10" s="3438"/>
      <c r="PLI10" s="3438"/>
      <c r="PLJ10" s="3438"/>
      <c r="PLK10" s="3438"/>
      <c r="PLL10" s="3438"/>
      <c r="PLM10" s="3438"/>
      <c r="PLN10" s="3438"/>
      <c r="PLO10" s="3438"/>
      <c r="PLP10" s="3438"/>
      <c r="PLQ10" s="3438"/>
      <c r="PLR10" s="3438"/>
      <c r="PLS10" s="3438"/>
      <c r="PLT10" s="3438"/>
      <c r="PLU10" s="3438"/>
      <c r="PLV10" s="3438"/>
      <c r="PLW10" s="3438"/>
      <c r="PLX10" s="3438"/>
      <c r="PLY10" s="3438"/>
      <c r="PLZ10" s="3438"/>
      <c r="PMA10" s="3438"/>
      <c r="PMB10" s="3438"/>
      <c r="PMC10" s="3438"/>
      <c r="PMD10" s="3438"/>
      <c r="PME10" s="3438"/>
      <c r="PMF10" s="3438"/>
      <c r="PMG10" s="3438"/>
      <c r="PMH10" s="3438"/>
      <c r="PMI10" s="3438"/>
      <c r="PMJ10" s="3438"/>
      <c r="PMK10" s="3438"/>
      <c r="PML10" s="3438"/>
      <c r="PMM10" s="3438"/>
      <c r="PMN10" s="3438"/>
      <c r="PMO10" s="3438"/>
      <c r="PMP10" s="3438"/>
      <c r="PMQ10" s="3438"/>
      <c r="PMR10" s="3438"/>
      <c r="PMS10" s="3438"/>
      <c r="PMT10" s="3438"/>
      <c r="PMU10" s="3438"/>
      <c r="PMV10" s="3438"/>
      <c r="PMW10" s="3438"/>
      <c r="PMX10" s="3438"/>
      <c r="PMY10" s="3438"/>
      <c r="PMZ10" s="3438"/>
      <c r="PNA10" s="3438"/>
      <c r="PNB10" s="3438"/>
      <c r="PNC10" s="3438"/>
      <c r="PND10" s="3438"/>
      <c r="PNE10" s="3438"/>
      <c r="PNF10" s="3438"/>
      <c r="PNG10" s="3438"/>
      <c r="PNH10" s="3438"/>
      <c r="PNI10" s="3438"/>
      <c r="PNJ10" s="3438"/>
      <c r="PNK10" s="3438"/>
      <c r="PNL10" s="3438"/>
      <c r="PNM10" s="3438"/>
      <c r="PNN10" s="3438"/>
      <c r="PNO10" s="3438"/>
      <c r="PNP10" s="3438"/>
      <c r="PNQ10" s="3438"/>
      <c r="PNR10" s="3438"/>
      <c r="PNS10" s="3438"/>
      <c r="PNT10" s="3438"/>
      <c r="PNU10" s="3438"/>
      <c r="PNV10" s="3438"/>
      <c r="PNW10" s="3438"/>
      <c r="PNX10" s="3438"/>
      <c r="PNY10" s="3438"/>
      <c r="PNZ10" s="3438"/>
      <c r="POA10" s="3438"/>
      <c r="POB10" s="3438"/>
      <c r="POC10" s="3438"/>
      <c r="POD10" s="3438"/>
      <c r="POE10" s="3438"/>
      <c r="POF10" s="3438"/>
      <c r="POG10" s="3438"/>
      <c r="POH10" s="3438"/>
      <c r="POI10" s="3438"/>
      <c r="POJ10" s="3438"/>
      <c r="POK10" s="3438"/>
      <c r="POL10" s="3438"/>
      <c r="POM10" s="3438"/>
      <c r="PON10" s="3438"/>
      <c r="POO10" s="3438"/>
      <c r="POP10" s="3438"/>
      <c r="POQ10" s="3438"/>
      <c r="POR10" s="3438"/>
      <c r="POS10" s="3438"/>
      <c r="POT10" s="3438"/>
      <c r="POU10" s="3438"/>
      <c r="POV10" s="3438"/>
      <c r="POW10" s="3438"/>
      <c r="POX10" s="3438"/>
      <c r="POY10" s="3438"/>
      <c r="POZ10" s="3438"/>
      <c r="PPA10" s="3438"/>
      <c r="PPB10" s="3438"/>
      <c r="PPC10" s="3438"/>
      <c r="PPD10" s="3438"/>
      <c r="PPE10" s="3438"/>
      <c r="PPF10" s="3438"/>
      <c r="PPG10" s="3438"/>
      <c r="PPH10" s="3438"/>
      <c r="PPI10" s="3438"/>
      <c r="PPJ10" s="3438"/>
      <c r="PPK10" s="3438"/>
      <c r="PPL10" s="3438"/>
      <c r="PPM10" s="3438"/>
      <c r="PPN10" s="3438"/>
      <c r="PPO10" s="3438"/>
      <c r="PPP10" s="3438"/>
      <c r="PPQ10" s="3438"/>
      <c r="PPR10" s="3438"/>
      <c r="PPS10" s="3438"/>
      <c r="PPT10" s="3438"/>
      <c r="PPU10" s="3438"/>
      <c r="PPV10" s="3438"/>
      <c r="PPW10" s="3438"/>
      <c r="PPX10" s="3438"/>
      <c r="PPY10" s="3438"/>
      <c r="PPZ10" s="3438"/>
      <c r="PQA10" s="3438"/>
      <c r="PQB10" s="3438"/>
      <c r="PQC10" s="3438"/>
      <c r="PQD10" s="3438"/>
      <c r="PQE10" s="3438"/>
      <c r="PQF10" s="3438"/>
      <c r="PQG10" s="3438"/>
      <c r="PQH10" s="3438"/>
      <c r="PQI10" s="3438"/>
      <c r="PQJ10" s="3438"/>
      <c r="PQK10" s="3438"/>
      <c r="PQL10" s="3438"/>
      <c r="PQM10" s="3438"/>
      <c r="PQN10" s="3438"/>
      <c r="PQO10" s="3438"/>
      <c r="PQP10" s="3438"/>
      <c r="PQQ10" s="3438"/>
      <c r="PQR10" s="3438"/>
      <c r="PQS10" s="3438"/>
      <c r="PQT10" s="3438"/>
      <c r="PQU10" s="3438"/>
      <c r="PQV10" s="3438"/>
      <c r="PQW10" s="3438"/>
      <c r="PQX10" s="3438"/>
      <c r="PQY10" s="3438"/>
      <c r="PQZ10" s="3438"/>
      <c r="PRA10" s="3438"/>
      <c r="PRB10" s="3438"/>
      <c r="PRC10" s="3438"/>
      <c r="PRD10" s="3438"/>
      <c r="PRE10" s="3438"/>
      <c r="PRF10" s="3438"/>
      <c r="PRG10" s="3438"/>
      <c r="PRH10" s="3438"/>
      <c r="PRI10" s="3438"/>
      <c r="PRJ10" s="3438"/>
      <c r="PRK10" s="3438"/>
      <c r="PRL10" s="3438"/>
      <c r="PRM10" s="3438"/>
      <c r="PRN10" s="3438"/>
      <c r="PRO10" s="3438"/>
      <c r="PRP10" s="3438"/>
      <c r="PRQ10" s="3438"/>
      <c r="PRR10" s="3438"/>
      <c r="PRS10" s="3438"/>
      <c r="PRT10" s="3438"/>
      <c r="PRU10" s="3438"/>
      <c r="PRV10" s="3438"/>
      <c r="PRW10" s="3438"/>
      <c r="PRX10" s="3438"/>
      <c r="PRY10" s="3438"/>
      <c r="PRZ10" s="3438"/>
      <c r="PSA10" s="3438"/>
      <c r="PSB10" s="3438"/>
      <c r="PSC10" s="3438"/>
      <c r="PSD10" s="3438"/>
      <c r="PSE10" s="3438"/>
      <c r="PSF10" s="3438"/>
      <c r="PSG10" s="3438"/>
      <c r="PSH10" s="3438"/>
      <c r="PSI10" s="3438"/>
      <c r="PSJ10" s="3438"/>
      <c r="PSK10" s="3438"/>
      <c r="PSL10" s="3438"/>
      <c r="PSM10" s="3438"/>
      <c r="PSN10" s="3438"/>
      <c r="PSO10" s="3438"/>
      <c r="PSP10" s="3438"/>
      <c r="PSQ10" s="3438"/>
      <c r="PSR10" s="3438"/>
      <c r="PSS10" s="3438"/>
      <c r="PST10" s="3438"/>
      <c r="PSU10" s="3438"/>
      <c r="PSV10" s="3438"/>
      <c r="PSW10" s="3438"/>
      <c r="PSX10" s="3438"/>
      <c r="PSY10" s="3438"/>
      <c r="PSZ10" s="3438"/>
      <c r="PTA10" s="3438"/>
      <c r="PTB10" s="3438"/>
      <c r="PTC10" s="3438"/>
      <c r="PTD10" s="3438"/>
      <c r="PTE10" s="3438"/>
      <c r="PTF10" s="3438"/>
      <c r="PTG10" s="3438"/>
      <c r="PTH10" s="3438"/>
      <c r="PTI10" s="3438"/>
      <c r="PTJ10" s="3438"/>
      <c r="PTK10" s="3438"/>
      <c r="PTL10" s="3438"/>
      <c r="PTM10" s="3438"/>
      <c r="PTN10" s="3438"/>
      <c r="PTO10" s="3438"/>
      <c r="PTP10" s="3438"/>
      <c r="PTQ10" s="3438"/>
      <c r="PTR10" s="3438"/>
      <c r="PTS10" s="3438"/>
      <c r="PTT10" s="3438"/>
      <c r="PTU10" s="3438"/>
      <c r="PTV10" s="3438"/>
      <c r="PTW10" s="3438"/>
      <c r="PTX10" s="3438"/>
      <c r="PTY10" s="3438"/>
      <c r="PTZ10" s="3438"/>
      <c r="PUA10" s="3438"/>
      <c r="PUB10" s="3438"/>
      <c r="PUC10" s="3438"/>
      <c r="PUD10" s="3438"/>
      <c r="PUE10" s="3438"/>
      <c r="PUF10" s="3438"/>
      <c r="PUG10" s="3438"/>
      <c r="PUH10" s="3438"/>
      <c r="PUI10" s="3438"/>
      <c r="PUJ10" s="3438"/>
      <c r="PUK10" s="3438"/>
      <c r="PUL10" s="3438"/>
      <c r="PUM10" s="3438"/>
      <c r="PUN10" s="3438"/>
      <c r="PUO10" s="3438"/>
      <c r="PUP10" s="3438"/>
      <c r="PUQ10" s="3438"/>
      <c r="PUR10" s="3438"/>
      <c r="PUS10" s="3438"/>
      <c r="PUT10" s="3438"/>
      <c r="PUU10" s="3438"/>
      <c r="PUV10" s="3438"/>
      <c r="PUW10" s="3438"/>
      <c r="PUX10" s="3438"/>
      <c r="PUY10" s="3438"/>
      <c r="PUZ10" s="3438"/>
      <c r="PVA10" s="3438"/>
      <c r="PVB10" s="3438"/>
      <c r="PVC10" s="3438"/>
      <c r="PVD10" s="3438"/>
      <c r="PVE10" s="3438"/>
      <c r="PVF10" s="3438"/>
      <c r="PVG10" s="3438"/>
      <c r="PVH10" s="3438"/>
      <c r="PVI10" s="3438"/>
      <c r="PVJ10" s="3438"/>
      <c r="PVK10" s="3438"/>
      <c r="PVL10" s="3438"/>
      <c r="PVM10" s="3438"/>
      <c r="PVN10" s="3438"/>
      <c r="PVO10" s="3438"/>
      <c r="PVP10" s="3438"/>
      <c r="PVQ10" s="3438"/>
      <c r="PVR10" s="3438"/>
      <c r="PVS10" s="3438"/>
      <c r="PVT10" s="3438"/>
      <c r="PVU10" s="3438"/>
      <c r="PVV10" s="3438"/>
      <c r="PVW10" s="3438"/>
      <c r="PVX10" s="3438"/>
      <c r="PVY10" s="3438"/>
      <c r="PVZ10" s="3438"/>
      <c r="PWA10" s="3438"/>
      <c r="PWB10" s="3438"/>
      <c r="PWC10" s="3438"/>
      <c r="PWD10" s="3438"/>
      <c r="PWE10" s="3438"/>
      <c r="PWF10" s="3438"/>
      <c r="PWG10" s="3438"/>
      <c r="PWH10" s="3438"/>
      <c r="PWI10" s="3438"/>
      <c r="PWJ10" s="3438"/>
      <c r="PWK10" s="3438"/>
      <c r="PWL10" s="3438"/>
      <c r="PWM10" s="3438"/>
      <c r="PWN10" s="3438"/>
      <c r="PWO10" s="3438"/>
      <c r="PWP10" s="3438"/>
      <c r="PWQ10" s="3438"/>
      <c r="PWR10" s="3438"/>
      <c r="PWS10" s="3438"/>
      <c r="PWT10" s="3438"/>
      <c r="PWU10" s="3438"/>
      <c r="PWV10" s="3438"/>
      <c r="PWW10" s="3438"/>
      <c r="PWX10" s="3438"/>
      <c r="PWY10" s="3438"/>
      <c r="PWZ10" s="3438"/>
      <c r="PXA10" s="3438"/>
      <c r="PXB10" s="3438"/>
      <c r="PXC10" s="3438"/>
      <c r="PXD10" s="3438"/>
      <c r="PXE10" s="3438"/>
      <c r="PXF10" s="3438"/>
      <c r="PXG10" s="3438"/>
      <c r="PXH10" s="3438"/>
      <c r="PXI10" s="3438"/>
      <c r="PXJ10" s="3438"/>
      <c r="PXK10" s="3438"/>
      <c r="PXL10" s="3438"/>
      <c r="PXM10" s="3438"/>
      <c r="PXN10" s="3438"/>
      <c r="PXO10" s="3438"/>
      <c r="PXP10" s="3438"/>
      <c r="PXQ10" s="3438"/>
      <c r="PXR10" s="3438"/>
      <c r="PXS10" s="3438"/>
      <c r="PXT10" s="3438"/>
      <c r="PXU10" s="3438"/>
      <c r="PXV10" s="3438"/>
      <c r="PXW10" s="3438"/>
      <c r="PXX10" s="3438"/>
      <c r="PXY10" s="3438"/>
      <c r="PXZ10" s="3438"/>
      <c r="PYA10" s="3438"/>
      <c r="PYB10" s="3438"/>
      <c r="PYC10" s="3438"/>
      <c r="PYD10" s="3438"/>
      <c r="PYE10" s="3438"/>
      <c r="PYF10" s="3438"/>
      <c r="PYG10" s="3438"/>
      <c r="PYH10" s="3438"/>
      <c r="PYI10" s="3438"/>
      <c r="PYJ10" s="3438"/>
      <c r="PYK10" s="3438"/>
      <c r="PYL10" s="3438"/>
      <c r="PYM10" s="3438"/>
      <c r="PYN10" s="3438"/>
      <c r="PYO10" s="3438"/>
      <c r="PYP10" s="3438"/>
      <c r="PYQ10" s="3438"/>
      <c r="PYR10" s="3438"/>
      <c r="PYS10" s="3438"/>
      <c r="PYT10" s="3438"/>
      <c r="PYU10" s="3438"/>
      <c r="PYV10" s="3438"/>
      <c r="PYW10" s="3438"/>
      <c r="PYX10" s="3438"/>
      <c r="PYY10" s="3438"/>
      <c r="PYZ10" s="3438"/>
      <c r="PZA10" s="3438"/>
      <c r="PZB10" s="3438"/>
      <c r="PZC10" s="3438"/>
      <c r="PZD10" s="3438"/>
      <c r="PZE10" s="3438"/>
      <c r="PZF10" s="3438"/>
      <c r="PZG10" s="3438"/>
      <c r="PZH10" s="3438"/>
      <c r="PZI10" s="3438"/>
      <c r="PZJ10" s="3438"/>
      <c r="PZK10" s="3438"/>
      <c r="PZL10" s="3438"/>
      <c r="PZM10" s="3438"/>
      <c r="PZN10" s="3438"/>
      <c r="PZO10" s="3438"/>
      <c r="PZP10" s="3438"/>
      <c r="PZQ10" s="3438"/>
      <c r="PZR10" s="3438"/>
      <c r="PZS10" s="3438"/>
      <c r="PZT10" s="3438"/>
      <c r="PZU10" s="3438"/>
      <c r="PZV10" s="3438"/>
      <c r="PZW10" s="3438"/>
      <c r="PZX10" s="3438"/>
      <c r="PZY10" s="3438"/>
      <c r="PZZ10" s="3438"/>
      <c r="QAA10" s="3438"/>
      <c r="QAB10" s="3438"/>
      <c r="QAC10" s="3438"/>
      <c r="QAD10" s="3438"/>
      <c r="QAE10" s="3438"/>
      <c r="QAF10" s="3438"/>
      <c r="QAG10" s="3438"/>
      <c r="QAH10" s="3438"/>
      <c r="QAI10" s="3438"/>
      <c r="QAJ10" s="3438"/>
      <c r="QAK10" s="3438"/>
      <c r="QAL10" s="3438"/>
      <c r="QAM10" s="3438"/>
      <c r="QAN10" s="3438"/>
      <c r="QAO10" s="3438"/>
      <c r="QAP10" s="3438"/>
      <c r="QAQ10" s="3438"/>
      <c r="QAR10" s="3438"/>
      <c r="QAS10" s="3438"/>
      <c r="QAT10" s="3438"/>
      <c r="QAU10" s="3438"/>
      <c r="QAV10" s="3438"/>
      <c r="QAW10" s="3438"/>
      <c r="QAX10" s="3438"/>
      <c r="QAY10" s="3438"/>
      <c r="QAZ10" s="3438"/>
      <c r="QBA10" s="3438"/>
      <c r="QBB10" s="3438"/>
      <c r="QBC10" s="3438"/>
      <c r="QBD10" s="3438"/>
      <c r="QBE10" s="3438"/>
      <c r="QBF10" s="3438"/>
      <c r="QBG10" s="3438"/>
      <c r="QBH10" s="3438"/>
      <c r="QBI10" s="3438"/>
      <c r="QBJ10" s="3438"/>
      <c r="QBK10" s="3438"/>
      <c r="QBL10" s="3438"/>
      <c r="QBM10" s="3438"/>
      <c r="QBN10" s="3438"/>
      <c r="QBO10" s="3438"/>
      <c r="QBP10" s="3438"/>
      <c r="QBQ10" s="3438"/>
      <c r="QBR10" s="3438"/>
      <c r="QBS10" s="3438"/>
      <c r="QBT10" s="3438"/>
      <c r="QBU10" s="3438"/>
      <c r="QBV10" s="3438"/>
      <c r="QBW10" s="3438"/>
      <c r="QBX10" s="3438"/>
      <c r="QBY10" s="3438"/>
      <c r="QBZ10" s="3438"/>
      <c r="QCA10" s="3438"/>
      <c r="QCB10" s="3438"/>
      <c r="QCC10" s="3438"/>
      <c r="QCD10" s="3438"/>
      <c r="QCE10" s="3438"/>
      <c r="QCF10" s="3438"/>
      <c r="QCG10" s="3438"/>
      <c r="QCH10" s="3438"/>
      <c r="QCI10" s="3438"/>
      <c r="QCJ10" s="3438"/>
      <c r="QCK10" s="3438"/>
      <c r="QCL10" s="3438"/>
      <c r="QCM10" s="3438"/>
      <c r="QCN10" s="3438"/>
      <c r="QCO10" s="3438"/>
      <c r="QCP10" s="3438"/>
      <c r="QCQ10" s="3438"/>
      <c r="QCR10" s="3438"/>
      <c r="QCS10" s="3438"/>
      <c r="QCT10" s="3438"/>
      <c r="QCU10" s="3438"/>
      <c r="QCV10" s="3438"/>
      <c r="QCW10" s="3438"/>
      <c r="QCX10" s="3438"/>
      <c r="QCY10" s="3438"/>
      <c r="QCZ10" s="3438"/>
      <c r="QDA10" s="3438"/>
      <c r="QDB10" s="3438"/>
      <c r="QDC10" s="3438"/>
      <c r="QDD10" s="3438"/>
      <c r="QDE10" s="3438"/>
      <c r="QDF10" s="3438"/>
      <c r="QDG10" s="3438"/>
      <c r="QDH10" s="3438"/>
      <c r="QDI10" s="3438"/>
      <c r="QDJ10" s="3438"/>
      <c r="QDK10" s="3438"/>
      <c r="QDL10" s="3438"/>
      <c r="QDM10" s="3438"/>
      <c r="QDN10" s="3438"/>
      <c r="QDO10" s="3438"/>
      <c r="QDP10" s="3438"/>
      <c r="QDQ10" s="3438"/>
      <c r="QDR10" s="3438"/>
      <c r="QDS10" s="3438"/>
      <c r="QDT10" s="3438"/>
      <c r="QDU10" s="3438"/>
      <c r="QDV10" s="3438"/>
      <c r="QDW10" s="3438"/>
      <c r="QDX10" s="3438"/>
      <c r="QDY10" s="3438"/>
      <c r="QDZ10" s="3438"/>
      <c r="QEA10" s="3438"/>
      <c r="QEB10" s="3438"/>
      <c r="QEC10" s="3438"/>
      <c r="QED10" s="3438"/>
      <c r="QEE10" s="3438"/>
      <c r="QEF10" s="3438"/>
      <c r="QEG10" s="3438"/>
      <c r="QEH10" s="3438"/>
      <c r="QEI10" s="3438"/>
      <c r="QEJ10" s="3438"/>
      <c r="QEK10" s="3438"/>
      <c r="QEL10" s="3438"/>
      <c r="QEM10" s="3438"/>
      <c r="QEN10" s="3438"/>
      <c r="QEO10" s="3438"/>
      <c r="QEP10" s="3438"/>
      <c r="QEQ10" s="3438"/>
      <c r="QER10" s="3438"/>
      <c r="QES10" s="3438"/>
      <c r="QET10" s="3438"/>
      <c r="QEU10" s="3438"/>
      <c r="QEV10" s="3438"/>
      <c r="QEW10" s="3438"/>
      <c r="QEX10" s="3438"/>
      <c r="QEY10" s="3438"/>
      <c r="QEZ10" s="3438"/>
      <c r="QFA10" s="3438"/>
      <c r="QFB10" s="3438"/>
      <c r="QFC10" s="3438"/>
      <c r="QFD10" s="3438"/>
      <c r="QFE10" s="3438"/>
      <c r="QFF10" s="3438"/>
      <c r="QFG10" s="3438"/>
      <c r="QFH10" s="3438"/>
      <c r="QFI10" s="3438"/>
      <c r="QFJ10" s="3438"/>
      <c r="QFK10" s="3438"/>
      <c r="QFL10" s="3438"/>
      <c r="QFM10" s="3438"/>
      <c r="QFN10" s="3438"/>
      <c r="QFO10" s="3438"/>
      <c r="QFP10" s="3438"/>
      <c r="QFQ10" s="3438"/>
      <c r="QFR10" s="3438"/>
      <c r="QFS10" s="3438"/>
      <c r="QFT10" s="3438"/>
      <c r="QFU10" s="3438"/>
      <c r="QFV10" s="3438"/>
      <c r="QFW10" s="3438"/>
      <c r="QFX10" s="3438"/>
      <c r="QFY10" s="3438"/>
      <c r="QFZ10" s="3438"/>
      <c r="QGA10" s="3438"/>
      <c r="QGB10" s="3438"/>
      <c r="QGC10" s="3438"/>
      <c r="QGD10" s="3438"/>
      <c r="QGE10" s="3438"/>
      <c r="QGF10" s="3438"/>
      <c r="QGG10" s="3438"/>
      <c r="QGH10" s="3438"/>
      <c r="QGI10" s="3438"/>
      <c r="QGJ10" s="3438"/>
      <c r="QGK10" s="3438"/>
      <c r="QGL10" s="3438"/>
      <c r="QGM10" s="3438"/>
      <c r="QGN10" s="3438"/>
      <c r="QGO10" s="3438"/>
      <c r="QGP10" s="3438"/>
      <c r="QGQ10" s="3438"/>
      <c r="QGR10" s="3438"/>
      <c r="QGS10" s="3438"/>
      <c r="QGT10" s="3438"/>
      <c r="QGU10" s="3438"/>
      <c r="QGV10" s="3438"/>
      <c r="QGW10" s="3438"/>
      <c r="QGX10" s="3438"/>
      <c r="QGY10" s="3438"/>
      <c r="QGZ10" s="3438"/>
      <c r="QHA10" s="3438"/>
      <c r="QHB10" s="3438"/>
      <c r="QHC10" s="3438"/>
      <c r="QHD10" s="3438"/>
      <c r="QHE10" s="3438"/>
      <c r="QHF10" s="3438"/>
      <c r="QHG10" s="3438"/>
      <c r="QHH10" s="3438"/>
      <c r="QHI10" s="3438"/>
      <c r="QHJ10" s="3438"/>
      <c r="QHK10" s="3438"/>
      <c r="QHL10" s="3438"/>
      <c r="QHM10" s="3438"/>
      <c r="QHN10" s="3438"/>
      <c r="QHO10" s="3438"/>
      <c r="QHP10" s="3438"/>
      <c r="QHQ10" s="3438"/>
      <c r="QHR10" s="3438"/>
      <c r="QHS10" s="3438"/>
      <c r="QHT10" s="3438"/>
      <c r="QHU10" s="3438"/>
      <c r="QHV10" s="3438"/>
      <c r="QHW10" s="3438"/>
      <c r="QHX10" s="3438"/>
      <c r="QHY10" s="3438"/>
      <c r="QHZ10" s="3438"/>
      <c r="QIA10" s="3438"/>
      <c r="QIB10" s="3438"/>
      <c r="QIC10" s="3438"/>
      <c r="QID10" s="3438"/>
      <c r="QIE10" s="3438"/>
      <c r="QIF10" s="3438"/>
      <c r="QIG10" s="3438"/>
      <c r="QIH10" s="3438"/>
      <c r="QII10" s="3438"/>
      <c r="QIJ10" s="3438"/>
      <c r="QIK10" s="3438"/>
      <c r="QIL10" s="3438"/>
      <c r="QIM10" s="3438"/>
      <c r="QIN10" s="3438"/>
      <c r="QIO10" s="3438"/>
      <c r="QIP10" s="3438"/>
      <c r="QIQ10" s="3438"/>
      <c r="QIR10" s="3438"/>
      <c r="QIS10" s="3438"/>
      <c r="QIT10" s="3438"/>
      <c r="QIU10" s="3438"/>
      <c r="QIV10" s="3438"/>
      <c r="QIW10" s="3438"/>
      <c r="QIX10" s="3438"/>
      <c r="QIY10" s="3438"/>
      <c r="QIZ10" s="3438"/>
      <c r="QJA10" s="3438"/>
      <c r="QJB10" s="3438"/>
      <c r="QJC10" s="3438"/>
      <c r="QJD10" s="3438"/>
      <c r="QJE10" s="3438"/>
      <c r="QJF10" s="3438"/>
      <c r="QJG10" s="3438"/>
      <c r="QJH10" s="3438"/>
      <c r="QJI10" s="3438"/>
      <c r="QJJ10" s="3438"/>
      <c r="QJK10" s="3438"/>
      <c r="QJL10" s="3438"/>
      <c r="QJM10" s="3438"/>
      <c r="QJN10" s="3438"/>
      <c r="QJO10" s="3438"/>
      <c r="QJP10" s="3438"/>
      <c r="QJQ10" s="3438"/>
      <c r="QJR10" s="3438"/>
      <c r="QJS10" s="3438"/>
      <c r="QJT10" s="3438"/>
      <c r="QJU10" s="3438"/>
      <c r="QJV10" s="3438"/>
      <c r="QJW10" s="3438"/>
      <c r="QJX10" s="3438"/>
      <c r="QJY10" s="3438"/>
      <c r="QJZ10" s="3438"/>
      <c r="QKA10" s="3438"/>
      <c r="QKB10" s="3438"/>
      <c r="QKC10" s="3438"/>
      <c r="QKD10" s="3438"/>
      <c r="QKE10" s="3438"/>
      <c r="QKF10" s="3438"/>
      <c r="QKG10" s="3438"/>
      <c r="QKH10" s="3438"/>
      <c r="QKI10" s="3438"/>
      <c r="QKJ10" s="3438"/>
      <c r="QKK10" s="3438"/>
      <c r="QKL10" s="3438"/>
      <c r="QKM10" s="3438"/>
      <c r="QKN10" s="3438"/>
      <c r="QKO10" s="3438"/>
      <c r="QKP10" s="3438"/>
      <c r="QKQ10" s="3438"/>
      <c r="QKR10" s="3438"/>
      <c r="QKS10" s="3438"/>
      <c r="QKT10" s="3438"/>
      <c r="QKU10" s="3438"/>
      <c r="QKV10" s="3438"/>
      <c r="QKW10" s="3438"/>
      <c r="QKX10" s="3438"/>
      <c r="QKY10" s="3438"/>
      <c r="QKZ10" s="3438"/>
      <c r="QLA10" s="3438"/>
      <c r="QLB10" s="3438"/>
      <c r="QLC10" s="3438"/>
      <c r="QLD10" s="3438"/>
      <c r="QLE10" s="3438"/>
      <c r="QLF10" s="3438"/>
      <c r="QLG10" s="3438"/>
      <c r="QLH10" s="3438"/>
      <c r="QLI10" s="3438"/>
      <c r="QLJ10" s="3438"/>
      <c r="QLK10" s="3438"/>
      <c r="QLL10" s="3438"/>
      <c r="QLM10" s="3438"/>
      <c r="QLN10" s="3438"/>
      <c r="QLO10" s="3438"/>
      <c r="QLP10" s="3438"/>
      <c r="QLQ10" s="3438"/>
      <c r="QLR10" s="3438"/>
      <c r="QLS10" s="3438"/>
      <c r="QLT10" s="3438"/>
      <c r="QLU10" s="3438"/>
      <c r="QLV10" s="3438"/>
      <c r="QLW10" s="3438"/>
      <c r="QLX10" s="3438"/>
      <c r="QLY10" s="3438"/>
      <c r="QLZ10" s="3438"/>
      <c r="QMA10" s="3438"/>
      <c r="QMB10" s="3438"/>
      <c r="QMC10" s="3438"/>
      <c r="QMD10" s="3438"/>
      <c r="QME10" s="3438"/>
      <c r="QMF10" s="3438"/>
      <c r="QMG10" s="3438"/>
      <c r="QMH10" s="3438"/>
      <c r="QMI10" s="3438"/>
      <c r="QMJ10" s="3438"/>
      <c r="QMK10" s="3438"/>
      <c r="QML10" s="3438"/>
      <c r="QMM10" s="3438"/>
      <c r="QMN10" s="3438"/>
      <c r="QMO10" s="3438"/>
      <c r="QMP10" s="3438"/>
      <c r="QMQ10" s="3438"/>
      <c r="QMR10" s="3438"/>
      <c r="QMS10" s="3438"/>
      <c r="QMT10" s="3438"/>
      <c r="QMU10" s="3438"/>
      <c r="QMV10" s="3438"/>
      <c r="QMW10" s="3438"/>
      <c r="QMX10" s="3438"/>
      <c r="QMY10" s="3438"/>
      <c r="QMZ10" s="3438"/>
      <c r="QNA10" s="3438"/>
      <c r="QNB10" s="3438"/>
      <c r="QNC10" s="3438"/>
      <c r="QND10" s="3438"/>
      <c r="QNE10" s="3438"/>
      <c r="QNF10" s="3438"/>
      <c r="QNG10" s="3438"/>
      <c r="QNH10" s="3438"/>
      <c r="QNI10" s="3438"/>
      <c r="QNJ10" s="3438"/>
      <c r="QNK10" s="3438"/>
      <c r="QNL10" s="3438"/>
      <c r="QNM10" s="3438"/>
      <c r="QNN10" s="3438"/>
      <c r="QNO10" s="3438"/>
      <c r="QNP10" s="3438"/>
      <c r="QNQ10" s="3438"/>
      <c r="QNR10" s="3438"/>
      <c r="QNS10" s="3438"/>
      <c r="QNT10" s="3438"/>
      <c r="QNU10" s="3438"/>
      <c r="QNV10" s="3438"/>
      <c r="QNW10" s="3438"/>
      <c r="QNX10" s="3438"/>
      <c r="QNY10" s="3438"/>
      <c r="QNZ10" s="3438"/>
      <c r="QOA10" s="3438"/>
      <c r="QOB10" s="3438"/>
      <c r="QOC10" s="3438"/>
      <c r="QOD10" s="3438"/>
      <c r="QOE10" s="3438"/>
      <c r="QOF10" s="3438"/>
      <c r="QOG10" s="3438"/>
      <c r="QOH10" s="3438"/>
      <c r="QOI10" s="3438"/>
      <c r="QOJ10" s="3438"/>
      <c r="QOK10" s="3438"/>
      <c r="QOL10" s="3438"/>
      <c r="QOM10" s="3438"/>
      <c r="QON10" s="3438"/>
      <c r="QOO10" s="3438"/>
      <c r="QOP10" s="3438"/>
      <c r="QOQ10" s="3438"/>
      <c r="QOR10" s="3438"/>
      <c r="QOS10" s="3438"/>
      <c r="QOT10" s="3438"/>
      <c r="QOU10" s="3438"/>
      <c r="QOV10" s="3438"/>
      <c r="QOW10" s="3438"/>
      <c r="QOX10" s="3438"/>
      <c r="QOY10" s="3438"/>
      <c r="QOZ10" s="3438"/>
      <c r="QPA10" s="3438"/>
      <c r="QPB10" s="3438"/>
      <c r="QPC10" s="3438"/>
      <c r="QPD10" s="3438"/>
      <c r="QPE10" s="3438"/>
      <c r="QPF10" s="3438"/>
      <c r="QPG10" s="3438"/>
      <c r="QPH10" s="3438"/>
      <c r="QPI10" s="3438"/>
      <c r="QPJ10" s="3438"/>
      <c r="QPK10" s="3438"/>
      <c r="QPL10" s="3438"/>
      <c r="QPM10" s="3438"/>
      <c r="QPN10" s="3438"/>
      <c r="QPO10" s="3438"/>
      <c r="QPP10" s="3438"/>
      <c r="QPQ10" s="3438"/>
      <c r="QPR10" s="3438"/>
      <c r="QPS10" s="3438"/>
      <c r="QPT10" s="3438"/>
      <c r="QPU10" s="3438"/>
      <c r="QPV10" s="3438"/>
      <c r="QPW10" s="3438"/>
      <c r="QPX10" s="3438"/>
      <c r="QPY10" s="3438"/>
      <c r="QPZ10" s="3438"/>
      <c r="QQA10" s="3438"/>
      <c r="QQB10" s="3438"/>
      <c r="QQC10" s="3438"/>
      <c r="QQD10" s="3438"/>
      <c r="QQE10" s="3438"/>
      <c r="QQF10" s="3438"/>
      <c r="QQG10" s="3438"/>
      <c r="QQH10" s="3438"/>
      <c r="QQI10" s="3438"/>
      <c r="QQJ10" s="3438"/>
      <c r="QQK10" s="3438"/>
      <c r="QQL10" s="3438"/>
      <c r="QQM10" s="3438"/>
      <c r="QQN10" s="3438"/>
      <c r="QQO10" s="3438"/>
      <c r="QQP10" s="3438"/>
      <c r="QQQ10" s="3438"/>
      <c r="QQR10" s="3438"/>
      <c r="QQS10" s="3438"/>
      <c r="QQT10" s="3438"/>
      <c r="QQU10" s="3438"/>
      <c r="QQV10" s="3438"/>
      <c r="QQW10" s="3438"/>
      <c r="QQX10" s="3438"/>
      <c r="QQY10" s="3438"/>
      <c r="QQZ10" s="3438"/>
      <c r="QRA10" s="3438"/>
      <c r="QRB10" s="3438"/>
      <c r="QRC10" s="3438"/>
      <c r="QRD10" s="3438"/>
      <c r="QRE10" s="3438"/>
      <c r="QRF10" s="3438"/>
      <c r="QRG10" s="3438"/>
      <c r="QRH10" s="3438"/>
      <c r="QRI10" s="3438"/>
      <c r="QRJ10" s="3438"/>
      <c r="QRK10" s="3438"/>
      <c r="QRL10" s="3438"/>
      <c r="QRM10" s="3438"/>
      <c r="QRN10" s="3438"/>
      <c r="QRO10" s="3438"/>
      <c r="QRP10" s="3438"/>
      <c r="QRQ10" s="3438"/>
      <c r="QRR10" s="3438"/>
      <c r="QRS10" s="3438"/>
      <c r="QRT10" s="3438"/>
      <c r="QRU10" s="3438"/>
      <c r="QRV10" s="3438"/>
      <c r="QRW10" s="3438"/>
      <c r="QRX10" s="3438"/>
      <c r="QRY10" s="3438"/>
      <c r="QRZ10" s="3438"/>
      <c r="QSA10" s="3438"/>
      <c r="QSB10" s="3438"/>
      <c r="QSC10" s="3438"/>
      <c r="QSD10" s="3438"/>
      <c r="QSE10" s="3438"/>
      <c r="QSF10" s="3438"/>
      <c r="QSG10" s="3438"/>
      <c r="QSH10" s="3438"/>
      <c r="QSI10" s="3438"/>
      <c r="QSJ10" s="3438"/>
      <c r="QSK10" s="3438"/>
      <c r="QSL10" s="3438"/>
      <c r="QSM10" s="3438"/>
      <c r="QSN10" s="3438"/>
      <c r="QSO10" s="3438"/>
      <c r="QSP10" s="3438"/>
      <c r="QSQ10" s="3438"/>
      <c r="QSR10" s="3438"/>
      <c r="QSS10" s="3438"/>
      <c r="QST10" s="3438"/>
      <c r="QSU10" s="3438"/>
      <c r="QSV10" s="3438"/>
      <c r="QSW10" s="3438"/>
      <c r="QSX10" s="3438"/>
      <c r="QSY10" s="3438"/>
      <c r="QSZ10" s="3438"/>
      <c r="QTA10" s="3438"/>
      <c r="QTB10" s="3438"/>
      <c r="QTC10" s="3438"/>
      <c r="QTD10" s="3438"/>
      <c r="QTE10" s="3438"/>
      <c r="QTF10" s="3438"/>
      <c r="QTG10" s="3438"/>
      <c r="QTH10" s="3438"/>
      <c r="QTI10" s="3438"/>
      <c r="QTJ10" s="3438"/>
      <c r="QTK10" s="3438"/>
      <c r="QTL10" s="3438"/>
      <c r="QTM10" s="3438"/>
      <c r="QTN10" s="3438"/>
      <c r="QTO10" s="3438"/>
      <c r="QTP10" s="3438"/>
      <c r="QTQ10" s="3438"/>
      <c r="QTR10" s="3438"/>
      <c r="QTS10" s="3438"/>
      <c r="QTT10" s="3438"/>
      <c r="QTU10" s="3438"/>
      <c r="QTV10" s="3438"/>
      <c r="QTW10" s="3438"/>
      <c r="QTX10" s="3438"/>
      <c r="QTY10" s="3438"/>
      <c r="QTZ10" s="3438"/>
      <c r="QUA10" s="3438"/>
      <c r="QUB10" s="3438"/>
      <c r="QUC10" s="3438"/>
      <c r="QUD10" s="3438"/>
      <c r="QUE10" s="3438"/>
      <c r="QUF10" s="3438"/>
      <c r="QUG10" s="3438"/>
      <c r="QUH10" s="3438"/>
      <c r="QUI10" s="3438"/>
      <c r="QUJ10" s="3438"/>
      <c r="QUK10" s="3438"/>
      <c r="QUL10" s="3438"/>
      <c r="QUM10" s="3438"/>
      <c r="QUN10" s="3438"/>
      <c r="QUO10" s="3438"/>
      <c r="QUP10" s="3438"/>
      <c r="QUQ10" s="3438"/>
      <c r="QUR10" s="3438"/>
      <c r="QUS10" s="3438"/>
      <c r="QUT10" s="3438"/>
      <c r="QUU10" s="3438"/>
      <c r="QUV10" s="3438"/>
      <c r="QUW10" s="3438"/>
      <c r="QUX10" s="3438"/>
      <c r="QUY10" s="3438"/>
      <c r="QUZ10" s="3438"/>
      <c r="QVA10" s="3438"/>
      <c r="QVB10" s="3438"/>
      <c r="QVC10" s="3438"/>
      <c r="QVD10" s="3438"/>
      <c r="QVE10" s="3438"/>
      <c r="QVF10" s="3438"/>
      <c r="QVG10" s="3438"/>
      <c r="QVH10" s="3438"/>
      <c r="QVI10" s="3438"/>
      <c r="QVJ10" s="3438"/>
      <c r="QVK10" s="3438"/>
      <c r="QVL10" s="3438"/>
      <c r="QVM10" s="3438"/>
      <c r="QVN10" s="3438"/>
      <c r="QVO10" s="3438"/>
      <c r="QVP10" s="3438"/>
      <c r="QVQ10" s="3438"/>
      <c r="QVR10" s="3438"/>
      <c r="QVS10" s="3438"/>
      <c r="QVT10" s="3438"/>
      <c r="QVU10" s="3438"/>
      <c r="QVV10" s="3438"/>
      <c r="QVW10" s="3438"/>
      <c r="QVX10" s="3438"/>
      <c r="QVY10" s="3438"/>
      <c r="QVZ10" s="3438"/>
      <c r="QWA10" s="3438"/>
      <c r="QWB10" s="3438"/>
      <c r="QWC10" s="3438"/>
      <c r="QWD10" s="3438"/>
      <c r="QWE10" s="3438"/>
      <c r="QWF10" s="3438"/>
      <c r="QWG10" s="3438"/>
      <c r="QWH10" s="3438"/>
      <c r="QWI10" s="3438"/>
      <c r="QWJ10" s="3438"/>
      <c r="QWK10" s="3438"/>
      <c r="QWL10" s="3438"/>
      <c r="QWM10" s="3438"/>
      <c r="QWN10" s="3438"/>
      <c r="QWO10" s="3438"/>
      <c r="QWP10" s="3438"/>
      <c r="QWQ10" s="3438"/>
      <c r="QWR10" s="3438"/>
      <c r="QWS10" s="3438"/>
      <c r="QWT10" s="3438"/>
      <c r="QWU10" s="3438"/>
      <c r="QWV10" s="3438"/>
      <c r="QWW10" s="3438"/>
      <c r="QWX10" s="3438"/>
      <c r="QWY10" s="3438"/>
      <c r="QWZ10" s="3438"/>
      <c r="QXA10" s="3438"/>
      <c r="QXB10" s="3438"/>
      <c r="QXC10" s="3438"/>
      <c r="QXD10" s="3438"/>
      <c r="QXE10" s="3438"/>
      <c r="QXF10" s="3438"/>
      <c r="QXG10" s="3438"/>
      <c r="QXH10" s="3438"/>
      <c r="QXI10" s="3438"/>
      <c r="QXJ10" s="3438"/>
      <c r="QXK10" s="3438"/>
      <c r="QXL10" s="3438"/>
      <c r="QXM10" s="3438"/>
      <c r="QXN10" s="3438"/>
      <c r="QXO10" s="3438"/>
      <c r="QXP10" s="3438"/>
      <c r="QXQ10" s="3438"/>
      <c r="QXR10" s="3438"/>
      <c r="QXS10" s="3438"/>
      <c r="QXT10" s="3438"/>
      <c r="QXU10" s="3438"/>
      <c r="QXV10" s="3438"/>
      <c r="QXW10" s="3438"/>
      <c r="QXX10" s="3438"/>
      <c r="QXY10" s="3438"/>
      <c r="QXZ10" s="3438"/>
      <c r="QYA10" s="3438"/>
      <c r="QYB10" s="3438"/>
      <c r="QYC10" s="3438"/>
      <c r="QYD10" s="3438"/>
      <c r="QYE10" s="3438"/>
      <c r="QYF10" s="3438"/>
      <c r="QYG10" s="3438"/>
      <c r="QYH10" s="3438"/>
      <c r="QYI10" s="3438"/>
      <c r="QYJ10" s="3438"/>
      <c r="QYK10" s="3438"/>
      <c r="QYL10" s="3438"/>
      <c r="QYM10" s="3438"/>
      <c r="QYN10" s="3438"/>
      <c r="QYO10" s="3438"/>
      <c r="QYP10" s="3438"/>
      <c r="QYQ10" s="3438"/>
      <c r="QYR10" s="3438"/>
      <c r="QYS10" s="3438"/>
      <c r="QYT10" s="3438"/>
      <c r="QYU10" s="3438"/>
      <c r="QYV10" s="3438"/>
      <c r="QYW10" s="3438"/>
      <c r="QYX10" s="3438"/>
      <c r="QYY10" s="3438"/>
      <c r="QYZ10" s="3438"/>
      <c r="QZA10" s="3438"/>
      <c r="QZB10" s="3438"/>
      <c r="QZC10" s="3438"/>
      <c r="QZD10" s="3438"/>
      <c r="QZE10" s="3438"/>
      <c r="QZF10" s="3438"/>
      <c r="QZG10" s="3438"/>
      <c r="QZH10" s="3438"/>
      <c r="QZI10" s="3438"/>
      <c r="QZJ10" s="3438"/>
      <c r="QZK10" s="3438"/>
      <c r="QZL10" s="3438"/>
      <c r="QZM10" s="3438"/>
      <c r="QZN10" s="3438"/>
      <c r="QZO10" s="3438"/>
      <c r="QZP10" s="3438"/>
      <c r="QZQ10" s="3438"/>
      <c r="QZR10" s="3438"/>
      <c r="QZS10" s="3438"/>
      <c r="QZT10" s="3438"/>
      <c r="QZU10" s="3438"/>
      <c r="QZV10" s="3438"/>
      <c r="QZW10" s="3438"/>
      <c r="QZX10" s="3438"/>
      <c r="QZY10" s="3438"/>
      <c r="QZZ10" s="3438"/>
      <c r="RAA10" s="3438"/>
      <c r="RAB10" s="3438"/>
      <c r="RAC10" s="3438"/>
      <c r="RAD10" s="3438"/>
      <c r="RAE10" s="3438"/>
      <c r="RAF10" s="3438"/>
      <c r="RAG10" s="3438"/>
      <c r="RAH10" s="3438"/>
      <c r="RAI10" s="3438"/>
      <c r="RAJ10" s="3438"/>
      <c r="RAK10" s="3438"/>
      <c r="RAL10" s="3438"/>
      <c r="RAM10" s="3438"/>
      <c r="RAN10" s="3438"/>
      <c r="RAO10" s="3438"/>
      <c r="RAP10" s="3438"/>
      <c r="RAQ10" s="3438"/>
      <c r="RAR10" s="3438"/>
      <c r="RAS10" s="3438"/>
      <c r="RAT10" s="3438"/>
      <c r="RAU10" s="3438"/>
      <c r="RAV10" s="3438"/>
      <c r="RAW10" s="3438"/>
      <c r="RAX10" s="3438"/>
      <c r="RAY10" s="3438"/>
      <c r="RAZ10" s="3438"/>
      <c r="RBA10" s="3438"/>
      <c r="RBB10" s="3438"/>
      <c r="RBC10" s="3438"/>
      <c r="RBD10" s="3438"/>
      <c r="RBE10" s="3438"/>
      <c r="RBF10" s="3438"/>
      <c r="RBG10" s="3438"/>
      <c r="RBH10" s="3438"/>
      <c r="RBI10" s="3438"/>
      <c r="RBJ10" s="3438"/>
      <c r="RBK10" s="3438"/>
      <c r="RBL10" s="3438"/>
      <c r="RBM10" s="3438"/>
      <c r="RBN10" s="3438"/>
      <c r="RBO10" s="3438"/>
      <c r="RBP10" s="3438"/>
      <c r="RBQ10" s="3438"/>
      <c r="RBR10" s="3438"/>
      <c r="RBS10" s="3438"/>
      <c r="RBT10" s="3438"/>
      <c r="RBU10" s="3438"/>
      <c r="RBV10" s="3438"/>
      <c r="RBW10" s="3438"/>
      <c r="RBX10" s="3438"/>
      <c r="RBY10" s="3438"/>
      <c r="RBZ10" s="3438"/>
      <c r="RCA10" s="3438"/>
      <c r="RCB10" s="3438"/>
      <c r="RCC10" s="3438"/>
      <c r="RCD10" s="3438"/>
      <c r="RCE10" s="3438"/>
      <c r="RCF10" s="3438"/>
      <c r="RCG10" s="3438"/>
      <c r="RCH10" s="3438"/>
      <c r="RCI10" s="3438"/>
      <c r="RCJ10" s="3438"/>
      <c r="RCK10" s="3438"/>
      <c r="RCL10" s="3438"/>
      <c r="RCM10" s="3438"/>
      <c r="RCN10" s="3438"/>
      <c r="RCO10" s="3438"/>
      <c r="RCP10" s="3438"/>
      <c r="RCQ10" s="3438"/>
      <c r="RCR10" s="3438"/>
      <c r="RCS10" s="3438"/>
      <c r="RCT10" s="3438"/>
      <c r="RCU10" s="3438"/>
      <c r="RCV10" s="3438"/>
      <c r="RCW10" s="3438"/>
      <c r="RCX10" s="3438"/>
      <c r="RCY10" s="3438"/>
      <c r="RCZ10" s="3438"/>
      <c r="RDA10" s="3438"/>
      <c r="RDB10" s="3438"/>
      <c r="RDC10" s="3438"/>
      <c r="RDD10" s="3438"/>
      <c r="RDE10" s="3438"/>
      <c r="RDF10" s="3438"/>
      <c r="RDG10" s="3438"/>
      <c r="RDH10" s="3438"/>
      <c r="RDI10" s="3438"/>
      <c r="RDJ10" s="3438"/>
      <c r="RDK10" s="3438"/>
      <c r="RDL10" s="3438"/>
      <c r="RDM10" s="3438"/>
      <c r="RDN10" s="3438"/>
      <c r="RDO10" s="3438"/>
      <c r="RDP10" s="3438"/>
      <c r="RDQ10" s="3438"/>
      <c r="RDR10" s="3438"/>
      <c r="RDS10" s="3438"/>
      <c r="RDT10" s="3438"/>
      <c r="RDU10" s="3438"/>
      <c r="RDV10" s="3438"/>
      <c r="RDW10" s="3438"/>
      <c r="RDX10" s="3438"/>
      <c r="RDY10" s="3438"/>
      <c r="RDZ10" s="3438"/>
      <c r="REA10" s="3438"/>
      <c r="REB10" s="3438"/>
      <c r="REC10" s="3438"/>
      <c r="RED10" s="3438"/>
      <c r="REE10" s="3438"/>
      <c r="REF10" s="3438"/>
      <c r="REG10" s="3438"/>
      <c r="REH10" s="3438"/>
      <c r="REI10" s="3438"/>
      <c r="REJ10" s="3438"/>
      <c r="REK10" s="3438"/>
      <c r="REL10" s="3438"/>
      <c r="REM10" s="3438"/>
      <c r="REN10" s="3438"/>
      <c r="REO10" s="3438"/>
      <c r="REP10" s="3438"/>
      <c r="REQ10" s="3438"/>
      <c r="RER10" s="3438"/>
      <c r="RES10" s="3438"/>
      <c r="RET10" s="3438"/>
      <c r="REU10" s="3438"/>
      <c r="REV10" s="3438"/>
      <c r="REW10" s="3438"/>
      <c r="REX10" s="3438"/>
      <c r="REY10" s="3438"/>
      <c r="REZ10" s="3438"/>
      <c r="RFA10" s="3438"/>
      <c r="RFB10" s="3438"/>
      <c r="RFC10" s="3438"/>
      <c r="RFD10" s="3438"/>
      <c r="RFE10" s="3438"/>
      <c r="RFF10" s="3438"/>
      <c r="RFG10" s="3438"/>
      <c r="RFH10" s="3438"/>
      <c r="RFI10" s="3438"/>
      <c r="RFJ10" s="3438"/>
      <c r="RFK10" s="3438"/>
      <c r="RFL10" s="3438"/>
      <c r="RFM10" s="3438"/>
      <c r="RFN10" s="3438"/>
      <c r="RFO10" s="3438"/>
      <c r="RFP10" s="3438"/>
      <c r="RFQ10" s="3438"/>
      <c r="RFR10" s="3438"/>
      <c r="RFS10" s="3438"/>
      <c r="RFT10" s="3438"/>
      <c r="RFU10" s="3438"/>
      <c r="RFV10" s="3438"/>
      <c r="RFW10" s="3438"/>
      <c r="RFX10" s="3438"/>
      <c r="RFY10" s="3438"/>
      <c r="RFZ10" s="3438"/>
      <c r="RGA10" s="3438"/>
      <c r="RGB10" s="3438"/>
      <c r="RGC10" s="3438"/>
      <c r="RGD10" s="3438"/>
      <c r="RGE10" s="3438"/>
      <c r="RGF10" s="3438"/>
      <c r="RGG10" s="3438"/>
      <c r="RGH10" s="3438"/>
      <c r="RGI10" s="3438"/>
      <c r="RGJ10" s="3438"/>
      <c r="RGK10" s="3438"/>
      <c r="RGL10" s="3438"/>
      <c r="RGM10" s="3438"/>
      <c r="RGN10" s="3438"/>
      <c r="RGO10" s="3438"/>
      <c r="RGP10" s="3438"/>
      <c r="RGQ10" s="3438"/>
      <c r="RGR10" s="3438"/>
      <c r="RGS10" s="3438"/>
      <c r="RGT10" s="3438"/>
      <c r="RGU10" s="3438"/>
      <c r="RGV10" s="3438"/>
      <c r="RGW10" s="3438"/>
      <c r="RGX10" s="3438"/>
      <c r="RGY10" s="3438"/>
      <c r="RGZ10" s="3438"/>
      <c r="RHA10" s="3438"/>
      <c r="RHB10" s="3438"/>
      <c r="RHC10" s="3438"/>
      <c r="RHD10" s="3438"/>
      <c r="RHE10" s="3438"/>
      <c r="RHF10" s="3438"/>
      <c r="RHG10" s="3438"/>
      <c r="RHH10" s="3438"/>
      <c r="RHI10" s="3438"/>
      <c r="RHJ10" s="3438"/>
      <c r="RHK10" s="3438"/>
      <c r="RHL10" s="3438"/>
      <c r="RHM10" s="3438"/>
      <c r="RHN10" s="3438"/>
      <c r="RHO10" s="3438"/>
      <c r="RHP10" s="3438"/>
      <c r="RHQ10" s="3438"/>
      <c r="RHR10" s="3438"/>
      <c r="RHS10" s="3438"/>
      <c r="RHT10" s="3438"/>
      <c r="RHU10" s="3438"/>
      <c r="RHV10" s="3438"/>
      <c r="RHW10" s="3438"/>
      <c r="RHX10" s="3438"/>
      <c r="RHY10" s="3438"/>
      <c r="RHZ10" s="3438"/>
      <c r="RIA10" s="3438"/>
      <c r="RIB10" s="3438"/>
      <c r="RIC10" s="3438"/>
      <c r="RID10" s="3438"/>
      <c r="RIE10" s="3438"/>
      <c r="RIF10" s="3438"/>
      <c r="RIG10" s="3438"/>
      <c r="RIH10" s="3438"/>
      <c r="RII10" s="3438"/>
      <c r="RIJ10" s="3438"/>
      <c r="RIK10" s="3438"/>
      <c r="RIL10" s="3438"/>
      <c r="RIM10" s="3438"/>
      <c r="RIN10" s="3438"/>
      <c r="RIO10" s="3438"/>
      <c r="RIP10" s="3438"/>
      <c r="RIQ10" s="3438"/>
      <c r="RIR10" s="3438"/>
      <c r="RIS10" s="3438"/>
      <c r="RIT10" s="3438"/>
      <c r="RIU10" s="3438"/>
      <c r="RIV10" s="3438"/>
      <c r="RIW10" s="3438"/>
      <c r="RIX10" s="3438"/>
      <c r="RIY10" s="3438"/>
      <c r="RIZ10" s="3438"/>
      <c r="RJA10" s="3438"/>
      <c r="RJB10" s="3438"/>
      <c r="RJC10" s="3438"/>
      <c r="RJD10" s="3438"/>
      <c r="RJE10" s="3438"/>
      <c r="RJF10" s="3438"/>
      <c r="RJG10" s="3438"/>
      <c r="RJH10" s="3438"/>
      <c r="RJI10" s="3438"/>
      <c r="RJJ10" s="3438"/>
      <c r="RJK10" s="3438"/>
      <c r="RJL10" s="3438"/>
      <c r="RJM10" s="3438"/>
      <c r="RJN10" s="3438"/>
      <c r="RJO10" s="3438"/>
      <c r="RJP10" s="3438"/>
      <c r="RJQ10" s="3438"/>
      <c r="RJR10" s="3438"/>
      <c r="RJS10" s="3438"/>
      <c r="RJT10" s="3438"/>
      <c r="RJU10" s="3438"/>
      <c r="RJV10" s="3438"/>
      <c r="RJW10" s="3438"/>
      <c r="RJX10" s="3438"/>
      <c r="RJY10" s="3438"/>
      <c r="RJZ10" s="3438"/>
      <c r="RKA10" s="3438"/>
      <c r="RKB10" s="3438"/>
      <c r="RKC10" s="3438"/>
      <c r="RKD10" s="3438"/>
      <c r="RKE10" s="3438"/>
      <c r="RKF10" s="3438"/>
      <c r="RKG10" s="3438"/>
      <c r="RKH10" s="3438"/>
      <c r="RKI10" s="3438"/>
      <c r="RKJ10" s="3438"/>
      <c r="RKK10" s="3438"/>
      <c r="RKL10" s="3438"/>
      <c r="RKM10" s="3438"/>
      <c r="RKN10" s="3438"/>
      <c r="RKO10" s="3438"/>
      <c r="RKP10" s="3438"/>
      <c r="RKQ10" s="3438"/>
      <c r="RKR10" s="3438"/>
      <c r="RKS10" s="3438"/>
      <c r="RKT10" s="3438"/>
      <c r="RKU10" s="3438"/>
      <c r="RKV10" s="3438"/>
      <c r="RKW10" s="3438"/>
      <c r="RKX10" s="3438"/>
      <c r="RKY10" s="3438"/>
      <c r="RKZ10" s="3438"/>
      <c r="RLA10" s="3438"/>
      <c r="RLB10" s="3438"/>
      <c r="RLC10" s="3438"/>
      <c r="RLD10" s="3438"/>
      <c r="RLE10" s="3438"/>
      <c r="RLF10" s="3438"/>
      <c r="RLG10" s="3438"/>
      <c r="RLH10" s="3438"/>
      <c r="RLI10" s="3438"/>
      <c r="RLJ10" s="3438"/>
      <c r="RLK10" s="3438"/>
      <c r="RLL10" s="3438"/>
      <c r="RLM10" s="3438"/>
      <c r="RLN10" s="3438"/>
      <c r="RLO10" s="3438"/>
      <c r="RLP10" s="3438"/>
      <c r="RLQ10" s="3438"/>
      <c r="RLR10" s="3438"/>
      <c r="RLS10" s="3438"/>
      <c r="RLT10" s="3438"/>
      <c r="RLU10" s="3438"/>
      <c r="RLV10" s="3438"/>
      <c r="RLW10" s="3438"/>
      <c r="RLX10" s="3438"/>
      <c r="RLY10" s="3438"/>
      <c r="RLZ10" s="3438"/>
      <c r="RMA10" s="3438"/>
      <c r="RMB10" s="3438"/>
      <c r="RMC10" s="3438"/>
      <c r="RMD10" s="3438"/>
      <c r="RME10" s="3438"/>
      <c r="RMF10" s="3438"/>
      <c r="RMG10" s="3438"/>
      <c r="RMH10" s="3438"/>
      <c r="RMI10" s="3438"/>
      <c r="RMJ10" s="3438"/>
      <c r="RMK10" s="3438"/>
      <c r="RML10" s="3438"/>
      <c r="RMM10" s="3438"/>
      <c r="RMN10" s="3438"/>
      <c r="RMO10" s="3438"/>
      <c r="RMP10" s="3438"/>
      <c r="RMQ10" s="3438"/>
      <c r="RMR10" s="3438"/>
      <c r="RMS10" s="3438"/>
      <c r="RMT10" s="3438"/>
      <c r="RMU10" s="3438"/>
      <c r="RMV10" s="3438"/>
      <c r="RMW10" s="3438"/>
      <c r="RMX10" s="3438"/>
      <c r="RMY10" s="3438"/>
      <c r="RMZ10" s="3438"/>
      <c r="RNA10" s="3438"/>
      <c r="RNB10" s="3438"/>
      <c r="RNC10" s="3438"/>
      <c r="RND10" s="3438"/>
      <c r="RNE10" s="3438"/>
      <c r="RNF10" s="3438"/>
      <c r="RNG10" s="3438"/>
      <c r="RNH10" s="3438"/>
      <c r="RNI10" s="3438"/>
      <c r="RNJ10" s="3438"/>
      <c r="RNK10" s="3438"/>
      <c r="RNL10" s="3438"/>
      <c r="RNM10" s="3438"/>
      <c r="RNN10" s="3438"/>
      <c r="RNO10" s="3438"/>
      <c r="RNP10" s="3438"/>
      <c r="RNQ10" s="3438"/>
      <c r="RNR10" s="3438"/>
      <c r="RNS10" s="3438"/>
      <c r="RNT10" s="3438"/>
      <c r="RNU10" s="3438"/>
      <c r="RNV10" s="3438"/>
      <c r="RNW10" s="3438"/>
      <c r="RNX10" s="3438"/>
      <c r="RNY10" s="3438"/>
      <c r="RNZ10" s="3438"/>
      <c r="ROA10" s="3438"/>
      <c r="ROB10" s="3438"/>
      <c r="ROC10" s="3438"/>
      <c r="ROD10" s="3438"/>
      <c r="ROE10" s="3438"/>
      <c r="ROF10" s="3438"/>
      <c r="ROG10" s="3438"/>
      <c r="ROH10" s="3438"/>
      <c r="ROI10" s="3438"/>
      <c r="ROJ10" s="3438"/>
      <c r="ROK10" s="3438"/>
      <c r="ROL10" s="3438"/>
      <c r="ROM10" s="3438"/>
      <c r="RON10" s="3438"/>
      <c r="ROO10" s="3438"/>
      <c r="ROP10" s="3438"/>
      <c r="ROQ10" s="3438"/>
      <c r="ROR10" s="3438"/>
      <c r="ROS10" s="3438"/>
      <c r="ROT10" s="3438"/>
      <c r="ROU10" s="3438"/>
      <c r="ROV10" s="3438"/>
      <c r="ROW10" s="3438"/>
      <c r="ROX10" s="3438"/>
      <c r="ROY10" s="3438"/>
      <c r="ROZ10" s="3438"/>
      <c r="RPA10" s="3438"/>
      <c r="RPB10" s="3438"/>
      <c r="RPC10" s="3438"/>
      <c r="RPD10" s="3438"/>
      <c r="RPE10" s="3438"/>
      <c r="RPF10" s="3438"/>
      <c r="RPG10" s="3438"/>
      <c r="RPH10" s="3438"/>
      <c r="RPI10" s="3438"/>
      <c r="RPJ10" s="3438"/>
      <c r="RPK10" s="3438"/>
      <c r="RPL10" s="3438"/>
      <c r="RPM10" s="3438"/>
      <c r="RPN10" s="3438"/>
      <c r="RPO10" s="3438"/>
      <c r="RPP10" s="3438"/>
      <c r="RPQ10" s="3438"/>
      <c r="RPR10" s="3438"/>
      <c r="RPS10" s="3438"/>
      <c r="RPT10" s="3438"/>
      <c r="RPU10" s="3438"/>
      <c r="RPV10" s="3438"/>
      <c r="RPW10" s="3438"/>
      <c r="RPX10" s="3438"/>
      <c r="RPY10" s="3438"/>
      <c r="RPZ10" s="3438"/>
      <c r="RQA10" s="3438"/>
      <c r="RQB10" s="3438"/>
      <c r="RQC10" s="3438"/>
      <c r="RQD10" s="3438"/>
      <c r="RQE10" s="3438"/>
      <c r="RQF10" s="3438"/>
      <c r="RQG10" s="3438"/>
      <c r="RQH10" s="3438"/>
      <c r="RQI10" s="3438"/>
      <c r="RQJ10" s="3438"/>
      <c r="RQK10" s="3438"/>
      <c r="RQL10" s="3438"/>
      <c r="RQM10" s="3438"/>
      <c r="RQN10" s="3438"/>
      <c r="RQO10" s="3438"/>
      <c r="RQP10" s="3438"/>
      <c r="RQQ10" s="3438"/>
      <c r="RQR10" s="3438"/>
      <c r="RQS10" s="3438"/>
      <c r="RQT10" s="3438"/>
      <c r="RQU10" s="3438"/>
      <c r="RQV10" s="3438"/>
      <c r="RQW10" s="3438"/>
      <c r="RQX10" s="3438"/>
      <c r="RQY10" s="3438"/>
      <c r="RQZ10" s="3438"/>
      <c r="RRA10" s="3438"/>
      <c r="RRB10" s="3438"/>
      <c r="RRC10" s="3438"/>
      <c r="RRD10" s="3438"/>
      <c r="RRE10" s="3438"/>
      <c r="RRF10" s="3438"/>
      <c r="RRG10" s="3438"/>
      <c r="RRH10" s="3438"/>
      <c r="RRI10" s="3438"/>
      <c r="RRJ10" s="3438"/>
      <c r="RRK10" s="3438"/>
      <c r="RRL10" s="3438"/>
      <c r="RRM10" s="3438"/>
      <c r="RRN10" s="3438"/>
      <c r="RRO10" s="3438"/>
      <c r="RRP10" s="3438"/>
      <c r="RRQ10" s="3438"/>
      <c r="RRR10" s="3438"/>
      <c r="RRS10" s="3438"/>
      <c r="RRT10" s="3438"/>
      <c r="RRU10" s="3438"/>
      <c r="RRV10" s="3438"/>
      <c r="RRW10" s="3438"/>
      <c r="RRX10" s="3438"/>
      <c r="RRY10" s="3438"/>
      <c r="RRZ10" s="3438"/>
      <c r="RSA10" s="3438"/>
      <c r="RSB10" s="3438"/>
      <c r="RSC10" s="3438"/>
      <c r="RSD10" s="3438"/>
      <c r="RSE10" s="3438"/>
      <c r="RSF10" s="3438"/>
      <c r="RSG10" s="3438"/>
      <c r="RSH10" s="3438"/>
      <c r="RSI10" s="3438"/>
      <c r="RSJ10" s="3438"/>
      <c r="RSK10" s="3438"/>
      <c r="RSL10" s="3438"/>
      <c r="RSM10" s="3438"/>
      <c r="RSN10" s="3438"/>
      <c r="RSO10" s="3438"/>
      <c r="RSP10" s="3438"/>
      <c r="RSQ10" s="3438"/>
      <c r="RSR10" s="3438"/>
      <c r="RSS10" s="3438"/>
      <c r="RST10" s="3438"/>
      <c r="RSU10" s="3438"/>
      <c r="RSV10" s="3438"/>
      <c r="RSW10" s="3438"/>
      <c r="RSX10" s="3438"/>
      <c r="RSY10" s="3438"/>
      <c r="RSZ10" s="3438"/>
      <c r="RTA10" s="3438"/>
      <c r="RTB10" s="3438"/>
      <c r="RTC10" s="3438"/>
      <c r="RTD10" s="3438"/>
      <c r="RTE10" s="3438"/>
      <c r="RTF10" s="3438"/>
      <c r="RTG10" s="3438"/>
      <c r="RTH10" s="3438"/>
      <c r="RTI10" s="3438"/>
      <c r="RTJ10" s="3438"/>
      <c r="RTK10" s="3438"/>
      <c r="RTL10" s="3438"/>
      <c r="RTM10" s="3438"/>
      <c r="RTN10" s="3438"/>
      <c r="RTO10" s="3438"/>
      <c r="RTP10" s="3438"/>
      <c r="RTQ10" s="3438"/>
      <c r="RTR10" s="3438"/>
      <c r="RTS10" s="3438"/>
      <c r="RTT10" s="3438"/>
      <c r="RTU10" s="3438"/>
      <c r="RTV10" s="3438"/>
      <c r="RTW10" s="3438"/>
      <c r="RTX10" s="3438"/>
      <c r="RTY10" s="3438"/>
      <c r="RTZ10" s="3438"/>
      <c r="RUA10" s="3438"/>
      <c r="RUB10" s="3438"/>
      <c r="RUC10" s="3438"/>
      <c r="RUD10" s="3438"/>
      <c r="RUE10" s="3438"/>
      <c r="RUF10" s="3438"/>
      <c r="RUG10" s="3438"/>
      <c r="RUH10" s="3438"/>
      <c r="RUI10" s="3438"/>
      <c r="RUJ10" s="3438"/>
      <c r="RUK10" s="3438"/>
      <c r="RUL10" s="3438"/>
      <c r="RUM10" s="3438"/>
      <c r="RUN10" s="3438"/>
      <c r="RUO10" s="3438"/>
      <c r="RUP10" s="3438"/>
      <c r="RUQ10" s="3438"/>
      <c r="RUR10" s="3438"/>
      <c r="RUS10" s="3438"/>
      <c r="RUT10" s="3438"/>
      <c r="RUU10" s="3438"/>
      <c r="RUV10" s="3438"/>
      <c r="RUW10" s="3438"/>
      <c r="RUX10" s="3438"/>
      <c r="RUY10" s="3438"/>
      <c r="RUZ10" s="3438"/>
      <c r="RVA10" s="3438"/>
      <c r="RVB10" s="3438"/>
      <c r="RVC10" s="3438"/>
      <c r="RVD10" s="3438"/>
      <c r="RVE10" s="3438"/>
      <c r="RVF10" s="3438"/>
      <c r="RVG10" s="3438"/>
      <c r="RVH10" s="3438"/>
      <c r="RVI10" s="3438"/>
      <c r="RVJ10" s="3438"/>
      <c r="RVK10" s="3438"/>
      <c r="RVL10" s="3438"/>
      <c r="RVM10" s="3438"/>
      <c r="RVN10" s="3438"/>
      <c r="RVO10" s="3438"/>
      <c r="RVP10" s="3438"/>
      <c r="RVQ10" s="3438"/>
      <c r="RVR10" s="3438"/>
      <c r="RVS10" s="3438"/>
      <c r="RVT10" s="3438"/>
      <c r="RVU10" s="3438"/>
      <c r="RVV10" s="3438"/>
      <c r="RVW10" s="3438"/>
      <c r="RVX10" s="3438"/>
      <c r="RVY10" s="3438"/>
      <c r="RVZ10" s="3438"/>
      <c r="RWA10" s="3438"/>
      <c r="RWB10" s="3438"/>
      <c r="RWC10" s="3438"/>
      <c r="RWD10" s="3438"/>
      <c r="RWE10" s="3438"/>
      <c r="RWF10" s="3438"/>
      <c r="RWG10" s="3438"/>
      <c r="RWH10" s="3438"/>
      <c r="RWI10" s="3438"/>
      <c r="RWJ10" s="3438"/>
      <c r="RWK10" s="3438"/>
      <c r="RWL10" s="3438"/>
      <c r="RWM10" s="3438"/>
      <c r="RWN10" s="3438"/>
      <c r="RWO10" s="3438"/>
      <c r="RWP10" s="3438"/>
      <c r="RWQ10" s="3438"/>
      <c r="RWR10" s="3438"/>
      <c r="RWS10" s="3438"/>
      <c r="RWT10" s="3438"/>
      <c r="RWU10" s="3438"/>
      <c r="RWV10" s="3438"/>
      <c r="RWW10" s="3438"/>
      <c r="RWX10" s="3438"/>
      <c r="RWY10" s="3438"/>
      <c r="RWZ10" s="3438"/>
      <c r="RXA10" s="3438"/>
      <c r="RXB10" s="3438"/>
      <c r="RXC10" s="3438"/>
      <c r="RXD10" s="3438"/>
      <c r="RXE10" s="3438"/>
      <c r="RXF10" s="3438"/>
      <c r="RXG10" s="3438"/>
      <c r="RXH10" s="3438"/>
      <c r="RXI10" s="3438"/>
      <c r="RXJ10" s="3438"/>
      <c r="RXK10" s="3438"/>
      <c r="RXL10" s="3438"/>
      <c r="RXM10" s="3438"/>
      <c r="RXN10" s="3438"/>
      <c r="RXO10" s="3438"/>
      <c r="RXP10" s="3438"/>
      <c r="RXQ10" s="3438"/>
      <c r="RXR10" s="3438"/>
      <c r="RXS10" s="3438"/>
      <c r="RXT10" s="3438"/>
      <c r="RXU10" s="3438"/>
      <c r="RXV10" s="3438"/>
      <c r="RXW10" s="3438"/>
      <c r="RXX10" s="3438"/>
      <c r="RXY10" s="3438"/>
      <c r="RXZ10" s="3438"/>
      <c r="RYA10" s="3438"/>
      <c r="RYB10" s="3438"/>
      <c r="RYC10" s="3438"/>
      <c r="RYD10" s="3438"/>
      <c r="RYE10" s="3438"/>
      <c r="RYF10" s="3438"/>
      <c r="RYG10" s="3438"/>
      <c r="RYH10" s="3438"/>
      <c r="RYI10" s="3438"/>
      <c r="RYJ10" s="3438"/>
      <c r="RYK10" s="3438"/>
      <c r="RYL10" s="3438"/>
      <c r="RYM10" s="3438"/>
      <c r="RYN10" s="3438"/>
      <c r="RYO10" s="3438"/>
      <c r="RYP10" s="3438"/>
      <c r="RYQ10" s="3438"/>
      <c r="RYR10" s="3438"/>
      <c r="RYS10" s="3438"/>
      <c r="RYT10" s="3438"/>
      <c r="RYU10" s="3438"/>
      <c r="RYV10" s="3438"/>
      <c r="RYW10" s="3438"/>
      <c r="RYX10" s="3438"/>
      <c r="RYY10" s="3438"/>
      <c r="RYZ10" s="3438"/>
      <c r="RZA10" s="3438"/>
      <c r="RZB10" s="3438"/>
      <c r="RZC10" s="3438"/>
      <c r="RZD10" s="3438"/>
      <c r="RZE10" s="3438"/>
      <c r="RZF10" s="3438"/>
      <c r="RZG10" s="3438"/>
      <c r="RZH10" s="3438"/>
      <c r="RZI10" s="3438"/>
      <c r="RZJ10" s="3438"/>
      <c r="RZK10" s="3438"/>
      <c r="RZL10" s="3438"/>
      <c r="RZM10" s="3438"/>
      <c r="RZN10" s="3438"/>
      <c r="RZO10" s="3438"/>
      <c r="RZP10" s="3438"/>
      <c r="RZQ10" s="3438"/>
      <c r="RZR10" s="3438"/>
      <c r="RZS10" s="3438"/>
      <c r="RZT10" s="3438"/>
      <c r="RZU10" s="3438"/>
      <c r="RZV10" s="3438"/>
      <c r="RZW10" s="3438"/>
      <c r="RZX10" s="3438"/>
      <c r="RZY10" s="3438"/>
      <c r="RZZ10" s="3438"/>
      <c r="SAA10" s="3438"/>
      <c r="SAB10" s="3438"/>
      <c r="SAC10" s="3438"/>
      <c r="SAD10" s="3438"/>
      <c r="SAE10" s="3438"/>
      <c r="SAF10" s="3438"/>
      <c r="SAG10" s="3438"/>
      <c r="SAH10" s="3438"/>
      <c r="SAI10" s="3438"/>
      <c r="SAJ10" s="3438"/>
      <c r="SAK10" s="3438"/>
      <c r="SAL10" s="3438"/>
      <c r="SAM10" s="3438"/>
      <c r="SAN10" s="3438"/>
      <c r="SAO10" s="3438"/>
      <c r="SAP10" s="3438"/>
      <c r="SAQ10" s="3438"/>
      <c r="SAR10" s="3438"/>
      <c r="SAS10" s="3438"/>
      <c r="SAT10" s="3438"/>
      <c r="SAU10" s="3438"/>
      <c r="SAV10" s="3438"/>
      <c r="SAW10" s="3438"/>
      <c r="SAX10" s="3438"/>
      <c r="SAY10" s="3438"/>
      <c r="SAZ10" s="3438"/>
      <c r="SBA10" s="3438"/>
      <c r="SBB10" s="3438"/>
      <c r="SBC10" s="3438"/>
      <c r="SBD10" s="3438"/>
      <c r="SBE10" s="3438"/>
      <c r="SBF10" s="3438"/>
      <c r="SBG10" s="3438"/>
      <c r="SBH10" s="3438"/>
      <c r="SBI10" s="3438"/>
      <c r="SBJ10" s="3438"/>
      <c r="SBK10" s="3438"/>
      <c r="SBL10" s="3438"/>
      <c r="SBM10" s="3438"/>
      <c r="SBN10" s="3438"/>
      <c r="SBO10" s="3438"/>
      <c r="SBP10" s="3438"/>
      <c r="SBQ10" s="3438"/>
      <c r="SBR10" s="3438"/>
      <c r="SBS10" s="3438"/>
      <c r="SBT10" s="3438"/>
      <c r="SBU10" s="3438"/>
      <c r="SBV10" s="3438"/>
      <c r="SBW10" s="3438"/>
      <c r="SBX10" s="3438"/>
      <c r="SBY10" s="3438"/>
      <c r="SBZ10" s="3438"/>
      <c r="SCA10" s="3438"/>
      <c r="SCB10" s="3438"/>
      <c r="SCC10" s="3438"/>
      <c r="SCD10" s="3438"/>
      <c r="SCE10" s="3438"/>
      <c r="SCF10" s="3438"/>
      <c r="SCG10" s="3438"/>
      <c r="SCH10" s="3438"/>
      <c r="SCI10" s="3438"/>
      <c r="SCJ10" s="3438"/>
      <c r="SCK10" s="3438"/>
      <c r="SCL10" s="3438"/>
      <c r="SCM10" s="3438"/>
      <c r="SCN10" s="3438"/>
      <c r="SCO10" s="3438"/>
      <c r="SCP10" s="3438"/>
      <c r="SCQ10" s="3438"/>
      <c r="SCR10" s="3438"/>
      <c r="SCS10" s="3438"/>
      <c r="SCT10" s="3438"/>
      <c r="SCU10" s="3438"/>
      <c r="SCV10" s="3438"/>
      <c r="SCW10" s="3438"/>
      <c r="SCX10" s="3438"/>
      <c r="SCY10" s="3438"/>
      <c r="SCZ10" s="3438"/>
      <c r="SDA10" s="3438"/>
      <c r="SDB10" s="3438"/>
      <c r="SDC10" s="3438"/>
      <c r="SDD10" s="3438"/>
      <c r="SDE10" s="3438"/>
      <c r="SDF10" s="3438"/>
      <c r="SDG10" s="3438"/>
      <c r="SDH10" s="3438"/>
      <c r="SDI10" s="3438"/>
      <c r="SDJ10" s="3438"/>
      <c r="SDK10" s="3438"/>
      <c r="SDL10" s="3438"/>
      <c r="SDM10" s="3438"/>
      <c r="SDN10" s="3438"/>
      <c r="SDO10" s="3438"/>
      <c r="SDP10" s="3438"/>
      <c r="SDQ10" s="3438"/>
      <c r="SDR10" s="3438"/>
      <c r="SDS10" s="3438"/>
      <c r="SDT10" s="3438"/>
      <c r="SDU10" s="3438"/>
      <c r="SDV10" s="3438"/>
      <c r="SDW10" s="3438"/>
      <c r="SDX10" s="3438"/>
      <c r="SDY10" s="3438"/>
      <c r="SDZ10" s="3438"/>
      <c r="SEA10" s="3438"/>
      <c r="SEB10" s="3438"/>
      <c r="SEC10" s="3438"/>
      <c r="SED10" s="3438"/>
      <c r="SEE10" s="3438"/>
      <c r="SEF10" s="3438"/>
      <c r="SEG10" s="3438"/>
      <c r="SEH10" s="3438"/>
      <c r="SEI10" s="3438"/>
      <c r="SEJ10" s="3438"/>
      <c r="SEK10" s="3438"/>
      <c r="SEL10" s="3438"/>
      <c r="SEM10" s="3438"/>
      <c r="SEN10" s="3438"/>
      <c r="SEO10" s="3438"/>
      <c r="SEP10" s="3438"/>
      <c r="SEQ10" s="3438"/>
      <c r="SER10" s="3438"/>
      <c r="SES10" s="3438"/>
      <c r="SET10" s="3438"/>
      <c r="SEU10" s="3438"/>
      <c r="SEV10" s="3438"/>
      <c r="SEW10" s="3438"/>
      <c r="SEX10" s="3438"/>
      <c r="SEY10" s="3438"/>
      <c r="SEZ10" s="3438"/>
      <c r="SFA10" s="3438"/>
      <c r="SFB10" s="3438"/>
      <c r="SFC10" s="3438"/>
      <c r="SFD10" s="3438"/>
      <c r="SFE10" s="3438"/>
      <c r="SFF10" s="3438"/>
      <c r="SFG10" s="3438"/>
      <c r="SFH10" s="3438"/>
      <c r="SFI10" s="3438"/>
      <c r="SFJ10" s="3438"/>
      <c r="SFK10" s="3438"/>
      <c r="SFL10" s="3438"/>
      <c r="SFM10" s="3438"/>
      <c r="SFN10" s="3438"/>
      <c r="SFO10" s="3438"/>
      <c r="SFP10" s="3438"/>
      <c r="SFQ10" s="3438"/>
      <c r="SFR10" s="3438"/>
      <c r="SFS10" s="3438"/>
      <c r="SFT10" s="3438"/>
      <c r="SFU10" s="3438"/>
      <c r="SFV10" s="3438"/>
      <c r="SFW10" s="3438"/>
      <c r="SFX10" s="3438"/>
      <c r="SFY10" s="3438"/>
      <c r="SFZ10" s="3438"/>
      <c r="SGA10" s="3438"/>
      <c r="SGB10" s="3438"/>
      <c r="SGC10" s="3438"/>
      <c r="SGD10" s="3438"/>
      <c r="SGE10" s="3438"/>
      <c r="SGF10" s="3438"/>
      <c r="SGG10" s="3438"/>
      <c r="SGH10" s="3438"/>
      <c r="SGI10" s="3438"/>
      <c r="SGJ10" s="3438"/>
      <c r="SGK10" s="3438"/>
      <c r="SGL10" s="3438"/>
      <c r="SGM10" s="3438"/>
      <c r="SGN10" s="3438"/>
      <c r="SGO10" s="3438"/>
      <c r="SGP10" s="3438"/>
      <c r="SGQ10" s="3438"/>
      <c r="SGR10" s="3438"/>
      <c r="SGS10" s="3438"/>
      <c r="SGT10" s="3438"/>
      <c r="SGU10" s="3438"/>
      <c r="SGV10" s="3438"/>
      <c r="SGW10" s="3438"/>
      <c r="SGX10" s="3438"/>
      <c r="SGY10" s="3438"/>
      <c r="SGZ10" s="3438"/>
      <c r="SHA10" s="3438"/>
      <c r="SHB10" s="3438"/>
      <c r="SHC10" s="3438"/>
      <c r="SHD10" s="3438"/>
      <c r="SHE10" s="3438"/>
      <c r="SHF10" s="3438"/>
      <c r="SHG10" s="3438"/>
      <c r="SHH10" s="3438"/>
      <c r="SHI10" s="3438"/>
      <c r="SHJ10" s="3438"/>
      <c r="SHK10" s="3438"/>
      <c r="SHL10" s="3438"/>
      <c r="SHM10" s="3438"/>
      <c r="SHN10" s="3438"/>
      <c r="SHO10" s="3438"/>
      <c r="SHP10" s="3438"/>
      <c r="SHQ10" s="3438"/>
      <c r="SHR10" s="3438"/>
      <c r="SHS10" s="3438"/>
      <c r="SHT10" s="3438"/>
      <c r="SHU10" s="3438"/>
      <c r="SHV10" s="3438"/>
      <c r="SHW10" s="3438"/>
      <c r="SHX10" s="3438"/>
      <c r="SHY10" s="3438"/>
      <c r="SHZ10" s="3438"/>
      <c r="SIA10" s="3438"/>
      <c r="SIB10" s="3438"/>
      <c r="SIC10" s="3438"/>
      <c r="SID10" s="3438"/>
      <c r="SIE10" s="3438"/>
      <c r="SIF10" s="3438"/>
      <c r="SIG10" s="3438"/>
      <c r="SIH10" s="3438"/>
      <c r="SII10" s="3438"/>
      <c r="SIJ10" s="3438"/>
      <c r="SIK10" s="3438"/>
      <c r="SIL10" s="3438"/>
      <c r="SIM10" s="3438"/>
      <c r="SIN10" s="3438"/>
      <c r="SIO10" s="3438"/>
      <c r="SIP10" s="3438"/>
      <c r="SIQ10" s="3438"/>
      <c r="SIR10" s="3438"/>
      <c r="SIS10" s="3438"/>
      <c r="SIT10" s="3438"/>
      <c r="SIU10" s="3438"/>
      <c r="SIV10" s="3438"/>
      <c r="SIW10" s="3438"/>
      <c r="SIX10" s="3438"/>
      <c r="SIY10" s="3438"/>
      <c r="SIZ10" s="3438"/>
      <c r="SJA10" s="3438"/>
      <c r="SJB10" s="3438"/>
      <c r="SJC10" s="3438"/>
      <c r="SJD10" s="3438"/>
      <c r="SJE10" s="3438"/>
      <c r="SJF10" s="3438"/>
      <c r="SJG10" s="3438"/>
      <c r="SJH10" s="3438"/>
      <c r="SJI10" s="3438"/>
      <c r="SJJ10" s="3438"/>
      <c r="SJK10" s="3438"/>
      <c r="SJL10" s="3438"/>
      <c r="SJM10" s="3438"/>
      <c r="SJN10" s="3438"/>
      <c r="SJO10" s="3438"/>
      <c r="SJP10" s="3438"/>
      <c r="SJQ10" s="3438"/>
      <c r="SJR10" s="3438"/>
      <c r="SJS10" s="3438"/>
      <c r="SJT10" s="3438"/>
      <c r="SJU10" s="3438"/>
      <c r="SJV10" s="3438"/>
      <c r="SJW10" s="3438"/>
      <c r="SJX10" s="3438"/>
      <c r="SJY10" s="3438"/>
      <c r="SJZ10" s="3438"/>
      <c r="SKA10" s="3438"/>
      <c r="SKB10" s="3438"/>
      <c r="SKC10" s="3438"/>
      <c r="SKD10" s="3438"/>
      <c r="SKE10" s="3438"/>
      <c r="SKF10" s="3438"/>
      <c r="SKG10" s="3438"/>
      <c r="SKH10" s="3438"/>
      <c r="SKI10" s="3438"/>
      <c r="SKJ10" s="3438"/>
      <c r="SKK10" s="3438"/>
      <c r="SKL10" s="3438"/>
      <c r="SKM10" s="3438"/>
      <c r="SKN10" s="3438"/>
      <c r="SKO10" s="3438"/>
      <c r="SKP10" s="3438"/>
      <c r="SKQ10" s="3438"/>
      <c r="SKR10" s="3438"/>
      <c r="SKS10" s="3438"/>
      <c r="SKT10" s="3438"/>
      <c r="SKU10" s="3438"/>
      <c r="SKV10" s="3438"/>
      <c r="SKW10" s="3438"/>
      <c r="SKX10" s="3438"/>
      <c r="SKY10" s="3438"/>
      <c r="SKZ10" s="3438"/>
      <c r="SLA10" s="3438"/>
      <c r="SLB10" s="3438"/>
      <c r="SLC10" s="3438"/>
      <c r="SLD10" s="3438"/>
      <c r="SLE10" s="3438"/>
      <c r="SLF10" s="3438"/>
      <c r="SLG10" s="3438"/>
      <c r="SLH10" s="3438"/>
      <c r="SLI10" s="3438"/>
      <c r="SLJ10" s="3438"/>
      <c r="SLK10" s="3438"/>
      <c r="SLL10" s="3438"/>
      <c r="SLM10" s="3438"/>
      <c r="SLN10" s="3438"/>
      <c r="SLO10" s="3438"/>
      <c r="SLP10" s="3438"/>
      <c r="SLQ10" s="3438"/>
      <c r="SLR10" s="3438"/>
      <c r="SLS10" s="3438"/>
      <c r="SLT10" s="3438"/>
      <c r="SLU10" s="3438"/>
      <c r="SLV10" s="3438"/>
      <c r="SLW10" s="3438"/>
      <c r="SLX10" s="3438"/>
      <c r="SLY10" s="3438"/>
      <c r="SLZ10" s="3438"/>
      <c r="SMA10" s="3438"/>
      <c r="SMB10" s="3438"/>
      <c r="SMC10" s="3438"/>
      <c r="SMD10" s="3438"/>
      <c r="SME10" s="3438"/>
      <c r="SMF10" s="3438"/>
      <c r="SMG10" s="3438"/>
      <c r="SMH10" s="3438"/>
      <c r="SMI10" s="3438"/>
      <c r="SMJ10" s="3438"/>
      <c r="SMK10" s="3438"/>
      <c r="SML10" s="3438"/>
      <c r="SMM10" s="3438"/>
      <c r="SMN10" s="3438"/>
      <c r="SMO10" s="3438"/>
      <c r="SMP10" s="3438"/>
      <c r="SMQ10" s="3438"/>
      <c r="SMR10" s="3438"/>
      <c r="SMS10" s="3438"/>
      <c r="SMT10" s="3438"/>
      <c r="SMU10" s="3438"/>
      <c r="SMV10" s="3438"/>
      <c r="SMW10" s="3438"/>
      <c r="SMX10" s="3438"/>
      <c r="SMY10" s="3438"/>
      <c r="SMZ10" s="3438"/>
      <c r="SNA10" s="3438"/>
      <c r="SNB10" s="3438"/>
      <c r="SNC10" s="3438"/>
      <c r="SND10" s="3438"/>
      <c r="SNE10" s="3438"/>
      <c r="SNF10" s="3438"/>
      <c r="SNG10" s="3438"/>
      <c r="SNH10" s="3438"/>
      <c r="SNI10" s="3438"/>
      <c r="SNJ10" s="3438"/>
      <c r="SNK10" s="3438"/>
      <c r="SNL10" s="3438"/>
      <c r="SNM10" s="3438"/>
      <c r="SNN10" s="3438"/>
      <c r="SNO10" s="3438"/>
      <c r="SNP10" s="3438"/>
      <c r="SNQ10" s="3438"/>
      <c r="SNR10" s="3438"/>
      <c r="SNS10" s="3438"/>
      <c r="SNT10" s="3438"/>
      <c r="SNU10" s="3438"/>
      <c r="SNV10" s="3438"/>
      <c r="SNW10" s="3438"/>
      <c r="SNX10" s="3438"/>
      <c r="SNY10" s="3438"/>
      <c r="SNZ10" s="3438"/>
      <c r="SOA10" s="3438"/>
      <c r="SOB10" s="3438"/>
      <c r="SOC10" s="3438"/>
      <c r="SOD10" s="3438"/>
      <c r="SOE10" s="3438"/>
      <c r="SOF10" s="3438"/>
      <c r="SOG10" s="3438"/>
      <c r="SOH10" s="3438"/>
      <c r="SOI10" s="3438"/>
      <c r="SOJ10" s="3438"/>
      <c r="SOK10" s="3438"/>
      <c r="SOL10" s="3438"/>
      <c r="SOM10" s="3438"/>
      <c r="SON10" s="3438"/>
      <c r="SOO10" s="3438"/>
      <c r="SOP10" s="3438"/>
      <c r="SOQ10" s="3438"/>
      <c r="SOR10" s="3438"/>
      <c r="SOS10" s="3438"/>
      <c r="SOT10" s="3438"/>
      <c r="SOU10" s="3438"/>
      <c r="SOV10" s="3438"/>
      <c r="SOW10" s="3438"/>
      <c r="SOX10" s="3438"/>
      <c r="SOY10" s="3438"/>
      <c r="SOZ10" s="3438"/>
      <c r="SPA10" s="3438"/>
      <c r="SPB10" s="3438"/>
      <c r="SPC10" s="3438"/>
      <c r="SPD10" s="3438"/>
      <c r="SPE10" s="3438"/>
      <c r="SPF10" s="3438"/>
      <c r="SPG10" s="3438"/>
      <c r="SPH10" s="3438"/>
      <c r="SPI10" s="3438"/>
      <c r="SPJ10" s="3438"/>
      <c r="SPK10" s="3438"/>
      <c r="SPL10" s="3438"/>
      <c r="SPM10" s="3438"/>
      <c r="SPN10" s="3438"/>
      <c r="SPO10" s="3438"/>
      <c r="SPP10" s="3438"/>
      <c r="SPQ10" s="3438"/>
      <c r="SPR10" s="3438"/>
      <c r="SPS10" s="3438"/>
      <c r="SPT10" s="3438"/>
      <c r="SPU10" s="3438"/>
      <c r="SPV10" s="3438"/>
      <c r="SPW10" s="3438"/>
      <c r="SPX10" s="3438"/>
      <c r="SPY10" s="3438"/>
      <c r="SPZ10" s="3438"/>
      <c r="SQA10" s="3438"/>
      <c r="SQB10" s="3438"/>
      <c r="SQC10" s="3438"/>
      <c r="SQD10" s="3438"/>
      <c r="SQE10" s="3438"/>
      <c r="SQF10" s="3438"/>
      <c r="SQG10" s="3438"/>
      <c r="SQH10" s="3438"/>
      <c r="SQI10" s="3438"/>
      <c r="SQJ10" s="3438"/>
      <c r="SQK10" s="3438"/>
      <c r="SQL10" s="3438"/>
      <c r="SQM10" s="3438"/>
      <c r="SQN10" s="3438"/>
      <c r="SQO10" s="3438"/>
      <c r="SQP10" s="3438"/>
      <c r="SQQ10" s="3438"/>
      <c r="SQR10" s="3438"/>
      <c r="SQS10" s="3438"/>
      <c r="SQT10" s="3438"/>
      <c r="SQU10" s="3438"/>
      <c r="SQV10" s="3438"/>
      <c r="SQW10" s="3438"/>
      <c r="SQX10" s="3438"/>
      <c r="SQY10" s="3438"/>
      <c r="SQZ10" s="3438"/>
      <c r="SRA10" s="3438"/>
      <c r="SRB10" s="3438"/>
      <c r="SRC10" s="3438"/>
      <c r="SRD10" s="3438"/>
      <c r="SRE10" s="3438"/>
      <c r="SRF10" s="3438"/>
      <c r="SRG10" s="3438"/>
      <c r="SRH10" s="3438"/>
      <c r="SRI10" s="3438"/>
      <c r="SRJ10" s="3438"/>
      <c r="SRK10" s="3438"/>
      <c r="SRL10" s="3438"/>
      <c r="SRM10" s="3438"/>
      <c r="SRN10" s="3438"/>
      <c r="SRO10" s="3438"/>
      <c r="SRP10" s="3438"/>
      <c r="SRQ10" s="3438"/>
      <c r="SRR10" s="3438"/>
      <c r="SRS10" s="3438"/>
      <c r="SRT10" s="3438"/>
      <c r="SRU10" s="3438"/>
      <c r="SRV10" s="3438"/>
      <c r="SRW10" s="3438"/>
      <c r="SRX10" s="3438"/>
      <c r="SRY10" s="3438"/>
      <c r="SRZ10" s="3438"/>
      <c r="SSA10" s="3438"/>
      <c r="SSB10" s="3438"/>
      <c r="SSC10" s="3438"/>
      <c r="SSD10" s="3438"/>
      <c r="SSE10" s="3438"/>
      <c r="SSF10" s="3438"/>
      <c r="SSG10" s="3438"/>
      <c r="SSH10" s="3438"/>
      <c r="SSI10" s="3438"/>
      <c r="SSJ10" s="3438"/>
      <c r="SSK10" s="3438"/>
      <c r="SSL10" s="3438"/>
      <c r="SSM10" s="3438"/>
      <c r="SSN10" s="3438"/>
      <c r="SSO10" s="3438"/>
      <c r="SSP10" s="3438"/>
      <c r="SSQ10" s="3438"/>
      <c r="SSR10" s="3438"/>
      <c r="SSS10" s="3438"/>
      <c r="SST10" s="3438"/>
      <c r="SSU10" s="3438"/>
      <c r="SSV10" s="3438"/>
      <c r="SSW10" s="3438"/>
      <c r="SSX10" s="3438"/>
      <c r="SSY10" s="3438"/>
      <c r="SSZ10" s="3438"/>
      <c r="STA10" s="3438"/>
      <c r="STB10" s="3438"/>
      <c r="STC10" s="3438"/>
      <c r="STD10" s="3438"/>
      <c r="STE10" s="3438"/>
      <c r="STF10" s="3438"/>
      <c r="STG10" s="3438"/>
      <c r="STH10" s="3438"/>
      <c r="STI10" s="3438"/>
      <c r="STJ10" s="3438"/>
      <c r="STK10" s="3438"/>
      <c r="STL10" s="3438"/>
      <c r="STM10" s="3438"/>
      <c r="STN10" s="3438"/>
      <c r="STO10" s="3438"/>
      <c r="STP10" s="3438"/>
      <c r="STQ10" s="3438"/>
      <c r="STR10" s="3438"/>
      <c r="STS10" s="3438"/>
      <c r="STT10" s="3438"/>
      <c r="STU10" s="3438"/>
      <c r="STV10" s="3438"/>
      <c r="STW10" s="3438"/>
      <c r="STX10" s="3438"/>
      <c r="STY10" s="3438"/>
      <c r="STZ10" s="3438"/>
      <c r="SUA10" s="3438"/>
      <c r="SUB10" s="3438"/>
      <c r="SUC10" s="3438"/>
      <c r="SUD10" s="3438"/>
      <c r="SUE10" s="3438"/>
      <c r="SUF10" s="3438"/>
      <c r="SUG10" s="3438"/>
      <c r="SUH10" s="3438"/>
      <c r="SUI10" s="3438"/>
      <c r="SUJ10" s="3438"/>
      <c r="SUK10" s="3438"/>
      <c r="SUL10" s="3438"/>
      <c r="SUM10" s="3438"/>
      <c r="SUN10" s="3438"/>
      <c r="SUO10" s="3438"/>
      <c r="SUP10" s="3438"/>
      <c r="SUQ10" s="3438"/>
      <c r="SUR10" s="3438"/>
      <c r="SUS10" s="3438"/>
      <c r="SUT10" s="3438"/>
      <c r="SUU10" s="3438"/>
      <c r="SUV10" s="3438"/>
      <c r="SUW10" s="3438"/>
      <c r="SUX10" s="3438"/>
      <c r="SUY10" s="3438"/>
      <c r="SUZ10" s="3438"/>
      <c r="SVA10" s="3438"/>
      <c r="SVB10" s="3438"/>
      <c r="SVC10" s="3438"/>
      <c r="SVD10" s="3438"/>
      <c r="SVE10" s="3438"/>
      <c r="SVF10" s="3438"/>
      <c r="SVG10" s="3438"/>
      <c r="SVH10" s="3438"/>
      <c r="SVI10" s="3438"/>
      <c r="SVJ10" s="3438"/>
      <c r="SVK10" s="3438"/>
      <c r="SVL10" s="3438"/>
      <c r="SVM10" s="3438"/>
      <c r="SVN10" s="3438"/>
      <c r="SVO10" s="3438"/>
      <c r="SVP10" s="3438"/>
      <c r="SVQ10" s="3438"/>
      <c r="SVR10" s="3438"/>
      <c r="SVS10" s="3438"/>
      <c r="SVT10" s="3438"/>
      <c r="SVU10" s="3438"/>
      <c r="SVV10" s="3438"/>
      <c r="SVW10" s="3438"/>
      <c r="SVX10" s="3438"/>
      <c r="SVY10" s="3438"/>
      <c r="SVZ10" s="3438"/>
      <c r="SWA10" s="3438"/>
      <c r="SWB10" s="3438"/>
      <c r="SWC10" s="3438"/>
      <c r="SWD10" s="3438"/>
      <c r="SWE10" s="3438"/>
      <c r="SWF10" s="3438"/>
      <c r="SWG10" s="3438"/>
      <c r="SWH10" s="3438"/>
      <c r="SWI10" s="3438"/>
      <c r="SWJ10" s="3438"/>
      <c r="SWK10" s="3438"/>
      <c r="SWL10" s="3438"/>
      <c r="SWM10" s="3438"/>
      <c r="SWN10" s="3438"/>
      <c r="SWO10" s="3438"/>
      <c r="SWP10" s="3438"/>
      <c r="SWQ10" s="3438"/>
      <c r="SWR10" s="3438"/>
      <c r="SWS10" s="3438"/>
      <c r="SWT10" s="3438"/>
      <c r="SWU10" s="3438"/>
      <c r="SWV10" s="3438"/>
      <c r="SWW10" s="3438"/>
      <c r="SWX10" s="3438"/>
      <c r="SWY10" s="3438"/>
      <c r="SWZ10" s="3438"/>
      <c r="SXA10" s="3438"/>
      <c r="SXB10" s="3438"/>
      <c r="SXC10" s="3438"/>
      <c r="SXD10" s="3438"/>
      <c r="SXE10" s="3438"/>
      <c r="SXF10" s="3438"/>
      <c r="SXG10" s="3438"/>
      <c r="SXH10" s="3438"/>
      <c r="SXI10" s="3438"/>
      <c r="SXJ10" s="3438"/>
      <c r="SXK10" s="3438"/>
      <c r="SXL10" s="3438"/>
      <c r="SXM10" s="3438"/>
      <c r="SXN10" s="3438"/>
      <c r="SXO10" s="3438"/>
      <c r="SXP10" s="3438"/>
      <c r="SXQ10" s="3438"/>
      <c r="SXR10" s="3438"/>
      <c r="SXS10" s="3438"/>
      <c r="SXT10" s="3438"/>
      <c r="SXU10" s="3438"/>
      <c r="SXV10" s="3438"/>
      <c r="SXW10" s="3438"/>
      <c r="SXX10" s="3438"/>
      <c r="SXY10" s="3438"/>
      <c r="SXZ10" s="3438"/>
      <c r="SYA10" s="3438"/>
      <c r="SYB10" s="3438"/>
      <c r="SYC10" s="3438"/>
      <c r="SYD10" s="3438"/>
      <c r="SYE10" s="3438"/>
      <c r="SYF10" s="3438"/>
      <c r="SYG10" s="3438"/>
      <c r="SYH10" s="3438"/>
      <c r="SYI10" s="3438"/>
      <c r="SYJ10" s="3438"/>
      <c r="SYK10" s="3438"/>
      <c r="SYL10" s="3438"/>
      <c r="SYM10" s="3438"/>
      <c r="SYN10" s="3438"/>
      <c r="SYO10" s="3438"/>
      <c r="SYP10" s="3438"/>
      <c r="SYQ10" s="3438"/>
      <c r="SYR10" s="3438"/>
      <c r="SYS10" s="3438"/>
      <c r="SYT10" s="3438"/>
      <c r="SYU10" s="3438"/>
      <c r="SYV10" s="3438"/>
      <c r="SYW10" s="3438"/>
      <c r="SYX10" s="3438"/>
      <c r="SYY10" s="3438"/>
      <c r="SYZ10" s="3438"/>
      <c r="SZA10" s="3438"/>
      <c r="SZB10" s="3438"/>
      <c r="SZC10" s="3438"/>
      <c r="SZD10" s="3438"/>
      <c r="SZE10" s="3438"/>
      <c r="SZF10" s="3438"/>
      <c r="SZG10" s="3438"/>
      <c r="SZH10" s="3438"/>
      <c r="SZI10" s="3438"/>
      <c r="SZJ10" s="3438"/>
      <c r="SZK10" s="3438"/>
      <c r="SZL10" s="3438"/>
      <c r="SZM10" s="3438"/>
      <c r="SZN10" s="3438"/>
      <c r="SZO10" s="3438"/>
      <c r="SZP10" s="3438"/>
      <c r="SZQ10" s="3438"/>
      <c r="SZR10" s="3438"/>
      <c r="SZS10" s="3438"/>
      <c r="SZT10" s="3438"/>
      <c r="SZU10" s="3438"/>
      <c r="SZV10" s="3438"/>
      <c r="SZW10" s="3438"/>
      <c r="SZX10" s="3438"/>
      <c r="SZY10" s="3438"/>
      <c r="SZZ10" s="3438"/>
      <c r="TAA10" s="3438"/>
      <c r="TAB10" s="3438"/>
      <c r="TAC10" s="3438"/>
      <c r="TAD10" s="3438"/>
      <c r="TAE10" s="3438"/>
      <c r="TAF10" s="3438"/>
      <c r="TAG10" s="3438"/>
      <c r="TAH10" s="3438"/>
      <c r="TAI10" s="3438"/>
      <c r="TAJ10" s="3438"/>
      <c r="TAK10" s="3438"/>
      <c r="TAL10" s="3438"/>
      <c r="TAM10" s="3438"/>
      <c r="TAN10" s="3438"/>
      <c r="TAO10" s="3438"/>
      <c r="TAP10" s="3438"/>
      <c r="TAQ10" s="3438"/>
      <c r="TAR10" s="3438"/>
      <c r="TAS10" s="3438"/>
      <c r="TAT10" s="3438"/>
      <c r="TAU10" s="3438"/>
      <c r="TAV10" s="3438"/>
      <c r="TAW10" s="3438"/>
      <c r="TAX10" s="3438"/>
      <c r="TAY10" s="3438"/>
      <c r="TAZ10" s="3438"/>
      <c r="TBA10" s="3438"/>
      <c r="TBB10" s="3438"/>
      <c r="TBC10" s="3438"/>
      <c r="TBD10" s="3438"/>
      <c r="TBE10" s="3438"/>
      <c r="TBF10" s="3438"/>
      <c r="TBG10" s="3438"/>
      <c r="TBH10" s="3438"/>
      <c r="TBI10" s="3438"/>
      <c r="TBJ10" s="3438"/>
      <c r="TBK10" s="3438"/>
      <c r="TBL10" s="3438"/>
      <c r="TBM10" s="3438"/>
      <c r="TBN10" s="3438"/>
      <c r="TBO10" s="3438"/>
      <c r="TBP10" s="3438"/>
      <c r="TBQ10" s="3438"/>
      <c r="TBR10" s="3438"/>
      <c r="TBS10" s="3438"/>
      <c r="TBT10" s="3438"/>
      <c r="TBU10" s="3438"/>
      <c r="TBV10" s="3438"/>
      <c r="TBW10" s="3438"/>
      <c r="TBX10" s="3438"/>
      <c r="TBY10" s="3438"/>
      <c r="TBZ10" s="3438"/>
      <c r="TCA10" s="3438"/>
      <c r="TCB10" s="3438"/>
      <c r="TCC10" s="3438"/>
      <c r="TCD10" s="3438"/>
      <c r="TCE10" s="3438"/>
      <c r="TCF10" s="3438"/>
      <c r="TCG10" s="3438"/>
      <c r="TCH10" s="3438"/>
      <c r="TCI10" s="3438"/>
      <c r="TCJ10" s="3438"/>
      <c r="TCK10" s="3438"/>
      <c r="TCL10" s="3438"/>
      <c r="TCM10" s="3438"/>
      <c r="TCN10" s="3438"/>
      <c r="TCO10" s="3438"/>
      <c r="TCP10" s="3438"/>
      <c r="TCQ10" s="3438"/>
      <c r="TCR10" s="3438"/>
      <c r="TCS10" s="3438"/>
      <c r="TCT10" s="3438"/>
      <c r="TCU10" s="3438"/>
      <c r="TCV10" s="3438"/>
      <c r="TCW10" s="3438"/>
      <c r="TCX10" s="3438"/>
      <c r="TCY10" s="3438"/>
      <c r="TCZ10" s="3438"/>
      <c r="TDA10" s="3438"/>
      <c r="TDB10" s="3438"/>
      <c r="TDC10" s="3438"/>
      <c r="TDD10" s="3438"/>
      <c r="TDE10" s="3438"/>
      <c r="TDF10" s="3438"/>
      <c r="TDG10" s="3438"/>
      <c r="TDH10" s="3438"/>
      <c r="TDI10" s="3438"/>
      <c r="TDJ10" s="3438"/>
      <c r="TDK10" s="3438"/>
      <c r="TDL10" s="3438"/>
      <c r="TDM10" s="3438"/>
      <c r="TDN10" s="3438"/>
      <c r="TDO10" s="3438"/>
      <c r="TDP10" s="3438"/>
      <c r="TDQ10" s="3438"/>
      <c r="TDR10" s="3438"/>
      <c r="TDS10" s="3438"/>
      <c r="TDT10" s="3438"/>
      <c r="TDU10" s="3438"/>
      <c r="TDV10" s="3438"/>
      <c r="TDW10" s="3438"/>
      <c r="TDX10" s="3438"/>
      <c r="TDY10" s="3438"/>
      <c r="TDZ10" s="3438"/>
      <c r="TEA10" s="3438"/>
      <c r="TEB10" s="3438"/>
      <c r="TEC10" s="3438"/>
      <c r="TED10" s="3438"/>
      <c r="TEE10" s="3438"/>
      <c r="TEF10" s="3438"/>
      <c r="TEG10" s="3438"/>
      <c r="TEH10" s="3438"/>
      <c r="TEI10" s="3438"/>
      <c r="TEJ10" s="3438"/>
      <c r="TEK10" s="3438"/>
      <c r="TEL10" s="3438"/>
      <c r="TEM10" s="3438"/>
      <c r="TEN10" s="3438"/>
      <c r="TEO10" s="3438"/>
      <c r="TEP10" s="3438"/>
      <c r="TEQ10" s="3438"/>
      <c r="TER10" s="3438"/>
      <c r="TES10" s="3438"/>
      <c r="TET10" s="3438"/>
      <c r="TEU10" s="3438"/>
      <c r="TEV10" s="3438"/>
      <c r="TEW10" s="3438"/>
      <c r="TEX10" s="3438"/>
      <c r="TEY10" s="3438"/>
      <c r="TEZ10" s="3438"/>
      <c r="TFA10" s="3438"/>
      <c r="TFB10" s="3438"/>
      <c r="TFC10" s="3438"/>
      <c r="TFD10" s="3438"/>
      <c r="TFE10" s="3438"/>
      <c r="TFF10" s="3438"/>
      <c r="TFG10" s="3438"/>
      <c r="TFH10" s="3438"/>
      <c r="TFI10" s="3438"/>
      <c r="TFJ10" s="3438"/>
      <c r="TFK10" s="3438"/>
      <c r="TFL10" s="3438"/>
      <c r="TFM10" s="3438"/>
      <c r="TFN10" s="3438"/>
      <c r="TFO10" s="3438"/>
      <c r="TFP10" s="3438"/>
      <c r="TFQ10" s="3438"/>
      <c r="TFR10" s="3438"/>
      <c r="TFS10" s="3438"/>
      <c r="TFT10" s="3438"/>
      <c r="TFU10" s="3438"/>
      <c r="TFV10" s="3438"/>
      <c r="TFW10" s="3438"/>
      <c r="TFX10" s="3438"/>
      <c r="TFY10" s="3438"/>
      <c r="TFZ10" s="3438"/>
      <c r="TGA10" s="3438"/>
      <c r="TGB10" s="3438"/>
      <c r="TGC10" s="3438"/>
      <c r="TGD10" s="3438"/>
      <c r="TGE10" s="3438"/>
      <c r="TGF10" s="3438"/>
      <c r="TGG10" s="3438"/>
      <c r="TGH10" s="3438"/>
      <c r="TGI10" s="3438"/>
      <c r="TGJ10" s="3438"/>
      <c r="TGK10" s="3438"/>
      <c r="TGL10" s="3438"/>
      <c r="TGM10" s="3438"/>
      <c r="TGN10" s="3438"/>
      <c r="TGO10" s="3438"/>
      <c r="TGP10" s="3438"/>
      <c r="TGQ10" s="3438"/>
      <c r="TGR10" s="3438"/>
      <c r="TGS10" s="3438"/>
      <c r="TGT10" s="3438"/>
      <c r="TGU10" s="3438"/>
      <c r="TGV10" s="3438"/>
      <c r="TGW10" s="3438"/>
      <c r="TGX10" s="3438"/>
      <c r="TGY10" s="3438"/>
      <c r="TGZ10" s="3438"/>
      <c r="THA10" s="3438"/>
      <c r="THB10" s="3438"/>
      <c r="THC10" s="3438"/>
      <c r="THD10" s="3438"/>
      <c r="THE10" s="3438"/>
      <c r="THF10" s="3438"/>
      <c r="THG10" s="3438"/>
      <c r="THH10" s="3438"/>
      <c r="THI10" s="3438"/>
      <c r="THJ10" s="3438"/>
      <c r="THK10" s="3438"/>
      <c r="THL10" s="3438"/>
      <c r="THM10" s="3438"/>
      <c r="THN10" s="3438"/>
      <c r="THO10" s="3438"/>
      <c r="THP10" s="3438"/>
      <c r="THQ10" s="3438"/>
      <c r="THR10" s="3438"/>
      <c r="THS10" s="3438"/>
      <c r="THT10" s="3438"/>
      <c r="THU10" s="3438"/>
      <c r="THV10" s="3438"/>
      <c r="THW10" s="3438"/>
      <c r="THX10" s="3438"/>
      <c r="THY10" s="3438"/>
      <c r="THZ10" s="3438"/>
      <c r="TIA10" s="3438"/>
      <c r="TIB10" s="3438"/>
      <c r="TIC10" s="3438"/>
      <c r="TID10" s="3438"/>
      <c r="TIE10" s="3438"/>
      <c r="TIF10" s="3438"/>
      <c r="TIG10" s="3438"/>
      <c r="TIH10" s="3438"/>
      <c r="TII10" s="3438"/>
      <c r="TIJ10" s="3438"/>
      <c r="TIK10" s="3438"/>
      <c r="TIL10" s="3438"/>
      <c r="TIM10" s="3438"/>
      <c r="TIN10" s="3438"/>
      <c r="TIO10" s="3438"/>
      <c r="TIP10" s="3438"/>
      <c r="TIQ10" s="3438"/>
      <c r="TIR10" s="3438"/>
      <c r="TIS10" s="3438"/>
      <c r="TIT10" s="3438"/>
      <c r="TIU10" s="3438"/>
      <c r="TIV10" s="3438"/>
      <c r="TIW10" s="3438"/>
      <c r="TIX10" s="3438"/>
      <c r="TIY10" s="3438"/>
      <c r="TIZ10" s="3438"/>
      <c r="TJA10" s="3438"/>
      <c r="TJB10" s="3438"/>
      <c r="TJC10" s="3438"/>
      <c r="TJD10" s="3438"/>
      <c r="TJE10" s="3438"/>
      <c r="TJF10" s="3438"/>
      <c r="TJG10" s="3438"/>
      <c r="TJH10" s="3438"/>
      <c r="TJI10" s="3438"/>
      <c r="TJJ10" s="3438"/>
      <c r="TJK10" s="3438"/>
      <c r="TJL10" s="3438"/>
      <c r="TJM10" s="3438"/>
      <c r="TJN10" s="3438"/>
      <c r="TJO10" s="3438"/>
      <c r="TJP10" s="3438"/>
      <c r="TJQ10" s="3438"/>
      <c r="TJR10" s="3438"/>
      <c r="TJS10" s="3438"/>
      <c r="TJT10" s="3438"/>
      <c r="TJU10" s="3438"/>
      <c r="TJV10" s="3438"/>
      <c r="TJW10" s="3438"/>
      <c r="TJX10" s="3438"/>
      <c r="TJY10" s="3438"/>
      <c r="TJZ10" s="3438"/>
      <c r="TKA10" s="3438"/>
      <c r="TKB10" s="3438"/>
      <c r="TKC10" s="3438"/>
      <c r="TKD10" s="3438"/>
      <c r="TKE10" s="3438"/>
      <c r="TKF10" s="3438"/>
      <c r="TKG10" s="3438"/>
      <c r="TKH10" s="3438"/>
      <c r="TKI10" s="3438"/>
      <c r="TKJ10" s="3438"/>
      <c r="TKK10" s="3438"/>
      <c r="TKL10" s="3438"/>
      <c r="TKM10" s="3438"/>
      <c r="TKN10" s="3438"/>
      <c r="TKO10" s="3438"/>
      <c r="TKP10" s="3438"/>
      <c r="TKQ10" s="3438"/>
      <c r="TKR10" s="3438"/>
      <c r="TKS10" s="3438"/>
      <c r="TKT10" s="3438"/>
      <c r="TKU10" s="3438"/>
      <c r="TKV10" s="3438"/>
      <c r="TKW10" s="3438"/>
      <c r="TKX10" s="3438"/>
      <c r="TKY10" s="3438"/>
      <c r="TKZ10" s="3438"/>
      <c r="TLA10" s="3438"/>
      <c r="TLB10" s="3438"/>
      <c r="TLC10" s="3438"/>
      <c r="TLD10" s="3438"/>
      <c r="TLE10" s="3438"/>
      <c r="TLF10" s="3438"/>
      <c r="TLG10" s="3438"/>
      <c r="TLH10" s="3438"/>
      <c r="TLI10" s="3438"/>
      <c r="TLJ10" s="3438"/>
      <c r="TLK10" s="3438"/>
      <c r="TLL10" s="3438"/>
      <c r="TLM10" s="3438"/>
      <c r="TLN10" s="3438"/>
      <c r="TLO10" s="3438"/>
      <c r="TLP10" s="3438"/>
      <c r="TLQ10" s="3438"/>
      <c r="TLR10" s="3438"/>
      <c r="TLS10" s="3438"/>
      <c r="TLT10" s="3438"/>
      <c r="TLU10" s="3438"/>
      <c r="TLV10" s="3438"/>
      <c r="TLW10" s="3438"/>
      <c r="TLX10" s="3438"/>
      <c r="TLY10" s="3438"/>
      <c r="TLZ10" s="3438"/>
      <c r="TMA10" s="3438"/>
      <c r="TMB10" s="3438"/>
      <c r="TMC10" s="3438"/>
      <c r="TMD10" s="3438"/>
      <c r="TME10" s="3438"/>
      <c r="TMF10" s="3438"/>
      <c r="TMG10" s="3438"/>
      <c r="TMH10" s="3438"/>
      <c r="TMI10" s="3438"/>
      <c r="TMJ10" s="3438"/>
      <c r="TMK10" s="3438"/>
      <c r="TML10" s="3438"/>
      <c r="TMM10" s="3438"/>
      <c r="TMN10" s="3438"/>
      <c r="TMO10" s="3438"/>
      <c r="TMP10" s="3438"/>
      <c r="TMQ10" s="3438"/>
      <c r="TMR10" s="3438"/>
      <c r="TMS10" s="3438"/>
      <c r="TMT10" s="3438"/>
      <c r="TMU10" s="3438"/>
      <c r="TMV10" s="3438"/>
      <c r="TMW10" s="3438"/>
      <c r="TMX10" s="3438"/>
      <c r="TMY10" s="3438"/>
      <c r="TMZ10" s="3438"/>
      <c r="TNA10" s="3438"/>
      <c r="TNB10" s="3438"/>
      <c r="TNC10" s="3438"/>
      <c r="TND10" s="3438"/>
      <c r="TNE10" s="3438"/>
      <c r="TNF10" s="3438"/>
      <c r="TNG10" s="3438"/>
      <c r="TNH10" s="3438"/>
      <c r="TNI10" s="3438"/>
      <c r="TNJ10" s="3438"/>
      <c r="TNK10" s="3438"/>
      <c r="TNL10" s="3438"/>
      <c r="TNM10" s="3438"/>
      <c r="TNN10" s="3438"/>
      <c r="TNO10" s="3438"/>
      <c r="TNP10" s="3438"/>
      <c r="TNQ10" s="3438"/>
      <c r="TNR10" s="3438"/>
      <c r="TNS10" s="3438"/>
      <c r="TNT10" s="3438"/>
      <c r="TNU10" s="3438"/>
      <c r="TNV10" s="3438"/>
      <c r="TNW10" s="3438"/>
      <c r="TNX10" s="3438"/>
      <c r="TNY10" s="3438"/>
      <c r="TNZ10" s="3438"/>
      <c r="TOA10" s="3438"/>
      <c r="TOB10" s="3438"/>
      <c r="TOC10" s="3438"/>
      <c r="TOD10" s="3438"/>
      <c r="TOE10" s="3438"/>
      <c r="TOF10" s="3438"/>
      <c r="TOG10" s="3438"/>
      <c r="TOH10" s="3438"/>
      <c r="TOI10" s="3438"/>
      <c r="TOJ10" s="3438"/>
      <c r="TOK10" s="3438"/>
      <c r="TOL10" s="3438"/>
      <c r="TOM10" s="3438"/>
      <c r="TON10" s="3438"/>
      <c r="TOO10" s="3438"/>
      <c r="TOP10" s="3438"/>
      <c r="TOQ10" s="3438"/>
      <c r="TOR10" s="3438"/>
      <c r="TOS10" s="3438"/>
      <c r="TOT10" s="3438"/>
      <c r="TOU10" s="3438"/>
      <c r="TOV10" s="3438"/>
      <c r="TOW10" s="3438"/>
      <c r="TOX10" s="3438"/>
      <c r="TOY10" s="3438"/>
      <c r="TOZ10" s="3438"/>
      <c r="TPA10" s="3438"/>
      <c r="TPB10" s="3438"/>
      <c r="TPC10" s="3438"/>
      <c r="TPD10" s="3438"/>
      <c r="TPE10" s="3438"/>
      <c r="TPF10" s="3438"/>
      <c r="TPG10" s="3438"/>
      <c r="TPH10" s="3438"/>
      <c r="TPI10" s="3438"/>
      <c r="TPJ10" s="3438"/>
      <c r="TPK10" s="3438"/>
      <c r="TPL10" s="3438"/>
      <c r="TPM10" s="3438"/>
      <c r="TPN10" s="3438"/>
      <c r="TPO10" s="3438"/>
      <c r="TPP10" s="3438"/>
      <c r="TPQ10" s="3438"/>
      <c r="TPR10" s="3438"/>
      <c r="TPS10" s="3438"/>
      <c r="TPT10" s="3438"/>
      <c r="TPU10" s="3438"/>
      <c r="TPV10" s="3438"/>
      <c r="TPW10" s="3438"/>
      <c r="TPX10" s="3438"/>
      <c r="TPY10" s="3438"/>
      <c r="TPZ10" s="3438"/>
      <c r="TQA10" s="3438"/>
      <c r="TQB10" s="3438"/>
      <c r="TQC10" s="3438"/>
      <c r="TQD10" s="3438"/>
      <c r="TQE10" s="3438"/>
      <c r="TQF10" s="3438"/>
      <c r="TQG10" s="3438"/>
      <c r="TQH10" s="3438"/>
      <c r="TQI10" s="3438"/>
      <c r="TQJ10" s="3438"/>
      <c r="TQK10" s="3438"/>
      <c r="TQL10" s="3438"/>
      <c r="TQM10" s="3438"/>
      <c r="TQN10" s="3438"/>
      <c r="TQO10" s="3438"/>
      <c r="TQP10" s="3438"/>
      <c r="TQQ10" s="3438"/>
      <c r="TQR10" s="3438"/>
      <c r="TQS10" s="3438"/>
      <c r="TQT10" s="3438"/>
      <c r="TQU10" s="3438"/>
      <c r="TQV10" s="3438"/>
      <c r="TQW10" s="3438"/>
      <c r="TQX10" s="3438"/>
      <c r="TQY10" s="3438"/>
      <c r="TQZ10" s="3438"/>
      <c r="TRA10" s="3438"/>
      <c r="TRB10" s="3438"/>
      <c r="TRC10" s="3438"/>
      <c r="TRD10" s="3438"/>
      <c r="TRE10" s="3438"/>
      <c r="TRF10" s="3438"/>
      <c r="TRG10" s="3438"/>
      <c r="TRH10" s="3438"/>
      <c r="TRI10" s="3438"/>
      <c r="TRJ10" s="3438"/>
      <c r="TRK10" s="3438"/>
      <c r="TRL10" s="3438"/>
      <c r="TRM10" s="3438"/>
      <c r="TRN10" s="3438"/>
      <c r="TRO10" s="3438"/>
      <c r="TRP10" s="3438"/>
      <c r="TRQ10" s="3438"/>
      <c r="TRR10" s="3438"/>
      <c r="TRS10" s="3438"/>
      <c r="TRT10" s="3438"/>
      <c r="TRU10" s="3438"/>
      <c r="TRV10" s="3438"/>
      <c r="TRW10" s="3438"/>
      <c r="TRX10" s="3438"/>
      <c r="TRY10" s="3438"/>
      <c r="TRZ10" s="3438"/>
      <c r="TSA10" s="3438"/>
      <c r="TSB10" s="3438"/>
      <c r="TSC10" s="3438"/>
      <c r="TSD10" s="3438"/>
      <c r="TSE10" s="3438"/>
      <c r="TSF10" s="3438"/>
      <c r="TSG10" s="3438"/>
      <c r="TSH10" s="3438"/>
      <c r="TSI10" s="3438"/>
      <c r="TSJ10" s="3438"/>
      <c r="TSK10" s="3438"/>
      <c r="TSL10" s="3438"/>
      <c r="TSM10" s="3438"/>
      <c r="TSN10" s="3438"/>
      <c r="TSO10" s="3438"/>
      <c r="TSP10" s="3438"/>
      <c r="TSQ10" s="3438"/>
      <c r="TSR10" s="3438"/>
      <c r="TSS10" s="3438"/>
      <c r="TST10" s="3438"/>
      <c r="TSU10" s="3438"/>
      <c r="TSV10" s="3438"/>
      <c r="TSW10" s="3438"/>
      <c r="TSX10" s="3438"/>
      <c r="TSY10" s="3438"/>
      <c r="TSZ10" s="3438"/>
      <c r="TTA10" s="3438"/>
      <c r="TTB10" s="3438"/>
      <c r="TTC10" s="3438"/>
      <c r="TTD10" s="3438"/>
      <c r="TTE10" s="3438"/>
      <c r="TTF10" s="3438"/>
      <c r="TTG10" s="3438"/>
      <c r="TTH10" s="3438"/>
      <c r="TTI10" s="3438"/>
      <c r="TTJ10" s="3438"/>
      <c r="TTK10" s="3438"/>
      <c r="TTL10" s="3438"/>
      <c r="TTM10" s="3438"/>
      <c r="TTN10" s="3438"/>
      <c r="TTO10" s="3438"/>
      <c r="TTP10" s="3438"/>
      <c r="TTQ10" s="3438"/>
      <c r="TTR10" s="3438"/>
      <c r="TTS10" s="3438"/>
      <c r="TTT10" s="3438"/>
      <c r="TTU10" s="3438"/>
      <c r="TTV10" s="3438"/>
      <c r="TTW10" s="3438"/>
      <c r="TTX10" s="3438"/>
      <c r="TTY10" s="3438"/>
      <c r="TTZ10" s="3438"/>
      <c r="TUA10" s="3438"/>
      <c r="TUB10" s="3438"/>
      <c r="TUC10" s="3438"/>
      <c r="TUD10" s="3438"/>
      <c r="TUE10" s="3438"/>
      <c r="TUF10" s="3438"/>
      <c r="TUG10" s="3438"/>
      <c r="TUH10" s="3438"/>
      <c r="TUI10" s="3438"/>
      <c r="TUJ10" s="3438"/>
      <c r="TUK10" s="3438"/>
      <c r="TUL10" s="3438"/>
      <c r="TUM10" s="3438"/>
      <c r="TUN10" s="3438"/>
      <c r="TUO10" s="3438"/>
      <c r="TUP10" s="3438"/>
      <c r="TUQ10" s="3438"/>
      <c r="TUR10" s="3438"/>
      <c r="TUS10" s="3438"/>
      <c r="TUT10" s="3438"/>
      <c r="TUU10" s="3438"/>
      <c r="TUV10" s="3438"/>
      <c r="TUW10" s="3438"/>
      <c r="TUX10" s="3438"/>
      <c r="TUY10" s="3438"/>
      <c r="TUZ10" s="3438"/>
      <c r="TVA10" s="3438"/>
      <c r="TVB10" s="3438"/>
      <c r="TVC10" s="3438"/>
      <c r="TVD10" s="3438"/>
      <c r="TVE10" s="3438"/>
      <c r="TVF10" s="3438"/>
      <c r="TVG10" s="3438"/>
      <c r="TVH10" s="3438"/>
      <c r="TVI10" s="3438"/>
      <c r="TVJ10" s="3438"/>
      <c r="TVK10" s="3438"/>
      <c r="TVL10" s="3438"/>
      <c r="TVM10" s="3438"/>
      <c r="TVN10" s="3438"/>
      <c r="TVO10" s="3438"/>
      <c r="TVP10" s="3438"/>
      <c r="TVQ10" s="3438"/>
      <c r="TVR10" s="3438"/>
      <c r="TVS10" s="3438"/>
      <c r="TVT10" s="3438"/>
      <c r="TVU10" s="3438"/>
      <c r="TVV10" s="3438"/>
      <c r="TVW10" s="3438"/>
      <c r="TVX10" s="3438"/>
      <c r="TVY10" s="3438"/>
      <c r="TVZ10" s="3438"/>
      <c r="TWA10" s="3438"/>
      <c r="TWB10" s="3438"/>
      <c r="TWC10" s="3438"/>
      <c r="TWD10" s="3438"/>
      <c r="TWE10" s="3438"/>
      <c r="TWF10" s="3438"/>
      <c r="TWG10" s="3438"/>
      <c r="TWH10" s="3438"/>
      <c r="TWI10" s="3438"/>
      <c r="TWJ10" s="3438"/>
      <c r="TWK10" s="3438"/>
      <c r="TWL10" s="3438"/>
      <c r="TWM10" s="3438"/>
      <c r="TWN10" s="3438"/>
      <c r="TWO10" s="3438"/>
      <c r="TWP10" s="3438"/>
      <c r="TWQ10" s="3438"/>
      <c r="TWR10" s="3438"/>
      <c r="TWS10" s="3438"/>
      <c r="TWT10" s="3438"/>
      <c r="TWU10" s="3438"/>
      <c r="TWV10" s="3438"/>
      <c r="TWW10" s="3438"/>
      <c r="TWX10" s="3438"/>
      <c r="TWY10" s="3438"/>
      <c r="TWZ10" s="3438"/>
      <c r="TXA10" s="3438"/>
      <c r="TXB10" s="3438"/>
      <c r="TXC10" s="3438"/>
      <c r="TXD10" s="3438"/>
      <c r="TXE10" s="3438"/>
      <c r="TXF10" s="3438"/>
      <c r="TXG10" s="3438"/>
      <c r="TXH10" s="3438"/>
      <c r="TXI10" s="3438"/>
      <c r="TXJ10" s="3438"/>
      <c r="TXK10" s="3438"/>
      <c r="TXL10" s="3438"/>
      <c r="TXM10" s="3438"/>
      <c r="TXN10" s="3438"/>
      <c r="TXO10" s="3438"/>
      <c r="TXP10" s="3438"/>
      <c r="TXQ10" s="3438"/>
      <c r="TXR10" s="3438"/>
      <c r="TXS10" s="3438"/>
      <c r="TXT10" s="3438"/>
      <c r="TXU10" s="3438"/>
      <c r="TXV10" s="3438"/>
      <c r="TXW10" s="3438"/>
      <c r="TXX10" s="3438"/>
      <c r="TXY10" s="3438"/>
      <c r="TXZ10" s="3438"/>
      <c r="TYA10" s="3438"/>
      <c r="TYB10" s="3438"/>
      <c r="TYC10" s="3438"/>
      <c r="TYD10" s="3438"/>
      <c r="TYE10" s="3438"/>
      <c r="TYF10" s="3438"/>
      <c r="TYG10" s="3438"/>
      <c r="TYH10" s="3438"/>
      <c r="TYI10" s="3438"/>
      <c r="TYJ10" s="3438"/>
      <c r="TYK10" s="3438"/>
      <c r="TYL10" s="3438"/>
      <c r="TYM10" s="3438"/>
      <c r="TYN10" s="3438"/>
      <c r="TYO10" s="3438"/>
      <c r="TYP10" s="3438"/>
      <c r="TYQ10" s="3438"/>
      <c r="TYR10" s="3438"/>
      <c r="TYS10" s="3438"/>
      <c r="TYT10" s="3438"/>
      <c r="TYU10" s="3438"/>
      <c r="TYV10" s="3438"/>
      <c r="TYW10" s="3438"/>
      <c r="TYX10" s="3438"/>
      <c r="TYY10" s="3438"/>
      <c r="TYZ10" s="3438"/>
      <c r="TZA10" s="3438"/>
      <c r="TZB10" s="3438"/>
      <c r="TZC10" s="3438"/>
      <c r="TZD10" s="3438"/>
      <c r="TZE10" s="3438"/>
      <c r="TZF10" s="3438"/>
      <c r="TZG10" s="3438"/>
      <c r="TZH10" s="3438"/>
      <c r="TZI10" s="3438"/>
      <c r="TZJ10" s="3438"/>
      <c r="TZK10" s="3438"/>
      <c r="TZL10" s="3438"/>
      <c r="TZM10" s="3438"/>
      <c r="TZN10" s="3438"/>
      <c r="TZO10" s="3438"/>
      <c r="TZP10" s="3438"/>
      <c r="TZQ10" s="3438"/>
      <c r="TZR10" s="3438"/>
      <c r="TZS10" s="3438"/>
      <c r="TZT10" s="3438"/>
      <c r="TZU10" s="3438"/>
      <c r="TZV10" s="3438"/>
      <c r="TZW10" s="3438"/>
      <c r="TZX10" s="3438"/>
      <c r="TZY10" s="3438"/>
      <c r="TZZ10" s="3438"/>
      <c r="UAA10" s="3438"/>
      <c r="UAB10" s="3438"/>
      <c r="UAC10" s="3438"/>
      <c r="UAD10" s="3438"/>
      <c r="UAE10" s="3438"/>
      <c r="UAF10" s="3438"/>
      <c r="UAG10" s="3438"/>
      <c r="UAH10" s="3438"/>
      <c r="UAI10" s="3438"/>
      <c r="UAJ10" s="3438"/>
      <c r="UAK10" s="3438"/>
      <c r="UAL10" s="3438"/>
      <c r="UAM10" s="3438"/>
      <c r="UAN10" s="3438"/>
      <c r="UAO10" s="3438"/>
      <c r="UAP10" s="3438"/>
      <c r="UAQ10" s="3438"/>
      <c r="UAR10" s="3438"/>
      <c r="UAS10" s="3438"/>
      <c r="UAT10" s="3438"/>
      <c r="UAU10" s="3438"/>
      <c r="UAV10" s="3438"/>
      <c r="UAW10" s="3438"/>
      <c r="UAX10" s="3438"/>
      <c r="UAY10" s="3438"/>
      <c r="UAZ10" s="3438"/>
      <c r="UBA10" s="3438"/>
      <c r="UBB10" s="3438"/>
      <c r="UBC10" s="3438"/>
      <c r="UBD10" s="3438"/>
      <c r="UBE10" s="3438"/>
      <c r="UBF10" s="3438"/>
      <c r="UBG10" s="3438"/>
      <c r="UBH10" s="3438"/>
      <c r="UBI10" s="3438"/>
      <c r="UBJ10" s="3438"/>
      <c r="UBK10" s="3438"/>
      <c r="UBL10" s="3438"/>
      <c r="UBM10" s="3438"/>
      <c r="UBN10" s="3438"/>
      <c r="UBO10" s="3438"/>
      <c r="UBP10" s="3438"/>
      <c r="UBQ10" s="3438"/>
      <c r="UBR10" s="3438"/>
      <c r="UBS10" s="3438"/>
      <c r="UBT10" s="3438"/>
      <c r="UBU10" s="3438"/>
      <c r="UBV10" s="3438"/>
      <c r="UBW10" s="3438"/>
      <c r="UBX10" s="3438"/>
      <c r="UBY10" s="3438"/>
      <c r="UBZ10" s="3438"/>
      <c r="UCA10" s="3438"/>
      <c r="UCB10" s="3438"/>
      <c r="UCC10" s="3438"/>
      <c r="UCD10" s="3438"/>
      <c r="UCE10" s="3438"/>
      <c r="UCF10" s="3438"/>
      <c r="UCG10" s="3438"/>
      <c r="UCH10" s="3438"/>
      <c r="UCI10" s="3438"/>
      <c r="UCJ10" s="3438"/>
      <c r="UCK10" s="3438"/>
      <c r="UCL10" s="3438"/>
      <c r="UCM10" s="3438"/>
      <c r="UCN10" s="3438"/>
      <c r="UCO10" s="3438"/>
      <c r="UCP10" s="3438"/>
      <c r="UCQ10" s="3438"/>
      <c r="UCR10" s="3438"/>
      <c r="UCS10" s="3438"/>
      <c r="UCT10" s="3438"/>
      <c r="UCU10" s="3438"/>
      <c r="UCV10" s="3438"/>
      <c r="UCW10" s="3438"/>
      <c r="UCX10" s="3438"/>
      <c r="UCY10" s="3438"/>
      <c r="UCZ10" s="3438"/>
      <c r="UDA10" s="3438"/>
      <c r="UDB10" s="3438"/>
      <c r="UDC10" s="3438"/>
      <c r="UDD10" s="3438"/>
      <c r="UDE10" s="3438"/>
      <c r="UDF10" s="3438"/>
      <c r="UDG10" s="3438"/>
      <c r="UDH10" s="3438"/>
      <c r="UDI10" s="3438"/>
      <c r="UDJ10" s="3438"/>
      <c r="UDK10" s="3438"/>
      <c r="UDL10" s="3438"/>
      <c r="UDM10" s="3438"/>
      <c r="UDN10" s="3438"/>
      <c r="UDO10" s="3438"/>
      <c r="UDP10" s="3438"/>
      <c r="UDQ10" s="3438"/>
      <c r="UDR10" s="3438"/>
      <c r="UDS10" s="3438"/>
      <c r="UDT10" s="3438"/>
      <c r="UDU10" s="3438"/>
      <c r="UDV10" s="3438"/>
      <c r="UDW10" s="3438"/>
      <c r="UDX10" s="3438"/>
      <c r="UDY10" s="3438"/>
      <c r="UDZ10" s="3438"/>
      <c r="UEA10" s="3438"/>
      <c r="UEB10" s="3438"/>
      <c r="UEC10" s="3438"/>
      <c r="UED10" s="3438"/>
      <c r="UEE10" s="3438"/>
      <c r="UEF10" s="3438"/>
      <c r="UEG10" s="3438"/>
      <c r="UEH10" s="3438"/>
      <c r="UEI10" s="3438"/>
      <c r="UEJ10" s="3438"/>
      <c r="UEK10" s="3438"/>
      <c r="UEL10" s="3438"/>
      <c r="UEM10" s="3438"/>
      <c r="UEN10" s="3438"/>
      <c r="UEO10" s="3438"/>
      <c r="UEP10" s="3438"/>
      <c r="UEQ10" s="3438"/>
      <c r="UER10" s="3438"/>
      <c r="UES10" s="3438"/>
      <c r="UET10" s="3438"/>
      <c r="UEU10" s="3438"/>
      <c r="UEV10" s="3438"/>
      <c r="UEW10" s="3438"/>
      <c r="UEX10" s="3438"/>
      <c r="UEY10" s="3438"/>
      <c r="UEZ10" s="3438"/>
      <c r="UFA10" s="3438"/>
      <c r="UFB10" s="3438"/>
      <c r="UFC10" s="3438"/>
      <c r="UFD10" s="3438"/>
      <c r="UFE10" s="3438"/>
      <c r="UFF10" s="3438"/>
      <c r="UFG10" s="3438"/>
      <c r="UFH10" s="3438"/>
      <c r="UFI10" s="3438"/>
      <c r="UFJ10" s="3438"/>
      <c r="UFK10" s="3438"/>
      <c r="UFL10" s="3438"/>
      <c r="UFM10" s="3438"/>
      <c r="UFN10" s="3438"/>
      <c r="UFO10" s="3438"/>
      <c r="UFP10" s="3438"/>
      <c r="UFQ10" s="3438"/>
      <c r="UFR10" s="3438"/>
      <c r="UFS10" s="3438"/>
      <c r="UFT10" s="3438"/>
      <c r="UFU10" s="3438"/>
      <c r="UFV10" s="3438"/>
      <c r="UFW10" s="3438"/>
      <c r="UFX10" s="3438"/>
      <c r="UFY10" s="3438"/>
      <c r="UFZ10" s="3438"/>
      <c r="UGA10" s="3438"/>
      <c r="UGB10" s="3438"/>
      <c r="UGC10" s="3438"/>
      <c r="UGD10" s="3438"/>
      <c r="UGE10" s="3438"/>
      <c r="UGF10" s="3438"/>
      <c r="UGG10" s="3438"/>
      <c r="UGH10" s="3438"/>
      <c r="UGI10" s="3438"/>
      <c r="UGJ10" s="3438"/>
      <c r="UGK10" s="3438"/>
      <c r="UGL10" s="3438"/>
      <c r="UGM10" s="3438"/>
      <c r="UGN10" s="3438"/>
      <c r="UGO10" s="3438"/>
      <c r="UGP10" s="3438"/>
      <c r="UGQ10" s="3438"/>
      <c r="UGR10" s="3438"/>
      <c r="UGS10" s="3438"/>
      <c r="UGT10" s="3438"/>
      <c r="UGU10" s="3438"/>
      <c r="UGV10" s="3438"/>
      <c r="UGW10" s="3438"/>
      <c r="UGX10" s="3438"/>
      <c r="UGY10" s="3438"/>
      <c r="UGZ10" s="3438"/>
      <c r="UHA10" s="3438"/>
      <c r="UHB10" s="3438"/>
      <c r="UHC10" s="3438"/>
      <c r="UHD10" s="3438"/>
      <c r="UHE10" s="3438"/>
      <c r="UHF10" s="3438"/>
      <c r="UHG10" s="3438"/>
      <c r="UHH10" s="3438"/>
      <c r="UHI10" s="3438"/>
      <c r="UHJ10" s="3438"/>
      <c r="UHK10" s="3438"/>
      <c r="UHL10" s="3438"/>
      <c r="UHM10" s="3438"/>
      <c r="UHN10" s="3438"/>
      <c r="UHO10" s="3438"/>
      <c r="UHP10" s="3438"/>
      <c r="UHQ10" s="3438"/>
      <c r="UHR10" s="3438"/>
      <c r="UHS10" s="3438"/>
      <c r="UHT10" s="3438"/>
      <c r="UHU10" s="3438"/>
      <c r="UHV10" s="3438"/>
      <c r="UHW10" s="3438"/>
      <c r="UHX10" s="3438"/>
      <c r="UHY10" s="3438"/>
      <c r="UHZ10" s="3438"/>
      <c r="UIA10" s="3438"/>
      <c r="UIB10" s="3438"/>
      <c r="UIC10" s="3438"/>
      <c r="UID10" s="3438"/>
      <c r="UIE10" s="3438"/>
      <c r="UIF10" s="3438"/>
      <c r="UIG10" s="3438"/>
      <c r="UIH10" s="3438"/>
      <c r="UII10" s="3438"/>
      <c r="UIJ10" s="3438"/>
      <c r="UIK10" s="3438"/>
      <c r="UIL10" s="3438"/>
      <c r="UIM10" s="3438"/>
      <c r="UIN10" s="3438"/>
      <c r="UIO10" s="3438"/>
      <c r="UIP10" s="3438"/>
      <c r="UIQ10" s="3438"/>
      <c r="UIR10" s="3438"/>
      <c r="UIS10" s="3438"/>
      <c r="UIT10" s="3438"/>
      <c r="UIU10" s="3438"/>
      <c r="UIV10" s="3438"/>
      <c r="UIW10" s="3438"/>
      <c r="UIX10" s="3438"/>
      <c r="UIY10" s="3438"/>
      <c r="UIZ10" s="3438"/>
      <c r="UJA10" s="3438"/>
      <c r="UJB10" s="3438"/>
      <c r="UJC10" s="3438"/>
      <c r="UJD10" s="3438"/>
      <c r="UJE10" s="3438"/>
      <c r="UJF10" s="3438"/>
      <c r="UJG10" s="3438"/>
      <c r="UJH10" s="3438"/>
      <c r="UJI10" s="3438"/>
      <c r="UJJ10" s="3438"/>
      <c r="UJK10" s="3438"/>
      <c r="UJL10" s="3438"/>
      <c r="UJM10" s="3438"/>
      <c r="UJN10" s="3438"/>
      <c r="UJO10" s="3438"/>
      <c r="UJP10" s="3438"/>
      <c r="UJQ10" s="3438"/>
      <c r="UJR10" s="3438"/>
      <c r="UJS10" s="3438"/>
      <c r="UJT10" s="3438"/>
      <c r="UJU10" s="3438"/>
      <c r="UJV10" s="3438"/>
      <c r="UJW10" s="3438"/>
      <c r="UJX10" s="3438"/>
      <c r="UJY10" s="3438"/>
      <c r="UJZ10" s="3438"/>
      <c r="UKA10" s="3438"/>
      <c r="UKB10" s="3438"/>
      <c r="UKC10" s="3438"/>
      <c r="UKD10" s="3438"/>
      <c r="UKE10" s="3438"/>
      <c r="UKF10" s="3438"/>
      <c r="UKG10" s="3438"/>
      <c r="UKH10" s="3438"/>
      <c r="UKI10" s="3438"/>
      <c r="UKJ10" s="3438"/>
      <c r="UKK10" s="3438"/>
      <c r="UKL10" s="3438"/>
      <c r="UKM10" s="3438"/>
      <c r="UKN10" s="3438"/>
      <c r="UKO10" s="3438"/>
      <c r="UKP10" s="3438"/>
      <c r="UKQ10" s="3438"/>
      <c r="UKR10" s="3438"/>
      <c r="UKS10" s="3438"/>
      <c r="UKT10" s="3438"/>
      <c r="UKU10" s="3438"/>
      <c r="UKV10" s="3438"/>
      <c r="UKW10" s="3438"/>
      <c r="UKX10" s="3438"/>
      <c r="UKY10" s="3438"/>
      <c r="UKZ10" s="3438"/>
      <c r="ULA10" s="3438"/>
      <c r="ULB10" s="3438"/>
      <c r="ULC10" s="3438"/>
      <c r="ULD10" s="3438"/>
      <c r="ULE10" s="3438"/>
      <c r="ULF10" s="3438"/>
      <c r="ULG10" s="3438"/>
      <c r="ULH10" s="3438"/>
      <c r="ULI10" s="3438"/>
      <c r="ULJ10" s="3438"/>
      <c r="ULK10" s="3438"/>
      <c r="ULL10" s="3438"/>
      <c r="ULM10" s="3438"/>
      <c r="ULN10" s="3438"/>
      <c r="ULO10" s="3438"/>
      <c r="ULP10" s="3438"/>
      <c r="ULQ10" s="3438"/>
      <c r="ULR10" s="3438"/>
      <c r="ULS10" s="3438"/>
      <c r="ULT10" s="3438"/>
      <c r="ULU10" s="3438"/>
      <c r="ULV10" s="3438"/>
      <c r="ULW10" s="3438"/>
      <c r="ULX10" s="3438"/>
      <c r="ULY10" s="3438"/>
      <c r="ULZ10" s="3438"/>
      <c r="UMA10" s="3438"/>
      <c r="UMB10" s="3438"/>
      <c r="UMC10" s="3438"/>
      <c r="UMD10" s="3438"/>
      <c r="UME10" s="3438"/>
      <c r="UMF10" s="3438"/>
      <c r="UMG10" s="3438"/>
      <c r="UMH10" s="3438"/>
      <c r="UMI10" s="3438"/>
      <c r="UMJ10" s="3438"/>
      <c r="UMK10" s="3438"/>
      <c r="UML10" s="3438"/>
      <c r="UMM10" s="3438"/>
      <c r="UMN10" s="3438"/>
      <c r="UMO10" s="3438"/>
      <c r="UMP10" s="3438"/>
      <c r="UMQ10" s="3438"/>
      <c r="UMR10" s="3438"/>
      <c r="UMS10" s="3438"/>
      <c r="UMT10" s="3438"/>
      <c r="UMU10" s="3438"/>
      <c r="UMV10" s="3438"/>
      <c r="UMW10" s="3438"/>
      <c r="UMX10" s="3438"/>
      <c r="UMY10" s="3438"/>
      <c r="UMZ10" s="3438"/>
      <c r="UNA10" s="3438"/>
      <c r="UNB10" s="3438"/>
      <c r="UNC10" s="3438"/>
      <c r="UND10" s="3438"/>
      <c r="UNE10" s="3438"/>
      <c r="UNF10" s="3438"/>
      <c r="UNG10" s="3438"/>
      <c r="UNH10" s="3438"/>
      <c r="UNI10" s="3438"/>
      <c r="UNJ10" s="3438"/>
      <c r="UNK10" s="3438"/>
      <c r="UNL10" s="3438"/>
      <c r="UNM10" s="3438"/>
      <c r="UNN10" s="3438"/>
      <c r="UNO10" s="3438"/>
      <c r="UNP10" s="3438"/>
      <c r="UNQ10" s="3438"/>
      <c r="UNR10" s="3438"/>
      <c r="UNS10" s="3438"/>
      <c r="UNT10" s="3438"/>
      <c r="UNU10" s="3438"/>
      <c r="UNV10" s="3438"/>
      <c r="UNW10" s="3438"/>
      <c r="UNX10" s="3438"/>
      <c r="UNY10" s="3438"/>
      <c r="UNZ10" s="3438"/>
      <c r="UOA10" s="3438"/>
      <c r="UOB10" s="3438"/>
      <c r="UOC10" s="3438"/>
      <c r="UOD10" s="3438"/>
      <c r="UOE10" s="3438"/>
      <c r="UOF10" s="3438"/>
      <c r="UOG10" s="3438"/>
      <c r="UOH10" s="3438"/>
      <c r="UOI10" s="3438"/>
      <c r="UOJ10" s="3438"/>
      <c r="UOK10" s="3438"/>
      <c r="UOL10" s="3438"/>
      <c r="UOM10" s="3438"/>
      <c r="UON10" s="3438"/>
      <c r="UOO10" s="3438"/>
      <c r="UOP10" s="3438"/>
      <c r="UOQ10" s="3438"/>
      <c r="UOR10" s="3438"/>
      <c r="UOS10" s="3438"/>
      <c r="UOT10" s="3438"/>
      <c r="UOU10" s="3438"/>
      <c r="UOV10" s="3438"/>
      <c r="UOW10" s="3438"/>
      <c r="UOX10" s="3438"/>
      <c r="UOY10" s="3438"/>
      <c r="UOZ10" s="3438"/>
      <c r="UPA10" s="3438"/>
      <c r="UPB10" s="3438"/>
      <c r="UPC10" s="3438"/>
      <c r="UPD10" s="3438"/>
      <c r="UPE10" s="3438"/>
      <c r="UPF10" s="3438"/>
      <c r="UPG10" s="3438"/>
      <c r="UPH10" s="3438"/>
      <c r="UPI10" s="3438"/>
      <c r="UPJ10" s="3438"/>
      <c r="UPK10" s="3438"/>
      <c r="UPL10" s="3438"/>
      <c r="UPM10" s="3438"/>
      <c r="UPN10" s="3438"/>
      <c r="UPO10" s="3438"/>
      <c r="UPP10" s="3438"/>
      <c r="UPQ10" s="3438"/>
      <c r="UPR10" s="3438"/>
      <c r="UPS10" s="3438"/>
      <c r="UPT10" s="3438"/>
      <c r="UPU10" s="3438"/>
      <c r="UPV10" s="3438"/>
      <c r="UPW10" s="3438"/>
      <c r="UPX10" s="3438"/>
      <c r="UPY10" s="3438"/>
      <c r="UPZ10" s="3438"/>
      <c r="UQA10" s="3438"/>
      <c r="UQB10" s="3438"/>
      <c r="UQC10" s="3438"/>
      <c r="UQD10" s="3438"/>
      <c r="UQE10" s="3438"/>
      <c r="UQF10" s="3438"/>
      <c r="UQG10" s="3438"/>
      <c r="UQH10" s="3438"/>
      <c r="UQI10" s="3438"/>
      <c r="UQJ10" s="3438"/>
      <c r="UQK10" s="3438"/>
      <c r="UQL10" s="3438"/>
      <c r="UQM10" s="3438"/>
      <c r="UQN10" s="3438"/>
      <c r="UQO10" s="3438"/>
      <c r="UQP10" s="3438"/>
      <c r="UQQ10" s="3438"/>
      <c r="UQR10" s="3438"/>
      <c r="UQS10" s="3438"/>
      <c r="UQT10" s="3438"/>
      <c r="UQU10" s="3438"/>
      <c r="UQV10" s="3438"/>
      <c r="UQW10" s="3438"/>
      <c r="UQX10" s="3438"/>
      <c r="UQY10" s="3438"/>
      <c r="UQZ10" s="3438"/>
      <c r="URA10" s="3438"/>
      <c r="URB10" s="3438"/>
      <c r="URC10" s="3438"/>
      <c r="URD10" s="3438"/>
      <c r="URE10" s="3438"/>
      <c r="URF10" s="3438"/>
      <c r="URG10" s="3438"/>
      <c r="URH10" s="3438"/>
      <c r="URI10" s="3438"/>
      <c r="URJ10" s="3438"/>
      <c r="URK10" s="3438"/>
      <c r="URL10" s="3438"/>
      <c r="URM10" s="3438"/>
      <c r="URN10" s="3438"/>
      <c r="URO10" s="3438"/>
      <c r="URP10" s="3438"/>
      <c r="URQ10" s="3438"/>
      <c r="URR10" s="3438"/>
      <c r="URS10" s="3438"/>
      <c r="URT10" s="3438"/>
      <c r="URU10" s="3438"/>
      <c r="URV10" s="3438"/>
      <c r="URW10" s="3438"/>
      <c r="URX10" s="3438"/>
      <c r="URY10" s="3438"/>
      <c r="URZ10" s="3438"/>
      <c r="USA10" s="3438"/>
      <c r="USB10" s="3438"/>
      <c r="USC10" s="3438"/>
      <c r="USD10" s="3438"/>
      <c r="USE10" s="3438"/>
      <c r="USF10" s="3438"/>
      <c r="USG10" s="3438"/>
      <c r="USH10" s="3438"/>
      <c r="USI10" s="3438"/>
      <c r="USJ10" s="3438"/>
      <c r="USK10" s="3438"/>
      <c r="USL10" s="3438"/>
      <c r="USM10" s="3438"/>
      <c r="USN10" s="3438"/>
      <c r="USO10" s="3438"/>
      <c r="USP10" s="3438"/>
      <c r="USQ10" s="3438"/>
      <c r="USR10" s="3438"/>
      <c r="USS10" s="3438"/>
      <c r="UST10" s="3438"/>
      <c r="USU10" s="3438"/>
      <c r="USV10" s="3438"/>
      <c r="USW10" s="3438"/>
      <c r="USX10" s="3438"/>
      <c r="USY10" s="3438"/>
      <c r="USZ10" s="3438"/>
      <c r="UTA10" s="3438"/>
      <c r="UTB10" s="3438"/>
      <c r="UTC10" s="3438"/>
      <c r="UTD10" s="3438"/>
      <c r="UTE10" s="3438"/>
      <c r="UTF10" s="3438"/>
      <c r="UTG10" s="3438"/>
      <c r="UTH10" s="3438"/>
      <c r="UTI10" s="3438"/>
      <c r="UTJ10" s="3438"/>
      <c r="UTK10" s="3438"/>
      <c r="UTL10" s="3438"/>
      <c r="UTM10" s="3438"/>
      <c r="UTN10" s="3438"/>
      <c r="UTO10" s="3438"/>
      <c r="UTP10" s="3438"/>
      <c r="UTQ10" s="3438"/>
      <c r="UTR10" s="3438"/>
      <c r="UTS10" s="3438"/>
      <c r="UTT10" s="3438"/>
      <c r="UTU10" s="3438"/>
      <c r="UTV10" s="3438"/>
      <c r="UTW10" s="3438"/>
      <c r="UTX10" s="3438"/>
      <c r="UTY10" s="3438"/>
      <c r="UTZ10" s="3438"/>
      <c r="UUA10" s="3438"/>
      <c r="UUB10" s="3438"/>
      <c r="UUC10" s="3438"/>
      <c r="UUD10" s="3438"/>
      <c r="UUE10" s="3438"/>
      <c r="UUF10" s="3438"/>
      <c r="UUG10" s="3438"/>
      <c r="UUH10" s="3438"/>
      <c r="UUI10" s="3438"/>
      <c r="UUJ10" s="3438"/>
      <c r="UUK10" s="3438"/>
      <c r="UUL10" s="3438"/>
      <c r="UUM10" s="3438"/>
      <c r="UUN10" s="3438"/>
      <c r="UUO10" s="3438"/>
      <c r="UUP10" s="3438"/>
      <c r="UUQ10" s="3438"/>
      <c r="UUR10" s="3438"/>
      <c r="UUS10" s="3438"/>
      <c r="UUT10" s="3438"/>
      <c r="UUU10" s="3438"/>
      <c r="UUV10" s="3438"/>
      <c r="UUW10" s="3438"/>
      <c r="UUX10" s="3438"/>
      <c r="UUY10" s="3438"/>
      <c r="UUZ10" s="3438"/>
      <c r="UVA10" s="3438"/>
      <c r="UVB10" s="3438"/>
      <c r="UVC10" s="3438"/>
      <c r="UVD10" s="3438"/>
      <c r="UVE10" s="3438"/>
      <c r="UVF10" s="3438"/>
      <c r="UVG10" s="3438"/>
      <c r="UVH10" s="3438"/>
      <c r="UVI10" s="3438"/>
      <c r="UVJ10" s="3438"/>
      <c r="UVK10" s="3438"/>
      <c r="UVL10" s="3438"/>
      <c r="UVM10" s="3438"/>
      <c r="UVN10" s="3438"/>
      <c r="UVO10" s="3438"/>
      <c r="UVP10" s="3438"/>
      <c r="UVQ10" s="3438"/>
      <c r="UVR10" s="3438"/>
      <c r="UVS10" s="3438"/>
      <c r="UVT10" s="3438"/>
      <c r="UVU10" s="3438"/>
      <c r="UVV10" s="3438"/>
      <c r="UVW10" s="3438"/>
      <c r="UVX10" s="3438"/>
      <c r="UVY10" s="3438"/>
      <c r="UVZ10" s="3438"/>
      <c r="UWA10" s="3438"/>
      <c r="UWB10" s="3438"/>
      <c r="UWC10" s="3438"/>
      <c r="UWD10" s="3438"/>
      <c r="UWE10" s="3438"/>
      <c r="UWF10" s="3438"/>
      <c r="UWG10" s="3438"/>
      <c r="UWH10" s="3438"/>
      <c r="UWI10" s="3438"/>
      <c r="UWJ10" s="3438"/>
      <c r="UWK10" s="3438"/>
      <c r="UWL10" s="3438"/>
      <c r="UWM10" s="3438"/>
      <c r="UWN10" s="3438"/>
      <c r="UWO10" s="3438"/>
      <c r="UWP10" s="3438"/>
      <c r="UWQ10" s="3438"/>
      <c r="UWR10" s="3438"/>
      <c r="UWS10" s="3438"/>
      <c r="UWT10" s="3438"/>
      <c r="UWU10" s="3438"/>
      <c r="UWV10" s="3438"/>
      <c r="UWW10" s="3438"/>
      <c r="UWX10" s="3438"/>
      <c r="UWY10" s="3438"/>
      <c r="UWZ10" s="3438"/>
      <c r="UXA10" s="3438"/>
      <c r="UXB10" s="3438"/>
      <c r="UXC10" s="3438"/>
      <c r="UXD10" s="3438"/>
      <c r="UXE10" s="3438"/>
      <c r="UXF10" s="3438"/>
      <c r="UXG10" s="3438"/>
      <c r="UXH10" s="3438"/>
      <c r="UXI10" s="3438"/>
      <c r="UXJ10" s="3438"/>
      <c r="UXK10" s="3438"/>
      <c r="UXL10" s="3438"/>
      <c r="UXM10" s="3438"/>
      <c r="UXN10" s="3438"/>
      <c r="UXO10" s="3438"/>
      <c r="UXP10" s="3438"/>
      <c r="UXQ10" s="3438"/>
      <c r="UXR10" s="3438"/>
      <c r="UXS10" s="3438"/>
      <c r="UXT10" s="3438"/>
      <c r="UXU10" s="3438"/>
      <c r="UXV10" s="3438"/>
      <c r="UXW10" s="3438"/>
      <c r="UXX10" s="3438"/>
      <c r="UXY10" s="3438"/>
      <c r="UXZ10" s="3438"/>
      <c r="UYA10" s="3438"/>
      <c r="UYB10" s="3438"/>
      <c r="UYC10" s="3438"/>
      <c r="UYD10" s="3438"/>
      <c r="UYE10" s="3438"/>
      <c r="UYF10" s="3438"/>
      <c r="UYG10" s="3438"/>
      <c r="UYH10" s="3438"/>
      <c r="UYI10" s="3438"/>
      <c r="UYJ10" s="3438"/>
      <c r="UYK10" s="3438"/>
      <c r="UYL10" s="3438"/>
      <c r="UYM10" s="3438"/>
      <c r="UYN10" s="3438"/>
      <c r="UYO10" s="3438"/>
      <c r="UYP10" s="3438"/>
      <c r="UYQ10" s="3438"/>
      <c r="UYR10" s="3438"/>
      <c r="UYS10" s="3438"/>
      <c r="UYT10" s="3438"/>
      <c r="UYU10" s="3438"/>
      <c r="UYV10" s="3438"/>
      <c r="UYW10" s="3438"/>
      <c r="UYX10" s="3438"/>
      <c r="UYY10" s="3438"/>
      <c r="UYZ10" s="3438"/>
      <c r="UZA10" s="3438"/>
      <c r="UZB10" s="3438"/>
      <c r="UZC10" s="3438"/>
      <c r="UZD10" s="3438"/>
      <c r="UZE10" s="3438"/>
      <c r="UZF10" s="3438"/>
      <c r="UZG10" s="3438"/>
      <c r="UZH10" s="3438"/>
      <c r="UZI10" s="3438"/>
      <c r="UZJ10" s="3438"/>
      <c r="UZK10" s="3438"/>
      <c r="UZL10" s="3438"/>
      <c r="UZM10" s="3438"/>
      <c r="UZN10" s="3438"/>
      <c r="UZO10" s="3438"/>
      <c r="UZP10" s="3438"/>
      <c r="UZQ10" s="3438"/>
      <c r="UZR10" s="3438"/>
      <c r="UZS10" s="3438"/>
      <c r="UZT10" s="3438"/>
      <c r="UZU10" s="3438"/>
      <c r="UZV10" s="3438"/>
      <c r="UZW10" s="3438"/>
      <c r="UZX10" s="3438"/>
      <c r="UZY10" s="3438"/>
      <c r="UZZ10" s="3438"/>
      <c r="VAA10" s="3438"/>
      <c r="VAB10" s="3438"/>
      <c r="VAC10" s="3438"/>
      <c r="VAD10" s="3438"/>
      <c r="VAE10" s="3438"/>
      <c r="VAF10" s="3438"/>
      <c r="VAG10" s="3438"/>
      <c r="VAH10" s="3438"/>
      <c r="VAI10" s="3438"/>
      <c r="VAJ10" s="3438"/>
      <c r="VAK10" s="3438"/>
      <c r="VAL10" s="3438"/>
      <c r="VAM10" s="3438"/>
      <c r="VAN10" s="3438"/>
      <c r="VAO10" s="3438"/>
      <c r="VAP10" s="3438"/>
      <c r="VAQ10" s="3438"/>
      <c r="VAR10" s="3438"/>
      <c r="VAS10" s="3438"/>
      <c r="VAT10" s="3438"/>
      <c r="VAU10" s="3438"/>
      <c r="VAV10" s="3438"/>
      <c r="VAW10" s="3438"/>
      <c r="VAX10" s="3438"/>
      <c r="VAY10" s="3438"/>
      <c r="VAZ10" s="3438"/>
      <c r="VBA10" s="3438"/>
      <c r="VBB10" s="3438"/>
      <c r="VBC10" s="3438"/>
      <c r="VBD10" s="3438"/>
      <c r="VBE10" s="3438"/>
      <c r="VBF10" s="3438"/>
      <c r="VBG10" s="3438"/>
      <c r="VBH10" s="3438"/>
      <c r="VBI10" s="3438"/>
      <c r="VBJ10" s="3438"/>
      <c r="VBK10" s="3438"/>
      <c r="VBL10" s="3438"/>
      <c r="VBM10" s="3438"/>
      <c r="VBN10" s="3438"/>
      <c r="VBO10" s="3438"/>
      <c r="VBP10" s="3438"/>
      <c r="VBQ10" s="3438"/>
      <c r="VBR10" s="3438"/>
      <c r="VBS10" s="3438"/>
      <c r="VBT10" s="3438"/>
      <c r="VBU10" s="3438"/>
      <c r="VBV10" s="3438"/>
      <c r="VBW10" s="3438"/>
      <c r="VBX10" s="3438"/>
      <c r="VBY10" s="3438"/>
      <c r="VBZ10" s="3438"/>
      <c r="VCA10" s="3438"/>
      <c r="VCB10" s="3438"/>
      <c r="VCC10" s="3438"/>
      <c r="VCD10" s="3438"/>
      <c r="VCE10" s="3438"/>
      <c r="VCF10" s="3438"/>
      <c r="VCG10" s="3438"/>
      <c r="VCH10" s="3438"/>
      <c r="VCI10" s="3438"/>
      <c r="VCJ10" s="3438"/>
      <c r="VCK10" s="3438"/>
      <c r="VCL10" s="3438"/>
      <c r="VCM10" s="3438"/>
      <c r="VCN10" s="3438"/>
      <c r="VCO10" s="3438"/>
      <c r="VCP10" s="3438"/>
      <c r="VCQ10" s="3438"/>
      <c r="VCR10" s="3438"/>
      <c r="VCS10" s="3438"/>
      <c r="VCT10" s="3438"/>
      <c r="VCU10" s="3438"/>
      <c r="VCV10" s="3438"/>
      <c r="VCW10" s="3438"/>
      <c r="VCX10" s="3438"/>
      <c r="VCY10" s="3438"/>
      <c r="VCZ10" s="3438"/>
      <c r="VDA10" s="3438"/>
      <c r="VDB10" s="3438"/>
      <c r="VDC10" s="3438"/>
      <c r="VDD10" s="3438"/>
      <c r="VDE10" s="3438"/>
      <c r="VDF10" s="3438"/>
      <c r="VDG10" s="3438"/>
      <c r="VDH10" s="3438"/>
      <c r="VDI10" s="3438"/>
      <c r="VDJ10" s="3438"/>
      <c r="VDK10" s="3438"/>
      <c r="VDL10" s="3438"/>
      <c r="VDM10" s="3438"/>
      <c r="VDN10" s="3438"/>
      <c r="VDO10" s="3438"/>
      <c r="VDP10" s="3438"/>
      <c r="VDQ10" s="3438"/>
      <c r="VDR10" s="3438"/>
      <c r="VDS10" s="3438"/>
      <c r="VDT10" s="3438"/>
      <c r="VDU10" s="3438"/>
      <c r="VDV10" s="3438"/>
      <c r="VDW10" s="3438"/>
      <c r="VDX10" s="3438"/>
      <c r="VDY10" s="3438"/>
      <c r="VDZ10" s="3438"/>
      <c r="VEA10" s="3438"/>
      <c r="VEB10" s="3438"/>
      <c r="VEC10" s="3438"/>
      <c r="VED10" s="3438"/>
      <c r="VEE10" s="3438"/>
      <c r="VEF10" s="3438"/>
      <c r="VEG10" s="3438"/>
      <c r="VEH10" s="3438"/>
      <c r="VEI10" s="3438"/>
      <c r="VEJ10" s="3438"/>
      <c r="VEK10" s="3438"/>
      <c r="VEL10" s="3438"/>
      <c r="VEM10" s="3438"/>
      <c r="VEN10" s="3438"/>
      <c r="VEO10" s="3438"/>
      <c r="VEP10" s="3438"/>
      <c r="VEQ10" s="3438"/>
      <c r="VER10" s="3438"/>
      <c r="VES10" s="3438"/>
      <c r="VET10" s="3438"/>
      <c r="VEU10" s="3438"/>
      <c r="VEV10" s="3438"/>
      <c r="VEW10" s="3438"/>
      <c r="VEX10" s="3438"/>
      <c r="VEY10" s="3438"/>
      <c r="VEZ10" s="3438"/>
      <c r="VFA10" s="3438"/>
      <c r="VFB10" s="3438"/>
      <c r="VFC10" s="3438"/>
      <c r="VFD10" s="3438"/>
      <c r="VFE10" s="3438"/>
      <c r="VFF10" s="3438"/>
      <c r="VFG10" s="3438"/>
      <c r="VFH10" s="3438"/>
      <c r="VFI10" s="3438"/>
      <c r="VFJ10" s="3438"/>
      <c r="VFK10" s="3438"/>
      <c r="VFL10" s="3438"/>
      <c r="VFM10" s="3438"/>
      <c r="VFN10" s="3438"/>
      <c r="VFO10" s="3438"/>
      <c r="VFP10" s="3438"/>
      <c r="VFQ10" s="3438"/>
      <c r="VFR10" s="3438"/>
      <c r="VFS10" s="3438"/>
      <c r="VFT10" s="3438"/>
      <c r="VFU10" s="3438"/>
      <c r="VFV10" s="3438"/>
      <c r="VFW10" s="3438"/>
      <c r="VFX10" s="3438"/>
      <c r="VFY10" s="3438"/>
      <c r="VFZ10" s="3438"/>
      <c r="VGA10" s="3438"/>
      <c r="VGB10" s="3438"/>
      <c r="VGC10" s="3438"/>
      <c r="VGD10" s="3438"/>
      <c r="VGE10" s="3438"/>
      <c r="VGF10" s="3438"/>
      <c r="VGG10" s="3438"/>
      <c r="VGH10" s="3438"/>
      <c r="VGI10" s="3438"/>
      <c r="VGJ10" s="3438"/>
      <c r="VGK10" s="3438"/>
      <c r="VGL10" s="3438"/>
      <c r="VGM10" s="3438"/>
      <c r="VGN10" s="3438"/>
      <c r="VGO10" s="3438"/>
      <c r="VGP10" s="3438"/>
      <c r="VGQ10" s="3438"/>
      <c r="VGR10" s="3438"/>
      <c r="VGS10" s="3438"/>
      <c r="VGT10" s="3438"/>
      <c r="VGU10" s="3438"/>
      <c r="VGV10" s="3438"/>
      <c r="VGW10" s="3438"/>
      <c r="VGX10" s="3438"/>
      <c r="VGY10" s="3438"/>
      <c r="VGZ10" s="3438"/>
      <c r="VHA10" s="3438"/>
      <c r="VHB10" s="3438"/>
      <c r="VHC10" s="3438"/>
      <c r="VHD10" s="3438"/>
      <c r="VHE10" s="3438"/>
      <c r="VHF10" s="3438"/>
      <c r="VHG10" s="3438"/>
      <c r="VHH10" s="3438"/>
      <c r="VHI10" s="3438"/>
      <c r="VHJ10" s="3438"/>
      <c r="VHK10" s="3438"/>
      <c r="VHL10" s="3438"/>
      <c r="VHM10" s="3438"/>
      <c r="VHN10" s="3438"/>
      <c r="VHO10" s="3438"/>
      <c r="VHP10" s="3438"/>
      <c r="VHQ10" s="3438"/>
      <c r="VHR10" s="3438"/>
      <c r="VHS10" s="3438"/>
      <c r="VHT10" s="3438"/>
      <c r="VHU10" s="3438"/>
      <c r="VHV10" s="3438"/>
      <c r="VHW10" s="3438"/>
      <c r="VHX10" s="3438"/>
      <c r="VHY10" s="3438"/>
      <c r="VHZ10" s="3438"/>
      <c r="VIA10" s="3438"/>
      <c r="VIB10" s="3438"/>
      <c r="VIC10" s="3438"/>
      <c r="VID10" s="3438"/>
      <c r="VIE10" s="3438"/>
      <c r="VIF10" s="3438"/>
      <c r="VIG10" s="3438"/>
      <c r="VIH10" s="3438"/>
      <c r="VII10" s="3438"/>
      <c r="VIJ10" s="3438"/>
      <c r="VIK10" s="3438"/>
      <c r="VIL10" s="3438"/>
      <c r="VIM10" s="3438"/>
      <c r="VIN10" s="3438"/>
      <c r="VIO10" s="3438"/>
      <c r="VIP10" s="3438"/>
      <c r="VIQ10" s="3438"/>
      <c r="VIR10" s="3438"/>
      <c r="VIS10" s="3438"/>
      <c r="VIT10" s="3438"/>
      <c r="VIU10" s="3438"/>
      <c r="VIV10" s="3438"/>
      <c r="VIW10" s="3438"/>
      <c r="VIX10" s="3438"/>
      <c r="VIY10" s="3438"/>
      <c r="VIZ10" s="3438"/>
      <c r="VJA10" s="3438"/>
      <c r="VJB10" s="3438"/>
      <c r="VJC10" s="3438"/>
      <c r="VJD10" s="3438"/>
      <c r="VJE10" s="3438"/>
      <c r="VJF10" s="3438"/>
      <c r="VJG10" s="3438"/>
      <c r="VJH10" s="3438"/>
      <c r="VJI10" s="3438"/>
      <c r="VJJ10" s="3438"/>
      <c r="VJK10" s="3438"/>
      <c r="VJL10" s="3438"/>
      <c r="VJM10" s="3438"/>
      <c r="VJN10" s="3438"/>
      <c r="VJO10" s="3438"/>
      <c r="VJP10" s="3438"/>
      <c r="VJQ10" s="3438"/>
      <c r="VJR10" s="3438"/>
      <c r="VJS10" s="3438"/>
      <c r="VJT10" s="3438"/>
      <c r="VJU10" s="3438"/>
      <c r="VJV10" s="3438"/>
      <c r="VJW10" s="3438"/>
      <c r="VJX10" s="3438"/>
      <c r="VJY10" s="3438"/>
      <c r="VJZ10" s="3438"/>
      <c r="VKA10" s="3438"/>
      <c r="VKB10" s="3438"/>
      <c r="VKC10" s="3438"/>
      <c r="VKD10" s="3438"/>
      <c r="VKE10" s="3438"/>
      <c r="VKF10" s="3438"/>
      <c r="VKG10" s="3438"/>
      <c r="VKH10" s="3438"/>
      <c r="VKI10" s="3438"/>
      <c r="VKJ10" s="3438"/>
      <c r="VKK10" s="3438"/>
      <c r="VKL10" s="3438"/>
      <c r="VKM10" s="3438"/>
      <c r="VKN10" s="3438"/>
      <c r="VKO10" s="3438"/>
      <c r="VKP10" s="3438"/>
      <c r="VKQ10" s="3438"/>
      <c r="VKR10" s="3438"/>
      <c r="VKS10" s="3438"/>
      <c r="VKT10" s="3438"/>
      <c r="VKU10" s="3438"/>
      <c r="VKV10" s="3438"/>
      <c r="VKW10" s="3438"/>
      <c r="VKX10" s="3438"/>
      <c r="VKY10" s="3438"/>
      <c r="VKZ10" s="3438"/>
      <c r="VLA10" s="3438"/>
      <c r="VLB10" s="3438"/>
      <c r="VLC10" s="3438"/>
      <c r="VLD10" s="3438"/>
      <c r="VLE10" s="3438"/>
      <c r="VLF10" s="3438"/>
      <c r="VLG10" s="3438"/>
      <c r="VLH10" s="3438"/>
      <c r="VLI10" s="3438"/>
      <c r="VLJ10" s="3438"/>
      <c r="VLK10" s="3438"/>
      <c r="VLL10" s="3438"/>
      <c r="VLM10" s="3438"/>
      <c r="VLN10" s="3438"/>
      <c r="VLO10" s="3438"/>
      <c r="VLP10" s="3438"/>
      <c r="VLQ10" s="3438"/>
      <c r="VLR10" s="3438"/>
      <c r="VLS10" s="3438"/>
      <c r="VLT10" s="3438"/>
      <c r="VLU10" s="3438"/>
      <c r="VLV10" s="3438"/>
      <c r="VLW10" s="3438"/>
      <c r="VLX10" s="3438"/>
      <c r="VLY10" s="3438"/>
      <c r="VLZ10" s="3438"/>
      <c r="VMA10" s="3438"/>
      <c r="VMB10" s="3438"/>
      <c r="VMC10" s="3438"/>
      <c r="VMD10" s="3438"/>
      <c r="VME10" s="3438"/>
      <c r="VMF10" s="3438"/>
      <c r="VMG10" s="3438"/>
      <c r="VMH10" s="3438"/>
      <c r="VMI10" s="3438"/>
      <c r="VMJ10" s="3438"/>
      <c r="VMK10" s="3438"/>
      <c r="VML10" s="3438"/>
      <c r="VMM10" s="3438"/>
      <c r="VMN10" s="3438"/>
      <c r="VMO10" s="3438"/>
      <c r="VMP10" s="3438"/>
      <c r="VMQ10" s="3438"/>
      <c r="VMR10" s="3438"/>
      <c r="VMS10" s="3438"/>
      <c r="VMT10" s="3438"/>
      <c r="VMU10" s="3438"/>
      <c r="VMV10" s="3438"/>
      <c r="VMW10" s="3438"/>
      <c r="VMX10" s="3438"/>
      <c r="VMY10" s="3438"/>
      <c r="VMZ10" s="3438"/>
      <c r="VNA10" s="3438"/>
      <c r="VNB10" s="3438"/>
      <c r="VNC10" s="3438"/>
      <c r="VND10" s="3438"/>
      <c r="VNE10" s="3438"/>
      <c r="VNF10" s="3438"/>
      <c r="VNG10" s="3438"/>
      <c r="VNH10" s="3438"/>
      <c r="VNI10" s="3438"/>
      <c r="VNJ10" s="3438"/>
      <c r="VNK10" s="3438"/>
      <c r="VNL10" s="3438"/>
      <c r="VNM10" s="3438"/>
      <c r="VNN10" s="3438"/>
      <c r="VNO10" s="3438"/>
      <c r="VNP10" s="3438"/>
      <c r="VNQ10" s="3438"/>
      <c r="VNR10" s="3438"/>
      <c r="VNS10" s="3438"/>
      <c r="VNT10" s="3438"/>
      <c r="VNU10" s="3438"/>
      <c r="VNV10" s="3438"/>
      <c r="VNW10" s="3438"/>
      <c r="VNX10" s="3438"/>
      <c r="VNY10" s="3438"/>
      <c r="VNZ10" s="3438"/>
      <c r="VOA10" s="3438"/>
      <c r="VOB10" s="3438"/>
      <c r="VOC10" s="3438"/>
      <c r="VOD10" s="3438"/>
      <c r="VOE10" s="3438"/>
      <c r="VOF10" s="3438"/>
      <c r="VOG10" s="3438"/>
      <c r="VOH10" s="3438"/>
      <c r="VOI10" s="3438"/>
      <c r="VOJ10" s="3438"/>
      <c r="VOK10" s="3438"/>
      <c r="VOL10" s="3438"/>
      <c r="VOM10" s="3438"/>
      <c r="VON10" s="3438"/>
      <c r="VOO10" s="3438"/>
      <c r="VOP10" s="3438"/>
      <c r="VOQ10" s="3438"/>
      <c r="VOR10" s="3438"/>
      <c r="VOS10" s="3438"/>
      <c r="VOT10" s="3438"/>
      <c r="VOU10" s="3438"/>
      <c r="VOV10" s="3438"/>
      <c r="VOW10" s="3438"/>
      <c r="VOX10" s="3438"/>
      <c r="VOY10" s="3438"/>
      <c r="VOZ10" s="3438"/>
      <c r="VPA10" s="3438"/>
      <c r="VPB10" s="3438"/>
      <c r="VPC10" s="3438"/>
      <c r="VPD10" s="3438"/>
      <c r="VPE10" s="3438"/>
      <c r="VPF10" s="3438"/>
      <c r="VPG10" s="3438"/>
      <c r="VPH10" s="3438"/>
      <c r="VPI10" s="3438"/>
      <c r="VPJ10" s="3438"/>
      <c r="VPK10" s="3438"/>
      <c r="VPL10" s="3438"/>
      <c r="VPM10" s="3438"/>
      <c r="VPN10" s="3438"/>
      <c r="VPO10" s="3438"/>
      <c r="VPP10" s="3438"/>
      <c r="VPQ10" s="3438"/>
      <c r="VPR10" s="3438"/>
      <c r="VPS10" s="3438"/>
      <c r="VPT10" s="3438"/>
      <c r="VPU10" s="3438"/>
      <c r="VPV10" s="3438"/>
      <c r="VPW10" s="3438"/>
      <c r="VPX10" s="3438"/>
      <c r="VPY10" s="3438"/>
      <c r="VPZ10" s="3438"/>
      <c r="VQA10" s="3438"/>
      <c r="VQB10" s="3438"/>
      <c r="VQC10" s="3438"/>
      <c r="VQD10" s="3438"/>
      <c r="VQE10" s="3438"/>
      <c r="VQF10" s="3438"/>
      <c r="VQG10" s="3438"/>
      <c r="VQH10" s="3438"/>
      <c r="VQI10" s="3438"/>
      <c r="VQJ10" s="3438"/>
      <c r="VQK10" s="3438"/>
      <c r="VQL10" s="3438"/>
      <c r="VQM10" s="3438"/>
      <c r="VQN10" s="3438"/>
      <c r="VQO10" s="3438"/>
      <c r="VQP10" s="3438"/>
      <c r="VQQ10" s="3438"/>
      <c r="VQR10" s="3438"/>
      <c r="VQS10" s="3438"/>
      <c r="VQT10" s="3438"/>
      <c r="VQU10" s="3438"/>
      <c r="VQV10" s="3438"/>
      <c r="VQW10" s="3438"/>
      <c r="VQX10" s="3438"/>
      <c r="VQY10" s="3438"/>
      <c r="VQZ10" s="3438"/>
      <c r="VRA10" s="3438"/>
      <c r="VRB10" s="3438"/>
      <c r="VRC10" s="3438"/>
      <c r="VRD10" s="3438"/>
      <c r="VRE10" s="3438"/>
      <c r="VRF10" s="3438"/>
      <c r="VRG10" s="3438"/>
      <c r="VRH10" s="3438"/>
      <c r="VRI10" s="3438"/>
      <c r="VRJ10" s="3438"/>
      <c r="VRK10" s="3438"/>
      <c r="VRL10" s="3438"/>
      <c r="VRM10" s="3438"/>
      <c r="VRN10" s="3438"/>
      <c r="VRO10" s="3438"/>
      <c r="VRP10" s="3438"/>
      <c r="VRQ10" s="3438"/>
      <c r="VRR10" s="3438"/>
      <c r="VRS10" s="3438"/>
      <c r="VRT10" s="3438"/>
      <c r="VRU10" s="3438"/>
      <c r="VRV10" s="3438"/>
      <c r="VRW10" s="3438"/>
      <c r="VRX10" s="3438"/>
      <c r="VRY10" s="3438"/>
      <c r="VRZ10" s="3438"/>
      <c r="VSA10" s="3438"/>
      <c r="VSB10" s="3438"/>
      <c r="VSC10" s="3438"/>
      <c r="VSD10" s="3438"/>
      <c r="VSE10" s="3438"/>
      <c r="VSF10" s="3438"/>
      <c r="VSG10" s="3438"/>
      <c r="VSH10" s="3438"/>
      <c r="VSI10" s="3438"/>
      <c r="VSJ10" s="3438"/>
      <c r="VSK10" s="3438"/>
      <c r="VSL10" s="3438"/>
      <c r="VSM10" s="3438"/>
      <c r="VSN10" s="3438"/>
      <c r="VSO10" s="3438"/>
      <c r="VSP10" s="3438"/>
      <c r="VSQ10" s="3438"/>
      <c r="VSR10" s="3438"/>
      <c r="VSS10" s="3438"/>
      <c r="VST10" s="3438"/>
      <c r="VSU10" s="3438"/>
      <c r="VSV10" s="3438"/>
      <c r="VSW10" s="3438"/>
      <c r="VSX10" s="3438"/>
      <c r="VSY10" s="3438"/>
      <c r="VSZ10" s="3438"/>
      <c r="VTA10" s="3438"/>
      <c r="VTB10" s="3438"/>
      <c r="VTC10" s="3438"/>
      <c r="VTD10" s="3438"/>
      <c r="VTE10" s="3438"/>
      <c r="VTF10" s="3438"/>
      <c r="VTG10" s="3438"/>
      <c r="VTH10" s="3438"/>
      <c r="VTI10" s="3438"/>
      <c r="VTJ10" s="3438"/>
      <c r="VTK10" s="3438"/>
      <c r="VTL10" s="3438"/>
      <c r="VTM10" s="3438"/>
      <c r="VTN10" s="3438"/>
      <c r="VTO10" s="3438"/>
      <c r="VTP10" s="3438"/>
      <c r="VTQ10" s="3438"/>
      <c r="VTR10" s="3438"/>
      <c r="VTS10" s="3438"/>
      <c r="VTT10" s="3438"/>
      <c r="VTU10" s="3438"/>
      <c r="VTV10" s="3438"/>
      <c r="VTW10" s="3438"/>
      <c r="VTX10" s="3438"/>
      <c r="VTY10" s="3438"/>
      <c r="VTZ10" s="3438"/>
      <c r="VUA10" s="3438"/>
      <c r="VUB10" s="3438"/>
      <c r="VUC10" s="3438"/>
      <c r="VUD10" s="3438"/>
      <c r="VUE10" s="3438"/>
      <c r="VUF10" s="3438"/>
      <c r="VUG10" s="3438"/>
      <c r="VUH10" s="3438"/>
      <c r="VUI10" s="3438"/>
      <c r="VUJ10" s="3438"/>
      <c r="VUK10" s="3438"/>
      <c r="VUL10" s="3438"/>
      <c r="VUM10" s="3438"/>
      <c r="VUN10" s="3438"/>
      <c r="VUO10" s="3438"/>
      <c r="VUP10" s="3438"/>
      <c r="VUQ10" s="3438"/>
      <c r="VUR10" s="3438"/>
      <c r="VUS10" s="3438"/>
      <c r="VUT10" s="3438"/>
      <c r="VUU10" s="3438"/>
      <c r="VUV10" s="3438"/>
      <c r="VUW10" s="3438"/>
      <c r="VUX10" s="3438"/>
      <c r="VUY10" s="3438"/>
      <c r="VUZ10" s="3438"/>
      <c r="VVA10" s="3438"/>
      <c r="VVB10" s="3438"/>
      <c r="VVC10" s="3438"/>
      <c r="VVD10" s="3438"/>
      <c r="VVE10" s="3438"/>
      <c r="VVF10" s="3438"/>
      <c r="VVG10" s="3438"/>
      <c r="VVH10" s="3438"/>
      <c r="VVI10" s="3438"/>
      <c r="VVJ10" s="3438"/>
      <c r="VVK10" s="3438"/>
      <c r="VVL10" s="3438"/>
      <c r="VVM10" s="3438"/>
      <c r="VVN10" s="3438"/>
      <c r="VVO10" s="3438"/>
      <c r="VVP10" s="3438"/>
      <c r="VVQ10" s="3438"/>
      <c r="VVR10" s="3438"/>
      <c r="VVS10" s="3438"/>
      <c r="VVT10" s="3438"/>
      <c r="VVU10" s="3438"/>
      <c r="VVV10" s="3438"/>
      <c r="VVW10" s="3438"/>
      <c r="VVX10" s="3438"/>
      <c r="VVY10" s="3438"/>
      <c r="VVZ10" s="3438"/>
      <c r="VWA10" s="3438"/>
      <c r="VWB10" s="3438"/>
      <c r="VWC10" s="3438"/>
      <c r="VWD10" s="3438"/>
      <c r="VWE10" s="3438"/>
      <c r="VWF10" s="3438"/>
      <c r="VWG10" s="3438"/>
      <c r="VWH10" s="3438"/>
      <c r="VWI10" s="3438"/>
      <c r="VWJ10" s="3438"/>
      <c r="VWK10" s="3438"/>
      <c r="VWL10" s="3438"/>
      <c r="VWM10" s="3438"/>
      <c r="VWN10" s="3438"/>
      <c r="VWO10" s="3438"/>
      <c r="VWP10" s="3438"/>
      <c r="VWQ10" s="3438"/>
      <c r="VWR10" s="3438"/>
      <c r="VWS10" s="3438"/>
      <c r="VWT10" s="3438"/>
      <c r="VWU10" s="3438"/>
      <c r="VWV10" s="3438"/>
      <c r="VWW10" s="3438"/>
      <c r="VWX10" s="3438"/>
      <c r="VWY10" s="3438"/>
      <c r="VWZ10" s="3438"/>
      <c r="VXA10" s="3438"/>
      <c r="VXB10" s="3438"/>
      <c r="VXC10" s="3438"/>
      <c r="VXD10" s="3438"/>
      <c r="VXE10" s="3438"/>
      <c r="VXF10" s="3438"/>
      <c r="VXG10" s="3438"/>
      <c r="VXH10" s="3438"/>
      <c r="VXI10" s="3438"/>
      <c r="VXJ10" s="3438"/>
      <c r="VXK10" s="3438"/>
      <c r="VXL10" s="3438"/>
      <c r="VXM10" s="3438"/>
      <c r="VXN10" s="3438"/>
      <c r="VXO10" s="3438"/>
      <c r="VXP10" s="3438"/>
      <c r="VXQ10" s="3438"/>
      <c r="VXR10" s="3438"/>
      <c r="VXS10" s="3438"/>
      <c r="VXT10" s="3438"/>
      <c r="VXU10" s="3438"/>
      <c r="VXV10" s="3438"/>
      <c r="VXW10" s="3438"/>
      <c r="VXX10" s="3438"/>
      <c r="VXY10" s="3438"/>
      <c r="VXZ10" s="3438"/>
      <c r="VYA10" s="3438"/>
      <c r="VYB10" s="3438"/>
      <c r="VYC10" s="3438"/>
      <c r="VYD10" s="3438"/>
      <c r="VYE10" s="3438"/>
      <c r="VYF10" s="3438"/>
      <c r="VYG10" s="3438"/>
      <c r="VYH10" s="3438"/>
      <c r="VYI10" s="3438"/>
      <c r="VYJ10" s="3438"/>
      <c r="VYK10" s="3438"/>
      <c r="VYL10" s="3438"/>
      <c r="VYM10" s="3438"/>
      <c r="VYN10" s="3438"/>
      <c r="VYO10" s="3438"/>
      <c r="VYP10" s="3438"/>
      <c r="VYQ10" s="3438"/>
      <c r="VYR10" s="3438"/>
      <c r="VYS10" s="3438"/>
      <c r="VYT10" s="3438"/>
      <c r="VYU10" s="3438"/>
      <c r="VYV10" s="3438"/>
      <c r="VYW10" s="3438"/>
      <c r="VYX10" s="3438"/>
      <c r="VYY10" s="3438"/>
      <c r="VYZ10" s="3438"/>
      <c r="VZA10" s="3438"/>
      <c r="VZB10" s="3438"/>
      <c r="VZC10" s="3438"/>
      <c r="VZD10" s="3438"/>
      <c r="VZE10" s="3438"/>
      <c r="VZF10" s="3438"/>
      <c r="VZG10" s="3438"/>
      <c r="VZH10" s="3438"/>
      <c r="VZI10" s="3438"/>
      <c r="VZJ10" s="3438"/>
      <c r="VZK10" s="3438"/>
      <c r="VZL10" s="3438"/>
      <c r="VZM10" s="3438"/>
      <c r="VZN10" s="3438"/>
      <c r="VZO10" s="3438"/>
      <c r="VZP10" s="3438"/>
      <c r="VZQ10" s="3438"/>
      <c r="VZR10" s="3438"/>
      <c r="VZS10" s="3438"/>
      <c r="VZT10" s="3438"/>
      <c r="VZU10" s="3438"/>
      <c r="VZV10" s="3438"/>
      <c r="VZW10" s="3438"/>
      <c r="VZX10" s="3438"/>
      <c r="VZY10" s="3438"/>
      <c r="VZZ10" s="3438"/>
      <c r="WAA10" s="3438"/>
      <c r="WAB10" s="3438"/>
      <c r="WAC10" s="3438"/>
      <c r="WAD10" s="3438"/>
      <c r="WAE10" s="3438"/>
      <c r="WAF10" s="3438"/>
      <c r="WAG10" s="3438"/>
      <c r="WAH10" s="3438"/>
      <c r="WAI10" s="3438"/>
      <c r="WAJ10" s="3438"/>
      <c r="WAK10" s="3438"/>
      <c r="WAL10" s="3438"/>
      <c r="WAM10" s="3438"/>
      <c r="WAN10" s="3438"/>
      <c r="WAO10" s="3438"/>
      <c r="WAP10" s="3438"/>
      <c r="WAQ10" s="3438"/>
      <c r="WAR10" s="3438"/>
      <c r="WAS10" s="3438"/>
      <c r="WAT10" s="3438"/>
      <c r="WAU10" s="3438"/>
      <c r="WAV10" s="3438"/>
      <c r="WAW10" s="3438"/>
      <c r="WAX10" s="3438"/>
      <c r="WAY10" s="3438"/>
      <c r="WAZ10" s="3438"/>
      <c r="WBA10" s="3438"/>
      <c r="WBB10" s="3438"/>
      <c r="WBC10" s="3438"/>
      <c r="WBD10" s="3438"/>
      <c r="WBE10" s="3438"/>
      <c r="WBF10" s="3438"/>
      <c r="WBG10" s="3438"/>
      <c r="WBH10" s="3438"/>
      <c r="WBI10" s="3438"/>
      <c r="WBJ10" s="3438"/>
      <c r="WBK10" s="3438"/>
      <c r="WBL10" s="3438"/>
      <c r="WBM10" s="3438"/>
      <c r="WBN10" s="3438"/>
      <c r="WBO10" s="3438"/>
      <c r="WBP10" s="3438"/>
      <c r="WBQ10" s="3438"/>
      <c r="WBR10" s="3438"/>
      <c r="WBS10" s="3438"/>
      <c r="WBT10" s="3438"/>
      <c r="WBU10" s="3438"/>
      <c r="WBV10" s="3438"/>
      <c r="WBW10" s="3438"/>
      <c r="WBX10" s="3438"/>
      <c r="WBY10" s="3438"/>
      <c r="WBZ10" s="3438"/>
      <c r="WCA10" s="3438"/>
      <c r="WCB10" s="3438"/>
      <c r="WCC10" s="3438"/>
      <c r="WCD10" s="3438"/>
      <c r="WCE10" s="3438"/>
      <c r="WCF10" s="3438"/>
      <c r="WCG10" s="3438"/>
      <c r="WCH10" s="3438"/>
      <c r="WCI10" s="3438"/>
      <c r="WCJ10" s="3438"/>
      <c r="WCK10" s="3438"/>
      <c r="WCL10" s="3438"/>
      <c r="WCM10" s="3438"/>
      <c r="WCN10" s="3438"/>
      <c r="WCO10" s="3438"/>
      <c r="WCP10" s="3438"/>
      <c r="WCQ10" s="3438"/>
      <c r="WCR10" s="3438"/>
      <c r="WCS10" s="3438"/>
      <c r="WCT10" s="3438"/>
      <c r="WCU10" s="3438"/>
      <c r="WCV10" s="3438"/>
      <c r="WCW10" s="3438"/>
      <c r="WCX10" s="3438"/>
      <c r="WCY10" s="3438"/>
      <c r="WCZ10" s="3438"/>
      <c r="WDA10" s="3438"/>
      <c r="WDB10" s="3438"/>
      <c r="WDC10" s="3438"/>
      <c r="WDD10" s="3438"/>
      <c r="WDE10" s="3438"/>
      <c r="WDF10" s="3438"/>
      <c r="WDG10" s="3438"/>
      <c r="WDH10" s="3438"/>
      <c r="WDI10" s="3438"/>
      <c r="WDJ10" s="3438"/>
      <c r="WDK10" s="3438"/>
      <c r="WDL10" s="3438"/>
      <c r="WDM10" s="3438"/>
      <c r="WDN10" s="3438"/>
      <c r="WDO10" s="3438"/>
      <c r="WDP10" s="3438"/>
      <c r="WDQ10" s="3438"/>
      <c r="WDR10" s="3438"/>
      <c r="WDS10" s="3438"/>
      <c r="WDT10" s="3438"/>
      <c r="WDU10" s="3438"/>
      <c r="WDV10" s="3438"/>
      <c r="WDW10" s="3438"/>
      <c r="WDX10" s="3438"/>
      <c r="WDY10" s="3438"/>
      <c r="WDZ10" s="3438"/>
      <c r="WEA10" s="3438"/>
      <c r="WEB10" s="3438"/>
      <c r="WEC10" s="3438"/>
      <c r="WED10" s="3438"/>
      <c r="WEE10" s="3438"/>
      <c r="WEF10" s="3438"/>
      <c r="WEG10" s="3438"/>
      <c r="WEH10" s="3438"/>
      <c r="WEI10" s="3438"/>
      <c r="WEJ10" s="3438"/>
      <c r="WEK10" s="3438"/>
      <c r="WEL10" s="3438"/>
      <c r="WEM10" s="3438"/>
      <c r="WEN10" s="3438"/>
      <c r="WEO10" s="3438"/>
      <c r="WEP10" s="3438"/>
      <c r="WEQ10" s="3438"/>
      <c r="WER10" s="3438"/>
      <c r="WES10" s="3438"/>
      <c r="WET10" s="3438"/>
      <c r="WEU10" s="3438"/>
      <c r="WEV10" s="3438"/>
      <c r="WEW10" s="3438"/>
      <c r="WEX10" s="3438"/>
      <c r="WEY10" s="3438"/>
      <c r="WEZ10" s="3438"/>
      <c r="WFA10" s="3438"/>
      <c r="WFB10" s="3438"/>
      <c r="WFC10" s="3438"/>
      <c r="WFD10" s="3438"/>
      <c r="WFE10" s="3438"/>
      <c r="WFF10" s="3438"/>
      <c r="WFG10" s="3438"/>
      <c r="WFH10" s="3438"/>
      <c r="WFI10" s="3438"/>
      <c r="WFJ10" s="3438"/>
      <c r="WFK10" s="3438"/>
      <c r="WFL10" s="3438"/>
      <c r="WFM10" s="3438"/>
      <c r="WFN10" s="3438"/>
      <c r="WFO10" s="3438"/>
      <c r="WFP10" s="3438"/>
      <c r="WFQ10" s="3438"/>
      <c r="WFR10" s="3438"/>
      <c r="WFS10" s="3438"/>
      <c r="WFT10" s="3438"/>
      <c r="WFU10" s="3438"/>
      <c r="WFV10" s="3438"/>
      <c r="WFW10" s="3438"/>
      <c r="WFX10" s="3438"/>
      <c r="WFY10" s="3438"/>
      <c r="WFZ10" s="3438"/>
      <c r="WGA10" s="3438"/>
      <c r="WGB10" s="3438"/>
      <c r="WGC10" s="3438"/>
      <c r="WGD10" s="3438"/>
      <c r="WGE10" s="3438"/>
      <c r="WGF10" s="3438"/>
      <c r="WGG10" s="3438"/>
      <c r="WGH10" s="3438"/>
      <c r="WGI10" s="3438"/>
      <c r="WGJ10" s="3438"/>
      <c r="WGK10" s="3438"/>
      <c r="WGL10" s="3438"/>
      <c r="WGM10" s="3438"/>
      <c r="WGN10" s="3438"/>
      <c r="WGO10" s="3438"/>
      <c r="WGP10" s="3438"/>
      <c r="WGQ10" s="3438"/>
      <c r="WGR10" s="3438"/>
      <c r="WGS10" s="3438"/>
      <c r="WGT10" s="3438"/>
      <c r="WGU10" s="3438"/>
      <c r="WGV10" s="3438"/>
      <c r="WGW10" s="3438"/>
      <c r="WGX10" s="3438"/>
      <c r="WGY10" s="3438"/>
      <c r="WGZ10" s="3438"/>
      <c r="WHA10" s="3438"/>
      <c r="WHB10" s="3438"/>
      <c r="WHC10" s="3438"/>
      <c r="WHD10" s="3438"/>
      <c r="WHE10" s="3438"/>
      <c r="WHF10" s="3438"/>
      <c r="WHG10" s="3438"/>
      <c r="WHH10" s="3438"/>
      <c r="WHI10" s="3438"/>
      <c r="WHJ10" s="3438"/>
      <c r="WHK10" s="3438"/>
      <c r="WHL10" s="3438"/>
      <c r="WHM10" s="3438"/>
      <c r="WHN10" s="3438"/>
      <c r="WHO10" s="3438"/>
      <c r="WHP10" s="3438"/>
      <c r="WHQ10" s="3438"/>
      <c r="WHR10" s="3438"/>
      <c r="WHS10" s="3438"/>
      <c r="WHT10" s="3438"/>
      <c r="WHU10" s="3438"/>
      <c r="WHV10" s="3438"/>
      <c r="WHW10" s="3438"/>
      <c r="WHX10" s="3438"/>
      <c r="WHY10" s="3438"/>
      <c r="WHZ10" s="3438"/>
      <c r="WIA10" s="3438"/>
      <c r="WIB10" s="3438"/>
      <c r="WIC10" s="3438"/>
      <c r="WID10" s="3438"/>
      <c r="WIE10" s="3438"/>
      <c r="WIF10" s="3438"/>
      <c r="WIG10" s="3438"/>
      <c r="WIH10" s="3438"/>
      <c r="WII10" s="3438"/>
      <c r="WIJ10" s="3438"/>
      <c r="WIK10" s="3438"/>
      <c r="WIL10" s="3438"/>
      <c r="WIM10" s="3438"/>
      <c r="WIN10" s="3438"/>
      <c r="WIO10" s="3438"/>
      <c r="WIP10" s="3438"/>
      <c r="WIQ10" s="3438"/>
      <c r="WIR10" s="3438"/>
      <c r="WIS10" s="3438"/>
      <c r="WIT10" s="3438"/>
      <c r="WIU10" s="3438"/>
      <c r="WIV10" s="3438"/>
      <c r="WIW10" s="3438"/>
      <c r="WIX10" s="3438"/>
      <c r="WIY10" s="3438"/>
      <c r="WIZ10" s="3438"/>
      <c r="WJA10" s="3438"/>
      <c r="WJB10" s="3438"/>
      <c r="WJC10" s="3438"/>
      <c r="WJD10" s="3438"/>
      <c r="WJE10" s="3438"/>
      <c r="WJF10" s="3438"/>
      <c r="WJG10" s="3438"/>
      <c r="WJH10" s="3438"/>
      <c r="WJI10" s="3438"/>
      <c r="WJJ10" s="3438"/>
      <c r="WJK10" s="3438"/>
      <c r="WJL10" s="3438"/>
      <c r="WJM10" s="3438"/>
      <c r="WJN10" s="3438"/>
      <c r="WJO10" s="3438"/>
      <c r="WJP10" s="3438"/>
      <c r="WJQ10" s="3438"/>
      <c r="WJR10" s="3438"/>
      <c r="WJS10" s="3438"/>
      <c r="WJT10" s="3438"/>
      <c r="WJU10" s="3438"/>
      <c r="WJV10" s="3438"/>
      <c r="WJW10" s="3438"/>
      <c r="WJX10" s="3438"/>
      <c r="WJY10" s="3438"/>
      <c r="WJZ10" s="3438"/>
      <c r="WKA10" s="3438"/>
      <c r="WKB10" s="3438"/>
      <c r="WKC10" s="3438"/>
      <c r="WKD10" s="3438"/>
      <c r="WKE10" s="3438"/>
      <c r="WKF10" s="3438"/>
      <c r="WKG10" s="3438"/>
      <c r="WKH10" s="3438"/>
      <c r="WKI10" s="3438"/>
      <c r="WKJ10" s="3438"/>
      <c r="WKK10" s="3438"/>
      <c r="WKL10" s="3438"/>
      <c r="WKM10" s="3438"/>
      <c r="WKN10" s="3438"/>
      <c r="WKO10" s="3438"/>
      <c r="WKP10" s="3438"/>
      <c r="WKQ10" s="3438"/>
      <c r="WKR10" s="3438"/>
      <c r="WKS10" s="3438"/>
      <c r="WKT10" s="3438"/>
      <c r="WKU10" s="3438"/>
      <c r="WKV10" s="3438"/>
      <c r="WKW10" s="3438"/>
      <c r="WKX10" s="3438"/>
      <c r="WKY10" s="3438"/>
      <c r="WKZ10" s="3438"/>
      <c r="WLA10" s="3438"/>
      <c r="WLB10" s="3438"/>
      <c r="WLC10" s="3438"/>
      <c r="WLD10" s="3438"/>
      <c r="WLE10" s="3438"/>
      <c r="WLF10" s="3438"/>
      <c r="WLG10" s="3438"/>
      <c r="WLH10" s="3438"/>
      <c r="WLI10" s="3438"/>
      <c r="WLJ10" s="3438"/>
      <c r="WLK10" s="3438"/>
      <c r="WLL10" s="3438"/>
      <c r="WLM10" s="3438"/>
      <c r="WLN10" s="3438"/>
      <c r="WLO10" s="3438"/>
      <c r="WLP10" s="3438"/>
      <c r="WLQ10" s="3438"/>
      <c r="WLR10" s="3438"/>
      <c r="WLS10" s="3438"/>
      <c r="WLT10" s="3438"/>
      <c r="WLU10" s="3438"/>
      <c r="WLV10" s="3438"/>
      <c r="WLW10" s="3438"/>
      <c r="WLX10" s="3438"/>
      <c r="WLY10" s="3438"/>
      <c r="WLZ10" s="3438"/>
      <c r="WMA10" s="3438"/>
      <c r="WMB10" s="3438"/>
      <c r="WMC10" s="3438"/>
      <c r="WMD10" s="3438"/>
      <c r="WME10" s="3438"/>
      <c r="WMF10" s="3438"/>
      <c r="WMG10" s="3438"/>
      <c r="WMH10" s="3438"/>
      <c r="WMI10" s="3438"/>
      <c r="WMJ10" s="3438"/>
      <c r="WMK10" s="3438"/>
      <c r="WML10" s="3438"/>
      <c r="WMM10" s="3438"/>
      <c r="WMN10" s="3438"/>
      <c r="WMO10" s="3438"/>
      <c r="WMP10" s="3438"/>
      <c r="WMQ10" s="3438"/>
      <c r="WMR10" s="3438"/>
      <c r="WMS10" s="3438"/>
      <c r="WMT10" s="3438"/>
      <c r="WMU10" s="3438"/>
      <c r="WMV10" s="3438"/>
      <c r="WMW10" s="3438"/>
      <c r="WMX10" s="3438"/>
      <c r="WMY10" s="3438"/>
      <c r="WMZ10" s="3438"/>
      <c r="WNA10" s="3438"/>
      <c r="WNB10" s="3438"/>
      <c r="WNC10" s="3438"/>
      <c r="WND10" s="3438"/>
      <c r="WNE10" s="3438"/>
      <c r="WNF10" s="3438"/>
      <c r="WNG10" s="3438"/>
      <c r="WNH10" s="3438"/>
      <c r="WNI10" s="3438"/>
      <c r="WNJ10" s="3438"/>
      <c r="WNK10" s="3438"/>
      <c r="WNL10" s="3438"/>
      <c r="WNM10" s="3438"/>
      <c r="WNN10" s="3438"/>
      <c r="WNO10" s="3438"/>
      <c r="WNP10" s="3438"/>
      <c r="WNQ10" s="3438"/>
      <c r="WNR10" s="3438"/>
      <c r="WNS10" s="3438"/>
      <c r="WNT10" s="3438"/>
      <c r="WNU10" s="3438"/>
      <c r="WNV10" s="3438"/>
      <c r="WNW10" s="3438"/>
      <c r="WNX10" s="3438"/>
      <c r="WNY10" s="3438"/>
      <c r="WNZ10" s="3438"/>
      <c r="WOA10" s="3438"/>
      <c r="WOB10" s="3438"/>
      <c r="WOC10" s="3438"/>
      <c r="WOD10" s="3438"/>
      <c r="WOE10" s="3438"/>
      <c r="WOF10" s="3438"/>
      <c r="WOG10" s="3438"/>
      <c r="WOH10" s="3438"/>
      <c r="WOI10" s="3438"/>
      <c r="WOJ10" s="3438"/>
      <c r="WOK10" s="3438"/>
      <c r="WOL10" s="3438"/>
      <c r="WOM10" s="3438"/>
      <c r="WON10" s="3438"/>
      <c r="WOO10" s="3438"/>
      <c r="WOP10" s="3438"/>
      <c r="WOQ10" s="3438"/>
      <c r="WOR10" s="3438"/>
      <c r="WOS10" s="3438"/>
      <c r="WOT10" s="3438"/>
      <c r="WOU10" s="3438"/>
      <c r="WOV10" s="3438"/>
      <c r="WOW10" s="3438"/>
      <c r="WOX10" s="3438"/>
      <c r="WOY10" s="3438"/>
      <c r="WOZ10" s="3438"/>
      <c r="WPA10" s="3438"/>
      <c r="WPB10" s="3438"/>
      <c r="WPC10" s="3438"/>
      <c r="WPD10" s="3438"/>
      <c r="WPE10" s="3438"/>
      <c r="WPF10" s="3438"/>
      <c r="WPG10" s="3438"/>
      <c r="WPH10" s="3438"/>
      <c r="WPI10" s="3438"/>
      <c r="WPJ10" s="3438"/>
      <c r="WPK10" s="3438"/>
      <c r="WPL10" s="3438"/>
      <c r="WPM10" s="3438"/>
      <c r="WPN10" s="3438"/>
      <c r="WPO10" s="3438"/>
      <c r="WPP10" s="3438"/>
      <c r="WPQ10" s="3438"/>
      <c r="WPR10" s="3438"/>
      <c r="WPS10" s="3438"/>
      <c r="WPT10" s="3438"/>
      <c r="WPU10" s="3438"/>
      <c r="WPV10" s="3438"/>
      <c r="WPW10" s="3438"/>
      <c r="WPX10" s="3438"/>
      <c r="WPY10" s="3438"/>
      <c r="WPZ10" s="3438"/>
      <c r="WQA10" s="3438"/>
      <c r="WQB10" s="3438"/>
      <c r="WQC10" s="3438"/>
      <c r="WQD10" s="3438"/>
      <c r="WQE10" s="3438"/>
      <c r="WQF10" s="3438"/>
      <c r="WQG10" s="3438"/>
      <c r="WQH10" s="3438"/>
      <c r="WQI10" s="3438"/>
      <c r="WQJ10" s="3438"/>
      <c r="WQK10" s="3438"/>
      <c r="WQL10" s="3438"/>
      <c r="WQM10" s="3438"/>
      <c r="WQN10" s="3438"/>
      <c r="WQO10" s="3438"/>
      <c r="WQP10" s="3438"/>
      <c r="WQQ10" s="3438"/>
      <c r="WQR10" s="3438"/>
      <c r="WQS10" s="3438"/>
      <c r="WQT10" s="3438"/>
      <c r="WQU10" s="3438"/>
      <c r="WQV10" s="3438"/>
      <c r="WQW10" s="3438"/>
      <c r="WQX10" s="3438"/>
      <c r="WQY10" s="3438"/>
      <c r="WQZ10" s="3438"/>
      <c r="WRA10" s="3438"/>
      <c r="WRB10" s="3438"/>
      <c r="WRC10" s="3438"/>
      <c r="WRD10" s="3438"/>
      <c r="WRE10" s="3438"/>
      <c r="WRF10" s="3438"/>
      <c r="WRG10" s="3438"/>
      <c r="WRH10" s="3438"/>
      <c r="WRI10" s="3438"/>
      <c r="WRJ10" s="3438"/>
      <c r="WRK10" s="3438"/>
      <c r="WRL10" s="3438"/>
      <c r="WRM10" s="3438"/>
      <c r="WRN10" s="3438"/>
      <c r="WRO10" s="3438"/>
      <c r="WRP10" s="3438"/>
      <c r="WRQ10" s="3438"/>
      <c r="WRR10" s="3438"/>
      <c r="WRS10" s="3438"/>
      <c r="WRT10" s="3438"/>
      <c r="WRU10" s="3438"/>
      <c r="WRV10" s="3438"/>
      <c r="WRW10" s="3438"/>
      <c r="WRX10" s="3438"/>
      <c r="WRY10" s="3438"/>
      <c r="WRZ10" s="3438"/>
      <c r="WSA10" s="3438"/>
      <c r="WSB10" s="3438"/>
      <c r="WSC10" s="3438"/>
      <c r="WSD10" s="3438"/>
      <c r="WSE10" s="3438"/>
      <c r="WSF10" s="3438"/>
      <c r="WSG10" s="3438"/>
      <c r="WSH10" s="3438"/>
      <c r="WSI10" s="3438"/>
      <c r="WSJ10" s="3438"/>
      <c r="WSK10" s="3438"/>
      <c r="WSL10" s="3438"/>
      <c r="WSM10" s="3438"/>
      <c r="WSN10" s="3438"/>
      <c r="WSO10" s="3438"/>
      <c r="WSP10" s="3438"/>
      <c r="WSQ10" s="3438"/>
      <c r="WSR10" s="3438"/>
      <c r="WSS10" s="3438"/>
      <c r="WST10" s="3438"/>
      <c r="WSU10" s="3438"/>
      <c r="WSV10" s="3438"/>
      <c r="WSW10" s="3438"/>
      <c r="WSX10" s="3438"/>
      <c r="WSY10" s="3438"/>
      <c r="WSZ10" s="3438"/>
      <c r="WTA10" s="3438"/>
      <c r="WTB10" s="3438"/>
      <c r="WTC10" s="3438"/>
      <c r="WTD10" s="3438"/>
      <c r="WTE10" s="3438"/>
      <c r="WTF10" s="3438"/>
      <c r="WTG10" s="3438"/>
      <c r="WTH10" s="3438"/>
      <c r="WTI10" s="3438"/>
      <c r="WTJ10" s="3438"/>
      <c r="WTK10" s="3438"/>
      <c r="WTL10" s="3438"/>
      <c r="WTM10" s="3438"/>
      <c r="WTN10" s="3438"/>
      <c r="WTO10" s="3438"/>
      <c r="WTP10" s="3438"/>
      <c r="WTQ10" s="3438"/>
      <c r="WTR10" s="3438"/>
      <c r="WTS10" s="3438"/>
      <c r="WTT10" s="3438"/>
      <c r="WTU10" s="3438"/>
      <c r="WTV10" s="3438"/>
      <c r="WTW10" s="3438"/>
      <c r="WTX10" s="3438"/>
      <c r="WTY10" s="3438"/>
      <c r="WTZ10" s="3438"/>
      <c r="WUA10" s="3438"/>
      <c r="WUB10" s="3438"/>
      <c r="WUC10" s="3438"/>
      <c r="WUD10" s="3438"/>
      <c r="WUE10" s="3438"/>
      <c r="WUF10" s="3438"/>
      <c r="WUG10" s="3438"/>
      <c r="WUH10" s="3438"/>
      <c r="WUI10" s="3438"/>
      <c r="WUJ10" s="3438"/>
      <c r="WUK10" s="3438"/>
      <c r="WUL10" s="3438"/>
      <c r="WUM10" s="3438"/>
      <c r="WUN10" s="3438"/>
      <c r="WUO10" s="3438"/>
      <c r="WUP10" s="3438"/>
      <c r="WUQ10" s="3438"/>
      <c r="WUR10" s="3438"/>
      <c r="WUS10" s="3438"/>
      <c r="WUT10" s="3438"/>
      <c r="WUU10" s="3438"/>
      <c r="WUV10" s="3438"/>
      <c r="WUW10" s="3438"/>
      <c r="WUX10" s="3438"/>
      <c r="WUY10" s="3438"/>
      <c r="WUZ10" s="3438"/>
      <c r="WVA10" s="3438"/>
      <c r="WVB10" s="3438"/>
      <c r="WVC10" s="3438"/>
      <c r="WVD10" s="3438"/>
      <c r="WVE10" s="3438"/>
      <c r="WVF10" s="3438"/>
      <c r="WVG10" s="3438"/>
      <c r="WVH10" s="3438"/>
      <c r="WVI10" s="3438"/>
      <c r="WVJ10" s="3438"/>
      <c r="WVK10" s="3438"/>
      <c r="WVL10" s="3438"/>
      <c r="WVM10" s="3438"/>
      <c r="WVN10" s="3438"/>
      <c r="WVO10" s="3438"/>
      <c r="WVP10" s="3438"/>
      <c r="WVQ10" s="3438"/>
      <c r="WVR10" s="3438"/>
      <c r="WVS10" s="3438"/>
      <c r="WVT10" s="3438"/>
      <c r="WVU10" s="3438"/>
      <c r="WVV10" s="3438"/>
      <c r="WVW10" s="3438"/>
      <c r="WVX10" s="3438"/>
      <c r="WVY10" s="3438"/>
      <c r="WVZ10" s="3438"/>
      <c r="WWA10" s="3438"/>
      <c r="WWB10" s="3438"/>
      <c r="WWC10" s="3438"/>
      <c r="WWD10" s="3438"/>
      <c r="WWE10" s="3438"/>
      <c r="WWF10" s="3438"/>
      <c r="WWG10" s="3438"/>
      <c r="WWH10" s="3438"/>
      <c r="WWI10" s="3438"/>
      <c r="WWJ10" s="3438"/>
      <c r="WWK10" s="3438"/>
      <c r="WWL10" s="3438"/>
      <c r="WWM10" s="3438"/>
      <c r="WWN10" s="3438"/>
      <c r="WWO10" s="3438"/>
      <c r="WWP10" s="3438"/>
      <c r="WWQ10" s="3438"/>
      <c r="WWR10" s="3438"/>
      <c r="WWS10" s="3438"/>
      <c r="WWT10" s="3438"/>
      <c r="WWU10" s="3438"/>
      <c r="WWV10" s="3438"/>
      <c r="WWW10" s="3438"/>
      <c r="WWX10" s="3438"/>
      <c r="WWY10" s="3438"/>
      <c r="WWZ10" s="3438"/>
      <c r="WXA10" s="3438"/>
      <c r="WXB10" s="3438"/>
      <c r="WXC10" s="3438"/>
      <c r="WXD10" s="3438"/>
      <c r="WXE10" s="3438"/>
      <c r="WXF10" s="3438"/>
      <c r="WXG10" s="3438"/>
      <c r="WXH10" s="3438"/>
      <c r="WXI10" s="3438"/>
      <c r="WXJ10" s="3438"/>
      <c r="WXK10" s="3438"/>
      <c r="WXL10" s="3438"/>
      <c r="WXM10" s="3438"/>
      <c r="WXN10" s="3438"/>
      <c r="WXO10" s="3438"/>
      <c r="WXP10" s="3438"/>
      <c r="WXQ10" s="3438"/>
      <c r="WXR10" s="3438"/>
      <c r="WXS10" s="3438"/>
      <c r="WXT10" s="3438"/>
      <c r="WXU10" s="3438"/>
      <c r="WXV10" s="3438"/>
      <c r="WXW10" s="3438"/>
      <c r="WXX10" s="3438"/>
      <c r="WXY10" s="3438"/>
      <c r="WXZ10" s="3438"/>
      <c r="WYA10" s="3438"/>
      <c r="WYB10" s="3438"/>
      <c r="WYC10" s="3438"/>
      <c r="WYD10" s="3438"/>
      <c r="WYE10" s="3438"/>
      <c r="WYF10" s="3438"/>
      <c r="WYG10" s="3438"/>
      <c r="WYH10" s="3438"/>
      <c r="WYI10" s="3438"/>
      <c r="WYJ10" s="3438"/>
      <c r="WYK10" s="3438"/>
      <c r="WYL10" s="3438"/>
      <c r="WYM10" s="3438"/>
      <c r="WYN10" s="3438"/>
      <c r="WYO10" s="3438"/>
      <c r="WYP10" s="3438"/>
      <c r="WYQ10" s="3438"/>
      <c r="WYR10" s="3438"/>
      <c r="WYS10" s="3438"/>
      <c r="WYT10" s="3438"/>
      <c r="WYU10" s="3438"/>
      <c r="WYV10" s="3438"/>
      <c r="WYW10" s="3438"/>
      <c r="WYX10" s="3438"/>
      <c r="WYY10" s="3438"/>
      <c r="WYZ10" s="3438"/>
      <c r="WZA10" s="3438"/>
      <c r="WZB10" s="3438"/>
      <c r="WZC10" s="3438"/>
      <c r="WZD10" s="3438"/>
      <c r="WZE10" s="3438"/>
      <c r="WZF10" s="3438"/>
      <c r="WZG10" s="3438"/>
      <c r="WZH10" s="3438"/>
      <c r="WZI10" s="3438"/>
      <c r="WZJ10" s="3438"/>
      <c r="WZK10" s="3438"/>
      <c r="WZL10" s="3438"/>
      <c r="WZM10" s="3438"/>
      <c r="WZN10" s="3438"/>
      <c r="WZO10" s="3438"/>
      <c r="WZP10" s="3438"/>
      <c r="WZQ10" s="3438"/>
      <c r="WZR10" s="3438"/>
      <c r="WZS10" s="3438"/>
      <c r="WZT10" s="3438"/>
      <c r="WZU10" s="3438"/>
      <c r="WZV10" s="3438"/>
      <c r="WZW10" s="3438"/>
      <c r="WZX10" s="3438"/>
      <c r="WZY10" s="3438"/>
      <c r="WZZ10" s="3438"/>
      <c r="XAA10" s="3438"/>
      <c r="XAB10" s="3438"/>
      <c r="XAC10" s="3438"/>
      <c r="XAD10" s="3438"/>
      <c r="XAE10" s="3438"/>
      <c r="XAF10" s="3438"/>
      <c r="XAG10" s="3438"/>
      <c r="XAH10" s="3438"/>
      <c r="XAI10" s="3438"/>
      <c r="XAJ10" s="3438"/>
      <c r="XAK10" s="3438"/>
      <c r="XAL10" s="3438"/>
      <c r="XAM10" s="3438"/>
      <c r="XAN10" s="3438"/>
      <c r="XAO10" s="3438"/>
      <c r="XAP10" s="3438"/>
      <c r="XAQ10" s="3438"/>
      <c r="XAR10" s="3438"/>
      <c r="XAS10" s="3438"/>
      <c r="XAT10" s="3438"/>
      <c r="XAU10" s="3438"/>
      <c r="XAV10" s="3438"/>
      <c r="XAW10" s="3438"/>
      <c r="XAX10" s="3438"/>
      <c r="XAY10" s="3438"/>
      <c r="XAZ10" s="3438"/>
      <c r="XBA10" s="3438"/>
      <c r="XBB10" s="3438"/>
      <c r="XBC10" s="3438"/>
      <c r="XBD10" s="3438"/>
      <c r="XBE10" s="3438"/>
      <c r="XBF10" s="3438"/>
      <c r="XBG10" s="3438"/>
      <c r="XBH10" s="3438"/>
      <c r="XBI10" s="3438"/>
      <c r="XBJ10" s="3438"/>
      <c r="XBK10" s="3438"/>
      <c r="XBL10" s="3438"/>
      <c r="XBM10" s="3438"/>
      <c r="XBN10" s="3438"/>
      <c r="XBO10" s="3438"/>
      <c r="XBP10" s="3438"/>
      <c r="XBQ10" s="3438"/>
      <c r="XBR10" s="3438"/>
      <c r="XBS10" s="3438"/>
      <c r="XBT10" s="3438"/>
      <c r="XBU10" s="3438"/>
      <c r="XBV10" s="3438"/>
      <c r="XBW10" s="3438"/>
      <c r="XBX10" s="3438"/>
      <c r="XBY10" s="3438"/>
      <c r="XBZ10" s="3438"/>
      <c r="XCA10" s="3438"/>
      <c r="XCB10" s="3438"/>
      <c r="XCC10" s="3438"/>
      <c r="XCD10" s="3438"/>
      <c r="XCE10" s="3438"/>
      <c r="XCF10" s="3438"/>
      <c r="XCG10" s="3438"/>
      <c r="XCH10" s="3438"/>
      <c r="XCI10" s="3438"/>
      <c r="XCJ10" s="3438"/>
      <c r="XCK10" s="3438"/>
      <c r="XCL10" s="3438"/>
      <c r="XCM10" s="3438"/>
      <c r="XCN10" s="3438"/>
      <c r="XCO10" s="3438"/>
      <c r="XCP10" s="3438"/>
      <c r="XCQ10" s="3438"/>
      <c r="XCR10" s="3438"/>
      <c r="XCS10" s="3438"/>
      <c r="XCT10" s="3438"/>
      <c r="XCU10" s="3438"/>
      <c r="XCV10" s="3438"/>
      <c r="XCW10" s="3438"/>
      <c r="XCX10" s="3438"/>
      <c r="XCY10" s="3438"/>
      <c r="XCZ10" s="3438"/>
      <c r="XDA10" s="3438"/>
      <c r="XDB10" s="3438"/>
      <c r="XDC10" s="3438"/>
      <c r="XDD10" s="3438"/>
      <c r="XDE10" s="3438"/>
      <c r="XDF10" s="3438"/>
      <c r="XDG10" s="3438"/>
      <c r="XDH10" s="3438"/>
      <c r="XDI10" s="3438"/>
      <c r="XDJ10" s="3438"/>
      <c r="XDK10" s="3438"/>
      <c r="XDL10" s="3438"/>
      <c r="XDM10" s="3438"/>
      <c r="XDN10" s="3438"/>
      <c r="XDO10" s="3438"/>
      <c r="XDP10" s="3438"/>
      <c r="XDQ10" s="3438"/>
      <c r="XDR10" s="3438"/>
      <c r="XDS10" s="3438"/>
      <c r="XDT10" s="3438"/>
      <c r="XDU10" s="3438"/>
      <c r="XDV10" s="3438"/>
      <c r="XDW10" s="3438"/>
      <c r="XDX10" s="3438"/>
      <c r="XDY10" s="3438"/>
    </row>
    <row r="11" spans="1:16353" ht="162">
      <c r="A11" s="3402">
        <v>398</v>
      </c>
      <c r="B11" s="3402">
        <v>2020</v>
      </c>
      <c r="C11" s="3415">
        <v>2</v>
      </c>
      <c r="D11" s="3416">
        <v>6</v>
      </c>
      <c r="E11" s="3417" t="s">
        <v>3418</v>
      </c>
      <c r="F11" s="3417" t="s">
        <v>3376</v>
      </c>
      <c r="G11" s="3417" t="s">
        <v>3419</v>
      </c>
      <c r="H11" s="3417" t="s">
        <v>3412</v>
      </c>
      <c r="I11" s="3417" t="s">
        <v>3420</v>
      </c>
      <c r="J11" s="3417" t="s">
        <v>3421</v>
      </c>
      <c r="K11" s="3412" t="s">
        <v>3422</v>
      </c>
      <c r="L11" s="3417">
        <v>0.55000000000000004</v>
      </c>
      <c r="M11" s="3417">
        <v>0.55000000000000004</v>
      </c>
      <c r="N11" s="3417">
        <v>1.54</v>
      </c>
      <c r="O11" s="3417">
        <v>8299.32</v>
      </c>
      <c r="P11" s="3418" t="s">
        <v>3423</v>
      </c>
      <c r="Q11" s="3417" t="s">
        <v>3424</v>
      </c>
      <c r="R11">
        <v>7973.46</v>
      </c>
      <c r="S11">
        <v>14497</v>
      </c>
      <c r="U11" s="2235"/>
      <c r="V11" s="2235"/>
      <c r="W11" s="2235"/>
      <c r="X11" s="2235"/>
      <c r="Y11" s="2235"/>
      <c r="Z11" s="2235"/>
      <c r="AA11" s="2235"/>
      <c r="AB11" s="2235"/>
      <c r="AC11" s="2235"/>
      <c r="AD11" s="2235"/>
      <c r="AE11" s="2235"/>
      <c r="AF11" s="2235"/>
      <c r="AG11" s="2235"/>
      <c r="AH11" s="2235"/>
      <c r="AI11" s="2235"/>
      <c r="AJ11" s="2235"/>
      <c r="AK11" s="2235"/>
      <c r="AL11" s="2235"/>
      <c r="AM11" s="2235"/>
      <c r="AN11" s="2235"/>
      <c r="AO11" s="2235"/>
      <c r="AP11" s="2235"/>
      <c r="AQ11" s="2235"/>
      <c r="AR11" s="2235"/>
      <c r="AS11" s="2235"/>
      <c r="AT11" s="2235"/>
      <c r="AU11" s="2235"/>
      <c r="AV11" s="2235"/>
      <c r="AW11" s="2235"/>
      <c r="AX11" s="2235"/>
      <c r="AY11" s="2235"/>
      <c r="AZ11" s="2235"/>
      <c r="BA11" s="2235"/>
      <c r="BB11" s="2235"/>
      <c r="BC11" s="2235"/>
      <c r="BD11" s="2235"/>
      <c r="BE11" s="2235"/>
      <c r="BF11" s="2235"/>
      <c r="BG11" s="2235"/>
      <c r="BH11" s="2235"/>
      <c r="BI11" s="2235"/>
      <c r="BJ11" s="2235"/>
      <c r="BK11" s="2235"/>
      <c r="BL11" s="2235"/>
      <c r="BM11" s="2235"/>
      <c r="BN11" s="2235"/>
      <c r="BO11" s="2235"/>
      <c r="BP11" s="2235"/>
      <c r="BQ11" s="2235"/>
      <c r="BR11" s="2235"/>
      <c r="BS11" s="2235"/>
      <c r="BT11" s="2235"/>
      <c r="BU11" s="2235"/>
      <c r="BV11" s="2235"/>
      <c r="BW11" s="2235"/>
      <c r="BX11" s="2235"/>
      <c r="BY11" s="2235"/>
      <c r="BZ11" s="2235"/>
      <c r="CA11" s="2235"/>
      <c r="CB11" s="2235"/>
      <c r="CC11" s="2235"/>
      <c r="CD11" s="2235"/>
      <c r="CE11" s="2235"/>
      <c r="CF11" s="2235"/>
      <c r="CG11" s="2235"/>
      <c r="CH11" s="2235"/>
      <c r="CI11" s="2235"/>
      <c r="CJ11" s="2235"/>
      <c r="CK11" s="2235"/>
      <c r="CL11" s="2235"/>
      <c r="CM11" s="2235"/>
      <c r="CN11" s="2235"/>
      <c r="CO11" s="2235"/>
      <c r="CP11" s="2235"/>
      <c r="CQ11" s="2235"/>
      <c r="CR11" s="2235"/>
      <c r="CS11" s="2235"/>
      <c r="CT11" s="2235"/>
      <c r="CU11" s="2235"/>
      <c r="CV11" s="2235"/>
      <c r="CW11" s="2235"/>
      <c r="CX11" s="2235"/>
      <c r="CY11" s="2235"/>
      <c r="CZ11" s="2235"/>
      <c r="DA11" s="2235"/>
      <c r="DB11" s="2235"/>
      <c r="DC11" s="2235"/>
      <c r="DD11" s="2235"/>
      <c r="DE11" s="2235"/>
      <c r="DF11" s="2235"/>
      <c r="DG11" s="2235"/>
      <c r="DH11" s="2235"/>
      <c r="DI11" s="2235"/>
      <c r="DJ11" s="2235"/>
      <c r="DK11" s="2235"/>
      <c r="DL11" s="2235"/>
      <c r="DM11" s="2235"/>
      <c r="DN11" s="2235"/>
      <c r="DO11" s="2235"/>
      <c r="DP11" s="2235"/>
      <c r="DQ11" s="2235"/>
      <c r="DR11" s="2235"/>
      <c r="DS11" s="2235"/>
      <c r="DT11" s="2235"/>
      <c r="DU11" s="2235"/>
      <c r="DV11" s="2235"/>
      <c r="DW11" s="2235"/>
      <c r="DX11" s="2235"/>
      <c r="DY11" s="2235"/>
      <c r="DZ11" s="2235"/>
      <c r="EA11" s="2235"/>
      <c r="EB11" s="2235"/>
      <c r="EC11" s="2235"/>
      <c r="ED11" s="2235"/>
      <c r="EE11" s="2235"/>
      <c r="EF11" s="2235"/>
      <c r="EG11" s="2235"/>
      <c r="EH11" s="2235"/>
      <c r="EI11" s="2235"/>
      <c r="EJ11" s="2235"/>
      <c r="EK11" s="2235"/>
      <c r="EL11" s="2235"/>
      <c r="EM11" s="2235"/>
      <c r="EN11" s="2235"/>
      <c r="EO11" s="2235"/>
      <c r="EP11" s="2235"/>
      <c r="EQ11" s="2235"/>
      <c r="ER11" s="2235"/>
      <c r="ES11" s="2235"/>
      <c r="ET11" s="2235"/>
      <c r="EU11" s="2235"/>
      <c r="EV11" s="2235"/>
      <c r="EW11" s="2235"/>
      <c r="EX11" s="2235"/>
      <c r="EY11" s="2235"/>
      <c r="EZ11" s="2235"/>
      <c r="FA11" s="2235"/>
      <c r="FB11" s="2235"/>
      <c r="FC11" s="2235"/>
      <c r="FD11" s="2235"/>
      <c r="FE11" s="2235"/>
      <c r="FF11" s="2235"/>
      <c r="FG11" s="2235"/>
      <c r="FH11" s="2235"/>
      <c r="FI11" s="2235"/>
      <c r="FJ11" s="2235"/>
      <c r="FK11" s="2235"/>
      <c r="FL11" s="2235"/>
      <c r="FM11" s="2235"/>
      <c r="FN11" s="2235"/>
      <c r="FO11" s="2235"/>
      <c r="FP11" s="2235"/>
      <c r="FQ11" s="2235"/>
      <c r="FR11" s="2235"/>
      <c r="FS11" s="2235"/>
      <c r="FT11" s="2235"/>
      <c r="FU11" s="2235"/>
      <c r="FV11" s="2235"/>
      <c r="FW11" s="2235"/>
      <c r="FX11" s="2235"/>
      <c r="FY11" s="2235"/>
      <c r="FZ11" s="2235"/>
      <c r="GA11" s="2235"/>
      <c r="GB11" s="2235"/>
      <c r="GC11" s="2235"/>
      <c r="GD11" s="2235"/>
      <c r="GE11" s="2235"/>
      <c r="GF11" s="2235"/>
      <c r="GG11" s="2235"/>
      <c r="GH11" s="2235"/>
      <c r="GI11" s="2235"/>
      <c r="GJ11" s="2235"/>
      <c r="GK11" s="2235"/>
      <c r="GL11" s="2235"/>
      <c r="GM11" s="2235"/>
      <c r="GN11" s="2235"/>
      <c r="GO11" s="2235"/>
      <c r="GP11" s="2235"/>
      <c r="GQ11" s="2235"/>
      <c r="GR11" s="2235"/>
      <c r="GS11" s="2235"/>
      <c r="GT11" s="2235"/>
      <c r="GU11" s="2235"/>
      <c r="GV11" s="2235"/>
      <c r="GW11" s="2235"/>
      <c r="GX11" s="2235"/>
      <c r="GY11" s="2235"/>
      <c r="GZ11" s="2235"/>
      <c r="HA11" s="2235"/>
      <c r="HB11" s="2235"/>
      <c r="HC11" s="2235"/>
      <c r="HD11" s="2235"/>
      <c r="HE11" s="2235"/>
      <c r="HF11" s="2235"/>
      <c r="HG11" s="2235"/>
      <c r="HH11" s="2235"/>
      <c r="HI11" s="2235"/>
      <c r="HJ11" s="2235"/>
      <c r="HK11" s="2235"/>
      <c r="HL11" s="2235"/>
      <c r="HM11" s="2235"/>
      <c r="HN11" s="2235"/>
      <c r="HO11" s="2235"/>
      <c r="HP11" s="2235"/>
      <c r="HQ11" s="2235"/>
      <c r="HR11" s="2235"/>
      <c r="HS11" s="2235"/>
      <c r="HT11" s="2235"/>
      <c r="HU11" s="2235"/>
      <c r="HV11" s="2235"/>
      <c r="HW11" s="2235"/>
      <c r="HX11" s="2235"/>
      <c r="HY11" s="2235"/>
      <c r="HZ11" s="2235"/>
      <c r="IA11" s="2235"/>
      <c r="IB11" s="2235"/>
      <c r="IC11" s="2235"/>
      <c r="ID11" s="2235"/>
      <c r="IE11" s="2235"/>
      <c r="IF11" s="2235"/>
      <c r="IG11" s="2235"/>
      <c r="IH11" s="2235"/>
      <c r="II11" s="2235"/>
      <c r="IJ11" s="2235"/>
      <c r="IK11" s="2235"/>
      <c r="IL11" s="2235"/>
      <c r="IM11" s="2235"/>
      <c r="IN11" s="2235"/>
      <c r="IO11" s="2235"/>
      <c r="IP11" s="2235"/>
      <c r="IQ11" s="2235"/>
      <c r="IR11" s="2235"/>
      <c r="IS11" s="2235"/>
      <c r="IT11" s="2235"/>
      <c r="IU11" s="2235"/>
      <c r="IV11" s="2235"/>
      <c r="IW11" s="2235"/>
      <c r="IX11" s="2235"/>
      <c r="IY11" s="2235"/>
      <c r="IZ11" s="2235"/>
      <c r="JA11" s="2235"/>
      <c r="JB11" s="2235"/>
      <c r="JC11" s="2235"/>
      <c r="JD11" s="2235"/>
      <c r="JE11" s="2235"/>
      <c r="JF11" s="2235"/>
      <c r="JG11" s="2235"/>
      <c r="JH11" s="2235"/>
      <c r="JI11" s="2235"/>
      <c r="JJ11" s="2235"/>
      <c r="JK11" s="2235"/>
      <c r="JL11" s="2235"/>
      <c r="JM11" s="2235"/>
      <c r="JN11" s="2235"/>
      <c r="JO11" s="2235"/>
      <c r="JP11" s="2235"/>
      <c r="JQ11" s="2235"/>
      <c r="JR11" s="2235"/>
      <c r="JS11" s="2235"/>
      <c r="JT11" s="2235"/>
      <c r="JU11" s="2235"/>
      <c r="JV11" s="2235"/>
      <c r="JW11" s="2235"/>
      <c r="JX11" s="2235"/>
      <c r="JY11" s="2235"/>
      <c r="JZ11" s="2235"/>
      <c r="KA11" s="2235"/>
      <c r="KB11" s="2235"/>
      <c r="KC11" s="2235"/>
      <c r="KD11" s="2235"/>
      <c r="KE11" s="2235"/>
      <c r="KF11" s="2235"/>
      <c r="KG11" s="2235"/>
      <c r="KH11" s="2235"/>
      <c r="KI11" s="2235"/>
      <c r="KJ11" s="2235"/>
      <c r="KK11" s="2235"/>
      <c r="KL11" s="2235"/>
      <c r="KM11" s="2235"/>
      <c r="KN11" s="2235"/>
      <c r="KO11" s="2235"/>
      <c r="KP11" s="2235"/>
      <c r="KQ11" s="2235"/>
      <c r="KR11" s="2235"/>
      <c r="KS11" s="2235"/>
      <c r="KT11" s="2235"/>
      <c r="KU11" s="2235"/>
      <c r="KV11" s="2235"/>
      <c r="KW11" s="2235"/>
      <c r="KX11" s="2235"/>
      <c r="KY11" s="2235"/>
      <c r="KZ11" s="2235"/>
      <c r="LA11" s="2235"/>
      <c r="LB11" s="2235"/>
      <c r="LC11" s="2235"/>
      <c r="LD11" s="2235"/>
      <c r="LE11" s="2235"/>
      <c r="LF11" s="2235"/>
      <c r="LG11" s="2235"/>
      <c r="LH11" s="2235"/>
      <c r="LI11" s="2235"/>
      <c r="LJ11" s="2235"/>
      <c r="LK11" s="2235"/>
      <c r="LL11" s="2235"/>
      <c r="LM11" s="2235"/>
      <c r="LN11" s="2235"/>
      <c r="LO11" s="2235"/>
      <c r="LP11" s="2235"/>
      <c r="LQ11" s="2235"/>
      <c r="LR11" s="2235"/>
      <c r="LS11" s="2235"/>
      <c r="LT11" s="2235"/>
      <c r="LU11" s="2235"/>
      <c r="LV11" s="2235"/>
      <c r="LW11" s="2235"/>
      <c r="LX11" s="2235"/>
      <c r="LY11" s="2235"/>
      <c r="LZ11" s="2235"/>
      <c r="MA11" s="2235"/>
      <c r="MB11" s="2235"/>
      <c r="MC11" s="2235"/>
      <c r="MD11" s="2235"/>
      <c r="ME11" s="2235"/>
      <c r="MF11" s="2235"/>
      <c r="MG11" s="2235"/>
      <c r="MH11" s="2235"/>
      <c r="MI11" s="2235"/>
      <c r="MJ11" s="2235"/>
      <c r="MK11" s="2235"/>
      <c r="ML11" s="2235"/>
      <c r="MM11" s="2235"/>
      <c r="MN11" s="2235"/>
      <c r="MO11" s="2235"/>
      <c r="MP11" s="2235"/>
      <c r="MQ11" s="2235"/>
      <c r="MR11" s="2235"/>
      <c r="MS11" s="2235"/>
      <c r="MT11" s="2235"/>
      <c r="MU11" s="2235"/>
      <c r="MV11" s="2235"/>
      <c r="MW11" s="2235"/>
      <c r="MX11" s="2235"/>
      <c r="MY11" s="2235"/>
      <c r="MZ11" s="2235"/>
      <c r="NA11" s="2235"/>
      <c r="NB11" s="2235"/>
      <c r="NC11" s="2235"/>
      <c r="ND11" s="2235"/>
      <c r="NE11" s="2235"/>
      <c r="NF11" s="2235"/>
      <c r="NG11" s="2235"/>
      <c r="NH11" s="2235"/>
      <c r="NI11" s="2235"/>
      <c r="NJ11" s="2235"/>
      <c r="NK11" s="2235"/>
      <c r="NL11" s="2235"/>
      <c r="NM11" s="2235"/>
      <c r="NN11" s="2235"/>
      <c r="NO11" s="2235"/>
      <c r="NP11" s="2235"/>
      <c r="NQ11" s="2235"/>
      <c r="NR11" s="2235"/>
      <c r="NS11" s="2235"/>
      <c r="NT11" s="2235"/>
      <c r="NU11" s="2235"/>
      <c r="NV11" s="2235"/>
      <c r="NW11" s="2235"/>
      <c r="NX11" s="2235"/>
      <c r="NY11" s="2235"/>
      <c r="NZ11" s="2235"/>
      <c r="OA11" s="2235"/>
      <c r="OB11" s="2235"/>
      <c r="OC11" s="2235"/>
      <c r="OD11" s="2235"/>
      <c r="OE11" s="2235"/>
      <c r="OF11" s="2235"/>
      <c r="OG11" s="2235"/>
      <c r="OH11" s="2235"/>
      <c r="OI11" s="2235"/>
      <c r="OJ11" s="2235"/>
      <c r="OK11" s="2235"/>
      <c r="OL11" s="2235"/>
      <c r="OM11" s="2235"/>
      <c r="ON11" s="2235"/>
      <c r="OO11" s="2235"/>
      <c r="OP11" s="2235"/>
      <c r="OQ11" s="2235"/>
      <c r="OR11" s="2235"/>
      <c r="OS11" s="2235"/>
      <c r="OT11" s="2235"/>
      <c r="OU11" s="2235"/>
      <c r="OV11" s="2235"/>
      <c r="OW11" s="2235"/>
      <c r="OX11" s="2235"/>
      <c r="OY11" s="2235"/>
      <c r="OZ11" s="2235"/>
      <c r="PA11" s="2235"/>
      <c r="PB11" s="2235"/>
      <c r="PC11" s="2235"/>
      <c r="PD11" s="2235"/>
      <c r="PE11" s="2235"/>
      <c r="PF11" s="2235"/>
      <c r="PG11" s="2235"/>
      <c r="PH11" s="2235"/>
      <c r="PI11" s="2235"/>
      <c r="PJ11" s="2235"/>
      <c r="PK11" s="2235"/>
      <c r="PL11" s="2235"/>
      <c r="PM11" s="2235"/>
      <c r="PN11" s="2235"/>
      <c r="PO11" s="2235"/>
      <c r="PP11" s="2235"/>
      <c r="PQ11" s="2235"/>
      <c r="PR11" s="2235"/>
      <c r="PS11" s="2235"/>
      <c r="PT11" s="2235"/>
      <c r="PU11" s="2235"/>
      <c r="PV11" s="2235"/>
      <c r="PW11" s="2235"/>
      <c r="PX11" s="2235"/>
      <c r="PY11" s="2235"/>
      <c r="PZ11" s="2235"/>
      <c r="QA11" s="2235"/>
      <c r="QB11" s="2235"/>
      <c r="QC11" s="2235"/>
      <c r="QD11" s="2235"/>
      <c r="QE11" s="2235"/>
      <c r="QF11" s="2235"/>
      <c r="QG11" s="2235"/>
      <c r="QH11" s="2235"/>
      <c r="QI11" s="2235"/>
      <c r="QJ11" s="2235"/>
      <c r="QK11" s="2235"/>
      <c r="QL11" s="2235"/>
      <c r="QM11" s="2235"/>
      <c r="QN11" s="2235"/>
      <c r="QO11" s="2235"/>
      <c r="QP11" s="2235"/>
      <c r="QQ11" s="2235"/>
      <c r="QR11" s="2235"/>
      <c r="QS11" s="2235"/>
      <c r="QT11" s="2235"/>
      <c r="QU11" s="2235"/>
      <c r="QV11" s="2235"/>
      <c r="QW11" s="2235"/>
      <c r="QX11" s="2235"/>
      <c r="QY11" s="2235"/>
      <c r="QZ11" s="2235"/>
      <c r="RA11" s="2235"/>
      <c r="RB11" s="2235"/>
      <c r="RC11" s="2235"/>
      <c r="RD11" s="2235"/>
      <c r="RE11" s="2235"/>
      <c r="RF11" s="2235"/>
      <c r="RG11" s="2235"/>
      <c r="RH11" s="2235"/>
      <c r="RI11" s="2235"/>
      <c r="RJ11" s="2235"/>
      <c r="RK11" s="2235"/>
      <c r="RL11" s="2235"/>
      <c r="RM11" s="2235"/>
      <c r="RN11" s="2235"/>
      <c r="RO11" s="2235"/>
      <c r="RP11" s="2235"/>
      <c r="RQ11" s="2235"/>
      <c r="RR11" s="2235"/>
      <c r="RS11" s="2235"/>
      <c r="RT11" s="2235"/>
      <c r="RU11" s="2235"/>
      <c r="RV11" s="2235"/>
      <c r="RW11" s="2235"/>
      <c r="RX11" s="2235"/>
      <c r="RY11" s="2235"/>
      <c r="RZ11" s="2235"/>
      <c r="SA11" s="2235"/>
      <c r="SB11" s="2235"/>
      <c r="SC11" s="2235"/>
      <c r="SD11" s="2235"/>
      <c r="SE11" s="2235"/>
      <c r="SF11" s="2235"/>
      <c r="SG11" s="2235"/>
      <c r="SH11" s="2235"/>
      <c r="SI11" s="2235"/>
      <c r="SJ11" s="2235"/>
      <c r="SK11" s="2235"/>
      <c r="SL11" s="2235"/>
      <c r="SM11" s="2235"/>
      <c r="SN11" s="2235"/>
      <c r="SO11" s="2235"/>
      <c r="SP11" s="2235"/>
      <c r="SQ11" s="2235"/>
      <c r="SR11" s="2235"/>
      <c r="SS11" s="2235"/>
      <c r="ST11" s="2235"/>
      <c r="SU11" s="2235"/>
      <c r="SV11" s="2235"/>
      <c r="SW11" s="2235"/>
      <c r="SX11" s="2235"/>
      <c r="SY11" s="2235"/>
      <c r="SZ11" s="2235"/>
      <c r="TA11" s="2235"/>
      <c r="TB11" s="2235"/>
      <c r="TC11" s="2235"/>
      <c r="TD11" s="2235"/>
      <c r="TE11" s="2235"/>
      <c r="TF11" s="2235"/>
      <c r="TG11" s="2235"/>
      <c r="TH11" s="2235"/>
      <c r="TI11" s="2235"/>
      <c r="TJ11" s="2235"/>
      <c r="TK11" s="2235"/>
      <c r="TL11" s="2235"/>
      <c r="TM11" s="2235"/>
      <c r="TN11" s="2235"/>
      <c r="TO11" s="2235"/>
      <c r="TP11" s="2235"/>
      <c r="TQ11" s="2235"/>
      <c r="TR11" s="2235"/>
      <c r="TS11" s="2235"/>
      <c r="TT11" s="2235"/>
      <c r="TU11" s="2235"/>
      <c r="TV11" s="2235"/>
      <c r="TW11" s="2235"/>
      <c r="TX11" s="2235"/>
      <c r="TY11" s="2235"/>
      <c r="TZ11" s="2235"/>
      <c r="UA11" s="2235"/>
      <c r="UB11" s="2235"/>
      <c r="UC11" s="2235"/>
      <c r="UD11" s="2235"/>
      <c r="UE11" s="2235"/>
      <c r="UF11" s="2235"/>
      <c r="UG11" s="2235"/>
      <c r="UH11" s="2235"/>
      <c r="UI11" s="2235"/>
      <c r="UJ11" s="2235"/>
      <c r="UK11" s="2235"/>
      <c r="UL11" s="2235"/>
      <c r="UM11" s="2235"/>
      <c r="UN11" s="2235"/>
      <c r="UO11" s="2235"/>
      <c r="UP11" s="2235"/>
      <c r="UQ11" s="2235"/>
      <c r="UR11" s="2235"/>
      <c r="US11" s="2235"/>
      <c r="UT11" s="2235"/>
      <c r="UU11" s="2235"/>
      <c r="UV11" s="2235"/>
      <c r="UW11" s="2235"/>
      <c r="UX11" s="2235"/>
      <c r="UY11" s="2235"/>
      <c r="UZ11" s="2235"/>
      <c r="VA11" s="2235"/>
      <c r="VB11" s="2235"/>
      <c r="VC11" s="2235"/>
      <c r="VD11" s="2235"/>
      <c r="VE11" s="2235"/>
      <c r="VF11" s="2235"/>
      <c r="VG11" s="2235"/>
      <c r="VH11" s="2235"/>
      <c r="VI11" s="2235"/>
      <c r="VJ11" s="2235"/>
      <c r="VK11" s="2235"/>
      <c r="VL11" s="2235"/>
      <c r="VM11" s="2235"/>
      <c r="VN11" s="2235"/>
      <c r="VO11" s="2235"/>
      <c r="VP11" s="2235"/>
      <c r="VQ11" s="2235"/>
      <c r="VR11" s="2235"/>
      <c r="VS11" s="2235"/>
      <c r="VT11" s="2235"/>
      <c r="VU11" s="2235"/>
      <c r="VV11" s="2235"/>
      <c r="VW11" s="2235"/>
      <c r="VX11" s="2235"/>
      <c r="VY11" s="2235"/>
      <c r="VZ11" s="2235"/>
      <c r="WA11" s="2235"/>
      <c r="WB11" s="2235"/>
      <c r="WC11" s="2235"/>
      <c r="WD11" s="2235"/>
      <c r="WE11" s="2235"/>
      <c r="WF11" s="2235"/>
      <c r="WG11" s="2235"/>
      <c r="WH11" s="2235"/>
      <c r="WI11" s="2235"/>
      <c r="WJ11" s="2235"/>
      <c r="WK11" s="2235"/>
      <c r="WL11" s="2235"/>
      <c r="WM11" s="2235"/>
      <c r="WN11" s="2235"/>
      <c r="WO11" s="2235"/>
      <c r="WP11" s="2235"/>
      <c r="WQ11" s="2235"/>
      <c r="WR11" s="2235"/>
      <c r="WS11" s="2235"/>
      <c r="WT11" s="2235"/>
      <c r="WU11" s="2235"/>
      <c r="WV11" s="2235"/>
      <c r="WW11" s="2235"/>
      <c r="WX11" s="2235"/>
      <c r="WY11" s="2235"/>
      <c r="WZ11" s="2235"/>
      <c r="XA11" s="2235"/>
      <c r="XB11" s="2235"/>
      <c r="XC11" s="2235"/>
      <c r="XD11" s="2235"/>
      <c r="XE11" s="2235"/>
      <c r="XF11" s="2235"/>
      <c r="XG11" s="2235"/>
      <c r="XH11" s="2235"/>
      <c r="XI11" s="2235"/>
      <c r="XJ11" s="2235"/>
      <c r="XK11" s="2235"/>
      <c r="XL11" s="2235"/>
      <c r="XM11" s="2235"/>
      <c r="XN11" s="2235"/>
      <c r="XO11" s="2235"/>
      <c r="XP11" s="2235"/>
      <c r="XQ11" s="2235"/>
      <c r="XR11" s="2235"/>
      <c r="XS11" s="2235"/>
      <c r="XT11" s="2235"/>
      <c r="XU11" s="2235"/>
      <c r="XV11" s="2235"/>
      <c r="XW11" s="2235"/>
      <c r="XX11" s="2235"/>
      <c r="XY11" s="2235"/>
      <c r="XZ11" s="2235"/>
      <c r="YA11" s="2235"/>
      <c r="YB11" s="2235"/>
      <c r="YC11" s="2235"/>
      <c r="YD11" s="2235"/>
      <c r="YE11" s="2235"/>
      <c r="YF11" s="2235"/>
      <c r="YG11" s="2235"/>
      <c r="YH11" s="2235"/>
      <c r="YI11" s="2235"/>
      <c r="YJ11" s="2235"/>
      <c r="YK11" s="2235"/>
      <c r="YL11" s="2235"/>
      <c r="YM11" s="2235"/>
      <c r="YN11" s="2235"/>
      <c r="YO11" s="2235"/>
      <c r="YP11" s="2235"/>
      <c r="YQ11" s="2235"/>
      <c r="YR11" s="2235"/>
      <c r="YS11" s="2235"/>
      <c r="YT11" s="2235"/>
      <c r="YU11" s="2235"/>
      <c r="YV11" s="2235"/>
      <c r="YW11" s="2235"/>
      <c r="YX11" s="2235"/>
      <c r="YY11" s="2235"/>
      <c r="YZ11" s="2235"/>
      <c r="ZA11" s="2235"/>
      <c r="ZB11" s="2235"/>
      <c r="ZC11" s="2235"/>
      <c r="ZD11" s="2235"/>
      <c r="ZE11" s="2235"/>
      <c r="ZF11" s="2235"/>
      <c r="ZG11" s="2235"/>
      <c r="ZH11" s="2235"/>
      <c r="ZI11" s="2235"/>
      <c r="ZJ11" s="2235"/>
      <c r="ZK11" s="2235"/>
      <c r="ZL11" s="2235"/>
      <c r="ZM11" s="2235"/>
      <c r="ZN11" s="2235"/>
      <c r="ZO11" s="2235"/>
      <c r="ZP11" s="2235"/>
      <c r="ZQ11" s="2235"/>
      <c r="ZR11" s="2235"/>
      <c r="ZS11" s="2235"/>
      <c r="ZT11" s="2235"/>
      <c r="ZU11" s="2235"/>
      <c r="ZV11" s="2235"/>
      <c r="ZW11" s="2235"/>
      <c r="ZX11" s="2235"/>
      <c r="ZY11" s="2235"/>
      <c r="ZZ11" s="2235"/>
      <c r="AAA11" s="2235"/>
      <c r="AAB11" s="2235"/>
      <c r="AAC11" s="2235"/>
      <c r="AAD11" s="2235"/>
      <c r="AAE11" s="2235"/>
      <c r="AAF11" s="2235"/>
      <c r="AAG11" s="2235"/>
      <c r="AAH11" s="2235"/>
      <c r="AAI11" s="2235"/>
      <c r="AAJ11" s="2235"/>
      <c r="AAK11" s="2235"/>
      <c r="AAL11" s="2235"/>
      <c r="AAM11" s="2235"/>
      <c r="AAN11" s="2235"/>
      <c r="AAO11" s="2235"/>
      <c r="AAP11" s="2235"/>
      <c r="AAQ11" s="2235"/>
      <c r="AAR11" s="2235"/>
      <c r="AAS11" s="2235"/>
      <c r="AAT11" s="2235"/>
      <c r="AAU11" s="2235"/>
      <c r="AAV11" s="2235"/>
      <c r="AAW11" s="2235"/>
      <c r="AAX11" s="2235"/>
      <c r="AAY11" s="2235"/>
      <c r="AAZ11" s="2235"/>
      <c r="ABA11" s="2235"/>
      <c r="ABB11" s="2235"/>
      <c r="ABC11" s="2235"/>
      <c r="ABD11" s="2235"/>
      <c r="ABE11" s="2235"/>
      <c r="ABF11" s="2235"/>
      <c r="ABG11" s="2235"/>
      <c r="ABH11" s="2235"/>
      <c r="ABI11" s="2235"/>
      <c r="ABJ11" s="2235"/>
      <c r="ABK11" s="2235"/>
      <c r="ABL11" s="2235"/>
      <c r="ABM11" s="2235"/>
      <c r="ABN11" s="2235"/>
      <c r="ABO11" s="2235"/>
      <c r="ABP11" s="2235"/>
      <c r="ABQ11" s="2235"/>
      <c r="ABR11" s="2235"/>
      <c r="ABS11" s="2235"/>
      <c r="ABT11" s="2235"/>
      <c r="ABU11" s="2235"/>
      <c r="ABV11" s="2235"/>
      <c r="ABW11" s="2235"/>
      <c r="ABX11" s="2235"/>
      <c r="ABY11" s="2235"/>
      <c r="ABZ11" s="2235"/>
      <c r="ACA11" s="2235"/>
      <c r="ACB11" s="2235"/>
      <c r="ACC11" s="2235"/>
      <c r="ACD11" s="2235"/>
      <c r="ACE11" s="2235"/>
      <c r="ACF11" s="2235"/>
      <c r="ACG11" s="2235"/>
      <c r="ACH11" s="2235"/>
      <c r="ACI11" s="2235"/>
      <c r="ACJ11" s="2235"/>
      <c r="ACK11" s="2235"/>
      <c r="ACL11" s="2235"/>
      <c r="ACM11" s="2235"/>
      <c r="ACN11" s="2235"/>
      <c r="ACO11" s="2235"/>
      <c r="ACP11" s="2235"/>
      <c r="ACQ11" s="2235"/>
      <c r="ACR11" s="2235"/>
      <c r="ACS11" s="2235"/>
      <c r="ACT11" s="2235"/>
      <c r="ACU11" s="2235"/>
      <c r="ACV11" s="2235"/>
      <c r="ACW11" s="2235"/>
      <c r="ACX11" s="2235"/>
      <c r="ACY11" s="2235"/>
      <c r="ACZ11" s="2235"/>
      <c r="ADA11" s="2235"/>
      <c r="ADB11" s="2235"/>
      <c r="ADC11" s="2235"/>
      <c r="ADD11" s="2235"/>
      <c r="ADE11" s="2235"/>
      <c r="ADF11" s="2235"/>
      <c r="ADG11" s="2235"/>
      <c r="ADH11" s="2235"/>
      <c r="ADI11" s="2235"/>
      <c r="ADJ11" s="2235"/>
      <c r="ADK11" s="2235"/>
      <c r="ADL11" s="2235"/>
      <c r="ADM11" s="2235"/>
      <c r="ADN11" s="2235"/>
      <c r="ADO11" s="2235"/>
      <c r="ADP11" s="2235"/>
      <c r="ADQ11" s="2235"/>
      <c r="ADR11" s="2235"/>
      <c r="ADS11" s="2235"/>
      <c r="ADT11" s="2235"/>
      <c r="ADU11" s="2235"/>
      <c r="ADV11" s="2235"/>
      <c r="ADW11" s="2235"/>
      <c r="ADX11" s="2235"/>
      <c r="ADY11" s="2235"/>
      <c r="ADZ11" s="2235"/>
      <c r="AEA11" s="2235"/>
      <c r="AEB11" s="2235"/>
      <c r="AEC11" s="2235"/>
      <c r="AED11" s="2235"/>
      <c r="AEE11" s="2235"/>
      <c r="AEF11" s="2235"/>
      <c r="AEG11" s="2235"/>
      <c r="AEH11" s="2235"/>
      <c r="AEI11" s="2235"/>
      <c r="AEJ11" s="2235"/>
      <c r="AEK11" s="2235"/>
      <c r="AEL11" s="2235"/>
      <c r="AEM11" s="2235"/>
      <c r="AEN11" s="2235"/>
      <c r="AEO11" s="2235"/>
      <c r="AEP11" s="2235"/>
      <c r="AEQ11" s="2235"/>
      <c r="AER11" s="2235"/>
      <c r="AES11" s="2235"/>
      <c r="AET11" s="2235"/>
      <c r="AEU11" s="2235"/>
      <c r="AEV11" s="2235"/>
      <c r="AEW11" s="2235"/>
      <c r="AEX11" s="2235"/>
      <c r="AEY11" s="2235"/>
      <c r="AEZ11" s="2235"/>
      <c r="AFA11" s="2235"/>
      <c r="AFB11" s="2235"/>
      <c r="AFC11" s="2235"/>
      <c r="AFD11" s="2235"/>
      <c r="AFE11" s="2235"/>
      <c r="AFF11" s="2235"/>
      <c r="AFG11" s="2235"/>
      <c r="AFH11" s="2235"/>
      <c r="AFI11" s="2235"/>
      <c r="AFJ11" s="2235"/>
      <c r="AFK11" s="2235"/>
      <c r="AFL11" s="2235"/>
      <c r="AFM11" s="2235"/>
      <c r="AFN11" s="2235"/>
      <c r="AFO11" s="2235"/>
      <c r="AFP11" s="2235"/>
      <c r="AFQ11" s="2235"/>
      <c r="AFR11" s="2235"/>
      <c r="AFS11" s="2235"/>
      <c r="AFT11" s="2235"/>
      <c r="AFU11" s="2235"/>
      <c r="AFV11" s="2235"/>
      <c r="AFW11" s="2235"/>
      <c r="AFX11" s="2235"/>
      <c r="AFY11" s="2235"/>
      <c r="AFZ11" s="2235"/>
      <c r="AGA11" s="2235"/>
      <c r="AGB11" s="2235"/>
      <c r="AGC11" s="2235"/>
      <c r="AGD11" s="2235"/>
      <c r="AGE11" s="2235"/>
      <c r="AGF11" s="2235"/>
      <c r="AGG11" s="2235"/>
      <c r="AGH11" s="2235"/>
      <c r="AGI11" s="2235"/>
      <c r="AGJ11" s="2235"/>
      <c r="AGK11" s="2235"/>
      <c r="AGL11" s="2235"/>
      <c r="AGM11" s="2235"/>
      <c r="AGN11" s="2235"/>
      <c r="AGO11" s="2235"/>
      <c r="AGP11" s="2235"/>
      <c r="AGQ11" s="2235"/>
      <c r="AGR11" s="2235"/>
      <c r="AGS11" s="2235"/>
      <c r="AGT11" s="2235"/>
      <c r="AGU11" s="2235"/>
      <c r="AGV11" s="2235"/>
      <c r="AGW11" s="2235"/>
      <c r="AGX11" s="2235"/>
      <c r="AGY11" s="2235"/>
      <c r="AGZ11" s="2235"/>
      <c r="AHA11" s="2235"/>
      <c r="AHB11" s="2235"/>
      <c r="AHC11" s="2235"/>
      <c r="AHD11" s="2235"/>
      <c r="AHE11" s="2235"/>
      <c r="AHF11" s="2235"/>
      <c r="AHG11" s="2235"/>
      <c r="AHH11" s="2235"/>
      <c r="AHI11" s="2235"/>
      <c r="AHJ11" s="2235"/>
      <c r="AHK11" s="2235"/>
      <c r="AHL11" s="2235"/>
      <c r="AHM11" s="2235"/>
      <c r="AHN11" s="2235"/>
      <c r="AHO11" s="2235"/>
      <c r="AHP11" s="2235"/>
      <c r="AHQ11" s="2235"/>
      <c r="AHR11" s="2235"/>
      <c r="AHS11" s="2235"/>
      <c r="AHT11" s="2235"/>
      <c r="AHU11" s="2235"/>
      <c r="AHV11" s="2235"/>
      <c r="AHW11" s="2235"/>
      <c r="AHX11" s="2235"/>
      <c r="AHY11" s="2235"/>
      <c r="AHZ11" s="2235"/>
      <c r="AIA11" s="2235"/>
      <c r="AIB11" s="2235"/>
      <c r="AIC11" s="2235"/>
      <c r="AID11" s="2235"/>
      <c r="AIE11" s="2235"/>
      <c r="AIF11" s="2235"/>
      <c r="AIG11" s="2235"/>
      <c r="AIH11" s="2235"/>
      <c r="AII11" s="2235"/>
      <c r="AIJ11" s="2235"/>
      <c r="AIK11" s="2235"/>
      <c r="AIL11" s="2235"/>
      <c r="AIM11" s="2235"/>
      <c r="AIN11" s="2235"/>
      <c r="AIO11" s="2235"/>
      <c r="AIP11" s="2235"/>
      <c r="AIQ11" s="2235"/>
      <c r="AIR11" s="2235"/>
      <c r="AIS11" s="2235"/>
      <c r="AIT11" s="2235"/>
      <c r="AIU11" s="2235"/>
      <c r="AIV11" s="2235"/>
      <c r="AIW11" s="2235"/>
      <c r="AIX11" s="2235"/>
      <c r="AIY11" s="2235"/>
      <c r="AIZ11" s="2235"/>
      <c r="AJA11" s="2235"/>
      <c r="AJB11" s="2235"/>
      <c r="AJC11" s="2235"/>
      <c r="AJD11" s="2235"/>
      <c r="AJE11" s="2235"/>
      <c r="AJF11" s="2235"/>
      <c r="AJG11" s="2235"/>
      <c r="AJH11" s="2235"/>
      <c r="AJI11" s="2235"/>
      <c r="AJJ11" s="2235"/>
      <c r="AJK11" s="2235"/>
      <c r="AJL11" s="2235"/>
      <c r="AJM11" s="2235"/>
      <c r="AJN11" s="2235"/>
      <c r="AJO11" s="2235"/>
      <c r="AJP11" s="2235"/>
      <c r="AJQ11" s="2235"/>
      <c r="AJR11" s="2235"/>
      <c r="AJS11" s="2235"/>
      <c r="AJT11" s="2235"/>
      <c r="AJU11" s="2235"/>
      <c r="AJV11" s="2235"/>
      <c r="AJW11" s="2235"/>
      <c r="AJX11" s="2235"/>
      <c r="AJY11" s="2235"/>
      <c r="AJZ11" s="2235"/>
      <c r="AKA11" s="2235"/>
      <c r="AKB11" s="2235"/>
      <c r="AKC11" s="2235"/>
      <c r="AKD11" s="2235"/>
      <c r="AKE11" s="2235"/>
      <c r="AKF11" s="2235"/>
      <c r="AKG11" s="2235"/>
      <c r="AKH11" s="2235"/>
      <c r="AKI11" s="2235"/>
      <c r="AKJ11" s="2235"/>
      <c r="AKK11" s="2235"/>
      <c r="AKL11" s="2235"/>
      <c r="AKM11" s="2235"/>
      <c r="AKN11" s="2235"/>
      <c r="AKO11" s="2235"/>
      <c r="AKP11" s="2235"/>
      <c r="AKQ11" s="2235"/>
      <c r="AKR11" s="2235"/>
      <c r="AKS11" s="2235"/>
      <c r="AKT11" s="2235"/>
      <c r="AKU11" s="2235"/>
      <c r="AKV11" s="2235"/>
      <c r="AKW11" s="2235"/>
      <c r="AKX11" s="2235"/>
      <c r="AKY11" s="2235"/>
      <c r="AKZ11" s="2235"/>
      <c r="ALA11" s="2235"/>
      <c r="ALB11" s="2235"/>
      <c r="ALC11" s="2235"/>
      <c r="ALD11" s="2235"/>
      <c r="ALE11" s="2235"/>
      <c r="ALF11" s="2235"/>
      <c r="ALG11" s="2235"/>
      <c r="ALH11" s="2235"/>
      <c r="ALI11" s="2235"/>
      <c r="ALJ11" s="2235"/>
      <c r="ALK11" s="2235"/>
      <c r="ALL11" s="2235"/>
      <c r="ALM11" s="2235"/>
      <c r="ALN11" s="2235"/>
      <c r="ALO11" s="2235"/>
      <c r="ALP11" s="2235"/>
      <c r="ALQ11" s="2235"/>
      <c r="ALR11" s="2235"/>
      <c r="ALS11" s="2235"/>
      <c r="ALT11" s="2235"/>
      <c r="ALU11" s="2235"/>
      <c r="ALV11" s="2235"/>
      <c r="ALW11" s="2235"/>
      <c r="ALX11" s="2235"/>
      <c r="ALY11" s="2235"/>
      <c r="ALZ11" s="2235"/>
      <c r="AMA11" s="2235"/>
      <c r="AMB11" s="2235"/>
      <c r="AMC11" s="2235"/>
      <c r="AMD11" s="2235"/>
      <c r="AME11" s="2235"/>
      <c r="AMF11" s="2235"/>
      <c r="AMG11" s="2235"/>
      <c r="AMH11" s="2235"/>
      <c r="AMI11" s="2235"/>
      <c r="AMJ11" s="2235"/>
      <c r="AMK11" s="2235"/>
      <c r="AML11" s="2235"/>
      <c r="AMM11" s="2235"/>
      <c r="AMN11" s="2235"/>
      <c r="AMO11" s="2235"/>
      <c r="AMP11" s="2235"/>
      <c r="AMQ11" s="2235"/>
      <c r="AMR11" s="2235"/>
      <c r="AMS11" s="2235"/>
      <c r="AMT11" s="2235"/>
      <c r="AMU11" s="2235"/>
      <c r="AMV11" s="2235"/>
      <c r="AMW11" s="2235"/>
      <c r="AMX11" s="2235"/>
      <c r="AMY11" s="2235"/>
      <c r="AMZ11" s="2235"/>
      <c r="ANA11" s="2235"/>
      <c r="ANB11" s="2235"/>
      <c r="ANC11" s="2235"/>
      <c r="AND11" s="2235"/>
      <c r="ANE11" s="2235"/>
      <c r="ANF11" s="2235"/>
      <c r="ANG11" s="2235"/>
      <c r="ANH11" s="2235"/>
      <c r="ANI11" s="2235"/>
      <c r="ANJ11" s="2235"/>
      <c r="ANK11" s="2235"/>
      <c r="ANL11" s="2235"/>
      <c r="ANM11" s="2235"/>
      <c r="ANN11" s="2235"/>
      <c r="ANO11" s="2235"/>
      <c r="ANP11" s="2235"/>
      <c r="ANQ11" s="2235"/>
      <c r="ANR11" s="2235"/>
      <c r="ANS11" s="2235"/>
      <c r="ANT11" s="2235"/>
      <c r="ANU11" s="2235"/>
      <c r="ANV11" s="2235"/>
      <c r="ANW11" s="2235"/>
      <c r="ANX11" s="2235"/>
      <c r="ANY11" s="2235"/>
      <c r="ANZ11" s="2235"/>
      <c r="AOA11" s="2235"/>
      <c r="AOB11" s="2235"/>
      <c r="AOC11" s="2235"/>
      <c r="AOD11" s="2235"/>
      <c r="AOE11" s="2235"/>
      <c r="AOF11" s="2235"/>
      <c r="AOG11" s="2235"/>
      <c r="AOH11" s="2235"/>
      <c r="AOI11" s="2235"/>
      <c r="AOJ11" s="2235"/>
      <c r="AOK11" s="2235"/>
      <c r="AOL11" s="2235"/>
      <c r="AOM11" s="2235"/>
      <c r="AON11" s="2235"/>
      <c r="AOO11" s="2235"/>
      <c r="AOP11" s="2235"/>
      <c r="AOQ11" s="2235"/>
      <c r="AOR11" s="2235"/>
      <c r="AOS11" s="2235"/>
      <c r="AOT11" s="2235"/>
      <c r="AOU11" s="2235"/>
      <c r="AOV11" s="2235"/>
      <c r="AOW11" s="2235"/>
      <c r="AOX11" s="2235"/>
      <c r="AOY11" s="2235"/>
      <c r="AOZ11" s="2235"/>
      <c r="APA11" s="2235"/>
      <c r="APB11" s="2235"/>
      <c r="APC11" s="2235"/>
      <c r="APD11" s="2235"/>
      <c r="APE11" s="2235"/>
      <c r="APF11" s="2235"/>
      <c r="APG11" s="2235"/>
      <c r="APH11" s="2235"/>
      <c r="API11" s="2235"/>
      <c r="APJ11" s="2235"/>
      <c r="APK11" s="2235"/>
      <c r="APL11" s="2235"/>
      <c r="APM11" s="2235"/>
      <c r="APN11" s="2235"/>
      <c r="APO11" s="2235"/>
      <c r="APP11" s="2235"/>
      <c r="APQ11" s="2235"/>
      <c r="APR11" s="2235"/>
      <c r="APS11" s="2235"/>
      <c r="APT11" s="2235"/>
      <c r="APU11" s="2235"/>
      <c r="APV11" s="2235"/>
      <c r="APW11" s="2235"/>
      <c r="APX11" s="2235"/>
      <c r="APY11" s="2235"/>
      <c r="APZ11" s="2235"/>
      <c r="AQA11" s="2235"/>
      <c r="AQB11" s="2235"/>
      <c r="AQC11" s="2235"/>
      <c r="AQD11" s="2235"/>
      <c r="AQE11" s="2235"/>
      <c r="AQF11" s="2235"/>
      <c r="AQG11" s="2235"/>
      <c r="AQH11" s="2235"/>
      <c r="AQI11" s="2235"/>
      <c r="AQJ11" s="2235"/>
      <c r="AQK11" s="2235"/>
      <c r="AQL11" s="2235"/>
      <c r="AQM11" s="2235"/>
      <c r="AQN11" s="2235"/>
      <c r="AQO11" s="2235"/>
      <c r="AQP11" s="2235"/>
      <c r="AQQ11" s="2235"/>
      <c r="AQR11" s="2235"/>
      <c r="AQS11" s="2235"/>
      <c r="AQT11" s="2235"/>
      <c r="AQU11" s="2235"/>
      <c r="AQV11" s="2235"/>
      <c r="AQW11" s="2235"/>
      <c r="AQX11" s="2235"/>
      <c r="AQY11" s="2235"/>
      <c r="AQZ11" s="2235"/>
      <c r="ARA11" s="2235"/>
      <c r="ARB11" s="2235"/>
      <c r="ARC11" s="2235"/>
      <c r="ARD11" s="2235"/>
      <c r="ARE11" s="2235"/>
      <c r="ARF11" s="2235"/>
      <c r="ARG11" s="2235"/>
      <c r="ARH11" s="2235"/>
      <c r="ARI11" s="2235"/>
      <c r="ARJ11" s="2235"/>
      <c r="ARK11" s="2235"/>
      <c r="ARL11" s="2235"/>
      <c r="ARM11" s="2235"/>
      <c r="ARN11" s="2235"/>
      <c r="ARO11" s="2235"/>
      <c r="ARP11" s="2235"/>
      <c r="ARQ11" s="2235"/>
      <c r="ARR11" s="2235"/>
      <c r="ARS11" s="2235"/>
      <c r="ART11" s="2235"/>
      <c r="ARU11" s="2235"/>
      <c r="ARV11" s="2235"/>
      <c r="ARW11" s="2235"/>
      <c r="ARX11" s="2235"/>
      <c r="ARY11" s="2235"/>
      <c r="ARZ11" s="2235"/>
      <c r="ASA11" s="2235"/>
      <c r="ASB11" s="2235"/>
      <c r="ASC11" s="2235"/>
      <c r="ASD11" s="2235"/>
      <c r="ASE11" s="2235"/>
      <c r="ASF11" s="2235"/>
      <c r="ASG11" s="2235"/>
      <c r="ASH11" s="2235"/>
      <c r="ASI11" s="2235"/>
      <c r="ASJ11" s="2235"/>
      <c r="ASK11" s="2235"/>
      <c r="ASL11" s="2235"/>
      <c r="ASM11" s="2235"/>
      <c r="ASN11" s="2235"/>
      <c r="ASO11" s="2235"/>
      <c r="ASP11" s="2235"/>
      <c r="ASQ11" s="2235"/>
      <c r="ASR11" s="2235"/>
      <c r="ASS11" s="2235"/>
      <c r="AST11" s="2235"/>
      <c r="ASU11" s="2235"/>
      <c r="ASV11" s="2235"/>
      <c r="ASW11" s="2235"/>
      <c r="ASX11" s="2235"/>
      <c r="ASY11" s="2235"/>
      <c r="ASZ11" s="2235"/>
      <c r="ATA11" s="2235"/>
      <c r="ATB11" s="2235"/>
      <c r="ATC11" s="2235"/>
      <c r="ATD11" s="2235"/>
      <c r="ATE11" s="2235"/>
      <c r="ATF11" s="2235"/>
      <c r="ATG11" s="2235"/>
      <c r="ATH11" s="2235"/>
      <c r="ATI11" s="2235"/>
      <c r="ATJ11" s="2235"/>
      <c r="ATK11" s="2235"/>
      <c r="ATL11" s="2235"/>
      <c r="ATM11" s="2235"/>
      <c r="ATN11" s="2235"/>
      <c r="ATO11" s="2235"/>
      <c r="ATP11" s="2235"/>
      <c r="ATQ11" s="2235"/>
      <c r="ATR11" s="2235"/>
      <c r="ATS11" s="2235"/>
      <c r="ATT11" s="2235"/>
      <c r="ATU11" s="2235"/>
      <c r="ATV11" s="2235"/>
      <c r="ATW11" s="2235"/>
      <c r="ATX11" s="2235"/>
      <c r="ATY11" s="2235"/>
      <c r="ATZ11" s="2235"/>
      <c r="AUA11" s="2235"/>
      <c r="AUB11" s="2235"/>
      <c r="AUC11" s="2235"/>
      <c r="AUD11" s="2235"/>
      <c r="AUE11" s="2235"/>
      <c r="AUF11" s="2235"/>
      <c r="AUG11" s="2235"/>
      <c r="AUH11" s="2235"/>
      <c r="AUI11" s="2235"/>
      <c r="AUJ11" s="2235"/>
      <c r="AUK11" s="2235"/>
      <c r="AUL11" s="2235"/>
      <c r="AUM11" s="2235"/>
      <c r="AUN11" s="2235"/>
      <c r="AUO11" s="2235"/>
      <c r="AUP11" s="2235"/>
      <c r="AUQ11" s="2235"/>
      <c r="AUR11" s="2235"/>
      <c r="AUS11" s="2235"/>
      <c r="AUT11" s="2235"/>
      <c r="AUU11" s="2235"/>
      <c r="AUV11" s="2235"/>
      <c r="AUW11" s="2235"/>
      <c r="AUX11" s="2235"/>
      <c r="AUY11" s="2235"/>
      <c r="AUZ11" s="2235"/>
      <c r="AVA11" s="2235"/>
      <c r="AVB11" s="2235"/>
      <c r="AVC11" s="2235"/>
      <c r="AVD11" s="2235"/>
      <c r="AVE11" s="2235"/>
      <c r="AVF11" s="2235"/>
      <c r="AVG11" s="2235"/>
      <c r="AVH11" s="2235"/>
      <c r="AVI11" s="2235"/>
      <c r="AVJ11" s="2235"/>
      <c r="AVK11" s="2235"/>
      <c r="AVL11" s="2235"/>
      <c r="AVM11" s="2235"/>
      <c r="AVN11" s="2235"/>
      <c r="AVO11" s="2235"/>
      <c r="AVP11" s="2235"/>
      <c r="AVQ11" s="2235"/>
      <c r="AVR11" s="2235"/>
      <c r="AVS11" s="2235"/>
      <c r="AVT11" s="2235"/>
      <c r="AVU11" s="2235"/>
      <c r="AVV11" s="2235"/>
      <c r="AVW11" s="2235"/>
      <c r="AVX11" s="2235"/>
      <c r="AVY11" s="2235"/>
      <c r="AVZ11" s="2235"/>
      <c r="AWA11" s="2235"/>
      <c r="AWB11" s="2235"/>
      <c r="AWC11" s="2235"/>
      <c r="AWD11" s="2235"/>
      <c r="AWE11" s="2235"/>
      <c r="AWF11" s="2235"/>
      <c r="AWG11" s="2235"/>
      <c r="AWH11" s="2235"/>
      <c r="AWI11" s="2235"/>
      <c r="AWJ11" s="2235"/>
      <c r="AWK11" s="2235"/>
      <c r="AWL11" s="2235"/>
      <c r="AWM11" s="2235"/>
      <c r="AWN11" s="2235"/>
      <c r="AWO11" s="2235"/>
      <c r="AWP11" s="2235"/>
      <c r="AWQ11" s="2235"/>
      <c r="AWR11" s="2235"/>
      <c r="AWS11" s="2235"/>
      <c r="AWT11" s="2235"/>
      <c r="AWU11" s="2235"/>
      <c r="AWV11" s="2235"/>
      <c r="AWW11" s="2235"/>
      <c r="AWX11" s="2235"/>
      <c r="AWY11" s="2235"/>
      <c r="AWZ11" s="2235"/>
      <c r="AXA11" s="2235"/>
      <c r="AXB11" s="2235"/>
      <c r="AXC11" s="2235"/>
      <c r="AXD11" s="2235"/>
      <c r="AXE11" s="2235"/>
      <c r="AXF11" s="2235"/>
      <c r="AXG11" s="2235"/>
      <c r="AXH11" s="2235"/>
      <c r="AXI11" s="2235"/>
      <c r="AXJ11" s="2235"/>
      <c r="AXK11" s="2235"/>
      <c r="AXL11" s="2235"/>
      <c r="AXM11" s="2235"/>
      <c r="AXN11" s="2235"/>
      <c r="AXO11" s="2235"/>
      <c r="AXP11" s="2235"/>
      <c r="AXQ11" s="2235"/>
      <c r="AXR11" s="2235"/>
      <c r="AXS11" s="2235"/>
      <c r="AXT11" s="2235"/>
      <c r="AXU11" s="2235"/>
      <c r="AXV11" s="2235"/>
      <c r="AXW11" s="2235"/>
      <c r="AXX11" s="2235"/>
      <c r="AXY11" s="2235"/>
      <c r="AXZ11" s="2235"/>
      <c r="AYA11" s="2235"/>
      <c r="AYB11" s="2235"/>
      <c r="AYC11" s="2235"/>
      <c r="AYD11" s="2235"/>
      <c r="AYE11" s="2235"/>
      <c r="AYF11" s="2235"/>
      <c r="AYG11" s="2235"/>
      <c r="AYH11" s="2235"/>
      <c r="AYI11" s="2235"/>
      <c r="AYJ11" s="2235"/>
      <c r="AYK11" s="2235"/>
      <c r="AYL11" s="2235"/>
      <c r="AYM11" s="2235"/>
      <c r="AYN11" s="2235"/>
      <c r="AYO11" s="2235"/>
      <c r="AYP11" s="2235"/>
      <c r="AYQ11" s="2235"/>
      <c r="AYR11" s="2235"/>
      <c r="AYS11" s="2235"/>
      <c r="AYT11" s="2235"/>
      <c r="AYU11" s="2235"/>
      <c r="AYV11" s="2235"/>
      <c r="AYW11" s="2235"/>
      <c r="AYX11" s="2235"/>
      <c r="AYY11" s="2235"/>
      <c r="AYZ11" s="2235"/>
      <c r="AZA11" s="2235"/>
      <c r="AZB11" s="2235"/>
      <c r="AZC11" s="2235"/>
      <c r="AZD11" s="2235"/>
      <c r="AZE11" s="2235"/>
      <c r="AZF11" s="2235"/>
      <c r="AZG11" s="2235"/>
      <c r="AZH11" s="2235"/>
      <c r="AZI11" s="2235"/>
      <c r="AZJ11" s="2235"/>
      <c r="AZK11" s="2235"/>
      <c r="AZL11" s="2235"/>
      <c r="AZM11" s="2235"/>
      <c r="AZN11" s="2235"/>
      <c r="AZO11" s="2235"/>
      <c r="AZP11" s="2235"/>
      <c r="AZQ11" s="2235"/>
      <c r="AZR11" s="2235"/>
      <c r="AZS11" s="2235"/>
      <c r="AZT11" s="2235"/>
      <c r="AZU11" s="2235"/>
      <c r="AZV11" s="2235"/>
      <c r="AZW11" s="2235"/>
      <c r="AZX11" s="2235"/>
      <c r="AZY11" s="2235"/>
      <c r="AZZ11" s="2235"/>
      <c r="BAA11" s="2235"/>
      <c r="BAB11" s="2235"/>
      <c r="BAC11" s="2235"/>
      <c r="BAD11" s="2235"/>
      <c r="BAE11" s="2235"/>
      <c r="BAF11" s="2235"/>
      <c r="BAG11" s="2235"/>
      <c r="BAH11" s="2235"/>
      <c r="BAI11" s="2235"/>
      <c r="BAJ11" s="2235"/>
      <c r="BAK11" s="2235"/>
      <c r="BAL11" s="2235"/>
      <c r="BAM11" s="2235"/>
      <c r="BAN11" s="2235"/>
      <c r="BAO11" s="2235"/>
      <c r="BAP11" s="2235"/>
      <c r="BAQ11" s="2235"/>
      <c r="BAR11" s="2235"/>
      <c r="BAS11" s="2235"/>
      <c r="BAT11" s="2235"/>
      <c r="BAU11" s="2235"/>
      <c r="BAV11" s="2235"/>
      <c r="BAW11" s="2235"/>
      <c r="BAX11" s="2235"/>
      <c r="BAY11" s="2235"/>
      <c r="BAZ11" s="2235"/>
      <c r="BBA11" s="2235"/>
      <c r="BBB11" s="2235"/>
      <c r="BBC11" s="2235"/>
      <c r="BBD11" s="2235"/>
      <c r="BBE11" s="2235"/>
      <c r="BBF11" s="2235"/>
      <c r="BBG11" s="2235"/>
      <c r="BBH11" s="2235"/>
      <c r="BBI11" s="2235"/>
      <c r="BBJ11" s="2235"/>
      <c r="BBK11" s="2235"/>
      <c r="BBL11" s="2235"/>
      <c r="BBM11" s="2235"/>
      <c r="BBN11" s="2235"/>
      <c r="BBO11" s="2235"/>
      <c r="BBP11" s="2235"/>
      <c r="BBQ11" s="2235"/>
      <c r="BBR11" s="2235"/>
      <c r="BBS11" s="2235"/>
      <c r="BBT11" s="2235"/>
      <c r="BBU11" s="2235"/>
      <c r="BBV11" s="2235"/>
      <c r="BBW11" s="2235"/>
      <c r="BBX11" s="2235"/>
      <c r="BBY11" s="2235"/>
      <c r="BBZ11" s="2235"/>
      <c r="BCA11" s="2235"/>
      <c r="BCB11" s="2235"/>
      <c r="BCC11" s="2235"/>
      <c r="BCD11" s="2235"/>
      <c r="BCE11" s="2235"/>
      <c r="BCF11" s="2235"/>
      <c r="BCG11" s="2235"/>
      <c r="BCH11" s="2235"/>
      <c r="BCI11" s="2235"/>
      <c r="BCJ11" s="2235"/>
      <c r="BCK11" s="2235"/>
      <c r="BCL11" s="2235"/>
      <c r="BCM11" s="2235"/>
      <c r="BCN11" s="2235"/>
      <c r="BCO11" s="2235"/>
      <c r="BCP11" s="2235"/>
      <c r="BCQ11" s="2235"/>
      <c r="BCR11" s="2235"/>
      <c r="BCS11" s="2235"/>
      <c r="BCT11" s="2235"/>
      <c r="BCU11" s="2235"/>
      <c r="BCV11" s="2235"/>
      <c r="BCW11" s="2235"/>
      <c r="BCX11" s="2235"/>
      <c r="BCY11" s="2235"/>
      <c r="BCZ11" s="2235"/>
      <c r="BDA11" s="2235"/>
      <c r="BDB11" s="2235"/>
      <c r="BDC11" s="2235"/>
      <c r="BDD11" s="2235"/>
      <c r="BDE11" s="2235"/>
      <c r="BDF11" s="2235"/>
      <c r="BDG11" s="2235"/>
      <c r="BDH11" s="2235"/>
      <c r="BDI11" s="2235"/>
      <c r="BDJ11" s="2235"/>
      <c r="BDK11" s="2235"/>
      <c r="BDL11" s="2235"/>
      <c r="BDM11" s="2235"/>
      <c r="BDN11" s="2235"/>
      <c r="BDO11" s="2235"/>
      <c r="BDP11" s="2235"/>
      <c r="BDQ11" s="2235"/>
      <c r="BDR11" s="2235"/>
      <c r="BDS11" s="2235"/>
      <c r="BDT11" s="2235"/>
      <c r="BDU11" s="2235"/>
      <c r="BDV11" s="2235"/>
      <c r="BDW11" s="2235"/>
      <c r="BDX11" s="2235"/>
      <c r="BDY11" s="2235"/>
      <c r="BDZ11" s="2235"/>
      <c r="BEA11" s="2235"/>
      <c r="BEB11" s="2235"/>
      <c r="BEC11" s="2235"/>
      <c r="BED11" s="2235"/>
      <c r="BEE11" s="2235"/>
      <c r="BEF11" s="2235"/>
      <c r="BEG11" s="2235"/>
      <c r="BEH11" s="2235"/>
      <c r="BEI11" s="2235"/>
      <c r="BEJ11" s="2235"/>
      <c r="BEK11" s="2235"/>
      <c r="BEL11" s="2235"/>
      <c r="BEM11" s="2235"/>
      <c r="BEN11" s="2235"/>
      <c r="BEO11" s="2235"/>
      <c r="BEP11" s="2235"/>
      <c r="BEQ11" s="2235"/>
      <c r="BER11" s="2235"/>
      <c r="BES11" s="2235"/>
      <c r="BET11" s="2235"/>
      <c r="BEU11" s="2235"/>
      <c r="BEV11" s="2235"/>
      <c r="BEW11" s="2235"/>
      <c r="BEX11" s="2235"/>
      <c r="BEY11" s="2235"/>
      <c r="BEZ11" s="2235"/>
      <c r="BFA11" s="2235"/>
      <c r="BFB11" s="2235"/>
      <c r="BFC11" s="2235"/>
      <c r="BFD11" s="2235"/>
      <c r="BFE11" s="2235"/>
      <c r="BFF11" s="2235"/>
      <c r="BFG11" s="2235"/>
      <c r="BFH11" s="2235"/>
      <c r="BFI11" s="2235"/>
      <c r="BFJ11" s="2235"/>
      <c r="BFK11" s="2235"/>
      <c r="BFL11" s="2235"/>
      <c r="BFM11" s="2235"/>
      <c r="BFN11" s="2235"/>
      <c r="BFO11" s="2235"/>
      <c r="BFP11" s="2235"/>
      <c r="BFQ11" s="2235"/>
      <c r="BFR11" s="2235"/>
      <c r="BFS11" s="2235"/>
      <c r="BFT11" s="2235"/>
      <c r="BFU11" s="2235"/>
      <c r="BFV11" s="2235"/>
      <c r="BFW11" s="2235"/>
      <c r="BFX11" s="2235"/>
      <c r="BFY11" s="2235"/>
      <c r="BFZ11" s="2235"/>
      <c r="BGA11" s="2235"/>
      <c r="BGB11" s="2235"/>
      <c r="BGC11" s="2235"/>
      <c r="BGD11" s="2235"/>
      <c r="BGE11" s="2235"/>
      <c r="BGF11" s="2235"/>
      <c r="BGG11" s="2235"/>
      <c r="BGH11" s="2235"/>
      <c r="BGI11" s="2235"/>
      <c r="BGJ11" s="2235"/>
      <c r="BGK11" s="2235"/>
      <c r="BGL11" s="2235"/>
      <c r="BGM11" s="2235"/>
      <c r="BGN11" s="2235"/>
      <c r="BGO11" s="2235"/>
      <c r="BGP11" s="2235"/>
      <c r="BGQ11" s="2235"/>
      <c r="BGR11" s="2235"/>
      <c r="BGS11" s="2235"/>
      <c r="BGT11" s="2235"/>
      <c r="BGU11" s="2235"/>
      <c r="BGV11" s="2235"/>
      <c r="BGW11" s="2235"/>
      <c r="BGX11" s="2235"/>
      <c r="BGY11" s="2235"/>
      <c r="BGZ11" s="2235"/>
      <c r="BHA11" s="2235"/>
      <c r="BHB11" s="2235"/>
      <c r="BHC11" s="2235"/>
      <c r="BHD11" s="2235"/>
      <c r="BHE11" s="2235"/>
      <c r="BHF11" s="2235"/>
      <c r="BHG11" s="2235"/>
      <c r="BHH11" s="2235"/>
      <c r="BHI11" s="2235"/>
      <c r="BHJ11" s="2235"/>
      <c r="BHK11" s="2235"/>
      <c r="BHL11" s="2235"/>
      <c r="BHM11" s="2235"/>
      <c r="BHN11" s="2235"/>
      <c r="BHO11" s="2235"/>
      <c r="BHP11" s="2235"/>
      <c r="BHQ11" s="2235"/>
      <c r="BHR11" s="2235"/>
      <c r="BHS11" s="2235"/>
      <c r="BHT11" s="2235"/>
      <c r="BHU11" s="2235"/>
      <c r="BHV11" s="2235"/>
      <c r="BHW11" s="2235"/>
      <c r="BHX11" s="2235"/>
      <c r="BHY11" s="2235"/>
      <c r="BHZ11" s="2235"/>
      <c r="BIA11" s="2235"/>
      <c r="BIB11" s="2235"/>
      <c r="BIC11" s="2235"/>
      <c r="BID11" s="2235"/>
      <c r="BIE11" s="2235"/>
      <c r="BIF11" s="2235"/>
      <c r="BIG11" s="2235"/>
      <c r="BIH11" s="2235"/>
      <c r="BII11" s="2235"/>
      <c r="BIJ11" s="2235"/>
      <c r="BIK11" s="2235"/>
      <c r="BIL11" s="2235"/>
      <c r="BIM11" s="2235"/>
      <c r="BIN11" s="2235"/>
      <c r="BIO11" s="2235"/>
      <c r="BIP11" s="2235"/>
      <c r="BIQ11" s="2235"/>
      <c r="BIR11" s="2235"/>
      <c r="BIS11" s="2235"/>
      <c r="BIT11" s="2235"/>
      <c r="BIU11" s="2235"/>
      <c r="BIV11" s="2235"/>
      <c r="BIW11" s="2235"/>
      <c r="BIX11" s="2235"/>
      <c r="BIY11" s="2235"/>
      <c r="BIZ11" s="2235"/>
      <c r="BJA11" s="2235"/>
      <c r="BJB11" s="2235"/>
      <c r="BJC11" s="2235"/>
      <c r="BJD11" s="2235"/>
      <c r="BJE11" s="2235"/>
      <c r="BJF11" s="2235"/>
      <c r="BJG11" s="2235"/>
      <c r="BJH11" s="2235"/>
      <c r="BJI11" s="2235"/>
      <c r="BJJ11" s="2235"/>
      <c r="BJK11" s="2235"/>
      <c r="BJL11" s="2235"/>
      <c r="BJM11" s="2235"/>
      <c r="BJN11" s="2235"/>
      <c r="BJO11" s="2235"/>
      <c r="BJP11" s="2235"/>
      <c r="BJQ11" s="2235"/>
      <c r="BJR11" s="2235"/>
      <c r="BJS11" s="2235"/>
      <c r="BJT11" s="2235"/>
      <c r="BJU11" s="2235"/>
      <c r="BJV11" s="2235"/>
      <c r="BJW11" s="2235"/>
      <c r="BJX11" s="2235"/>
      <c r="BJY11" s="2235"/>
      <c r="BJZ11" s="2235"/>
      <c r="BKA11" s="2235"/>
      <c r="BKB11" s="2235"/>
      <c r="BKC11" s="2235"/>
      <c r="BKD11" s="2235"/>
      <c r="BKE11" s="2235"/>
      <c r="BKF11" s="2235"/>
      <c r="BKG11" s="2235"/>
      <c r="BKH11" s="2235"/>
      <c r="BKI11" s="2235"/>
      <c r="BKJ11" s="2235"/>
      <c r="BKK11" s="2235"/>
      <c r="BKL11" s="2235"/>
      <c r="BKM11" s="2235"/>
      <c r="BKN11" s="2235"/>
      <c r="BKO11" s="2235"/>
      <c r="BKP11" s="2235"/>
      <c r="BKQ11" s="2235"/>
      <c r="BKR11" s="2235"/>
      <c r="BKS11" s="2235"/>
      <c r="BKT11" s="2235"/>
      <c r="BKU11" s="2235"/>
      <c r="BKV11" s="2235"/>
      <c r="BKW11" s="2235"/>
      <c r="BKX11" s="2235"/>
      <c r="BKY11" s="2235"/>
      <c r="BKZ11" s="2235"/>
      <c r="BLA11" s="2235"/>
      <c r="BLB11" s="2235"/>
      <c r="BLC11" s="2235"/>
      <c r="BLD11" s="2235"/>
      <c r="BLE11" s="2235"/>
      <c r="BLF11" s="2235"/>
      <c r="BLG11" s="2235"/>
      <c r="BLH11" s="2235"/>
      <c r="BLI11" s="2235"/>
      <c r="BLJ11" s="2235"/>
      <c r="BLK11" s="2235"/>
      <c r="BLL11" s="2235"/>
      <c r="BLM11" s="2235"/>
      <c r="BLN11" s="2235"/>
      <c r="BLO11" s="2235"/>
      <c r="BLP11" s="2235"/>
      <c r="BLQ11" s="2235"/>
      <c r="BLR11" s="2235"/>
      <c r="BLS11" s="2235"/>
      <c r="BLT11" s="2235"/>
      <c r="BLU11" s="2235"/>
      <c r="BLV11" s="2235"/>
      <c r="BLW11" s="2235"/>
      <c r="BLX11" s="2235"/>
      <c r="BLY11" s="2235"/>
      <c r="BLZ11" s="2235"/>
      <c r="BMA11" s="2235"/>
      <c r="BMB11" s="2235"/>
      <c r="BMC11" s="2235"/>
      <c r="BMD11" s="2235"/>
      <c r="BME11" s="2235"/>
      <c r="BMF11" s="2235"/>
      <c r="BMG11" s="2235"/>
      <c r="BMH11" s="2235"/>
      <c r="BMI11" s="2235"/>
      <c r="BMJ11" s="2235"/>
      <c r="BMK11" s="2235"/>
      <c r="BML11" s="2235"/>
      <c r="BMM11" s="2235"/>
      <c r="BMN11" s="2235"/>
      <c r="BMO11" s="2235"/>
      <c r="BMP11" s="2235"/>
      <c r="BMQ11" s="2235"/>
      <c r="BMR11" s="2235"/>
      <c r="BMS11" s="2235"/>
      <c r="BMT11" s="2235"/>
      <c r="BMU11" s="2235"/>
      <c r="BMV11" s="2235"/>
      <c r="BMW11" s="2235"/>
      <c r="BMX11" s="2235"/>
      <c r="BMY11" s="2235"/>
      <c r="BMZ11" s="2235"/>
      <c r="BNA11" s="2235"/>
      <c r="BNB11" s="2235"/>
      <c r="BNC11" s="2235"/>
      <c r="BND11" s="2235"/>
      <c r="BNE11" s="2235"/>
      <c r="BNF11" s="2235"/>
      <c r="BNG11" s="2235"/>
      <c r="BNH11" s="2235"/>
      <c r="BNI11" s="2235"/>
      <c r="BNJ11" s="2235"/>
      <c r="BNK11" s="2235"/>
      <c r="BNL11" s="2235"/>
      <c r="BNM11" s="2235"/>
      <c r="BNN11" s="2235"/>
      <c r="BNO11" s="2235"/>
      <c r="BNP11" s="2235"/>
      <c r="BNQ11" s="2235"/>
      <c r="BNR11" s="2235"/>
      <c r="BNS11" s="2235"/>
      <c r="BNT11" s="2235"/>
      <c r="BNU11" s="2235"/>
      <c r="BNV11" s="2235"/>
      <c r="BNW11" s="2235"/>
      <c r="BNX11" s="2235"/>
      <c r="BNY11" s="2235"/>
      <c r="BNZ11" s="2235"/>
      <c r="BOA11" s="2235"/>
      <c r="BOB11" s="2235"/>
      <c r="BOC11" s="2235"/>
      <c r="BOD11" s="2235"/>
      <c r="BOE11" s="2235"/>
      <c r="BOF11" s="2235"/>
      <c r="BOG11" s="2235"/>
      <c r="BOH11" s="2235"/>
      <c r="BOI11" s="2235"/>
      <c r="BOJ11" s="2235"/>
      <c r="BOK11" s="2235"/>
      <c r="BOL11" s="2235"/>
      <c r="BOM11" s="2235"/>
      <c r="BON11" s="2235"/>
      <c r="BOO11" s="2235"/>
      <c r="BOP11" s="2235"/>
      <c r="BOQ11" s="2235"/>
      <c r="BOR11" s="2235"/>
      <c r="BOS11" s="2235"/>
      <c r="BOT11" s="2235"/>
      <c r="BOU11" s="2235"/>
      <c r="BOV11" s="2235"/>
      <c r="BOW11" s="2235"/>
      <c r="BOX11" s="2235"/>
      <c r="BOY11" s="2235"/>
      <c r="BOZ11" s="2235"/>
      <c r="BPA11" s="2235"/>
      <c r="BPB11" s="2235"/>
      <c r="BPC11" s="2235"/>
      <c r="BPD11" s="2235"/>
      <c r="BPE11" s="2235"/>
      <c r="BPF11" s="2235"/>
      <c r="BPG11" s="2235"/>
      <c r="BPH11" s="2235"/>
      <c r="BPI11" s="2235"/>
      <c r="BPJ11" s="2235"/>
      <c r="BPK11" s="2235"/>
      <c r="BPL11" s="2235"/>
      <c r="BPM11" s="2235"/>
      <c r="BPN11" s="2235"/>
      <c r="BPO11" s="2235"/>
      <c r="BPP11" s="2235"/>
      <c r="BPQ11" s="2235"/>
      <c r="BPR11" s="2235"/>
      <c r="BPS11" s="2235"/>
      <c r="BPT11" s="2235"/>
      <c r="BPU11" s="2235"/>
      <c r="BPV11" s="2235"/>
      <c r="BPW11" s="2235"/>
      <c r="BPX11" s="2235"/>
      <c r="BPY11" s="2235"/>
      <c r="BPZ11" s="2235"/>
      <c r="BQA11" s="2235"/>
      <c r="BQB11" s="2235"/>
      <c r="BQC11" s="2235"/>
      <c r="BQD11" s="2235"/>
      <c r="BQE11" s="2235"/>
      <c r="BQF11" s="2235"/>
      <c r="BQG11" s="2235"/>
      <c r="BQH11" s="2235"/>
      <c r="BQI11" s="2235"/>
      <c r="BQJ11" s="2235"/>
      <c r="BQK11" s="2235"/>
      <c r="BQL11" s="2235"/>
      <c r="BQM11" s="2235"/>
      <c r="BQN11" s="2235"/>
      <c r="BQO11" s="2235"/>
      <c r="BQP11" s="2235"/>
      <c r="BQQ11" s="2235"/>
      <c r="BQR11" s="2235"/>
      <c r="BQS11" s="2235"/>
      <c r="BQT11" s="2235"/>
      <c r="BQU11" s="2235"/>
      <c r="BQV11" s="2235"/>
      <c r="BQW11" s="2235"/>
      <c r="BQX11" s="2235"/>
      <c r="BQY11" s="2235"/>
      <c r="BQZ11" s="2235"/>
      <c r="BRA11" s="2235"/>
      <c r="BRB11" s="2235"/>
      <c r="BRC11" s="2235"/>
      <c r="BRD11" s="2235"/>
      <c r="BRE11" s="2235"/>
      <c r="BRF11" s="2235"/>
      <c r="BRG11" s="2235"/>
      <c r="BRH11" s="2235"/>
      <c r="BRI11" s="2235"/>
      <c r="BRJ11" s="2235"/>
      <c r="BRK11" s="2235"/>
      <c r="BRL11" s="2235"/>
      <c r="BRM11" s="2235"/>
      <c r="BRN11" s="2235"/>
      <c r="BRO11" s="2235"/>
      <c r="BRP11" s="2235"/>
      <c r="BRQ11" s="2235"/>
      <c r="BRR11" s="2235"/>
      <c r="BRS11" s="2235"/>
      <c r="BRT11" s="2235"/>
      <c r="BRU11" s="2235"/>
      <c r="BRV11" s="2235"/>
      <c r="BRW11" s="2235"/>
      <c r="BRX11" s="2235"/>
      <c r="BRY11" s="2235"/>
      <c r="BRZ11" s="2235"/>
      <c r="BSA11" s="2235"/>
      <c r="BSB11" s="2235"/>
      <c r="BSC11" s="2235"/>
      <c r="BSD11" s="2235"/>
      <c r="BSE11" s="2235"/>
      <c r="BSF11" s="2235"/>
      <c r="BSG11" s="2235"/>
      <c r="BSH11" s="2235"/>
      <c r="BSI11" s="2235"/>
      <c r="BSJ11" s="2235"/>
      <c r="BSK11" s="2235"/>
      <c r="BSL11" s="2235"/>
      <c r="BSM11" s="2235"/>
      <c r="BSN11" s="2235"/>
      <c r="BSO11" s="2235"/>
      <c r="BSP11" s="2235"/>
      <c r="BSQ11" s="2235"/>
      <c r="BSR11" s="2235"/>
      <c r="BSS11" s="2235"/>
      <c r="BST11" s="2235"/>
      <c r="BSU11" s="2235"/>
      <c r="BSV11" s="2235"/>
      <c r="BSW11" s="2235"/>
      <c r="BSX11" s="2235"/>
      <c r="BSY11" s="2235"/>
      <c r="BSZ11" s="2235"/>
      <c r="BTA11" s="2235"/>
      <c r="BTB11" s="2235"/>
      <c r="BTC11" s="2235"/>
      <c r="BTD11" s="2235"/>
      <c r="BTE11" s="2235"/>
      <c r="BTF11" s="2235"/>
      <c r="BTG11" s="2235"/>
      <c r="BTH11" s="2235"/>
      <c r="BTI11" s="2235"/>
      <c r="BTJ11" s="2235"/>
      <c r="BTK11" s="2235"/>
      <c r="BTL11" s="2235"/>
      <c r="BTM11" s="2235"/>
      <c r="BTN11" s="2235"/>
      <c r="BTO11" s="2235"/>
      <c r="BTP11" s="2235"/>
      <c r="BTQ11" s="2235"/>
      <c r="BTR11" s="2235"/>
      <c r="BTS11" s="2235"/>
      <c r="BTT11" s="2235"/>
      <c r="BTU11" s="2235"/>
      <c r="BTV11" s="2235"/>
      <c r="BTW11" s="2235"/>
      <c r="BTX11" s="2235"/>
      <c r="BTY11" s="2235"/>
      <c r="BTZ11" s="2235"/>
      <c r="BUA11" s="2235"/>
      <c r="BUB11" s="2235"/>
      <c r="BUC11" s="2235"/>
      <c r="BUD11" s="2235"/>
      <c r="BUE11" s="2235"/>
      <c r="BUF11" s="2235"/>
      <c r="BUG11" s="2235"/>
      <c r="BUH11" s="2235"/>
      <c r="BUI11" s="2235"/>
      <c r="BUJ11" s="2235"/>
      <c r="BUK11" s="2235"/>
      <c r="BUL11" s="2235"/>
      <c r="BUM11" s="2235"/>
      <c r="BUN11" s="2235"/>
      <c r="BUO11" s="2235"/>
      <c r="BUP11" s="2235"/>
      <c r="BUQ11" s="2235"/>
      <c r="BUR11" s="2235"/>
      <c r="BUS11" s="2235"/>
      <c r="BUT11" s="2235"/>
      <c r="BUU11" s="2235"/>
      <c r="BUV11" s="2235"/>
      <c r="BUW11" s="2235"/>
      <c r="BUX11" s="2235"/>
      <c r="BUY11" s="2235"/>
      <c r="BUZ11" s="2235"/>
      <c r="BVA11" s="2235"/>
      <c r="BVB11" s="2235"/>
      <c r="BVC11" s="2235"/>
      <c r="BVD11" s="2235"/>
      <c r="BVE11" s="2235"/>
      <c r="BVF11" s="2235"/>
      <c r="BVG11" s="2235"/>
      <c r="BVH11" s="2235"/>
      <c r="BVI11" s="2235"/>
      <c r="BVJ11" s="2235"/>
      <c r="BVK11" s="2235"/>
      <c r="BVL11" s="2235"/>
      <c r="BVM11" s="2235"/>
      <c r="BVN11" s="2235"/>
      <c r="BVO11" s="2235"/>
      <c r="BVP11" s="2235"/>
      <c r="BVQ11" s="2235"/>
      <c r="BVR11" s="2235"/>
      <c r="BVS11" s="2235"/>
      <c r="BVT11" s="2235"/>
      <c r="BVU11" s="2235"/>
      <c r="BVV11" s="2235"/>
      <c r="BVW11" s="2235"/>
      <c r="BVX11" s="2235"/>
      <c r="BVY11" s="2235"/>
      <c r="BVZ11" s="2235"/>
      <c r="BWA11" s="2235"/>
      <c r="BWB11" s="2235"/>
      <c r="BWC11" s="2235"/>
      <c r="BWD11" s="2235"/>
      <c r="BWE11" s="2235"/>
      <c r="BWF11" s="2235"/>
      <c r="BWG11" s="2235"/>
      <c r="BWH11" s="2235"/>
      <c r="BWI11" s="2235"/>
      <c r="BWJ11" s="2235"/>
      <c r="BWK11" s="2235"/>
      <c r="BWL11" s="2235"/>
      <c r="BWM11" s="2235"/>
      <c r="BWN11" s="2235"/>
      <c r="BWO11" s="2235"/>
      <c r="BWP11" s="2235"/>
      <c r="BWQ11" s="2235"/>
      <c r="BWR11" s="2235"/>
      <c r="BWS11" s="2235"/>
      <c r="BWT11" s="2235"/>
      <c r="BWU11" s="2235"/>
      <c r="BWV11" s="2235"/>
      <c r="BWW11" s="2235"/>
      <c r="BWX11" s="2235"/>
      <c r="BWY11" s="2235"/>
      <c r="BWZ11" s="2235"/>
      <c r="BXA11" s="2235"/>
      <c r="BXB11" s="2235"/>
      <c r="BXC11" s="2235"/>
      <c r="BXD11" s="2235"/>
      <c r="BXE11" s="2235"/>
      <c r="BXF11" s="2235"/>
      <c r="BXG11" s="2235"/>
      <c r="BXH11" s="2235"/>
      <c r="BXI11" s="2235"/>
      <c r="BXJ11" s="2235"/>
      <c r="BXK11" s="2235"/>
      <c r="BXL11" s="2235"/>
      <c r="BXM11" s="2235"/>
      <c r="BXN11" s="2235"/>
      <c r="BXO11" s="2235"/>
      <c r="BXP11" s="2235"/>
      <c r="BXQ11" s="2235"/>
      <c r="BXR11" s="2235"/>
      <c r="BXS11" s="2235"/>
      <c r="BXT11" s="2235"/>
      <c r="BXU11" s="2235"/>
      <c r="BXV11" s="2235"/>
      <c r="BXW11" s="2235"/>
      <c r="BXX11" s="2235"/>
      <c r="BXY11" s="2235"/>
      <c r="BXZ11" s="2235"/>
      <c r="BYA11" s="2235"/>
      <c r="BYB11" s="2235"/>
      <c r="BYC11" s="2235"/>
      <c r="BYD11" s="2235"/>
      <c r="BYE11" s="2235"/>
      <c r="BYF11" s="2235"/>
      <c r="BYG11" s="2235"/>
      <c r="BYH11" s="2235"/>
      <c r="BYI11" s="2235"/>
      <c r="BYJ11" s="2235"/>
      <c r="BYK11" s="2235"/>
      <c r="BYL11" s="2235"/>
      <c r="BYM11" s="2235"/>
      <c r="BYN11" s="2235"/>
      <c r="BYO11" s="2235"/>
      <c r="BYP11" s="2235"/>
      <c r="BYQ11" s="2235"/>
      <c r="BYR11" s="2235"/>
      <c r="BYS11" s="2235"/>
      <c r="BYT11" s="2235"/>
      <c r="BYU11" s="2235"/>
      <c r="BYV11" s="2235"/>
      <c r="BYW11" s="2235"/>
      <c r="BYX11" s="2235"/>
      <c r="BYY11" s="2235"/>
      <c r="BYZ11" s="2235"/>
      <c r="BZA11" s="2235"/>
      <c r="BZB11" s="2235"/>
      <c r="BZC11" s="2235"/>
      <c r="BZD11" s="2235"/>
      <c r="BZE11" s="2235"/>
      <c r="BZF11" s="2235"/>
      <c r="BZG11" s="2235"/>
      <c r="BZH11" s="2235"/>
      <c r="BZI11" s="2235"/>
      <c r="BZJ11" s="2235"/>
      <c r="BZK11" s="2235"/>
      <c r="BZL11" s="2235"/>
      <c r="BZM11" s="2235"/>
      <c r="BZN11" s="2235"/>
      <c r="BZO11" s="2235"/>
      <c r="BZP11" s="2235"/>
      <c r="BZQ11" s="2235"/>
      <c r="BZR11" s="2235"/>
      <c r="BZS11" s="2235"/>
      <c r="BZT11" s="2235"/>
      <c r="BZU11" s="2235"/>
      <c r="BZV11" s="2235"/>
      <c r="BZW11" s="2235"/>
      <c r="BZX11" s="2235"/>
      <c r="BZY11" s="2235"/>
      <c r="BZZ11" s="2235"/>
      <c r="CAA11" s="2235"/>
      <c r="CAB11" s="2235"/>
      <c r="CAC11" s="2235"/>
      <c r="CAD11" s="2235"/>
      <c r="CAE11" s="2235"/>
      <c r="CAF11" s="2235"/>
      <c r="CAG11" s="2235"/>
      <c r="CAH11" s="2235"/>
      <c r="CAI11" s="2235"/>
      <c r="CAJ11" s="2235"/>
      <c r="CAK11" s="2235"/>
      <c r="CAL11" s="2235"/>
      <c r="CAM11" s="2235"/>
      <c r="CAN11" s="2235"/>
      <c r="CAO11" s="2235"/>
      <c r="CAP11" s="2235"/>
      <c r="CAQ11" s="2235"/>
      <c r="CAR11" s="2235"/>
      <c r="CAS11" s="2235"/>
      <c r="CAT11" s="2235"/>
      <c r="CAU11" s="2235"/>
      <c r="CAV11" s="2235"/>
      <c r="CAW11" s="2235"/>
      <c r="CAX11" s="2235"/>
      <c r="CAY11" s="2235"/>
      <c r="CAZ11" s="2235"/>
      <c r="CBA11" s="2235"/>
      <c r="CBB11" s="2235"/>
      <c r="CBC11" s="2235"/>
      <c r="CBD11" s="2235"/>
      <c r="CBE11" s="2235"/>
      <c r="CBF11" s="2235"/>
      <c r="CBG11" s="2235"/>
      <c r="CBH11" s="2235"/>
      <c r="CBI11" s="2235"/>
      <c r="CBJ11" s="2235"/>
      <c r="CBK11" s="2235"/>
      <c r="CBL11" s="2235"/>
      <c r="CBM11" s="2235"/>
      <c r="CBN11" s="2235"/>
      <c r="CBO11" s="2235"/>
      <c r="CBP11" s="2235"/>
      <c r="CBQ11" s="2235"/>
      <c r="CBR11" s="2235"/>
      <c r="CBS11" s="2235"/>
      <c r="CBT11" s="2235"/>
      <c r="CBU11" s="2235"/>
      <c r="CBV11" s="2235"/>
      <c r="CBW11" s="2235"/>
      <c r="CBX11" s="2235"/>
      <c r="CBY11" s="2235"/>
      <c r="CBZ11" s="2235"/>
      <c r="CCA11" s="2235"/>
      <c r="CCB11" s="2235"/>
      <c r="CCC11" s="2235"/>
      <c r="CCD11" s="2235"/>
      <c r="CCE11" s="2235"/>
      <c r="CCF11" s="2235"/>
      <c r="CCG11" s="2235"/>
      <c r="CCH11" s="2235"/>
      <c r="CCI11" s="2235"/>
      <c r="CCJ11" s="2235"/>
      <c r="CCK11" s="2235"/>
      <c r="CCL11" s="2235"/>
      <c r="CCM11" s="2235"/>
      <c r="CCN11" s="2235"/>
      <c r="CCO11" s="2235"/>
      <c r="CCP11" s="2235"/>
      <c r="CCQ11" s="2235"/>
      <c r="CCR11" s="2235"/>
      <c r="CCS11" s="2235"/>
      <c r="CCT11" s="2235"/>
      <c r="CCU11" s="2235"/>
      <c r="CCV11" s="2235"/>
      <c r="CCW11" s="2235"/>
      <c r="CCX11" s="2235"/>
      <c r="CCY11" s="2235"/>
      <c r="CCZ11" s="2235"/>
      <c r="CDA11" s="2235"/>
      <c r="CDB11" s="2235"/>
      <c r="CDC11" s="2235"/>
      <c r="CDD11" s="2235"/>
      <c r="CDE11" s="2235"/>
      <c r="CDF11" s="2235"/>
      <c r="CDG11" s="2235"/>
      <c r="CDH11" s="2235"/>
      <c r="CDI11" s="2235"/>
      <c r="CDJ11" s="2235"/>
      <c r="CDK11" s="2235"/>
      <c r="CDL11" s="2235"/>
      <c r="CDM11" s="2235"/>
      <c r="CDN11" s="2235"/>
      <c r="CDO11" s="2235"/>
      <c r="CDP11" s="2235"/>
      <c r="CDQ11" s="2235"/>
      <c r="CDR11" s="2235"/>
      <c r="CDS11" s="2235"/>
      <c r="CDT11" s="2235"/>
      <c r="CDU11" s="2235"/>
      <c r="CDV11" s="2235"/>
      <c r="CDW11" s="2235"/>
      <c r="CDX11" s="2235"/>
      <c r="CDY11" s="2235"/>
      <c r="CDZ11" s="2235"/>
      <c r="CEA11" s="2235"/>
      <c r="CEB11" s="2235"/>
      <c r="CEC11" s="2235"/>
      <c r="CED11" s="2235"/>
      <c r="CEE11" s="2235"/>
      <c r="CEF11" s="2235"/>
      <c r="CEG11" s="2235"/>
      <c r="CEH11" s="2235"/>
      <c r="CEI11" s="2235"/>
      <c r="CEJ11" s="2235"/>
      <c r="CEK11" s="2235"/>
      <c r="CEL11" s="2235"/>
      <c r="CEM11" s="2235"/>
      <c r="CEN11" s="2235"/>
      <c r="CEO11" s="2235"/>
      <c r="CEP11" s="2235"/>
      <c r="CEQ11" s="2235"/>
      <c r="CER11" s="2235"/>
      <c r="CES11" s="2235"/>
      <c r="CET11" s="2235"/>
      <c r="CEU11" s="2235"/>
      <c r="CEV11" s="2235"/>
      <c r="CEW11" s="2235"/>
      <c r="CEX11" s="2235"/>
      <c r="CEY11" s="2235"/>
      <c r="CEZ11" s="2235"/>
      <c r="CFA11" s="2235"/>
      <c r="CFB11" s="2235"/>
      <c r="CFC11" s="2235"/>
      <c r="CFD11" s="2235"/>
      <c r="CFE11" s="2235"/>
      <c r="CFF11" s="2235"/>
      <c r="CFG11" s="2235"/>
      <c r="CFH11" s="2235"/>
      <c r="CFI11" s="2235"/>
      <c r="CFJ11" s="2235"/>
      <c r="CFK11" s="2235"/>
      <c r="CFL11" s="2235"/>
      <c r="CFM11" s="2235"/>
      <c r="CFN11" s="2235"/>
      <c r="CFO11" s="2235"/>
      <c r="CFP11" s="2235"/>
      <c r="CFQ11" s="2235"/>
      <c r="CFR11" s="2235"/>
      <c r="CFS11" s="2235"/>
      <c r="CFT11" s="2235"/>
      <c r="CFU11" s="2235"/>
      <c r="CFV11" s="2235"/>
      <c r="CFW11" s="2235"/>
      <c r="CFX11" s="2235"/>
      <c r="CFY11" s="2235"/>
      <c r="CFZ11" s="2235"/>
      <c r="CGA11" s="2235"/>
      <c r="CGB11" s="2235"/>
      <c r="CGC11" s="2235"/>
      <c r="CGD11" s="2235"/>
      <c r="CGE11" s="2235"/>
      <c r="CGF11" s="2235"/>
      <c r="CGG11" s="2235"/>
      <c r="CGH11" s="2235"/>
      <c r="CGI11" s="2235"/>
      <c r="CGJ11" s="2235"/>
      <c r="CGK11" s="2235"/>
      <c r="CGL11" s="2235"/>
      <c r="CGM11" s="2235"/>
      <c r="CGN11" s="2235"/>
      <c r="CGO11" s="2235"/>
      <c r="CGP11" s="2235"/>
      <c r="CGQ11" s="2235"/>
      <c r="CGR11" s="2235"/>
      <c r="CGS11" s="2235"/>
      <c r="CGT11" s="2235"/>
      <c r="CGU11" s="2235"/>
      <c r="CGV11" s="2235"/>
      <c r="CGW11" s="2235"/>
      <c r="CGX11" s="2235"/>
      <c r="CGY11" s="2235"/>
      <c r="CGZ11" s="2235"/>
      <c r="CHA11" s="2235"/>
      <c r="CHB11" s="2235"/>
      <c r="CHC11" s="2235"/>
      <c r="CHD11" s="2235"/>
      <c r="CHE11" s="2235"/>
      <c r="CHF11" s="2235"/>
      <c r="CHG11" s="2235"/>
      <c r="CHH11" s="2235"/>
      <c r="CHI11" s="2235"/>
      <c r="CHJ11" s="2235"/>
      <c r="CHK11" s="2235"/>
      <c r="CHL11" s="2235"/>
      <c r="CHM11" s="2235"/>
      <c r="CHN11" s="2235"/>
      <c r="CHO11" s="2235"/>
      <c r="CHP11" s="2235"/>
      <c r="CHQ11" s="2235"/>
      <c r="CHR11" s="2235"/>
      <c r="CHS11" s="2235"/>
      <c r="CHT11" s="2235"/>
      <c r="CHU11" s="2235"/>
      <c r="CHV11" s="2235"/>
      <c r="CHW11" s="2235"/>
      <c r="CHX11" s="2235"/>
      <c r="CHY11" s="2235"/>
      <c r="CHZ11" s="2235"/>
      <c r="CIA11" s="2235"/>
      <c r="CIB11" s="2235"/>
      <c r="CIC11" s="2235"/>
      <c r="CID11" s="2235"/>
      <c r="CIE11" s="2235"/>
      <c r="CIF11" s="2235"/>
      <c r="CIG11" s="2235"/>
      <c r="CIH11" s="2235"/>
      <c r="CII11" s="2235"/>
      <c r="CIJ11" s="2235"/>
      <c r="CIK11" s="2235"/>
      <c r="CIL11" s="2235"/>
      <c r="CIM11" s="2235"/>
      <c r="CIN11" s="2235"/>
      <c r="CIO11" s="2235"/>
      <c r="CIP11" s="2235"/>
      <c r="CIQ11" s="2235"/>
      <c r="CIR11" s="2235"/>
      <c r="CIS11" s="2235"/>
      <c r="CIT11" s="2235"/>
      <c r="CIU11" s="2235"/>
      <c r="CIV11" s="2235"/>
      <c r="CIW11" s="2235"/>
      <c r="CIX11" s="2235"/>
      <c r="CIY11" s="2235"/>
      <c r="CIZ11" s="2235"/>
      <c r="CJA11" s="2235"/>
      <c r="CJB11" s="2235"/>
      <c r="CJC11" s="2235"/>
      <c r="CJD11" s="2235"/>
      <c r="CJE11" s="2235"/>
      <c r="CJF11" s="2235"/>
      <c r="CJG11" s="2235"/>
      <c r="CJH11" s="2235"/>
      <c r="CJI11" s="2235"/>
      <c r="CJJ11" s="2235"/>
      <c r="CJK11" s="2235"/>
      <c r="CJL11" s="2235"/>
      <c r="CJM11" s="2235"/>
      <c r="CJN11" s="2235"/>
      <c r="CJO11" s="2235"/>
      <c r="CJP11" s="2235"/>
      <c r="CJQ11" s="2235"/>
      <c r="CJR11" s="2235"/>
      <c r="CJS11" s="2235"/>
      <c r="CJT11" s="2235"/>
      <c r="CJU11" s="2235"/>
      <c r="CJV11" s="2235"/>
      <c r="CJW11" s="2235"/>
      <c r="CJX11" s="2235"/>
      <c r="CJY11" s="2235"/>
      <c r="CJZ11" s="2235"/>
      <c r="CKA11" s="2235"/>
      <c r="CKB11" s="2235"/>
      <c r="CKC11" s="2235"/>
      <c r="CKD11" s="2235"/>
      <c r="CKE11" s="2235"/>
      <c r="CKF11" s="2235"/>
      <c r="CKG11" s="2235"/>
      <c r="CKH11" s="2235"/>
      <c r="CKI11" s="2235"/>
      <c r="CKJ11" s="2235"/>
      <c r="CKK11" s="2235"/>
      <c r="CKL11" s="2235"/>
      <c r="CKM11" s="2235"/>
      <c r="CKN11" s="2235"/>
      <c r="CKO11" s="2235"/>
      <c r="CKP11" s="2235"/>
      <c r="CKQ11" s="2235"/>
      <c r="CKR11" s="2235"/>
      <c r="CKS11" s="2235"/>
      <c r="CKT11" s="2235"/>
      <c r="CKU11" s="2235"/>
      <c r="CKV11" s="2235"/>
      <c r="CKW11" s="2235"/>
      <c r="CKX11" s="2235"/>
      <c r="CKY11" s="2235"/>
      <c r="CKZ11" s="2235"/>
      <c r="CLA11" s="2235"/>
      <c r="CLB11" s="2235"/>
      <c r="CLC11" s="2235"/>
      <c r="CLD11" s="2235"/>
      <c r="CLE11" s="2235"/>
      <c r="CLF11" s="2235"/>
      <c r="CLG11" s="2235"/>
      <c r="CLH11" s="2235"/>
      <c r="CLI11" s="2235"/>
      <c r="CLJ11" s="2235"/>
      <c r="CLK11" s="2235"/>
      <c r="CLL11" s="2235"/>
      <c r="CLM11" s="2235"/>
      <c r="CLN11" s="2235"/>
      <c r="CLO11" s="2235"/>
      <c r="CLP11" s="2235"/>
      <c r="CLQ11" s="2235"/>
      <c r="CLR11" s="2235"/>
      <c r="CLS11" s="2235"/>
      <c r="CLT11" s="2235"/>
      <c r="CLU11" s="2235"/>
      <c r="CLV11" s="2235"/>
      <c r="CLW11" s="2235"/>
      <c r="CLX11" s="2235"/>
      <c r="CLY11" s="2235"/>
      <c r="CLZ11" s="2235"/>
      <c r="CMA11" s="2235"/>
      <c r="CMB11" s="2235"/>
      <c r="CMC11" s="2235"/>
      <c r="CMD11" s="2235"/>
      <c r="CME11" s="2235"/>
      <c r="CMF11" s="2235"/>
      <c r="CMG11" s="2235"/>
      <c r="CMH11" s="2235"/>
      <c r="CMI11" s="2235"/>
      <c r="CMJ11" s="2235"/>
      <c r="CMK11" s="2235"/>
      <c r="CML11" s="2235"/>
      <c r="CMM11" s="2235"/>
      <c r="CMN11" s="2235"/>
      <c r="CMO11" s="2235"/>
      <c r="CMP11" s="2235"/>
      <c r="CMQ11" s="2235"/>
      <c r="CMR11" s="2235"/>
      <c r="CMS11" s="2235"/>
      <c r="CMT11" s="2235"/>
      <c r="CMU11" s="2235"/>
      <c r="CMV11" s="2235"/>
      <c r="CMW11" s="2235"/>
      <c r="CMX11" s="2235"/>
      <c r="CMY11" s="2235"/>
      <c r="CMZ11" s="2235"/>
      <c r="CNA11" s="2235"/>
      <c r="CNB11" s="2235"/>
      <c r="CNC11" s="2235"/>
      <c r="CND11" s="2235"/>
      <c r="CNE11" s="2235"/>
      <c r="CNF11" s="2235"/>
      <c r="CNG11" s="2235"/>
      <c r="CNH11" s="2235"/>
      <c r="CNI11" s="2235"/>
      <c r="CNJ11" s="2235"/>
      <c r="CNK11" s="2235"/>
      <c r="CNL11" s="2235"/>
      <c r="CNM11" s="2235"/>
      <c r="CNN11" s="2235"/>
      <c r="CNO11" s="2235"/>
      <c r="CNP11" s="2235"/>
      <c r="CNQ11" s="2235"/>
      <c r="CNR11" s="2235"/>
      <c r="CNS11" s="2235"/>
      <c r="CNT11" s="2235"/>
      <c r="CNU11" s="2235"/>
      <c r="CNV11" s="2235"/>
      <c r="CNW11" s="2235"/>
      <c r="CNX11" s="2235"/>
      <c r="CNY11" s="2235"/>
      <c r="CNZ11" s="2235"/>
      <c r="COA11" s="2235"/>
      <c r="COB11" s="2235"/>
      <c r="COC11" s="2235"/>
      <c r="COD11" s="2235"/>
      <c r="COE11" s="2235"/>
      <c r="COF11" s="2235"/>
      <c r="COG11" s="2235"/>
      <c r="COH11" s="2235"/>
      <c r="COI11" s="2235"/>
      <c r="COJ11" s="2235"/>
      <c r="COK11" s="2235"/>
      <c r="COL11" s="2235"/>
      <c r="COM11" s="2235"/>
      <c r="CON11" s="2235"/>
      <c r="COO11" s="2235"/>
      <c r="COP11" s="2235"/>
      <c r="COQ11" s="2235"/>
      <c r="COR11" s="2235"/>
      <c r="COS11" s="2235"/>
      <c r="COT11" s="2235"/>
      <c r="COU11" s="2235"/>
      <c r="COV11" s="2235"/>
      <c r="COW11" s="2235"/>
      <c r="COX11" s="2235"/>
      <c r="COY11" s="2235"/>
      <c r="COZ11" s="2235"/>
      <c r="CPA11" s="2235"/>
      <c r="CPB11" s="2235"/>
      <c r="CPC11" s="2235"/>
      <c r="CPD11" s="2235"/>
      <c r="CPE11" s="2235"/>
      <c r="CPF11" s="2235"/>
      <c r="CPG11" s="2235"/>
      <c r="CPH11" s="2235"/>
      <c r="CPI11" s="2235"/>
      <c r="CPJ11" s="2235"/>
      <c r="CPK11" s="2235"/>
      <c r="CPL11" s="2235"/>
      <c r="CPM11" s="2235"/>
      <c r="CPN11" s="2235"/>
      <c r="CPO11" s="2235"/>
      <c r="CPP11" s="2235"/>
      <c r="CPQ11" s="2235"/>
      <c r="CPR11" s="2235"/>
      <c r="CPS11" s="2235"/>
      <c r="CPT11" s="2235"/>
      <c r="CPU11" s="2235"/>
      <c r="CPV11" s="2235"/>
      <c r="CPW11" s="2235"/>
      <c r="CPX11" s="2235"/>
      <c r="CPY11" s="2235"/>
      <c r="CPZ11" s="2235"/>
      <c r="CQA11" s="2235"/>
      <c r="CQB11" s="2235"/>
      <c r="CQC11" s="2235"/>
      <c r="CQD11" s="2235"/>
      <c r="CQE11" s="2235"/>
      <c r="CQF11" s="2235"/>
      <c r="CQG11" s="2235"/>
      <c r="CQH11" s="2235"/>
      <c r="CQI11" s="2235"/>
      <c r="CQJ11" s="2235"/>
      <c r="CQK11" s="2235"/>
      <c r="CQL11" s="2235"/>
      <c r="CQM11" s="2235"/>
      <c r="CQN11" s="2235"/>
      <c r="CQO11" s="2235"/>
      <c r="CQP11" s="2235"/>
      <c r="CQQ11" s="2235"/>
      <c r="CQR11" s="2235"/>
      <c r="CQS11" s="2235"/>
      <c r="CQT11" s="2235"/>
      <c r="CQU11" s="2235"/>
      <c r="CQV11" s="2235"/>
      <c r="CQW11" s="2235"/>
      <c r="CQX11" s="2235"/>
      <c r="CQY11" s="2235"/>
      <c r="CQZ11" s="2235"/>
      <c r="CRA11" s="2235"/>
      <c r="CRB11" s="2235"/>
      <c r="CRC11" s="2235"/>
      <c r="CRD11" s="2235"/>
      <c r="CRE11" s="2235"/>
      <c r="CRF11" s="2235"/>
      <c r="CRG11" s="2235"/>
      <c r="CRH11" s="2235"/>
      <c r="CRI11" s="2235"/>
      <c r="CRJ11" s="2235"/>
      <c r="CRK11" s="2235"/>
      <c r="CRL11" s="2235"/>
      <c r="CRM11" s="2235"/>
      <c r="CRN11" s="2235"/>
      <c r="CRO11" s="2235"/>
      <c r="CRP11" s="2235"/>
      <c r="CRQ11" s="2235"/>
      <c r="CRR11" s="2235"/>
      <c r="CRS11" s="2235"/>
      <c r="CRT11" s="2235"/>
      <c r="CRU11" s="2235"/>
      <c r="CRV11" s="2235"/>
      <c r="CRW11" s="2235"/>
      <c r="CRX11" s="2235"/>
      <c r="CRY11" s="2235"/>
      <c r="CRZ11" s="2235"/>
      <c r="CSA11" s="2235"/>
      <c r="CSB11" s="2235"/>
      <c r="CSC11" s="2235"/>
      <c r="CSD11" s="2235"/>
      <c r="CSE11" s="2235"/>
      <c r="CSF11" s="2235"/>
      <c r="CSG11" s="2235"/>
      <c r="CSH11" s="2235"/>
      <c r="CSI11" s="2235"/>
      <c r="CSJ11" s="2235"/>
      <c r="CSK11" s="2235"/>
      <c r="CSL11" s="2235"/>
      <c r="CSM11" s="2235"/>
      <c r="CSN11" s="2235"/>
      <c r="CSO11" s="2235"/>
      <c r="CSP11" s="2235"/>
      <c r="CSQ11" s="2235"/>
      <c r="CSR11" s="2235"/>
      <c r="CSS11" s="2235"/>
      <c r="CST11" s="2235"/>
      <c r="CSU11" s="2235"/>
      <c r="CSV11" s="2235"/>
      <c r="CSW11" s="2235"/>
      <c r="CSX11" s="2235"/>
      <c r="CSY11" s="2235"/>
      <c r="CSZ11" s="2235"/>
      <c r="CTA11" s="2235"/>
      <c r="CTB11" s="2235"/>
      <c r="CTC11" s="2235"/>
      <c r="CTD11" s="2235"/>
      <c r="CTE11" s="2235"/>
      <c r="CTF11" s="2235"/>
      <c r="CTG11" s="2235"/>
      <c r="CTH11" s="2235"/>
      <c r="CTI11" s="2235"/>
      <c r="CTJ11" s="2235"/>
      <c r="CTK11" s="2235"/>
      <c r="CTL11" s="2235"/>
      <c r="CTM11" s="2235"/>
      <c r="CTN11" s="2235"/>
      <c r="CTO11" s="2235"/>
      <c r="CTP11" s="2235"/>
      <c r="CTQ11" s="2235"/>
      <c r="CTR11" s="2235"/>
      <c r="CTS11" s="2235"/>
      <c r="CTT11" s="2235"/>
      <c r="CTU11" s="2235"/>
      <c r="CTV11" s="2235"/>
      <c r="CTW11" s="2235"/>
      <c r="CTX11" s="2235"/>
      <c r="CTY11" s="2235"/>
      <c r="CTZ11" s="2235"/>
      <c r="CUA11" s="2235"/>
      <c r="CUB11" s="2235"/>
      <c r="CUC11" s="2235"/>
      <c r="CUD11" s="2235"/>
      <c r="CUE11" s="2235"/>
      <c r="CUF11" s="2235"/>
      <c r="CUG11" s="2235"/>
      <c r="CUH11" s="2235"/>
      <c r="CUI11" s="2235"/>
      <c r="CUJ11" s="2235"/>
      <c r="CUK11" s="2235"/>
      <c r="CUL11" s="2235"/>
      <c r="CUM11" s="2235"/>
      <c r="CUN11" s="2235"/>
      <c r="CUO11" s="2235"/>
      <c r="CUP11" s="2235"/>
      <c r="CUQ11" s="2235"/>
      <c r="CUR11" s="2235"/>
      <c r="CUS11" s="2235"/>
      <c r="CUT11" s="2235"/>
      <c r="CUU11" s="2235"/>
      <c r="CUV11" s="2235"/>
      <c r="CUW11" s="2235"/>
      <c r="CUX11" s="2235"/>
      <c r="CUY11" s="2235"/>
      <c r="CUZ11" s="2235"/>
      <c r="CVA11" s="2235"/>
      <c r="CVB11" s="2235"/>
      <c r="CVC11" s="2235"/>
      <c r="CVD11" s="2235"/>
      <c r="CVE11" s="2235"/>
      <c r="CVF11" s="2235"/>
      <c r="CVG11" s="2235"/>
      <c r="CVH11" s="2235"/>
      <c r="CVI11" s="2235"/>
      <c r="CVJ11" s="2235"/>
      <c r="CVK11" s="2235"/>
      <c r="CVL11" s="2235"/>
      <c r="CVM11" s="2235"/>
      <c r="CVN11" s="2235"/>
      <c r="CVO11" s="2235"/>
      <c r="CVP11" s="2235"/>
      <c r="CVQ11" s="2235"/>
      <c r="CVR11" s="2235"/>
      <c r="CVS11" s="2235"/>
      <c r="CVT11" s="2235"/>
      <c r="CVU11" s="2235"/>
      <c r="CVV11" s="2235"/>
      <c r="CVW11" s="2235"/>
      <c r="CVX11" s="2235"/>
      <c r="CVY11" s="2235"/>
      <c r="CVZ11" s="2235"/>
      <c r="CWA11" s="2235"/>
      <c r="CWB11" s="2235"/>
      <c r="CWC11" s="2235"/>
      <c r="CWD11" s="2235"/>
      <c r="CWE11" s="2235"/>
      <c r="CWF11" s="2235"/>
      <c r="CWG11" s="2235"/>
      <c r="CWH11" s="2235"/>
      <c r="CWI11" s="2235"/>
      <c r="CWJ11" s="2235"/>
      <c r="CWK11" s="2235"/>
      <c r="CWL11" s="2235"/>
      <c r="CWM11" s="2235"/>
      <c r="CWN11" s="2235"/>
      <c r="CWO11" s="2235"/>
      <c r="CWP11" s="2235"/>
      <c r="CWQ11" s="2235"/>
      <c r="CWR11" s="2235"/>
      <c r="CWS11" s="2235"/>
      <c r="CWT11" s="2235"/>
      <c r="CWU11" s="2235"/>
      <c r="CWV11" s="2235"/>
      <c r="CWW11" s="2235"/>
      <c r="CWX11" s="2235"/>
      <c r="CWY11" s="2235"/>
      <c r="CWZ11" s="2235"/>
      <c r="CXA11" s="2235"/>
      <c r="CXB11" s="2235"/>
      <c r="CXC11" s="2235"/>
      <c r="CXD11" s="2235"/>
      <c r="CXE11" s="2235"/>
      <c r="CXF11" s="2235"/>
      <c r="CXG11" s="2235"/>
      <c r="CXH11" s="2235"/>
      <c r="CXI11" s="2235"/>
      <c r="CXJ11" s="2235"/>
      <c r="CXK11" s="2235"/>
      <c r="CXL11" s="2235"/>
      <c r="CXM11" s="2235"/>
      <c r="CXN11" s="2235"/>
      <c r="CXO11" s="2235"/>
      <c r="CXP11" s="2235"/>
      <c r="CXQ11" s="2235"/>
      <c r="CXR11" s="2235"/>
      <c r="CXS11" s="2235"/>
      <c r="CXT11" s="2235"/>
      <c r="CXU11" s="2235"/>
      <c r="CXV11" s="2235"/>
      <c r="CXW11" s="2235"/>
      <c r="CXX11" s="2235"/>
      <c r="CXY11" s="2235"/>
      <c r="CXZ11" s="2235"/>
      <c r="CYA11" s="2235"/>
      <c r="CYB11" s="2235"/>
      <c r="CYC11" s="2235"/>
      <c r="CYD11" s="2235"/>
      <c r="CYE11" s="2235"/>
      <c r="CYF11" s="2235"/>
      <c r="CYG11" s="2235"/>
      <c r="CYH11" s="2235"/>
      <c r="CYI11" s="2235"/>
      <c r="CYJ11" s="2235"/>
      <c r="CYK11" s="2235"/>
      <c r="CYL11" s="2235"/>
      <c r="CYM11" s="2235"/>
      <c r="CYN11" s="2235"/>
      <c r="CYO11" s="2235"/>
      <c r="CYP11" s="2235"/>
      <c r="CYQ11" s="2235"/>
      <c r="CYR11" s="2235"/>
      <c r="CYS11" s="2235"/>
      <c r="CYT11" s="2235"/>
      <c r="CYU11" s="2235"/>
      <c r="CYV11" s="2235"/>
      <c r="CYW11" s="2235"/>
      <c r="CYX11" s="2235"/>
      <c r="CYY11" s="2235"/>
      <c r="CYZ11" s="2235"/>
      <c r="CZA11" s="2235"/>
      <c r="CZB11" s="2235"/>
      <c r="CZC11" s="2235"/>
      <c r="CZD11" s="2235"/>
      <c r="CZE11" s="2235"/>
      <c r="CZF11" s="2235"/>
      <c r="CZG11" s="2235"/>
      <c r="CZH11" s="2235"/>
      <c r="CZI11" s="2235"/>
      <c r="CZJ11" s="2235"/>
      <c r="CZK11" s="2235"/>
      <c r="CZL11" s="2235"/>
      <c r="CZM11" s="2235"/>
      <c r="CZN11" s="2235"/>
      <c r="CZO11" s="2235"/>
      <c r="CZP11" s="2235"/>
      <c r="CZQ11" s="2235"/>
      <c r="CZR11" s="2235"/>
      <c r="CZS11" s="2235"/>
      <c r="CZT11" s="2235"/>
      <c r="CZU11" s="2235"/>
      <c r="CZV11" s="2235"/>
      <c r="CZW11" s="2235"/>
      <c r="CZX11" s="2235"/>
      <c r="CZY11" s="2235"/>
      <c r="CZZ11" s="2235"/>
      <c r="DAA11" s="2235"/>
      <c r="DAB11" s="2235"/>
      <c r="DAC11" s="2235"/>
      <c r="DAD11" s="2235"/>
      <c r="DAE11" s="2235"/>
      <c r="DAF11" s="2235"/>
      <c r="DAG11" s="2235"/>
      <c r="DAH11" s="2235"/>
      <c r="DAI11" s="2235"/>
      <c r="DAJ11" s="2235"/>
      <c r="DAK11" s="2235"/>
      <c r="DAL11" s="2235"/>
      <c r="DAM11" s="2235"/>
      <c r="DAN11" s="2235"/>
      <c r="DAO11" s="2235"/>
      <c r="DAP11" s="2235"/>
      <c r="DAQ11" s="2235"/>
      <c r="DAR11" s="2235"/>
      <c r="DAS11" s="2235"/>
      <c r="DAT11" s="2235"/>
      <c r="DAU11" s="2235"/>
      <c r="DAV11" s="2235"/>
      <c r="DAW11" s="2235"/>
      <c r="DAX11" s="2235"/>
      <c r="DAY11" s="2235"/>
      <c r="DAZ11" s="2235"/>
      <c r="DBA11" s="2235"/>
      <c r="DBB11" s="2235"/>
      <c r="DBC11" s="2235"/>
      <c r="DBD11" s="2235"/>
      <c r="DBE11" s="2235"/>
      <c r="DBF11" s="2235"/>
      <c r="DBG11" s="2235"/>
      <c r="DBH11" s="2235"/>
      <c r="DBI11" s="2235"/>
      <c r="DBJ11" s="2235"/>
      <c r="DBK11" s="2235"/>
      <c r="DBL11" s="2235"/>
      <c r="DBM11" s="2235"/>
      <c r="DBN11" s="2235"/>
      <c r="DBO11" s="2235"/>
      <c r="DBP11" s="2235"/>
      <c r="DBQ11" s="2235"/>
      <c r="DBR11" s="2235"/>
      <c r="DBS11" s="2235"/>
      <c r="DBT11" s="2235"/>
      <c r="DBU11" s="2235"/>
      <c r="DBV11" s="2235"/>
      <c r="DBW11" s="2235"/>
      <c r="DBX11" s="2235"/>
      <c r="DBY11" s="2235"/>
      <c r="DBZ11" s="2235"/>
      <c r="DCA11" s="2235"/>
      <c r="DCB11" s="2235"/>
      <c r="DCC11" s="2235"/>
      <c r="DCD11" s="2235"/>
      <c r="DCE11" s="2235"/>
      <c r="DCF11" s="2235"/>
      <c r="DCG11" s="2235"/>
      <c r="DCH11" s="2235"/>
      <c r="DCI11" s="2235"/>
      <c r="DCJ11" s="2235"/>
      <c r="DCK11" s="2235"/>
      <c r="DCL11" s="2235"/>
      <c r="DCM11" s="2235"/>
      <c r="DCN11" s="2235"/>
      <c r="DCO11" s="2235"/>
      <c r="DCP11" s="2235"/>
      <c r="DCQ11" s="2235"/>
      <c r="DCR11" s="2235"/>
      <c r="DCS11" s="2235"/>
      <c r="DCT11" s="2235"/>
      <c r="DCU11" s="2235"/>
      <c r="DCV11" s="2235"/>
      <c r="DCW11" s="2235"/>
      <c r="DCX11" s="2235"/>
      <c r="DCY11" s="2235"/>
      <c r="DCZ11" s="2235"/>
      <c r="DDA11" s="2235"/>
      <c r="DDB11" s="2235"/>
      <c r="DDC11" s="2235"/>
      <c r="DDD11" s="2235"/>
      <c r="DDE11" s="2235"/>
      <c r="DDF11" s="2235"/>
      <c r="DDG11" s="2235"/>
      <c r="DDH11" s="2235"/>
      <c r="DDI11" s="2235"/>
      <c r="DDJ11" s="2235"/>
      <c r="DDK11" s="2235"/>
      <c r="DDL11" s="2235"/>
      <c r="DDM11" s="2235"/>
      <c r="DDN11" s="2235"/>
      <c r="DDO11" s="2235"/>
      <c r="DDP11" s="2235"/>
      <c r="DDQ11" s="2235"/>
      <c r="DDR11" s="2235"/>
      <c r="DDS11" s="2235"/>
      <c r="DDT11" s="2235"/>
      <c r="DDU11" s="2235"/>
      <c r="DDV11" s="2235"/>
      <c r="DDW11" s="2235"/>
      <c r="DDX11" s="2235"/>
      <c r="DDY11" s="2235"/>
      <c r="DDZ11" s="2235"/>
      <c r="DEA11" s="2235"/>
      <c r="DEB11" s="2235"/>
      <c r="DEC11" s="2235"/>
      <c r="DED11" s="2235"/>
      <c r="DEE11" s="2235"/>
      <c r="DEF11" s="2235"/>
      <c r="DEG11" s="2235"/>
      <c r="DEH11" s="2235"/>
      <c r="DEI11" s="2235"/>
      <c r="DEJ11" s="2235"/>
      <c r="DEK11" s="2235"/>
      <c r="DEL11" s="2235"/>
      <c r="DEM11" s="2235"/>
      <c r="DEN11" s="2235"/>
      <c r="DEO11" s="2235"/>
      <c r="DEP11" s="2235"/>
      <c r="DEQ11" s="2235"/>
      <c r="DER11" s="2235"/>
      <c r="DES11" s="2235"/>
      <c r="DET11" s="2235"/>
      <c r="DEU11" s="2235"/>
      <c r="DEV11" s="2235"/>
      <c r="DEW11" s="2235"/>
      <c r="DEX11" s="2235"/>
      <c r="DEY11" s="2235"/>
      <c r="DEZ11" s="2235"/>
      <c r="DFA11" s="2235"/>
      <c r="DFB11" s="2235"/>
      <c r="DFC11" s="2235"/>
      <c r="DFD11" s="2235"/>
      <c r="DFE11" s="2235"/>
      <c r="DFF11" s="2235"/>
      <c r="DFG11" s="2235"/>
      <c r="DFH11" s="2235"/>
      <c r="DFI11" s="2235"/>
      <c r="DFJ11" s="2235"/>
      <c r="DFK11" s="2235"/>
      <c r="DFL11" s="2235"/>
      <c r="DFM11" s="2235"/>
      <c r="DFN11" s="2235"/>
      <c r="DFO11" s="2235"/>
      <c r="DFP11" s="2235"/>
      <c r="DFQ11" s="2235"/>
      <c r="DFR11" s="2235"/>
      <c r="DFS11" s="2235"/>
      <c r="DFT11" s="2235"/>
      <c r="DFU11" s="2235"/>
      <c r="DFV11" s="2235"/>
      <c r="DFW11" s="2235"/>
      <c r="DFX11" s="2235"/>
      <c r="DFY11" s="2235"/>
      <c r="DFZ11" s="2235"/>
      <c r="DGA11" s="2235"/>
      <c r="DGB11" s="2235"/>
      <c r="DGC11" s="2235"/>
      <c r="DGD11" s="2235"/>
      <c r="DGE11" s="2235"/>
      <c r="DGF11" s="2235"/>
      <c r="DGG11" s="2235"/>
      <c r="DGH11" s="2235"/>
      <c r="DGI11" s="2235"/>
      <c r="DGJ11" s="2235"/>
      <c r="DGK11" s="2235"/>
      <c r="DGL11" s="2235"/>
      <c r="DGM11" s="2235"/>
      <c r="DGN11" s="2235"/>
      <c r="DGO11" s="2235"/>
      <c r="DGP11" s="2235"/>
      <c r="DGQ11" s="2235"/>
      <c r="DGR11" s="2235"/>
      <c r="DGS11" s="2235"/>
      <c r="DGT11" s="2235"/>
      <c r="DGU11" s="2235"/>
      <c r="DGV11" s="2235"/>
      <c r="DGW11" s="2235"/>
      <c r="DGX11" s="2235"/>
      <c r="DGY11" s="2235"/>
      <c r="DGZ11" s="2235"/>
      <c r="DHA11" s="2235"/>
      <c r="DHB11" s="2235"/>
      <c r="DHC11" s="2235"/>
      <c r="DHD11" s="2235"/>
      <c r="DHE11" s="2235"/>
      <c r="DHF11" s="2235"/>
      <c r="DHG11" s="2235"/>
      <c r="DHH11" s="2235"/>
      <c r="DHI11" s="2235"/>
      <c r="DHJ11" s="2235"/>
      <c r="DHK11" s="2235"/>
      <c r="DHL11" s="2235"/>
      <c r="DHM11" s="2235"/>
      <c r="DHN11" s="2235"/>
      <c r="DHO11" s="2235"/>
      <c r="DHP11" s="2235"/>
      <c r="DHQ11" s="2235"/>
      <c r="DHR11" s="2235"/>
      <c r="DHS11" s="2235"/>
      <c r="DHT11" s="2235"/>
      <c r="DHU11" s="2235"/>
      <c r="DHV11" s="2235"/>
      <c r="DHW11" s="2235"/>
      <c r="DHX11" s="2235"/>
      <c r="DHY11" s="2235"/>
      <c r="DHZ11" s="2235"/>
      <c r="DIA11" s="2235"/>
      <c r="DIB11" s="2235"/>
      <c r="DIC11" s="2235"/>
      <c r="DID11" s="2235"/>
      <c r="DIE11" s="2235"/>
      <c r="DIF11" s="2235"/>
      <c r="DIG11" s="2235"/>
      <c r="DIH11" s="2235"/>
      <c r="DII11" s="2235"/>
      <c r="DIJ11" s="2235"/>
      <c r="DIK11" s="2235"/>
      <c r="DIL11" s="2235"/>
      <c r="DIM11" s="2235"/>
      <c r="DIN11" s="2235"/>
      <c r="DIO11" s="2235"/>
      <c r="DIP11" s="2235"/>
      <c r="DIQ11" s="2235"/>
      <c r="DIR11" s="2235"/>
      <c r="DIS11" s="2235"/>
      <c r="DIT11" s="2235"/>
      <c r="DIU11" s="2235"/>
      <c r="DIV11" s="2235"/>
      <c r="DIW11" s="2235"/>
      <c r="DIX11" s="2235"/>
      <c r="DIY11" s="2235"/>
      <c r="DIZ11" s="2235"/>
      <c r="DJA11" s="2235"/>
      <c r="DJB11" s="2235"/>
      <c r="DJC11" s="2235"/>
      <c r="DJD11" s="2235"/>
      <c r="DJE11" s="2235"/>
      <c r="DJF11" s="2235"/>
      <c r="DJG11" s="2235"/>
      <c r="DJH11" s="2235"/>
      <c r="DJI11" s="2235"/>
      <c r="DJJ11" s="2235"/>
      <c r="DJK11" s="2235"/>
      <c r="DJL11" s="2235"/>
      <c r="DJM11" s="2235"/>
      <c r="DJN11" s="2235"/>
      <c r="DJO11" s="2235"/>
      <c r="DJP11" s="2235"/>
      <c r="DJQ11" s="2235"/>
      <c r="DJR11" s="2235"/>
      <c r="DJS11" s="2235"/>
      <c r="DJT11" s="2235"/>
      <c r="DJU11" s="2235"/>
      <c r="DJV11" s="2235"/>
      <c r="DJW11" s="2235"/>
      <c r="DJX11" s="2235"/>
      <c r="DJY11" s="2235"/>
      <c r="DJZ11" s="2235"/>
      <c r="DKA11" s="2235"/>
      <c r="DKB11" s="2235"/>
      <c r="DKC11" s="2235"/>
      <c r="DKD11" s="2235"/>
      <c r="DKE11" s="2235"/>
      <c r="DKF11" s="2235"/>
      <c r="DKG11" s="2235"/>
      <c r="DKH11" s="2235"/>
      <c r="DKI11" s="2235"/>
      <c r="DKJ11" s="2235"/>
      <c r="DKK11" s="2235"/>
      <c r="DKL11" s="2235"/>
      <c r="DKM11" s="2235"/>
      <c r="DKN11" s="2235"/>
      <c r="DKO11" s="2235"/>
      <c r="DKP11" s="2235"/>
      <c r="DKQ11" s="2235"/>
      <c r="DKR11" s="2235"/>
      <c r="DKS11" s="2235"/>
      <c r="DKT11" s="2235"/>
      <c r="DKU11" s="2235"/>
      <c r="DKV11" s="2235"/>
      <c r="DKW11" s="2235"/>
      <c r="DKX11" s="2235"/>
      <c r="DKY11" s="2235"/>
      <c r="DKZ11" s="2235"/>
      <c r="DLA11" s="2235"/>
      <c r="DLB11" s="2235"/>
      <c r="DLC11" s="2235"/>
      <c r="DLD11" s="2235"/>
      <c r="DLE11" s="2235"/>
      <c r="DLF11" s="2235"/>
      <c r="DLG11" s="2235"/>
      <c r="DLH11" s="2235"/>
      <c r="DLI11" s="2235"/>
      <c r="DLJ11" s="2235"/>
      <c r="DLK11" s="2235"/>
      <c r="DLL11" s="2235"/>
      <c r="DLM11" s="2235"/>
      <c r="DLN11" s="2235"/>
      <c r="DLO11" s="2235"/>
      <c r="DLP11" s="2235"/>
      <c r="DLQ11" s="2235"/>
      <c r="DLR11" s="2235"/>
      <c r="DLS11" s="2235"/>
      <c r="DLT11" s="2235"/>
      <c r="DLU11" s="2235"/>
      <c r="DLV11" s="2235"/>
      <c r="DLW11" s="2235"/>
      <c r="DLX11" s="2235"/>
      <c r="DLY11" s="2235"/>
      <c r="DLZ11" s="2235"/>
      <c r="DMA11" s="2235"/>
      <c r="DMB11" s="2235"/>
      <c r="DMC11" s="2235"/>
      <c r="DMD11" s="2235"/>
      <c r="DME11" s="2235"/>
      <c r="DMF11" s="2235"/>
      <c r="DMG11" s="2235"/>
      <c r="DMH11" s="2235"/>
      <c r="DMI11" s="2235"/>
      <c r="DMJ11" s="2235"/>
      <c r="DMK11" s="2235"/>
      <c r="DML11" s="2235"/>
      <c r="DMM11" s="2235"/>
      <c r="DMN11" s="2235"/>
      <c r="DMO11" s="2235"/>
      <c r="DMP11" s="2235"/>
      <c r="DMQ11" s="2235"/>
      <c r="DMR11" s="2235"/>
      <c r="DMS11" s="2235"/>
      <c r="DMT11" s="2235"/>
      <c r="DMU11" s="2235"/>
      <c r="DMV11" s="2235"/>
      <c r="DMW11" s="2235"/>
      <c r="DMX11" s="2235"/>
      <c r="DMY11" s="2235"/>
      <c r="DMZ11" s="2235"/>
      <c r="DNA11" s="2235"/>
      <c r="DNB11" s="2235"/>
      <c r="DNC11" s="2235"/>
      <c r="DND11" s="2235"/>
      <c r="DNE11" s="2235"/>
      <c r="DNF11" s="2235"/>
      <c r="DNG11" s="2235"/>
      <c r="DNH11" s="2235"/>
      <c r="DNI11" s="2235"/>
      <c r="DNJ11" s="2235"/>
      <c r="DNK11" s="2235"/>
      <c r="DNL11" s="2235"/>
      <c r="DNM11" s="2235"/>
      <c r="DNN11" s="2235"/>
      <c r="DNO11" s="2235"/>
      <c r="DNP11" s="2235"/>
      <c r="DNQ11" s="2235"/>
      <c r="DNR11" s="2235"/>
      <c r="DNS11" s="2235"/>
      <c r="DNT11" s="2235"/>
      <c r="DNU11" s="2235"/>
      <c r="DNV11" s="2235"/>
      <c r="DNW11" s="2235"/>
      <c r="DNX11" s="2235"/>
      <c r="DNY11" s="2235"/>
      <c r="DNZ11" s="2235"/>
      <c r="DOA11" s="2235"/>
      <c r="DOB11" s="2235"/>
      <c r="DOC11" s="2235"/>
      <c r="DOD11" s="2235"/>
      <c r="DOE11" s="2235"/>
      <c r="DOF11" s="2235"/>
      <c r="DOG11" s="2235"/>
      <c r="DOH11" s="2235"/>
      <c r="DOI11" s="2235"/>
      <c r="DOJ11" s="2235"/>
      <c r="DOK11" s="2235"/>
      <c r="DOL11" s="2235"/>
      <c r="DOM11" s="2235"/>
      <c r="DON11" s="2235"/>
      <c r="DOO11" s="2235"/>
      <c r="DOP11" s="2235"/>
      <c r="DOQ11" s="2235"/>
      <c r="DOR11" s="2235"/>
      <c r="DOS11" s="2235"/>
      <c r="DOT11" s="2235"/>
      <c r="DOU11" s="2235"/>
      <c r="DOV11" s="2235"/>
      <c r="DOW11" s="2235"/>
      <c r="DOX11" s="2235"/>
      <c r="DOY11" s="2235"/>
      <c r="DOZ11" s="2235"/>
      <c r="DPA11" s="2235"/>
      <c r="DPB11" s="2235"/>
      <c r="DPC11" s="2235"/>
      <c r="DPD11" s="2235"/>
      <c r="DPE11" s="2235"/>
      <c r="DPF11" s="2235"/>
      <c r="DPG11" s="2235"/>
      <c r="DPH11" s="2235"/>
      <c r="DPI11" s="2235"/>
      <c r="DPJ11" s="2235"/>
      <c r="DPK11" s="2235"/>
      <c r="DPL11" s="2235"/>
      <c r="DPM11" s="2235"/>
      <c r="DPN11" s="2235"/>
      <c r="DPO11" s="2235"/>
      <c r="DPP11" s="2235"/>
      <c r="DPQ11" s="2235"/>
      <c r="DPR11" s="2235"/>
      <c r="DPS11" s="2235"/>
      <c r="DPT11" s="2235"/>
      <c r="DPU11" s="2235"/>
      <c r="DPV11" s="2235"/>
      <c r="DPW11" s="2235"/>
      <c r="DPX11" s="2235"/>
      <c r="DPY11" s="2235"/>
      <c r="DPZ11" s="2235"/>
      <c r="DQA11" s="2235"/>
      <c r="DQB11" s="2235"/>
      <c r="DQC11" s="2235"/>
      <c r="DQD11" s="2235"/>
      <c r="DQE11" s="2235"/>
      <c r="DQF11" s="2235"/>
      <c r="DQG11" s="2235"/>
      <c r="DQH11" s="2235"/>
      <c r="DQI11" s="2235"/>
      <c r="DQJ11" s="2235"/>
      <c r="DQK11" s="2235"/>
      <c r="DQL11" s="2235"/>
      <c r="DQM11" s="2235"/>
      <c r="DQN11" s="2235"/>
      <c r="DQO11" s="2235"/>
      <c r="DQP11" s="2235"/>
      <c r="DQQ11" s="2235"/>
      <c r="DQR11" s="2235"/>
      <c r="DQS11" s="2235"/>
      <c r="DQT11" s="2235"/>
      <c r="DQU11" s="2235"/>
      <c r="DQV11" s="2235"/>
      <c r="DQW11" s="2235"/>
      <c r="DQX11" s="2235"/>
      <c r="DQY11" s="2235"/>
      <c r="DQZ11" s="2235"/>
      <c r="DRA11" s="2235"/>
      <c r="DRB11" s="2235"/>
      <c r="DRC11" s="2235"/>
      <c r="DRD11" s="2235"/>
      <c r="DRE11" s="2235"/>
      <c r="DRF11" s="2235"/>
      <c r="DRG11" s="2235"/>
      <c r="DRH11" s="2235"/>
      <c r="DRI11" s="2235"/>
      <c r="DRJ11" s="2235"/>
      <c r="DRK11" s="2235"/>
      <c r="DRL11" s="2235"/>
      <c r="DRM11" s="2235"/>
      <c r="DRN11" s="2235"/>
      <c r="DRO11" s="2235"/>
      <c r="DRP11" s="2235"/>
      <c r="DRQ11" s="2235"/>
      <c r="DRR11" s="2235"/>
      <c r="DRS11" s="2235"/>
      <c r="DRT11" s="2235"/>
      <c r="DRU11" s="2235"/>
      <c r="DRV11" s="2235"/>
      <c r="DRW11" s="2235"/>
      <c r="DRX11" s="2235"/>
      <c r="DRY11" s="2235"/>
      <c r="DRZ11" s="2235"/>
      <c r="DSA11" s="2235"/>
      <c r="DSB11" s="2235"/>
      <c r="DSC11" s="2235"/>
      <c r="DSD11" s="2235"/>
      <c r="DSE11" s="2235"/>
      <c r="DSF11" s="2235"/>
      <c r="DSG11" s="2235"/>
      <c r="DSH11" s="2235"/>
      <c r="DSI11" s="2235"/>
      <c r="DSJ11" s="2235"/>
      <c r="DSK11" s="2235"/>
      <c r="DSL11" s="2235"/>
      <c r="DSM11" s="2235"/>
      <c r="DSN11" s="2235"/>
      <c r="DSO11" s="2235"/>
      <c r="DSP11" s="2235"/>
      <c r="DSQ11" s="2235"/>
      <c r="DSR11" s="2235"/>
      <c r="DSS11" s="2235"/>
      <c r="DST11" s="2235"/>
      <c r="DSU11" s="2235"/>
      <c r="DSV11" s="2235"/>
      <c r="DSW11" s="2235"/>
      <c r="DSX11" s="2235"/>
      <c r="DSY11" s="2235"/>
      <c r="DSZ11" s="2235"/>
      <c r="DTA11" s="2235"/>
      <c r="DTB11" s="2235"/>
      <c r="DTC11" s="2235"/>
      <c r="DTD11" s="2235"/>
      <c r="DTE11" s="2235"/>
      <c r="DTF11" s="2235"/>
      <c r="DTG11" s="2235"/>
      <c r="DTH11" s="2235"/>
      <c r="DTI11" s="2235"/>
      <c r="DTJ11" s="2235"/>
      <c r="DTK11" s="2235"/>
      <c r="DTL11" s="2235"/>
      <c r="DTM11" s="2235"/>
      <c r="DTN11" s="2235"/>
      <c r="DTO11" s="2235"/>
      <c r="DTP11" s="2235"/>
      <c r="DTQ11" s="2235"/>
      <c r="DTR11" s="2235"/>
      <c r="DTS11" s="2235"/>
      <c r="DTT11" s="2235"/>
      <c r="DTU11" s="2235"/>
      <c r="DTV11" s="2235"/>
      <c r="DTW11" s="2235"/>
      <c r="DTX11" s="2235"/>
      <c r="DTY11" s="2235"/>
      <c r="DTZ11" s="2235"/>
      <c r="DUA11" s="2235"/>
      <c r="DUB11" s="2235"/>
      <c r="DUC11" s="2235"/>
      <c r="DUD11" s="2235"/>
      <c r="DUE11" s="2235"/>
      <c r="DUF11" s="2235"/>
      <c r="DUG11" s="2235"/>
      <c r="DUH11" s="2235"/>
      <c r="DUI11" s="2235"/>
      <c r="DUJ11" s="2235"/>
      <c r="DUK11" s="2235"/>
      <c r="DUL11" s="2235"/>
      <c r="DUM11" s="2235"/>
      <c r="DUN11" s="2235"/>
      <c r="DUO11" s="2235"/>
      <c r="DUP11" s="2235"/>
      <c r="DUQ11" s="2235"/>
      <c r="DUR11" s="2235"/>
      <c r="DUS11" s="2235"/>
      <c r="DUT11" s="2235"/>
      <c r="DUU11" s="2235"/>
      <c r="DUV11" s="2235"/>
      <c r="DUW11" s="2235"/>
      <c r="DUX11" s="2235"/>
      <c r="DUY11" s="2235"/>
      <c r="DUZ11" s="2235"/>
      <c r="DVA11" s="2235"/>
      <c r="DVB11" s="2235"/>
      <c r="DVC11" s="2235"/>
      <c r="DVD11" s="2235"/>
      <c r="DVE11" s="2235"/>
      <c r="DVF11" s="2235"/>
      <c r="DVG11" s="2235"/>
      <c r="DVH11" s="2235"/>
      <c r="DVI11" s="2235"/>
      <c r="DVJ11" s="2235"/>
      <c r="DVK11" s="2235"/>
      <c r="DVL11" s="2235"/>
      <c r="DVM11" s="2235"/>
      <c r="DVN11" s="2235"/>
      <c r="DVO11" s="2235"/>
      <c r="DVP11" s="2235"/>
      <c r="DVQ11" s="2235"/>
      <c r="DVR11" s="2235"/>
      <c r="DVS11" s="2235"/>
      <c r="DVT11" s="2235"/>
      <c r="DVU11" s="2235"/>
      <c r="DVV11" s="2235"/>
      <c r="DVW11" s="2235"/>
      <c r="DVX11" s="2235"/>
      <c r="DVY11" s="2235"/>
      <c r="DVZ11" s="2235"/>
      <c r="DWA11" s="2235"/>
      <c r="DWB11" s="2235"/>
      <c r="DWC11" s="2235"/>
      <c r="DWD11" s="2235"/>
      <c r="DWE11" s="2235"/>
      <c r="DWF11" s="2235"/>
      <c r="DWG11" s="2235"/>
      <c r="DWH11" s="2235"/>
      <c r="DWI11" s="2235"/>
      <c r="DWJ11" s="2235"/>
      <c r="DWK11" s="2235"/>
      <c r="DWL11" s="2235"/>
      <c r="DWM11" s="2235"/>
      <c r="DWN11" s="2235"/>
      <c r="DWO11" s="2235"/>
      <c r="DWP11" s="2235"/>
      <c r="DWQ11" s="2235"/>
      <c r="DWR11" s="2235"/>
      <c r="DWS11" s="2235"/>
      <c r="DWT11" s="2235"/>
      <c r="DWU11" s="2235"/>
      <c r="DWV11" s="2235"/>
      <c r="DWW11" s="2235"/>
      <c r="DWX11" s="2235"/>
      <c r="DWY11" s="2235"/>
      <c r="DWZ11" s="2235"/>
      <c r="DXA11" s="2235"/>
      <c r="DXB11" s="2235"/>
      <c r="DXC11" s="2235"/>
      <c r="DXD11" s="2235"/>
      <c r="DXE11" s="2235"/>
      <c r="DXF11" s="2235"/>
      <c r="DXG11" s="2235"/>
      <c r="DXH11" s="2235"/>
      <c r="DXI11" s="2235"/>
      <c r="DXJ11" s="2235"/>
      <c r="DXK11" s="2235"/>
      <c r="DXL11" s="2235"/>
      <c r="DXM11" s="2235"/>
      <c r="DXN11" s="2235"/>
      <c r="DXO11" s="2235"/>
      <c r="DXP11" s="2235"/>
      <c r="DXQ11" s="2235"/>
      <c r="DXR11" s="2235"/>
      <c r="DXS11" s="2235"/>
      <c r="DXT11" s="2235"/>
      <c r="DXU11" s="2235"/>
      <c r="DXV11" s="2235"/>
      <c r="DXW11" s="2235"/>
      <c r="DXX11" s="2235"/>
      <c r="DXY11" s="2235"/>
      <c r="DXZ11" s="2235"/>
      <c r="DYA11" s="2235"/>
      <c r="DYB11" s="2235"/>
      <c r="DYC11" s="2235"/>
      <c r="DYD11" s="2235"/>
      <c r="DYE11" s="2235"/>
      <c r="DYF11" s="2235"/>
      <c r="DYG11" s="2235"/>
      <c r="DYH11" s="2235"/>
      <c r="DYI11" s="2235"/>
      <c r="DYJ11" s="2235"/>
      <c r="DYK11" s="2235"/>
      <c r="DYL11" s="2235"/>
      <c r="DYM11" s="2235"/>
      <c r="DYN11" s="2235"/>
      <c r="DYO11" s="2235"/>
      <c r="DYP11" s="2235"/>
      <c r="DYQ11" s="2235"/>
      <c r="DYR11" s="2235"/>
      <c r="DYS11" s="2235"/>
      <c r="DYT11" s="2235"/>
      <c r="DYU11" s="2235"/>
      <c r="DYV11" s="2235"/>
      <c r="DYW11" s="2235"/>
      <c r="DYX11" s="2235"/>
      <c r="DYY11" s="2235"/>
      <c r="DYZ11" s="2235"/>
      <c r="DZA11" s="2235"/>
      <c r="DZB11" s="2235"/>
      <c r="DZC11" s="2235"/>
      <c r="DZD11" s="2235"/>
      <c r="DZE11" s="2235"/>
      <c r="DZF11" s="2235"/>
      <c r="DZG11" s="2235"/>
      <c r="DZH11" s="2235"/>
      <c r="DZI11" s="2235"/>
      <c r="DZJ11" s="2235"/>
      <c r="DZK11" s="2235"/>
      <c r="DZL11" s="2235"/>
      <c r="DZM11" s="2235"/>
      <c r="DZN11" s="2235"/>
      <c r="DZO11" s="2235"/>
      <c r="DZP11" s="2235"/>
      <c r="DZQ11" s="2235"/>
      <c r="DZR11" s="2235"/>
      <c r="DZS11" s="2235"/>
      <c r="DZT11" s="2235"/>
      <c r="DZU11" s="2235"/>
      <c r="DZV11" s="2235"/>
      <c r="DZW11" s="2235"/>
      <c r="DZX11" s="2235"/>
      <c r="DZY11" s="2235"/>
      <c r="DZZ11" s="2235"/>
      <c r="EAA11" s="2235"/>
      <c r="EAB11" s="2235"/>
      <c r="EAC11" s="2235"/>
      <c r="EAD11" s="2235"/>
      <c r="EAE11" s="2235"/>
      <c r="EAF11" s="2235"/>
      <c r="EAG11" s="2235"/>
      <c r="EAH11" s="2235"/>
      <c r="EAI11" s="2235"/>
      <c r="EAJ11" s="2235"/>
      <c r="EAK11" s="2235"/>
      <c r="EAL11" s="2235"/>
      <c r="EAM11" s="2235"/>
      <c r="EAN11" s="2235"/>
      <c r="EAO11" s="2235"/>
      <c r="EAP11" s="2235"/>
      <c r="EAQ11" s="2235"/>
      <c r="EAR11" s="2235"/>
      <c r="EAS11" s="2235"/>
      <c r="EAT11" s="2235"/>
      <c r="EAU11" s="2235"/>
      <c r="EAV11" s="2235"/>
      <c r="EAW11" s="2235"/>
      <c r="EAX11" s="2235"/>
      <c r="EAY11" s="2235"/>
      <c r="EAZ11" s="2235"/>
      <c r="EBA11" s="2235"/>
      <c r="EBB11" s="2235"/>
      <c r="EBC11" s="2235"/>
      <c r="EBD11" s="2235"/>
      <c r="EBE11" s="2235"/>
      <c r="EBF11" s="2235"/>
      <c r="EBG11" s="2235"/>
      <c r="EBH11" s="2235"/>
      <c r="EBI11" s="2235"/>
      <c r="EBJ11" s="2235"/>
      <c r="EBK11" s="2235"/>
      <c r="EBL11" s="2235"/>
      <c r="EBM11" s="2235"/>
      <c r="EBN11" s="2235"/>
      <c r="EBO11" s="2235"/>
      <c r="EBP11" s="2235"/>
      <c r="EBQ11" s="2235"/>
      <c r="EBR11" s="2235"/>
      <c r="EBS11" s="2235"/>
      <c r="EBT11" s="2235"/>
      <c r="EBU11" s="2235"/>
      <c r="EBV11" s="2235"/>
      <c r="EBW11" s="2235"/>
      <c r="EBX11" s="2235"/>
      <c r="EBY11" s="2235"/>
      <c r="EBZ11" s="2235"/>
      <c r="ECA11" s="2235"/>
      <c r="ECB11" s="2235"/>
      <c r="ECC11" s="2235"/>
      <c r="ECD11" s="2235"/>
      <c r="ECE11" s="2235"/>
      <c r="ECF11" s="2235"/>
      <c r="ECG11" s="2235"/>
      <c r="ECH11" s="2235"/>
      <c r="ECI11" s="2235"/>
      <c r="ECJ11" s="2235"/>
      <c r="ECK11" s="2235"/>
      <c r="ECL11" s="2235"/>
      <c r="ECM11" s="2235"/>
      <c r="ECN11" s="2235"/>
      <c r="ECO11" s="2235"/>
      <c r="ECP11" s="2235"/>
      <c r="ECQ11" s="2235"/>
      <c r="ECR11" s="2235"/>
      <c r="ECS11" s="2235"/>
      <c r="ECT11" s="2235"/>
      <c r="ECU11" s="2235"/>
      <c r="ECV11" s="2235"/>
      <c r="ECW11" s="2235"/>
      <c r="ECX11" s="2235"/>
      <c r="ECY11" s="2235"/>
      <c r="ECZ11" s="2235"/>
      <c r="EDA11" s="2235"/>
      <c r="EDB11" s="2235"/>
      <c r="EDC11" s="2235"/>
      <c r="EDD11" s="2235"/>
      <c r="EDE11" s="2235"/>
      <c r="EDF11" s="2235"/>
      <c r="EDG11" s="2235"/>
      <c r="EDH11" s="2235"/>
      <c r="EDI11" s="2235"/>
      <c r="EDJ11" s="2235"/>
      <c r="EDK11" s="2235"/>
      <c r="EDL11" s="2235"/>
      <c r="EDM11" s="2235"/>
      <c r="EDN11" s="2235"/>
      <c r="EDO11" s="2235"/>
      <c r="EDP11" s="2235"/>
      <c r="EDQ11" s="2235"/>
      <c r="EDR11" s="2235"/>
      <c r="EDS11" s="2235"/>
      <c r="EDT11" s="2235"/>
      <c r="EDU11" s="2235"/>
      <c r="EDV11" s="2235"/>
      <c r="EDW11" s="2235"/>
      <c r="EDX11" s="2235"/>
      <c r="EDY11" s="2235"/>
      <c r="EDZ11" s="2235"/>
      <c r="EEA11" s="2235"/>
      <c r="EEB11" s="2235"/>
      <c r="EEC11" s="2235"/>
      <c r="EED11" s="2235"/>
      <c r="EEE11" s="2235"/>
      <c r="EEF11" s="2235"/>
      <c r="EEG11" s="2235"/>
      <c r="EEH11" s="2235"/>
      <c r="EEI11" s="2235"/>
      <c r="EEJ11" s="2235"/>
      <c r="EEK11" s="2235"/>
      <c r="EEL11" s="2235"/>
      <c r="EEM11" s="2235"/>
      <c r="EEN11" s="2235"/>
      <c r="EEO11" s="2235"/>
      <c r="EEP11" s="2235"/>
      <c r="EEQ11" s="2235"/>
      <c r="EER11" s="2235"/>
      <c r="EES11" s="2235"/>
      <c r="EET11" s="2235"/>
      <c r="EEU11" s="2235"/>
      <c r="EEV11" s="2235"/>
      <c r="EEW11" s="2235"/>
      <c r="EEX11" s="2235"/>
      <c r="EEY11" s="2235"/>
      <c r="EEZ11" s="2235"/>
      <c r="EFA11" s="2235"/>
      <c r="EFB11" s="2235"/>
      <c r="EFC11" s="2235"/>
      <c r="EFD11" s="2235"/>
      <c r="EFE11" s="2235"/>
      <c r="EFF11" s="2235"/>
      <c r="EFG11" s="2235"/>
      <c r="EFH11" s="2235"/>
      <c r="EFI11" s="2235"/>
      <c r="EFJ11" s="2235"/>
      <c r="EFK11" s="2235"/>
      <c r="EFL11" s="2235"/>
      <c r="EFM11" s="2235"/>
      <c r="EFN11" s="2235"/>
      <c r="EFO11" s="2235"/>
      <c r="EFP11" s="2235"/>
      <c r="EFQ11" s="2235"/>
      <c r="EFR11" s="2235"/>
      <c r="EFS11" s="2235"/>
      <c r="EFT11" s="2235"/>
      <c r="EFU11" s="2235"/>
      <c r="EFV11" s="2235"/>
      <c r="EFW11" s="2235"/>
      <c r="EFX11" s="2235"/>
      <c r="EFY11" s="2235"/>
      <c r="EFZ11" s="2235"/>
      <c r="EGA11" s="2235"/>
      <c r="EGB11" s="2235"/>
      <c r="EGC11" s="2235"/>
      <c r="EGD11" s="2235"/>
      <c r="EGE11" s="2235"/>
      <c r="EGF11" s="2235"/>
      <c r="EGG11" s="2235"/>
      <c r="EGH11" s="2235"/>
      <c r="EGI11" s="2235"/>
      <c r="EGJ11" s="2235"/>
      <c r="EGK11" s="2235"/>
      <c r="EGL11" s="2235"/>
      <c r="EGM11" s="2235"/>
      <c r="EGN11" s="2235"/>
      <c r="EGO11" s="2235"/>
      <c r="EGP11" s="2235"/>
      <c r="EGQ11" s="2235"/>
      <c r="EGR11" s="2235"/>
      <c r="EGS11" s="2235"/>
      <c r="EGT11" s="2235"/>
      <c r="EGU11" s="2235"/>
      <c r="EGV11" s="2235"/>
      <c r="EGW11" s="2235"/>
      <c r="EGX11" s="2235"/>
      <c r="EGY11" s="2235"/>
      <c r="EGZ11" s="2235"/>
      <c r="EHA11" s="2235"/>
      <c r="EHB11" s="2235"/>
      <c r="EHC11" s="2235"/>
      <c r="EHD11" s="2235"/>
      <c r="EHE11" s="2235"/>
      <c r="EHF11" s="2235"/>
      <c r="EHG11" s="2235"/>
      <c r="EHH11" s="2235"/>
      <c r="EHI11" s="2235"/>
      <c r="EHJ11" s="2235"/>
      <c r="EHK11" s="2235"/>
      <c r="EHL11" s="2235"/>
      <c r="EHM11" s="2235"/>
      <c r="EHN11" s="2235"/>
      <c r="EHO11" s="2235"/>
      <c r="EHP11" s="2235"/>
      <c r="EHQ11" s="2235"/>
      <c r="EHR11" s="2235"/>
      <c r="EHS11" s="2235"/>
      <c r="EHT11" s="2235"/>
      <c r="EHU11" s="2235"/>
      <c r="EHV11" s="2235"/>
      <c r="EHW11" s="2235"/>
      <c r="EHX11" s="2235"/>
      <c r="EHY11" s="2235"/>
      <c r="EHZ11" s="2235"/>
      <c r="EIA11" s="2235"/>
      <c r="EIB11" s="2235"/>
      <c r="EIC11" s="2235"/>
      <c r="EID11" s="2235"/>
      <c r="EIE11" s="2235"/>
      <c r="EIF11" s="2235"/>
      <c r="EIG11" s="2235"/>
      <c r="EIH11" s="2235"/>
      <c r="EII11" s="2235"/>
      <c r="EIJ11" s="2235"/>
      <c r="EIK11" s="2235"/>
      <c r="EIL11" s="2235"/>
      <c r="EIM11" s="2235"/>
      <c r="EIN11" s="2235"/>
      <c r="EIO11" s="2235"/>
      <c r="EIP11" s="2235"/>
      <c r="EIQ11" s="2235"/>
      <c r="EIR11" s="2235"/>
      <c r="EIS11" s="2235"/>
      <c r="EIT11" s="2235"/>
      <c r="EIU11" s="2235"/>
      <c r="EIV11" s="2235"/>
      <c r="EIW11" s="2235"/>
      <c r="EIX11" s="2235"/>
      <c r="EIY11" s="2235"/>
      <c r="EIZ11" s="2235"/>
      <c r="EJA11" s="2235"/>
      <c r="EJB11" s="2235"/>
      <c r="EJC11" s="2235"/>
      <c r="EJD11" s="2235"/>
      <c r="EJE11" s="2235"/>
      <c r="EJF11" s="2235"/>
      <c r="EJG11" s="2235"/>
      <c r="EJH11" s="2235"/>
      <c r="EJI11" s="2235"/>
      <c r="EJJ11" s="2235"/>
      <c r="EJK11" s="2235"/>
      <c r="EJL11" s="2235"/>
      <c r="EJM11" s="2235"/>
      <c r="EJN11" s="2235"/>
      <c r="EJO11" s="2235"/>
      <c r="EJP11" s="2235"/>
      <c r="EJQ11" s="2235"/>
      <c r="EJR11" s="2235"/>
      <c r="EJS11" s="2235"/>
      <c r="EJT11" s="2235"/>
      <c r="EJU11" s="2235"/>
      <c r="EJV11" s="2235"/>
      <c r="EJW11" s="2235"/>
      <c r="EJX11" s="2235"/>
      <c r="EJY11" s="2235"/>
      <c r="EJZ11" s="2235"/>
      <c r="EKA11" s="2235"/>
      <c r="EKB11" s="2235"/>
      <c r="EKC11" s="2235"/>
      <c r="EKD11" s="2235"/>
      <c r="EKE11" s="2235"/>
      <c r="EKF11" s="2235"/>
      <c r="EKG11" s="2235"/>
      <c r="EKH11" s="2235"/>
      <c r="EKI11" s="2235"/>
      <c r="EKJ11" s="2235"/>
      <c r="EKK11" s="2235"/>
      <c r="EKL11" s="2235"/>
      <c r="EKM11" s="2235"/>
      <c r="EKN11" s="2235"/>
      <c r="EKO11" s="2235"/>
      <c r="EKP11" s="2235"/>
      <c r="EKQ11" s="2235"/>
      <c r="EKR11" s="2235"/>
      <c r="EKS11" s="2235"/>
      <c r="EKT11" s="2235"/>
      <c r="EKU11" s="2235"/>
      <c r="EKV11" s="2235"/>
      <c r="EKW11" s="2235"/>
      <c r="EKX11" s="2235"/>
      <c r="EKY11" s="2235"/>
      <c r="EKZ11" s="2235"/>
      <c r="ELA11" s="2235"/>
      <c r="ELB11" s="2235"/>
      <c r="ELC11" s="2235"/>
      <c r="ELD11" s="2235"/>
      <c r="ELE11" s="2235"/>
      <c r="ELF11" s="2235"/>
      <c r="ELG11" s="2235"/>
      <c r="ELH11" s="2235"/>
      <c r="ELI11" s="2235"/>
      <c r="ELJ11" s="2235"/>
      <c r="ELK11" s="2235"/>
      <c r="ELL11" s="2235"/>
      <c r="ELM11" s="2235"/>
      <c r="ELN11" s="2235"/>
      <c r="ELO11" s="2235"/>
      <c r="ELP11" s="2235"/>
      <c r="ELQ11" s="2235"/>
      <c r="ELR11" s="2235"/>
      <c r="ELS11" s="2235"/>
      <c r="ELT11" s="2235"/>
      <c r="ELU11" s="2235"/>
      <c r="ELV11" s="2235"/>
      <c r="ELW11" s="2235"/>
      <c r="ELX11" s="2235"/>
      <c r="ELY11" s="2235"/>
      <c r="ELZ11" s="2235"/>
      <c r="EMA11" s="2235"/>
      <c r="EMB11" s="2235"/>
      <c r="EMC11" s="2235"/>
      <c r="EMD11" s="2235"/>
      <c r="EME11" s="2235"/>
      <c r="EMF11" s="2235"/>
      <c r="EMG11" s="2235"/>
      <c r="EMH11" s="2235"/>
      <c r="EMI11" s="2235"/>
      <c r="EMJ11" s="2235"/>
      <c r="EMK11" s="2235"/>
      <c r="EML11" s="2235"/>
      <c r="EMM11" s="2235"/>
      <c r="EMN11" s="2235"/>
      <c r="EMO11" s="2235"/>
      <c r="EMP11" s="2235"/>
      <c r="EMQ11" s="2235"/>
      <c r="EMR11" s="2235"/>
      <c r="EMS11" s="2235"/>
      <c r="EMT11" s="2235"/>
      <c r="EMU11" s="2235"/>
      <c r="EMV11" s="2235"/>
      <c r="EMW11" s="2235"/>
      <c r="EMX11" s="2235"/>
      <c r="EMY11" s="2235"/>
      <c r="EMZ11" s="2235"/>
      <c r="ENA11" s="2235"/>
      <c r="ENB11" s="2235"/>
      <c r="ENC11" s="2235"/>
      <c r="END11" s="2235"/>
      <c r="ENE11" s="2235"/>
      <c r="ENF11" s="2235"/>
      <c r="ENG11" s="2235"/>
      <c r="ENH11" s="2235"/>
      <c r="ENI11" s="2235"/>
      <c r="ENJ11" s="2235"/>
      <c r="ENK11" s="2235"/>
      <c r="ENL11" s="2235"/>
      <c r="ENM11" s="2235"/>
      <c r="ENN11" s="2235"/>
      <c r="ENO11" s="2235"/>
      <c r="ENP11" s="2235"/>
      <c r="ENQ11" s="2235"/>
      <c r="ENR11" s="2235"/>
      <c r="ENS11" s="2235"/>
      <c r="ENT11" s="2235"/>
      <c r="ENU11" s="2235"/>
      <c r="ENV11" s="2235"/>
      <c r="ENW11" s="2235"/>
      <c r="ENX11" s="2235"/>
      <c r="ENY11" s="2235"/>
      <c r="ENZ11" s="2235"/>
      <c r="EOA11" s="2235"/>
      <c r="EOB11" s="2235"/>
      <c r="EOC11" s="2235"/>
      <c r="EOD11" s="2235"/>
      <c r="EOE11" s="2235"/>
      <c r="EOF11" s="2235"/>
      <c r="EOG11" s="2235"/>
      <c r="EOH11" s="2235"/>
      <c r="EOI11" s="2235"/>
      <c r="EOJ11" s="2235"/>
      <c r="EOK11" s="2235"/>
      <c r="EOL11" s="2235"/>
      <c r="EOM11" s="2235"/>
      <c r="EON11" s="2235"/>
      <c r="EOO11" s="2235"/>
      <c r="EOP11" s="2235"/>
      <c r="EOQ11" s="2235"/>
      <c r="EOR11" s="2235"/>
      <c r="EOS11" s="2235"/>
      <c r="EOT11" s="2235"/>
      <c r="EOU11" s="2235"/>
      <c r="EOV11" s="2235"/>
      <c r="EOW11" s="2235"/>
      <c r="EOX11" s="2235"/>
      <c r="EOY11" s="2235"/>
      <c r="EOZ11" s="2235"/>
      <c r="EPA11" s="2235"/>
      <c r="EPB11" s="2235"/>
      <c r="EPC11" s="2235"/>
      <c r="EPD11" s="2235"/>
      <c r="EPE11" s="2235"/>
      <c r="EPF11" s="2235"/>
      <c r="EPG11" s="2235"/>
      <c r="EPH11" s="2235"/>
      <c r="EPI11" s="2235"/>
      <c r="EPJ11" s="2235"/>
      <c r="EPK11" s="2235"/>
      <c r="EPL11" s="2235"/>
      <c r="EPM11" s="2235"/>
      <c r="EPN11" s="2235"/>
      <c r="EPO11" s="2235"/>
      <c r="EPP11" s="2235"/>
      <c r="EPQ11" s="2235"/>
      <c r="EPR11" s="2235"/>
      <c r="EPS11" s="2235"/>
      <c r="EPT11" s="2235"/>
      <c r="EPU11" s="2235"/>
      <c r="EPV11" s="2235"/>
      <c r="EPW11" s="2235"/>
      <c r="EPX11" s="2235"/>
      <c r="EPY11" s="2235"/>
      <c r="EPZ11" s="2235"/>
      <c r="EQA11" s="2235"/>
      <c r="EQB11" s="2235"/>
      <c r="EQC11" s="2235"/>
      <c r="EQD11" s="2235"/>
      <c r="EQE11" s="2235"/>
      <c r="EQF11" s="2235"/>
      <c r="EQG11" s="2235"/>
      <c r="EQH11" s="2235"/>
      <c r="EQI11" s="2235"/>
      <c r="EQJ11" s="2235"/>
      <c r="EQK11" s="2235"/>
      <c r="EQL11" s="2235"/>
      <c r="EQM11" s="2235"/>
      <c r="EQN11" s="2235"/>
      <c r="EQO11" s="2235"/>
      <c r="EQP11" s="2235"/>
      <c r="EQQ11" s="2235"/>
      <c r="EQR11" s="2235"/>
      <c r="EQS11" s="2235"/>
      <c r="EQT11" s="2235"/>
      <c r="EQU11" s="2235"/>
      <c r="EQV11" s="2235"/>
      <c r="EQW11" s="2235"/>
      <c r="EQX11" s="2235"/>
      <c r="EQY11" s="2235"/>
      <c r="EQZ11" s="2235"/>
      <c r="ERA11" s="2235"/>
      <c r="ERB11" s="2235"/>
      <c r="ERC11" s="2235"/>
      <c r="ERD11" s="2235"/>
      <c r="ERE11" s="2235"/>
      <c r="ERF11" s="2235"/>
      <c r="ERG11" s="2235"/>
      <c r="ERH11" s="2235"/>
      <c r="ERI11" s="2235"/>
      <c r="ERJ11" s="2235"/>
      <c r="ERK11" s="2235"/>
      <c r="ERL11" s="2235"/>
      <c r="ERM11" s="2235"/>
      <c r="ERN11" s="2235"/>
      <c r="ERO11" s="2235"/>
      <c r="ERP11" s="2235"/>
      <c r="ERQ11" s="2235"/>
      <c r="ERR11" s="2235"/>
      <c r="ERS11" s="2235"/>
      <c r="ERT11" s="2235"/>
      <c r="ERU11" s="2235"/>
      <c r="ERV11" s="2235"/>
      <c r="ERW11" s="2235"/>
      <c r="ERX11" s="2235"/>
      <c r="ERY11" s="2235"/>
      <c r="ERZ11" s="2235"/>
      <c r="ESA11" s="2235"/>
      <c r="ESB11" s="2235"/>
      <c r="ESC11" s="2235"/>
      <c r="ESD11" s="2235"/>
      <c r="ESE11" s="2235"/>
      <c r="ESF11" s="2235"/>
      <c r="ESG11" s="2235"/>
      <c r="ESH11" s="2235"/>
      <c r="ESI11" s="2235"/>
      <c r="ESJ11" s="2235"/>
      <c r="ESK11" s="2235"/>
      <c r="ESL11" s="2235"/>
      <c r="ESM11" s="2235"/>
      <c r="ESN11" s="2235"/>
      <c r="ESO11" s="2235"/>
      <c r="ESP11" s="2235"/>
      <c r="ESQ11" s="2235"/>
      <c r="ESR11" s="2235"/>
      <c r="ESS11" s="2235"/>
      <c r="EST11" s="2235"/>
      <c r="ESU11" s="2235"/>
      <c r="ESV11" s="2235"/>
      <c r="ESW11" s="2235"/>
      <c r="ESX11" s="2235"/>
      <c r="ESY11" s="2235"/>
      <c r="ESZ11" s="2235"/>
      <c r="ETA11" s="2235"/>
      <c r="ETB11" s="2235"/>
      <c r="ETC11" s="2235"/>
      <c r="ETD11" s="2235"/>
      <c r="ETE11" s="2235"/>
      <c r="ETF11" s="2235"/>
      <c r="ETG11" s="2235"/>
      <c r="ETH11" s="2235"/>
      <c r="ETI11" s="2235"/>
      <c r="ETJ11" s="2235"/>
      <c r="ETK11" s="2235"/>
      <c r="ETL11" s="2235"/>
      <c r="ETM11" s="2235"/>
      <c r="ETN11" s="2235"/>
      <c r="ETO11" s="2235"/>
      <c r="ETP11" s="2235"/>
      <c r="ETQ11" s="2235"/>
      <c r="ETR11" s="2235"/>
      <c r="ETS11" s="2235"/>
      <c r="ETT11" s="2235"/>
      <c r="ETU11" s="2235"/>
      <c r="ETV11" s="2235"/>
      <c r="ETW11" s="2235"/>
      <c r="ETX11" s="2235"/>
      <c r="ETY11" s="2235"/>
      <c r="ETZ11" s="2235"/>
      <c r="EUA11" s="2235"/>
      <c r="EUB11" s="2235"/>
      <c r="EUC11" s="2235"/>
      <c r="EUD11" s="2235"/>
      <c r="EUE11" s="2235"/>
      <c r="EUF11" s="2235"/>
      <c r="EUG11" s="2235"/>
      <c r="EUH11" s="2235"/>
      <c r="EUI11" s="2235"/>
      <c r="EUJ11" s="2235"/>
      <c r="EUK11" s="2235"/>
      <c r="EUL11" s="2235"/>
      <c r="EUM11" s="2235"/>
      <c r="EUN11" s="2235"/>
      <c r="EUO11" s="2235"/>
      <c r="EUP11" s="2235"/>
      <c r="EUQ11" s="2235"/>
      <c r="EUR11" s="2235"/>
      <c r="EUS11" s="2235"/>
      <c r="EUT11" s="2235"/>
      <c r="EUU11" s="2235"/>
      <c r="EUV11" s="2235"/>
      <c r="EUW11" s="2235"/>
      <c r="EUX11" s="2235"/>
      <c r="EUY11" s="2235"/>
      <c r="EUZ11" s="2235"/>
      <c r="EVA11" s="2235"/>
      <c r="EVB11" s="2235"/>
      <c r="EVC11" s="2235"/>
      <c r="EVD11" s="2235"/>
      <c r="EVE11" s="2235"/>
      <c r="EVF11" s="2235"/>
      <c r="EVG11" s="2235"/>
      <c r="EVH11" s="2235"/>
      <c r="EVI11" s="2235"/>
      <c r="EVJ11" s="2235"/>
      <c r="EVK11" s="2235"/>
      <c r="EVL11" s="2235"/>
      <c r="EVM11" s="2235"/>
      <c r="EVN11" s="2235"/>
      <c r="EVO11" s="2235"/>
      <c r="EVP11" s="2235"/>
      <c r="EVQ11" s="2235"/>
      <c r="EVR11" s="2235"/>
      <c r="EVS11" s="2235"/>
      <c r="EVT11" s="2235"/>
      <c r="EVU11" s="2235"/>
      <c r="EVV11" s="2235"/>
      <c r="EVW11" s="2235"/>
      <c r="EVX11" s="2235"/>
      <c r="EVY11" s="2235"/>
      <c r="EVZ11" s="2235"/>
      <c r="EWA11" s="2235"/>
      <c r="EWB11" s="2235"/>
      <c r="EWC11" s="2235"/>
      <c r="EWD11" s="2235"/>
      <c r="EWE11" s="2235"/>
      <c r="EWF11" s="2235"/>
      <c r="EWG11" s="2235"/>
      <c r="EWH11" s="2235"/>
      <c r="EWI11" s="2235"/>
      <c r="EWJ11" s="2235"/>
      <c r="EWK11" s="2235"/>
      <c r="EWL11" s="2235"/>
      <c r="EWM11" s="2235"/>
      <c r="EWN11" s="2235"/>
      <c r="EWO11" s="2235"/>
      <c r="EWP11" s="2235"/>
      <c r="EWQ11" s="2235"/>
      <c r="EWR11" s="2235"/>
      <c r="EWS11" s="2235"/>
      <c r="EWT11" s="2235"/>
      <c r="EWU11" s="2235"/>
      <c r="EWV11" s="2235"/>
      <c r="EWW11" s="2235"/>
      <c r="EWX11" s="2235"/>
      <c r="EWY11" s="2235"/>
      <c r="EWZ11" s="2235"/>
      <c r="EXA11" s="2235"/>
      <c r="EXB11" s="2235"/>
      <c r="EXC11" s="2235"/>
      <c r="EXD11" s="2235"/>
      <c r="EXE11" s="2235"/>
      <c r="EXF11" s="2235"/>
      <c r="EXG11" s="2235"/>
      <c r="EXH11" s="2235"/>
      <c r="EXI11" s="2235"/>
      <c r="EXJ11" s="2235"/>
      <c r="EXK11" s="2235"/>
      <c r="EXL11" s="2235"/>
      <c r="EXM11" s="2235"/>
      <c r="EXN11" s="2235"/>
      <c r="EXO11" s="2235"/>
      <c r="EXP11" s="2235"/>
      <c r="EXQ11" s="2235"/>
      <c r="EXR11" s="2235"/>
      <c r="EXS11" s="2235"/>
      <c r="EXT11" s="2235"/>
      <c r="EXU11" s="2235"/>
      <c r="EXV11" s="2235"/>
      <c r="EXW11" s="2235"/>
      <c r="EXX11" s="2235"/>
      <c r="EXY11" s="2235"/>
      <c r="EXZ11" s="2235"/>
      <c r="EYA11" s="2235"/>
      <c r="EYB11" s="2235"/>
      <c r="EYC11" s="2235"/>
      <c r="EYD11" s="2235"/>
      <c r="EYE11" s="2235"/>
      <c r="EYF11" s="2235"/>
      <c r="EYG11" s="2235"/>
      <c r="EYH11" s="2235"/>
      <c r="EYI11" s="2235"/>
      <c r="EYJ11" s="2235"/>
      <c r="EYK11" s="2235"/>
      <c r="EYL11" s="2235"/>
      <c r="EYM11" s="2235"/>
      <c r="EYN11" s="2235"/>
      <c r="EYO11" s="2235"/>
      <c r="EYP11" s="2235"/>
      <c r="EYQ11" s="2235"/>
      <c r="EYR11" s="2235"/>
      <c r="EYS11" s="2235"/>
      <c r="EYT11" s="2235"/>
      <c r="EYU11" s="2235"/>
      <c r="EYV11" s="2235"/>
      <c r="EYW11" s="2235"/>
      <c r="EYX11" s="2235"/>
      <c r="EYY11" s="2235"/>
      <c r="EYZ11" s="2235"/>
      <c r="EZA11" s="2235"/>
      <c r="EZB11" s="2235"/>
      <c r="EZC11" s="2235"/>
      <c r="EZD11" s="2235"/>
      <c r="EZE11" s="2235"/>
      <c r="EZF11" s="2235"/>
      <c r="EZG11" s="2235"/>
      <c r="EZH11" s="2235"/>
      <c r="EZI11" s="2235"/>
      <c r="EZJ11" s="2235"/>
      <c r="EZK11" s="2235"/>
      <c r="EZL11" s="2235"/>
      <c r="EZM11" s="2235"/>
      <c r="EZN11" s="2235"/>
      <c r="EZO11" s="2235"/>
      <c r="EZP11" s="2235"/>
      <c r="EZQ11" s="2235"/>
      <c r="EZR11" s="2235"/>
      <c r="EZS11" s="2235"/>
      <c r="EZT11" s="2235"/>
      <c r="EZU11" s="2235"/>
      <c r="EZV11" s="2235"/>
      <c r="EZW11" s="2235"/>
      <c r="EZX11" s="2235"/>
      <c r="EZY11" s="2235"/>
      <c r="EZZ11" s="2235"/>
      <c r="FAA11" s="2235"/>
      <c r="FAB11" s="2235"/>
      <c r="FAC11" s="2235"/>
      <c r="FAD11" s="2235"/>
      <c r="FAE11" s="2235"/>
      <c r="FAF11" s="2235"/>
      <c r="FAG11" s="2235"/>
      <c r="FAH11" s="2235"/>
      <c r="FAI11" s="2235"/>
      <c r="FAJ11" s="2235"/>
      <c r="FAK11" s="2235"/>
      <c r="FAL11" s="2235"/>
      <c r="FAM11" s="2235"/>
      <c r="FAN11" s="2235"/>
      <c r="FAO11" s="2235"/>
      <c r="FAP11" s="2235"/>
      <c r="FAQ11" s="2235"/>
      <c r="FAR11" s="2235"/>
      <c r="FAS11" s="2235"/>
      <c r="FAT11" s="2235"/>
      <c r="FAU11" s="2235"/>
      <c r="FAV11" s="2235"/>
      <c r="FAW11" s="2235"/>
      <c r="FAX11" s="2235"/>
      <c r="FAY11" s="2235"/>
      <c r="FAZ11" s="2235"/>
      <c r="FBA11" s="2235"/>
      <c r="FBB11" s="2235"/>
      <c r="FBC11" s="2235"/>
      <c r="FBD11" s="2235"/>
      <c r="FBE11" s="2235"/>
      <c r="FBF11" s="2235"/>
      <c r="FBG11" s="2235"/>
      <c r="FBH11" s="2235"/>
      <c r="FBI11" s="2235"/>
      <c r="FBJ11" s="2235"/>
      <c r="FBK11" s="2235"/>
      <c r="FBL11" s="2235"/>
      <c r="FBM11" s="2235"/>
      <c r="FBN11" s="2235"/>
      <c r="FBO11" s="2235"/>
      <c r="FBP11" s="2235"/>
      <c r="FBQ11" s="2235"/>
      <c r="FBR11" s="2235"/>
      <c r="FBS11" s="2235"/>
      <c r="FBT11" s="2235"/>
      <c r="FBU11" s="2235"/>
      <c r="FBV11" s="2235"/>
      <c r="FBW11" s="2235"/>
      <c r="FBX11" s="2235"/>
      <c r="FBY11" s="2235"/>
      <c r="FBZ11" s="2235"/>
      <c r="FCA11" s="2235"/>
      <c r="FCB11" s="2235"/>
      <c r="FCC11" s="2235"/>
      <c r="FCD11" s="2235"/>
      <c r="FCE11" s="2235"/>
      <c r="FCF11" s="2235"/>
      <c r="FCG11" s="2235"/>
      <c r="FCH11" s="2235"/>
      <c r="FCI11" s="2235"/>
      <c r="FCJ11" s="2235"/>
      <c r="FCK11" s="2235"/>
      <c r="FCL11" s="2235"/>
      <c r="FCM11" s="2235"/>
      <c r="FCN11" s="2235"/>
      <c r="FCO11" s="2235"/>
      <c r="FCP11" s="2235"/>
      <c r="FCQ11" s="2235"/>
      <c r="FCR11" s="2235"/>
      <c r="FCS11" s="2235"/>
      <c r="FCT11" s="2235"/>
      <c r="FCU11" s="2235"/>
      <c r="FCV11" s="2235"/>
      <c r="FCW11" s="2235"/>
      <c r="FCX11" s="2235"/>
      <c r="FCY11" s="2235"/>
      <c r="FCZ11" s="2235"/>
      <c r="FDA11" s="2235"/>
      <c r="FDB11" s="2235"/>
      <c r="FDC11" s="2235"/>
      <c r="FDD11" s="2235"/>
      <c r="FDE11" s="2235"/>
      <c r="FDF11" s="2235"/>
      <c r="FDG11" s="2235"/>
      <c r="FDH11" s="2235"/>
      <c r="FDI11" s="2235"/>
      <c r="FDJ11" s="2235"/>
      <c r="FDK11" s="2235"/>
      <c r="FDL11" s="2235"/>
      <c r="FDM11" s="2235"/>
      <c r="FDN11" s="2235"/>
      <c r="FDO11" s="2235"/>
      <c r="FDP11" s="2235"/>
      <c r="FDQ11" s="2235"/>
      <c r="FDR11" s="2235"/>
      <c r="FDS11" s="2235"/>
      <c r="FDT11" s="2235"/>
      <c r="FDU11" s="2235"/>
      <c r="FDV11" s="2235"/>
      <c r="FDW11" s="2235"/>
      <c r="FDX11" s="2235"/>
      <c r="FDY11" s="2235"/>
      <c r="FDZ11" s="2235"/>
      <c r="FEA11" s="2235"/>
      <c r="FEB11" s="2235"/>
      <c r="FEC11" s="2235"/>
      <c r="FED11" s="2235"/>
      <c r="FEE11" s="2235"/>
      <c r="FEF11" s="2235"/>
      <c r="FEG11" s="2235"/>
      <c r="FEH11" s="2235"/>
      <c r="FEI11" s="2235"/>
      <c r="FEJ11" s="2235"/>
      <c r="FEK11" s="2235"/>
      <c r="FEL11" s="2235"/>
      <c r="FEM11" s="2235"/>
      <c r="FEN11" s="2235"/>
      <c r="FEO11" s="2235"/>
      <c r="FEP11" s="2235"/>
      <c r="FEQ11" s="2235"/>
      <c r="FER11" s="2235"/>
      <c r="FES11" s="2235"/>
      <c r="FET11" s="2235"/>
      <c r="FEU11" s="2235"/>
      <c r="FEV11" s="2235"/>
      <c r="FEW11" s="2235"/>
      <c r="FEX11" s="2235"/>
      <c r="FEY11" s="2235"/>
      <c r="FEZ11" s="2235"/>
      <c r="FFA11" s="2235"/>
      <c r="FFB11" s="2235"/>
      <c r="FFC11" s="2235"/>
      <c r="FFD11" s="2235"/>
      <c r="FFE11" s="2235"/>
      <c r="FFF11" s="2235"/>
      <c r="FFG11" s="2235"/>
      <c r="FFH11" s="2235"/>
      <c r="FFI11" s="2235"/>
      <c r="FFJ11" s="2235"/>
      <c r="FFK11" s="2235"/>
      <c r="FFL11" s="2235"/>
      <c r="FFM11" s="2235"/>
      <c r="FFN11" s="2235"/>
      <c r="FFO11" s="2235"/>
      <c r="FFP11" s="2235"/>
      <c r="FFQ11" s="2235"/>
      <c r="FFR11" s="2235"/>
      <c r="FFS11" s="2235"/>
      <c r="FFT11" s="2235"/>
      <c r="FFU11" s="2235"/>
      <c r="FFV11" s="2235"/>
      <c r="FFW11" s="2235"/>
      <c r="FFX11" s="2235"/>
      <c r="FFY11" s="2235"/>
      <c r="FFZ11" s="2235"/>
      <c r="FGA11" s="2235"/>
      <c r="FGB11" s="2235"/>
      <c r="FGC11" s="2235"/>
      <c r="FGD11" s="2235"/>
      <c r="FGE11" s="2235"/>
      <c r="FGF11" s="2235"/>
      <c r="FGG11" s="2235"/>
      <c r="FGH11" s="2235"/>
      <c r="FGI11" s="2235"/>
      <c r="FGJ11" s="2235"/>
      <c r="FGK11" s="2235"/>
      <c r="FGL11" s="2235"/>
      <c r="FGM11" s="2235"/>
      <c r="FGN11" s="2235"/>
      <c r="FGO11" s="2235"/>
      <c r="FGP11" s="2235"/>
      <c r="FGQ11" s="2235"/>
      <c r="FGR11" s="2235"/>
      <c r="FGS11" s="2235"/>
      <c r="FGT11" s="2235"/>
      <c r="FGU11" s="2235"/>
      <c r="FGV11" s="2235"/>
      <c r="FGW11" s="2235"/>
      <c r="FGX11" s="2235"/>
      <c r="FGY11" s="2235"/>
      <c r="FGZ11" s="2235"/>
      <c r="FHA11" s="2235"/>
      <c r="FHB11" s="2235"/>
      <c r="FHC11" s="2235"/>
      <c r="FHD11" s="2235"/>
      <c r="FHE11" s="2235"/>
      <c r="FHF11" s="2235"/>
      <c r="FHG11" s="2235"/>
      <c r="FHH11" s="2235"/>
      <c r="FHI11" s="2235"/>
      <c r="FHJ11" s="2235"/>
      <c r="FHK11" s="2235"/>
      <c r="FHL11" s="2235"/>
      <c r="FHM11" s="2235"/>
      <c r="FHN11" s="2235"/>
      <c r="FHO11" s="2235"/>
      <c r="FHP11" s="2235"/>
      <c r="FHQ11" s="2235"/>
      <c r="FHR11" s="2235"/>
      <c r="FHS11" s="2235"/>
      <c r="FHT11" s="2235"/>
      <c r="FHU11" s="2235"/>
      <c r="FHV11" s="2235"/>
      <c r="FHW11" s="2235"/>
      <c r="FHX11" s="2235"/>
      <c r="FHY11" s="2235"/>
      <c r="FHZ11" s="2235"/>
      <c r="FIA11" s="2235"/>
      <c r="FIB11" s="2235"/>
      <c r="FIC11" s="2235"/>
      <c r="FID11" s="2235"/>
      <c r="FIE11" s="2235"/>
      <c r="FIF11" s="2235"/>
      <c r="FIG11" s="2235"/>
      <c r="FIH11" s="2235"/>
      <c r="FII11" s="2235"/>
      <c r="FIJ11" s="2235"/>
      <c r="FIK11" s="2235"/>
      <c r="FIL11" s="2235"/>
      <c r="FIM11" s="2235"/>
      <c r="FIN11" s="2235"/>
      <c r="FIO11" s="2235"/>
      <c r="FIP11" s="2235"/>
      <c r="FIQ11" s="2235"/>
      <c r="FIR11" s="2235"/>
      <c r="FIS11" s="2235"/>
      <c r="FIT11" s="2235"/>
      <c r="FIU11" s="2235"/>
      <c r="FIV11" s="2235"/>
      <c r="FIW11" s="2235"/>
      <c r="FIX11" s="2235"/>
      <c r="FIY11" s="2235"/>
      <c r="FIZ11" s="2235"/>
      <c r="FJA11" s="2235"/>
      <c r="FJB11" s="2235"/>
      <c r="FJC11" s="2235"/>
      <c r="FJD11" s="2235"/>
      <c r="FJE11" s="2235"/>
      <c r="FJF11" s="2235"/>
      <c r="FJG11" s="2235"/>
      <c r="FJH11" s="2235"/>
      <c r="FJI11" s="2235"/>
      <c r="FJJ11" s="2235"/>
      <c r="FJK11" s="2235"/>
      <c r="FJL11" s="2235"/>
      <c r="FJM11" s="2235"/>
      <c r="FJN11" s="2235"/>
      <c r="FJO11" s="2235"/>
      <c r="FJP11" s="2235"/>
      <c r="FJQ11" s="2235"/>
      <c r="FJR11" s="2235"/>
      <c r="FJS11" s="2235"/>
      <c r="FJT11" s="2235"/>
      <c r="FJU11" s="2235"/>
      <c r="FJV11" s="2235"/>
      <c r="FJW11" s="2235"/>
      <c r="FJX11" s="2235"/>
      <c r="FJY11" s="2235"/>
      <c r="FJZ11" s="2235"/>
      <c r="FKA11" s="2235"/>
      <c r="FKB11" s="2235"/>
      <c r="FKC11" s="2235"/>
      <c r="FKD11" s="2235"/>
      <c r="FKE11" s="2235"/>
      <c r="FKF11" s="2235"/>
      <c r="FKG11" s="2235"/>
      <c r="FKH11" s="2235"/>
      <c r="FKI11" s="2235"/>
      <c r="FKJ11" s="2235"/>
      <c r="FKK11" s="2235"/>
      <c r="FKL11" s="2235"/>
      <c r="FKM11" s="2235"/>
      <c r="FKN11" s="2235"/>
      <c r="FKO11" s="2235"/>
      <c r="FKP11" s="2235"/>
      <c r="FKQ11" s="2235"/>
      <c r="FKR11" s="2235"/>
      <c r="FKS11" s="2235"/>
      <c r="FKT11" s="2235"/>
      <c r="FKU11" s="2235"/>
      <c r="FKV11" s="2235"/>
      <c r="FKW11" s="2235"/>
      <c r="FKX11" s="2235"/>
      <c r="FKY11" s="2235"/>
      <c r="FKZ11" s="2235"/>
      <c r="FLA11" s="2235"/>
      <c r="FLB11" s="2235"/>
      <c r="FLC11" s="2235"/>
      <c r="FLD11" s="2235"/>
      <c r="FLE11" s="2235"/>
      <c r="FLF11" s="2235"/>
      <c r="FLG11" s="2235"/>
      <c r="FLH11" s="2235"/>
      <c r="FLI11" s="2235"/>
      <c r="FLJ11" s="2235"/>
      <c r="FLK11" s="2235"/>
      <c r="FLL11" s="2235"/>
      <c r="FLM11" s="2235"/>
      <c r="FLN11" s="2235"/>
      <c r="FLO11" s="2235"/>
      <c r="FLP11" s="2235"/>
      <c r="FLQ11" s="2235"/>
      <c r="FLR11" s="2235"/>
      <c r="FLS11" s="2235"/>
      <c r="FLT11" s="2235"/>
      <c r="FLU11" s="2235"/>
      <c r="FLV11" s="2235"/>
      <c r="FLW11" s="2235"/>
      <c r="FLX11" s="2235"/>
      <c r="FLY11" s="2235"/>
      <c r="FLZ11" s="2235"/>
      <c r="FMA11" s="2235"/>
      <c r="FMB11" s="2235"/>
      <c r="FMC11" s="2235"/>
      <c r="FMD11" s="2235"/>
      <c r="FME11" s="2235"/>
      <c r="FMF11" s="2235"/>
      <c r="FMG11" s="2235"/>
      <c r="FMH11" s="2235"/>
      <c r="FMI11" s="2235"/>
      <c r="FMJ11" s="2235"/>
      <c r="FMK11" s="2235"/>
      <c r="FML11" s="2235"/>
      <c r="FMM11" s="2235"/>
      <c r="FMN11" s="2235"/>
      <c r="FMO11" s="2235"/>
      <c r="FMP11" s="2235"/>
      <c r="FMQ11" s="2235"/>
      <c r="FMR11" s="2235"/>
      <c r="FMS11" s="2235"/>
      <c r="FMT11" s="2235"/>
      <c r="FMU11" s="2235"/>
      <c r="FMV11" s="2235"/>
      <c r="FMW11" s="2235"/>
      <c r="FMX11" s="2235"/>
      <c r="FMY11" s="2235"/>
      <c r="FMZ11" s="2235"/>
      <c r="FNA11" s="2235"/>
      <c r="FNB11" s="2235"/>
      <c r="FNC11" s="2235"/>
      <c r="FND11" s="2235"/>
      <c r="FNE11" s="2235"/>
      <c r="FNF11" s="2235"/>
      <c r="FNG11" s="2235"/>
      <c r="FNH11" s="2235"/>
      <c r="FNI11" s="2235"/>
      <c r="FNJ11" s="2235"/>
      <c r="FNK11" s="2235"/>
      <c r="FNL11" s="2235"/>
      <c r="FNM11" s="2235"/>
      <c r="FNN11" s="2235"/>
      <c r="FNO11" s="2235"/>
      <c r="FNP11" s="2235"/>
      <c r="FNQ11" s="2235"/>
      <c r="FNR11" s="2235"/>
      <c r="FNS11" s="2235"/>
      <c r="FNT11" s="2235"/>
      <c r="FNU11" s="2235"/>
      <c r="FNV11" s="2235"/>
      <c r="FNW11" s="2235"/>
      <c r="FNX11" s="2235"/>
      <c r="FNY11" s="2235"/>
      <c r="FNZ11" s="2235"/>
      <c r="FOA11" s="2235"/>
      <c r="FOB11" s="2235"/>
      <c r="FOC11" s="2235"/>
      <c r="FOD11" s="2235"/>
      <c r="FOE11" s="2235"/>
      <c r="FOF11" s="2235"/>
      <c r="FOG11" s="2235"/>
      <c r="FOH11" s="2235"/>
      <c r="FOI11" s="2235"/>
      <c r="FOJ11" s="2235"/>
      <c r="FOK11" s="2235"/>
      <c r="FOL11" s="2235"/>
      <c r="FOM11" s="2235"/>
      <c r="FON11" s="2235"/>
      <c r="FOO11" s="2235"/>
      <c r="FOP11" s="2235"/>
      <c r="FOQ11" s="2235"/>
      <c r="FOR11" s="2235"/>
      <c r="FOS11" s="2235"/>
      <c r="FOT11" s="2235"/>
      <c r="FOU11" s="2235"/>
      <c r="FOV11" s="2235"/>
      <c r="FOW11" s="2235"/>
      <c r="FOX11" s="2235"/>
      <c r="FOY11" s="2235"/>
      <c r="FOZ11" s="2235"/>
      <c r="FPA11" s="2235"/>
      <c r="FPB11" s="2235"/>
      <c r="FPC11" s="2235"/>
      <c r="FPD11" s="2235"/>
      <c r="FPE11" s="2235"/>
      <c r="FPF11" s="2235"/>
      <c r="FPG11" s="2235"/>
      <c r="FPH11" s="2235"/>
      <c r="FPI11" s="2235"/>
      <c r="FPJ11" s="2235"/>
      <c r="FPK11" s="2235"/>
      <c r="FPL11" s="2235"/>
      <c r="FPM11" s="2235"/>
      <c r="FPN11" s="2235"/>
      <c r="FPO11" s="2235"/>
      <c r="FPP11" s="2235"/>
      <c r="FPQ11" s="2235"/>
      <c r="FPR11" s="2235"/>
      <c r="FPS11" s="2235"/>
      <c r="FPT11" s="2235"/>
      <c r="FPU11" s="2235"/>
      <c r="FPV11" s="2235"/>
      <c r="FPW11" s="2235"/>
      <c r="FPX11" s="2235"/>
      <c r="FPY11" s="2235"/>
      <c r="FPZ11" s="2235"/>
      <c r="FQA11" s="2235"/>
      <c r="FQB11" s="2235"/>
      <c r="FQC11" s="2235"/>
      <c r="FQD11" s="2235"/>
      <c r="FQE11" s="2235"/>
      <c r="FQF11" s="2235"/>
      <c r="FQG11" s="2235"/>
      <c r="FQH11" s="2235"/>
      <c r="FQI11" s="2235"/>
      <c r="FQJ11" s="2235"/>
      <c r="FQK11" s="2235"/>
      <c r="FQL11" s="2235"/>
      <c r="FQM11" s="2235"/>
      <c r="FQN11" s="2235"/>
      <c r="FQO11" s="2235"/>
      <c r="FQP11" s="2235"/>
      <c r="FQQ11" s="2235"/>
      <c r="FQR11" s="2235"/>
      <c r="FQS11" s="2235"/>
      <c r="FQT11" s="2235"/>
      <c r="FQU11" s="2235"/>
      <c r="FQV11" s="2235"/>
      <c r="FQW11" s="2235"/>
      <c r="FQX11" s="2235"/>
      <c r="FQY11" s="2235"/>
      <c r="FQZ11" s="2235"/>
      <c r="FRA11" s="2235"/>
      <c r="FRB11" s="2235"/>
      <c r="FRC11" s="2235"/>
      <c r="FRD11" s="2235"/>
      <c r="FRE11" s="2235"/>
      <c r="FRF11" s="2235"/>
      <c r="FRG11" s="2235"/>
      <c r="FRH11" s="2235"/>
      <c r="FRI11" s="2235"/>
      <c r="FRJ11" s="2235"/>
      <c r="FRK11" s="2235"/>
      <c r="FRL11" s="2235"/>
      <c r="FRM11" s="2235"/>
      <c r="FRN11" s="2235"/>
      <c r="FRO11" s="2235"/>
      <c r="FRP11" s="2235"/>
      <c r="FRQ11" s="2235"/>
      <c r="FRR11" s="2235"/>
      <c r="FRS11" s="2235"/>
      <c r="FRT11" s="2235"/>
      <c r="FRU11" s="2235"/>
      <c r="FRV11" s="2235"/>
      <c r="FRW11" s="2235"/>
      <c r="FRX11" s="2235"/>
      <c r="FRY11" s="2235"/>
      <c r="FRZ11" s="2235"/>
      <c r="FSA11" s="2235"/>
      <c r="FSB11" s="2235"/>
      <c r="FSC11" s="2235"/>
      <c r="FSD11" s="2235"/>
      <c r="FSE11" s="2235"/>
      <c r="FSF11" s="2235"/>
      <c r="FSG11" s="2235"/>
      <c r="FSH11" s="2235"/>
      <c r="FSI11" s="2235"/>
      <c r="FSJ11" s="2235"/>
      <c r="FSK11" s="2235"/>
      <c r="FSL11" s="2235"/>
      <c r="FSM11" s="2235"/>
      <c r="FSN11" s="2235"/>
      <c r="FSO11" s="2235"/>
      <c r="FSP11" s="2235"/>
      <c r="FSQ11" s="2235"/>
      <c r="FSR11" s="2235"/>
      <c r="FSS11" s="2235"/>
      <c r="FST11" s="2235"/>
      <c r="FSU11" s="2235"/>
      <c r="FSV11" s="2235"/>
      <c r="FSW11" s="2235"/>
      <c r="FSX11" s="2235"/>
      <c r="FSY11" s="2235"/>
      <c r="FSZ11" s="2235"/>
      <c r="FTA11" s="2235"/>
      <c r="FTB11" s="2235"/>
      <c r="FTC11" s="2235"/>
      <c r="FTD11" s="2235"/>
      <c r="FTE11" s="2235"/>
      <c r="FTF11" s="2235"/>
      <c r="FTG11" s="2235"/>
      <c r="FTH11" s="2235"/>
      <c r="FTI11" s="2235"/>
      <c r="FTJ11" s="2235"/>
      <c r="FTK11" s="2235"/>
      <c r="FTL11" s="2235"/>
      <c r="FTM11" s="2235"/>
      <c r="FTN11" s="2235"/>
      <c r="FTO11" s="2235"/>
      <c r="FTP11" s="2235"/>
      <c r="FTQ11" s="2235"/>
      <c r="FTR11" s="2235"/>
      <c r="FTS11" s="2235"/>
      <c r="FTT11" s="2235"/>
      <c r="FTU11" s="2235"/>
      <c r="FTV11" s="2235"/>
      <c r="FTW11" s="2235"/>
      <c r="FTX11" s="2235"/>
      <c r="FTY11" s="2235"/>
      <c r="FTZ11" s="2235"/>
      <c r="FUA11" s="2235"/>
      <c r="FUB11" s="2235"/>
      <c r="FUC11" s="2235"/>
      <c r="FUD11" s="2235"/>
      <c r="FUE11" s="2235"/>
      <c r="FUF11" s="2235"/>
      <c r="FUG11" s="2235"/>
      <c r="FUH11" s="2235"/>
      <c r="FUI11" s="2235"/>
      <c r="FUJ11" s="2235"/>
      <c r="FUK11" s="2235"/>
      <c r="FUL11" s="2235"/>
      <c r="FUM11" s="2235"/>
      <c r="FUN11" s="2235"/>
      <c r="FUO11" s="2235"/>
      <c r="FUP11" s="2235"/>
      <c r="FUQ11" s="2235"/>
      <c r="FUR11" s="2235"/>
      <c r="FUS11" s="2235"/>
      <c r="FUT11" s="2235"/>
      <c r="FUU11" s="2235"/>
      <c r="FUV11" s="2235"/>
      <c r="FUW11" s="2235"/>
      <c r="FUX11" s="2235"/>
      <c r="FUY11" s="2235"/>
      <c r="FUZ11" s="2235"/>
      <c r="FVA11" s="2235"/>
      <c r="FVB11" s="2235"/>
      <c r="FVC11" s="2235"/>
      <c r="FVD11" s="2235"/>
      <c r="FVE11" s="2235"/>
      <c r="FVF11" s="2235"/>
      <c r="FVG11" s="2235"/>
      <c r="FVH11" s="2235"/>
      <c r="FVI11" s="2235"/>
      <c r="FVJ11" s="2235"/>
      <c r="FVK11" s="2235"/>
      <c r="FVL11" s="2235"/>
      <c r="FVM11" s="2235"/>
      <c r="FVN11" s="2235"/>
      <c r="FVO11" s="2235"/>
      <c r="FVP11" s="2235"/>
      <c r="FVQ11" s="2235"/>
      <c r="FVR11" s="2235"/>
      <c r="FVS11" s="2235"/>
      <c r="FVT11" s="2235"/>
      <c r="FVU11" s="2235"/>
      <c r="FVV11" s="2235"/>
      <c r="FVW11" s="2235"/>
      <c r="FVX11" s="2235"/>
      <c r="FVY11" s="2235"/>
      <c r="FVZ11" s="2235"/>
      <c r="FWA11" s="2235"/>
      <c r="FWB11" s="2235"/>
      <c r="FWC11" s="2235"/>
      <c r="FWD11" s="2235"/>
      <c r="FWE11" s="2235"/>
      <c r="FWF11" s="2235"/>
      <c r="FWG11" s="2235"/>
      <c r="FWH11" s="2235"/>
      <c r="FWI11" s="2235"/>
      <c r="FWJ11" s="2235"/>
      <c r="FWK11" s="2235"/>
      <c r="FWL11" s="2235"/>
      <c r="FWM11" s="2235"/>
      <c r="FWN11" s="2235"/>
      <c r="FWO11" s="2235"/>
      <c r="FWP11" s="2235"/>
      <c r="FWQ11" s="2235"/>
      <c r="FWR11" s="2235"/>
      <c r="FWS11" s="2235"/>
      <c r="FWT11" s="2235"/>
      <c r="FWU11" s="2235"/>
      <c r="FWV11" s="2235"/>
      <c r="FWW11" s="2235"/>
      <c r="FWX11" s="2235"/>
      <c r="FWY11" s="2235"/>
      <c r="FWZ11" s="2235"/>
      <c r="FXA11" s="2235"/>
      <c r="FXB11" s="2235"/>
      <c r="FXC11" s="2235"/>
      <c r="FXD11" s="2235"/>
      <c r="FXE11" s="2235"/>
      <c r="FXF11" s="2235"/>
      <c r="FXG11" s="2235"/>
      <c r="FXH11" s="2235"/>
      <c r="FXI11" s="2235"/>
      <c r="FXJ11" s="2235"/>
      <c r="FXK11" s="2235"/>
      <c r="FXL11" s="2235"/>
      <c r="FXM11" s="2235"/>
      <c r="FXN11" s="2235"/>
      <c r="FXO11" s="2235"/>
      <c r="FXP11" s="2235"/>
      <c r="FXQ11" s="2235"/>
      <c r="FXR11" s="2235"/>
      <c r="FXS11" s="2235"/>
      <c r="FXT11" s="2235"/>
      <c r="FXU11" s="2235"/>
      <c r="FXV11" s="2235"/>
      <c r="FXW11" s="2235"/>
      <c r="FXX11" s="2235"/>
      <c r="FXY11" s="2235"/>
      <c r="FXZ11" s="2235"/>
      <c r="FYA11" s="2235"/>
      <c r="FYB11" s="2235"/>
      <c r="FYC11" s="2235"/>
      <c r="FYD11" s="2235"/>
      <c r="FYE11" s="2235"/>
      <c r="FYF11" s="2235"/>
      <c r="FYG11" s="2235"/>
      <c r="FYH11" s="2235"/>
      <c r="FYI11" s="2235"/>
      <c r="FYJ11" s="2235"/>
      <c r="FYK11" s="2235"/>
      <c r="FYL11" s="2235"/>
      <c r="FYM11" s="2235"/>
      <c r="FYN11" s="2235"/>
      <c r="FYO11" s="2235"/>
      <c r="FYP11" s="2235"/>
      <c r="FYQ11" s="2235"/>
      <c r="FYR11" s="2235"/>
      <c r="FYS11" s="2235"/>
      <c r="FYT11" s="2235"/>
      <c r="FYU11" s="2235"/>
      <c r="FYV11" s="2235"/>
      <c r="FYW11" s="2235"/>
      <c r="FYX11" s="2235"/>
      <c r="FYY11" s="2235"/>
      <c r="FYZ11" s="2235"/>
      <c r="FZA11" s="2235"/>
      <c r="FZB11" s="2235"/>
      <c r="FZC11" s="2235"/>
      <c r="FZD11" s="2235"/>
      <c r="FZE11" s="2235"/>
      <c r="FZF11" s="2235"/>
      <c r="FZG11" s="2235"/>
      <c r="FZH11" s="2235"/>
      <c r="FZI11" s="2235"/>
      <c r="FZJ11" s="2235"/>
      <c r="FZK11" s="2235"/>
      <c r="FZL11" s="2235"/>
      <c r="FZM11" s="2235"/>
      <c r="FZN11" s="2235"/>
      <c r="FZO11" s="2235"/>
      <c r="FZP11" s="2235"/>
      <c r="FZQ11" s="2235"/>
      <c r="FZR11" s="2235"/>
      <c r="FZS11" s="2235"/>
      <c r="FZT11" s="2235"/>
      <c r="FZU11" s="2235"/>
      <c r="FZV11" s="2235"/>
      <c r="FZW11" s="2235"/>
      <c r="FZX11" s="2235"/>
      <c r="FZY11" s="2235"/>
      <c r="FZZ11" s="2235"/>
      <c r="GAA11" s="2235"/>
      <c r="GAB11" s="2235"/>
      <c r="GAC11" s="2235"/>
      <c r="GAD11" s="2235"/>
      <c r="GAE11" s="2235"/>
      <c r="GAF11" s="2235"/>
      <c r="GAG11" s="2235"/>
      <c r="GAH11" s="2235"/>
      <c r="GAI11" s="2235"/>
      <c r="GAJ11" s="2235"/>
      <c r="GAK11" s="2235"/>
      <c r="GAL11" s="2235"/>
      <c r="GAM11" s="2235"/>
      <c r="GAN11" s="2235"/>
      <c r="GAO11" s="2235"/>
      <c r="GAP11" s="2235"/>
      <c r="GAQ11" s="2235"/>
      <c r="GAR11" s="2235"/>
      <c r="GAS11" s="2235"/>
      <c r="GAT11" s="2235"/>
      <c r="GAU11" s="2235"/>
      <c r="GAV11" s="2235"/>
      <c r="GAW11" s="2235"/>
      <c r="GAX11" s="2235"/>
      <c r="GAY11" s="2235"/>
      <c r="GAZ11" s="2235"/>
      <c r="GBA11" s="2235"/>
      <c r="GBB11" s="2235"/>
      <c r="GBC11" s="2235"/>
      <c r="GBD11" s="2235"/>
      <c r="GBE11" s="2235"/>
      <c r="GBF11" s="2235"/>
      <c r="GBG11" s="2235"/>
      <c r="GBH11" s="2235"/>
      <c r="GBI11" s="2235"/>
      <c r="GBJ11" s="2235"/>
      <c r="GBK11" s="2235"/>
      <c r="GBL11" s="2235"/>
      <c r="GBM11" s="2235"/>
      <c r="GBN11" s="2235"/>
      <c r="GBO11" s="2235"/>
      <c r="GBP11" s="2235"/>
      <c r="GBQ11" s="2235"/>
      <c r="GBR11" s="2235"/>
      <c r="GBS11" s="2235"/>
      <c r="GBT11" s="2235"/>
      <c r="GBU11" s="2235"/>
      <c r="GBV11" s="2235"/>
      <c r="GBW11" s="2235"/>
      <c r="GBX11" s="2235"/>
      <c r="GBY11" s="2235"/>
      <c r="GBZ11" s="2235"/>
      <c r="GCA11" s="2235"/>
      <c r="GCB11" s="2235"/>
      <c r="GCC11" s="2235"/>
      <c r="GCD11" s="2235"/>
      <c r="GCE11" s="2235"/>
      <c r="GCF11" s="2235"/>
      <c r="GCG11" s="2235"/>
      <c r="GCH11" s="2235"/>
      <c r="GCI11" s="2235"/>
      <c r="GCJ11" s="2235"/>
      <c r="GCK11" s="2235"/>
      <c r="GCL11" s="2235"/>
      <c r="GCM11" s="2235"/>
      <c r="GCN11" s="2235"/>
      <c r="GCO11" s="2235"/>
      <c r="GCP11" s="2235"/>
      <c r="GCQ11" s="2235"/>
      <c r="GCR11" s="2235"/>
      <c r="GCS11" s="2235"/>
      <c r="GCT11" s="2235"/>
      <c r="GCU11" s="2235"/>
      <c r="GCV11" s="2235"/>
      <c r="GCW11" s="2235"/>
      <c r="GCX11" s="2235"/>
      <c r="GCY11" s="2235"/>
      <c r="GCZ11" s="2235"/>
      <c r="GDA11" s="2235"/>
      <c r="GDB11" s="2235"/>
      <c r="GDC11" s="2235"/>
      <c r="GDD11" s="2235"/>
      <c r="GDE11" s="2235"/>
      <c r="GDF11" s="2235"/>
      <c r="GDG11" s="2235"/>
      <c r="GDH11" s="2235"/>
      <c r="GDI11" s="2235"/>
      <c r="GDJ11" s="2235"/>
      <c r="GDK11" s="2235"/>
      <c r="GDL11" s="2235"/>
      <c r="GDM11" s="2235"/>
      <c r="GDN11" s="2235"/>
      <c r="GDO11" s="2235"/>
      <c r="GDP11" s="2235"/>
      <c r="GDQ11" s="2235"/>
      <c r="GDR11" s="2235"/>
      <c r="GDS11" s="2235"/>
      <c r="GDT11" s="2235"/>
      <c r="GDU11" s="2235"/>
      <c r="GDV11" s="2235"/>
      <c r="GDW11" s="2235"/>
      <c r="GDX11" s="2235"/>
      <c r="GDY11" s="2235"/>
      <c r="GDZ11" s="2235"/>
      <c r="GEA11" s="2235"/>
      <c r="GEB11" s="2235"/>
      <c r="GEC11" s="2235"/>
      <c r="GED11" s="2235"/>
      <c r="GEE11" s="2235"/>
      <c r="GEF11" s="2235"/>
      <c r="GEG11" s="2235"/>
      <c r="GEH11" s="2235"/>
      <c r="GEI11" s="2235"/>
      <c r="GEJ11" s="2235"/>
      <c r="GEK11" s="2235"/>
      <c r="GEL11" s="2235"/>
      <c r="GEM11" s="2235"/>
      <c r="GEN11" s="2235"/>
      <c r="GEO11" s="2235"/>
      <c r="GEP11" s="2235"/>
      <c r="GEQ11" s="2235"/>
      <c r="GER11" s="2235"/>
      <c r="GES11" s="2235"/>
      <c r="GET11" s="2235"/>
      <c r="GEU11" s="2235"/>
      <c r="GEV11" s="2235"/>
      <c r="GEW11" s="2235"/>
      <c r="GEX11" s="2235"/>
      <c r="GEY11" s="2235"/>
      <c r="GEZ11" s="2235"/>
      <c r="GFA11" s="2235"/>
      <c r="GFB11" s="2235"/>
      <c r="GFC11" s="2235"/>
      <c r="GFD11" s="2235"/>
      <c r="GFE11" s="2235"/>
      <c r="GFF11" s="2235"/>
      <c r="GFG11" s="2235"/>
      <c r="GFH11" s="2235"/>
      <c r="GFI11" s="2235"/>
      <c r="GFJ11" s="2235"/>
      <c r="GFK11" s="2235"/>
      <c r="GFL11" s="2235"/>
      <c r="GFM11" s="2235"/>
      <c r="GFN11" s="2235"/>
      <c r="GFO11" s="2235"/>
      <c r="GFP11" s="2235"/>
      <c r="GFQ11" s="2235"/>
      <c r="GFR11" s="2235"/>
      <c r="GFS11" s="2235"/>
      <c r="GFT11" s="2235"/>
      <c r="GFU11" s="2235"/>
      <c r="GFV11" s="2235"/>
      <c r="GFW11" s="2235"/>
      <c r="GFX11" s="2235"/>
      <c r="GFY11" s="2235"/>
      <c r="GFZ11" s="2235"/>
      <c r="GGA11" s="2235"/>
      <c r="GGB11" s="2235"/>
      <c r="GGC11" s="2235"/>
      <c r="GGD11" s="2235"/>
      <c r="GGE11" s="2235"/>
      <c r="GGF11" s="2235"/>
      <c r="GGG11" s="2235"/>
      <c r="GGH11" s="2235"/>
      <c r="GGI11" s="2235"/>
      <c r="GGJ11" s="2235"/>
      <c r="GGK11" s="2235"/>
      <c r="GGL11" s="2235"/>
      <c r="GGM11" s="2235"/>
      <c r="GGN11" s="2235"/>
      <c r="GGO11" s="2235"/>
      <c r="GGP11" s="2235"/>
      <c r="GGQ11" s="2235"/>
      <c r="GGR11" s="2235"/>
      <c r="GGS11" s="2235"/>
      <c r="GGT11" s="2235"/>
      <c r="GGU11" s="2235"/>
      <c r="GGV11" s="2235"/>
      <c r="GGW11" s="2235"/>
      <c r="GGX11" s="2235"/>
      <c r="GGY11" s="2235"/>
      <c r="GGZ11" s="2235"/>
      <c r="GHA11" s="2235"/>
      <c r="GHB11" s="2235"/>
      <c r="GHC11" s="2235"/>
      <c r="GHD11" s="2235"/>
      <c r="GHE11" s="2235"/>
      <c r="GHF11" s="2235"/>
      <c r="GHG11" s="2235"/>
      <c r="GHH11" s="2235"/>
      <c r="GHI11" s="2235"/>
      <c r="GHJ11" s="2235"/>
      <c r="GHK11" s="2235"/>
      <c r="GHL11" s="2235"/>
      <c r="GHM11" s="2235"/>
      <c r="GHN11" s="2235"/>
      <c r="GHO11" s="2235"/>
      <c r="GHP11" s="2235"/>
      <c r="GHQ11" s="2235"/>
      <c r="GHR11" s="2235"/>
      <c r="GHS11" s="2235"/>
      <c r="GHT11" s="2235"/>
      <c r="GHU11" s="2235"/>
      <c r="GHV11" s="2235"/>
      <c r="GHW11" s="2235"/>
      <c r="GHX11" s="2235"/>
      <c r="GHY11" s="2235"/>
      <c r="GHZ11" s="2235"/>
      <c r="GIA11" s="2235"/>
      <c r="GIB11" s="2235"/>
      <c r="GIC11" s="2235"/>
      <c r="GID11" s="2235"/>
      <c r="GIE11" s="2235"/>
      <c r="GIF11" s="2235"/>
      <c r="GIG11" s="2235"/>
      <c r="GIH11" s="2235"/>
      <c r="GII11" s="2235"/>
      <c r="GIJ11" s="2235"/>
      <c r="GIK11" s="2235"/>
      <c r="GIL11" s="2235"/>
      <c r="GIM11" s="2235"/>
      <c r="GIN11" s="2235"/>
      <c r="GIO11" s="2235"/>
      <c r="GIP11" s="2235"/>
      <c r="GIQ11" s="2235"/>
      <c r="GIR11" s="2235"/>
      <c r="GIS11" s="2235"/>
      <c r="GIT11" s="2235"/>
      <c r="GIU11" s="2235"/>
      <c r="GIV11" s="2235"/>
      <c r="GIW11" s="2235"/>
      <c r="GIX11" s="2235"/>
      <c r="GIY11" s="2235"/>
      <c r="GIZ11" s="2235"/>
      <c r="GJA11" s="2235"/>
      <c r="GJB11" s="2235"/>
      <c r="GJC11" s="2235"/>
      <c r="GJD11" s="2235"/>
      <c r="GJE11" s="2235"/>
      <c r="GJF11" s="2235"/>
      <c r="GJG11" s="2235"/>
      <c r="GJH11" s="2235"/>
      <c r="GJI11" s="2235"/>
      <c r="GJJ11" s="2235"/>
      <c r="GJK11" s="2235"/>
      <c r="GJL11" s="2235"/>
      <c r="GJM11" s="2235"/>
      <c r="GJN11" s="2235"/>
      <c r="GJO11" s="2235"/>
      <c r="GJP11" s="2235"/>
      <c r="GJQ11" s="2235"/>
      <c r="GJR11" s="2235"/>
      <c r="GJS11" s="2235"/>
      <c r="GJT11" s="2235"/>
      <c r="GJU11" s="2235"/>
      <c r="GJV11" s="2235"/>
      <c r="GJW11" s="2235"/>
      <c r="GJX11" s="2235"/>
      <c r="GJY11" s="2235"/>
      <c r="GJZ11" s="2235"/>
      <c r="GKA11" s="2235"/>
      <c r="GKB11" s="2235"/>
      <c r="GKC11" s="2235"/>
      <c r="GKD11" s="2235"/>
      <c r="GKE11" s="2235"/>
      <c r="GKF11" s="2235"/>
      <c r="GKG11" s="2235"/>
      <c r="GKH11" s="2235"/>
      <c r="GKI11" s="2235"/>
      <c r="GKJ11" s="2235"/>
      <c r="GKK11" s="2235"/>
      <c r="GKL11" s="2235"/>
      <c r="GKM11" s="2235"/>
      <c r="GKN11" s="2235"/>
      <c r="GKO11" s="2235"/>
      <c r="GKP11" s="2235"/>
      <c r="GKQ11" s="2235"/>
      <c r="GKR11" s="2235"/>
      <c r="GKS11" s="2235"/>
      <c r="GKT11" s="2235"/>
      <c r="GKU11" s="2235"/>
      <c r="GKV11" s="2235"/>
      <c r="GKW11" s="2235"/>
      <c r="GKX11" s="2235"/>
      <c r="GKY11" s="2235"/>
      <c r="GKZ11" s="2235"/>
      <c r="GLA11" s="2235"/>
      <c r="GLB11" s="2235"/>
      <c r="GLC11" s="2235"/>
      <c r="GLD11" s="2235"/>
      <c r="GLE11" s="2235"/>
      <c r="GLF11" s="2235"/>
      <c r="GLG11" s="2235"/>
      <c r="GLH11" s="2235"/>
      <c r="GLI11" s="2235"/>
      <c r="GLJ11" s="2235"/>
      <c r="GLK11" s="2235"/>
      <c r="GLL11" s="2235"/>
      <c r="GLM11" s="2235"/>
      <c r="GLN11" s="2235"/>
      <c r="GLO11" s="2235"/>
      <c r="GLP11" s="2235"/>
      <c r="GLQ11" s="2235"/>
      <c r="GLR11" s="2235"/>
      <c r="GLS11" s="2235"/>
      <c r="GLT11" s="2235"/>
      <c r="GLU11" s="2235"/>
      <c r="GLV11" s="2235"/>
      <c r="GLW11" s="2235"/>
      <c r="GLX11" s="2235"/>
      <c r="GLY11" s="2235"/>
      <c r="GLZ11" s="2235"/>
      <c r="GMA11" s="2235"/>
      <c r="GMB11" s="2235"/>
      <c r="GMC11" s="2235"/>
      <c r="GMD11" s="2235"/>
      <c r="GME11" s="2235"/>
      <c r="GMF11" s="2235"/>
      <c r="GMG11" s="2235"/>
      <c r="GMH11" s="2235"/>
      <c r="GMI11" s="2235"/>
      <c r="GMJ11" s="2235"/>
      <c r="GMK11" s="2235"/>
      <c r="GML11" s="2235"/>
      <c r="GMM11" s="2235"/>
      <c r="GMN11" s="2235"/>
      <c r="GMO11" s="2235"/>
      <c r="GMP11" s="2235"/>
      <c r="GMQ11" s="2235"/>
      <c r="GMR11" s="2235"/>
      <c r="GMS11" s="2235"/>
      <c r="GMT11" s="2235"/>
      <c r="GMU11" s="2235"/>
      <c r="GMV11" s="2235"/>
      <c r="GMW11" s="2235"/>
      <c r="GMX11" s="2235"/>
      <c r="GMY11" s="2235"/>
      <c r="GMZ11" s="2235"/>
      <c r="GNA11" s="2235"/>
      <c r="GNB11" s="2235"/>
      <c r="GNC11" s="2235"/>
      <c r="GND11" s="2235"/>
      <c r="GNE11" s="2235"/>
      <c r="GNF11" s="2235"/>
      <c r="GNG11" s="2235"/>
      <c r="GNH11" s="2235"/>
      <c r="GNI11" s="2235"/>
      <c r="GNJ11" s="2235"/>
      <c r="GNK11" s="2235"/>
      <c r="GNL11" s="2235"/>
      <c r="GNM11" s="2235"/>
      <c r="GNN11" s="2235"/>
      <c r="GNO11" s="2235"/>
      <c r="GNP11" s="2235"/>
      <c r="GNQ11" s="2235"/>
      <c r="GNR11" s="2235"/>
      <c r="GNS11" s="2235"/>
      <c r="GNT11" s="2235"/>
      <c r="GNU11" s="2235"/>
      <c r="GNV11" s="2235"/>
      <c r="GNW11" s="2235"/>
      <c r="GNX11" s="2235"/>
      <c r="GNY11" s="2235"/>
      <c r="GNZ11" s="2235"/>
      <c r="GOA11" s="2235"/>
      <c r="GOB11" s="2235"/>
      <c r="GOC11" s="2235"/>
      <c r="GOD11" s="2235"/>
      <c r="GOE11" s="2235"/>
      <c r="GOF11" s="2235"/>
      <c r="GOG11" s="2235"/>
      <c r="GOH11" s="2235"/>
      <c r="GOI11" s="2235"/>
      <c r="GOJ11" s="2235"/>
      <c r="GOK11" s="2235"/>
      <c r="GOL11" s="2235"/>
      <c r="GOM11" s="2235"/>
      <c r="GON11" s="2235"/>
      <c r="GOO11" s="2235"/>
      <c r="GOP11" s="2235"/>
      <c r="GOQ11" s="2235"/>
      <c r="GOR11" s="2235"/>
      <c r="GOS11" s="2235"/>
      <c r="GOT11" s="2235"/>
      <c r="GOU11" s="2235"/>
      <c r="GOV11" s="2235"/>
      <c r="GOW11" s="2235"/>
      <c r="GOX11" s="2235"/>
      <c r="GOY11" s="2235"/>
      <c r="GOZ11" s="2235"/>
      <c r="GPA11" s="2235"/>
      <c r="GPB11" s="2235"/>
      <c r="GPC11" s="2235"/>
      <c r="GPD11" s="2235"/>
      <c r="GPE11" s="2235"/>
      <c r="GPF11" s="2235"/>
      <c r="GPG11" s="2235"/>
      <c r="GPH11" s="2235"/>
      <c r="GPI11" s="2235"/>
      <c r="GPJ11" s="2235"/>
      <c r="GPK11" s="2235"/>
      <c r="GPL11" s="2235"/>
      <c r="GPM11" s="2235"/>
      <c r="GPN11" s="2235"/>
      <c r="GPO11" s="2235"/>
      <c r="GPP11" s="2235"/>
      <c r="GPQ11" s="2235"/>
      <c r="GPR11" s="2235"/>
      <c r="GPS11" s="2235"/>
      <c r="GPT11" s="2235"/>
      <c r="GPU11" s="2235"/>
      <c r="GPV11" s="2235"/>
      <c r="GPW11" s="2235"/>
      <c r="GPX11" s="2235"/>
      <c r="GPY11" s="2235"/>
      <c r="GPZ11" s="2235"/>
      <c r="GQA11" s="2235"/>
      <c r="GQB11" s="2235"/>
      <c r="GQC11" s="2235"/>
      <c r="GQD11" s="2235"/>
      <c r="GQE11" s="2235"/>
      <c r="GQF11" s="2235"/>
      <c r="GQG11" s="2235"/>
      <c r="GQH11" s="2235"/>
      <c r="GQI11" s="2235"/>
      <c r="GQJ11" s="2235"/>
      <c r="GQK11" s="2235"/>
      <c r="GQL11" s="2235"/>
      <c r="GQM11" s="2235"/>
      <c r="GQN11" s="2235"/>
      <c r="GQO11" s="2235"/>
      <c r="GQP11" s="2235"/>
      <c r="GQQ11" s="2235"/>
      <c r="GQR11" s="2235"/>
      <c r="GQS11" s="2235"/>
      <c r="GQT11" s="2235"/>
      <c r="GQU11" s="2235"/>
      <c r="GQV11" s="2235"/>
      <c r="GQW11" s="2235"/>
      <c r="GQX11" s="2235"/>
      <c r="GQY11" s="2235"/>
      <c r="GQZ11" s="2235"/>
      <c r="GRA11" s="2235"/>
      <c r="GRB11" s="2235"/>
      <c r="GRC11" s="2235"/>
      <c r="GRD11" s="2235"/>
      <c r="GRE11" s="2235"/>
      <c r="GRF11" s="2235"/>
      <c r="GRG11" s="2235"/>
      <c r="GRH11" s="2235"/>
      <c r="GRI11" s="2235"/>
      <c r="GRJ11" s="2235"/>
      <c r="GRK11" s="2235"/>
      <c r="GRL11" s="2235"/>
      <c r="GRM11" s="2235"/>
      <c r="GRN11" s="2235"/>
      <c r="GRO11" s="2235"/>
      <c r="GRP11" s="2235"/>
      <c r="GRQ11" s="2235"/>
      <c r="GRR11" s="2235"/>
      <c r="GRS11" s="2235"/>
      <c r="GRT11" s="2235"/>
      <c r="GRU11" s="2235"/>
      <c r="GRV11" s="2235"/>
      <c r="GRW11" s="2235"/>
      <c r="GRX11" s="2235"/>
      <c r="GRY11" s="2235"/>
      <c r="GRZ11" s="2235"/>
      <c r="GSA11" s="2235"/>
      <c r="GSB11" s="2235"/>
      <c r="GSC11" s="2235"/>
      <c r="GSD11" s="2235"/>
      <c r="GSE11" s="2235"/>
      <c r="GSF11" s="2235"/>
      <c r="GSG11" s="2235"/>
      <c r="GSH11" s="2235"/>
      <c r="GSI11" s="2235"/>
      <c r="GSJ11" s="2235"/>
      <c r="GSK11" s="2235"/>
      <c r="GSL11" s="2235"/>
      <c r="GSM11" s="2235"/>
      <c r="GSN11" s="2235"/>
      <c r="GSO11" s="2235"/>
      <c r="GSP11" s="2235"/>
      <c r="GSQ11" s="2235"/>
      <c r="GSR11" s="2235"/>
      <c r="GSS11" s="2235"/>
      <c r="GST11" s="2235"/>
      <c r="GSU11" s="2235"/>
      <c r="GSV11" s="2235"/>
      <c r="GSW11" s="2235"/>
      <c r="GSX11" s="2235"/>
      <c r="GSY11" s="2235"/>
      <c r="GSZ11" s="2235"/>
      <c r="GTA11" s="2235"/>
      <c r="GTB11" s="2235"/>
      <c r="GTC11" s="2235"/>
      <c r="GTD11" s="2235"/>
      <c r="GTE11" s="2235"/>
      <c r="GTF11" s="2235"/>
      <c r="GTG11" s="2235"/>
      <c r="GTH11" s="2235"/>
      <c r="GTI11" s="2235"/>
      <c r="GTJ11" s="2235"/>
      <c r="GTK11" s="2235"/>
      <c r="GTL11" s="2235"/>
      <c r="GTM11" s="2235"/>
      <c r="GTN11" s="2235"/>
      <c r="GTO11" s="2235"/>
      <c r="GTP11" s="2235"/>
      <c r="GTQ11" s="2235"/>
      <c r="GTR11" s="2235"/>
      <c r="GTS11" s="2235"/>
      <c r="GTT11" s="2235"/>
      <c r="GTU11" s="2235"/>
      <c r="GTV11" s="2235"/>
      <c r="GTW11" s="2235"/>
      <c r="GTX11" s="2235"/>
      <c r="GTY11" s="2235"/>
      <c r="GTZ11" s="2235"/>
      <c r="GUA11" s="2235"/>
      <c r="GUB11" s="2235"/>
      <c r="GUC11" s="2235"/>
      <c r="GUD11" s="2235"/>
      <c r="GUE11" s="2235"/>
      <c r="GUF11" s="2235"/>
      <c r="GUG11" s="2235"/>
      <c r="GUH11" s="2235"/>
      <c r="GUI11" s="2235"/>
      <c r="GUJ11" s="2235"/>
      <c r="GUK11" s="2235"/>
      <c r="GUL11" s="2235"/>
      <c r="GUM11" s="2235"/>
      <c r="GUN11" s="2235"/>
      <c r="GUO11" s="2235"/>
      <c r="GUP11" s="2235"/>
      <c r="GUQ11" s="2235"/>
      <c r="GUR11" s="2235"/>
      <c r="GUS11" s="2235"/>
      <c r="GUT11" s="2235"/>
      <c r="GUU11" s="2235"/>
      <c r="GUV11" s="2235"/>
      <c r="GUW11" s="2235"/>
      <c r="GUX11" s="2235"/>
      <c r="GUY11" s="2235"/>
      <c r="GUZ11" s="2235"/>
      <c r="GVA11" s="2235"/>
      <c r="GVB11" s="2235"/>
      <c r="GVC11" s="2235"/>
      <c r="GVD11" s="2235"/>
      <c r="GVE11" s="2235"/>
      <c r="GVF11" s="2235"/>
      <c r="GVG11" s="2235"/>
      <c r="GVH11" s="2235"/>
      <c r="GVI11" s="2235"/>
      <c r="GVJ11" s="2235"/>
      <c r="GVK11" s="2235"/>
      <c r="GVL11" s="2235"/>
      <c r="GVM11" s="2235"/>
      <c r="GVN11" s="2235"/>
      <c r="GVO11" s="2235"/>
      <c r="GVP11" s="2235"/>
      <c r="GVQ11" s="2235"/>
      <c r="GVR11" s="2235"/>
      <c r="GVS11" s="2235"/>
      <c r="GVT11" s="2235"/>
      <c r="GVU11" s="2235"/>
      <c r="GVV11" s="2235"/>
      <c r="GVW11" s="2235"/>
      <c r="GVX11" s="2235"/>
      <c r="GVY11" s="2235"/>
      <c r="GVZ11" s="2235"/>
      <c r="GWA11" s="2235"/>
      <c r="GWB11" s="2235"/>
      <c r="GWC11" s="2235"/>
      <c r="GWD11" s="2235"/>
      <c r="GWE11" s="2235"/>
      <c r="GWF11" s="2235"/>
      <c r="GWG11" s="2235"/>
      <c r="GWH11" s="2235"/>
      <c r="GWI11" s="2235"/>
      <c r="GWJ11" s="2235"/>
      <c r="GWK11" s="2235"/>
      <c r="GWL11" s="2235"/>
      <c r="GWM11" s="2235"/>
      <c r="GWN11" s="2235"/>
      <c r="GWO11" s="2235"/>
      <c r="GWP11" s="2235"/>
      <c r="GWQ11" s="2235"/>
      <c r="GWR11" s="2235"/>
      <c r="GWS11" s="2235"/>
      <c r="GWT11" s="2235"/>
      <c r="GWU11" s="2235"/>
      <c r="GWV11" s="2235"/>
      <c r="GWW11" s="2235"/>
      <c r="GWX11" s="2235"/>
      <c r="GWY11" s="2235"/>
      <c r="GWZ11" s="2235"/>
      <c r="GXA11" s="2235"/>
      <c r="GXB11" s="2235"/>
      <c r="GXC11" s="2235"/>
      <c r="GXD11" s="2235"/>
      <c r="GXE11" s="2235"/>
      <c r="GXF11" s="2235"/>
      <c r="GXG11" s="2235"/>
      <c r="GXH11" s="2235"/>
      <c r="GXI11" s="2235"/>
      <c r="GXJ11" s="2235"/>
      <c r="GXK11" s="2235"/>
      <c r="GXL11" s="2235"/>
      <c r="GXM11" s="2235"/>
      <c r="GXN11" s="2235"/>
      <c r="GXO11" s="2235"/>
      <c r="GXP11" s="2235"/>
      <c r="GXQ11" s="2235"/>
      <c r="GXR11" s="2235"/>
      <c r="GXS11" s="2235"/>
      <c r="GXT11" s="2235"/>
      <c r="GXU11" s="2235"/>
      <c r="GXV11" s="2235"/>
      <c r="GXW11" s="2235"/>
      <c r="GXX11" s="2235"/>
      <c r="GXY11" s="2235"/>
      <c r="GXZ11" s="2235"/>
      <c r="GYA11" s="2235"/>
      <c r="GYB11" s="2235"/>
      <c r="GYC11" s="2235"/>
      <c r="GYD11" s="2235"/>
      <c r="GYE11" s="2235"/>
      <c r="GYF11" s="2235"/>
      <c r="GYG11" s="2235"/>
      <c r="GYH11" s="2235"/>
      <c r="GYI11" s="2235"/>
      <c r="GYJ11" s="2235"/>
      <c r="GYK11" s="2235"/>
      <c r="GYL11" s="2235"/>
      <c r="GYM11" s="2235"/>
      <c r="GYN11" s="2235"/>
      <c r="GYO11" s="2235"/>
      <c r="GYP11" s="2235"/>
      <c r="GYQ11" s="2235"/>
      <c r="GYR11" s="2235"/>
      <c r="GYS11" s="2235"/>
      <c r="GYT11" s="2235"/>
      <c r="GYU11" s="2235"/>
      <c r="GYV11" s="2235"/>
      <c r="GYW11" s="2235"/>
      <c r="GYX11" s="2235"/>
      <c r="GYY11" s="2235"/>
      <c r="GYZ11" s="2235"/>
      <c r="GZA11" s="2235"/>
      <c r="GZB11" s="2235"/>
      <c r="GZC11" s="2235"/>
      <c r="GZD11" s="2235"/>
      <c r="GZE11" s="2235"/>
      <c r="GZF11" s="2235"/>
      <c r="GZG11" s="2235"/>
      <c r="GZH11" s="2235"/>
      <c r="GZI11" s="2235"/>
      <c r="GZJ11" s="2235"/>
      <c r="GZK11" s="2235"/>
      <c r="GZL11" s="2235"/>
      <c r="GZM11" s="2235"/>
      <c r="GZN11" s="2235"/>
      <c r="GZO11" s="2235"/>
      <c r="GZP11" s="2235"/>
      <c r="GZQ11" s="2235"/>
      <c r="GZR11" s="2235"/>
      <c r="GZS11" s="2235"/>
      <c r="GZT11" s="2235"/>
      <c r="GZU11" s="2235"/>
      <c r="GZV11" s="2235"/>
      <c r="GZW11" s="2235"/>
      <c r="GZX11" s="2235"/>
      <c r="GZY11" s="2235"/>
      <c r="GZZ11" s="2235"/>
      <c r="HAA11" s="2235"/>
      <c r="HAB11" s="2235"/>
      <c r="HAC11" s="2235"/>
      <c r="HAD11" s="2235"/>
      <c r="HAE11" s="2235"/>
      <c r="HAF11" s="2235"/>
      <c r="HAG11" s="2235"/>
      <c r="HAH11" s="2235"/>
      <c r="HAI11" s="2235"/>
      <c r="HAJ11" s="2235"/>
      <c r="HAK11" s="2235"/>
      <c r="HAL11" s="2235"/>
      <c r="HAM11" s="2235"/>
      <c r="HAN11" s="2235"/>
      <c r="HAO11" s="2235"/>
      <c r="HAP11" s="2235"/>
      <c r="HAQ11" s="2235"/>
      <c r="HAR11" s="2235"/>
      <c r="HAS11" s="2235"/>
      <c r="HAT11" s="2235"/>
      <c r="HAU11" s="2235"/>
      <c r="HAV11" s="2235"/>
      <c r="HAW11" s="2235"/>
      <c r="HAX11" s="2235"/>
      <c r="HAY11" s="2235"/>
      <c r="HAZ11" s="2235"/>
      <c r="HBA11" s="2235"/>
      <c r="HBB11" s="2235"/>
      <c r="HBC11" s="2235"/>
      <c r="HBD11" s="2235"/>
      <c r="HBE11" s="2235"/>
      <c r="HBF11" s="2235"/>
      <c r="HBG11" s="2235"/>
      <c r="HBH11" s="2235"/>
      <c r="HBI11" s="2235"/>
      <c r="HBJ11" s="2235"/>
      <c r="HBK11" s="2235"/>
      <c r="HBL11" s="2235"/>
      <c r="HBM11" s="2235"/>
      <c r="HBN11" s="2235"/>
      <c r="HBO11" s="2235"/>
      <c r="HBP11" s="2235"/>
      <c r="HBQ11" s="2235"/>
      <c r="HBR11" s="2235"/>
      <c r="HBS11" s="2235"/>
      <c r="HBT11" s="2235"/>
      <c r="HBU11" s="2235"/>
      <c r="HBV11" s="2235"/>
      <c r="HBW11" s="2235"/>
      <c r="HBX11" s="2235"/>
      <c r="HBY11" s="2235"/>
      <c r="HBZ11" s="2235"/>
      <c r="HCA11" s="2235"/>
      <c r="HCB11" s="2235"/>
      <c r="HCC11" s="2235"/>
      <c r="HCD11" s="2235"/>
      <c r="HCE11" s="2235"/>
      <c r="HCF11" s="2235"/>
      <c r="HCG11" s="2235"/>
      <c r="HCH11" s="2235"/>
      <c r="HCI11" s="2235"/>
      <c r="HCJ11" s="2235"/>
      <c r="HCK11" s="2235"/>
      <c r="HCL11" s="2235"/>
      <c r="HCM11" s="2235"/>
      <c r="HCN11" s="2235"/>
      <c r="HCO11" s="2235"/>
      <c r="HCP11" s="2235"/>
      <c r="HCQ11" s="2235"/>
      <c r="HCR11" s="2235"/>
      <c r="HCS11" s="2235"/>
      <c r="HCT11" s="2235"/>
      <c r="HCU11" s="2235"/>
      <c r="HCV11" s="2235"/>
      <c r="HCW11" s="2235"/>
      <c r="HCX11" s="2235"/>
      <c r="HCY11" s="2235"/>
      <c r="HCZ11" s="2235"/>
      <c r="HDA11" s="2235"/>
      <c r="HDB11" s="2235"/>
      <c r="HDC11" s="2235"/>
      <c r="HDD11" s="2235"/>
      <c r="HDE11" s="2235"/>
      <c r="HDF11" s="2235"/>
      <c r="HDG11" s="2235"/>
      <c r="HDH11" s="2235"/>
      <c r="HDI11" s="2235"/>
      <c r="HDJ11" s="2235"/>
      <c r="HDK11" s="2235"/>
      <c r="HDL11" s="2235"/>
      <c r="HDM11" s="2235"/>
      <c r="HDN11" s="2235"/>
      <c r="HDO11" s="2235"/>
      <c r="HDP11" s="2235"/>
      <c r="HDQ11" s="2235"/>
      <c r="HDR11" s="2235"/>
      <c r="HDS11" s="2235"/>
      <c r="HDT11" s="2235"/>
      <c r="HDU11" s="2235"/>
      <c r="HDV11" s="2235"/>
      <c r="HDW11" s="2235"/>
      <c r="HDX11" s="2235"/>
      <c r="HDY11" s="2235"/>
      <c r="HDZ11" s="2235"/>
      <c r="HEA11" s="2235"/>
      <c r="HEB11" s="2235"/>
      <c r="HEC11" s="2235"/>
      <c r="HED11" s="2235"/>
      <c r="HEE11" s="2235"/>
      <c r="HEF11" s="2235"/>
      <c r="HEG11" s="2235"/>
      <c r="HEH11" s="2235"/>
      <c r="HEI11" s="2235"/>
      <c r="HEJ11" s="2235"/>
      <c r="HEK11" s="2235"/>
      <c r="HEL11" s="2235"/>
      <c r="HEM11" s="2235"/>
      <c r="HEN11" s="2235"/>
      <c r="HEO11" s="2235"/>
      <c r="HEP11" s="2235"/>
      <c r="HEQ11" s="2235"/>
      <c r="HER11" s="2235"/>
      <c r="HES11" s="2235"/>
      <c r="HET11" s="2235"/>
      <c r="HEU11" s="2235"/>
      <c r="HEV11" s="2235"/>
      <c r="HEW11" s="2235"/>
      <c r="HEX11" s="2235"/>
      <c r="HEY11" s="2235"/>
      <c r="HEZ11" s="2235"/>
      <c r="HFA11" s="2235"/>
      <c r="HFB11" s="2235"/>
      <c r="HFC11" s="2235"/>
      <c r="HFD11" s="2235"/>
      <c r="HFE11" s="2235"/>
      <c r="HFF11" s="2235"/>
      <c r="HFG11" s="2235"/>
      <c r="HFH11" s="2235"/>
      <c r="HFI11" s="2235"/>
      <c r="HFJ11" s="2235"/>
      <c r="HFK11" s="2235"/>
      <c r="HFL11" s="2235"/>
      <c r="HFM11" s="2235"/>
      <c r="HFN11" s="2235"/>
      <c r="HFO11" s="2235"/>
      <c r="HFP11" s="2235"/>
      <c r="HFQ11" s="2235"/>
      <c r="HFR11" s="2235"/>
      <c r="HFS11" s="2235"/>
      <c r="HFT11" s="2235"/>
      <c r="HFU11" s="2235"/>
      <c r="HFV11" s="2235"/>
      <c r="HFW11" s="2235"/>
      <c r="HFX11" s="2235"/>
      <c r="HFY11" s="2235"/>
      <c r="HFZ11" s="2235"/>
      <c r="HGA11" s="2235"/>
      <c r="HGB11" s="2235"/>
      <c r="HGC11" s="2235"/>
      <c r="HGD11" s="2235"/>
      <c r="HGE11" s="2235"/>
      <c r="HGF11" s="2235"/>
      <c r="HGG11" s="2235"/>
      <c r="HGH11" s="2235"/>
      <c r="HGI11" s="2235"/>
      <c r="HGJ11" s="2235"/>
      <c r="HGK11" s="2235"/>
      <c r="HGL11" s="2235"/>
      <c r="HGM11" s="2235"/>
      <c r="HGN11" s="2235"/>
      <c r="HGO11" s="2235"/>
      <c r="HGP11" s="2235"/>
      <c r="HGQ11" s="2235"/>
      <c r="HGR11" s="2235"/>
      <c r="HGS11" s="2235"/>
      <c r="HGT11" s="2235"/>
      <c r="HGU11" s="2235"/>
      <c r="HGV11" s="2235"/>
      <c r="HGW11" s="2235"/>
      <c r="HGX11" s="2235"/>
      <c r="HGY11" s="2235"/>
      <c r="HGZ11" s="2235"/>
      <c r="HHA11" s="2235"/>
      <c r="HHB11" s="2235"/>
      <c r="HHC11" s="2235"/>
      <c r="HHD11" s="2235"/>
      <c r="HHE11" s="2235"/>
      <c r="HHF11" s="2235"/>
      <c r="HHG11" s="2235"/>
      <c r="HHH11" s="2235"/>
      <c r="HHI11" s="2235"/>
      <c r="HHJ11" s="2235"/>
      <c r="HHK11" s="2235"/>
      <c r="HHL11" s="2235"/>
      <c r="HHM11" s="2235"/>
      <c r="HHN11" s="2235"/>
      <c r="HHO11" s="2235"/>
      <c r="HHP11" s="2235"/>
      <c r="HHQ11" s="2235"/>
      <c r="HHR11" s="2235"/>
      <c r="HHS11" s="2235"/>
      <c r="HHT11" s="2235"/>
      <c r="HHU11" s="2235"/>
      <c r="HHV11" s="2235"/>
      <c r="HHW11" s="2235"/>
      <c r="HHX11" s="2235"/>
      <c r="HHY11" s="2235"/>
      <c r="HHZ11" s="2235"/>
      <c r="HIA11" s="2235"/>
      <c r="HIB11" s="2235"/>
      <c r="HIC11" s="2235"/>
      <c r="HID11" s="2235"/>
      <c r="HIE11" s="2235"/>
      <c r="HIF11" s="2235"/>
      <c r="HIG11" s="2235"/>
      <c r="HIH11" s="2235"/>
      <c r="HII11" s="2235"/>
      <c r="HIJ11" s="2235"/>
      <c r="HIK11" s="2235"/>
      <c r="HIL11" s="2235"/>
      <c r="HIM11" s="2235"/>
      <c r="HIN11" s="2235"/>
      <c r="HIO11" s="2235"/>
      <c r="HIP11" s="2235"/>
      <c r="HIQ11" s="2235"/>
      <c r="HIR11" s="2235"/>
      <c r="HIS11" s="2235"/>
      <c r="HIT11" s="2235"/>
      <c r="HIU11" s="2235"/>
      <c r="HIV11" s="2235"/>
      <c r="HIW11" s="2235"/>
      <c r="HIX11" s="2235"/>
      <c r="HIY11" s="2235"/>
      <c r="HIZ11" s="2235"/>
      <c r="HJA11" s="2235"/>
      <c r="HJB11" s="2235"/>
      <c r="HJC11" s="2235"/>
      <c r="HJD11" s="2235"/>
      <c r="HJE11" s="2235"/>
      <c r="HJF11" s="2235"/>
      <c r="HJG11" s="2235"/>
      <c r="HJH11" s="2235"/>
      <c r="HJI11" s="2235"/>
      <c r="HJJ11" s="2235"/>
      <c r="HJK11" s="2235"/>
      <c r="HJL11" s="2235"/>
      <c r="HJM11" s="2235"/>
      <c r="HJN11" s="2235"/>
      <c r="HJO11" s="2235"/>
      <c r="HJP11" s="2235"/>
      <c r="HJQ11" s="2235"/>
      <c r="HJR11" s="2235"/>
      <c r="HJS11" s="2235"/>
      <c r="HJT11" s="2235"/>
      <c r="HJU11" s="2235"/>
      <c r="HJV11" s="2235"/>
      <c r="HJW11" s="2235"/>
      <c r="HJX11" s="2235"/>
      <c r="HJY11" s="2235"/>
      <c r="HJZ11" s="2235"/>
      <c r="HKA11" s="2235"/>
      <c r="HKB11" s="2235"/>
      <c r="HKC11" s="2235"/>
      <c r="HKD11" s="2235"/>
      <c r="HKE11" s="2235"/>
      <c r="HKF11" s="2235"/>
      <c r="HKG11" s="2235"/>
      <c r="HKH11" s="2235"/>
      <c r="HKI11" s="2235"/>
      <c r="HKJ11" s="2235"/>
      <c r="HKK11" s="2235"/>
      <c r="HKL11" s="2235"/>
      <c r="HKM11" s="2235"/>
      <c r="HKN11" s="2235"/>
      <c r="HKO11" s="2235"/>
      <c r="HKP11" s="2235"/>
      <c r="HKQ11" s="2235"/>
      <c r="HKR11" s="2235"/>
      <c r="HKS11" s="2235"/>
      <c r="HKT11" s="2235"/>
      <c r="HKU11" s="2235"/>
      <c r="HKV11" s="2235"/>
      <c r="HKW11" s="2235"/>
      <c r="HKX11" s="2235"/>
      <c r="HKY11" s="2235"/>
      <c r="HKZ11" s="2235"/>
      <c r="HLA11" s="2235"/>
      <c r="HLB11" s="2235"/>
      <c r="HLC11" s="2235"/>
      <c r="HLD11" s="2235"/>
      <c r="HLE11" s="2235"/>
      <c r="HLF11" s="2235"/>
      <c r="HLG11" s="2235"/>
      <c r="HLH11" s="2235"/>
      <c r="HLI11" s="2235"/>
      <c r="HLJ11" s="2235"/>
      <c r="HLK11" s="2235"/>
      <c r="HLL11" s="2235"/>
      <c r="HLM11" s="2235"/>
      <c r="HLN11" s="2235"/>
      <c r="HLO11" s="2235"/>
      <c r="HLP11" s="2235"/>
      <c r="HLQ11" s="2235"/>
      <c r="HLR11" s="2235"/>
      <c r="HLS11" s="2235"/>
      <c r="HLT11" s="2235"/>
      <c r="HLU11" s="2235"/>
      <c r="HLV11" s="2235"/>
      <c r="HLW11" s="2235"/>
      <c r="HLX11" s="2235"/>
      <c r="HLY11" s="2235"/>
      <c r="HLZ11" s="2235"/>
      <c r="HMA11" s="2235"/>
      <c r="HMB11" s="2235"/>
      <c r="HMC11" s="2235"/>
      <c r="HMD11" s="2235"/>
      <c r="HME11" s="2235"/>
      <c r="HMF11" s="2235"/>
      <c r="HMG11" s="2235"/>
      <c r="HMH11" s="2235"/>
      <c r="HMI11" s="2235"/>
      <c r="HMJ11" s="2235"/>
      <c r="HMK11" s="2235"/>
      <c r="HML11" s="2235"/>
      <c r="HMM11" s="2235"/>
      <c r="HMN11" s="2235"/>
      <c r="HMO11" s="2235"/>
      <c r="HMP11" s="2235"/>
      <c r="HMQ11" s="2235"/>
      <c r="HMR11" s="2235"/>
      <c r="HMS11" s="2235"/>
      <c r="HMT11" s="2235"/>
      <c r="HMU11" s="2235"/>
      <c r="HMV11" s="2235"/>
      <c r="HMW11" s="2235"/>
      <c r="HMX11" s="2235"/>
      <c r="HMY11" s="2235"/>
      <c r="HMZ11" s="2235"/>
      <c r="HNA11" s="2235"/>
      <c r="HNB11" s="2235"/>
      <c r="HNC11" s="2235"/>
      <c r="HND11" s="2235"/>
      <c r="HNE11" s="2235"/>
      <c r="HNF11" s="2235"/>
      <c r="HNG11" s="2235"/>
      <c r="HNH11" s="2235"/>
      <c r="HNI11" s="2235"/>
      <c r="HNJ11" s="2235"/>
      <c r="HNK11" s="2235"/>
      <c r="HNL11" s="2235"/>
      <c r="HNM11" s="2235"/>
      <c r="HNN11" s="2235"/>
      <c r="HNO11" s="2235"/>
      <c r="HNP11" s="2235"/>
      <c r="HNQ11" s="2235"/>
      <c r="HNR11" s="2235"/>
      <c r="HNS11" s="2235"/>
      <c r="HNT11" s="2235"/>
      <c r="HNU11" s="2235"/>
      <c r="HNV11" s="2235"/>
      <c r="HNW11" s="2235"/>
      <c r="HNX11" s="2235"/>
      <c r="HNY11" s="2235"/>
      <c r="HNZ11" s="2235"/>
      <c r="HOA11" s="2235"/>
      <c r="HOB11" s="2235"/>
      <c r="HOC11" s="2235"/>
      <c r="HOD11" s="2235"/>
      <c r="HOE11" s="2235"/>
      <c r="HOF11" s="2235"/>
      <c r="HOG11" s="2235"/>
      <c r="HOH11" s="2235"/>
      <c r="HOI11" s="2235"/>
      <c r="HOJ11" s="2235"/>
      <c r="HOK11" s="2235"/>
      <c r="HOL11" s="2235"/>
      <c r="HOM11" s="2235"/>
      <c r="HON11" s="2235"/>
      <c r="HOO11" s="2235"/>
      <c r="HOP11" s="2235"/>
      <c r="HOQ11" s="2235"/>
      <c r="HOR11" s="2235"/>
      <c r="HOS11" s="2235"/>
      <c r="HOT11" s="2235"/>
      <c r="HOU11" s="2235"/>
      <c r="HOV11" s="2235"/>
      <c r="HOW11" s="2235"/>
      <c r="HOX11" s="2235"/>
      <c r="HOY11" s="2235"/>
      <c r="HOZ11" s="2235"/>
      <c r="HPA11" s="2235"/>
      <c r="HPB11" s="2235"/>
      <c r="HPC11" s="2235"/>
      <c r="HPD11" s="2235"/>
      <c r="HPE11" s="2235"/>
      <c r="HPF11" s="2235"/>
      <c r="HPG11" s="2235"/>
      <c r="HPH11" s="2235"/>
      <c r="HPI11" s="2235"/>
      <c r="HPJ11" s="2235"/>
      <c r="HPK11" s="2235"/>
      <c r="HPL11" s="2235"/>
      <c r="HPM11" s="2235"/>
      <c r="HPN11" s="2235"/>
      <c r="HPO11" s="2235"/>
      <c r="HPP11" s="2235"/>
      <c r="HPQ11" s="2235"/>
      <c r="HPR11" s="2235"/>
      <c r="HPS11" s="2235"/>
      <c r="HPT11" s="2235"/>
      <c r="HPU11" s="2235"/>
      <c r="HPV11" s="2235"/>
      <c r="HPW11" s="2235"/>
      <c r="HPX11" s="2235"/>
      <c r="HPY11" s="2235"/>
      <c r="HPZ11" s="2235"/>
      <c r="HQA11" s="2235"/>
      <c r="HQB11" s="2235"/>
      <c r="HQC11" s="2235"/>
      <c r="HQD11" s="2235"/>
      <c r="HQE11" s="2235"/>
      <c r="HQF11" s="2235"/>
      <c r="HQG11" s="2235"/>
      <c r="HQH11" s="2235"/>
      <c r="HQI11" s="2235"/>
      <c r="HQJ11" s="2235"/>
      <c r="HQK11" s="2235"/>
      <c r="HQL11" s="2235"/>
      <c r="HQM11" s="2235"/>
      <c r="HQN11" s="2235"/>
      <c r="HQO11" s="2235"/>
      <c r="HQP11" s="2235"/>
      <c r="HQQ11" s="2235"/>
      <c r="HQR11" s="2235"/>
      <c r="HQS11" s="2235"/>
      <c r="HQT11" s="2235"/>
      <c r="HQU11" s="2235"/>
      <c r="HQV11" s="2235"/>
      <c r="HQW11" s="2235"/>
      <c r="HQX11" s="2235"/>
      <c r="HQY11" s="2235"/>
      <c r="HQZ11" s="2235"/>
      <c r="HRA11" s="2235"/>
      <c r="HRB11" s="2235"/>
      <c r="HRC11" s="2235"/>
      <c r="HRD11" s="2235"/>
      <c r="HRE11" s="2235"/>
      <c r="HRF11" s="2235"/>
      <c r="HRG11" s="2235"/>
      <c r="HRH11" s="2235"/>
      <c r="HRI11" s="2235"/>
      <c r="HRJ11" s="2235"/>
      <c r="HRK11" s="2235"/>
      <c r="HRL11" s="2235"/>
      <c r="HRM11" s="2235"/>
      <c r="HRN11" s="2235"/>
      <c r="HRO11" s="2235"/>
      <c r="HRP11" s="2235"/>
      <c r="HRQ11" s="2235"/>
      <c r="HRR11" s="2235"/>
      <c r="HRS11" s="2235"/>
      <c r="HRT11" s="2235"/>
      <c r="HRU11" s="2235"/>
      <c r="HRV11" s="2235"/>
      <c r="HRW11" s="2235"/>
      <c r="HRX11" s="2235"/>
      <c r="HRY11" s="2235"/>
      <c r="HRZ11" s="2235"/>
      <c r="HSA11" s="2235"/>
      <c r="HSB11" s="2235"/>
      <c r="HSC11" s="2235"/>
      <c r="HSD11" s="2235"/>
      <c r="HSE11" s="2235"/>
      <c r="HSF11" s="2235"/>
      <c r="HSG11" s="2235"/>
      <c r="HSH11" s="2235"/>
      <c r="HSI11" s="2235"/>
      <c r="HSJ11" s="2235"/>
      <c r="HSK11" s="2235"/>
      <c r="HSL11" s="2235"/>
      <c r="HSM11" s="2235"/>
      <c r="HSN11" s="2235"/>
      <c r="HSO11" s="2235"/>
      <c r="HSP11" s="2235"/>
      <c r="HSQ11" s="2235"/>
      <c r="HSR11" s="2235"/>
      <c r="HSS11" s="2235"/>
      <c r="HST11" s="2235"/>
      <c r="HSU11" s="2235"/>
      <c r="HSV11" s="2235"/>
      <c r="HSW11" s="2235"/>
      <c r="HSX11" s="2235"/>
      <c r="HSY11" s="2235"/>
      <c r="HSZ11" s="2235"/>
      <c r="HTA11" s="2235"/>
      <c r="HTB11" s="2235"/>
      <c r="HTC11" s="2235"/>
      <c r="HTD11" s="2235"/>
      <c r="HTE11" s="2235"/>
      <c r="HTF11" s="2235"/>
      <c r="HTG11" s="2235"/>
      <c r="HTH11" s="2235"/>
      <c r="HTI11" s="2235"/>
      <c r="HTJ11" s="2235"/>
      <c r="HTK11" s="2235"/>
      <c r="HTL11" s="2235"/>
      <c r="HTM11" s="2235"/>
      <c r="HTN11" s="2235"/>
      <c r="HTO11" s="2235"/>
      <c r="HTP11" s="2235"/>
      <c r="HTQ11" s="2235"/>
      <c r="HTR11" s="2235"/>
      <c r="HTS11" s="2235"/>
      <c r="HTT11" s="2235"/>
      <c r="HTU11" s="2235"/>
      <c r="HTV11" s="2235"/>
      <c r="HTW11" s="2235"/>
      <c r="HTX11" s="2235"/>
      <c r="HTY11" s="2235"/>
      <c r="HTZ11" s="2235"/>
      <c r="HUA11" s="2235"/>
      <c r="HUB11" s="2235"/>
      <c r="HUC11" s="2235"/>
      <c r="HUD11" s="2235"/>
      <c r="HUE11" s="2235"/>
      <c r="HUF11" s="2235"/>
      <c r="HUG11" s="2235"/>
      <c r="HUH11" s="2235"/>
      <c r="HUI11" s="2235"/>
      <c r="HUJ11" s="2235"/>
      <c r="HUK11" s="2235"/>
      <c r="HUL11" s="2235"/>
      <c r="HUM11" s="2235"/>
      <c r="HUN11" s="2235"/>
      <c r="HUO11" s="2235"/>
      <c r="HUP11" s="2235"/>
      <c r="HUQ11" s="2235"/>
      <c r="HUR11" s="2235"/>
      <c r="HUS11" s="2235"/>
      <c r="HUT11" s="2235"/>
      <c r="HUU11" s="2235"/>
      <c r="HUV11" s="2235"/>
      <c r="HUW11" s="2235"/>
      <c r="HUX11" s="2235"/>
      <c r="HUY11" s="2235"/>
      <c r="HUZ11" s="2235"/>
      <c r="HVA11" s="2235"/>
      <c r="HVB11" s="2235"/>
      <c r="HVC11" s="2235"/>
      <c r="HVD11" s="2235"/>
      <c r="HVE11" s="2235"/>
      <c r="HVF11" s="2235"/>
      <c r="HVG11" s="2235"/>
      <c r="HVH11" s="2235"/>
      <c r="HVI11" s="2235"/>
      <c r="HVJ11" s="2235"/>
      <c r="HVK11" s="2235"/>
      <c r="HVL11" s="2235"/>
      <c r="HVM11" s="2235"/>
      <c r="HVN11" s="2235"/>
      <c r="HVO11" s="2235"/>
      <c r="HVP11" s="2235"/>
      <c r="HVQ11" s="2235"/>
      <c r="HVR11" s="2235"/>
      <c r="HVS11" s="2235"/>
      <c r="HVT11" s="2235"/>
      <c r="HVU11" s="2235"/>
      <c r="HVV11" s="2235"/>
      <c r="HVW11" s="2235"/>
      <c r="HVX11" s="2235"/>
      <c r="HVY11" s="2235"/>
      <c r="HVZ11" s="2235"/>
      <c r="HWA11" s="2235"/>
      <c r="HWB11" s="2235"/>
      <c r="HWC11" s="2235"/>
      <c r="HWD11" s="2235"/>
      <c r="HWE11" s="2235"/>
      <c r="HWF11" s="2235"/>
      <c r="HWG11" s="2235"/>
      <c r="HWH11" s="2235"/>
      <c r="HWI11" s="2235"/>
      <c r="HWJ11" s="2235"/>
      <c r="HWK11" s="2235"/>
      <c r="HWL11" s="2235"/>
      <c r="HWM11" s="2235"/>
      <c r="HWN11" s="2235"/>
      <c r="HWO11" s="2235"/>
      <c r="HWP11" s="2235"/>
      <c r="HWQ11" s="2235"/>
      <c r="HWR11" s="2235"/>
      <c r="HWS11" s="2235"/>
      <c r="HWT11" s="2235"/>
      <c r="HWU11" s="2235"/>
      <c r="HWV11" s="2235"/>
      <c r="HWW11" s="2235"/>
      <c r="HWX11" s="2235"/>
      <c r="HWY11" s="2235"/>
      <c r="HWZ11" s="2235"/>
      <c r="HXA11" s="2235"/>
      <c r="HXB11" s="2235"/>
      <c r="HXC11" s="2235"/>
      <c r="HXD11" s="2235"/>
      <c r="HXE11" s="2235"/>
      <c r="HXF11" s="2235"/>
      <c r="HXG11" s="2235"/>
      <c r="HXH11" s="2235"/>
      <c r="HXI11" s="2235"/>
      <c r="HXJ11" s="2235"/>
      <c r="HXK11" s="2235"/>
      <c r="HXL11" s="2235"/>
      <c r="HXM11" s="2235"/>
      <c r="HXN11" s="2235"/>
      <c r="HXO11" s="2235"/>
      <c r="HXP11" s="2235"/>
      <c r="HXQ11" s="2235"/>
      <c r="HXR11" s="2235"/>
      <c r="HXS11" s="2235"/>
      <c r="HXT11" s="2235"/>
      <c r="HXU11" s="2235"/>
      <c r="HXV11" s="2235"/>
      <c r="HXW11" s="2235"/>
      <c r="HXX11" s="2235"/>
      <c r="HXY11" s="2235"/>
      <c r="HXZ11" s="2235"/>
      <c r="HYA11" s="2235"/>
      <c r="HYB11" s="2235"/>
      <c r="HYC11" s="2235"/>
      <c r="HYD11" s="2235"/>
      <c r="HYE11" s="2235"/>
      <c r="HYF11" s="2235"/>
      <c r="HYG11" s="2235"/>
      <c r="HYH11" s="2235"/>
      <c r="HYI11" s="2235"/>
      <c r="HYJ11" s="2235"/>
      <c r="HYK11" s="2235"/>
      <c r="HYL11" s="2235"/>
      <c r="HYM11" s="2235"/>
      <c r="HYN11" s="2235"/>
      <c r="HYO11" s="2235"/>
      <c r="HYP11" s="2235"/>
      <c r="HYQ11" s="2235"/>
      <c r="HYR11" s="2235"/>
      <c r="HYS11" s="2235"/>
      <c r="HYT11" s="2235"/>
      <c r="HYU11" s="2235"/>
      <c r="HYV11" s="2235"/>
      <c r="HYW11" s="2235"/>
      <c r="HYX11" s="2235"/>
      <c r="HYY11" s="2235"/>
      <c r="HYZ11" s="2235"/>
      <c r="HZA11" s="2235"/>
      <c r="HZB11" s="2235"/>
      <c r="HZC11" s="2235"/>
      <c r="HZD11" s="2235"/>
      <c r="HZE11" s="2235"/>
      <c r="HZF11" s="2235"/>
      <c r="HZG11" s="2235"/>
      <c r="HZH11" s="2235"/>
      <c r="HZI11" s="2235"/>
      <c r="HZJ11" s="2235"/>
      <c r="HZK11" s="2235"/>
      <c r="HZL11" s="2235"/>
      <c r="HZM11" s="2235"/>
      <c r="HZN11" s="2235"/>
      <c r="HZO11" s="2235"/>
      <c r="HZP11" s="2235"/>
      <c r="HZQ11" s="2235"/>
      <c r="HZR11" s="2235"/>
      <c r="HZS11" s="2235"/>
      <c r="HZT11" s="2235"/>
      <c r="HZU11" s="2235"/>
      <c r="HZV11" s="2235"/>
      <c r="HZW11" s="2235"/>
      <c r="HZX11" s="2235"/>
      <c r="HZY11" s="2235"/>
      <c r="HZZ11" s="2235"/>
      <c r="IAA11" s="2235"/>
      <c r="IAB11" s="2235"/>
      <c r="IAC11" s="2235"/>
      <c r="IAD11" s="2235"/>
      <c r="IAE11" s="2235"/>
      <c r="IAF11" s="2235"/>
      <c r="IAG11" s="2235"/>
      <c r="IAH11" s="2235"/>
      <c r="IAI11" s="2235"/>
      <c r="IAJ11" s="2235"/>
      <c r="IAK11" s="2235"/>
      <c r="IAL11" s="2235"/>
      <c r="IAM11" s="2235"/>
      <c r="IAN11" s="2235"/>
      <c r="IAO11" s="2235"/>
      <c r="IAP11" s="2235"/>
      <c r="IAQ11" s="2235"/>
      <c r="IAR11" s="2235"/>
      <c r="IAS11" s="2235"/>
      <c r="IAT11" s="2235"/>
      <c r="IAU11" s="2235"/>
      <c r="IAV11" s="2235"/>
      <c r="IAW11" s="2235"/>
      <c r="IAX11" s="2235"/>
      <c r="IAY11" s="2235"/>
      <c r="IAZ11" s="2235"/>
      <c r="IBA11" s="2235"/>
      <c r="IBB11" s="2235"/>
      <c r="IBC11" s="2235"/>
      <c r="IBD11" s="2235"/>
      <c r="IBE11" s="2235"/>
      <c r="IBF11" s="2235"/>
      <c r="IBG11" s="2235"/>
      <c r="IBH11" s="2235"/>
      <c r="IBI11" s="2235"/>
      <c r="IBJ11" s="2235"/>
      <c r="IBK11" s="2235"/>
      <c r="IBL11" s="2235"/>
      <c r="IBM11" s="2235"/>
      <c r="IBN11" s="2235"/>
      <c r="IBO11" s="2235"/>
      <c r="IBP11" s="2235"/>
      <c r="IBQ11" s="2235"/>
      <c r="IBR11" s="2235"/>
      <c r="IBS11" s="2235"/>
      <c r="IBT11" s="2235"/>
      <c r="IBU11" s="2235"/>
      <c r="IBV11" s="2235"/>
      <c r="IBW11" s="2235"/>
      <c r="IBX11" s="2235"/>
      <c r="IBY11" s="2235"/>
      <c r="IBZ11" s="2235"/>
      <c r="ICA11" s="2235"/>
      <c r="ICB11" s="2235"/>
      <c r="ICC11" s="2235"/>
      <c r="ICD11" s="2235"/>
      <c r="ICE11" s="2235"/>
      <c r="ICF11" s="2235"/>
      <c r="ICG11" s="2235"/>
      <c r="ICH11" s="2235"/>
      <c r="ICI11" s="2235"/>
      <c r="ICJ11" s="2235"/>
      <c r="ICK11" s="2235"/>
      <c r="ICL11" s="2235"/>
      <c r="ICM11" s="2235"/>
      <c r="ICN11" s="2235"/>
      <c r="ICO11" s="2235"/>
      <c r="ICP11" s="2235"/>
      <c r="ICQ11" s="2235"/>
      <c r="ICR11" s="2235"/>
      <c r="ICS11" s="2235"/>
      <c r="ICT11" s="2235"/>
      <c r="ICU11" s="2235"/>
      <c r="ICV11" s="2235"/>
      <c r="ICW11" s="2235"/>
      <c r="ICX11" s="2235"/>
      <c r="ICY11" s="2235"/>
      <c r="ICZ11" s="2235"/>
      <c r="IDA11" s="2235"/>
      <c r="IDB11" s="2235"/>
      <c r="IDC11" s="2235"/>
      <c r="IDD11" s="2235"/>
      <c r="IDE11" s="2235"/>
      <c r="IDF11" s="2235"/>
      <c r="IDG11" s="2235"/>
      <c r="IDH11" s="2235"/>
      <c r="IDI11" s="2235"/>
      <c r="IDJ11" s="2235"/>
      <c r="IDK11" s="2235"/>
      <c r="IDL11" s="2235"/>
      <c r="IDM11" s="2235"/>
      <c r="IDN11" s="2235"/>
      <c r="IDO11" s="2235"/>
      <c r="IDP11" s="2235"/>
      <c r="IDQ11" s="2235"/>
      <c r="IDR11" s="2235"/>
      <c r="IDS11" s="2235"/>
      <c r="IDT11" s="2235"/>
      <c r="IDU11" s="2235"/>
      <c r="IDV11" s="2235"/>
      <c r="IDW11" s="2235"/>
      <c r="IDX11" s="2235"/>
      <c r="IDY11" s="2235"/>
      <c r="IDZ11" s="2235"/>
      <c r="IEA11" s="2235"/>
      <c r="IEB11" s="2235"/>
      <c r="IEC11" s="2235"/>
      <c r="IED11" s="2235"/>
      <c r="IEE11" s="2235"/>
      <c r="IEF11" s="2235"/>
      <c r="IEG11" s="2235"/>
      <c r="IEH11" s="2235"/>
      <c r="IEI11" s="2235"/>
      <c r="IEJ11" s="2235"/>
      <c r="IEK11" s="2235"/>
      <c r="IEL11" s="2235"/>
      <c r="IEM11" s="2235"/>
      <c r="IEN11" s="2235"/>
      <c r="IEO11" s="2235"/>
      <c r="IEP11" s="2235"/>
      <c r="IEQ11" s="2235"/>
      <c r="IER11" s="2235"/>
      <c r="IES11" s="2235"/>
      <c r="IET11" s="2235"/>
      <c r="IEU11" s="2235"/>
      <c r="IEV11" s="2235"/>
      <c r="IEW11" s="2235"/>
      <c r="IEX11" s="2235"/>
      <c r="IEY11" s="2235"/>
      <c r="IEZ11" s="2235"/>
      <c r="IFA11" s="2235"/>
      <c r="IFB11" s="2235"/>
      <c r="IFC11" s="2235"/>
      <c r="IFD11" s="2235"/>
      <c r="IFE11" s="2235"/>
      <c r="IFF11" s="2235"/>
      <c r="IFG11" s="2235"/>
      <c r="IFH11" s="2235"/>
      <c r="IFI11" s="2235"/>
      <c r="IFJ11" s="2235"/>
      <c r="IFK11" s="2235"/>
      <c r="IFL11" s="2235"/>
      <c r="IFM11" s="2235"/>
      <c r="IFN11" s="2235"/>
      <c r="IFO11" s="2235"/>
      <c r="IFP11" s="2235"/>
      <c r="IFQ11" s="2235"/>
      <c r="IFR11" s="2235"/>
      <c r="IFS11" s="2235"/>
      <c r="IFT11" s="2235"/>
      <c r="IFU11" s="2235"/>
      <c r="IFV11" s="2235"/>
      <c r="IFW11" s="2235"/>
      <c r="IFX11" s="2235"/>
      <c r="IFY11" s="2235"/>
      <c r="IFZ11" s="2235"/>
      <c r="IGA11" s="2235"/>
      <c r="IGB11" s="2235"/>
      <c r="IGC11" s="2235"/>
      <c r="IGD11" s="2235"/>
      <c r="IGE11" s="2235"/>
      <c r="IGF11" s="2235"/>
      <c r="IGG11" s="2235"/>
      <c r="IGH11" s="2235"/>
      <c r="IGI11" s="2235"/>
      <c r="IGJ11" s="2235"/>
      <c r="IGK11" s="2235"/>
      <c r="IGL11" s="2235"/>
      <c r="IGM11" s="2235"/>
      <c r="IGN11" s="2235"/>
      <c r="IGO11" s="2235"/>
      <c r="IGP11" s="2235"/>
      <c r="IGQ11" s="2235"/>
      <c r="IGR11" s="2235"/>
      <c r="IGS11" s="2235"/>
      <c r="IGT11" s="2235"/>
      <c r="IGU11" s="2235"/>
      <c r="IGV11" s="2235"/>
      <c r="IGW11" s="2235"/>
      <c r="IGX11" s="2235"/>
      <c r="IGY11" s="2235"/>
      <c r="IGZ11" s="2235"/>
      <c r="IHA11" s="2235"/>
      <c r="IHB11" s="2235"/>
      <c r="IHC11" s="2235"/>
      <c r="IHD11" s="2235"/>
      <c r="IHE11" s="2235"/>
      <c r="IHF11" s="2235"/>
      <c r="IHG11" s="2235"/>
      <c r="IHH11" s="2235"/>
      <c r="IHI11" s="2235"/>
      <c r="IHJ11" s="2235"/>
      <c r="IHK11" s="2235"/>
      <c r="IHL11" s="2235"/>
      <c r="IHM11" s="2235"/>
      <c r="IHN11" s="2235"/>
      <c r="IHO11" s="2235"/>
      <c r="IHP11" s="2235"/>
      <c r="IHQ11" s="2235"/>
      <c r="IHR11" s="2235"/>
      <c r="IHS11" s="2235"/>
      <c r="IHT11" s="2235"/>
      <c r="IHU11" s="2235"/>
      <c r="IHV11" s="2235"/>
      <c r="IHW11" s="2235"/>
      <c r="IHX11" s="2235"/>
      <c r="IHY11" s="2235"/>
      <c r="IHZ11" s="2235"/>
      <c r="IIA11" s="2235"/>
      <c r="IIB11" s="2235"/>
      <c r="IIC11" s="2235"/>
      <c r="IID11" s="2235"/>
      <c r="IIE11" s="2235"/>
      <c r="IIF11" s="2235"/>
      <c r="IIG11" s="2235"/>
      <c r="IIH11" s="2235"/>
      <c r="III11" s="2235"/>
      <c r="IIJ11" s="2235"/>
      <c r="IIK11" s="2235"/>
      <c r="IIL11" s="2235"/>
      <c r="IIM11" s="2235"/>
      <c r="IIN11" s="2235"/>
      <c r="IIO11" s="2235"/>
      <c r="IIP11" s="2235"/>
      <c r="IIQ11" s="2235"/>
      <c r="IIR11" s="2235"/>
      <c r="IIS11" s="2235"/>
      <c r="IIT11" s="2235"/>
      <c r="IIU11" s="2235"/>
      <c r="IIV11" s="2235"/>
      <c r="IIW11" s="2235"/>
      <c r="IIX11" s="2235"/>
      <c r="IIY11" s="2235"/>
      <c r="IIZ11" s="2235"/>
      <c r="IJA11" s="2235"/>
      <c r="IJB11" s="2235"/>
      <c r="IJC11" s="2235"/>
      <c r="IJD11" s="2235"/>
      <c r="IJE11" s="2235"/>
      <c r="IJF11" s="2235"/>
      <c r="IJG11" s="2235"/>
      <c r="IJH11" s="2235"/>
      <c r="IJI11" s="2235"/>
      <c r="IJJ11" s="2235"/>
      <c r="IJK11" s="2235"/>
      <c r="IJL11" s="2235"/>
      <c r="IJM11" s="2235"/>
      <c r="IJN11" s="2235"/>
      <c r="IJO11" s="2235"/>
      <c r="IJP11" s="2235"/>
      <c r="IJQ11" s="2235"/>
      <c r="IJR11" s="2235"/>
      <c r="IJS11" s="2235"/>
      <c r="IJT11" s="2235"/>
      <c r="IJU11" s="2235"/>
      <c r="IJV11" s="2235"/>
      <c r="IJW11" s="2235"/>
      <c r="IJX11" s="2235"/>
      <c r="IJY11" s="2235"/>
      <c r="IJZ11" s="2235"/>
      <c r="IKA11" s="2235"/>
      <c r="IKB11" s="2235"/>
      <c r="IKC11" s="2235"/>
      <c r="IKD11" s="2235"/>
      <c r="IKE11" s="2235"/>
      <c r="IKF11" s="2235"/>
      <c r="IKG11" s="2235"/>
      <c r="IKH11" s="2235"/>
      <c r="IKI11" s="2235"/>
      <c r="IKJ11" s="2235"/>
      <c r="IKK11" s="2235"/>
      <c r="IKL11" s="2235"/>
      <c r="IKM11" s="2235"/>
      <c r="IKN11" s="2235"/>
      <c r="IKO11" s="2235"/>
      <c r="IKP11" s="2235"/>
      <c r="IKQ11" s="2235"/>
      <c r="IKR11" s="2235"/>
      <c r="IKS11" s="2235"/>
      <c r="IKT11" s="2235"/>
      <c r="IKU11" s="2235"/>
      <c r="IKV11" s="2235"/>
      <c r="IKW11" s="2235"/>
      <c r="IKX11" s="2235"/>
      <c r="IKY11" s="2235"/>
      <c r="IKZ11" s="2235"/>
      <c r="ILA11" s="2235"/>
      <c r="ILB11" s="2235"/>
      <c r="ILC11" s="2235"/>
      <c r="ILD11" s="2235"/>
      <c r="ILE11" s="2235"/>
      <c r="ILF11" s="2235"/>
      <c r="ILG11" s="2235"/>
      <c r="ILH11" s="2235"/>
      <c r="ILI11" s="2235"/>
      <c r="ILJ11" s="2235"/>
      <c r="ILK11" s="2235"/>
      <c r="ILL11" s="2235"/>
      <c r="ILM11" s="2235"/>
      <c r="ILN11" s="2235"/>
      <c r="ILO11" s="2235"/>
      <c r="ILP11" s="2235"/>
      <c r="ILQ11" s="2235"/>
      <c r="ILR11" s="2235"/>
      <c r="ILS11" s="2235"/>
      <c r="ILT11" s="2235"/>
      <c r="ILU11" s="2235"/>
      <c r="ILV11" s="2235"/>
      <c r="ILW11" s="2235"/>
      <c r="ILX11" s="2235"/>
      <c r="ILY11" s="2235"/>
      <c r="ILZ11" s="2235"/>
      <c r="IMA11" s="2235"/>
      <c r="IMB11" s="2235"/>
      <c r="IMC11" s="2235"/>
      <c r="IMD11" s="2235"/>
      <c r="IME11" s="2235"/>
      <c r="IMF11" s="2235"/>
      <c r="IMG11" s="2235"/>
      <c r="IMH11" s="2235"/>
      <c r="IMI11" s="2235"/>
      <c r="IMJ11" s="2235"/>
      <c r="IMK11" s="2235"/>
      <c r="IML11" s="2235"/>
      <c r="IMM11" s="2235"/>
      <c r="IMN11" s="2235"/>
      <c r="IMO11" s="2235"/>
      <c r="IMP11" s="2235"/>
      <c r="IMQ11" s="2235"/>
      <c r="IMR11" s="2235"/>
      <c r="IMS11" s="2235"/>
      <c r="IMT11" s="2235"/>
      <c r="IMU11" s="2235"/>
      <c r="IMV11" s="2235"/>
      <c r="IMW11" s="2235"/>
      <c r="IMX11" s="2235"/>
      <c r="IMY11" s="2235"/>
      <c r="IMZ11" s="2235"/>
      <c r="INA11" s="2235"/>
      <c r="INB11" s="2235"/>
      <c r="INC11" s="2235"/>
      <c r="IND11" s="2235"/>
      <c r="INE11" s="2235"/>
      <c r="INF11" s="2235"/>
      <c r="ING11" s="2235"/>
      <c r="INH11" s="2235"/>
      <c r="INI11" s="2235"/>
      <c r="INJ11" s="2235"/>
      <c r="INK11" s="2235"/>
      <c r="INL11" s="2235"/>
      <c r="INM11" s="2235"/>
      <c r="INN11" s="2235"/>
      <c r="INO11" s="2235"/>
      <c r="INP11" s="2235"/>
      <c r="INQ11" s="2235"/>
      <c r="INR11" s="2235"/>
      <c r="INS11" s="2235"/>
      <c r="INT11" s="2235"/>
      <c r="INU11" s="2235"/>
      <c r="INV11" s="2235"/>
      <c r="INW11" s="2235"/>
      <c r="INX11" s="2235"/>
      <c r="INY11" s="2235"/>
      <c r="INZ11" s="2235"/>
      <c r="IOA11" s="2235"/>
      <c r="IOB11" s="2235"/>
      <c r="IOC11" s="2235"/>
      <c r="IOD11" s="2235"/>
      <c r="IOE11" s="2235"/>
      <c r="IOF11" s="2235"/>
      <c r="IOG11" s="2235"/>
      <c r="IOH11" s="2235"/>
      <c r="IOI11" s="2235"/>
      <c r="IOJ11" s="2235"/>
      <c r="IOK11" s="2235"/>
      <c r="IOL11" s="2235"/>
      <c r="IOM11" s="2235"/>
      <c r="ION11" s="2235"/>
      <c r="IOO11" s="2235"/>
      <c r="IOP11" s="2235"/>
      <c r="IOQ11" s="2235"/>
      <c r="IOR11" s="2235"/>
      <c r="IOS11" s="2235"/>
      <c r="IOT11" s="2235"/>
      <c r="IOU11" s="2235"/>
      <c r="IOV11" s="2235"/>
      <c r="IOW11" s="2235"/>
      <c r="IOX11" s="2235"/>
      <c r="IOY11" s="2235"/>
      <c r="IOZ11" s="2235"/>
      <c r="IPA11" s="2235"/>
      <c r="IPB11" s="2235"/>
      <c r="IPC11" s="2235"/>
      <c r="IPD11" s="2235"/>
      <c r="IPE11" s="2235"/>
      <c r="IPF11" s="2235"/>
      <c r="IPG11" s="2235"/>
      <c r="IPH11" s="2235"/>
      <c r="IPI11" s="2235"/>
      <c r="IPJ11" s="2235"/>
      <c r="IPK11" s="2235"/>
      <c r="IPL11" s="2235"/>
      <c r="IPM11" s="2235"/>
      <c r="IPN11" s="2235"/>
      <c r="IPO11" s="2235"/>
      <c r="IPP11" s="2235"/>
      <c r="IPQ11" s="2235"/>
      <c r="IPR11" s="2235"/>
      <c r="IPS11" s="2235"/>
      <c r="IPT11" s="2235"/>
      <c r="IPU11" s="2235"/>
      <c r="IPV11" s="2235"/>
      <c r="IPW11" s="2235"/>
      <c r="IPX11" s="2235"/>
      <c r="IPY11" s="2235"/>
      <c r="IPZ11" s="2235"/>
      <c r="IQA11" s="2235"/>
      <c r="IQB11" s="2235"/>
      <c r="IQC11" s="2235"/>
      <c r="IQD11" s="2235"/>
      <c r="IQE11" s="2235"/>
      <c r="IQF11" s="2235"/>
      <c r="IQG11" s="2235"/>
      <c r="IQH11" s="2235"/>
      <c r="IQI11" s="2235"/>
      <c r="IQJ11" s="2235"/>
      <c r="IQK11" s="2235"/>
      <c r="IQL11" s="2235"/>
      <c r="IQM11" s="2235"/>
      <c r="IQN11" s="2235"/>
      <c r="IQO11" s="2235"/>
      <c r="IQP11" s="2235"/>
      <c r="IQQ11" s="2235"/>
      <c r="IQR11" s="2235"/>
      <c r="IQS11" s="2235"/>
      <c r="IQT11" s="2235"/>
      <c r="IQU11" s="2235"/>
      <c r="IQV11" s="2235"/>
      <c r="IQW11" s="2235"/>
      <c r="IQX11" s="2235"/>
      <c r="IQY11" s="2235"/>
      <c r="IQZ11" s="2235"/>
      <c r="IRA11" s="2235"/>
      <c r="IRB11" s="2235"/>
      <c r="IRC11" s="2235"/>
      <c r="IRD11" s="2235"/>
      <c r="IRE11" s="2235"/>
      <c r="IRF11" s="2235"/>
      <c r="IRG11" s="2235"/>
      <c r="IRH11" s="2235"/>
      <c r="IRI11" s="2235"/>
      <c r="IRJ11" s="2235"/>
      <c r="IRK11" s="2235"/>
      <c r="IRL11" s="2235"/>
      <c r="IRM11" s="2235"/>
      <c r="IRN11" s="2235"/>
      <c r="IRO11" s="2235"/>
      <c r="IRP11" s="2235"/>
      <c r="IRQ11" s="2235"/>
      <c r="IRR11" s="2235"/>
      <c r="IRS11" s="2235"/>
      <c r="IRT11" s="2235"/>
      <c r="IRU11" s="2235"/>
      <c r="IRV11" s="2235"/>
      <c r="IRW11" s="2235"/>
      <c r="IRX11" s="2235"/>
      <c r="IRY11" s="2235"/>
      <c r="IRZ11" s="2235"/>
      <c r="ISA11" s="2235"/>
      <c r="ISB11" s="2235"/>
      <c r="ISC11" s="2235"/>
      <c r="ISD11" s="2235"/>
      <c r="ISE11" s="2235"/>
      <c r="ISF11" s="2235"/>
      <c r="ISG11" s="2235"/>
      <c r="ISH11" s="2235"/>
      <c r="ISI11" s="2235"/>
      <c r="ISJ11" s="2235"/>
      <c r="ISK11" s="2235"/>
      <c r="ISL11" s="2235"/>
      <c r="ISM11" s="2235"/>
      <c r="ISN11" s="2235"/>
      <c r="ISO11" s="2235"/>
      <c r="ISP11" s="2235"/>
      <c r="ISQ11" s="2235"/>
      <c r="ISR11" s="2235"/>
      <c r="ISS11" s="2235"/>
      <c r="IST11" s="2235"/>
      <c r="ISU11" s="2235"/>
      <c r="ISV11" s="2235"/>
      <c r="ISW11" s="2235"/>
      <c r="ISX11" s="2235"/>
      <c r="ISY11" s="2235"/>
      <c r="ISZ11" s="2235"/>
      <c r="ITA11" s="2235"/>
      <c r="ITB11" s="2235"/>
      <c r="ITC11" s="2235"/>
      <c r="ITD11" s="2235"/>
      <c r="ITE11" s="2235"/>
      <c r="ITF11" s="2235"/>
      <c r="ITG11" s="2235"/>
      <c r="ITH11" s="2235"/>
      <c r="ITI11" s="2235"/>
      <c r="ITJ11" s="2235"/>
      <c r="ITK11" s="2235"/>
      <c r="ITL11" s="2235"/>
      <c r="ITM11" s="2235"/>
      <c r="ITN11" s="2235"/>
      <c r="ITO11" s="2235"/>
      <c r="ITP11" s="2235"/>
      <c r="ITQ11" s="2235"/>
      <c r="ITR11" s="2235"/>
      <c r="ITS11" s="2235"/>
      <c r="ITT11" s="2235"/>
      <c r="ITU11" s="2235"/>
      <c r="ITV11" s="2235"/>
      <c r="ITW11" s="2235"/>
      <c r="ITX11" s="2235"/>
      <c r="ITY11" s="2235"/>
      <c r="ITZ11" s="2235"/>
      <c r="IUA11" s="2235"/>
      <c r="IUB11" s="2235"/>
      <c r="IUC11" s="2235"/>
      <c r="IUD11" s="2235"/>
      <c r="IUE11" s="2235"/>
      <c r="IUF11" s="2235"/>
      <c r="IUG11" s="2235"/>
      <c r="IUH11" s="2235"/>
      <c r="IUI11" s="2235"/>
      <c r="IUJ11" s="2235"/>
      <c r="IUK11" s="2235"/>
      <c r="IUL11" s="2235"/>
      <c r="IUM11" s="2235"/>
      <c r="IUN11" s="2235"/>
      <c r="IUO11" s="2235"/>
      <c r="IUP11" s="2235"/>
      <c r="IUQ11" s="2235"/>
      <c r="IUR11" s="2235"/>
      <c r="IUS11" s="2235"/>
      <c r="IUT11" s="2235"/>
      <c r="IUU11" s="2235"/>
      <c r="IUV11" s="2235"/>
      <c r="IUW11" s="2235"/>
      <c r="IUX11" s="2235"/>
      <c r="IUY11" s="2235"/>
      <c r="IUZ11" s="2235"/>
      <c r="IVA11" s="2235"/>
      <c r="IVB11" s="2235"/>
      <c r="IVC11" s="2235"/>
      <c r="IVD11" s="2235"/>
      <c r="IVE11" s="2235"/>
      <c r="IVF11" s="2235"/>
      <c r="IVG11" s="2235"/>
      <c r="IVH11" s="2235"/>
      <c r="IVI11" s="2235"/>
      <c r="IVJ11" s="2235"/>
      <c r="IVK11" s="2235"/>
      <c r="IVL11" s="2235"/>
      <c r="IVM11" s="2235"/>
      <c r="IVN11" s="2235"/>
      <c r="IVO11" s="2235"/>
      <c r="IVP11" s="2235"/>
      <c r="IVQ11" s="2235"/>
      <c r="IVR11" s="2235"/>
      <c r="IVS11" s="2235"/>
      <c r="IVT11" s="2235"/>
      <c r="IVU11" s="2235"/>
      <c r="IVV11" s="2235"/>
      <c r="IVW11" s="2235"/>
      <c r="IVX11" s="2235"/>
      <c r="IVY11" s="2235"/>
      <c r="IVZ11" s="2235"/>
      <c r="IWA11" s="2235"/>
      <c r="IWB11" s="2235"/>
      <c r="IWC11" s="2235"/>
      <c r="IWD11" s="2235"/>
      <c r="IWE11" s="2235"/>
      <c r="IWF11" s="2235"/>
      <c r="IWG11" s="2235"/>
      <c r="IWH11" s="2235"/>
      <c r="IWI11" s="2235"/>
      <c r="IWJ11" s="2235"/>
      <c r="IWK11" s="2235"/>
      <c r="IWL11" s="2235"/>
      <c r="IWM11" s="2235"/>
      <c r="IWN11" s="2235"/>
      <c r="IWO11" s="2235"/>
      <c r="IWP11" s="2235"/>
      <c r="IWQ11" s="2235"/>
      <c r="IWR11" s="2235"/>
      <c r="IWS11" s="2235"/>
      <c r="IWT11" s="2235"/>
      <c r="IWU11" s="2235"/>
      <c r="IWV11" s="2235"/>
      <c r="IWW11" s="2235"/>
      <c r="IWX11" s="2235"/>
      <c r="IWY11" s="2235"/>
      <c r="IWZ11" s="2235"/>
      <c r="IXA11" s="2235"/>
      <c r="IXB11" s="2235"/>
      <c r="IXC11" s="2235"/>
      <c r="IXD11" s="2235"/>
      <c r="IXE11" s="2235"/>
      <c r="IXF11" s="2235"/>
      <c r="IXG11" s="2235"/>
      <c r="IXH11" s="2235"/>
      <c r="IXI11" s="2235"/>
      <c r="IXJ11" s="2235"/>
      <c r="IXK11" s="2235"/>
      <c r="IXL11" s="2235"/>
      <c r="IXM11" s="2235"/>
      <c r="IXN11" s="2235"/>
      <c r="IXO11" s="2235"/>
      <c r="IXP11" s="2235"/>
      <c r="IXQ11" s="2235"/>
      <c r="IXR11" s="2235"/>
      <c r="IXS11" s="2235"/>
      <c r="IXT11" s="2235"/>
      <c r="IXU11" s="2235"/>
      <c r="IXV11" s="2235"/>
      <c r="IXW11" s="2235"/>
      <c r="IXX11" s="2235"/>
      <c r="IXY11" s="2235"/>
      <c r="IXZ11" s="2235"/>
      <c r="IYA11" s="2235"/>
      <c r="IYB11" s="2235"/>
      <c r="IYC11" s="2235"/>
      <c r="IYD11" s="2235"/>
      <c r="IYE11" s="2235"/>
      <c r="IYF11" s="2235"/>
      <c r="IYG11" s="2235"/>
      <c r="IYH11" s="2235"/>
      <c r="IYI11" s="2235"/>
      <c r="IYJ11" s="2235"/>
      <c r="IYK11" s="2235"/>
      <c r="IYL11" s="2235"/>
      <c r="IYM11" s="2235"/>
      <c r="IYN11" s="2235"/>
      <c r="IYO11" s="2235"/>
      <c r="IYP11" s="2235"/>
      <c r="IYQ11" s="2235"/>
      <c r="IYR11" s="2235"/>
      <c r="IYS11" s="2235"/>
      <c r="IYT11" s="2235"/>
      <c r="IYU11" s="2235"/>
      <c r="IYV11" s="2235"/>
      <c r="IYW11" s="2235"/>
      <c r="IYX11" s="2235"/>
      <c r="IYY11" s="2235"/>
      <c r="IYZ11" s="2235"/>
      <c r="IZA11" s="2235"/>
      <c r="IZB11" s="2235"/>
      <c r="IZC11" s="2235"/>
      <c r="IZD11" s="2235"/>
      <c r="IZE11" s="2235"/>
      <c r="IZF11" s="2235"/>
      <c r="IZG11" s="2235"/>
      <c r="IZH11" s="2235"/>
      <c r="IZI11" s="2235"/>
      <c r="IZJ11" s="2235"/>
      <c r="IZK11" s="2235"/>
      <c r="IZL11" s="2235"/>
      <c r="IZM11" s="2235"/>
      <c r="IZN11" s="2235"/>
      <c r="IZO11" s="2235"/>
      <c r="IZP11" s="2235"/>
      <c r="IZQ11" s="2235"/>
      <c r="IZR11" s="2235"/>
      <c r="IZS11" s="2235"/>
      <c r="IZT11" s="2235"/>
      <c r="IZU11" s="2235"/>
      <c r="IZV11" s="2235"/>
      <c r="IZW11" s="2235"/>
      <c r="IZX11" s="2235"/>
      <c r="IZY11" s="2235"/>
      <c r="IZZ11" s="2235"/>
      <c r="JAA11" s="2235"/>
      <c r="JAB11" s="2235"/>
      <c r="JAC11" s="2235"/>
      <c r="JAD11" s="2235"/>
      <c r="JAE11" s="2235"/>
      <c r="JAF11" s="2235"/>
      <c r="JAG11" s="2235"/>
      <c r="JAH11" s="2235"/>
      <c r="JAI11" s="2235"/>
      <c r="JAJ11" s="2235"/>
      <c r="JAK11" s="2235"/>
      <c r="JAL11" s="2235"/>
      <c r="JAM11" s="2235"/>
      <c r="JAN11" s="2235"/>
      <c r="JAO11" s="2235"/>
      <c r="JAP11" s="2235"/>
      <c r="JAQ11" s="2235"/>
      <c r="JAR11" s="2235"/>
      <c r="JAS11" s="2235"/>
      <c r="JAT11" s="2235"/>
      <c r="JAU11" s="2235"/>
      <c r="JAV11" s="2235"/>
      <c r="JAW11" s="2235"/>
      <c r="JAX11" s="2235"/>
      <c r="JAY11" s="2235"/>
      <c r="JAZ11" s="2235"/>
      <c r="JBA11" s="2235"/>
      <c r="JBB11" s="2235"/>
      <c r="JBC11" s="2235"/>
      <c r="JBD11" s="2235"/>
      <c r="JBE11" s="2235"/>
      <c r="JBF11" s="2235"/>
      <c r="JBG11" s="2235"/>
      <c r="JBH11" s="2235"/>
      <c r="JBI11" s="2235"/>
      <c r="JBJ11" s="2235"/>
      <c r="JBK11" s="2235"/>
      <c r="JBL11" s="2235"/>
      <c r="JBM11" s="2235"/>
      <c r="JBN11" s="2235"/>
      <c r="JBO11" s="2235"/>
      <c r="JBP11" s="2235"/>
      <c r="JBQ11" s="2235"/>
      <c r="JBR11" s="2235"/>
      <c r="JBS11" s="2235"/>
      <c r="JBT11" s="2235"/>
      <c r="JBU11" s="2235"/>
      <c r="JBV11" s="2235"/>
      <c r="JBW11" s="2235"/>
      <c r="JBX11" s="2235"/>
      <c r="JBY11" s="2235"/>
      <c r="JBZ11" s="2235"/>
      <c r="JCA11" s="2235"/>
      <c r="JCB11" s="2235"/>
      <c r="JCC11" s="2235"/>
      <c r="JCD11" s="2235"/>
      <c r="JCE11" s="2235"/>
      <c r="JCF11" s="2235"/>
      <c r="JCG11" s="2235"/>
      <c r="JCH11" s="2235"/>
      <c r="JCI11" s="2235"/>
      <c r="JCJ11" s="2235"/>
      <c r="JCK11" s="2235"/>
      <c r="JCL11" s="2235"/>
      <c r="JCM11" s="2235"/>
      <c r="JCN11" s="2235"/>
      <c r="JCO11" s="2235"/>
      <c r="JCP11" s="2235"/>
      <c r="JCQ11" s="2235"/>
      <c r="JCR11" s="2235"/>
      <c r="JCS11" s="2235"/>
      <c r="JCT11" s="2235"/>
      <c r="JCU11" s="2235"/>
      <c r="JCV11" s="2235"/>
      <c r="JCW11" s="2235"/>
      <c r="JCX11" s="2235"/>
      <c r="JCY11" s="2235"/>
      <c r="JCZ11" s="2235"/>
      <c r="JDA11" s="2235"/>
      <c r="JDB11" s="2235"/>
      <c r="JDC11" s="2235"/>
      <c r="JDD11" s="2235"/>
      <c r="JDE11" s="2235"/>
      <c r="JDF11" s="2235"/>
      <c r="JDG11" s="2235"/>
      <c r="JDH11" s="2235"/>
      <c r="JDI11" s="2235"/>
      <c r="JDJ11" s="2235"/>
      <c r="JDK11" s="2235"/>
      <c r="JDL11" s="2235"/>
      <c r="JDM11" s="2235"/>
      <c r="JDN11" s="2235"/>
      <c r="JDO11" s="2235"/>
      <c r="JDP11" s="2235"/>
      <c r="JDQ11" s="2235"/>
      <c r="JDR11" s="2235"/>
      <c r="JDS11" s="2235"/>
      <c r="JDT11" s="2235"/>
      <c r="JDU11" s="2235"/>
      <c r="JDV11" s="2235"/>
      <c r="JDW11" s="2235"/>
      <c r="JDX11" s="2235"/>
      <c r="JDY11" s="2235"/>
      <c r="JDZ11" s="2235"/>
      <c r="JEA11" s="2235"/>
      <c r="JEB11" s="2235"/>
      <c r="JEC11" s="2235"/>
      <c r="JED11" s="2235"/>
      <c r="JEE11" s="2235"/>
      <c r="JEF11" s="2235"/>
      <c r="JEG11" s="2235"/>
      <c r="JEH11" s="2235"/>
      <c r="JEI11" s="2235"/>
      <c r="JEJ11" s="2235"/>
      <c r="JEK11" s="2235"/>
      <c r="JEL11" s="2235"/>
      <c r="JEM11" s="2235"/>
      <c r="JEN11" s="2235"/>
      <c r="JEO11" s="2235"/>
      <c r="JEP11" s="2235"/>
      <c r="JEQ11" s="2235"/>
      <c r="JER11" s="2235"/>
      <c r="JES11" s="2235"/>
      <c r="JET11" s="2235"/>
      <c r="JEU11" s="2235"/>
      <c r="JEV11" s="2235"/>
      <c r="JEW11" s="2235"/>
      <c r="JEX11" s="2235"/>
      <c r="JEY11" s="2235"/>
      <c r="JEZ11" s="2235"/>
      <c r="JFA11" s="2235"/>
      <c r="JFB11" s="2235"/>
      <c r="JFC11" s="2235"/>
      <c r="JFD11" s="2235"/>
      <c r="JFE11" s="2235"/>
      <c r="JFF11" s="2235"/>
      <c r="JFG11" s="2235"/>
      <c r="JFH11" s="2235"/>
      <c r="JFI11" s="2235"/>
      <c r="JFJ11" s="2235"/>
      <c r="JFK11" s="2235"/>
      <c r="JFL11" s="2235"/>
      <c r="JFM11" s="2235"/>
      <c r="JFN11" s="2235"/>
      <c r="JFO11" s="2235"/>
      <c r="JFP11" s="2235"/>
      <c r="JFQ11" s="2235"/>
      <c r="JFR11" s="2235"/>
      <c r="JFS11" s="2235"/>
      <c r="JFT11" s="2235"/>
      <c r="JFU11" s="2235"/>
      <c r="JFV11" s="2235"/>
      <c r="JFW11" s="2235"/>
      <c r="JFX11" s="2235"/>
      <c r="JFY11" s="2235"/>
      <c r="JFZ11" s="2235"/>
      <c r="JGA11" s="2235"/>
      <c r="JGB11" s="2235"/>
      <c r="JGC11" s="2235"/>
      <c r="JGD11" s="2235"/>
      <c r="JGE11" s="2235"/>
      <c r="JGF11" s="2235"/>
      <c r="JGG11" s="2235"/>
      <c r="JGH11" s="2235"/>
      <c r="JGI11" s="2235"/>
      <c r="JGJ11" s="2235"/>
      <c r="JGK11" s="2235"/>
      <c r="JGL11" s="2235"/>
      <c r="JGM11" s="2235"/>
      <c r="JGN11" s="2235"/>
      <c r="JGO11" s="2235"/>
      <c r="JGP11" s="2235"/>
      <c r="JGQ11" s="2235"/>
      <c r="JGR11" s="2235"/>
      <c r="JGS11" s="2235"/>
      <c r="JGT11" s="2235"/>
      <c r="JGU11" s="2235"/>
      <c r="JGV11" s="2235"/>
      <c r="JGW11" s="2235"/>
      <c r="JGX11" s="2235"/>
      <c r="JGY11" s="2235"/>
      <c r="JGZ11" s="2235"/>
      <c r="JHA11" s="2235"/>
      <c r="JHB11" s="2235"/>
      <c r="JHC11" s="2235"/>
      <c r="JHD11" s="2235"/>
      <c r="JHE11" s="2235"/>
      <c r="JHF11" s="2235"/>
      <c r="JHG11" s="2235"/>
      <c r="JHH11" s="2235"/>
      <c r="JHI11" s="2235"/>
      <c r="JHJ11" s="2235"/>
      <c r="JHK11" s="2235"/>
      <c r="JHL11" s="2235"/>
      <c r="JHM11" s="2235"/>
      <c r="JHN11" s="2235"/>
      <c r="JHO11" s="2235"/>
      <c r="JHP11" s="2235"/>
      <c r="JHQ11" s="2235"/>
      <c r="JHR11" s="2235"/>
      <c r="JHS11" s="2235"/>
      <c r="JHT11" s="2235"/>
      <c r="JHU11" s="2235"/>
      <c r="JHV11" s="2235"/>
      <c r="JHW11" s="2235"/>
      <c r="JHX11" s="2235"/>
      <c r="JHY11" s="2235"/>
      <c r="JHZ11" s="2235"/>
      <c r="JIA11" s="2235"/>
      <c r="JIB11" s="2235"/>
      <c r="JIC11" s="2235"/>
      <c r="JID11" s="2235"/>
      <c r="JIE11" s="2235"/>
      <c r="JIF11" s="2235"/>
      <c r="JIG11" s="2235"/>
      <c r="JIH11" s="2235"/>
      <c r="JII11" s="2235"/>
      <c r="JIJ11" s="2235"/>
      <c r="JIK11" s="2235"/>
      <c r="JIL11" s="2235"/>
      <c r="JIM11" s="2235"/>
      <c r="JIN11" s="2235"/>
      <c r="JIO11" s="2235"/>
      <c r="JIP11" s="2235"/>
      <c r="JIQ11" s="2235"/>
      <c r="JIR11" s="2235"/>
      <c r="JIS11" s="2235"/>
      <c r="JIT11" s="2235"/>
      <c r="JIU11" s="2235"/>
      <c r="JIV11" s="2235"/>
      <c r="JIW11" s="2235"/>
      <c r="JIX11" s="2235"/>
      <c r="JIY11" s="2235"/>
      <c r="JIZ11" s="2235"/>
      <c r="JJA11" s="2235"/>
      <c r="JJB11" s="2235"/>
      <c r="JJC11" s="2235"/>
      <c r="JJD11" s="2235"/>
      <c r="JJE11" s="2235"/>
      <c r="JJF11" s="2235"/>
      <c r="JJG11" s="2235"/>
      <c r="JJH11" s="2235"/>
      <c r="JJI11" s="2235"/>
      <c r="JJJ11" s="2235"/>
      <c r="JJK11" s="2235"/>
      <c r="JJL11" s="2235"/>
      <c r="JJM11" s="2235"/>
      <c r="JJN11" s="2235"/>
      <c r="JJO11" s="2235"/>
      <c r="JJP11" s="2235"/>
      <c r="JJQ11" s="2235"/>
      <c r="JJR11" s="2235"/>
      <c r="JJS11" s="2235"/>
      <c r="JJT11" s="2235"/>
      <c r="JJU11" s="2235"/>
      <c r="JJV11" s="2235"/>
      <c r="JJW11" s="2235"/>
      <c r="JJX11" s="2235"/>
      <c r="JJY11" s="2235"/>
      <c r="JJZ11" s="2235"/>
      <c r="JKA11" s="2235"/>
      <c r="JKB11" s="2235"/>
      <c r="JKC11" s="2235"/>
      <c r="JKD11" s="2235"/>
      <c r="JKE11" s="2235"/>
      <c r="JKF11" s="2235"/>
      <c r="JKG11" s="2235"/>
      <c r="JKH11" s="2235"/>
      <c r="JKI11" s="2235"/>
      <c r="JKJ11" s="2235"/>
      <c r="JKK11" s="2235"/>
      <c r="JKL11" s="2235"/>
      <c r="JKM11" s="2235"/>
      <c r="JKN11" s="2235"/>
      <c r="JKO11" s="2235"/>
      <c r="JKP11" s="2235"/>
      <c r="JKQ11" s="2235"/>
      <c r="JKR11" s="2235"/>
      <c r="JKS11" s="2235"/>
      <c r="JKT11" s="2235"/>
      <c r="JKU11" s="2235"/>
      <c r="JKV11" s="2235"/>
      <c r="JKW11" s="2235"/>
      <c r="JKX11" s="2235"/>
      <c r="JKY11" s="2235"/>
      <c r="JKZ11" s="2235"/>
      <c r="JLA11" s="2235"/>
      <c r="JLB11" s="2235"/>
      <c r="JLC11" s="2235"/>
      <c r="JLD11" s="2235"/>
      <c r="JLE11" s="2235"/>
      <c r="JLF11" s="2235"/>
      <c r="JLG11" s="2235"/>
      <c r="JLH11" s="2235"/>
      <c r="JLI11" s="2235"/>
      <c r="JLJ11" s="2235"/>
      <c r="JLK11" s="2235"/>
      <c r="JLL11" s="2235"/>
      <c r="JLM11" s="2235"/>
      <c r="JLN11" s="2235"/>
      <c r="JLO11" s="2235"/>
      <c r="JLP11" s="2235"/>
      <c r="JLQ11" s="2235"/>
      <c r="JLR11" s="2235"/>
      <c r="JLS11" s="2235"/>
      <c r="JLT11" s="2235"/>
      <c r="JLU11" s="2235"/>
      <c r="JLV11" s="2235"/>
      <c r="JLW11" s="2235"/>
      <c r="JLX11" s="2235"/>
      <c r="JLY11" s="2235"/>
      <c r="JLZ11" s="2235"/>
      <c r="JMA11" s="2235"/>
      <c r="JMB11" s="2235"/>
      <c r="JMC11" s="2235"/>
      <c r="JMD11" s="2235"/>
      <c r="JME11" s="2235"/>
      <c r="JMF11" s="2235"/>
      <c r="JMG11" s="2235"/>
      <c r="JMH11" s="2235"/>
      <c r="JMI11" s="2235"/>
      <c r="JMJ11" s="2235"/>
      <c r="JMK11" s="2235"/>
      <c r="JML11" s="2235"/>
      <c r="JMM11" s="2235"/>
      <c r="JMN11" s="2235"/>
      <c r="JMO11" s="2235"/>
      <c r="JMP11" s="2235"/>
      <c r="JMQ11" s="2235"/>
      <c r="JMR11" s="2235"/>
      <c r="JMS11" s="2235"/>
      <c r="JMT11" s="2235"/>
      <c r="JMU11" s="2235"/>
      <c r="JMV11" s="2235"/>
      <c r="JMW11" s="2235"/>
      <c r="JMX11" s="2235"/>
      <c r="JMY11" s="2235"/>
      <c r="JMZ11" s="2235"/>
      <c r="JNA11" s="2235"/>
      <c r="JNB11" s="2235"/>
      <c r="JNC11" s="2235"/>
      <c r="JND11" s="2235"/>
      <c r="JNE11" s="2235"/>
      <c r="JNF11" s="2235"/>
      <c r="JNG11" s="2235"/>
      <c r="JNH11" s="2235"/>
      <c r="JNI11" s="2235"/>
      <c r="JNJ11" s="2235"/>
      <c r="JNK11" s="2235"/>
      <c r="JNL11" s="2235"/>
      <c r="JNM11" s="2235"/>
      <c r="JNN11" s="2235"/>
      <c r="JNO11" s="2235"/>
      <c r="JNP11" s="2235"/>
      <c r="JNQ11" s="2235"/>
      <c r="JNR11" s="2235"/>
      <c r="JNS11" s="2235"/>
      <c r="JNT11" s="2235"/>
      <c r="JNU11" s="2235"/>
      <c r="JNV11" s="2235"/>
      <c r="JNW11" s="2235"/>
      <c r="JNX11" s="2235"/>
      <c r="JNY11" s="2235"/>
      <c r="JNZ11" s="2235"/>
      <c r="JOA11" s="2235"/>
      <c r="JOB11" s="2235"/>
      <c r="JOC11" s="2235"/>
      <c r="JOD11" s="2235"/>
      <c r="JOE11" s="2235"/>
      <c r="JOF11" s="2235"/>
      <c r="JOG11" s="2235"/>
      <c r="JOH11" s="2235"/>
      <c r="JOI11" s="2235"/>
      <c r="JOJ11" s="2235"/>
      <c r="JOK11" s="2235"/>
      <c r="JOL11" s="2235"/>
      <c r="JOM11" s="2235"/>
      <c r="JON11" s="2235"/>
      <c r="JOO11" s="2235"/>
      <c r="JOP11" s="2235"/>
      <c r="JOQ11" s="2235"/>
      <c r="JOR11" s="2235"/>
      <c r="JOS11" s="2235"/>
      <c r="JOT11" s="2235"/>
      <c r="JOU11" s="2235"/>
      <c r="JOV11" s="2235"/>
      <c r="JOW11" s="2235"/>
      <c r="JOX11" s="2235"/>
      <c r="JOY11" s="2235"/>
      <c r="JOZ11" s="2235"/>
      <c r="JPA11" s="2235"/>
      <c r="JPB11" s="2235"/>
      <c r="JPC11" s="2235"/>
      <c r="JPD11" s="2235"/>
      <c r="JPE11" s="2235"/>
      <c r="JPF11" s="2235"/>
      <c r="JPG11" s="2235"/>
      <c r="JPH11" s="2235"/>
      <c r="JPI11" s="2235"/>
      <c r="JPJ11" s="2235"/>
      <c r="JPK11" s="2235"/>
      <c r="JPL11" s="2235"/>
      <c r="JPM11" s="2235"/>
      <c r="JPN11" s="2235"/>
      <c r="JPO11" s="2235"/>
      <c r="JPP11" s="2235"/>
      <c r="JPQ11" s="2235"/>
      <c r="JPR11" s="2235"/>
      <c r="JPS11" s="2235"/>
      <c r="JPT11" s="2235"/>
      <c r="JPU11" s="2235"/>
      <c r="JPV11" s="2235"/>
      <c r="JPW11" s="2235"/>
      <c r="JPX11" s="2235"/>
      <c r="JPY11" s="2235"/>
      <c r="JPZ11" s="2235"/>
      <c r="JQA11" s="2235"/>
      <c r="JQB11" s="2235"/>
      <c r="JQC11" s="2235"/>
      <c r="JQD11" s="2235"/>
      <c r="JQE11" s="2235"/>
      <c r="JQF11" s="2235"/>
      <c r="JQG11" s="2235"/>
      <c r="JQH11" s="2235"/>
      <c r="JQI11" s="2235"/>
      <c r="JQJ11" s="2235"/>
      <c r="JQK11" s="2235"/>
      <c r="JQL11" s="2235"/>
      <c r="JQM11" s="2235"/>
      <c r="JQN11" s="2235"/>
      <c r="JQO11" s="2235"/>
      <c r="JQP11" s="2235"/>
      <c r="JQQ11" s="2235"/>
      <c r="JQR11" s="2235"/>
      <c r="JQS11" s="2235"/>
      <c r="JQT11" s="2235"/>
      <c r="JQU11" s="2235"/>
      <c r="JQV11" s="2235"/>
      <c r="JQW11" s="2235"/>
      <c r="JQX11" s="2235"/>
      <c r="JQY11" s="2235"/>
      <c r="JQZ11" s="2235"/>
      <c r="JRA11" s="2235"/>
      <c r="JRB11" s="2235"/>
      <c r="JRC11" s="2235"/>
      <c r="JRD11" s="2235"/>
      <c r="JRE11" s="2235"/>
      <c r="JRF11" s="2235"/>
      <c r="JRG11" s="2235"/>
      <c r="JRH11" s="2235"/>
      <c r="JRI11" s="2235"/>
      <c r="JRJ11" s="2235"/>
      <c r="JRK11" s="2235"/>
      <c r="JRL11" s="2235"/>
      <c r="JRM11" s="2235"/>
      <c r="JRN11" s="2235"/>
      <c r="JRO11" s="2235"/>
      <c r="JRP11" s="2235"/>
      <c r="JRQ11" s="2235"/>
      <c r="JRR11" s="2235"/>
      <c r="JRS11" s="2235"/>
      <c r="JRT11" s="2235"/>
      <c r="JRU11" s="2235"/>
      <c r="JRV11" s="2235"/>
      <c r="JRW11" s="2235"/>
      <c r="JRX11" s="2235"/>
      <c r="JRY11" s="2235"/>
      <c r="JRZ11" s="2235"/>
      <c r="JSA11" s="2235"/>
      <c r="JSB11" s="2235"/>
      <c r="JSC11" s="2235"/>
      <c r="JSD11" s="2235"/>
      <c r="JSE11" s="2235"/>
      <c r="JSF11" s="2235"/>
      <c r="JSG11" s="2235"/>
      <c r="JSH11" s="2235"/>
      <c r="JSI11" s="2235"/>
      <c r="JSJ11" s="2235"/>
      <c r="JSK11" s="2235"/>
      <c r="JSL11" s="2235"/>
      <c r="JSM11" s="2235"/>
      <c r="JSN11" s="2235"/>
      <c r="JSO11" s="2235"/>
      <c r="JSP11" s="2235"/>
      <c r="JSQ11" s="2235"/>
      <c r="JSR11" s="2235"/>
      <c r="JSS11" s="2235"/>
      <c r="JST11" s="2235"/>
      <c r="JSU11" s="2235"/>
      <c r="JSV11" s="2235"/>
      <c r="JSW11" s="2235"/>
      <c r="JSX11" s="2235"/>
      <c r="JSY11" s="2235"/>
      <c r="JSZ11" s="2235"/>
      <c r="JTA11" s="2235"/>
      <c r="JTB11" s="2235"/>
      <c r="JTC11" s="2235"/>
      <c r="JTD11" s="2235"/>
      <c r="JTE11" s="2235"/>
      <c r="JTF11" s="2235"/>
      <c r="JTG11" s="2235"/>
      <c r="JTH11" s="2235"/>
      <c r="JTI11" s="2235"/>
      <c r="JTJ11" s="2235"/>
      <c r="JTK11" s="2235"/>
      <c r="JTL11" s="2235"/>
      <c r="JTM11" s="2235"/>
      <c r="JTN11" s="2235"/>
      <c r="JTO11" s="2235"/>
      <c r="JTP11" s="2235"/>
      <c r="JTQ11" s="2235"/>
      <c r="JTR11" s="2235"/>
      <c r="JTS11" s="2235"/>
      <c r="JTT11" s="2235"/>
      <c r="JTU11" s="2235"/>
      <c r="JTV11" s="2235"/>
      <c r="JTW11" s="2235"/>
      <c r="JTX11" s="2235"/>
      <c r="JTY11" s="2235"/>
      <c r="JTZ11" s="2235"/>
      <c r="JUA11" s="2235"/>
      <c r="JUB11" s="2235"/>
      <c r="JUC11" s="2235"/>
      <c r="JUD11" s="2235"/>
      <c r="JUE11" s="2235"/>
      <c r="JUF11" s="2235"/>
      <c r="JUG11" s="2235"/>
      <c r="JUH11" s="2235"/>
      <c r="JUI11" s="2235"/>
      <c r="JUJ11" s="2235"/>
      <c r="JUK11" s="2235"/>
      <c r="JUL11" s="2235"/>
      <c r="JUM11" s="2235"/>
      <c r="JUN11" s="2235"/>
      <c r="JUO11" s="2235"/>
      <c r="JUP11" s="2235"/>
      <c r="JUQ11" s="2235"/>
      <c r="JUR11" s="2235"/>
      <c r="JUS11" s="2235"/>
      <c r="JUT11" s="2235"/>
      <c r="JUU11" s="2235"/>
      <c r="JUV11" s="2235"/>
      <c r="JUW11" s="2235"/>
      <c r="JUX11" s="2235"/>
      <c r="JUY11" s="2235"/>
      <c r="JUZ11" s="2235"/>
      <c r="JVA11" s="2235"/>
      <c r="JVB11" s="2235"/>
      <c r="JVC11" s="2235"/>
      <c r="JVD11" s="2235"/>
      <c r="JVE11" s="2235"/>
      <c r="JVF11" s="2235"/>
      <c r="JVG11" s="2235"/>
      <c r="JVH11" s="2235"/>
      <c r="JVI11" s="2235"/>
      <c r="JVJ11" s="2235"/>
      <c r="JVK11" s="2235"/>
      <c r="JVL11" s="2235"/>
      <c r="JVM11" s="2235"/>
      <c r="JVN11" s="2235"/>
      <c r="JVO11" s="2235"/>
      <c r="JVP11" s="2235"/>
      <c r="JVQ11" s="2235"/>
      <c r="JVR11" s="2235"/>
      <c r="JVS11" s="2235"/>
      <c r="JVT11" s="2235"/>
      <c r="JVU11" s="2235"/>
      <c r="JVV11" s="2235"/>
      <c r="JVW11" s="2235"/>
      <c r="JVX11" s="2235"/>
      <c r="JVY11" s="2235"/>
      <c r="JVZ11" s="2235"/>
      <c r="JWA11" s="2235"/>
      <c r="JWB11" s="2235"/>
      <c r="JWC11" s="2235"/>
      <c r="JWD11" s="2235"/>
      <c r="JWE11" s="2235"/>
      <c r="JWF11" s="2235"/>
      <c r="JWG11" s="2235"/>
      <c r="JWH11" s="2235"/>
      <c r="JWI11" s="2235"/>
      <c r="JWJ11" s="2235"/>
      <c r="JWK11" s="2235"/>
      <c r="JWL11" s="2235"/>
      <c r="JWM11" s="2235"/>
      <c r="JWN11" s="2235"/>
      <c r="JWO11" s="2235"/>
      <c r="JWP11" s="2235"/>
      <c r="JWQ11" s="2235"/>
      <c r="JWR11" s="2235"/>
      <c r="JWS11" s="2235"/>
      <c r="JWT11" s="2235"/>
      <c r="JWU11" s="2235"/>
      <c r="JWV11" s="2235"/>
      <c r="JWW11" s="2235"/>
      <c r="JWX11" s="2235"/>
      <c r="JWY11" s="2235"/>
      <c r="JWZ11" s="2235"/>
      <c r="JXA11" s="2235"/>
      <c r="JXB11" s="2235"/>
      <c r="JXC11" s="2235"/>
      <c r="JXD11" s="2235"/>
      <c r="JXE11" s="2235"/>
      <c r="JXF11" s="2235"/>
      <c r="JXG11" s="2235"/>
      <c r="JXH11" s="2235"/>
      <c r="JXI11" s="2235"/>
      <c r="JXJ11" s="2235"/>
      <c r="JXK11" s="2235"/>
      <c r="JXL11" s="2235"/>
      <c r="JXM11" s="2235"/>
      <c r="JXN11" s="2235"/>
      <c r="JXO11" s="2235"/>
      <c r="JXP11" s="2235"/>
      <c r="JXQ11" s="2235"/>
      <c r="JXR11" s="2235"/>
      <c r="JXS11" s="2235"/>
      <c r="JXT11" s="2235"/>
      <c r="JXU11" s="2235"/>
      <c r="JXV11" s="2235"/>
      <c r="JXW11" s="2235"/>
      <c r="JXX11" s="2235"/>
      <c r="JXY11" s="2235"/>
      <c r="JXZ11" s="2235"/>
      <c r="JYA11" s="2235"/>
      <c r="JYB11" s="2235"/>
      <c r="JYC11" s="2235"/>
      <c r="JYD11" s="2235"/>
      <c r="JYE11" s="2235"/>
      <c r="JYF11" s="2235"/>
      <c r="JYG11" s="2235"/>
      <c r="JYH11" s="2235"/>
      <c r="JYI11" s="2235"/>
      <c r="JYJ11" s="2235"/>
      <c r="JYK11" s="2235"/>
      <c r="JYL11" s="2235"/>
      <c r="JYM11" s="2235"/>
      <c r="JYN11" s="2235"/>
      <c r="JYO11" s="2235"/>
      <c r="JYP11" s="2235"/>
      <c r="JYQ11" s="2235"/>
      <c r="JYR11" s="2235"/>
      <c r="JYS11" s="2235"/>
      <c r="JYT11" s="2235"/>
      <c r="JYU11" s="2235"/>
      <c r="JYV11" s="2235"/>
      <c r="JYW11" s="2235"/>
      <c r="JYX11" s="2235"/>
      <c r="JYY11" s="2235"/>
      <c r="JYZ11" s="2235"/>
      <c r="JZA11" s="2235"/>
      <c r="JZB11" s="2235"/>
      <c r="JZC11" s="2235"/>
      <c r="JZD11" s="2235"/>
      <c r="JZE11" s="2235"/>
      <c r="JZF11" s="2235"/>
      <c r="JZG11" s="2235"/>
      <c r="JZH11" s="2235"/>
      <c r="JZI11" s="2235"/>
      <c r="JZJ11" s="2235"/>
      <c r="JZK11" s="2235"/>
      <c r="JZL11" s="2235"/>
      <c r="JZM11" s="2235"/>
      <c r="JZN11" s="2235"/>
      <c r="JZO11" s="2235"/>
      <c r="JZP11" s="2235"/>
      <c r="JZQ11" s="2235"/>
      <c r="JZR11" s="2235"/>
      <c r="JZS11" s="2235"/>
      <c r="JZT11" s="2235"/>
      <c r="JZU11" s="2235"/>
      <c r="JZV11" s="2235"/>
      <c r="JZW11" s="2235"/>
      <c r="JZX11" s="2235"/>
      <c r="JZY11" s="2235"/>
      <c r="JZZ11" s="2235"/>
      <c r="KAA11" s="2235"/>
      <c r="KAB11" s="2235"/>
      <c r="KAC11" s="2235"/>
      <c r="KAD11" s="2235"/>
      <c r="KAE11" s="2235"/>
      <c r="KAF11" s="2235"/>
      <c r="KAG11" s="2235"/>
      <c r="KAH11" s="2235"/>
      <c r="KAI11" s="2235"/>
      <c r="KAJ11" s="2235"/>
      <c r="KAK11" s="2235"/>
      <c r="KAL11" s="2235"/>
      <c r="KAM11" s="2235"/>
      <c r="KAN11" s="2235"/>
      <c r="KAO11" s="2235"/>
      <c r="KAP11" s="2235"/>
      <c r="KAQ11" s="2235"/>
      <c r="KAR11" s="2235"/>
      <c r="KAS11" s="2235"/>
      <c r="KAT11" s="2235"/>
      <c r="KAU11" s="2235"/>
      <c r="KAV11" s="2235"/>
      <c r="KAW11" s="2235"/>
      <c r="KAX11" s="2235"/>
      <c r="KAY11" s="2235"/>
      <c r="KAZ11" s="2235"/>
      <c r="KBA11" s="2235"/>
      <c r="KBB11" s="2235"/>
      <c r="KBC11" s="2235"/>
      <c r="KBD11" s="2235"/>
      <c r="KBE11" s="2235"/>
      <c r="KBF11" s="2235"/>
      <c r="KBG11" s="2235"/>
      <c r="KBH11" s="2235"/>
      <c r="KBI11" s="2235"/>
      <c r="KBJ11" s="2235"/>
      <c r="KBK11" s="2235"/>
      <c r="KBL11" s="2235"/>
      <c r="KBM11" s="2235"/>
      <c r="KBN11" s="2235"/>
      <c r="KBO11" s="2235"/>
      <c r="KBP11" s="2235"/>
      <c r="KBQ11" s="2235"/>
      <c r="KBR11" s="2235"/>
      <c r="KBS11" s="2235"/>
      <c r="KBT11" s="2235"/>
      <c r="KBU11" s="2235"/>
      <c r="KBV11" s="2235"/>
      <c r="KBW11" s="2235"/>
      <c r="KBX11" s="2235"/>
      <c r="KBY11" s="2235"/>
      <c r="KBZ11" s="2235"/>
      <c r="KCA11" s="2235"/>
      <c r="KCB11" s="2235"/>
      <c r="KCC11" s="2235"/>
      <c r="KCD11" s="2235"/>
      <c r="KCE11" s="2235"/>
      <c r="KCF11" s="2235"/>
      <c r="KCG11" s="2235"/>
      <c r="KCH11" s="2235"/>
      <c r="KCI11" s="2235"/>
      <c r="KCJ11" s="2235"/>
      <c r="KCK11" s="2235"/>
      <c r="KCL11" s="2235"/>
      <c r="KCM11" s="2235"/>
      <c r="KCN11" s="2235"/>
      <c r="KCO11" s="2235"/>
      <c r="KCP11" s="2235"/>
      <c r="KCQ11" s="2235"/>
      <c r="KCR11" s="2235"/>
      <c r="KCS11" s="2235"/>
      <c r="KCT11" s="2235"/>
      <c r="KCU11" s="2235"/>
      <c r="KCV11" s="2235"/>
      <c r="KCW11" s="2235"/>
      <c r="KCX11" s="2235"/>
      <c r="KCY11" s="2235"/>
      <c r="KCZ11" s="2235"/>
      <c r="KDA11" s="2235"/>
      <c r="KDB11" s="2235"/>
      <c r="KDC11" s="2235"/>
      <c r="KDD11" s="2235"/>
      <c r="KDE11" s="2235"/>
      <c r="KDF11" s="2235"/>
      <c r="KDG11" s="2235"/>
      <c r="KDH11" s="2235"/>
      <c r="KDI11" s="2235"/>
      <c r="KDJ11" s="2235"/>
      <c r="KDK11" s="2235"/>
      <c r="KDL11" s="2235"/>
      <c r="KDM11" s="2235"/>
      <c r="KDN11" s="2235"/>
      <c r="KDO11" s="2235"/>
      <c r="KDP11" s="2235"/>
      <c r="KDQ11" s="2235"/>
      <c r="KDR11" s="2235"/>
      <c r="KDS11" s="2235"/>
      <c r="KDT11" s="2235"/>
      <c r="KDU11" s="2235"/>
      <c r="KDV11" s="2235"/>
      <c r="KDW11" s="2235"/>
      <c r="KDX11" s="2235"/>
      <c r="KDY11" s="2235"/>
      <c r="KDZ11" s="2235"/>
      <c r="KEA11" s="2235"/>
      <c r="KEB11" s="2235"/>
      <c r="KEC11" s="2235"/>
      <c r="KED11" s="2235"/>
      <c r="KEE11" s="2235"/>
      <c r="KEF11" s="2235"/>
      <c r="KEG11" s="2235"/>
      <c r="KEH11" s="2235"/>
      <c r="KEI11" s="2235"/>
      <c r="KEJ11" s="2235"/>
      <c r="KEK11" s="2235"/>
      <c r="KEL11" s="2235"/>
      <c r="KEM11" s="2235"/>
      <c r="KEN11" s="2235"/>
      <c r="KEO11" s="2235"/>
      <c r="KEP11" s="2235"/>
      <c r="KEQ11" s="2235"/>
      <c r="KER11" s="2235"/>
      <c r="KES11" s="2235"/>
      <c r="KET11" s="2235"/>
      <c r="KEU11" s="2235"/>
      <c r="KEV11" s="2235"/>
      <c r="KEW11" s="2235"/>
      <c r="KEX11" s="2235"/>
      <c r="KEY11" s="2235"/>
      <c r="KEZ11" s="2235"/>
      <c r="KFA11" s="2235"/>
      <c r="KFB11" s="2235"/>
      <c r="KFC11" s="2235"/>
      <c r="KFD11" s="2235"/>
      <c r="KFE11" s="2235"/>
      <c r="KFF11" s="2235"/>
      <c r="KFG11" s="2235"/>
      <c r="KFH11" s="2235"/>
      <c r="KFI11" s="2235"/>
      <c r="KFJ11" s="2235"/>
      <c r="KFK11" s="2235"/>
      <c r="KFL11" s="2235"/>
      <c r="KFM11" s="2235"/>
      <c r="KFN11" s="2235"/>
      <c r="KFO11" s="2235"/>
      <c r="KFP11" s="2235"/>
      <c r="KFQ11" s="2235"/>
      <c r="KFR11" s="2235"/>
      <c r="KFS11" s="2235"/>
      <c r="KFT11" s="2235"/>
      <c r="KFU11" s="2235"/>
      <c r="KFV11" s="2235"/>
      <c r="KFW11" s="2235"/>
      <c r="KFX11" s="2235"/>
      <c r="KFY11" s="2235"/>
      <c r="KFZ11" s="2235"/>
      <c r="KGA11" s="2235"/>
      <c r="KGB11" s="2235"/>
      <c r="KGC11" s="2235"/>
      <c r="KGD11" s="2235"/>
      <c r="KGE11" s="2235"/>
      <c r="KGF11" s="2235"/>
      <c r="KGG11" s="2235"/>
      <c r="KGH11" s="2235"/>
      <c r="KGI11" s="2235"/>
      <c r="KGJ11" s="2235"/>
      <c r="KGK11" s="2235"/>
      <c r="KGL11" s="2235"/>
      <c r="KGM11" s="2235"/>
      <c r="KGN11" s="2235"/>
      <c r="KGO11" s="2235"/>
      <c r="KGP11" s="2235"/>
      <c r="KGQ11" s="2235"/>
      <c r="KGR11" s="2235"/>
      <c r="KGS11" s="2235"/>
      <c r="KGT11" s="2235"/>
      <c r="KGU11" s="2235"/>
      <c r="KGV11" s="2235"/>
      <c r="KGW11" s="2235"/>
      <c r="KGX11" s="2235"/>
      <c r="KGY11" s="2235"/>
      <c r="KGZ11" s="2235"/>
      <c r="KHA11" s="2235"/>
      <c r="KHB11" s="2235"/>
      <c r="KHC11" s="2235"/>
      <c r="KHD11" s="2235"/>
      <c r="KHE11" s="2235"/>
      <c r="KHF11" s="2235"/>
      <c r="KHG11" s="2235"/>
      <c r="KHH11" s="2235"/>
      <c r="KHI11" s="2235"/>
      <c r="KHJ11" s="2235"/>
      <c r="KHK11" s="2235"/>
      <c r="KHL11" s="2235"/>
      <c r="KHM11" s="2235"/>
      <c r="KHN11" s="2235"/>
      <c r="KHO11" s="2235"/>
      <c r="KHP11" s="2235"/>
      <c r="KHQ11" s="2235"/>
      <c r="KHR11" s="2235"/>
      <c r="KHS11" s="2235"/>
      <c r="KHT11" s="2235"/>
      <c r="KHU11" s="2235"/>
      <c r="KHV11" s="2235"/>
      <c r="KHW11" s="2235"/>
      <c r="KHX11" s="2235"/>
      <c r="KHY11" s="2235"/>
      <c r="KHZ11" s="2235"/>
      <c r="KIA11" s="2235"/>
      <c r="KIB11" s="2235"/>
      <c r="KIC11" s="2235"/>
      <c r="KID11" s="2235"/>
      <c r="KIE11" s="2235"/>
      <c r="KIF11" s="2235"/>
      <c r="KIG11" s="2235"/>
      <c r="KIH11" s="2235"/>
      <c r="KII11" s="2235"/>
      <c r="KIJ11" s="2235"/>
      <c r="KIK11" s="2235"/>
      <c r="KIL11" s="2235"/>
      <c r="KIM11" s="2235"/>
      <c r="KIN11" s="2235"/>
      <c r="KIO11" s="2235"/>
      <c r="KIP11" s="2235"/>
      <c r="KIQ11" s="2235"/>
      <c r="KIR11" s="2235"/>
      <c r="KIS11" s="2235"/>
      <c r="KIT11" s="2235"/>
      <c r="KIU11" s="2235"/>
      <c r="KIV11" s="2235"/>
      <c r="KIW11" s="2235"/>
      <c r="KIX11" s="2235"/>
      <c r="KIY11" s="2235"/>
      <c r="KIZ11" s="2235"/>
      <c r="KJA11" s="2235"/>
      <c r="KJB11" s="2235"/>
      <c r="KJC11" s="2235"/>
      <c r="KJD11" s="2235"/>
      <c r="KJE11" s="2235"/>
      <c r="KJF11" s="2235"/>
      <c r="KJG11" s="2235"/>
      <c r="KJH11" s="2235"/>
      <c r="KJI11" s="2235"/>
      <c r="KJJ11" s="2235"/>
      <c r="KJK11" s="2235"/>
      <c r="KJL11" s="2235"/>
      <c r="KJM11" s="2235"/>
      <c r="KJN11" s="2235"/>
      <c r="KJO11" s="2235"/>
      <c r="KJP11" s="2235"/>
      <c r="KJQ11" s="2235"/>
      <c r="KJR11" s="2235"/>
      <c r="KJS11" s="2235"/>
      <c r="KJT11" s="2235"/>
      <c r="KJU11" s="2235"/>
      <c r="KJV11" s="2235"/>
      <c r="KJW11" s="2235"/>
      <c r="KJX11" s="2235"/>
      <c r="KJY11" s="2235"/>
      <c r="KJZ11" s="2235"/>
      <c r="KKA11" s="2235"/>
      <c r="KKB11" s="2235"/>
      <c r="KKC11" s="2235"/>
      <c r="KKD11" s="2235"/>
      <c r="KKE11" s="2235"/>
      <c r="KKF11" s="2235"/>
      <c r="KKG11" s="2235"/>
      <c r="KKH11" s="2235"/>
      <c r="KKI11" s="2235"/>
      <c r="KKJ11" s="2235"/>
      <c r="KKK11" s="2235"/>
      <c r="KKL11" s="2235"/>
      <c r="KKM11" s="2235"/>
      <c r="KKN11" s="2235"/>
      <c r="KKO11" s="2235"/>
      <c r="KKP11" s="2235"/>
      <c r="KKQ11" s="2235"/>
      <c r="KKR11" s="2235"/>
      <c r="KKS11" s="2235"/>
      <c r="KKT11" s="2235"/>
      <c r="KKU11" s="2235"/>
      <c r="KKV11" s="2235"/>
      <c r="KKW11" s="2235"/>
      <c r="KKX11" s="2235"/>
      <c r="KKY11" s="2235"/>
      <c r="KKZ11" s="2235"/>
      <c r="KLA11" s="2235"/>
      <c r="KLB11" s="2235"/>
      <c r="KLC11" s="2235"/>
      <c r="KLD11" s="2235"/>
      <c r="KLE11" s="2235"/>
      <c r="KLF11" s="2235"/>
      <c r="KLG11" s="2235"/>
      <c r="KLH11" s="2235"/>
      <c r="KLI11" s="2235"/>
      <c r="KLJ11" s="2235"/>
      <c r="KLK11" s="2235"/>
      <c r="KLL11" s="2235"/>
      <c r="KLM11" s="2235"/>
      <c r="KLN11" s="2235"/>
      <c r="KLO11" s="2235"/>
      <c r="KLP11" s="2235"/>
      <c r="KLQ11" s="2235"/>
      <c r="KLR11" s="2235"/>
      <c r="KLS11" s="2235"/>
      <c r="KLT11" s="2235"/>
      <c r="KLU11" s="2235"/>
      <c r="KLV11" s="2235"/>
      <c r="KLW11" s="2235"/>
      <c r="KLX11" s="2235"/>
      <c r="KLY11" s="2235"/>
      <c r="KLZ11" s="2235"/>
      <c r="KMA11" s="2235"/>
      <c r="KMB11" s="2235"/>
      <c r="KMC11" s="2235"/>
      <c r="KMD11" s="2235"/>
      <c r="KME11" s="2235"/>
      <c r="KMF11" s="2235"/>
      <c r="KMG11" s="2235"/>
      <c r="KMH11" s="2235"/>
      <c r="KMI11" s="2235"/>
      <c r="KMJ11" s="2235"/>
      <c r="KMK11" s="2235"/>
      <c r="KML11" s="2235"/>
      <c r="KMM11" s="2235"/>
      <c r="KMN11" s="2235"/>
      <c r="KMO11" s="2235"/>
      <c r="KMP11" s="2235"/>
      <c r="KMQ11" s="2235"/>
      <c r="KMR11" s="2235"/>
      <c r="KMS11" s="2235"/>
      <c r="KMT11" s="2235"/>
      <c r="KMU11" s="2235"/>
      <c r="KMV11" s="2235"/>
      <c r="KMW11" s="2235"/>
      <c r="KMX11" s="2235"/>
      <c r="KMY11" s="2235"/>
      <c r="KMZ11" s="2235"/>
      <c r="KNA11" s="2235"/>
      <c r="KNB11" s="2235"/>
      <c r="KNC11" s="2235"/>
      <c r="KND11" s="2235"/>
      <c r="KNE11" s="2235"/>
      <c r="KNF11" s="2235"/>
      <c r="KNG11" s="2235"/>
      <c r="KNH11" s="2235"/>
      <c r="KNI11" s="2235"/>
      <c r="KNJ11" s="2235"/>
      <c r="KNK11" s="2235"/>
      <c r="KNL11" s="2235"/>
      <c r="KNM11" s="2235"/>
      <c r="KNN11" s="2235"/>
      <c r="KNO11" s="2235"/>
      <c r="KNP11" s="2235"/>
      <c r="KNQ11" s="2235"/>
      <c r="KNR11" s="2235"/>
      <c r="KNS11" s="2235"/>
      <c r="KNT11" s="2235"/>
      <c r="KNU11" s="2235"/>
      <c r="KNV11" s="2235"/>
      <c r="KNW11" s="2235"/>
      <c r="KNX11" s="2235"/>
      <c r="KNY11" s="2235"/>
      <c r="KNZ11" s="2235"/>
      <c r="KOA11" s="2235"/>
      <c r="KOB11" s="2235"/>
      <c r="KOC11" s="2235"/>
      <c r="KOD11" s="2235"/>
      <c r="KOE11" s="2235"/>
      <c r="KOF11" s="2235"/>
      <c r="KOG11" s="2235"/>
      <c r="KOH11" s="2235"/>
      <c r="KOI11" s="2235"/>
      <c r="KOJ11" s="2235"/>
      <c r="KOK11" s="2235"/>
      <c r="KOL11" s="2235"/>
      <c r="KOM11" s="2235"/>
      <c r="KON11" s="2235"/>
      <c r="KOO11" s="2235"/>
      <c r="KOP11" s="2235"/>
      <c r="KOQ11" s="2235"/>
      <c r="KOR11" s="2235"/>
      <c r="KOS11" s="2235"/>
      <c r="KOT11" s="2235"/>
      <c r="KOU11" s="2235"/>
      <c r="KOV11" s="2235"/>
      <c r="KOW11" s="2235"/>
      <c r="KOX11" s="2235"/>
      <c r="KOY11" s="2235"/>
      <c r="KOZ11" s="2235"/>
      <c r="KPA11" s="2235"/>
      <c r="KPB11" s="2235"/>
      <c r="KPC11" s="2235"/>
      <c r="KPD11" s="2235"/>
      <c r="KPE11" s="2235"/>
      <c r="KPF11" s="2235"/>
      <c r="KPG11" s="2235"/>
      <c r="KPH11" s="2235"/>
      <c r="KPI11" s="2235"/>
      <c r="KPJ11" s="2235"/>
      <c r="KPK11" s="2235"/>
      <c r="KPL11" s="2235"/>
      <c r="KPM11" s="2235"/>
      <c r="KPN11" s="2235"/>
      <c r="KPO11" s="2235"/>
      <c r="KPP11" s="2235"/>
      <c r="KPQ11" s="2235"/>
      <c r="KPR11" s="2235"/>
      <c r="KPS11" s="2235"/>
      <c r="KPT11" s="2235"/>
      <c r="KPU11" s="2235"/>
      <c r="KPV11" s="2235"/>
      <c r="KPW11" s="2235"/>
      <c r="KPX11" s="2235"/>
      <c r="KPY11" s="2235"/>
      <c r="KPZ11" s="2235"/>
      <c r="KQA11" s="2235"/>
      <c r="KQB11" s="2235"/>
      <c r="KQC11" s="2235"/>
      <c r="KQD11" s="2235"/>
      <c r="KQE11" s="2235"/>
      <c r="KQF11" s="2235"/>
      <c r="KQG11" s="2235"/>
      <c r="KQH11" s="2235"/>
      <c r="KQI11" s="2235"/>
      <c r="KQJ11" s="2235"/>
      <c r="KQK11" s="2235"/>
      <c r="KQL11" s="2235"/>
      <c r="KQM11" s="2235"/>
      <c r="KQN11" s="2235"/>
      <c r="KQO11" s="2235"/>
      <c r="KQP11" s="2235"/>
      <c r="KQQ11" s="2235"/>
      <c r="KQR11" s="2235"/>
      <c r="KQS11" s="2235"/>
      <c r="KQT11" s="2235"/>
      <c r="KQU11" s="2235"/>
      <c r="KQV11" s="2235"/>
      <c r="KQW11" s="2235"/>
      <c r="KQX11" s="2235"/>
      <c r="KQY11" s="2235"/>
      <c r="KQZ11" s="2235"/>
      <c r="KRA11" s="2235"/>
      <c r="KRB11" s="2235"/>
      <c r="KRC11" s="2235"/>
      <c r="KRD11" s="2235"/>
      <c r="KRE11" s="2235"/>
      <c r="KRF11" s="2235"/>
      <c r="KRG11" s="2235"/>
      <c r="KRH11" s="2235"/>
      <c r="KRI11" s="2235"/>
      <c r="KRJ11" s="2235"/>
      <c r="KRK11" s="2235"/>
      <c r="KRL11" s="2235"/>
      <c r="KRM11" s="2235"/>
      <c r="KRN11" s="2235"/>
      <c r="KRO11" s="2235"/>
      <c r="KRP11" s="2235"/>
      <c r="KRQ11" s="2235"/>
      <c r="KRR11" s="2235"/>
      <c r="KRS11" s="2235"/>
      <c r="KRT11" s="2235"/>
      <c r="KRU11" s="2235"/>
      <c r="KRV11" s="2235"/>
      <c r="KRW11" s="2235"/>
      <c r="KRX11" s="2235"/>
      <c r="KRY11" s="2235"/>
      <c r="KRZ11" s="2235"/>
      <c r="KSA11" s="2235"/>
      <c r="KSB11" s="2235"/>
      <c r="KSC11" s="2235"/>
      <c r="KSD11" s="2235"/>
      <c r="KSE11" s="2235"/>
      <c r="KSF11" s="2235"/>
      <c r="KSG11" s="2235"/>
      <c r="KSH11" s="2235"/>
      <c r="KSI11" s="2235"/>
      <c r="KSJ11" s="2235"/>
      <c r="KSK11" s="2235"/>
      <c r="KSL11" s="2235"/>
      <c r="KSM11" s="2235"/>
      <c r="KSN11" s="2235"/>
      <c r="KSO11" s="2235"/>
      <c r="KSP11" s="2235"/>
      <c r="KSQ11" s="2235"/>
      <c r="KSR11" s="2235"/>
      <c r="KSS11" s="2235"/>
      <c r="KST11" s="2235"/>
      <c r="KSU11" s="2235"/>
      <c r="KSV11" s="2235"/>
      <c r="KSW11" s="2235"/>
      <c r="KSX11" s="2235"/>
      <c r="KSY11" s="2235"/>
      <c r="KSZ11" s="2235"/>
      <c r="KTA11" s="2235"/>
      <c r="KTB11" s="2235"/>
      <c r="KTC11" s="2235"/>
      <c r="KTD11" s="2235"/>
      <c r="KTE11" s="2235"/>
      <c r="KTF11" s="2235"/>
      <c r="KTG11" s="2235"/>
      <c r="KTH11" s="2235"/>
      <c r="KTI11" s="2235"/>
      <c r="KTJ11" s="2235"/>
      <c r="KTK11" s="2235"/>
      <c r="KTL11" s="2235"/>
      <c r="KTM11" s="2235"/>
      <c r="KTN11" s="2235"/>
      <c r="KTO11" s="2235"/>
      <c r="KTP11" s="2235"/>
      <c r="KTQ11" s="2235"/>
      <c r="KTR11" s="2235"/>
      <c r="KTS11" s="2235"/>
      <c r="KTT11" s="2235"/>
      <c r="KTU11" s="2235"/>
      <c r="KTV11" s="2235"/>
      <c r="KTW11" s="2235"/>
      <c r="KTX11" s="2235"/>
      <c r="KTY11" s="2235"/>
      <c r="KTZ11" s="2235"/>
      <c r="KUA11" s="2235"/>
      <c r="KUB11" s="2235"/>
      <c r="KUC11" s="2235"/>
      <c r="KUD11" s="2235"/>
      <c r="KUE11" s="2235"/>
      <c r="KUF11" s="2235"/>
      <c r="KUG11" s="2235"/>
      <c r="KUH11" s="2235"/>
      <c r="KUI11" s="2235"/>
      <c r="KUJ11" s="2235"/>
      <c r="KUK11" s="2235"/>
      <c r="KUL11" s="2235"/>
      <c r="KUM11" s="2235"/>
      <c r="KUN11" s="2235"/>
      <c r="KUO11" s="2235"/>
      <c r="KUP11" s="2235"/>
      <c r="KUQ11" s="2235"/>
      <c r="KUR11" s="2235"/>
      <c r="KUS11" s="2235"/>
      <c r="KUT11" s="2235"/>
      <c r="KUU11" s="2235"/>
      <c r="KUV11" s="2235"/>
      <c r="KUW11" s="2235"/>
      <c r="KUX11" s="2235"/>
      <c r="KUY11" s="2235"/>
      <c r="KUZ11" s="2235"/>
      <c r="KVA11" s="2235"/>
      <c r="KVB11" s="2235"/>
      <c r="KVC11" s="2235"/>
      <c r="KVD11" s="2235"/>
      <c r="KVE11" s="2235"/>
      <c r="KVF11" s="2235"/>
      <c r="KVG11" s="2235"/>
      <c r="KVH11" s="2235"/>
      <c r="KVI11" s="2235"/>
      <c r="KVJ11" s="2235"/>
      <c r="KVK11" s="2235"/>
      <c r="KVL11" s="2235"/>
      <c r="KVM11" s="2235"/>
      <c r="KVN11" s="2235"/>
      <c r="KVO11" s="2235"/>
      <c r="KVP11" s="2235"/>
      <c r="KVQ11" s="2235"/>
      <c r="KVR11" s="2235"/>
      <c r="KVS11" s="2235"/>
      <c r="KVT11" s="2235"/>
      <c r="KVU11" s="2235"/>
      <c r="KVV11" s="2235"/>
      <c r="KVW11" s="2235"/>
      <c r="KVX11" s="2235"/>
      <c r="KVY11" s="2235"/>
      <c r="KVZ11" s="2235"/>
      <c r="KWA11" s="2235"/>
      <c r="KWB11" s="2235"/>
      <c r="KWC11" s="2235"/>
      <c r="KWD11" s="2235"/>
      <c r="KWE11" s="2235"/>
      <c r="KWF11" s="2235"/>
      <c r="KWG11" s="2235"/>
      <c r="KWH11" s="2235"/>
      <c r="KWI11" s="2235"/>
      <c r="KWJ11" s="2235"/>
      <c r="KWK11" s="2235"/>
      <c r="KWL11" s="2235"/>
      <c r="KWM11" s="2235"/>
      <c r="KWN11" s="2235"/>
      <c r="KWO11" s="2235"/>
      <c r="KWP11" s="2235"/>
      <c r="KWQ11" s="2235"/>
      <c r="KWR11" s="2235"/>
      <c r="KWS11" s="2235"/>
      <c r="KWT11" s="2235"/>
      <c r="KWU11" s="2235"/>
      <c r="KWV11" s="2235"/>
      <c r="KWW11" s="2235"/>
      <c r="KWX11" s="2235"/>
      <c r="KWY11" s="2235"/>
      <c r="KWZ11" s="2235"/>
      <c r="KXA11" s="2235"/>
      <c r="KXB11" s="2235"/>
      <c r="KXC11" s="2235"/>
      <c r="KXD11" s="2235"/>
      <c r="KXE11" s="2235"/>
      <c r="KXF11" s="2235"/>
      <c r="KXG11" s="2235"/>
      <c r="KXH11" s="2235"/>
      <c r="KXI11" s="2235"/>
      <c r="KXJ11" s="2235"/>
      <c r="KXK11" s="2235"/>
      <c r="KXL11" s="2235"/>
      <c r="KXM11" s="2235"/>
      <c r="KXN11" s="2235"/>
      <c r="KXO11" s="2235"/>
      <c r="KXP11" s="2235"/>
      <c r="KXQ11" s="2235"/>
      <c r="KXR11" s="2235"/>
      <c r="KXS11" s="2235"/>
      <c r="KXT11" s="2235"/>
      <c r="KXU11" s="2235"/>
      <c r="KXV11" s="2235"/>
      <c r="KXW11" s="2235"/>
      <c r="KXX11" s="2235"/>
      <c r="KXY11" s="2235"/>
      <c r="KXZ11" s="2235"/>
      <c r="KYA11" s="2235"/>
      <c r="KYB11" s="2235"/>
      <c r="KYC11" s="2235"/>
      <c r="KYD11" s="2235"/>
      <c r="KYE11" s="2235"/>
      <c r="KYF11" s="2235"/>
      <c r="KYG11" s="2235"/>
      <c r="KYH11" s="2235"/>
      <c r="KYI11" s="2235"/>
      <c r="KYJ11" s="2235"/>
      <c r="KYK11" s="2235"/>
      <c r="KYL11" s="2235"/>
      <c r="KYM11" s="2235"/>
      <c r="KYN11" s="2235"/>
      <c r="KYO11" s="2235"/>
      <c r="KYP11" s="2235"/>
      <c r="KYQ11" s="2235"/>
      <c r="KYR11" s="2235"/>
      <c r="KYS11" s="2235"/>
      <c r="KYT11" s="2235"/>
      <c r="KYU11" s="2235"/>
      <c r="KYV11" s="2235"/>
      <c r="KYW11" s="2235"/>
      <c r="KYX11" s="2235"/>
      <c r="KYY11" s="2235"/>
      <c r="KYZ11" s="2235"/>
      <c r="KZA11" s="2235"/>
      <c r="KZB11" s="2235"/>
      <c r="KZC11" s="2235"/>
      <c r="KZD11" s="2235"/>
      <c r="KZE11" s="2235"/>
      <c r="KZF11" s="2235"/>
      <c r="KZG11" s="2235"/>
      <c r="KZH11" s="2235"/>
      <c r="KZI11" s="2235"/>
      <c r="KZJ11" s="2235"/>
      <c r="KZK11" s="2235"/>
      <c r="KZL11" s="2235"/>
      <c r="KZM11" s="2235"/>
      <c r="KZN11" s="2235"/>
      <c r="KZO11" s="2235"/>
      <c r="KZP11" s="2235"/>
      <c r="KZQ11" s="2235"/>
      <c r="KZR11" s="2235"/>
      <c r="KZS11" s="2235"/>
      <c r="KZT11" s="2235"/>
      <c r="KZU11" s="2235"/>
      <c r="KZV11" s="2235"/>
      <c r="KZW11" s="2235"/>
      <c r="KZX11" s="2235"/>
      <c r="KZY11" s="2235"/>
      <c r="KZZ11" s="2235"/>
      <c r="LAA11" s="2235"/>
      <c r="LAB11" s="2235"/>
      <c r="LAC11" s="2235"/>
      <c r="LAD11" s="2235"/>
      <c r="LAE11" s="2235"/>
      <c r="LAF11" s="2235"/>
      <c r="LAG11" s="2235"/>
      <c r="LAH11" s="2235"/>
      <c r="LAI11" s="2235"/>
      <c r="LAJ11" s="2235"/>
      <c r="LAK11" s="2235"/>
      <c r="LAL11" s="2235"/>
      <c r="LAM11" s="2235"/>
      <c r="LAN11" s="2235"/>
      <c r="LAO11" s="2235"/>
      <c r="LAP11" s="2235"/>
      <c r="LAQ11" s="2235"/>
      <c r="LAR11" s="2235"/>
      <c r="LAS11" s="2235"/>
      <c r="LAT11" s="2235"/>
      <c r="LAU11" s="2235"/>
      <c r="LAV11" s="2235"/>
      <c r="LAW11" s="2235"/>
      <c r="LAX11" s="2235"/>
      <c r="LAY11" s="2235"/>
      <c r="LAZ11" s="2235"/>
      <c r="LBA11" s="2235"/>
      <c r="LBB11" s="2235"/>
      <c r="LBC11" s="2235"/>
      <c r="LBD11" s="2235"/>
      <c r="LBE11" s="2235"/>
      <c r="LBF11" s="2235"/>
      <c r="LBG11" s="2235"/>
      <c r="LBH11" s="2235"/>
      <c r="LBI11" s="2235"/>
      <c r="LBJ11" s="2235"/>
      <c r="LBK11" s="2235"/>
      <c r="LBL11" s="2235"/>
      <c r="LBM11" s="2235"/>
      <c r="LBN11" s="2235"/>
      <c r="LBO11" s="2235"/>
      <c r="LBP11" s="2235"/>
      <c r="LBQ11" s="2235"/>
      <c r="LBR11" s="2235"/>
      <c r="LBS11" s="2235"/>
      <c r="LBT11" s="2235"/>
      <c r="LBU11" s="2235"/>
      <c r="LBV11" s="2235"/>
      <c r="LBW11" s="2235"/>
      <c r="LBX11" s="2235"/>
      <c r="LBY11" s="2235"/>
      <c r="LBZ11" s="2235"/>
      <c r="LCA11" s="2235"/>
      <c r="LCB11" s="2235"/>
      <c r="LCC11" s="2235"/>
      <c r="LCD11" s="2235"/>
      <c r="LCE11" s="2235"/>
      <c r="LCF11" s="2235"/>
      <c r="LCG11" s="2235"/>
      <c r="LCH11" s="2235"/>
      <c r="LCI11" s="2235"/>
      <c r="LCJ11" s="2235"/>
      <c r="LCK11" s="2235"/>
      <c r="LCL11" s="2235"/>
      <c r="LCM11" s="2235"/>
      <c r="LCN11" s="2235"/>
      <c r="LCO11" s="2235"/>
      <c r="LCP11" s="2235"/>
      <c r="LCQ11" s="2235"/>
      <c r="LCR11" s="2235"/>
      <c r="LCS11" s="2235"/>
      <c r="LCT11" s="2235"/>
      <c r="LCU11" s="2235"/>
      <c r="LCV11" s="2235"/>
      <c r="LCW11" s="2235"/>
      <c r="LCX11" s="2235"/>
      <c r="LCY11" s="2235"/>
      <c r="LCZ11" s="2235"/>
      <c r="LDA11" s="2235"/>
      <c r="LDB11" s="2235"/>
      <c r="LDC11" s="2235"/>
      <c r="LDD11" s="2235"/>
      <c r="LDE11" s="2235"/>
      <c r="LDF11" s="2235"/>
      <c r="LDG11" s="2235"/>
      <c r="LDH11" s="2235"/>
      <c r="LDI11" s="2235"/>
      <c r="LDJ11" s="2235"/>
      <c r="LDK11" s="2235"/>
      <c r="LDL11" s="2235"/>
      <c r="LDM11" s="2235"/>
      <c r="LDN11" s="2235"/>
      <c r="LDO11" s="2235"/>
      <c r="LDP11" s="2235"/>
      <c r="LDQ11" s="2235"/>
      <c r="LDR11" s="2235"/>
      <c r="LDS11" s="2235"/>
      <c r="LDT11" s="2235"/>
      <c r="LDU11" s="2235"/>
      <c r="LDV11" s="2235"/>
      <c r="LDW11" s="2235"/>
      <c r="LDX11" s="2235"/>
      <c r="LDY11" s="2235"/>
      <c r="LDZ11" s="2235"/>
      <c r="LEA11" s="2235"/>
      <c r="LEB11" s="2235"/>
      <c r="LEC11" s="2235"/>
      <c r="LED11" s="2235"/>
      <c r="LEE11" s="2235"/>
      <c r="LEF11" s="2235"/>
      <c r="LEG11" s="2235"/>
      <c r="LEH11" s="2235"/>
      <c r="LEI11" s="2235"/>
      <c r="LEJ11" s="2235"/>
      <c r="LEK11" s="2235"/>
      <c r="LEL11" s="2235"/>
      <c r="LEM11" s="2235"/>
      <c r="LEN11" s="2235"/>
      <c r="LEO11" s="2235"/>
      <c r="LEP11" s="2235"/>
      <c r="LEQ11" s="2235"/>
      <c r="LER11" s="2235"/>
      <c r="LES11" s="2235"/>
      <c r="LET11" s="2235"/>
      <c r="LEU11" s="2235"/>
      <c r="LEV11" s="2235"/>
      <c r="LEW11" s="2235"/>
      <c r="LEX11" s="2235"/>
      <c r="LEY11" s="2235"/>
      <c r="LEZ11" s="2235"/>
      <c r="LFA11" s="2235"/>
      <c r="LFB11" s="2235"/>
      <c r="LFC11" s="2235"/>
      <c r="LFD11" s="2235"/>
      <c r="LFE11" s="2235"/>
      <c r="LFF11" s="2235"/>
      <c r="LFG11" s="2235"/>
      <c r="LFH11" s="2235"/>
      <c r="LFI11" s="2235"/>
      <c r="LFJ11" s="2235"/>
      <c r="LFK11" s="2235"/>
      <c r="LFL11" s="2235"/>
      <c r="LFM11" s="2235"/>
      <c r="LFN11" s="2235"/>
      <c r="LFO11" s="2235"/>
      <c r="LFP11" s="2235"/>
      <c r="LFQ11" s="2235"/>
      <c r="LFR11" s="2235"/>
      <c r="LFS11" s="2235"/>
      <c r="LFT11" s="2235"/>
      <c r="LFU11" s="2235"/>
      <c r="LFV11" s="2235"/>
      <c r="LFW11" s="2235"/>
      <c r="LFX11" s="2235"/>
      <c r="LFY11" s="2235"/>
      <c r="LFZ11" s="2235"/>
      <c r="LGA11" s="2235"/>
      <c r="LGB11" s="2235"/>
      <c r="LGC11" s="2235"/>
      <c r="LGD11" s="2235"/>
      <c r="LGE11" s="2235"/>
      <c r="LGF11" s="2235"/>
      <c r="LGG11" s="2235"/>
      <c r="LGH11" s="2235"/>
      <c r="LGI11" s="2235"/>
      <c r="LGJ11" s="2235"/>
      <c r="LGK11" s="2235"/>
      <c r="LGL11" s="2235"/>
      <c r="LGM11" s="2235"/>
      <c r="LGN11" s="2235"/>
      <c r="LGO11" s="2235"/>
      <c r="LGP11" s="2235"/>
      <c r="LGQ11" s="2235"/>
      <c r="LGR11" s="2235"/>
      <c r="LGS11" s="2235"/>
      <c r="LGT11" s="2235"/>
      <c r="LGU11" s="2235"/>
      <c r="LGV11" s="2235"/>
      <c r="LGW11" s="2235"/>
      <c r="LGX11" s="2235"/>
      <c r="LGY11" s="2235"/>
      <c r="LGZ11" s="2235"/>
      <c r="LHA11" s="2235"/>
      <c r="LHB11" s="2235"/>
      <c r="LHC11" s="2235"/>
      <c r="LHD11" s="2235"/>
      <c r="LHE11" s="2235"/>
      <c r="LHF11" s="2235"/>
      <c r="LHG11" s="2235"/>
      <c r="LHH11" s="2235"/>
      <c r="LHI11" s="2235"/>
      <c r="LHJ11" s="2235"/>
      <c r="LHK11" s="2235"/>
      <c r="LHL11" s="2235"/>
      <c r="LHM11" s="2235"/>
      <c r="LHN11" s="2235"/>
      <c r="LHO11" s="2235"/>
      <c r="LHP11" s="2235"/>
      <c r="LHQ11" s="2235"/>
      <c r="LHR11" s="2235"/>
      <c r="LHS11" s="2235"/>
      <c r="LHT11" s="2235"/>
      <c r="LHU11" s="2235"/>
      <c r="LHV11" s="2235"/>
      <c r="LHW11" s="2235"/>
      <c r="LHX11" s="2235"/>
      <c r="LHY11" s="2235"/>
      <c r="LHZ11" s="2235"/>
      <c r="LIA11" s="2235"/>
      <c r="LIB11" s="2235"/>
      <c r="LIC11" s="2235"/>
      <c r="LID11" s="2235"/>
      <c r="LIE11" s="2235"/>
      <c r="LIF11" s="2235"/>
      <c r="LIG11" s="2235"/>
      <c r="LIH11" s="2235"/>
      <c r="LII11" s="2235"/>
      <c r="LIJ11" s="2235"/>
      <c r="LIK11" s="2235"/>
      <c r="LIL11" s="2235"/>
      <c r="LIM11" s="2235"/>
      <c r="LIN11" s="2235"/>
      <c r="LIO11" s="2235"/>
      <c r="LIP11" s="2235"/>
      <c r="LIQ11" s="2235"/>
      <c r="LIR11" s="2235"/>
      <c r="LIS11" s="2235"/>
      <c r="LIT11" s="2235"/>
      <c r="LIU11" s="2235"/>
      <c r="LIV11" s="2235"/>
      <c r="LIW11" s="2235"/>
      <c r="LIX11" s="2235"/>
      <c r="LIY11" s="2235"/>
      <c r="LIZ11" s="2235"/>
      <c r="LJA11" s="2235"/>
      <c r="LJB11" s="2235"/>
      <c r="LJC11" s="2235"/>
      <c r="LJD11" s="2235"/>
      <c r="LJE11" s="2235"/>
      <c r="LJF11" s="2235"/>
      <c r="LJG11" s="2235"/>
      <c r="LJH11" s="2235"/>
      <c r="LJI11" s="2235"/>
      <c r="LJJ11" s="2235"/>
      <c r="LJK11" s="2235"/>
      <c r="LJL11" s="2235"/>
      <c r="LJM11" s="2235"/>
      <c r="LJN11" s="2235"/>
      <c r="LJO11" s="2235"/>
      <c r="LJP11" s="2235"/>
      <c r="LJQ11" s="2235"/>
      <c r="LJR11" s="2235"/>
      <c r="LJS11" s="2235"/>
      <c r="LJT11" s="2235"/>
      <c r="LJU11" s="2235"/>
      <c r="LJV11" s="2235"/>
      <c r="LJW11" s="2235"/>
      <c r="LJX11" s="2235"/>
      <c r="LJY11" s="2235"/>
      <c r="LJZ11" s="2235"/>
      <c r="LKA11" s="2235"/>
      <c r="LKB11" s="2235"/>
      <c r="LKC11" s="2235"/>
      <c r="LKD11" s="2235"/>
      <c r="LKE11" s="2235"/>
      <c r="LKF11" s="2235"/>
      <c r="LKG11" s="2235"/>
      <c r="LKH11" s="2235"/>
      <c r="LKI11" s="2235"/>
      <c r="LKJ11" s="2235"/>
      <c r="LKK11" s="2235"/>
      <c r="LKL11" s="2235"/>
      <c r="LKM11" s="2235"/>
      <c r="LKN11" s="2235"/>
      <c r="LKO11" s="2235"/>
      <c r="LKP11" s="2235"/>
      <c r="LKQ11" s="2235"/>
      <c r="LKR11" s="2235"/>
      <c r="LKS11" s="2235"/>
      <c r="LKT11" s="2235"/>
      <c r="LKU11" s="2235"/>
      <c r="LKV11" s="2235"/>
      <c r="LKW11" s="2235"/>
      <c r="LKX11" s="2235"/>
      <c r="LKY11" s="2235"/>
      <c r="LKZ11" s="2235"/>
      <c r="LLA11" s="2235"/>
      <c r="LLB11" s="2235"/>
      <c r="LLC11" s="2235"/>
      <c r="LLD11" s="2235"/>
      <c r="LLE11" s="2235"/>
      <c r="LLF11" s="2235"/>
      <c r="LLG11" s="2235"/>
      <c r="LLH11" s="2235"/>
      <c r="LLI11" s="2235"/>
      <c r="LLJ11" s="2235"/>
      <c r="LLK11" s="2235"/>
      <c r="LLL11" s="2235"/>
      <c r="LLM11" s="2235"/>
      <c r="LLN11" s="2235"/>
      <c r="LLO11" s="2235"/>
      <c r="LLP11" s="2235"/>
      <c r="LLQ11" s="2235"/>
      <c r="LLR11" s="2235"/>
      <c r="LLS11" s="2235"/>
      <c r="LLT11" s="2235"/>
      <c r="LLU11" s="2235"/>
      <c r="LLV11" s="2235"/>
      <c r="LLW11" s="2235"/>
      <c r="LLX11" s="2235"/>
      <c r="LLY11" s="2235"/>
      <c r="LLZ11" s="2235"/>
      <c r="LMA11" s="2235"/>
      <c r="LMB11" s="2235"/>
      <c r="LMC11" s="2235"/>
      <c r="LMD11" s="2235"/>
      <c r="LME11" s="2235"/>
      <c r="LMF11" s="2235"/>
      <c r="LMG11" s="2235"/>
      <c r="LMH11" s="2235"/>
      <c r="LMI11" s="2235"/>
      <c r="LMJ11" s="2235"/>
      <c r="LMK11" s="2235"/>
      <c r="LML11" s="2235"/>
      <c r="LMM11" s="2235"/>
      <c r="LMN11" s="2235"/>
      <c r="LMO11" s="2235"/>
      <c r="LMP11" s="2235"/>
      <c r="LMQ11" s="2235"/>
      <c r="LMR11" s="2235"/>
      <c r="LMS11" s="2235"/>
      <c r="LMT11" s="2235"/>
      <c r="LMU11" s="2235"/>
      <c r="LMV11" s="2235"/>
      <c r="LMW11" s="2235"/>
      <c r="LMX11" s="2235"/>
      <c r="LMY11" s="2235"/>
      <c r="LMZ11" s="2235"/>
      <c r="LNA11" s="2235"/>
      <c r="LNB11" s="2235"/>
      <c r="LNC11" s="2235"/>
      <c r="LND11" s="2235"/>
      <c r="LNE11" s="2235"/>
      <c r="LNF11" s="2235"/>
      <c r="LNG11" s="2235"/>
      <c r="LNH11" s="2235"/>
      <c r="LNI11" s="2235"/>
      <c r="LNJ11" s="2235"/>
      <c r="LNK11" s="2235"/>
      <c r="LNL11" s="2235"/>
      <c r="LNM11" s="2235"/>
      <c r="LNN11" s="2235"/>
      <c r="LNO11" s="2235"/>
      <c r="LNP11" s="2235"/>
      <c r="LNQ11" s="2235"/>
      <c r="LNR11" s="2235"/>
      <c r="LNS11" s="2235"/>
      <c r="LNT11" s="2235"/>
      <c r="LNU11" s="2235"/>
      <c r="LNV11" s="2235"/>
      <c r="LNW11" s="2235"/>
      <c r="LNX11" s="2235"/>
      <c r="LNY11" s="2235"/>
      <c r="LNZ11" s="2235"/>
      <c r="LOA11" s="2235"/>
      <c r="LOB11" s="2235"/>
      <c r="LOC11" s="2235"/>
      <c r="LOD11" s="2235"/>
      <c r="LOE11" s="2235"/>
      <c r="LOF11" s="2235"/>
      <c r="LOG11" s="2235"/>
      <c r="LOH11" s="2235"/>
      <c r="LOI11" s="2235"/>
      <c r="LOJ11" s="2235"/>
      <c r="LOK11" s="2235"/>
      <c r="LOL11" s="2235"/>
      <c r="LOM11" s="2235"/>
      <c r="LON11" s="2235"/>
      <c r="LOO11" s="2235"/>
      <c r="LOP11" s="2235"/>
      <c r="LOQ11" s="2235"/>
      <c r="LOR11" s="2235"/>
      <c r="LOS11" s="2235"/>
      <c r="LOT11" s="2235"/>
      <c r="LOU11" s="2235"/>
      <c r="LOV11" s="2235"/>
      <c r="LOW11" s="2235"/>
      <c r="LOX11" s="2235"/>
      <c r="LOY11" s="2235"/>
      <c r="LOZ11" s="2235"/>
      <c r="LPA11" s="2235"/>
      <c r="LPB11" s="2235"/>
      <c r="LPC11" s="2235"/>
      <c r="LPD11" s="2235"/>
      <c r="LPE11" s="2235"/>
      <c r="LPF11" s="2235"/>
      <c r="LPG11" s="2235"/>
      <c r="LPH11" s="2235"/>
      <c r="LPI11" s="2235"/>
      <c r="LPJ11" s="2235"/>
      <c r="LPK11" s="2235"/>
      <c r="LPL11" s="2235"/>
      <c r="LPM11" s="2235"/>
      <c r="LPN11" s="2235"/>
      <c r="LPO11" s="2235"/>
      <c r="LPP11" s="2235"/>
      <c r="LPQ11" s="2235"/>
      <c r="LPR11" s="2235"/>
      <c r="LPS11" s="2235"/>
      <c r="LPT11" s="2235"/>
      <c r="LPU11" s="2235"/>
      <c r="LPV11" s="2235"/>
      <c r="LPW11" s="2235"/>
      <c r="LPX11" s="2235"/>
      <c r="LPY11" s="2235"/>
      <c r="LPZ11" s="2235"/>
      <c r="LQA11" s="2235"/>
      <c r="LQB11" s="2235"/>
      <c r="LQC11" s="2235"/>
      <c r="LQD11" s="2235"/>
      <c r="LQE11" s="2235"/>
      <c r="LQF11" s="2235"/>
      <c r="LQG11" s="2235"/>
      <c r="LQH11" s="2235"/>
      <c r="LQI11" s="2235"/>
      <c r="LQJ11" s="2235"/>
      <c r="LQK11" s="2235"/>
      <c r="LQL11" s="2235"/>
      <c r="LQM11" s="2235"/>
      <c r="LQN11" s="2235"/>
      <c r="LQO11" s="2235"/>
      <c r="LQP11" s="2235"/>
      <c r="LQQ11" s="2235"/>
      <c r="LQR11" s="2235"/>
      <c r="LQS11" s="2235"/>
      <c r="LQT11" s="2235"/>
      <c r="LQU11" s="2235"/>
      <c r="LQV11" s="2235"/>
      <c r="LQW11" s="2235"/>
      <c r="LQX11" s="2235"/>
      <c r="LQY11" s="2235"/>
      <c r="LQZ11" s="2235"/>
      <c r="LRA11" s="2235"/>
      <c r="LRB11" s="2235"/>
      <c r="LRC11" s="2235"/>
      <c r="LRD11" s="2235"/>
      <c r="LRE11" s="2235"/>
      <c r="LRF11" s="2235"/>
      <c r="LRG11" s="2235"/>
      <c r="LRH11" s="2235"/>
      <c r="LRI11" s="2235"/>
      <c r="LRJ11" s="2235"/>
      <c r="LRK11" s="2235"/>
      <c r="LRL11" s="2235"/>
      <c r="LRM11" s="2235"/>
      <c r="LRN11" s="2235"/>
      <c r="LRO11" s="2235"/>
      <c r="LRP11" s="2235"/>
      <c r="LRQ11" s="2235"/>
      <c r="LRR11" s="2235"/>
      <c r="LRS11" s="2235"/>
      <c r="LRT11" s="2235"/>
      <c r="LRU11" s="2235"/>
      <c r="LRV11" s="2235"/>
      <c r="LRW11" s="2235"/>
      <c r="LRX11" s="2235"/>
      <c r="LRY11" s="2235"/>
      <c r="LRZ11" s="2235"/>
      <c r="LSA11" s="2235"/>
      <c r="LSB11" s="2235"/>
      <c r="LSC11" s="2235"/>
      <c r="LSD11" s="2235"/>
      <c r="LSE11" s="2235"/>
      <c r="LSF11" s="2235"/>
      <c r="LSG11" s="2235"/>
      <c r="LSH11" s="2235"/>
      <c r="LSI11" s="2235"/>
      <c r="LSJ11" s="2235"/>
      <c r="LSK11" s="2235"/>
      <c r="LSL11" s="2235"/>
      <c r="LSM11" s="2235"/>
      <c r="LSN11" s="2235"/>
      <c r="LSO11" s="2235"/>
      <c r="LSP11" s="2235"/>
      <c r="LSQ11" s="2235"/>
      <c r="LSR11" s="2235"/>
      <c r="LSS11" s="2235"/>
      <c r="LST11" s="2235"/>
      <c r="LSU11" s="2235"/>
      <c r="LSV11" s="2235"/>
      <c r="LSW11" s="2235"/>
      <c r="LSX11" s="2235"/>
      <c r="LSY11" s="2235"/>
      <c r="LSZ11" s="2235"/>
      <c r="LTA11" s="2235"/>
      <c r="LTB11" s="2235"/>
      <c r="LTC11" s="2235"/>
      <c r="LTD11" s="2235"/>
      <c r="LTE11" s="2235"/>
      <c r="LTF11" s="2235"/>
      <c r="LTG11" s="2235"/>
      <c r="LTH11" s="2235"/>
      <c r="LTI11" s="2235"/>
      <c r="LTJ11" s="2235"/>
      <c r="LTK11" s="2235"/>
      <c r="LTL11" s="2235"/>
      <c r="LTM11" s="2235"/>
      <c r="LTN11" s="2235"/>
      <c r="LTO11" s="2235"/>
      <c r="LTP11" s="2235"/>
      <c r="LTQ11" s="2235"/>
      <c r="LTR11" s="2235"/>
      <c r="LTS11" s="2235"/>
      <c r="LTT11" s="2235"/>
      <c r="LTU11" s="2235"/>
      <c r="LTV11" s="2235"/>
      <c r="LTW11" s="2235"/>
      <c r="LTX11" s="2235"/>
      <c r="LTY11" s="2235"/>
      <c r="LTZ11" s="2235"/>
      <c r="LUA11" s="2235"/>
      <c r="LUB11" s="2235"/>
      <c r="LUC11" s="2235"/>
      <c r="LUD11" s="2235"/>
      <c r="LUE11" s="2235"/>
      <c r="LUF11" s="2235"/>
      <c r="LUG11" s="2235"/>
      <c r="LUH11" s="2235"/>
      <c r="LUI11" s="2235"/>
      <c r="LUJ11" s="2235"/>
      <c r="LUK11" s="2235"/>
      <c r="LUL11" s="2235"/>
      <c r="LUM11" s="2235"/>
      <c r="LUN11" s="2235"/>
      <c r="LUO11" s="2235"/>
      <c r="LUP11" s="2235"/>
      <c r="LUQ11" s="2235"/>
      <c r="LUR11" s="2235"/>
      <c r="LUS11" s="2235"/>
      <c r="LUT11" s="2235"/>
      <c r="LUU11" s="2235"/>
      <c r="LUV11" s="2235"/>
      <c r="LUW11" s="2235"/>
      <c r="LUX11" s="2235"/>
      <c r="LUY11" s="2235"/>
      <c r="LUZ11" s="2235"/>
      <c r="LVA11" s="2235"/>
      <c r="LVB11" s="2235"/>
      <c r="LVC11" s="2235"/>
      <c r="LVD11" s="2235"/>
      <c r="LVE11" s="2235"/>
      <c r="LVF11" s="2235"/>
      <c r="LVG11" s="2235"/>
      <c r="LVH11" s="2235"/>
      <c r="LVI11" s="2235"/>
      <c r="LVJ11" s="2235"/>
      <c r="LVK11" s="2235"/>
      <c r="LVL11" s="2235"/>
      <c r="LVM11" s="2235"/>
      <c r="LVN11" s="2235"/>
      <c r="LVO11" s="2235"/>
      <c r="LVP11" s="2235"/>
      <c r="LVQ11" s="2235"/>
      <c r="LVR11" s="2235"/>
      <c r="LVS11" s="2235"/>
      <c r="LVT11" s="2235"/>
      <c r="LVU11" s="2235"/>
      <c r="LVV11" s="2235"/>
      <c r="LVW11" s="2235"/>
      <c r="LVX11" s="2235"/>
      <c r="LVY11" s="2235"/>
      <c r="LVZ11" s="2235"/>
      <c r="LWA11" s="2235"/>
      <c r="LWB11" s="2235"/>
      <c r="LWC11" s="2235"/>
      <c r="LWD11" s="2235"/>
      <c r="LWE11" s="2235"/>
      <c r="LWF11" s="2235"/>
      <c r="LWG11" s="2235"/>
      <c r="LWH11" s="2235"/>
      <c r="LWI11" s="2235"/>
      <c r="LWJ11" s="2235"/>
      <c r="LWK11" s="2235"/>
      <c r="LWL11" s="2235"/>
      <c r="LWM11" s="2235"/>
      <c r="LWN11" s="2235"/>
      <c r="LWO11" s="2235"/>
      <c r="LWP11" s="2235"/>
      <c r="LWQ11" s="2235"/>
      <c r="LWR11" s="2235"/>
      <c r="LWS11" s="2235"/>
      <c r="LWT11" s="2235"/>
      <c r="LWU11" s="2235"/>
      <c r="LWV11" s="2235"/>
      <c r="LWW11" s="2235"/>
      <c r="LWX11" s="2235"/>
      <c r="LWY11" s="2235"/>
      <c r="LWZ11" s="2235"/>
      <c r="LXA11" s="2235"/>
      <c r="LXB11" s="2235"/>
      <c r="LXC11" s="2235"/>
      <c r="LXD11" s="2235"/>
      <c r="LXE11" s="2235"/>
      <c r="LXF11" s="2235"/>
      <c r="LXG11" s="2235"/>
      <c r="LXH11" s="2235"/>
      <c r="LXI11" s="2235"/>
      <c r="LXJ11" s="2235"/>
      <c r="LXK11" s="2235"/>
      <c r="LXL11" s="2235"/>
      <c r="LXM11" s="2235"/>
      <c r="LXN11" s="2235"/>
      <c r="LXO11" s="2235"/>
      <c r="LXP11" s="2235"/>
      <c r="LXQ11" s="2235"/>
      <c r="LXR11" s="2235"/>
      <c r="LXS11" s="2235"/>
      <c r="LXT11" s="2235"/>
      <c r="LXU11" s="2235"/>
      <c r="LXV11" s="2235"/>
      <c r="LXW11" s="2235"/>
      <c r="LXX11" s="2235"/>
      <c r="LXY11" s="2235"/>
      <c r="LXZ11" s="2235"/>
      <c r="LYA11" s="2235"/>
      <c r="LYB11" s="2235"/>
      <c r="LYC11" s="2235"/>
      <c r="LYD11" s="2235"/>
      <c r="LYE11" s="2235"/>
      <c r="LYF11" s="2235"/>
      <c r="LYG11" s="2235"/>
      <c r="LYH11" s="2235"/>
      <c r="LYI11" s="2235"/>
      <c r="LYJ11" s="2235"/>
      <c r="LYK11" s="2235"/>
      <c r="LYL11" s="2235"/>
      <c r="LYM11" s="2235"/>
      <c r="LYN11" s="2235"/>
      <c r="LYO11" s="2235"/>
      <c r="LYP11" s="2235"/>
      <c r="LYQ11" s="2235"/>
      <c r="LYR11" s="2235"/>
      <c r="LYS11" s="2235"/>
      <c r="LYT11" s="2235"/>
      <c r="LYU11" s="2235"/>
      <c r="LYV11" s="2235"/>
      <c r="LYW11" s="2235"/>
      <c r="LYX11" s="2235"/>
      <c r="LYY11" s="2235"/>
      <c r="LYZ11" s="2235"/>
      <c r="LZA11" s="2235"/>
      <c r="LZB11" s="2235"/>
      <c r="LZC11" s="2235"/>
      <c r="LZD11" s="2235"/>
      <c r="LZE11" s="2235"/>
      <c r="LZF11" s="2235"/>
      <c r="LZG11" s="2235"/>
      <c r="LZH11" s="2235"/>
      <c r="LZI11" s="2235"/>
      <c r="LZJ11" s="2235"/>
      <c r="LZK11" s="2235"/>
      <c r="LZL11" s="2235"/>
      <c r="LZM11" s="2235"/>
      <c r="LZN11" s="2235"/>
      <c r="LZO11" s="2235"/>
      <c r="LZP11" s="2235"/>
      <c r="LZQ11" s="2235"/>
      <c r="LZR11" s="2235"/>
      <c r="LZS11" s="2235"/>
      <c r="LZT11" s="2235"/>
      <c r="LZU11" s="2235"/>
      <c r="LZV11" s="2235"/>
      <c r="LZW11" s="2235"/>
      <c r="LZX11" s="2235"/>
      <c r="LZY11" s="2235"/>
      <c r="LZZ11" s="2235"/>
      <c r="MAA11" s="2235"/>
      <c r="MAB11" s="2235"/>
      <c r="MAC11" s="2235"/>
      <c r="MAD11" s="2235"/>
      <c r="MAE11" s="2235"/>
      <c r="MAF11" s="2235"/>
      <c r="MAG11" s="2235"/>
      <c r="MAH11" s="2235"/>
      <c r="MAI11" s="2235"/>
      <c r="MAJ11" s="2235"/>
      <c r="MAK11" s="2235"/>
      <c r="MAL11" s="2235"/>
      <c r="MAM11" s="2235"/>
      <c r="MAN11" s="2235"/>
      <c r="MAO11" s="2235"/>
      <c r="MAP11" s="2235"/>
      <c r="MAQ11" s="2235"/>
      <c r="MAR11" s="2235"/>
      <c r="MAS11" s="2235"/>
      <c r="MAT11" s="2235"/>
      <c r="MAU11" s="2235"/>
      <c r="MAV11" s="2235"/>
      <c r="MAW11" s="2235"/>
      <c r="MAX11" s="2235"/>
      <c r="MAY11" s="2235"/>
      <c r="MAZ11" s="2235"/>
      <c r="MBA11" s="2235"/>
      <c r="MBB11" s="2235"/>
      <c r="MBC11" s="2235"/>
      <c r="MBD11" s="2235"/>
      <c r="MBE11" s="2235"/>
      <c r="MBF11" s="2235"/>
      <c r="MBG11" s="2235"/>
      <c r="MBH11" s="2235"/>
      <c r="MBI11" s="2235"/>
      <c r="MBJ11" s="2235"/>
      <c r="MBK11" s="2235"/>
      <c r="MBL11" s="2235"/>
      <c r="MBM11" s="2235"/>
      <c r="MBN11" s="2235"/>
      <c r="MBO11" s="2235"/>
      <c r="MBP11" s="2235"/>
      <c r="MBQ11" s="2235"/>
      <c r="MBR11" s="2235"/>
      <c r="MBS11" s="2235"/>
      <c r="MBT11" s="2235"/>
      <c r="MBU11" s="2235"/>
      <c r="MBV11" s="2235"/>
      <c r="MBW11" s="2235"/>
      <c r="MBX11" s="2235"/>
      <c r="MBY11" s="2235"/>
      <c r="MBZ11" s="2235"/>
      <c r="MCA11" s="2235"/>
      <c r="MCB11" s="2235"/>
      <c r="MCC11" s="2235"/>
      <c r="MCD11" s="2235"/>
      <c r="MCE11" s="2235"/>
      <c r="MCF11" s="2235"/>
      <c r="MCG11" s="2235"/>
      <c r="MCH11" s="2235"/>
      <c r="MCI11" s="2235"/>
      <c r="MCJ11" s="2235"/>
      <c r="MCK11" s="2235"/>
      <c r="MCL11" s="2235"/>
      <c r="MCM11" s="2235"/>
      <c r="MCN11" s="2235"/>
      <c r="MCO11" s="2235"/>
      <c r="MCP11" s="2235"/>
      <c r="MCQ11" s="2235"/>
      <c r="MCR11" s="2235"/>
      <c r="MCS11" s="2235"/>
      <c r="MCT11" s="2235"/>
      <c r="MCU11" s="2235"/>
      <c r="MCV11" s="2235"/>
      <c r="MCW11" s="2235"/>
      <c r="MCX11" s="2235"/>
      <c r="MCY11" s="2235"/>
      <c r="MCZ11" s="2235"/>
      <c r="MDA11" s="2235"/>
      <c r="MDB11" s="2235"/>
      <c r="MDC11" s="2235"/>
      <c r="MDD11" s="2235"/>
      <c r="MDE11" s="2235"/>
      <c r="MDF11" s="2235"/>
      <c r="MDG11" s="2235"/>
      <c r="MDH11" s="2235"/>
      <c r="MDI11" s="2235"/>
      <c r="MDJ11" s="2235"/>
      <c r="MDK11" s="2235"/>
      <c r="MDL11" s="2235"/>
      <c r="MDM11" s="2235"/>
      <c r="MDN11" s="2235"/>
      <c r="MDO11" s="2235"/>
      <c r="MDP11" s="2235"/>
      <c r="MDQ11" s="2235"/>
      <c r="MDR11" s="2235"/>
      <c r="MDS11" s="2235"/>
      <c r="MDT11" s="2235"/>
      <c r="MDU11" s="2235"/>
      <c r="MDV11" s="2235"/>
      <c r="MDW11" s="2235"/>
      <c r="MDX11" s="2235"/>
      <c r="MDY11" s="2235"/>
      <c r="MDZ11" s="2235"/>
      <c r="MEA11" s="2235"/>
      <c r="MEB11" s="2235"/>
      <c r="MEC11" s="2235"/>
      <c r="MED11" s="2235"/>
      <c r="MEE11" s="2235"/>
      <c r="MEF11" s="2235"/>
      <c r="MEG11" s="2235"/>
      <c r="MEH11" s="2235"/>
      <c r="MEI11" s="2235"/>
      <c r="MEJ11" s="2235"/>
      <c r="MEK11" s="2235"/>
      <c r="MEL11" s="2235"/>
      <c r="MEM11" s="2235"/>
      <c r="MEN11" s="2235"/>
      <c r="MEO11" s="2235"/>
      <c r="MEP11" s="2235"/>
      <c r="MEQ11" s="2235"/>
      <c r="MER11" s="2235"/>
      <c r="MES11" s="2235"/>
      <c r="MET11" s="2235"/>
      <c r="MEU11" s="2235"/>
      <c r="MEV11" s="2235"/>
      <c r="MEW11" s="2235"/>
      <c r="MEX11" s="2235"/>
      <c r="MEY11" s="2235"/>
      <c r="MEZ11" s="2235"/>
      <c r="MFA11" s="2235"/>
      <c r="MFB11" s="2235"/>
      <c r="MFC11" s="2235"/>
      <c r="MFD11" s="2235"/>
      <c r="MFE11" s="2235"/>
      <c r="MFF11" s="2235"/>
      <c r="MFG11" s="2235"/>
      <c r="MFH11" s="2235"/>
      <c r="MFI11" s="2235"/>
      <c r="MFJ11" s="2235"/>
      <c r="MFK11" s="2235"/>
      <c r="MFL11" s="2235"/>
      <c r="MFM11" s="2235"/>
      <c r="MFN11" s="2235"/>
      <c r="MFO11" s="2235"/>
      <c r="MFP11" s="2235"/>
      <c r="MFQ11" s="2235"/>
      <c r="MFR11" s="2235"/>
      <c r="MFS11" s="2235"/>
      <c r="MFT11" s="2235"/>
      <c r="MFU11" s="2235"/>
      <c r="MFV11" s="2235"/>
      <c r="MFW11" s="2235"/>
      <c r="MFX11" s="2235"/>
      <c r="MFY11" s="2235"/>
      <c r="MFZ11" s="2235"/>
      <c r="MGA11" s="2235"/>
      <c r="MGB11" s="2235"/>
      <c r="MGC11" s="2235"/>
      <c r="MGD11" s="2235"/>
      <c r="MGE11" s="2235"/>
      <c r="MGF11" s="2235"/>
      <c r="MGG11" s="2235"/>
      <c r="MGH11" s="2235"/>
      <c r="MGI11" s="2235"/>
      <c r="MGJ11" s="2235"/>
      <c r="MGK11" s="2235"/>
      <c r="MGL11" s="2235"/>
      <c r="MGM11" s="2235"/>
      <c r="MGN11" s="2235"/>
      <c r="MGO11" s="2235"/>
      <c r="MGP11" s="2235"/>
      <c r="MGQ11" s="2235"/>
      <c r="MGR11" s="2235"/>
      <c r="MGS11" s="2235"/>
      <c r="MGT11" s="2235"/>
      <c r="MGU11" s="2235"/>
      <c r="MGV11" s="2235"/>
      <c r="MGW11" s="2235"/>
      <c r="MGX11" s="2235"/>
      <c r="MGY11" s="2235"/>
      <c r="MGZ11" s="2235"/>
      <c r="MHA11" s="2235"/>
      <c r="MHB11" s="2235"/>
      <c r="MHC11" s="2235"/>
      <c r="MHD11" s="2235"/>
      <c r="MHE11" s="2235"/>
      <c r="MHF11" s="2235"/>
      <c r="MHG11" s="2235"/>
      <c r="MHH11" s="2235"/>
      <c r="MHI11" s="2235"/>
      <c r="MHJ11" s="2235"/>
      <c r="MHK11" s="2235"/>
      <c r="MHL11" s="2235"/>
      <c r="MHM11" s="2235"/>
      <c r="MHN11" s="2235"/>
      <c r="MHO11" s="2235"/>
      <c r="MHP11" s="2235"/>
      <c r="MHQ11" s="2235"/>
      <c r="MHR11" s="2235"/>
      <c r="MHS11" s="2235"/>
      <c r="MHT11" s="2235"/>
      <c r="MHU11" s="2235"/>
      <c r="MHV11" s="2235"/>
      <c r="MHW11" s="2235"/>
      <c r="MHX11" s="2235"/>
      <c r="MHY11" s="2235"/>
      <c r="MHZ11" s="2235"/>
      <c r="MIA11" s="2235"/>
      <c r="MIB11" s="2235"/>
      <c r="MIC11" s="2235"/>
      <c r="MID11" s="2235"/>
      <c r="MIE11" s="2235"/>
      <c r="MIF11" s="2235"/>
      <c r="MIG11" s="2235"/>
      <c r="MIH11" s="2235"/>
      <c r="MII11" s="2235"/>
      <c r="MIJ11" s="2235"/>
      <c r="MIK11" s="2235"/>
      <c r="MIL11" s="2235"/>
      <c r="MIM11" s="2235"/>
      <c r="MIN11" s="2235"/>
      <c r="MIO11" s="2235"/>
      <c r="MIP11" s="2235"/>
      <c r="MIQ11" s="2235"/>
      <c r="MIR11" s="2235"/>
      <c r="MIS11" s="2235"/>
      <c r="MIT11" s="2235"/>
      <c r="MIU11" s="2235"/>
      <c r="MIV11" s="2235"/>
      <c r="MIW11" s="2235"/>
      <c r="MIX11" s="2235"/>
      <c r="MIY11" s="2235"/>
      <c r="MIZ11" s="2235"/>
      <c r="MJA11" s="2235"/>
      <c r="MJB11" s="2235"/>
      <c r="MJC11" s="2235"/>
      <c r="MJD11" s="2235"/>
      <c r="MJE11" s="2235"/>
      <c r="MJF11" s="2235"/>
      <c r="MJG11" s="2235"/>
      <c r="MJH11" s="2235"/>
      <c r="MJI11" s="2235"/>
      <c r="MJJ11" s="2235"/>
      <c r="MJK11" s="2235"/>
      <c r="MJL11" s="2235"/>
      <c r="MJM11" s="2235"/>
      <c r="MJN11" s="2235"/>
      <c r="MJO11" s="2235"/>
      <c r="MJP11" s="2235"/>
      <c r="MJQ11" s="2235"/>
      <c r="MJR11" s="2235"/>
      <c r="MJS11" s="2235"/>
      <c r="MJT11" s="2235"/>
      <c r="MJU11" s="2235"/>
      <c r="MJV11" s="2235"/>
      <c r="MJW11" s="2235"/>
      <c r="MJX11" s="2235"/>
      <c r="MJY11" s="2235"/>
      <c r="MJZ11" s="2235"/>
      <c r="MKA11" s="2235"/>
      <c r="MKB11" s="2235"/>
      <c r="MKC11" s="2235"/>
      <c r="MKD11" s="2235"/>
      <c r="MKE11" s="2235"/>
      <c r="MKF11" s="2235"/>
      <c r="MKG11" s="2235"/>
      <c r="MKH11" s="2235"/>
      <c r="MKI11" s="2235"/>
      <c r="MKJ11" s="2235"/>
      <c r="MKK11" s="2235"/>
      <c r="MKL11" s="2235"/>
      <c r="MKM11" s="2235"/>
      <c r="MKN11" s="2235"/>
      <c r="MKO11" s="2235"/>
      <c r="MKP11" s="2235"/>
      <c r="MKQ11" s="2235"/>
      <c r="MKR11" s="2235"/>
      <c r="MKS11" s="2235"/>
      <c r="MKT11" s="2235"/>
      <c r="MKU11" s="2235"/>
      <c r="MKV11" s="2235"/>
      <c r="MKW11" s="2235"/>
      <c r="MKX11" s="2235"/>
      <c r="MKY11" s="2235"/>
      <c r="MKZ11" s="2235"/>
      <c r="MLA11" s="2235"/>
      <c r="MLB11" s="2235"/>
      <c r="MLC11" s="2235"/>
      <c r="MLD11" s="2235"/>
      <c r="MLE11" s="2235"/>
      <c r="MLF11" s="2235"/>
      <c r="MLG11" s="2235"/>
      <c r="MLH11" s="2235"/>
      <c r="MLI11" s="2235"/>
      <c r="MLJ11" s="2235"/>
      <c r="MLK11" s="2235"/>
      <c r="MLL11" s="2235"/>
      <c r="MLM11" s="2235"/>
      <c r="MLN11" s="2235"/>
      <c r="MLO11" s="2235"/>
      <c r="MLP11" s="2235"/>
      <c r="MLQ11" s="2235"/>
      <c r="MLR11" s="2235"/>
      <c r="MLS11" s="2235"/>
      <c r="MLT11" s="2235"/>
      <c r="MLU11" s="2235"/>
      <c r="MLV11" s="2235"/>
      <c r="MLW11" s="2235"/>
      <c r="MLX11" s="2235"/>
      <c r="MLY11" s="2235"/>
      <c r="MLZ11" s="2235"/>
      <c r="MMA11" s="2235"/>
      <c r="MMB11" s="2235"/>
      <c r="MMC11" s="2235"/>
      <c r="MMD11" s="2235"/>
      <c r="MME11" s="2235"/>
      <c r="MMF11" s="2235"/>
      <c r="MMG11" s="2235"/>
      <c r="MMH11" s="2235"/>
      <c r="MMI11" s="2235"/>
      <c r="MMJ11" s="2235"/>
      <c r="MMK11" s="2235"/>
      <c r="MML11" s="2235"/>
      <c r="MMM11" s="2235"/>
      <c r="MMN11" s="2235"/>
      <c r="MMO11" s="2235"/>
      <c r="MMP11" s="2235"/>
      <c r="MMQ11" s="2235"/>
      <c r="MMR11" s="2235"/>
      <c r="MMS11" s="2235"/>
      <c r="MMT11" s="2235"/>
      <c r="MMU11" s="2235"/>
      <c r="MMV11" s="2235"/>
      <c r="MMW11" s="2235"/>
      <c r="MMX11" s="2235"/>
      <c r="MMY11" s="2235"/>
      <c r="MMZ11" s="2235"/>
      <c r="MNA11" s="2235"/>
      <c r="MNB11" s="2235"/>
      <c r="MNC11" s="2235"/>
      <c r="MND11" s="2235"/>
      <c r="MNE11" s="2235"/>
      <c r="MNF11" s="2235"/>
      <c r="MNG11" s="2235"/>
      <c r="MNH11" s="2235"/>
      <c r="MNI11" s="2235"/>
      <c r="MNJ11" s="2235"/>
      <c r="MNK11" s="2235"/>
      <c r="MNL11" s="2235"/>
      <c r="MNM11" s="2235"/>
      <c r="MNN11" s="2235"/>
      <c r="MNO11" s="2235"/>
      <c r="MNP11" s="2235"/>
      <c r="MNQ11" s="2235"/>
      <c r="MNR11" s="2235"/>
      <c r="MNS11" s="2235"/>
      <c r="MNT11" s="2235"/>
      <c r="MNU11" s="2235"/>
      <c r="MNV11" s="2235"/>
      <c r="MNW11" s="2235"/>
      <c r="MNX11" s="2235"/>
      <c r="MNY11" s="2235"/>
      <c r="MNZ11" s="2235"/>
      <c r="MOA11" s="2235"/>
      <c r="MOB11" s="2235"/>
      <c r="MOC11" s="2235"/>
      <c r="MOD11" s="2235"/>
      <c r="MOE11" s="2235"/>
      <c r="MOF11" s="2235"/>
      <c r="MOG11" s="2235"/>
      <c r="MOH11" s="2235"/>
      <c r="MOI11" s="2235"/>
      <c r="MOJ11" s="2235"/>
      <c r="MOK11" s="2235"/>
      <c r="MOL11" s="2235"/>
      <c r="MOM11" s="2235"/>
      <c r="MON11" s="2235"/>
      <c r="MOO11" s="2235"/>
      <c r="MOP11" s="2235"/>
      <c r="MOQ11" s="2235"/>
      <c r="MOR11" s="2235"/>
      <c r="MOS11" s="2235"/>
      <c r="MOT11" s="2235"/>
      <c r="MOU11" s="2235"/>
      <c r="MOV11" s="2235"/>
      <c r="MOW11" s="2235"/>
      <c r="MOX11" s="2235"/>
      <c r="MOY11" s="2235"/>
      <c r="MOZ11" s="2235"/>
      <c r="MPA11" s="2235"/>
      <c r="MPB11" s="2235"/>
      <c r="MPC11" s="2235"/>
      <c r="MPD11" s="2235"/>
      <c r="MPE11" s="2235"/>
      <c r="MPF11" s="2235"/>
      <c r="MPG11" s="2235"/>
      <c r="MPH11" s="2235"/>
      <c r="MPI11" s="2235"/>
      <c r="MPJ11" s="2235"/>
      <c r="MPK11" s="2235"/>
      <c r="MPL11" s="2235"/>
      <c r="MPM11" s="2235"/>
      <c r="MPN11" s="2235"/>
      <c r="MPO11" s="2235"/>
      <c r="MPP11" s="2235"/>
      <c r="MPQ11" s="2235"/>
      <c r="MPR11" s="2235"/>
      <c r="MPS11" s="2235"/>
      <c r="MPT11" s="2235"/>
      <c r="MPU11" s="2235"/>
      <c r="MPV11" s="2235"/>
      <c r="MPW11" s="2235"/>
      <c r="MPX11" s="2235"/>
      <c r="MPY11" s="2235"/>
      <c r="MPZ11" s="2235"/>
      <c r="MQA11" s="2235"/>
      <c r="MQB11" s="2235"/>
      <c r="MQC11" s="2235"/>
      <c r="MQD11" s="2235"/>
      <c r="MQE11" s="2235"/>
      <c r="MQF11" s="2235"/>
      <c r="MQG11" s="2235"/>
      <c r="MQH11" s="2235"/>
      <c r="MQI11" s="2235"/>
      <c r="MQJ11" s="2235"/>
      <c r="MQK11" s="2235"/>
      <c r="MQL11" s="2235"/>
      <c r="MQM11" s="2235"/>
      <c r="MQN11" s="2235"/>
      <c r="MQO11" s="2235"/>
      <c r="MQP11" s="2235"/>
      <c r="MQQ11" s="2235"/>
      <c r="MQR11" s="2235"/>
      <c r="MQS11" s="2235"/>
      <c r="MQT11" s="2235"/>
      <c r="MQU11" s="2235"/>
      <c r="MQV11" s="2235"/>
      <c r="MQW11" s="2235"/>
      <c r="MQX11" s="2235"/>
      <c r="MQY11" s="2235"/>
      <c r="MQZ11" s="2235"/>
      <c r="MRA11" s="2235"/>
      <c r="MRB11" s="2235"/>
      <c r="MRC11" s="2235"/>
      <c r="MRD11" s="2235"/>
      <c r="MRE11" s="2235"/>
      <c r="MRF11" s="2235"/>
      <c r="MRG11" s="2235"/>
      <c r="MRH11" s="2235"/>
      <c r="MRI11" s="2235"/>
      <c r="MRJ11" s="2235"/>
      <c r="MRK11" s="2235"/>
      <c r="MRL11" s="2235"/>
      <c r="MRM11" s="2235"/>
      <c r="MRN11" s="2235"/>
      <c r="MRO11" s="2235"/>
      <c r="MRP11" s="2235"/>
      <c r="MRQ11" s="2235"/>
      <c r="MRR11" s="2235"/>
      <c r="MRS11" s="2235"/>
      <c r="MRT11" s="2235"/>
      <c r="MRU11" s="2235"/>
      <c r="MRV11" s="2235"/>
      <c r="MRW11" s="2235"/>
      <c r="MRX11" s="2235"/>
      <c r="MRY11" s="2235"/>
      <c r="MRZ11" s="2235"/>
      <c r="MSA11" s="2235"/>
      <c r="MSB11" s="2235"/>
      <c r="MSC11" s="2235"/>
      <c r="MSD11" s="2235"/>
      <c r="MSE11" s="2235"/>
      <c r="MSF11" s="2235"/>
      <c r="MSG11" s="2235"/>
      <c r="MSH11" s="2235"/>
      <c r="MSI11" s="2235"/>
      <c r="MSJ11" s="2235"/>
      <c r="MSK11" s="2235"/>
      <c r="MSL11" s="2235"/>
      <c r="MSM11" s="2235"/>
      <c r="MSN11" s="2235"/>
      <c r="MSO11" s="2235"/>
      <c r="MSP11" s="2235"/>
      <c r="MSQ11" s="2235"/>
      <c r="MSR11" s="2235"/>
      <c r="MSS11" s="2235"/>
      <c r="MST11" s="2235"/>
      <c r="MSU11" s="2235"/>
      <c r="MSV11" s="2235"/>
      <c r="MSW11" s="2235"/>
      <c r="MSX11" s="2235"/>
      <c r="MSY11" s="2235"/>
      <c r="MSZ11" s="2235"/>
      <c r="MTA11" s="2235"/>
      <c r="MTB11" s="2235"/>
      <c r="MTC11" s="2235"/>
      <c r="MTD11" s="2235"/>
      <c r="MTE11" s="2235"/>
      <c r="MTF11" s="2235"/>
      <c r="MTG11" s="2235"/>
      <c r="MTH11" s="2235"/>
      <c r="MTI11" s="2235"/>
      <c r="MTJ11" s="2235"/>
      <c r="MTK11" s="2235"/>
      <c r="MTL11" s="2235"/>
      <c r="MTM11" s="2235"/>
      <c r="MTN11" s="2235"/>
      <c r="MTO11" s="2235"/>
      <c r="MTP11" s="2235"/>
      <c r="MTQ11" s="2235"/>
      <c r="MTR11" s="2235"/>
      <c r="MTS11" s="2235"/>
      <c r="MTT11" s="2235"/>
      <c r="MTU11" s="2235"/>
      <c r="MTV11" s="2235"/>
      <c r="MTW11" s="2235"/>
      <c r="MTX11" s="2235"/>
      <c r="MTY11" s="2235"/>
      <c r="MTZ11" s="2235"/>
      <c r="MUA11" s="2235"/>
      <c r="MUB11" s="2235"/>
      <c r="MUC11" s="2235"/>
      <c r="MUD11" s="2235"/>
      <c r="MUE11" s="2235"/>
      <c r="MUF11" s="2235"/>
      <c r="MUG11" s="2235"/>
      <c r="MUH11" s="2235"/>
      <c r="MUI11" s="2235"/>
      <c r="MUJ11" s="2235"/>
      <c r="MUK11" s="2235"/>
      <c r="MUL11" s="2235"/>
      <c r="MUM11" s="2235"/>
      <c r="MUN11" s="2235"/>
      <c r="MUO11" s="2235"/>
      <c r="MUP11" s="2235"/>
      <c r="MUQ11" s="2235"/>
      <c r="MUR11" s="2235"/>
      <c r="MUS11" s="2235"/>
      <c r="MUT11" s="2235"/>
      <c r="MUU11" s="2235"/>
      <c r="MUV11" s="2235"/>
      <c r="MUW11" s="2235"/>
      <c r="MUX11" s="2235"/>
      <c r="MUY11" s="2235"/>
      <c r="MUZ11" s="2235"/>
      <c r="MVA11" s="2235"/>
      <c r="MVB11" s="2235"/>
      <c r="MVC11" s="2235"/>
      <c r="MVD11" s="2235"/>
      <c r="MVE11" s="2235"/>
      <c r="MVF11" s="2235"/>
      <c r="MVG11" s="2235"/>
      <c r="MVH11" s="2235"/>
      <c r="MVI11" s="2235"/>
      <c r="MVJ11" s="2235"/>
      <c r="MVK11" s="2235"/>
      <c r="MVL11" s="2235"/>
      <c r="MVM11" s="2235"/>
      <c r="MVN11" s="2235"/>
      <c r="MVO11" s="2235"/>
      <c r="MVP11" s="2235"/>
      <c r="MVQ11" s="2235"/>
      <c r="MVR11" s="2235"/>
      <c r="MVS11" s="2235"/>
      <c r="MVT11" s="2235"/>
      <c r="MVU11" s="2235"/>
      <c r="MVV11" s="2235"/>
      <c r="MVW11" s="2235"/>
      <c r="MVX11" s="2235"/>
      <c r="MVY11" s="2235"/>
      <c r="MVZ11" s="2235"/>
      <c r="MWA11" s="2235"/>
      <c r="MWB11" s="2235"/>
      <c r="MWC11" s="2235"/>
      <c r="MWD11" s="2235"/>
      <c r="MWE11" s="2235"/>
      <c r="MWF11" s="2235"/>
      <c r="MWG11" s="2235"/>
      <c r="MWH11" s="2235"/>
      <c r="MWI11" s="2235"/>
      <c r="MWJ11" s="2235"/>
      <c r="MWK11" s="2235"/>
      <c r="MWL11" s="2235"/>
      <c r="MWM11" s="2235"/>
      <c r="MWN11" s="2235"/>
      <c r="MWO11" s="2235"/>
      <c r="MWP11" s="2235"/>
      <c r="MWQ11" s="2235"/>
      <c r="MWR11" s="2235"/>
      <c r="MWS11" s="2235"/>
      <c r="MWT11" s="2235"/>
      <c r="MWU11" s="2235"/>
      <c r="MWV11" s="2235"/>
      <c r="MWW11" s="2235"/>
      <c r="MWX11" s="2235"/>
      <c r="MWY11" s="2235"/>
      <c r="MWZ11" s="2235"/>
      <c r="MXA11" s="2235"/>
      <c r="MXB11" s="2235"/>
      <c r="MXC11" s="2235"/>
      <c r="MXD11" s="2235"/>
      <c r="MXE11" s="2235"/>
      <c r="MXF11" s="2235"/>
      <c r="MXG11" s="2235"/>
      <c r="MXH11" s="2235"/>
      <c r="MXI11" s="2235"/>
      <c r="MXJ11" s="2235"/>
      <c r="MXK11" s="2235"/>
      <c r="MXL11" s="2235"/>
      <c r="MXM11" s="2235"/>
      <c r="MXN11" s="2235"/>
      <c r="MXO11" s="2235"/>
      <c r="MXP11" s="2235"/>
      <c r="MXQ11" s="2235"/>
      <c r="MXR11" s="2235"/>
      <c r="MXS11" s="2235"/>
      <c r="MXT11" s="2235"/>
      <c r="MXU11" s="2235"/>
      <c r="MXV11" s="2235"/>
      <c r="MXW11" s="2235"/>
      <c r="MXX11" s="2235"/>
      <c r="MXY11" s="2235"/>
      <c r="MXZ11" s="2235"/>
      <c r="MYA11" s="2235"/>
      <c r="MYB11" s="2235"/>
      <c r="MYC11" s="2235"/>
      <c r="MYD11" s="2235"/>
      <c r="MYE11" s="2235"/>
      <c r="MYF11" s="2235"/>
      <c r="MYG11" s="2235"/>
      <c r="MYH11" s="2235"/>
      <c r="MYI11" s="2235"/>
      <c r="MYJ11" s="2235"/>
      <c r="MYK11" s="2235"/>
      <c r="MYL11" s="2235"/>
      <c r="MYM11" s="2235"/>
      <c r="MYN11" s="2235"/>
      <c r="MYO11" s="2235"/>
      <c r="MYP11" s="2235"/>
      <c r="MYQ11" s="2235"/>
      <c r="MYR11" s="2235"/>
      <c r="MYS11" s="2235"/>
      <c r="MYT11" s="2235"/>
      <c r="MYU11" s="2235"/>
      <c r="MYV11" s="2235"/>
      <c r="MYW11" s="2235"/>
      <c r="MYX11" s="2235"/>
      <c r="MYY11" s="2235"/>
      <c r="MYZ11" s="2235"/>
      <c r="MZA11" s="2235"/>
      <c r="MZB11" s="2235"/>
      <c r="MZC11" s="2235"/>
      <c r="MZD11" s="2235"/>
      <c r="MZE11" s="2235"/>
      <c r="MZF11" s="2235"/>
      <c r="MZG11" s="2235"/>
      <c r="MZH11" s="2235"/>
      <c r="MZI11" s="2235"/>
      <c r="MZJ11" s="2235"/>
      <c r="MZK11" s="2235"/>
      <c r="MZL11" s="2235"/>
      <c r="MZM11" s="2235"/>
      <c r="MZN11" s="2235"/>
      <c r="MZO11" s="2235"/>
      <c r="MZP11" s="2235"/>
      <c r="MZQ11" s="2235"/>
      <c r="MZR11" s="2235"/>
      <c r="MZS11" s="2235"/>
      <c r="MZT11" s="2235"/>
      <c r="MZU11" s="2235"/>
      <c r="MZV11" s="2235"/>
      <c r="MZW11" s="2235"/>
      <c r="MZX11" s="2235"/>
      <c r="MZY11" s="2235"/>
      <c r="MZZ11" s="2235"/>
      <c r="NAA11" s="2235"/>
      <c r="NAB11" s="2235"/>
      <c r="NAC11" s="2235"/>
      <c r="NAD11" s="2235"/>
      <c r="NAE11" s="2235"/>
      <c r="NAF11" s="2235"/>
      <c r="NAG11" s="2235"/>
      <c r="NAH11" s="2235"/>
      <c r="NAI11" s="2235"/>
      <c r="NAJ11" s="2235"/>
      <c r="NAK11" s="2235"/>
      <c r="NAL11" s="2235"/>
      <c r="NAM11" s="2235"/>
      <c r="NAN11" s="2235"/>
      <c r="NAO11" s="2235"/>
      <c r="NAP11" s="2235"/>
      <c r="NAQ11" s="2235"/>
      <c r="NAR11" s="2235"/>
      <c r="NAS11" s="2235"/>
      <c r="NAT11" s="2235"/>
      <c r="NAU11" s="2235"/>
      <c r="NAV11" s="2235"/>
      <c r="NAW11" s="2235"/>
      <c r="NAX11" s="2235"/>
      <c r="NAY11" s="2235"/>
      <c r="NAZ11" s="2235"/>
      <c r="NBA11" s="2235"/>
      <c r="NBB11" s="2235"/>
      <c r="NBC11" s="2235"/>
      <c r="NBD11" s="2235"/>
      <c r="NBE11" s="2235"/>
      <c r="NBF11" s="2235"/>
      <c r="NBG11" s="2235"/>
      <c r="NBH11" s="2235"/>
      <c r="NBI11" s="2235"/>
      <c r="NBJ11" s="2235"/>
      <c r="NBK11" s="2235"/>
      <c r="NBL11" s="2235"/>
      <c r="NBM11" s="2235"/>
      <c r="NBN11" s="2235"/>
      <c r="NBO11" s="2235"/>
      <c r="NBP11" s="2235"/>
      <c r="NBQ11" s="2235"/>
      <c r="NBR11" s="2235"/>
      <c r="NBS11" s="2235"/>
      <c r="NBT11" s="2235"/>
      <c r="NBU11" s="2235"/>
      <c r="NBV11" s="2235"/>
      <c r="NBW11" s="2235"/>
      <c r="NBX11" s="2235"/>
      <c r="NBY11" s="2235"/>
      <c r="NBZ11" s="2235"/>
      <c r="NCA11" s="2235"/>
      <c r="NCB11" s="2235"/>
      <c r="NCC11" s="2235"/>
      <c r="NCD11" s="2235"/>
      <c r="NCE11" s="2235"/>
      <c r="NCF11" s="2235"/>
      <c r="NCG11" s="2235"/>
      <c r="NCH11" s="2235"/>
      <c r="NCI11" s="2235"/>
      <c r="NCJ11" s="2235"/>
      <c r="NCK11" s="2235"/>
      <c r="NCL11" s="2235"/>
      <c r="NCM11" s="2235"/>
      <c r="NCN11" s="2235"/>
      <c r="NCO11" s="2235"/>
      <c r="NCP11" s="2235"/>
      <c r="NCQ11" s="2235"/>
      <c r="NCR11" s="2235"/>
      <c r="NCS11" s="2235"/>
      <c r="NCT11" s="2235"/>
      <c r="NCU11" s="2235"/>
      <c r="NCV11" s="2235"/>
      <c r="NCW11" s="2235"/>
      <c r="NCX11" s="2235"/>
      <c r="NCY11" s="2235"/>
      <c r="NCZ11" s="2235"/>
      <c r="NDA11" s="2235"/>
      <c r="NDB11" s="2235"/>
      <c r="NDC11" s="2235"/>
      <c r="NDD11" s="2235"/>
      <c r="NDE11" s="2235"/>
      <c r="NDF11" s="2235"/>
      <c r="NDG11" s="2235"/>
      <c r="NDH11" s="2235"/>
      <c r="NDI11" s="2235"/>
      <c r="NDJ11" s="2235"/>
      <c r="NDK11" s="2235"/>
      <c r="NDL11" s="2235"/>
      <c r="NDM11" s="2235"/>
      <c r="NDN11" s="2235"/>
      <c r="NDO11" s="2235"/>
      <c r="NDP11" s="2235"/>
      <c r="NDQ11" s="2235"/>
      <c r="NDR11" s="2235"/>
      <c r="NDS11" s="2235"/>
      <c r="NDT11" s="2235"/>
      <c r="NDU11" s="2235"/>
      <c r="NDV11" s="2235"/>
      <c r="NDW11" s="2235"/>
      <c r="NDX11" s="2235"/>
      <c r="NDY11" s="2235"/>
      <c r="NDZ11" s="2235"/>
      <c r="NEA11" s="2235"/>
      <c r="NEB11" s="2235"/>
      <c r="NEC11" s="2235"/>
      <c r="NED11" s="2235"/>
      <c r="NEE11" s="2235"/>
      <c r="NEF11" s="2235"/>
      <c r="NEG11" s="2235"/>
      <c r="NEH11" s="2235"/>
      <c r="NEI11" s="2235"/>
      <c r="NEJ11" s="2235"/>
      <c r="NEK11" s="2235"/>
      <c r="NEL11" s="2235"/>
      <c r="NEM11" s="2235"/>
      <c r="NEN11" s="2235"/>
      <c r="NEO11" s="2235"/>
      <c r="NEP11" s="2235"/>
      <c r="NEQ11" s="2235"/>
      <c r="NER11" s="2235"/>
      <c r="NES11" s="2235"/>
      <c r="NET11" s="2235"/>
      <c r="NEU11" s="2235"/>
      <c r="NEV11" s="2235"/>
      <c r="NEW11" s="2235"/>
      <c r="NEX11" s="2235"/>
      <c r="NEY11" s="2235"/>
      <c r="NEZ11" s="2235"/>
      <c r="NFA11" s="2235"/>
      <c r="NFB11" s="2235"/>
      <c r="NFC11" s="2235"/>
      <c r="NFD11" s="2235"/>
      <c r="NFE11" s="2235"/>
      <c r="NFF11" s="2235"/>
      <c r="NFG11" s="2235"/>
      <c r="NFH11" s="2235"/>
      <c r="NFI11" s="2235"/>
      <c r="NFJ11" s="2235"/>
      <c r="NFK11" s="2235"/>
      <c r="NFL11" s="2235"/>
      <c r="NFM11" s="2235"/>
      <c r="NFN11" s="2235"/>
      <c r="NFO11" s="2235"/>
      <c r="NFP11" s="2235"/>
      <c r="NFQ11" s="2235"/>
      <c r="NFR11" s="2235"/>
      <c r="NFS11" s="2235"/>
      <c r="NFT11" s="2235"/>
      <c r="NFU11" s="2235"/>
      <c r="NFV11" s="2235"/>
      <c r="NFW11" s="2235"/>
      <c r="NFX11" s="2235"/>
      <c r="NFY11" s="2235"/>
      <c r="NFZ11" s="2235"/>
      <c r="NGA11" s="2235"/>
      <c r="NGB11" s="2235"/>
      <c r="NGC11" s="2235"/>
      <c r="NGD11" s="2235"/>
      <c r="NGE11" s="2235"/>
      <c r="NGF11" s="2235"/>
      <c r="NGG11" s="2235"/>
      <c r="NGH11" s="2235"/>
      <c r="NGI11" s="2235"/>
      <c r="NGJ11" s="2235"/>
      <c r="NGK11" s="2235"/>
      <c r="NGL11" s="2235"/>
      <c r="NGM11" s="2235"/>
      <c r="NGN11" s="2235"/>
      <c r="NGO11" s="2235"/>
      <c r="NGP11" s="2235"/>
      <c r="NGQ11" s="2235"/>
      <c r="NGR11" s="2235"/>
      <c r="NGS11" s="2235"/>
      <c r="NGT11" s="2235"/>
      <c r="NGU11" s="2235"/>
      <c r="NGV11" s="2235"/>
      <c r="NGW11" s="2235"/>
      <c r="NGX11" s="2235"/>
      <c r="NGY11" s="2235"/>
      <c r="NGZ11" s="2235"/>
      <c r="NHA11" s="2235"/>
      <c r="NHB11" s="2235"/>
      <c r="NHC11" s="2235"/>
      <c r="NHD11" s="2235"/>
      <c r="NHE11" s="2235"/>
      <c r="NHF11" s="2235"/>
      <c r="NHG11" s="2235"/>
      <c r="NHH11" s="2235"/>
      <c r="NHI11" s="2235"/>
      <c r="NHJ11" s="2235"/>
      <c r="NHK11" s="2235"/>
      <c r="NHL11" s="2235"/>
      <c r="NHM11" s="2235"/>
      <c r="NHN11" s="2235"/>
      <c r="NHO11" s="2235"/>
      <c r="NHP11" s="2235"/>
      <c r="NHQ11" s="2235"/>
      <c r="NHR11" s="2235"/>
      <c r="NHS11" s="2235"/>
      <c r="NHT11" s="2235"/>
      <c r="NHU11" s="2235"/>
      <c r="NHV11" s="2235"/>
      <c r="NHW11" s="2235"/>
      <c r="NHX11" s="2235"/>
      <c r="NHY11" s="2235"/>
      <c r="NHZ11" s="2235"/>
      <c r="NIA11" s="2235"/>
      <c r="NIB11" s="2235"/>
      <c r="NIC11" s="2235"/>
      <c r="NID11" s="2235"/>
      <c r="NIE11" s="2235"/>
      <c r="NIF11" s="2235"/>
      <c r="NIG11" s="2235"/>
      <c r="NIH11" s="2235"/>
      <c r="NII11" s="2235"/>
      <c r="NIJ11" s="2235"/>
      <c r="NIK11" s="2235"/>
      <c r="NIL11" s="2235"/>
      <c r="NIM11" s="2235"/>
      <c r="NIN11" s="2235"/>
      <c r="NIO11" s="2235"/>
      <c r="NIP11" s="2235"/>
      <c r="NIQ11" s="2235"/>
      <c r="NIR11" s="2235"/>
      <c r="NIS11" s="2235"/>
      <c r="NIT11" s="2235"/>
      <c r="NIU11" s="2235"/>
      <c r="NIV11" s="2235"/>
      <c r="NIW11" s="2235"/>
      <c r="NIX11" s="2235"/>
      <c r="NIY11" s="2235"/>
      <c r="NIZ11" s="2235"/>
      <c r="NJA11" s="2235"/>
      <c r="NJB11" s="2235"/>
      <c r="NJC11" s="2235"/>
      <c r="NJD11" s="2235"/>
      <c r="NJE11" s="2235"/>
      <c r="NJF11" s="2235"/>
      <c r="NJG11" s="2235"/>
      <c r="NJH11" s="2235"/>
      <c r="NJI11" s="2235"/>
      <c r="NJJ11" s="2235"/>
      <c r="NJK11" s="2235"/>
      <c r="NJL11" s="2235"/>
      <c r="NJM11" s="2235"/>
      <c r="NJN11" s="2235"/>
      <c r="NJO11" s="2235"/>
      <c r="NJP11" s="2235"/>
      <c r="NJQ11" s="2235"/>
      <c r="NJR11" s="2235"/>
      <c r="NJS11" s="2235"/>
      <c r="NJT11" s="2235"/>
      <c r="NJU11" s="2235"/>
      <c r="NJV11" s="2235"/>
      <c r="NJW11" s="2235"/>
      <c r="NJX11" s="2235"/>
      <c r="NJY11" s="2235"/>
      <c r="NJZ11" s="2235"/>
      <c r="NKA11" s="2235"/>
      <c r="NKB11" s="2235"/>
      <c r="NKC11" s="2235"/>
      <c r="NKD11" s="2235"/>
      <c r="NKE11" s="2235"/>
      <c r="NKF11" s="2235"/>
      <c r="NKG11" s="2235"/>
      <c r="NKH11" s="2235"/>
      <c r="NKI11" s="2235"/>
      <c r="NKJ11" s="2235"/>
      <c r="NKK11" s="2235"/>
      <c r="NKL11" s="2235"/>
      <c r="NKM11" s="2235"/>
      <c r="NKN11" s="2235"/>
      <c r="NKO11" s="2235"/>
      <c r="NKP11" s="2235"/>
      <c r="NKQ11" s="2235"/>
      <c r="NKR11" s="2235"/>
      <c r="NKS11" s="2235"/>
      <c r="NKT11" s="2235"/>
      <c r="NKU11" s="2235"/>
      <c r="NKV11" s="2235"/>
      <c r="NKW11" s="2235"/>
      <c r="NKX11" s="2235"/>
      <c r="NKY11" s="2235"/>
      <c r="NKZ11" s="2235"/>
      <c r="NLA11" s="2235"/>
      <c r="NLB11" s="2235"/>
      <c r="NLC11" s="2235"/>
      <c r="NLD11" s="2235"/>
      <c r="NLE11" s="2235"/>
      <c r="NLF11" s="2235"/>
      <c r="NLG11" s="2235"/>
      <c r="NLH11" s="2235"/>
      <c r="NLI11" s="2235"/>
      <c r="NLJ11" s="2235"/>
      <c r="NLK11" s="2235"/>
      <c r="NLL11" s="2235"/>
      <c r="NLM11" s="2235"/>
      <c r="NLN11" s="2235"/>
      <c r="NLO11" s="2235"/>
      <c r="NLP11" s="2235"/>
      <c r="NLQ11" s="2235"/>
      <c r="NLR11" s="2235"/>
      <c r="NLS11" s="2235"/>
      <c r="NLT11" s="2235"/>
      <c r="NLU11" s="2235"/>
      <c r="NLV11" s="2235"/>
      <c r="NLW11" s="2235"/>
      <c r="NLX11" s="2235"/>
      <c r="NLY11" s="2235"/>
      <c r="NLZ11" s="2235"/>
      <c r="NMA11" s="2235"/>
      <c r="NMB11" s="2235"/>
      <c r="NMC11" s="2235"/>
      <c r="NMD11" s="2235"/>
      <c r="NME11" s="2235"/>
      <c r="NMF11" s="2235"/>
      <c r="NMG11" s="2235"/>
      <c r="NMH11" s="2235"/>
      <c r="NMI11" s="2235"/>
      <c r="NMJ11" s="2235"/>
      <c r="NMK11" s="2235"/>
      <c r="NML11" s="2235"/>
      <c r="NMM11" s="2235"/>
      <c r="NMN11" s="2235"/>
      <c r="NMO11" s="2235"/>
      <c r="NMP11" s="2235"/>
      <c r="NMQ11" s="2235"/>
      <c r="NMR11" s="2235"/>
      <c r="NMS11" s="2235"/>
      <c r="NMT11" s="2235"/>
      <c r="NMU11" s="2235"/>
      <c r="NMV11" s="2235"/>
      <c r="NMW11" s="2235"/>
      <c r="NMX11" s="2235"/>
      <c r="NMY11" s="2235"/>
      <c r="NMZ11" s="2235"/>
      <c r="NNA11" s="2235"/>
      <c r="NNB11" s="2235"/>
      <c r="NNC11" s="2235"/>
      <c r="NND11" s="2235"/>
      <c r="NNE11" s="2235"/>
      <c r="NNF11" s="2235"/>
      <c r="NNG11" s="2235"/>
      <c r="NNH11" s="2235"/>
      <c r="NNI11" s="2235"/>
      <c r="NNJ11" s="2235"/>
      <c r="NNK11" s="2235"/>
      <c r="NNL11" s="2235"/>
      <c r="NNM11" s="2235"/>
      <c r="NNN11" s="2235"/>
      <c r="NNO11" s="2235"/>
      <c r="NNP11" s="2235"/>
      <c r="NNQ11" s="2235"/>
      <c r="NNR11" s="2235"/>
      <c r="NNS11" s="2235"/>
      <c r="NNT11" s="2235"/>
      <c r="NNU11" s="2235"/>
      <c r="NNV11" s="2235"/>
      <c r="NNW11" s="2235"/>
      <c r="NNX11" s="2235"/>
      <c r="NNY11" s="2235"/>
      <c r="NNZ11" s="2235"/>
      <c r="NOA11" s="2235"/>
      <c r="NOB11" s="2235"/>
      <c r="NOC11" s="2235"/>
      <c r="NOD11" s="2235"/>
      <c r="NOE11" s="2235"/>
      <c r="NOF11" s="2235"/>
      <c r="NOG11" s="2235"/>
      <c r="NOH11" s="2235"/>
      <c r="NOI11" s="2235"/>
      <c r="NOJ11" s="2235"/>
      <c r="NOK11" s="2235"/>
      <c r="NOL11" s="2235"/>
      <c r="NOM11" s="2235"/>
      <c r="NON11" s="2235"/>
      <c r="NOO11" s="2235"/>
      <c r="NOP11" s="2235"/>
      <c r="NOQ11" s="2235"/>
      <c r="NOR11" s="2235"/>
      <c r="NOS11" s="2235"/>
      <c r="NOT11" s="2235"/>
      <c r="NOU11" s="2235"/>
      <c r="NOV11" s="2235"/>
      <c r="NOW11" s="2235"/>
      <c r="NOX11" s="2235"/>
      <c r="NOY11" s="2235"/>
      <c r="NOZ11" s="2235"/>
      <c r="NPA11" s="2235"/>
      <c r="NPB11" s="2235"/>
      <c r="NPC11" s="2235"/>
      <c r="NPD11" s="2235"/>
      <c r="NPE11" s="2235"/>
      <c r="NPF11" s="2235"/>
      <c r="NPG11" s="2235"/>
      <c r="NPH11" s="2235"/>
      <c r="NPI11" s="2235"/>
      <c r="NPJ11" s="2235"/>
      <c r="NPK11" s="2235"/>
      <c r="NPL11" s="2235"/>
      <c r="NPM11" s="2235"/>
      <c r="NPN11" s="2235"/>
      <c r="NPO11" s="2235"/>
      <c r="NPP11" s="2235"/>
      <c r="NPQ11" s="2235"/>
      <c r="NPR11" s="2235"/>
      <c r="NPS11" s="2235"/>
      <c r="NPT11" s="2235"/>
      <c r="NPU11" s="2235"/>
      <c r="NPV11" s="2235"/>
      <c r="NPW11" s="2235"/>
      <c r="NPX11" s="2235"/>
      <c r="NPY11" s="2235"/>
      <c r="NPZ11" s="2235"/>
      <c r="NQA11" s="2235"/>
      <c r="NQB11" s="2235"/>
      <c r="NQC11" s="2235"/>
      <c r="NQD11" s="2235"/>
      <c r="NQE11" s="2235"/>
      <c r="NQF11" s="2235"/>
      <c r="NQG11" s="2235"/>
      <c r="NQH11" s="2235"/>
      <c r="NQI11" s="2235"/>
      <c r="NQJ11" s="2235"/>
      <c r="NQK11" s="2235"/>
      <c r="NQL11" s="2235"/>
      <c r="NQM11" s="2235"/>
      <c r="NQN11" s="2235"/>
      <c r="NQO11" s="2235"/>
      <c r="NQP11" s="2235"/>
      <c r="NQQ11" s="2235"/>
      <c r="NQR11" s="2235"/>
      <c r="NQS11" s="2235"/>
      <c r="NQT11" s="2235"/>
      <c r="NQU11" s="2235"/>
      <c r="NQV11" s="2235"/>
      <c r="NQW11" s="2235"/>
      <c r="NQX11" s="2235"/>
      <c r="NQY11" s="2235"/>
      <c r="NQZ11" s="2235"/>
      <c r="NRA11" s="2235"/>
      <c r="NRB11" s="2235"/>
      <c r="NRC11" s="2235"/>
      <c r="NRD11" s="2235"/>
      <c r="NRE11" s="2235"/>
      <c r="NRF11" s="2235"/>
      <c r="NRG11" s="2235"/>
      <c r="NRH11" s="2235"/>
      <c r="NRI11" s="2235"/>
      <c r="NRJ11" s="2235"/>
      <c r="NRK11" s="2235"/>
      <c r="NRL11" s="2235"/>
      <c r="NRM11" s="2235"/>
      <c r="NRN11" s="2235"/>
      <c r="NRO11" s="2235"/>
      <c r="NRP11" s="2235"/>
      <c r="NRQ11" s="2235"/>
      <c r="NRR11" s="2235"/>
      <c r="NRS11" s="2235"/>
      <c r="NRT11" s="2235"/>
      <c r="NRU11" s="2235"/>
      <c r="NRV11" s="2235"/>
      <c r="NRW11" s="2235"/>
      <c r="NRX11" s="2235"/>
      <c r="NRY11" s="2235"/>
      <c r="NRZ11" s="2235"/>
      <c r="NSA11" s="2235"/>
      <c r="NSB11" s="2235"/>
      <c r="NSC11" s="2235"/>
      <c r="NSD11" s="2235"/>
      <c r="NSE11" s="2235"/>
      <c r="NSF11" s="2235"/>
      <c r="NSG11" s="2235"/>
      <c r="NSH11" s="2235"/>
      <c r="NSI11" s="2235"/>
      <c r="NSJ11" s="2235"/>
      <c r="NSK11" s="2235"/>
      <c r="NSL11" s="2235"/>
      <c r="NSM11" s="2235"/>
      <c r="NSN11" s="2235"/>
      <c r="NSO11" s="2235"/>
      <c r="NSP11" s="2235"/>
      <c r="NSQ11" s="2235"/>
      <c r="NSR11" s="2235"/>
      <c r="NSS11" s="2235"/>
      <c r="NST11" s="2235"/>
      <c r="NSU11" s="2235"/>
      <c r="NSV11" s="2235"/>
      <c r="NSW11" s="2235"/>
      <c r="NSX11" s="2235"/>
      <c r="NSY11" s="2235"/>
      <c r="NSZ11" s="2235"/>
      <c r="NTA11" s="2235"/>
      <c r="NTB11" s="2235"/>
      <c r="NTC11" s="2235"/>
      <c r="NTD11" s="2235"/>
      <c r="NTE11" s="2235"/>
      <c r="NTF11" s="2235"/>
      <c r="NTG11" s="2235"/>
      <c r="NTH11" s="2235"/>
      <c r="NTI11" s="2235"/>
      <c r="NTJ11" s="2235"/>
      <c r="NTK11" s="2235"/>
      <c r="NTL11" s="2235"/>
      <c r="NTM11" s="2235"/>
      <c r="NTN11" s="2235"/>
      <c r="NTO11" s="2235"/>
      <c r="NTP11" s="2235"/>
      <c r="NTQ11" s="2235"/>
      <c r="NTR11" s="2235"/>
      <c r="NTS11" s="2235"/>
      <c r="NTT11" s="2235"/>
      <c r="NTU11" s="2235"/>
      <c r="NTV11" s="2235"/>
      <c r="NTW11" s="2235"/>
      <c r="NTX11" s="2235"/>
      <c r="NTY11" s="2235"/>
      <c r="NTZ11" s="2235"/>
      <c r="NUA11" s="2235"/>
      <c r="NUB11" s="2235"/>
      <c r="NUC11" s="2235"/>
      <c r="NUD11" s="2235"/>
      <c r="NUE11" s="2235"/>
      <c r="NUF11" s="2235"/>
      <c r="NUG11" s="2235"/>
      <c r="NUH11" s="2235"/>
      <c r="NUI11" s="2235"/>
      <c r="NUJ11" s="2235"/>
      <c r="NUK11" s="2235"/>
      <c r="NUL11" s="2235"/>
      <c r="NUM11" s="2235"/>
      <c r="NUN11" s="2235"/>
      <c r="NUO11" s="2235"/>
      <c r="NUP11" s="2235"/>
      <c r="NUQ11" s="2235"/>
      <c r="NUR11" s="2235"/>
      <c r="NUS11" s="2235"/>
      <c r="NUT11" s="2235"/>
      <c r="NUU11" s="2235"/>
      <c r="NUV11" s="2235"/>
      <c r="NUW11" s="2235"/>
      <c r="NUX11" s="2235"/>
      <c r="NUY11" s="2235"/>
      <c r="NUZ11" s="2235"/>
      <c r="NVA11" s="2235"/>
      <c r="NVB11" s="2235"/>
      <c r="NVC11" s="2235"/>
      <c r="NVD11" s="2235"/>
      <c r="NVE11" s="2235"/>
      <c r="NVF11" s="2235"/>
      <c r="NVG11" s="2235"/>
      <c r="NVH11" s="2235"/>
      <c r="NVI11" s="2235"/>
      <c r="NVJ11" s="2235"/>
      <c r="NVK11" s="2235"/>
      <c r="NVL11" s="2235"/>
      <c r="NVM11" s="2235"/>
      <c r="NVN11" s="2235"/>
      <c r="NVO11" s="2235"/>
      <c r="NVP11" s="2235"/>
      <c r="NVQ11" s="2235"/>
      <c r="NVR11" s="2235"/>
      <c r="NVS11" s="2235"/>
      <c r="NVT11" s="2235"/>
      <c r="NVU11" s="2235"/>
      <c r="NVV11" s="2235"/>
      <c r="NVW11" s="2235"/>
      <c r="NVX11" s="2235"/>
      <c r="NVY11" s="2235"/>
      <c r="NVZ11" s="2235"/>
      <c r="NWA11" s="2235"/>
      <c r="NWB11" s="2235"/>
      <c r="NWC11" s="2235"/>
      <c r="NWD11" s="2235"/>
      <c r="NWE11" s="2235"/>
      <c r="NWF11" s="2235"/>
      <c r="NWG11" s="2235"/>
      <c r="NWH11" s="2235"/>
      <c r="NWI11" s="2235"/>
      <c r="NWJ11" s="2235"/>
      <c r="NWK11" s="2235"/>
      <c r="NWL11" s="2235"/>
      <c r="NWM11" s="2235"/>
      <c r="NWN11" s="2235"/>
      <c r="NWO11" s="2235"/>
      <c r="NWP11" s="2235"/>
      <c r="NWQ11" s="2235"/>
      <c r="NWR11" s="2235"/>
      <c r="NWS11" s="2235"/>
      <c r="NWT11" s="2235"/>
      <c r="NWU11" s="2235"/>
      <c r="NWV11" s="2235"/>
      <c r="NWW11" s="2235"/>
      <c r="NWX11" s="2235"/>
      <c r="NWY11" s="2235"/>
      <c r="NWZ11" s="2235"/>
      <c r="NXA11" s="2235"/>
      <c r="NXB11" s="2235"/>
      <c r="NXC11" s="2235"/>
      <c r="NXD11" s="2235"/>
      <c r="NXE11" s="2235"/>
      <c r="NXF11" s="2235"/>
      <c r="NXG11" s="2235"/>
      <c r="NXH11" s="2235"/>
      <c r="NXI11" s="2235"/>
      <c r="NXJ11" s="2235"/>
      <c r="NXK11" s="2235"/>
      <c r="NXL11" s="2235"/>
      <c r="NXM11" s="2235"/>
      <c r="NXN11" s="2235"/>
      <c r="NXO11" s="2235"/>
      <c r="NXP11" s="2235"/>
      <c r="NXQ11" s="2235"/>
      <c r="NXR11" s="2235"/>
      <c r="NXS11" s="2235"/>
      <c r="NXT11" s="2235"/>
      <c r="NXU11" s="2235"/>
      <c r="NXV11" s="2235"/>
      <c r="NXW11" s="2235"/>
      <c r="NXX11" s="2235"/>
      <c r="NXY11" s="2235"/>
      <c r="NXZ11" s="2235"/>
      <c r="NYA11" s="2235"/>
      <c r="NYB11" s="2235"/>
      <c r="NYC11" s="2235"/>
      <c r="NYD11" s="2235"/>
      <c r="NYE11" s="2235"/>
      <c r="NYF11" s="2235"/>
      <c r="NYG11" s="2235"/>
      <c r="NYH11" s="2235"/>
      <c r="NYI11" s="2235"/>
      <c r="NYJ11" s="2235"/>
      <c r="NYK11" s="2235"/>
      <c r="NYL11" s="2235"/>
      <c r="NYM11" s="2235"/>
      <c r="NYN11" s="2235"/>
      <c r="NYO11" s="2235"/>
      <c r="NYP11" s="2235"/>
      <c r="NYQ11" s="2235"/>
      <c r="NYR11" s="2235"/>
      <c r="NYS11" s="2235"/>
      <c r="NYT11" s="2235"/>
      <c r="NYU11" s="2235"/>
      <c r="NYV11" s="2235"/>
      <c r="NYW11" s="2235"/>
      <c r="NYX11" s="2235"/>
      <c r="NYY11" s="2235"/>
      <c r="NYZ11" s="2235"/>
      <c r="NZA11" s="2235"/>
      <c r="NZB11" s="2235"/>
      <c r="NZC11" s="2235"/>
      <c r="NZD11" s="2235"/>
      <c r="NZE11" s="2235"/>
      <c r="NZF11" s="2235"/>
      <c r="NZG11" s="2235"/>
      <c r="NZH11" s="2235"/>
      <c r="NZI11" s="2235"/>
      <c r="NZJ11" s="2235"/>
      <c r="NZK11" s="2235"/>
      <c r="NZL11" s="2235"/>
      <c r="NZM11" s="2235"/>
      <c r="NZN11" s="2235"/>
      <c r="NZO11" s="2235"/>
      <c r="NZP11" s="2235"/>
      <c r="NZQ11" s="2235"/>
      <c r="NZR11" s="2235"/>
      <c r="NZS11" s="2235"/>
      <c r="NZT11" s="2235"/>
      <c r="NZU11" s="2235"/>
      <c r="NZV11" s="2235"/>
      <c r="NZW11" s="2235"/>
      <c r="NZX11" s="2235"/>
      <c r="NZY11" s="2235"/>
      <c r="NZZ11" s="2235"/>
      <c r="OAA11" s="2235"/>
      <c r="OAB11" s="2235"/>
      <c r="OAC11" s="2235"/>
      <c r="OAD11" s="2235"/>
      <c r="OAE11" s="2235"/>
      <c r="OAF11" s="2235"/>
      <c r="OAG11" s="2235"/>
      <c r="OAH11" s="2235"/>
      <c r="OAI11" s="2235"/>
      <c r="OAJ11" s="2235"/>
      <c r="OAK11" s="2235"/>
      <c r="OAL11" s="2235"/>
      <c r="OAM11" s="2235"/>
      <c r="OAN11" s="2235"/>
      <c r="OAO11" s="2235"/>
      <c r="OAP11" s="2235"/>
      <c r="OAQ11" s="2235"/>
      <c r="OAR11" s="2235"/>
      <c r="OAS11" s="2235"/>
      <c r="OAT11" s="2235"/>
      <c r="OAU11" s="2235"/>
      <c r="OAV11" s="2235"/>
      <c r="OAW11" s="2235"/>
      <c r="OAX11" s="2235"/>
      <c r="OAY11" s="2235"/>
      <c r="OAZ11" s="2235"/>
      <c r="OBA11" s="2235"/>
      <c r="OBB11" s="2235"/>
      <c r="OBC11" s="2235"/>
      <c r="OBD11" s="2235"/>
      <c r="OBE11" s="2235"/>
      <c r="OBF11" s="2235"/>
      <c r="OBG11" s="2235"/>
      <c r="OBH11" s="2235"/>
      <c r="OBI11" s="2235"/>
      <c r="OBJ11" s="2235"/>
      <c r="OBK11" s="2235"/>
      <c r="OBL11" s="2235"/>
      <c r="OBM11" s="2235"/>
      <c r="OBN11" s="2235"/>
      <c r="OBO11" s="2235"/>
      <c r="OBP11" s="2235"/>
      <c r="OBQ11" s="2235"/>
      <c r="OBR11" s="2235"/>
      <c r="OBS11" s="2235"/>
      <c r="OBT11" s="2235"/>
      <c r="OBU11" s="2235"/>
      <c r="OBV11" s="2235"/>
      <c r="OBW11" s="2235"/>
      <c r="OBX11" s="2235"/>
      <c r="OBY11" s="2235"/>
      <c r="OBZ11" s="2235"/>
      <c r="OCA11" s="2235"/>
      <c r="OCB11" s="2235"/>
      <c r="OCC11" s="2235"/>
      <c r="OCD11" s="2235"/>
      <c r="OCE11" s="2235"/>
      <c r="OCF11" s="2235"/>
      <c r="OCG11" s="2235"/>
      <c r="OCH11" s="2235"/>
      <c r="OCI11" s="2235"/>
      <c r="OCJ11" s="2235"/>
      <c r="OCK11" s="2235"/>
      <c r="OCL11" s="2235"/>
      <c r="OCM11" s="2235"/>
      <c r="OCN11" s="2235"/>
      <c r="OCO11" s="2235"/>
      <c r="OCP11" s="2235"/>
      <c r="OCQ11" s="2235"/>
      <c r="OCR11" s="2235"/>
      <c r="OCS11" s="2235"/>
      <c r="OCT11" s="2235"/>
      <c r="OCU11" s="2235"/>
      <c r="OCV11" s="2235"/>
      <c r="OCW11" s="2235"/>
      <c r="OCX11" s="2235"/>
      <c r="OCY11" s="2235"/>
      <c r="OCZ11" s="2235"/>
      <c r="ODA11" s="2235"/>
      <c r="ODB11" s="2235"/>
      <c r="ODC11" s="2235"/>
      <c r="ODD11" s="2235"/>
      <c r="ODE11" s="2235"/>
      <c r="ODF11" s="2235"/>
      <c r="ODG11" s="2235"/>
      <c r="ODH11" s="2235"/>
      <c r="ODI11" s="2235"/>
      <c r="ODJ11" s="2235"/>
      <c r="ODK11" s="2235"/>
      <c r="ODL11" s="2235"/>
      <c r="ODM11" s="2235"/>
      <c r="ODN11" s="2235"/>
      <c r="ODO11" s="2235"/>
      <c r="ODP11" s="2235"/>
      <c r="ODQ11" s="2235"/>
      <c r="ODR11" s="2235"/>
      <c r="ODS11" s="2235"/>
      <c r="ODT11" s="2235"/>
      <c r="ODU11" s="2235"/>
      <c r="ODV11" s="2235"/>
      <c r="ODW11" s="2235"/>
      <c r="ODX11" s="2235"/>
      <c r="ODY11" s="2235"/>
      <c r="ODZ11" s="2235"/>
      <c r="OEA11" s="2235"/>
      <c r="OEB11" s="2235"/>
      <c r="OEC11" s="2235"/>
      <c r="OED11" s="2235"/>
      <c r="OEE11" s="2235"/>
      <c r="OEF11" s="2235"/>
      <c r="OEG11" s="2235"/>
      <c r="OEH11" s="2235"/>
      <c r="OEI11" s="2235"/>
      <c r="OEJ11" s="2235"/>
      <c r="OEK11" s="2235"/>
      <c r="OEL11" s="2235"/>
      <c r="OEM11" s="2235"/>
      <c r="OEN11" s="2235"/>
      <c r="OEO11" s="2235"/>
      <c r="OEP11" s="2235"/>
      <c r="OEQ11" s="2235"/>
      <c r="OER11" s="2235"/>
      <c r="OES11" s="2235"/>
      <c r="OET11" s="2235"/>
      <c r="OEU11" s="2235"/>
      <c r="OEV11" s="2235"/>
      <c r="OEW11" s="2235"/>
      <c r="OEX11" s="2235"/>
      <c r="OEY11" s="2235"/>
      <c r="OEZ11" s="2235"/>
      <c r="OFA11" s="2235"/>
      <c r="OFB11" s="2235"/>
      <c r="OFC11" s="2235"/>
      <c r="OFD11" s="2235"/>
      <c r="OFE11" s="2235"/>
      <c r="OFF11" s="2235"/>
      <c r="OFG11" s="2235"/>
      <c r="OFH11" s="2235"/>
      <c r="OFI11" s="2235"/>
      <c r="OFJ11" s="2235"/>
      <c r="OFK11" s="2235"/>
      <c r="OFL11" s="2235"/>
      <c r="OFM11" s="2235"/>
      <c r="OFN11" s="2235"/>
      <c r="OFO11" s="2235"/>
      <c r="OFP11" s="2235"/>
      <c r="OFQ11" s="2235"/>
      <c r="OFR11" s="2235"/>
      <c r="OFS11" s="2235"/>
      <c r="OFT11" s="2235"/>
      <c r="OFU11" s="2235"/>
      <c r="OFV11" s="2235"/>
      <c r="OFW11" s="2235"/>
      <c r="OFX11" s="2235"/>
      <c r="OFY11" s="2235"/>
      <c r="OFZ11" s="2235"/>
      <c r="OGA11" s="2235"/>
      <c r="OGB11" s="2235"/>
      <c r="OGC11" s="2235"/>
      <c r="OGD11" s="2235"/>
      <c r="OGE11" s="2235"/>
      <c r="OGF11" s="2235"/>
      <c r="OGG11" s="2235"/>
      <c r="OGH11" s="2235"/>
      <c r="OGI11" s="2235"/>
      <c r="OGJ11" s="2235"/>
      <c r="OGK11" s="2235"/>
      <c r="OGL11" s="2235"/>
      <c r="OGM11" s="2235"/>
      <c r="OGN11" s="2235"/>
      <c r="OGO11" s="2235"/>
      <c r="OGP11" s="2235"/>
      <c r="OGQ11" s="2235"/>
      <c r="OGR11" s="2235"/>
      <c r="OGS11" s="2235"/>
      <c r="OGT11" s="2235"/>
      <c r="OGU11" s="2235"/>
      <c r="OGV11" s="2235"/>
      <c r="OGW11" s="2235"/>
      <c r="OGX11" s="2235"/>
      <c r="OGY11" s="2235"/>
      <c r="OGZ11" s="2235"/>
      <c r="OHA11" s="2235"/>
      <c r="OHB11" s="2235"/>
      <c r="OHC11" s="2235"/>
      <c r="OHD11" s="2235"/>
      <c r="OHE11" s="2235"/>
      <c r="OHF11" s="2235"/>
      <c r="OHG11" s="2235"/>
      <c r="OHH11" s="2235"/>
      <c r="OHI11" s="2235"/>
      <c r="OHJ11" s="2235"/>
      <c r="OHK11" s="2235"/>
      <c r="OHL11" s="2235"/>
      <c r="OHM11" s="2235"/>
      <c r="OHN11" s="2235"/>
      <c r="OHO11" s="2235"/>
      <c r="OHP11" s="2235"/>
      <c r="OHQ11" s="2235"/>
      <c r="OHR11" s="2235"/>
      <c r="OHS11" s="2235"/>
      <c r="OHT11" s="2235"/>
      <c r="OHU11" s="2235"/>
      <c r="OHV11" s="2235"/>
      <c r="OHW11" s="2235"/>
      <c r="OHX11" s="2235"/>
      <c r="OHY11" s="2235"/>
      <c r="OHZ11" s="2235"/>
      <c r="OIA11" s="2235"/>
      <c r="OIB11" s="2235"/>
      <c r="OIC11" s="2235"/>
      <c r="OID11" s="2235"/>
      <c r="OIE11" s="2235"/>
      <c r="OIF11" s="2235"/>
      <c r="OIG11" s="2235"/>
      <c r="OIH11" s="2235"/>
      <c r="OII11" s="2235"/>
      <c r="OIJ11" s="2235"/>
      <c r="OIK11" s="2235"/>
      <c r="OIL11" s="2235"/>
      <c r="OIM11" s="2235"/>
      <c r="OIN11" s="2235"/>
      <c r="OIO11" s="2235"/>
      <c r="OIP11" s="2235"/>
      <c r="OIQ11" s="2235"/>
      <c r="OIR11" s="2235"/>
      <c r="OIS11" s="2235"/>
      <c r="OIT11" s="2235"/>
      <c r="OIU11" s="2235"/>
      <c r="OIV11" s="2235"/>
      <c r="OIW11" s="2235"/>
      <c r="OIX11" s="2235"/>
      <c r="OIY11" s="2235"/>
      <c r="OIZ11" s="2235"/>
      <c r="OJA11" s="2235"/>
      <c r="OJB11" s="2235"/>
      <c r="OJC11" s="2235"/>
      <c r="OJD11" s="2235"/>
      <c r="OJE11" s="2235"/>
      <c r="OJF11" s="2235"/>
      <c r="OJG11" s="2235"/>
      <c r="OJH11" s="2235"/>
      <c r="OJI11" s="2235"/>
      <c r="OJJ11" s="2235"/>
      <c r="OJK11" s="2235"/>
      <c r="OJL11" s="2235"/>
      <c r="OJM11" s="2235"/>
      <c r="OJN11" s="2235"/>
      <c r="OJO11" s="2235"/>
      <c r="OJP11" s="2235"/>
      <c r="OJQ11" s="2235"/>
      <c r="OJR11" s="2235"/>
      <c r="OJS11" s="2235"/>
      <c r="OJT11" s="2235"/>
      <c r="OJU11" s="2235"/>
      <c r="OJV11" s="2235"/>
      <c r="OJW11" s="2235"/>
      <c r="OJX11" s="2235"/>
      <c r="OJY11" s="2235"/>
      <c r="OJZ11" s="2235"/>
      <c r="OKA11" s="2235"/>
      <c r="OKB11" s="2235"/>
      <c r="OKC11" s="2235"/>
      <c r="OKD11" s="2235"/>
      <c r="OKE11" s="2235"/>
      <c r="OKF11" s="2235"/>
      <c r="OKG11" s="2235"/>
      <c r="OKH11" s="2235"/>
      <c r="OKI11" s="2235"/>
      <c r="OKJ11" s="2235"/>
      <c r="OKK11" s="2235"/>
      <c r="OKL11" s="2235"/>
      <c r="OKM11" s="2235"/>
      <c r="OKN11" s="2235"/>
      <c r="OKO11" s="2235"/>
      <c r="OKP11" s="2235"/>
      <c r="OKQ11" s="2235"/>
      <c r="OKR11" s="2235"/>
      <c r="OKS11" s="2235"/>
      <c r="OKT11" s="2235"/>
      <c r="OKU11" s="2235"/>
      <c r="OKV11" s="2235"/>
      <c r="OKW11" s="2235"/>
      <c r="OKX11" s="2235"/>
      <c r="OKY11" s="2235"/>
      <c r="OKZ11" s="2235"/>
      <c r="OLA11" s="2235"/>
      <c r="OLB11" s="2235"/>
      <c r="OLC11" s="2235"/>
      <c r="OLD11" s="2235"/>
      <c r="OLE11" s="2235"/>
      <c r="OLF11" s="2235"/>
      <c r="OLG11" s="2235"/>
      <c r="OLH11" s="2235"/>
      <c r="OLI11" s="2235"/>
      <c r="OLJ11" s="2235"/>
      <c r="OLK11" s="2235"/>
      <c r="OLL11" s="2235"/>
      <c r="OLM11" s="2235"/>
      <c r="OLN11" s="2235"/>
      <c r="OLO11" s="2235"/>
      <c r="OLP11" s="2235"/>
      <c r="OLQ11" s="2235"/>
      <c r="OLR11" s="2235"/>
      <c r="OLS11" s="2235"/>
      <c r="OLT11" s="2235"/>
      <c r="OLU11" s="2235"/>
      <c r="OLV11" s="2235"/>
      <c r="OLW11" s="2235"/>
      <c r="OLX11" s="2235"/>
      <c r="OLY11" s="2235"/>
      <c r="OLZ11" s="2235"/>
      <c r="OMA11" s="2235"/>
      <c r="OMB11" s="2235"/>
      <c r="OMC11" s="2235"/>
      <c r="OMD11" s="2235"/>
      <c r="OME11" s="2235"/>
      <c r="OMF11" s="2235"/>
      <c r="OMG11" s="2235"/>
      <c r="OMH11" s="2235"/>
      <c r="OMI11" s="2235"/>
      <c r="OMJ11" s="2235"/>
      <c r="OMK11" s="2235"/>
      <c r="OML11" s="2235"/>
      <c r="OMM11" s="2235"/>
      <c r="OMN11" s="2235"/>
      <c r="OMO11" s="2235"/>
      <c r="OMP11" s="2235"/>
      <c r="OMQ11" s="2235"/>
      <c r="OMR11" s="2235"/>
      <c r="OMS11" s="2235"/>
      <c r="OMT11" s="2235"/>
      <c r="OMU11" s="2235"/>
      <c r="OMV11" s="2235"/>
      <c r="OMW11" s="2235"/>
      <c r="OMX11" s="2235"/>
      <c r="OMY11" s="2235"/>
      <c r="OMZ11" s="2235"/>
      <c r="ONA11" s="2235"/>
      <c r="ONB11" s="2235"/>
      <c r="ONC11" s="2235"/>
      <c r="OND11" s="2235"/>
      <c r="ONE11" s="2235"/>
      <c r="ONF11" s="2235"/>
      <c r="ONG11" s="2235"/>
      <c r="ONH11" s="2235"/>
      <c r="ONI11" s="2235"/>
      <c r="ONJ11" s="2235"/>
      <c r="ONK11" s="2235"/>
      <c r="ONL11" s="2235"/>
      <c r="ONM11" s="2235"/>
      <c r="ONN11" s="2235"/>
      <c r="ONO11" s="2235"/>
      <c r="ONP11" s="2235"/>
      <c r="ONQ11" s="2235"/>
      <c r="ONR11" s="2235"/>
      <c r="ONS11" s="2235"/>
      <c r="ONT11" s="2235"/>
      <c r="ONU11" s="2235"/>
      <c r="ONV11" s="2235"/>
      <c r="ONW11" s="2235"/>
      <c r="ONX11" s="2235"/>
      <c r="ONY11" s="2235"/>
      <c r="ONZ11" s="2235"/>
      <c r="OOA11" s="2235"/>
      <c r="OOB11" s="2235"/>
      <c r="OOC11" s="2235"/>
      <c r="OOD11" s="2235"/>
      <c r="OOE11" s="2235"/>
      <c r="OOF11" s="2235"/>
      <c r="OOG11" s="2235"/>
      <c r="OOH11" s="2235"/>
      <c r="OOI11" s="2235"/>
      <c r="OOJ11" s="2235"/>
      <c r="OOK11" s="2235"/>
      <c r="OOL11" s="2235"/>
      <c r="OOM11" s="2235"/>
      <c r="OON11" s="2235"/>
      <c r="OOO11" s="2235"/>
      <c r="OOP11" s="2235"/>
      <c r="OOQ11" s="2235"/>
      <c r="OOR11" s="2235"/>
      <c r="OOS11" s="2235"/>
      <c r="OOT11" s="2235"/>
      <c r="OOU11" s="2235"/>
      <c r="OOV11" s="2235"/>
      <c r="OOW11" s="2235"/>
      <c r="OOX11" s="2235"/>
      <c r="OOY11" s="2235"/>
      <c r="OOZ11" s="2235"/>
      <c r="OPA11" s="2235"/>
      <c r="OPB11" s="2235"/>
      <c r="OPC11" s="2235"/>
      <c r="OPD11" s="2235"/>
      <c r="OPE11" s="2235"/>
      <c r="OPF11" s="2235"/>
      <c r="OPG11" s="2235"/>
      <c r="OPH11" s="2235"/>
      <c r="OPI11" s="2235"/>
      <c r="OPJ11" s="2235"/>
      <c r="OPK11" s="2235"/>
      <c r="OPL11" s="2235"/>
      <c r="OPM11" s="2235"/>
      <c r="OPN11" s="2235"/>
      <c r="OPO11" s="2235"/>
      <c r="OPP11" s="2235"/>
      <c r="OPQ11" s="2235"/>
      <c r="OPR11" s="2235"/>
      <c r="OPS11" s="2235"/>
      <c r="OPT11" s="2235"/>
      <c r="OPU11" s="2235"/>
      <c r="OPV11" s="2235"/>
      <c r="OPW11" s="2235"/>
      <c r="OPX11" s="2235"/>
      <c r="OPY11" s="2235"/>
      <c r="OPZ11" s="2235"/>
      <c r="OQA11" s="2235"/>
      <c r="OQB11" s="2235"/>
      <c r="OQC11" s="2235"/>
      <c r="OQD11" s="2235"/>
      <c r="OQE11" s="2235"/>
      <c r="OQF11" s="2235"/>
      <c r="OQG11" s="2235"/>
      <c r="OQH11" s="2235"/>
      <c r="OQI11" s="2235"/>
      <c r="OQJ11" s="2235"/>
      <c r="OQK11" s="2235"/>
      <c r="OQL11" s="2235"/>
      <c r="OQM11" s="2235"/>
      <c r="OQN11" s="2235"/>
      <c r="OQO11" s="2235"/>
      <c r="OQP11" s="2235"/>
      <c r="OQQ11" s="2235"/>
      <c r="OQR11" s="2235"/>
      <c r="OQS11" s="2235"/>
      <c r="OQT11" s="2235"/>
      <c r="OQU11" s="2235"/>
      <c r="OQV11" s="2235"/>
      <c r="OQW11" s="2235"/>
      <c r="OQX11" s="2235"/>
      <c r="OQY11" s="2235"/>
      <c r="OQZ11" s="2235"/>
      <c r="ORA11" s="2235"/>
      <c r="ORB11" s="2235"/>
      <c r="ORC11" s="2235"/>
      <c r="ORD11" s="2235"/>
      <c r="ORE11" s="2235"/>
      <c r="ORF11" s="2235"/>
      <c r="ORG11" s="2235"/>
      <c r="ORH11" s="2235"/>
      <c r="ORI11" s="2235"/>
      <c r="ORJ11" s="2235"/>
      <c r="ORK11" s="2235"/>
      <c r="ORL11" s="2235"/>
      <c r="ORM11" s="2235"/>
      <c r="ORN11" s="2235"/>
      <c r="ORO11" s="2235"/>
      <c r="ORP11" s="2235"/>
      <c r="ORQ11" s="2235"/>
      <c r="ORR11" s="2235"/>
      <c r="ORS11" s="2235"/>
      <c r="ORT11" s="2235"/>
      <c r="ORU11" s="2235"/>
      <c r="ORV11" s="2235"/>
      <c r="ORW11" s="2235"/>
      <c r="ORX11" s="2235"/>
      <c r="ORY11" s="2235"/>
      <c r="ORZ11" s="2235"/>
      <c r="OSA11" s="2235"/>
      <c r="OSB11" s="2235"/>
      <c r="OSC11" s="2235"/>
      <c r="OSD11" s="2235"/>
      <c r="OSE11" s="2235"/>
      <c r="OSF11" s="2235"/>
      <c r="OSG11" s="2235"/>
      <c r="OSH11" s="2235"/>
      <c r="OSI11" s="2235"/>
      <c r="OSJ11" s="2235"/>
      <c r="OSK11" s="2235"/>
      <c r="OSL11" s="2235"/>
      <c r="OSM11" s="2235"/>
      <c r="OSN11" s="2235"/>
      <c r="OSO11" s="2235"/>
      <c r="OSP11" s="2235"/>
      <c r="OSQ11" s="2235"/>
      <c r="OSR11" s="2235"/>
      <c r="OSS11" s="2235"/>
      <c r="OST11" s="2235"/>
      <c r="OSU11" s="2235"/>
      <c r="OSV11" s="2235"/>
      <c r="OSW11" s="2235"/>
      <c r="OSX11" s="2235"/>
      <c r="OSY11" s="2235"/>
      <c r="OSZ11" s="2235"/>
      <c r="OTA11" s="2235"/>
      <c r="OTB11" s="2235"/>
      <c r="OTC11" s="2235"/>
      <c r="OTD11" s="2235"/>
      <c r="OTE11" s="2235"/>
      <c r="OTF11" s="2235"/>
      <c r="OTG11" s="2235"/>
      <c r="OTH11" s="2235"/>
      <c r="OTI11" s="2235"/>
      <c r="OTJ11" s="2235"/>
      <c r="OTK11" s="2235"/>
      <c r="OTL11" s="2235"/>
      <c r="OTM11" s="2235"/>
      <c r="OTN11" s="2235"/>
      <c r="OTO11" s="2235"/>
      <c r="OTP11" s="2235"/>
      <c r="OTQ11" s="2235"/>
      <c r="OTR11" s="2235"/>
      <c r="OTS11" s="2235"/>
      <c r="OTT11" s="2235"/>
      <c r="OTU11" s="2235"/>
      <c r="OTV11" s="2235"/>
      <c r="OTW11" s="2235"/>
      <c r="OTX11" s="2235"/>
      <c r="OTY11" s="2235"/>
      <c r="OTZ11" s="2235"/>
      <c r="OUA11" s="2235"/>
      <c r="OUB11" s="2235"/>
      <c r="OUC11" s="2235"/>
      <c r="OUD11" s="2235"/>
      <c r="OUE11" s="2235"/>
      <c r="OUF11" s="2235"/>
      <c r="OUG11" s="2235"/>
      <c r="OUH11" s="2235"/>
      <c r="OUI11" s="2235"/>
      <c r="OUJ11" s="2235"/>
      <c r="OUK11" s="2235"/>
      <c r="OUL11" s="2235"/>
      <c r="OUM11" s="2235"/>
      <c r="OUN11" s="2235"/>
      <c r="OUO11" s="2235"/>
      <c r="OUP11" s="2235"/>
      <c r="OUQ11" s="2235"/>
      <c r="OUR11" s="2235"/>
      <c r="OUS11" s="2235"/>
      <c r="OUT11" s="2235"/>
      <c r="OUU11" s="2235"/>
      <c r="OUV11" s="2235"/>
      <c r="OUW11" s="2235"/>
      <c r="OUX11" s="2235"/>
      <c r="OUY11" s="2235"/>
      <c r="OUZ11" s="2235"/>
      <c r="OVA11" s="2235"/>
      <c r="OVB11" s="2235"/>
      <c r="OVC11" s="2235"/>
      <c r="OVD11" s="2235"/>
      <c r="OVE11" s="2235"/>
      <c r="OVF11" s="2235"/>
      <c r="OVG11" s="2235"/>
      <c r="OVH11" s="2235"/>
      <c r="OVI11" s="2235"/>
      <c r="OVJ11" s="2235"/>
      <c r="OVK11" s="2235"/>
      <c r="OVL11" s="2235"/>
      <c r="OVM11" s="2235"/>
      <c r="OVN11" s="2235"/>
      <c r="OVO11" s="2235"/>
      <c r="OVP11" s="2235"/>
      <c r="OVQ11" s="2235"/>
      <c r="OVR11" s="2235"/>
      <c r="OVS11" s="2235"/>
      <c r="OVT11" s="2235"/>
      <c r="OVU11" s="2235"/>
      <c r="OVV11" s="2235"/>
      <c r="OVW11" s="2235"/>
      <c r="OVX11" s="2235"/>
      <c r="OVY11" s="2235"/>
      <c r="OVZ11" s="2235"/>
      <c r="OWA11" s="2235"/>
      <c r="OWB11" s="2235"/>
      <c r="OWC11" s="2235"/>
      <c r="OWD11" s="2235"/>
      <c r="OWE11" s="2235"/>
      <c r="OWF11" s="2235"/>
      <c r="OWG11" s="2235"/>
      <c r="OWH11" s="2235"/>
      <c r="OWI11" s="2235"/>
      <c r="OWJ11" s="2235"/>
      <c r="OWK11" s="2235"/>
      <c r="OWL11" s="2235"/>
      <c r="OWM11" s="2235"/>
      <c r="OWN11" s="2235"/>
      <c r="OWO11" s="2235"/>
      <c r="OWP11" s="2235"/>
      <c r="OWQ11" s="2235"/>
      <c r="OWR11" s="2235"/>
      <c r="OWS11" s="2235"/>
      <c r="OWT11" s="2235"/>
      <c r="OWU11" s="2235"/>
      <c r="OWV11" s="2235"/>
      <c r="OWW11" s="2235"/>
      <c r="OWX11" s="2235"/>
      <c r="OWY11" s="2235"/>
      <c r="OWZ11" s="2235"/>
      <c r="OXA11" s="2235"/>
      <c r="OXB11" s="2235"/>
      <c r="OXC11" s="2235"/>
      <c r="OXD11" s="2235"/>
      <c r="OXE11" s="2235"/>
      <c r="OXF11" s="2235"/>
      <c r="OXG11" s="2235"/>
      <c r="OXH11" s="2235"/>
      <c r="OXI11" s="2235"/>
      <c r="OXJ11" s="2235"/>
      <c r="OXK11" s="2235"/>
      <c r="OXL11" s="2235"/>
      <c r="OXM11" s="2235"/>
      <c r="OXN11" s="2235"/>
      <c r="OXO11" s="2235"/>
      <c r="OXP11" s="2235"/>
      <c r="OXQ11" s="2235"/>
      <c r="OXR11" s="2235"/>
      <c r="OXS11" s="2235"/>
      <c r="OXT11" s="2235"/>
      <c r="OXU11" s="2235"/>
      <c r="OXV11" s="2235"/>
      <c r="OXW11" s="2235"/>
      <c r="OXX11" s="2235"/>
      <c r="OXY11" s="2235"/>
      <c r="OXZ11" s="2235"/>
      <c r="OYA11" s="2235"/>
      <c r="OYB11" s="2235"/>
      <c r="OYC11" s="2235"/>
      <c r="OYD11" s="2235"/>
      <c r="OYE11" s="2235"/>
      <c r="OYF11" s="2235"/>
      <c r="OYG11" s="2235"/>
      <c r="OYH11" s="2235"/>
      <c r="OYI11" s="2235"/>
      <c r="OYJ11" s="2235"/>
      <c r="OYK11" s="2235"/>
      <c r="OYL11" s="2235"/>
      <c r="OYM11" s="2235"/>
      <c r="OYN11" s="2235"/>
      <c r="OYO11" s="2235"/>
      <c r="OYP11" s="2235"/>
      <c r="OYQ11" s="2235"/>
      <c r="OYR11" s="2235"/>
      <c r="OYS11" s="2235"/>
      <c r="OYT11" s="2235"/>
      <c r="OYU11" s="2235"/>
      <c r="OYV11" s="2235"/>
      <c r="OYW11" s="2235"/>
      <c r="OYX11" s="2235"/>
      <c r="OYY11" s="2235"/>
      <c r="OYZ11" s="2235"/>
      <c r="OZA11" s="2235"/>
      <c r="OZB11" s="2235"/>
      <c r="OZC11" s="2235"/>
      <c r="OZD11" s="2235"/>
      <c r="OZE11" s="2235"/>
      <c r="OZF11" s="2235"/>
      <c r="OZG11" s="2235"/>
      <c r="OZH11" s="2235"/>
      <c r="OZI11" s="2235"/>
      <c r="OZJ11" s="2235"/>
      <c r="OZK11" s="2235"/>
      <c r="OZL11" s="2235"/>
      <c r="OZM11" s="2235"/>
      <c r="OZN11" s="2235"/>
      <c r="OZO11" s="2235"/>
      <c r="OZP11" s="2235"/>
      <c r="OZQ11" s="2235"/>
      <c r="OZR11" s="2235"/>
      <c r="OZS11" s="2235"/>
      <c r="OZT11" s="2235"/>
      <c r="OZU11" s="2235"/>
      <c r="OZV11" s="2235"/>
      <c r="OZW11" s="2235"/>
      <c r="OZX11" s="2235"/>
      <c r="OZY11" s="2235"/>
      <c r="OZZ11" s="2235"/>
      <c r="PAA11" s="2235"/>
      <c r="PAB11" s="2235"/>
      <c r="PAC11" s="2235"/>
      <c r="PAD11" s="2235"/>
      <c r="PAE11" s="2235"/>
      <c r="PAF11" s="2235"/>
      <c r="PAG11" s="2235"/>
      <c r="PAH11" s="2235"/>
      <c r="PAI11" s="2235"/>
      <c r="PAJ11" s="2235"/>
      <c r="PAK11" s="2235"/>
      <c r="PAL11" s="2235"/>
      <c r="PAM11" s="2235"/>
      <c r="PAN11" s="2235"/>
      <c r="PAO11" s="2235"/>
      <c r="PAP11" s="2235"/>
      <c r="PAQ11" s="2235"/>
      <c r="PAR11" s="2235"/>
      <c r="PAS11" s="2235"/>
      <c r="PAT11" s="2235"/>
      <c r="PAU11" s="2235"/>
      <c r="PAV11" s="2235"/>
      <c r="PAW11" s="2235"/>
      <c r="PAX11" s="2235"/>
      <c r="PAY11" s="2235"/>
      <c r="PAZ11" s="2235"/>
      <c r="PBA11" s="2235"/>
      <c r="PBB11" s="2235"/>
      <c r="PBC11" s="2235"/>
      <c r="PBD11" s="2235"/>
      <c r="PBE11" s="2235"/>
      <c r="PBF11" s="2235"/>
      <c r="PBG11" s="2235"/>
      <c r="PBH11" s="2235"/>
      <c r="PBI11" s="2235"/>
      <c r="PBJ11" s="2235"/>
      <c r="PBK11" s="2235"/>
      <c r="PBL11" s="2235"/>
      <c r="PBM11" s="2235"/>
      <c r="PBN11" s="2235"/>
      <c r="PBO11" s="2235"/>
      <c r="PBP11" s="2235"/>
      <c r="PBQ11" s="2235"/>
      <c r="PBR11" s="2235"/>
      <c r="PBS11" s="2235"/>
      <c r="PBT11" s="2235"/>
      <c r="PBU11" s="2235"/>
      <c r="PBV11" s="2235"/>
      <c r="PBW11" s="2235"/>
      <c r="PBX11" s="2235"/>
      <c r="PBY11" s="2235"/>
      <c r="PBZ11" s="2235"/>
      <c r="PCA11" s="2235"/>
      <c r="PCB11" s="2235"/>
      <c r="PCC11" s="2235"/>
      <c r="PCD11" s="2235"/>
      <c r="PCE11" s="2235"/>
      <c r="PCF11" s="2235"/>
      <c r="PCG11" s="2235"/>
      <c r="PCH11" s="2235"/>
      <c r="PCI11" s="2235"/>
      <c r="PCJ11" s="2235"/>
      <c r="PCK11" s="2235"/>
      <c r="PCL11" s="2235"/>
      <c r="PCM11" s="2235"/>
      <c r="PCN11" s="2235"/>
      <c r="PCO11" s="2235"/>
      <c r="PCP11" s="2235"/>
      <c r="PCQ11" s="2235"/>
      <c r="PCR11" s="2235"/>
      <c r="PCS11" s="2235"/>
      <c r="PCT11" s="2235"/>
      <c r="PCU11" s="2235"/>
      <c r="PCV11" s="2235"/>
      <c r="PCW11" s="2235"/>
      <c r="PCX11" s="2235"/>
      <c r="PCY11" s="2235"/>
      <c r="PCZ11" s="2235"/>
      <c r="PDA11" s="2235"/>
      <c r="PDB11" s="2235"/>
      <c r="PDC11" s="2235"/>
      <c r="PDD11" s="2235"/>
      <c r="PDE11" s="2235"/>
      <c r="PDF11" s="2235"/>
      <c r="PDG11" s="2235"/>
      <c r="PDH11" s="2235"/>
      <c r="PDI11" s="2235"/>
      <c r="PDJ11" s="2235"/>
      <c r="PDK11" s="2235"/>
      <c r="PDL11" s="2235"/>
      <c r="PDM11" s="2235"/>
      <c r="PDN11" s="2235"/>
      <c r="PDO11" s="2235"/>
      <c r="PDP11" s="2235"/>
      <c r="PDQ11" s="2235"/>
      <c r="PDR11" s="2235"/>
      <c r="PDS11" s="2235"/>
      <c r="PDT11" s="2235"/>
      <c r="PDU11" s="2235"/>
      <c r="PDV11" s="2235"/>
      <c r="PDW11" s="2235"/>
      <c r="PDX11" s="2235"/>
      <c r="PDY11" s="2235"/>
      <c r="PDZ11" s="2235"/>
      <c r="PEA11" s="2235"/>
      <c r="PEB11" s="2235"/>
      <c r="PEC11" s="2235"/>
      <c r="PED11" s="2235"/>
      <c r="PEE11" s="2235"/>
      <c r="PEF11" s="2235"/>
      <c r="PEG11" s="2235"/>
      <c r="PEH11" s="2235"/>
      <c r="PEI11" s="2235"/>
      <c r="PEJ11" s="2235"/>
      <c r="PEK11" s="2235"/>
      <c r="PEL11" s="2235"/>
      <c r="PEM11" s="2235"/>
      <c r="PEN11" s="2235"/>
      <c r="PEO11" s="2235"/>
      <c r="PEP11" s="2235"/>
      <c r="PEQ11" s="2235"/>
      <c r="PER11" s="2235"/>
      <c r="PES11" s="2235"/>
      <c r="PET11" s="2235"/>
      <c r="PEU11" s="2235"/>
      <c r="PEV11" s="2235"/>
      <c r="PEW11" s="2235"/>
      <c r="PEX11" s="2235"/>
      <c r="PEY11" s="2235"/>
      <c r="PEZ11" s="2235"/>
      <c r="PFA11" s="2235"/>
      <c r="PFB11" s="2235"/>
      <c r="PFC11" s="2235"/>
      <c r="PFD11" s="2235"/>
      <c r="PFE11" s="2235"/>
      <c r="PFF11" s="2235"/>
      <c r="PFG11" s="2235"/>
      <c r="PFH11" s="2235"/>
      <c r="PFI11" s="2235"/>
      <c r="PFJ11" s="2235"/>
      <c r="PFK11" s="2235"/>
      <c r="PFL11" s="2235"/>
      <c r="PFM11" s="2235"/>
      <c r="PFN11" s="2235"/>
      <c r="PFO11" s="2235"/>
      <c r="PFP11" s="2235"/>
      <c r="PFQ11" s="2235"/>
      <c r="PFR11" s="2235"/>
      <c r="PFS11" s="2235"/>
      <c r="PFT11" s="2235"/>
      <c r="PFU11" s="2235"/>
      <c r="PFV11" s="2235"/>
      <c r="PFW11" s="2235"/>
      <c r="PFX11" s="2235"/>
      <c r="PFY11" s="2235"/>
      <c r="PFZ11" s="2235"/>
      <c r="PGA11" s="2235"/>
      <c r="PGB11" s="2235"/>
      <c r="PGC11" s="2235"/>
      <c r="PGD11" s="2235"/>
      <c r="PGE11" s="2235"/>
      <c r="PGF11" s="2235"/>
      <c r="PGG11" s="2235"/>
      <c r="PGH11" s="2235"/>
      <c r="PGI11" s="2235"/>
      <c r="PGJ11" s="2235"/>
      <c r="PGK11" s="2235"/>
      <c r="PGL11" s="2235"/>
      <c r="PGM11" s="2235"/>
      <c r="PGN11" s="2235"/>
      <c r="PGO11" s="2235"/>
      <c r="PGP11" s="2235"/>
      <c r="PGQ11" s="2235"/>
      <c r="PGR11" s="2235"/>
      <c r="PGS11" s="2235"/>
      <c r="PGT11" s="2235"/>
      <c r="PGU11" s="2235"/>
      <c r="PGV11" s="2235"/>
      <c r="PGW11" s="2235"/>
      <c r="PGX11" s="2235"/>
      <c r="PGY11" s="2235"/>
      <c r="PGZ11" s="2235"/>
      <c r="PHA11" s="2235"/>
      <c r="PHB11" s="2235"/>
      <c r="PHC11" s="2235"/>
      <c r="PHD11" s="2235"/>
      <c r="PHE11" s="2235"/>
      <c r="PHF11" s="2235"/>
      <c r="PHG11" s="2235"/>
      <c r="PHH11" s="2235"/>
      <c r="PHI11" s="2235"/>
      <c r="PHJ11" s="2235"/>
      <c r="PHK11" s="2235"/>
      <c r="PHL11" s="2235"/>
      <c r="PHM11" s="2235"/>
      <c r="PHN11" s="2235"/>
      <c r="PHO11" s="2235"/>
      <c r="PHP11" s="2235"/>
      <c r="PHQ11" s="2235"/>
      <c r="PHR11" s="2235"/>
      <c r="PHS11" s="2235"/>
      <c r="PHT11" s="2235"/>
      <c r="PHU11" s="2235"/>
      <c r="PHV11" s="2235"/>
      <c r="PHW11" s="2235"/>
      <c r="PHX11" s="2235"/>
      <c r="PHY11" s="2235"/>
      <c r="PHZ11" s="2235"/>
      <c r="PIA11" s="2235"/>
      <c r="PIB11" s="2235"/>
      <c r="PIC11" s="2235"/>
      <c r="PID11" s="2235"/>
      <c r="PIE11" s="2235"/>
      <c r="PIF11" s="2235"/>
      <c r="PIG11" s="2235"/>
      <c r="PIH11" s="2235"/>
      <c r="PII11" s="2235"/>
      <c r="PIJ11" s="2235"/>
      <c r="PIK11" s="2235"/>
      <c r="PIL11" s="2235"/>
      <c r="PIM11" s="2235"/>
      <c r="PIN11" s="2235"/>
      <c r="PIO11" s="2235"/>
      <c r="PIP11" s="2235"/>
      <c r="PIQ11" s="2235"/>
      <c r="PIR11" s="2235"/>
      <c r="PIS11" s="2235"/>
      <c r="PIT11" s="2235"/>
      <c r="PIU11" s="2235"/>
      <c r="PIV11" s="2235"/>
      <c r="PIW11" s="2235"/>
      <c r="PIX11" s="2235"/>
      <c r="PIY11" s="2235"/>
      <c r="PIZ11" s="2235"/>
      <c r="PJA11" s="2235"/>
      <c r="PJB11" s="2235"/>
      <c r="PJC11" s="2235"/>
      <c r="PJD11" s="2235"/>
      <c r="PJE11" s="2235"/>
      <c r="PJF11" s="2235"/>
      <c r="PJG11" s="2235"/>
      <c r="PJH11" s="2235"/>
      <c r="PJI11" s="2235"/>
      <c r="PJJ11" s="2235"/>
      <c r="PJK11" s="2235"/>
      <c r="PJL11" s="2235"/>
      <c r="PJM11" s="2235"/>
      <c r="PJN11" s="2235"/>
      <c r="PJO11" s="2235"/>
      <c r="PJP11" s="2235"/>
      <c r="PJQ11" s="2235"/>
      <c r="PJR11" s="2235"/>
      <c r="PJS11" s="2235"/>
      <c r="PJT11" s="2235"/>
      <c r="PJU11" s="2235"/>
      <c r="PJV11" s="2235"/>
      <c r="PJW11" s="2235"/>
      <c r="PJX11" s="2235"/>
      <c r="PJY11" s="2235"/>
      <c r="PJZ11" s="2235"/>
      <c r="PKA11" s="2235"/>
      <c r="PKB11" s="2235"/>
      <c r="PKC11" s="2235"/>
      <c r="PKD11" s="2235"/>
      <c r="PKE11" s="2235"/>
      <c r="PKF11" s="2235"/>
      <c r="PKG11" s="2235"/>
      <c r="PKH11" s="2235"/>
      <c r="PKI11" s="2235"/>
      <c r="PKJ11" s="2235"/>
      <c r="PKK11" s="2235"/>
      <c r="PKL11" s="2235"/>
      <c r="PKM11" s="2235"/>
      <c r="PKN11" s="2235"/>
      <c r="PKO11" s="2235"/>
      <c r="PKP11" s="2235"/>
      <c r="PKQ11" s="2235"/>
      <c r="PKR11" s="2235"/>
      <c r="PKS11" s="2235"/>
      <c r="PKT11" s="2235"/>
      <c r="PKU11" s="2235"/>
      <c r="PKV11" s="2235"/>
      <c r="PKW11" s="2235"/>
      <c r="PKX11" s="2235"/>
      <c r="PKY11" s="2235"/>
      <c r="PKZ11" s="2235"/>
      <c r="PLA11" s="2235"/>
      <c r="PLB11" s="2235"/>
      <c r="PLC11" s="2235"/>
      <c r="PLD11" s="2235"/>
      <c r="PLE11" s="2235"/>
      <c r="PLF11" s="2235"/>
      <c r="PLG11" s="2235"/>
      <c r="PLH11" s="2235"/>
      <c r="PLI11" s="2235"/>
      <c r="PLJ11" s="2235"/>
      <c r="PLK11" s="2235"/>
      <c r="PLL11" s="2235"/>
      <c r="PLM11" s="2235"/>
      <c r="PLN11" s="2235"/>
      <c r="PLO11" s="2235"/>
      <c r="PLP11" s="2235"/>
      <c r="PLQ11" s="2235"/>
      <c r="PLR11" s="2235"/>
      <c r="PLS11" s="2235"/>
      <c r="PLT11" s="2235"/>
      <c r="PLU11" s="2235"/>
      <c r="PLV11" s="2235"/>
      <c r="PLW11" s="2235"/>
      <c r="PLX11" s="2235"/>
      <c r="PLY11" s="2235"/>
      <c r="PLZ11" s="2235"/>
      <c r="PMA11" s="2235"/>
      <c r="PMB11" s="2235"/>
      <c r="PMC11" s="2235"/>
      <c r="PMD11" s="2235"/>
      <c r="PME11" s="2235"/>
      <c r="PMF11" s="2235"/>
      <c r="PMG11" s="2235"/>
      <c r="PMH11" s="2235"/>
      <c r="PMI11" s="2235"/>
      <c r="PMJ11" s="2235"/>
      <c r="PMK11" s="2235"/>
      <c r="PML11" s="2235"/>
      <c r="PMM11" s="2235"/>
      <c r="PMN11" s="2235"/>
      <c r="PMO11" s="2235"/>
      <c r="PMP11" s="2235"/>
      <c r="PMQ11" s="2235"/>
      <c r="PMR11" s="2235"/>
      <c r="PMS11" s="2235"/>
      <c r="PMT11" s="2235"/>
      <c r="PMU11" s="2235"/>
      <c r="PMV11" s="2235"/>
      <c r="PMW11" s="2235"/>
      <c r="PMX11" s="2235"/>
      <c r="PMY11" s="2235"/>
      <c r="PMZ11" s="2235"/>
      <c r="PNA11" s="2235"/>
      <c r="PNB11" s="2235"/>
      <c r="PNC11" s="2235"/>
      <c r="PND11" s="2235"/>
      <c r="PNE11" s="2235"/>
      <c r="PNF11" s="2235"/>
      <c r="PNG11" s="2235"/>
      <c r="PNH11" s="2235"/>
      <c r="PNI11" s="2235"/>
      <c r="PNJ11" s="2235"/>
      <c r="PNK11" s="2235"/>
      <c r="PNL11" s="2235"/>
      <c r="PNM11" s="2235"/>
      <c r="PNN11" s="2235"/>
      <c r="PNO11" s="2235"/>
      <c r="PNP11" s="2235"/>
      <c r="PNQ11" s="2235"/>
      <c r="PNR11" s="2235"/>
      <c r="PNS11" s="2235"/>
      <c r="PNT11" s="2235"/>
      <c r="PNU11" s="2235"/>
      <c r="PNV11" s="2235"/>
      <c r="PNW11" s="2235"/>
      <c r="PNX11" s="2235"/>
      <c r="PNY11" s="2235"/>
      <c r="PNZ11" s="2235"/>
      <c r="POA11" s="2235"/>
      <c r="POB11" s="2235"/>
      <c r="POC11" s="2235"/>
      <c r="POD11" s="2235"/>
      <c r="POE11" s="2235"/>
      <c r="POF11" s="2235"/>
      <c r="POG11" s="2235"/>
      <c r="POH11" s="2235"/>
      <c r="POI11" s="2235"/>
      <c r="POJ11" s="2235"/>
      <c r="POK11" s="2235"/>
      <c r="POL11" s="2235"/>
      <c r="POM11" s="2235"/>
      <c r="PON11" s="2235"/>
      <c r="POO11" s="2235"/>
      <c r="POP11" s="2235"/>
      <c r="POQ11" s="2235"/>
      <c r="POR11" s="2235"/>
      <c r="POS11" s="2235"/>
      <c r="POT11" s="2235"/>
      <c r="POU11" s="2235"/>
      <c r="POV11" s="2235"/>
      <c r="POW11" s="2235"/>
      <c r="POX11" s="2235"/>
      <c r="POY11" s="2235"/>
      <c r="POZ11" s="2235"/>
      <c r="PPA11" s="2235"/>
      <c r="PPB11" s="2235"/>
      <c r="PPC11" s="2235"/>
      <c r="PPD11" s="2235"/>
      <c r="PPE11" s="2235"/>
      <c r="PPF11" s="2235"/>
      <c r="PPG11" s="2235"/>
      <c r="PPH11" s="2235"/>
      <c r="PPI11" s="2235"/>
      <c r="PPJ11" s="2235"/>
      <c r="PPK11" s="2235"/>
      <c r="PPL11" s="2235"/>
      <c r="PPM11" s="2235"/>
      <c r="PPN11" s="2235"/>
      <c r="PPO11" s="2235"/>
      <c r="PPP11" s="2235"/>
      <c r="PPQ11" s="2235"/>
      <c r="PPR11" s="2235"/>
      <c r="PPS11" s="2235"/>
      <c r="PPT11" s="2235"/>
      <c r="PPU11" s="2235"/>
      <c r="PPV11" s="2235"/>
      <c r="PPW11" s="2235"/>
      <c r="PPX11" s="2235"/>
      <c r="PPY11" s="2235"/>
      <c r="PPZ11" s="2235"/>
      <c r="PQA11" s="2235"/>
      <c r="PQB11" s="2235"/>
      <c r="PQC11" s="2235"/>
      <c r="PQD11" s="2235"/>
      <c r="PQE11" s="2235"/>
      <c r="PQF11" s="2235"/>
      <c r="PQG11" s="2235"/>
      <c r="PQH11" s="2235"/>
      <c r="PQI11" s="2235"/>
      <c r="PQJ11" s="2235"/>
      <c r="PQK11" s="2235"/>
      <c r="PQL11" s="2235"/>
      <c r="PQM11" s="2235"/>
      <c r="PQN11" s="2235"/>
      <c r="PQO11" s="2235"/>
      <c r="PQP11" s="2235"/>
      <c r="PQQ11" s="2235"/>
      <c r="PQR11" s="2235"/>
      <c r="PQS11" s="2235"/>
      <c r="PQT11" s="2235"/>
      <c r="PQU11" s="2235"/>
      <c r="PQV11" s="2235"/>
      <c r="PQW11" s="2235"/>
      <c r="PQX11" s="2235"/>
      <c r="PQY11" s="2235"/>
      <c r="PQZ11" s="2235"/>
      <c r="PRA11" s="2235"/>
      <c r="PRB11" s="2235"/>
      <c r="PRC11" s="2235"/>
      <c r="PRD11" s="2235"/>
      <c r="PRE11" s="2235"/>
      <c r="PRF11" s="2235"/>
      <c r="PRG11" s="2235"/>
      <c r="PRH11" s="2235"/>
      <c r="PRI11" s="2235"/>
      <c r="PRJ11" s="2235"/>
      <c r="PRK11" s="2235"/>
      <c r="PRL11" s="2235"/>
      <c r="PRM11" s="2235"/>
      <c r="PRN11" s="2235"/>
      <c r="PRO11" s="2235"/>
      <c r="PRP11" s="2235"/>
      <c r="PRQ11" s="2235"/>
      <c r="PRR11" s="2235"/>
      <c r="PRS11" s="2235"/>
      <c r="PRT11" s="2235"/>
      <c r="PRU11" s="2235"/>
      <c r="PRV11" s="2235"/>
      <c r="PRW11" s="2235"/>
      <c r="PRX11" s="2235"/>
      <c r="PRY11" s="2235"/>
      <c r="PRZ11" s="2235"/>
      <c r="PSA11" s="2235"/>
      <c r="PSB11" s="2235"/>
      <c r="PSC11" s="2235"/>
      <c r="PSD11" s="2235"/>
      <c r="PSE11" s="2235"/>
      <c r="PSF11" s="2235"/>
      <c r="PSG11" s="2235"/>
      <c r="PSH11" s="2235"/>
      <c r="PSI11" s="2235"/>
      <c r="PSJ11" s="2235"/>
      <c r="PSK11" s="2235"/>
      <c r="PSL11" s="2235"/>
      <c r="PSM11" s="2235"/>
      <c r="PSN11" s="2235"/>
      <c r="PSO11" s="2235"/>
      <c r="PSP11" s="2235"/>
      <c r="PSQ11" s="2235"/>
      <c r="PSR11" s="2235"/>
      <c r="PSS11" s="2235"/>
      <c r="PST11" s="2235"/>
      <c r="PSU11" s="2235"/>
      <c r="PSV11" s="2235"/>
      <c r="PSW11" s="2235"/>
      <c r="PSX11" s="2235"/>
      <c r="PSY11" s="2235"/>
      <c r="PSZ11" s="2235"/>
      <c r="PTA11" s="2235"/>
      <c r="PTB11" s="2235"/>
      <c r="PTC11" s="2235"/>
      <c r="PTD11" s="2235"/>
      <c r="PTE11" s="2235"/>
      <c r="PTF11" s="2235"/>
      <c r="PTG11" s="2235"/>
      <c r="PTH11" s="2235"/>
      <c r="PTI11" s="2235"/>
      <c r="PTJ11" s="2235"/>
      <c r="PTK11" s="2235"/>
      <c r="PTL11" s="2235"/>
      <c r="PTM11" s="2235"/>
      <c r="PTN11" s="2235"/>
      <c r="PTO11" s="2235"/>
      <c r="PTP11" s="2235"/>
      <c r="PTQ11" s="2235"/>
      <c r="PTR11" s="2235"/>
      <c r="PTS11" s="2235"/>
      <c r="PTT11" s="2235"/>
      <c r="PTU11" s="2235"/>
      <c r="PTV11" s="2235"/>
      <c r="PTW11" s="2235"/>
      <c r="PTX11" s="2235"/>
      <c r="PTY11" s="2235"/>
      <c r="PTZ11" s="2235"/>
      <c r="PUA11" s="2235"/>
      <c r="PUB11" s="2235"/>
      <c r="PUC11" s="2235"/>
      <c r="PUD11" s="2235"/>
      <c r="PUE11" s="2235"/>
      <c r="PUF11" s="2235"/>
      <c r="PUG11" s="2235"/>
      <c r="PUH11" s="2235"/>
      <c r="PUI11" s="2235"/>
      <c r="PUJ11" s="2235"/>
      <c r="PUK11" s="2235"/>
      <c r="PUL11" s="2235"/>
      <c r="PUM11" s="2235"/>
      <c r="PUN11" s="2235"/>
      <c r="PUO11" s="2235"/>
      <c r="PUP11" s="2235"/>
      <c r="PUQ11" s="2235"/>
      <c r="PUR11" s="2235"/>
      <c r="PUS11" s="2235"/>
      <c r="PUT11" s="2235"/>
      <c r="PUU11" s="2235"/>
      <c r="PUV11" s="2235"/>
      <c r="PUW11" s="2235"/>
      <c r="PUX11" s="2235"/>
      <c r="PUY11" s="2235"/>
      <c r="PUZ11" s="2235"/>
      <c r="PVA11" s="2235"/>
      <c r="PVB11" s="2235"/>
      <c r="PVC11" s="2235"/>
      <c r="PVD11" s="2235"/>
      <c r="PVE11" s="2235"/>
      <c r="PVF11" s="2235"/>
      <c r="PVG11" s="2235"/>
      <c r="PVH11" s="2235"/>
      <c r="PVI11" s="2235"/>
      <c r="PVJ11" s="2235"/>
      <c r="PVK11" s="2235"/>
      <c r="PVL11" s="2235"/>
      <c r="PVM11" s="2235"/>
      <c r="PVN11" s="2235"/>
      <c r="PVO11" s="2235"/>
      <c r="PVP11" s="2235"/>
      <c r="PVQ11" s="2235"/>
      <c r="PVR11" s="2235"/>
      <c r="PVS11" s="2235"/>
      <c r="PVT11" s="2235"/>
      <c r="PVU11" s="2235"/>
      <c r="PVV11" s="2235"/>
      <c r="PVW11" s="2235"/>
      <c r="PVX11" s="2235"/>
      <c r="PVY11" s="2235"/>
      <c r="PVZ11" s="2235"/>
      <c r="PWA11" s="2235"/>
      <c r="PWB11" s="2235"/>
      <c r="PWC11" s="2235"/>
      <c r="PWD11" s="2235"/>
      <c r="PWE11" s="2235"/>
      <c r="PWF11" s="2235"/>
      <c r="PWG11" s="2235"/>
      <c r="PWH11" s="2235"/>
      <c r="PWI11" s="2235"/>
      <c r="PWJ11" s="2235"/>
      <c r="PWK11" s="2235"/>
      <c r="PWL11" s="2235"/>
      <c r="PWM11" s="2235"/>
      <c r="PWN11" s="2235"/>
      <c r="PWO11" s="2235"/>
      <c r="PWP11" s="2235"/>
      <c r="PWQ11" s="2235"/>
      <c r="PWR11" s="2235"/>
      <c r="PWS11" s="2235"/>
      <c r="PWT11" s="2235"/>
      <c r="PWU11" s="2235"/>
      <c r="PWV11" s="2235"/>
      <c r="PWW11" s="2235"/>
      <c r="PWX11" s="2235"/>
      <c r="PWY11" s="2235"/>
      <c r="PWZ11" s="2235"/>
      <c r="PXA11" s="2235"/>
      <c r="PXB11" s="2235"/>
      <c r="PXC11" s="2235"/>
      <c r="PXD11" s="2235"/>
      <c r="PXE11" s="2235"/>
      <c r="PXF11" s="2235"/>
      <c r="PXG11" s="2235"/>
      <c r="PXH11" s="2235"/>
      <c r="PXI11" s="2235"/>
      <c r="PXJ11" s="2235"/>
      <c r="PXK11" s="2235"/>
      <c r="PXL11" s="2235"/>
      <c r="PXM11" s="2235"/>
      <c r="PXN11" s="2235"/>
      <c r="PXO11" s="2235"/>
      <c r="PXP11" s="2235"/>
      <c r="PXQ11" s="2235"/>
      <c r="PXR11" s="2235"/>
      <c r="PXS11" s="2235"/>
      <c r="PXT11" s="2235"/>
      <c r="PXU11" s="2235"/>
      <c r="PXV11" s="2235"/>
      <c r="PXW11" s="2235"/>
      <c r="PXX11" s="2235"/>
      <c r="PXY11" s="2235"/>
      <c r="PXZ11" s="2235"/>
      <c r="PYA11" s="2235"/>
      <c r="PYB11" s="2235"/>
      <c r="PYC11" s="2235"/>
      <c r="PYD11" s="2235"/>
      <c r="PYE11" s="2235"/>
      <c r="PYF11" s="2235"/>
      <c r="PYG11" s="2235"/>
      <c r="PYH11" s="2235"/>
      <c r="PYI11" s="2235"/>
      <c r="PYJ11" s="2235"/>
      <c r="PYK11" s="2235"/>
      <c r="PYL11" s="2235"/>
      <c r="PYM11" s="2235"/>
      <c r="PYN11" s="2235"/>
      <c r="PYO11" s="2235"/>
      <c r="PYP11" s="2235"/>
      <c r="PYQ11" s="2235"/>
      <c r="PYR11" s="2235"/>
      <c r="PYS11" s="2235"/>
      <c r="PYT11" s="2235"/>
      <c r="PYU11" s="2235"/>
      <c r="PYV11" s="2235"/>
      <c r="PYW11" s="2235"/>
      <c r="PYX11" s="2235"/>
      <c r="PYY11" s="2235"/>
      <c r="PYZ11" s="2235"/>
      <c r="PZA11" s="2235"/>
      <c r="PZB11" s="2235"/>
      <c r="PZC11" s="2235"/>
      <c r="PZD11" s="2235"/>
      <c r="PZE11" s="2235"/>
      <c r="PZF11" s="2235"/>
      <c r="PZG11" s="2235"/>
      <c r="PZH11" s="2235"/>
      <c r="PZI11" s="2235"/>
      <c r="PZJ11" s="2235"/>
      <c r="PZK11" s="2235"/>
      <c r="PZL11" s="2235"/>
      <c r="PZM11" s="2235"/>
      <c r="PZN11" s="2235"/>
      <c r="PZO11" s="2235"/>
      <c r="PZP11" s="2235"/>
      <c r="PZQ11" s="2235"/>
      <c r="PZR11" s="2235"/>
      <c r="PZS11" s="2235"/>
      <c r="PZT11" s="2235"/>
      <c r="PZU11" s="2235"/>
      <c r="PZV11" s="2235"/>
      <c r="PZW11" s="2235"/>
      <c r="PZX11" s="2235"/>
      <c r="PZY11" s="2235"/>
      <c r="PZZ11" s="2235"/>
      <c r="QAA11" s="2235"/>
      <c r="QAB11" s="2235"/>
      <c r="QAC11" s="2235"/>
      <c r="QAD11" s="2235"/>
      <c r="QAE11" s="2235"/>
      <c r="QAF11" s="2235"/>
      <c r="QAG11" s="2235"/>
      <c r="QAH11" s="2235"/>
      <c r="QAI11" s="2235"/>
      <c r="QAJ11" s="2235"/>
      <c r="QAK11" s="2235"/>
      <c r="QAL11" s="2235"/>
      <c r="QAM11" s="2235"/>
      <c r="QAN11" s="2235"/>
      <c r="QAO11" s="2235"/>
      <c r="QAP11" s="2235"/>
      <c r="QAQ11" s="2235"/>
      <c r="QAR11" s="2235"/>
      <c r="QAS11" s="2235"/>
      <c r="QAT11" s="2235"/>
      <c r="QAU11" s="2235"/>
      <c r="QAV11" s="2235"/>
      <c r="QAW11" s="2235"/>
      <c r="QAX11" s="2235"/>
      <c r="QAY11" s="2235"/>
      <c r="QAZ11" s="2235"/>
      <c r="QBA11" s="2235"/>
      <c r="QBB11" s="2235"/>
      <c r="QBC11" s="2235"/>
      <c r="QBD11" s="2235"/>
      <c r="QBE11" s="2235"/>
      <c r="QBF11" s="2235"/>
      <c r="QBG11" s="2235"/>
      <c r="QBH11" s="2235"/>
      <c r="QBI11" s="2235"/>
      <c r="QBJ11" s="2235"/>
      <c r="QBK11" s="2235"/>
      <c r="QBL11" s="2235"/>
      <c r="QBM11" s="2235"/>
      <c r="QBN11" s="2235"/>
      <c r="QBO11" s="2235"/>
      <c r="QBP11" s="2235"/>
      <c r="QBQ11" s="2235"/>
      <c r="QBR11" s="2235"/>
      <c r="QBS11" s="2235"/>
      <c r="QBT11" s="2235"/>
      <c r="QBU11" s="2235"/>
      <c r="QBV11" s="2235"/>
      <c r="QBW11" s="2235"/>
      <c r="QBX11" s="2235"/>
      <c r="QBY11" s="2235"/>
      <c r="QBZ11" s="2235"/>
      <c r="QCA11" s="2235"/>
      <c r="QCB11" s="2235"/>
      <c r="QCC11" s="2235"/>
      <c r="QCD11" s="2235"/>
      <c r="QCE11" s="2235"/>
      <c r="QCF11" s="2235"/>
      <c r="QCG11" s="2235"/>
      <c r="QCH11" s="2235"/>
      <c r="QCI11" s="2235"/>
      <c r="QCJ11" s="2235"/>
      <c r="QCK11" s="2235"/>
      <c r="QCL11" s="2235"/>
      <c r="QCM11" s="2235"/>
      <c r="QCN11" s="2235"/>
      <c r="QCO11" s="2235"/>
      <c r="QCP11" s="2235"/>
      <c r="QCQ11" s="2235"/>
      <c r="QCR11" s="2235"/>
      <c r="QCS11" s="2235"/>
      <c r="QCT11" s="2235"/>
      <c r="QCU11" s="2235"/>
      <c r="QCV11" s="2235"/>
      <c r="QCW11" s="2235"/>
      <c r="QCX11" s="2235"/>
      <c r="QCY11" s="2235"/>
      <c r="QCZ11" s="2235"/>
      <c r="QDA11" s="2235"/>
      <c r="QDB11" s="2235"/>
      <c r="QDC11" s="2235"/>
      <c r="QDD11" s="2235"/>
      <c r="QDE11" s="2235"/>
      <c r="QDF11" s="2235"/>
      <c r="QDG11" s="2235"/>
      <c r="QDH11" s="2235"/>
      <c r="QDI11" s="2235"/>
      <c r="QDJ11" s="2235"/>
      <c r="QDK11" s="2235"/>
      <c r="QDL11" s="2235"/>
      <c r="QDM11" s="2235"/>
      <c r="QDN11" s="2235"/>
      <c r="QDO11" s="2235"/>
      <c r="QDP11" s="2235"/>
      <c r="QDQ11" s="2235"/>
      <c r="QDR11" s="2235"/>
      <c r="QDS11" s="2235"/>
      <c r="QDT11" s="2235"/>
      <c r="QDU11" s="2235"/>
      <c r="QDV11" s="2235"/>
      <c r="QDW11" s="2235"/>
      <c r="QDX11" s="2235"/>
      <c r="QDY11" s="2235"/>
      <c r="QDZ11" s="2235"/>
      <c r="QEA11" s="2235"/>
      <c r="QEB11" s="2235"/>
      <c r="QEC11" s="2235"/>
      <c r="QED11" s="2235"/>
      <c r="QEE11" s="2235"/>
      <c r="QEF11" s="2235"/>
      <c r="QEG11" s="2235"/>
      <c r="QEH11" s="2235"/>
      <c r="QEI11" s="2235"/>
      <c r="QEJ11" s="2235"/>
      <c r="QEK11" s="2235"/>
      <c r="QEL11" s="2235"/>
      <c r="QEM11" s="2235"/>
      <c r="QEN11" s="2235"/>
      <c r="QEO11" s="2235"/>
      <c r="QEP11" s="2235"/>
      <c r="QEQ11" s="2235"/>
      <c r="QER11" s="2235"/>
      <c r="QES11" s="2235"/>
      <c r="QET11" s="2235"/>
      <c r="QEU11" s="2235"/>
      <c r="QEV11" s="2235"/>
      <c r="QEW11" s="2235"/>
      <c r="QEX11" s="2235"/>
      <c r="QEY11" s="2235"/>
      <c r="QEZ11" s="2235"/>
      <c r="QFA11" s="2235"/>
      <c r="QFB11" s="2235"/>
      <c r="QFC11" s="2235"/>
      <c r="QFD11" s="2235"/>
      <c r="QFE11" s="2235"/>
      <c r="QFF11" s="2235"/>
      <c r="QFG11" s="2235"/>
      <c r="QFH11" s="2235"/>
      <c r="QFI11" s="2235"/>
      <c r="QFJ11" s="2235"/>
      <c r="QFK11" s="2235"/>
      <c r="QFL11" s="2235"/>
      <c r="QFM11" s="2235"/>
      <c r="QFN11" s="2235"/>
      <c r="QFO11" s="2235"/>
      <c r="QFP11" s="2235"/>
      <c r="QFQ11" s="2235"/>
      <c r="QFR11" s="2235"/>
      <c r="QFS11" s="2235"/>
      <c r="QFT11" s="2235"/>
      <c r="QFU11" s="2235"/>
      <c r="QFV11" s="2235"/>
      <c r="QFW11" s="2235"/>
      <c r="QFX11" s="2235"/>
      <c r="QFY11" s="2235"/>
      <c r="QFZ11" s="2235"/>
      <c r="QGA11" s="2235"/>
      <c r="QGB11" s="2235"/>
      <c r="QGC11" s="2235"/>
      <c r="QGD11" s="2235"/>
      <c r="QGE11" s="2235"/>
      <c r="QGF11" s="2235"/>
      <c r="QGG11" s="2235"/>
      <c r="QGH11" s="2235"/>
      <c r="QGI11" s="2235"/>
      <c r="QGJ11" s="2235"/>
      <c r="QGK11" s="2235"/>
      <c r="QGL11" s="2235"/>
      <c r="QGM11" s="2235"/>
      <c r="QGN11" s="2235"/>
      <c r="QGO11" s="2235"/>
      <c r="QGP11" s="2235"/>
      <c r="QGQ11" s="2235"/>
      <c r="QGR11" s="2235"/>
      <c r="QGS11" s="2235"/>
      <c r="QGT11" s="2235"/>
      <c r="QGU11" s="2235"/>
      <c r="QGV11" s="2235"/>
      <c r="QGW11" s="2235"/>
      <c r="QGX11" s="2235"/>
      <c r="QGY11" s="2235"/>
      <c r="QGZ11" s="2235"/>
      <c r="QHA11" s="2235"/>
      <c r="QHB11" s="2235"/>
      <c r="QHC11" s="2235"/>
      <c r="QHD11" s="2235"/>
      <c r="QHE11" s="2235"/>
      <c r="QHF11" s="2235"/>
      <c r="QHG11" s="2235"/>
      <c r="QHH11" s="2235"/>
      <c r="QHI11" s="2235"/>
      <c r="QHJ11" s="2235"/>
      <c r="QHK11" s="2235"/>
      <c r="QHL11" s="2235"/>
      <c r="QHM11" s="2235"/>
      <c r="QHN11" s="2235"/>
      <c r="QHO11" s="2235"/>
      <c r="QHP11" s="2235"/>
      <c r="QHQ11" s="2235"/>
      <c r="QHR11" s="2235"/>
      <c r="QHS11" s="2235"/>
      <c r="QHT11" s="2235"/>
      <c r="QHU11" s="2235"/>
      <c r="QHV11" s="2235"/>
      <c r="QHW11" s="2235"/>
      <c r="QHX11" s="2235"/>
      <c r="QHY11" s="2235"/>
      <c r="QHZ11" s="2235"/>
      <c r="QIA11" s="2235"/>
      <c r="QIB11" s="2235"/>
      <c r="QIC11" s="2235"/>
      <c r="QID11" s="2235"/>
      <c r="QIE11" s="2235"/>
      <c r="QIF11" s="2235"/>
      <c r="QIG11" s="2235"/>
      <c r="QIH11" s="2235"/>
      <c r="QII11" s="2235"/>
      <c r="QIJ11" s="2235"/>
      <c r="QIK11" s="2235"/>
      <c r="QIL11" s="2235"/>
      <c r="QIM11" s="2235"/>
      <c r="QIN11" s="2235"/>
      <c r="QIO11" s="2235"/>
      <c r="QIP11" s="2235"/>
      <c r="QIQ11" s="2235"/>
      <c r="QIR11" s="2235"/>
      <c r="QIS11" s="2235"/>
      <c r="QIT11" s="2235"/>
      <c r="QIU11" s="2235"/>
      <c r="QIV11" s="2235"/>
      <c r="QIW11" s="2235"/>
      <c r="QIX11" s="2235"/>
      <c r="QIY11" s="2235"/>
      <c r="QIZ11" s="2235"/>
      <c r="QJA11" s="2235"/>
      <c r="QJB11" s="2235"/>
      <c r="QJC11" s="2235"/>
      <c r="QJD11" s="2235"/>
      <c r="QJE11" s="2235"/>
      <c r="QJF11" s="2235"/>
      <c r="QJG11" s="2235"/>
      <c r="QJH11" s="2235"/>
      <c r="QJI11" s="2235"/>
      <c r="QJJ11" s="2235"/>
      <c r="QJK11" s="2235"/>
      <c r="QJL11" s="2235"/>
      <c r="QJM11" s="2235"/>
      <c r="QJN11" s="2235"/>
      <c r="QJO11" s="2235"/>
      <c r="QJP11" s="2235"/>
      <c r="QJQ11" s="2235"/>
      <c r="QJR11" s="2235"/>
      <c r="QJS11" s="2235"/>
      <c r="QJT11" s="2235"/>
      <c r="QJU11" s="2235"/>
      <c r="QJV11" s="2235"/>
      <c r="QJW11" s="2235"/>
      <c r="QJX11" s="2235"/>
      <c r="QJY11" s="2235"/>
      <c r="QJZ11" s="2235"/>
      <c r="QKA11" s="2235"/>
      <c r="QKB11" s="2235"/>
      <c r="QKC11" s="2235"/>
      <c r="QKD11" s="2235"/>
      <c r="QKE11" s="2235"/>
      <c r="QKF11" s="2235"/>
      <c r="QKG11" s="2235"/>
      <c r="QKH11" s="2235"/>
      <c r="QKI11" s="2235"/>
      <c r="QKJ11" s="2235"/>
      <c r="QKK11" s="2235"/>
      <c r="QKL11" s="2235"/>
      <c r="QKM11" s="2235"/>
      <c r="QKN11" s="2235"/>
      <c r="QKO11" s="2235"/>
      <c r="QKP11" s="2235"/>
      <c r="QKQ11" s="2235"/>
      <c r="QKR11" s="2235"/>
      <c r="QKS11" s="2235"/>
      <c r="QKT11" s="2235"/>
      <c r="QKU11" s="2235"/>
      <c r="QKV11" s="2235"/>
      <c r="QKW11" s="2235"/>
      <c r="QKX11" s="2235"/>
      <c r="QKY11" s="2235"/>
      <c r="QKZ11" s="2235"/>
      <c r="QLA11" s="2235"/>
      <c r="QLB11" s="2235"/>
      <c r="QLC11" s="2235"/>
      <c r="QLD11" s="2235"/>
      <c r="QLE11" s="2235"/>
      <c r="QLF11" s="2235"/>
      <c r="QLG11" s="2235"/>
      <c r="QLH11" s="2235"/>
      <c r="QLI11" s="2235"/>
      <c r="QLJ11" s="2235"/>
      <c r="QLK11" s="2235"/>
      <c r="QLL11" s="2235"/>
      <c r="QLM11" s="2235"/>
      <c r="QLN11" s="2235"/>
      <c r="QLO11" s="2235"/>
      <c r="QLP11" s="2235"/>
      <c r="QLQ11" s="2235"/>
      <c r="QLR11" s="2235"/>
      <c r="QLS11" s="2235"/>
      <c r="QLT11" s="2235"/>
      <c r="QLU11" s="2235"/>
      <c r="QLV11" s="2235"/>
      <c r="QLW11" s="2235"/>
      <c r="QLX11" s="2235"/>
      <c r="QLY11" s="2235"/>
      <c r="QLZ11" s="2235"/>
      <c r="QMA11" s="2235"/>
      <c r="QMB11" s="2235"/>
      <c r="QMC11" s="2235"/>
      <c r="QMD11" s="2235"/>
      <c r="QME11" s="2235"/>
      <c r="QMF11" s="2235"/>
      <c r="QMG11" s="2235"/>
      <c r="QMH11" s="2235"/>
      <c r="QMI11" s="2235"/>
      <c r="QMJ11" s="2235"/>
      <c r="QMK11" s="2235"/>
      <c r="QML11" s="2235"/>
      <c r="QMM11" s="2235"/>
      <c r="QMN11" s="2235"/>
      <c r="QMO11" s="2235"/>
      <c r="QMP11" s="2235"/>
      <c r="QMQ11" s="2235"/>
      <c r="QMR11" s="2235"/>
      <c r="QMS11" s="2235"/>
      <c r="QMT11" s="2235"/>
      <c r="QMU11" s="2235"/>
      <c r="QMV11" s="2235"/>
      <c r="QMW11" s="2235"/>
      <c r="QMX11" s="2235"/>
      <c r="QMY11" s="2235"/>
      <c r="QMZ11" s="2235"/>
      <c r="QNA11" s="2235"/>
      <c r="QNB11" s="2235"/>
      <c r="QNC11" s="2235"/>
      <c r="QND11" s="2235"/>
      <c r="QNE11" s="2235"/>
      <c r="QNF11" s="2235"/>
      <c r="QNG11" s="2235"/>
      <c r="QNH11" s="2235"/>
      <c r="QNI11" s="2235"/>
      <c r="QNJ11" s="2235"/>
      <c r="QNK11" s="2235"/>
      <c r="QNL11" s="2235"/>
      <c r="QNM11" s="2235"/>
      <c r="QNN11" s="2235"/>
      <c r="QNO11" s="2235"/>
      <c r="QNP11" s="2235"/>
      <c r="QNQ11" s="2235"/>
      <c r="QNR11" s="2235"/>
      <c r="QNS11" s="2235"/>
      <c r="QNT11" s="2235"/>
      <c r="QNU11" s="2235"/>
      <c r="QNV11" s="2235"/>
      <c r="QNW11" s="2235"/>
      <c r="QNX11" s="2235"/>
      <c r="QNY11" s="2235"/>
      <c r="QNZ11" s="2235"/>
      <c r="QOA11" s="2235"/>
      <c r="QOB11" s="2235"/>
      <c r="QOC11" s="2235"/>
      <c r="QOD11" s="2235"/>
      <c r="QOE11" s="2235"/>
      <c r="QOF11" s="2235"/>
      <c r="QOG11" s="2235"/>
      <c r="QOH11" s="2235"/>
      <c r="QOI11" s="2235"/>
      <c r="QOJ11" s="2235"/>
      <c r="QOK11" s="2235"/>
      <c r="QOL11" s="2235"/>
      <c r="QOM11" s="2235"/>
      <c r="QON11" s="2235"/>
      <c r="QOO11" s="2235"/>
      <c r="QOP11" s="2235"/>
      <c r="QOQ11" s="2235"/>
      <c r="QOR11" s="2235"/>
      <c r="QOS11" s="2235"/>
      <c r="QOT11" s="2235"/>
      <c r="QOU11" s="2235"/>
      <c r="QOV11" s="2235"/>
      <c r="QOW11" s="2235"/>
      <c r="QOX11" s="2235"/>
      <c r="QOY11" s="2235"/>
      <c r="QOZ11" s="2235"/>
      <c r="QPA11" s="2235"/>
      <c r="QPB11" s="2235"/>
      <c r="QPC11" s="2235"/>
      <c r="QPD11" s="2235"/>
      <c r="QPE11" s="2235"/>
      <c r="QPF11" s="2235"/>
      <c r="QPG11" s="2235"/>
      <c r="QPH11" s="2235"/>
      <c r="QPI11" s="2235"/>
      <c r="QPJ11" s="2235"/>
      <c r="QPK11" s="2235"/>
      <c r="QPL11" s="2235"/>
      <c r="QPM11" s="2235"/>
      <c r="QPN11" s="2235"/>
      <c r="QPO11" s="2235"/>
      <c r="QPP11" s="2235"/>
      <c r="QPQ11" s="2235"/>
      <c r="QPR11" s="2235"/>
      <c r="QPS11" s="2235"/>
      <c r="QPT11" s="2235"/>
      <c r="QPU11" s="2235"/>
      <c r="QPV11" s="2235"/>
      <c r="QPW11" s="2235"/>
      <c r="QPX11" s="2235"/>
      <c r="QPY11" s="2235"/>
      <c r="QPZ11" s="2235"/>
      <c r="QQA11" s="2235"/>
      <c r="QQB11" s="2235"/>
      <c r="QQC11" s="2235"/>
      <c r="QQD11" s="2235"/>
      <c r="QQE11" s="2235"/>
      <c r="QQF11" s="2235"/>
      <c r="QQG11" s="2235"/>
      <c r="QQH11" s="2235"/>
      <c r="QQI11" s="2235"/>
      <c r="QQJ11" s="2235"/>
      <c r="QQK11" s="2235"/>
      <c r="QQL11" s="2235"/>
      <c r="QQM11" s="2235"/>
      <c r="QQN11" s="2235"/>
      <c r="QQO11" s="2235"/>
      <c r="QQP11" s="2235"/>
      <c r="QQQ11" s="2235"/>
      <c r="QQR11" s="2235"/>
      <c r="QQS11" s="2235"/>
      <c r="QQT11" s="2235"/>
      <c r="QQU11" s="2235"/>
      <c r="QQV11" s="2235"/>
      <c r="QQW11" s="2235"/>
      <c r="QQX11" s="2235"/>
      <c r="QQY11" s="2235"/>
      <c r="QQZ11" s="2235"/>
      <c r="QRA11" s="2235"/>
      <c r="QRB11" s="2235"/>
      <c r="QRC11" s="2235"/>
      <c r="QRD11" s="2235"/>
      <c r="QRE11" s="2235"/>
      <c r="QRF11" s="2235"/>
      <c r="QRG11" s="2235"/>
      <c r="QRH11" s="2235"/>
      <c r="QRI11" s="2235"/>
      <c r="QRJ11" s="2235"/>
      <c r="QRK11" s="2235"/>
      <c r="QRL11" s="2235"/>
      <c r="QRM11" s="2235"/>
      <c r="QRN11" s="2235"/>
      <c r="QRO11" s="2235"/>
      <c r="QRP11" s="2235"/>
      <c r="QRQ11" s="2235"/>
      <c r="QRR11" s="2235"/>
      <c r="QRS11" s="2235"/>
      <c r="QRT11" s="2235"/>
      <c r="QRU11" s="2235"/>
      <c r="QRV11" s="2235"/>
      <c r="QRW11" s="2235"/>
      <c r="QRX11" s="2235"/>
      <c r="QRY11" s="2235"/>
      <c r="QRZ11" s="2235"/>
      <c r="QSA11" s="2235"/>
      <c r="QSB11" s="2235"/>
      <c r="QSC11" s="2235"/>
      <c r="QSD11" s="2235"/>
      <c r="QSE11" s="2235"/>
      <c r="QSF11" s="2235"/>
      <c r="QSG11" s="2235"/>
      <c r="QSH11" s="2235"/>
      <c r="QSI11" s="2235"/>
      <c r="QSJ11" s="2235"/>
      <c r="QSK11" s="2235"/>
      <c r="QSL11" s="2235"/>
      <c r="QSM11" s="2235"/>
      <c r="QSN11" s="2235"/>
      <c r="QSO11" s="2235"/>
      <c r="QSP11" s="2235"/>
      <c r="QSQ11" s="2235"/>
      <c r="QSR11" s="2235"/>
      <c r="QSS11" s="2235"/>
      <c r="QST11" s="2235"/>
      <c r="QSU11" s="2235"/>
      <c r="QSV11" s="2235"/>
      <c r="QSW11" s="2235"/>
      <c r="QSX11" s="2235"/>
      <c r="QSY11" s="2235"/>
      <c r="QSZ11" s="2235"/>
      <c r="QTA11" s="2235"/>
      <c r="QTB11" s="2235"/>
      <c r="QTC11" s="2235"/>
      <c r="QTD11" s="2235"/>
      <c r="QTE11" s="2235"/>
      <c r="QTF11" s="2235"/>
      <c r="QTG11" s="2235"/>
      <c r="QTH11" s="2235"/>
      <c r="QTI11" s="2235"/>
      <c r="QTJ11" s="2235"/>
      <c r="QTK11" s="2235"/>
      <c r="QTL11" s="2235"/>
      <c r="QTM11" s="2235"/>
      <c r="QTN11" s="2235"/>
      <c r="QTO11" s="2235"/>
      <c r="QTP11" s="2235"/>
      <c r="QTQ11" s="2235"/>
      <c r="QTR11" s="2235"/>
      <c r="QTS11" s="2235"/>
      <c r="QTT11" s="2235"/>
      <c r="QTU11" s="2235"/>
      <c r="QTV11" s="2235"/>
      <c r="QTW11" s="2235"/>
      <c r="QTX11" s="2235"/>
      <c r="QTY11" s="2235"/>
      <c r="QTZ11" s="2235"/>
      <c r="QUA11" s="2235"/>
      <c r="QUB11" s="2235"/>
      <c r="QUC11" s="2235"/>
      <c r="QUD11" s="2235"/>
      <c r="QUE11" s="2235"/>
      <c r="QUF11" s="2235"/>
      <c r="QUG11" s="2235"/>
      <c r="QUH11" s="2235"/>
      <c r="QUI11" s="2235"/>
      <c r="QUJ11" s="2235"/>
      <c r="QUK11" s="2235"/>
      <c r="QUL11" s="2235"/>
      <c r="QUM11" s="2235"/>
      <c r="QUN11" s="2235"/>
      <c r="QUO11" s="2235"/>
      <c r="QUP11" s="2235"/>
      <c r="QUQ11" s="2235"/>
      <c r="QUR11" s="2235"/>
      <c r="QUS11" s="2235"/>
      <c r="QUT11" s="2235"/>
      <c r="QUU11" s="2235"/>
      <c r="QUV11" s="2235"/>
      <c r="QUW11" s="2235"/>
      <c r="QUX11" s="2235"/>
      <c r="QUY11" s="2235"/>
      <c r="QUZ11" s="2235"/>
      <c r="QVA11" s="2235"/>
      <c r="QVB11" s="2235"/>
      <c r="QVC11" s="2235"/>
      <c r="QVD11" s="2235"/>
      <c r="QVE11" s="2235"/>
      <c r="QVF11" s="2235"/>
      <c r="QVG11" s="2235"/>
      <c r="QVH11" s="2235"/>
      <c r="QVI11" s="2235"/>
      <c r="QVJ11" s="2235"/>
      <c r="QVK11" s="2235"/>
      <c r="QVL11" s="2235"/>
      <c r="QVM11" s="2235"/>
      <c r="QVN11" s="2235"/>
      <c r="QVO11" s="2235"/>
      <c r="QVP11" s="2235"/>
      <c r="QVQ11" s="2235"/>
      <c r="QVR11" s="2235"/>
      <c r="QVS11" s="2235"/>
      <c r="QVT11" s="2235"/>
      <c r="QVU11" s="2235"/>
      <c r="QVV11" s="2235"/>
      <c r="QVW11" s="2235"/>
      <c r="QVX11" s="2235"/>
      <c r="QVY11" s="2235"/>
      <c r="QVZ11" s="2235"/>
      <c r="QWA11" s="2235"/>
      <c r="QWB11" s="2235"/>
      <c r="QWC11" s="2235"/>
      <c r="QWD11" s="2235"/>
      <c r="QWE11" s="2235"/>
      <c r="QWF11" s="2235"/>
      <c r="QWG11" s="2235"/>
      <c r="QWH11" s="2235"/>
      <c r="QWI11" s="2235"/>
      <c r="QWJ11" s="2235"/>
      <c r="QWK11" s="2235"/>
      <c r="QWL11" s="2235"/>
      <c r="QWM11" s="2235"/>
      <c r="QWN11" s="2235"/>
      <c r="QWO11" s="2235"/>
      <c r="QWP11" s="2235"/>
      <c r="QWQ11" s="2235"/>
      <c r="QWR11" s="2235"/>
      <c r="QWS11" s="2235"/>
      <c r="QWT11" s="2235"/>
      <c r="QWU11" s="2235"/>
      <c r="QWV11" s="2235"/>
      <c r="QWW11" s="2235"/>
      <c r="QWX11" s="2235"/>
      <c r="QWY11" s="2235"/>
      <c r="QWZ11" s="2235"/>
      <c r="QXA11" s="2235"/>
      <c r="QXB11" s="2235"/>
      <c r="QXC11" s="2235"/>
      <c r="QXD11" s="2235"/>
      <c r="QXE11" s="2235"/>
      <c r="QXF11" s="2235"/>
      <c r="QXG11" s="2235"/>
      <c r="QXH11" s="2235"/>
      <c r="QXI11" s="2235"/>
      <c r="QXJ11" s="2235"/>
      <c r="QXK11" s="2235"/>
      <c r="QXL11" s="2235"/>
      <c r="QXM11" s="2235"/>
      <c r="QXN11" s="2235"/>
      <c r="QXO11" s="2235"/>
      <c r="QXP11" s="2235"/>
      <c r="QXQ11" s="2235"/>
      <c r="QXR11" s="2235"/>
      <c r="QXS11" s="2235"/>
      <c r="QXT11" s="2235"/>
      <c r="QXU11" s="2235"/>
      <c r="QXV11" s="2235"/>
      <c r="QXW11" s="2235"/>
      <c r="QXX11" s="2235"/>
      <c r="QXY11" s="2235"/>
      <c r="QXZ11" s="2235"/>
      <c r="QYA11" s="2235"/>
      <c r="QYB11" s="2235"/>
      <c r="QYC11" s="2235"/>
      <c r="QYD11" s="2235"/>
      <c r="QYE11" s="2235"/>
      <c r="QYF11" s="2235"/>
      <c r="QYG11" s="2235"/>
      <c r="QYH11" s="2235"/>
      <c r="QYI11" s="2235"/>
      <c r="QYJ11" s="2235"/>
      <c r="QYK11" s="2235"/>
      <c r="QYL11" s="2235"/>
      <c r="QYM11" s="2235"/>
      <c r="QYN11" s="2235"/>
      <c r="QYO11" s="2235"/>
      <c r="QYP11" s="2235"/>
      <c r="QYQ11" s="2235"/>
      <c r="QYR11" s="2235"/>
      <c r="QYS11" s="2235"/>
      <c r="QYT11" s="2235"/>
      <c r="QYU11" s="2235"/>
      <c r="QYV11" s="2235"/>
      <c r="QYW11" s="2235"/>
      <c r="QYX11" s="2235"/>
      <c r="QYY11" s="2235"/>
      <c r="QYZ11" s="2235"/>
      <c r="QZA11" s="2235"/>
      <c r="QZB11" s="2235"/>
      <c r="QZC11" s="2235"/>
      <c r="QZD11" s="2235"/>
      <c r="QZE11" s="2235"/>
      <c r="QZF11" s="2235"/>
      <c r="QZG11" s="2235"/>
      <c r="QZH11" s="2235"/>
      <c r="QZI11" s="2235"/>
      <c r="QZJ11" s="2235"/>
      <c r="QZK11" s="2235"/>
      <c r="QZL11" s="2235"/>
      <c r="QZM11" s="2235"/>
      <c r="QZN11" s="2235"/>
      <c r="QZO11" s="2235"/>
      <c r="QZP11" s="2235"/>
      <c r="QZQ11" s="2235"/>
      <c r="QZR11" s="2235"/>
      <c r="QZS11" s="2235"/>
      <c r="QZT11" s="2235"/>
      <c r="QZU11" s="2235"/>
      <c r="QZV11" s="2235"/>
      <c r="QZW11" s="2235"/>
      <c r="QZX11" s="2235"/>
      <c r="QZY11" s="2235"/>
      <c r="QZZ11" s="2235"/>
      <c r="RAA11" s="2235"/>
      <c r="RAB11" s="2235"/>
      <c r="RAC11" s="2235"/>
      <c r="RAD11" s="2235"/>
      <c r="RAE11" s="2235"/>
      <c r="RAF11" s="2235"/>
      <c r="RAG11" s="2235"/>
      <c r="RAH11" s="2235"/>
      <c r="RAI11" s="2235"/>
      <c r="RAJ11" s="2235"/>
      <c r="RAK11" s="2235"/>
      <c r="RAL11" s="2235"/>
      <c r="RAM11" s="2235"/>
      <c r="RAN11" s="2235"/>
      <c r="RAO11" s="2235"/>
      <c r="RAP11" s="2235"/>
      <c r="RAQ11" s="2235"/>
      <c r="RAR11" s="2235"/>
      <c r="RAS11" s="2235"/>
      <c r="RAT11" s="2235"/>
      <c r="RAU11" s="2235"/>
      <c r="RAV11" s="2235"/>
      <c r="RAW11" s="2235"/>
      <c r="RAX11" s="2235"/>
      <c r="RAY11" s="2235"/>
      <c r="RAZ11" s="2235"/>
      <c r="RBA11" s="2235"/>
      <c r="RBB11" s="2235"/>
      <c r="RBC11" s="2235"/>
      <c r="RBD11" s="2235"/>
      <c r="RBE11" s="2235"/>
      <c r="RBF11" s="2235"/>
      <c r="RBG11" s="2235"/>
      <c r="RBH11" s="2235"/>
      <c r="RBI11" s="2235"/>
      <c r="RBJ11" s="2235"/>
      <c r="RBK11" s="2235"/>
      <c r="RBL11" s="2235"/>
      <c r="RBM11" s="2235"/>
      <c r="RBN11" s="2235"/>
      <c r="RBO11" s="2235"/>
      <c r="RBP11" s="2235"/>
      <c r="RBQ11" s="2235"/>
      <c r="RBR11" s="2235"/>
      <c r="RBS11" s="2235"/>
      <c r="RBT11" s="2235"/>
      <c r="RBU11" s="2235"/>
      <c r="RBV11" s="2235"/>
      <c r="RBW11" s="2235"/>
      <c r="RBX11" s="2235"/>
      <c r="RBY11" s="2235"/>
      <c r="RBZ11" s="2235"/>
      <c r="RCA11" s="2235"/>
      <c r="RCB11" s="2235"/>
      <c r="RCC11" s="2235"/>
      <c r="RCD11" s="2235"/>
      <c r="RCE11" s="2235"/>
      <c r="RCF11" s="2235"/>
      <c r="RCG11" s="2235"/>
      <c r="RCH11" s="2235"/>
      <c r="RCI11" s="2235"/>
      <c r="RCJ11" s="2235"/>
      <c r="RCK11" s="2235"/>
      <c r="RCL11" s="2235"/>
      <c r="RCM11" s="2235"/>
      <c r="RCN11" s="2235"/>
      <c r="RCO11" s="2235"/>
      <c r="RCP11" s="2235"/>
      <c r="RCQ11" s="2235"/>
      <c r="RCR11" s="2235"/>
      <c r="RCS11" s="2235"/>
      <c r="RCT11" s="2235"/>
      <c r="RCU11" s="2235"/>
      <c r="RCV11" s="2235"/>
      <c r="RCW11" s="2235"/>
      <c r="RCX11" s="2235"/>
      <c r="RCY11" s="2235"/>
      <c r="RCZ11" s="2235"/>
      <c r="RDA11" s="2235"/>
      <c r="RDB11" s="2235"/>
      <c r="RDC11" s="2235"/>
      <c r="RDD11" s="2235"/>
      <c r="RDE11" s="2235"/>
      <c r="RDF11" s="2235"/>
      <c r="RDG11" s="2235"/>
      <c r="RDH11" s="2235"/>
      <c r="RDI11" s="2235"/>
      <c r="RDJ11" s="2235"/>
      <c r="RDK11" s="2235"/>
      <c r="RDL11" s="2235"/>
      <c r="RDM11" s="2235"/>
      <c r="RDN11" s="2235"/>
      <c r="RDO11" s="2235"/>
      <c r="RDP11" s="2235"/>
      <c r="RDQ11" s="2235"/>
      <c r="RDR11" s="2235"/>
      <c r="RDS11" s="2235"/>
      <c r="RDT11" s="2235"/>
      <c r="RDU11" s="2235"/>
      <c r="RDV11" s="2235"/>
      <c r="RDW11" s="2235"/>
      <c r="RDX11" s="2235"/>
      <c r="RDY11" s="2235"/>
      <c r="RDZ11" s="2235"/>
      <c r="REA11" s="2235"/>
      <c r="REB11" s="2235"/>
      <c r="REC11" s="2235"/>
      <c r="RED11" s="2235"/>
      <c r="REE11" s="2235"/>
      <c r="REF11" s="2235"/>
      <c r="REG11" s="2235"/>
      <c r="REH11" s="2235"/>
      <c r="REI11" s="2235"/>
      <c r="REJ11" s="2235"/>
      <c r="REK11" s="2235"/>
      <c r="REL11" s="2235"/>
      <c r="REM11" s="2235"/>
      <c r="REN11" s="2235"/>
      <c r="REO11" s="2235"/>
      <c r="REP11" s="2235"/>
      <c r="REQ11" s="2235"/>
      <c r="RER11" s="2235"/>
      <c r="RES11" s="2235"/>
      <c r="RET11" s="2235"/>
      <c r="REU11" s="2235"/>
      <c r="REV11" s="2235"/>
      <c r="REW11" s="2235"/>
      <c r="REX11" s="2235"/>
      <c r="REY11" s="2235"/>
      <c r="REZ11" s="2235"/>
      <c r="RFA11" s="2235"/>
      <c r="RFB11" s="2235"/>
      <c r="RFC11" s="2235"/>
      <c r="RFD11" s="2235"/>
      <c r="RFE11" s="2235"/>
      <c r="RFF11" s="2235"/>
      <c r="RFG11" s="2235"/>
      <c r="RFH11" s="2235"/>
      <c r="RFI11" s="2235"/>
      <c r="RFJ11" s="2235"/>
      <c r="RFK11" s="2235"/>
      <c r="RFL11" s="2235"/>
      <c r="RFM11" s="2235"/>
      <c r="RFN11" s="2235"/>
      <c r="RFO11" s="2235"/>
      <c r="RFP11" s="2235"/>
      <c r="RFQ11" s="2235"/>
      <c r="RFR11" s="2235"/>
      <c r="RFS11" s="2235"/>
      <c r="RFT11" s="2235"/>
      <c r="RFU11" s="2235"/>
      <c r="RFV11" s="2235"/>
      <c r="RFW11" s="2235"/>
      <c r="RFX11" s="2235"/>
      <c r="RFY11" s="2235"/>
      <c r="RFZ11" s="2235"/>
      <c r="RGA11" s="2235"/>
      <c r="RGB11" s="2235"/>
      <c r="RGC11" s="2235"/>
      <c r="RGD11" s="2235"/>
      <c r="RGE11" s="2235"/>
      <c r="RGF11" s="2235"/>
      <c r="RGG11" s="2235"/>
      <c r="RGH11" s="2235"/>
      <c r="RGI11" s="2235"/>
      <c r="RGJ11" s="2235"/>
      <c r="RGK11" s="2235"/>
      <c r="RGL11" s="2235"/>
      <c r="RGM11" s="2235"/>
      <c r="RGN11" s="2235"/>
      <c r="RGO11" s="2235"/>
      <c r="RGP11" s="2235"/>
      <c r="RGQ11" s="2235"/>
      <c r="RGR11" s="2235"/>
      <c r="RGS11" s="2235"/>
      <c r="RGT11" s="2235"/>
      <c r="RGU11" s="2235"/>
      <c r="RGV11" s="2235"/>
      <c r="RGW11" s="2235"/>
      <c r="RGX11" s="2235"/>
      <c r="RGY11" s="2235"/>
      <c r="RGZ11" s="2235"/>
      <c r="RHA11" s="2235"/>
      <c r="RHB11" s="2235"/>
      <c r="RHC11" s="2235"/>
      <c r="RHD11" s="2235"/>
      <c r="RHE11" s="2235"/>
      <c r="RHF11" s="2235"/>
      <c r="RHG11" s="2235"/>
      <c r="RHH11" s="2235"/>
      <c r="RHI11" s="2235"/>
      <c r="RHJ11" s="2235"/>
      <c r="RHK11" s="2235"/>
      <c r="RHL11" s="2235"/>
      <c r="RHM11" s="2235"/>
      <c r="RHN11" s="2235"/>
      <c r="RHO11" s="2235"/>
      <c r="RHP11" s="2235"/>
      <c r="RHQ11" s="2235"/>
      <c r="RHR11" s="2235"/>
      <c r="RHS11" s="2235"/>
      <c r="RHT11" s="2235"/>
      <c r="RHU11" s="2235"/>
      <c r="RHV11" s="2235"/>
      <c r="RHW11" s="2235"/>
      <c r="RHX11" s="2235"/>
      <c r="RHY11" s="2235"/>
      <c r="RHZ11" s="2235"/>
      <c r="RIA11" s="2235"/>
      <c r="RIB11" s="2235"/>
      <c r="RIC11" s="2235"/>
      <c r="RID11" s="2235"/>
      <c r="RIE11" s="2235"/>
      <c r="RIF11" s="2235"/>
      <c r="RIG11" s="2235"/>
      <c r="RIH11" s="2235"/>
      <c r="RII11" s="2235"/>
      <c r="RIJ11" s="2235"/>
      <c r="RIK11" s="2235"/>
      <c r="RIL11" s="2235"/>
      <c r="RIM11" s="2235"/>
      <c r="RIN11" s="2235"/>
      <c r="RIO11" s="2235"/>
      <c r="RIP11" s="2235"/>
      <c r="RIQ11" s="2235"/>
      <c r="RIR11" s="2235"/>
      <c r="RIS11" s="2235"/>
      <c r="RIT11" s="2235"/>
      <c r="RIU11" s="2235"/>
      <c r="RIV11" s="2235"/>
      <c r="RIW11" s="2235"/>
      <c r="RIX11" s="2235"/>
      <c r="RIY11" s="2235"/>
      <c r="RIZ11" s="2235"/>
      <c r="RJA11" s="2235"/>
      <c r="RJB11" s="2235"/>
      <c r="RJC11" s="2235"/>
      <c r="RJD11" s="2235"/>
      <c r="RJE11" s="2235"/>
      <c r="RJF11" s="2235"/>
      <c r="RJG11" s="2235"/>
      <c r="RJH11" s="2235"/>
      <c r="RJI11" s="2235"/>
      <c r="RJJ11" s="2235"/>
      <c r="RJK11" s="2235"/>
      <c r="RJL11" s="2235"/>
      <c r="RJM11" s="2235"/>
      <c r="RJN11" s="2235"/>
      <c r="RJO11" s="2235"/>
      <c r="RJP11" s="2235"/>
      <c r="RJQ11" s="2235"/>
      <c r="RJR11" s="2235"/>
      <c r="RJS11" s="2235"/>
      <c r="RJT11" s="2235"/>
      <c r="RJU11" s="2235"/>
      <c r="RJV11" s="2235"/>
      <c r="RJW11" s="2235"/>
      <c r="RJX11" s="2235"/>
      <c r="RJY11" s="2235"/>
      <c r="RJZ11" s="2235"/>
      <c r="RKA11" s="2235"/>
      <c r="RKB11" s="2235"/>
      <c r="RKC11" s="2235"/>
      <c r="RKD11" s="2235"/>
      <c r="RKE11" s="2235"/>
      <c r="RKF11" s="2235"/>
      <c r="RKG11" s="2235"/>
      <c r="RKH11" s="2235"/>
      <c r="RKI11" s="2235"/>
      <c r="RKJ11" s="2235"/>
      <c r="RKK11" s="2235"/>
      <c r="RKL11" s="2235"/>
      <c r="RKM11" s="2235"/>
      <c r="RKN11" s="2235"/>
      <c r="RKO11" s="2235"/>
      <c r="RKP11" s="2235"/>
      <c r="RKQ11" s="2235"/>
      <c r="RKR11" s="2235"/>
      <c r="RKS11" s="2235"/>
      <c r="RKT11" s="2235"/>
      <c r="RKU11" s="2235"/>
      <c r="RKV11" s="2235"/>
      <c r="RKW11" s="2235"/>
      <c r="RKX11" s="2235"/>
      <c r="RKY11" s="2235"/>
      <c r="RKZ11" s="2235"/>
      <c r="RLA11" s="2235"/>
      <c r="RLB11" s="2235"/>
      <c r="RLC11" s="2235"/>
      <c r="RLD11" s="2235"/>
      <c r="RLE11" s="2235"/>
      <c r="RLF11" s="2235"/>
      <c r="RLG11" s="2235"/>
      <c r="RLH11" s="2235"/>
      <c r="RLI11" s="2235"/>
      <c r="RLJ11" s="2235"/>
      <c r="RLK11" s="2235"/>
      <c r="RLL11" s="2235"/>
      <c r="RLM11" s="2235"/>
      <c r="RLN11" s="2235"/>
      <c r="RLO11" s="2235"/>
      <c r="RLP11" s="2235"/>
      <c r="RLQ11" s="2235"/>
      <c r="RLR11" s="2235"/>
      <c r="RLS11" s="2235"/>
      <c r="RLT11" s="2235"/>
      <c r="RLU11" s="2235"/>
      <c r="RLV11" s="2235"/>
      <c r="RLW11" s="2235"/>
      <c r="RLX11" s="2235"/>
      <c r="RLY11" s="2235"/>
      <c r="RLZ11" s="2235"/>
      <c r="RMA11" s="2235"/>
      <c r="RMB11" s="2235"/>
      <c r="RMC11" s="2235"/>
      <c r="RMD11" s="2235"/>
      <c r="RME11" s="2235"/>
      <c r="RMF11" s="2235"/>
      <c r="RMG11" s="2235"/>
      <c r="RMH11" s="2235"/>
      <c r="RMI11" s="2235"/>
      <c r="RMJ11" s="2235"/>
      <c r="RMK11" s="2235"/>
      <c r="RML11" s="2235"/>
      <c r="RMM11" s="2235"/>
      <c r="RMN11" s="2235"/>
      <c r="RMO11" s="2235"/>
      <c r="RMP11" s="2235"/>
      <c r="RMQ11" s="2235"/>
      <c r="RMR11" s="2235"/>
      <c r="RMS11" s="2235"/>
      <c r="RMT11" s="2235"/>
      <c r="RMU11" s="2235"/>
      <c r="RMV11" s="2235"/>
      <c r="RMW11" s="2235"/>
      <c r="RMX11" s="2235"/>
      <c r="RMY11" s="2235"/>
      <c r="RMZ11" s="2235"/>
      <c r="RNA11" s="2235"/>
      <c r="RNB11" s="2235"/>
      <c r="RNC11" s="2235"/>
      <c r="RND11" s="2235"/>
      <c r="RNE11" s="2235"/>
      <c r="RNF11" s="2235"/>
      <c r="RNG11" s="2235"/>
      <c r="RNH11" s="2235"/>
      <c r="RNI11" s="2235"/>
      <c r="RNJ11" s="2235"/>
      <c r="RNK11" s="2235"/>
      <c r="RNL11" s="2235"/>
      <c r="RNM11" s="2235"/>
      <c r="RNN11" s="2235"/>
      <c r="RNO11" s="2235"/>
      <c r="RNP11" s="2235"/>
      <c r="RNQ11" s="2235"/>
      <c r="RNR11" s="2235"/>
      <c r="RNS11" s="2235"/>
      <c r="RNT11" s="2235"/>
      <c r="RNU11" s="2235"/>
      <c r="RNV11" s="2235"/>
      <c r="RNW11" s="2235"/>
      <c r="RNX11" s="2235"/>
      <c r="RNY11" s="2235"/>
      <c r="RNZ11" s="2235"/>
      <c r="ROA11" s="2235"/>
      <c r="ROB11" s="2235"/>
      <c r="ROC11" s="2235"/>
      <c r="ROD11" s="2235"/>
      <c r="ROE11" s="2235"/>
      <c r="ROF11" s="2235"/>
      <c r="ROG11" s="2235"/>
      <c r="ROH11" s="2235"/>
      <c r="ROI11" s="2235"/>
      <c r="ROJ11" s="2235"/>
      <c r="ROK11" s="2235"/>
      <c r="ROL11" s="2235"/>
      <c r="ROM11" s="2235"/>
      <c r="RON11" s="2235"/>
      <c r="ROO11" s="2235"/>
      <c r="ROP11" s="2235"/>
      <c r="ROQ11" s="2235"/>
      <c r="ROR11" s="2235"/>
      <c r="ROS11" s="2235"/>
      <c r="ROT11" s="2235"/>
      <c r="ROU11" s="2235"/>
      <c r="ROV11" s="2235"/>
      <c r="ROW11" s="2235"/>
      <c r="ROX11" s="2235"/>
      <c r="ROY11" s="2235"/>
      <c r="ROZ11" s="2235"/>
      <c r="RPA11" s="2235"/>
      <c r="RPB11" s="2235"/>
      <c r="RPC11" s="2235"/>
      <c r="RPD11" s="2235"/>
      <c r="RPE11" s="2235"/>
      <c r="RPF11" s="2235"/>
      <c r="RPG11" s="2235"/>
      <c r="RPH11" s="2235"/>
      <c r="RPI11" s="2235"/>
      <c r="RPJ11" s="2235"/>
      <c r="RPK11" s="2235"/>
      <c r="RPL11" s="2235"/>
      <c r="RPM11" s="2235"/>
      <c r="RPN11" s="2235"/>
      <c r="RPO11" s="2235"/>
      <c r="RPP11" s="2235"/>
      <c r="RPQ11" s="2235"/>
      <c r="RPR11" s="2235"/>
      <c r="RPS11" s="2235"/>
      <c r="RPT11" s="2235"/>
      <c r="RPU11" s="2235"/>
      <c r="RPV11" s="2235"/>
      <c r="RPW11" s="2235"/>
      <c r="RPX11" s="2235"/>
      <c r="RPY11" s="2235"/>
      <c r="RPZ11" s="2235"/>
      <c r="RQA11" s="2235"/>
      <c r="RQB11" s="2235"/>
      <c r="RQC11" s="2235"/>
      <c r="RQD11" s="2235"/>
      <c r="RQE11" s="2235"/>
      <c r="RQF11" s="2235"/>
      <c r="RQG11" s="2235"/>
      <c r="RQH11" s="2235"/>
      <c r="RQI11" s="2235"/>
      <c r="RQJ11" s="2235"/>
      <c r="RQK11" s="2235"/>
      <c r="RQL11" s="2235"/>
      <c r="RQM11" s="2235"/>
      <c r="RQN11" s="2235"/>
      <c r="RQO11" s="2235"/>
      <c r="RQP11" s="2235"/>
      <c r="RQQ11" s="2235"/>
      <c r="RQR11" s="2235"/>
      <c r="RQS11" s="2235"/>
      <c r="RQT11" s="2235"/>
      <c r="RQU11" s="2235"/>
      <c r="RQV11" s="2235"/>
      <c r="RQW11" s="2235"/>
      <c r="RQX11" s="2235"/>
      <c r="RQY11" s="2235"/>
      <c r="RQZ11" s="2235"/>
      <c r="RRA11" s="2235"/>
      <c r="RRB11" s="2235"/>
      <c r="RRC11" s="2235"/>
      <c r="RRD11" s="2235"/>
      <c r="RRE11" s="2235"/>
      <c r="RRF11" s="2235"/>
      <c r="RRG11" s="2235"/>
      <c r="RRH11" s="2235"/>
      <c r="RRI11" s="2235"/>
      <c r="RRJ11" s="2235"/>
      <c r="RRK11" s="2235"/>
      <c r="RRL11" s="2235"/>
      <c r="RRM11" s="2235"/>
      <c r="RRN11" s="2235"/>
      <c r="RRO11" s="2235"/>
      <c r="RRP11" s="2235"/>
      <c r="RRQ11" s="2235"/>
      <c r="RRR11" s="2235"/>
      <c r="RRS11" s="2235"/>
      <c r="RRT11" s="2235"/>
      <c r="RRU11" s="2235"/>
      <c r="RRV11" s="2235"/>
      <c r="RRW11" s="2235"/>
      <c r="RRX11" s="2235"/>
      <c r="RRY11" s="2235"/>
      <c r="RRZ11" s="2235"/>
      <c r="RSA11" s="2235"/>
      <c r="RSB11" s="2235"/>
      <c r="RSC11" s="2235"/>
      <c r="RSD11" s="2235"/>
      <c r="RSE11" s="2235"/>
      <c r="RSF11" s="2235"/>
      <c r="RSG11" s="2235"/>
      <c r="RSH11" s="2235"/>
      <c r="RSI11" s="2235"/>
      <c r="RSJ11" s="2235"/>
      <c r="RSK11" s="2235"/>
      <c r="RSL11" s="2235"/>
      <c r="RSM11" s="2235"/>
      <c r="RSN11" s="2235"/>
      <c r="RSO11" s="2235"/>
      <c r="RSP11" s="2235"/>
      <c r="RSQ11" s="2235"/>
      <c r="RSR11" s="2235"/>
      <c r="RSS11" s="2235"/>
      <c r="RST11" s="2235"/>
      <c r="RSU11" s="2235"/>
      <c r="RSV11" s="2235"/>
      <c r="RSW11" s="2235"/>
      <c r="RSX11" s="2235"/>
      <c r="RSY11" s="2235"/>
      <c r="RSZ11" s="2235"/>
      <c r="RTA11" s="2235"/>
      <c r="RTB11" s="2235"/>
      <c r="RTC11" s="2235"/>
      <c r="RTD11" s="2235"/>
      <c r="RTE11" s="2235"/>
      <c r="RTF11" s="2235"/>
      <c r="RTG11" s="2235"/>
      <c r="RTH11" s="2235"/>
      <c r="RTI11" s="2235"/>
      <c r="RTJ11" s="2235"/>
      <c r="RTK11" s="2235"/>
      <c r="RTL11" s="2235"/>
      <c r="RTM11" s="2235"/>
      <c r="RTN11" s="2235"/>
      <c r="RTO11" s="2235"/>
      <c r="RTP11" s="2235"/>
      <c r="RTQ11" s="2235"/>
      <c r="RTR11" s="2235"/>
      <c r="RTS11" s="2235"/>
      <c r="RTT11" s="2235"/>
      <c r="RTU11" s="2235"/>
      <c r="RTV11" s="2235"/>
      <c r="RTW11" s="2235"/>
      <c r="RTX11" s="2235"/>
      <c r="RTY11" s="2235"/>
      <c r="RTZ11" s="2235"/>
      <c r="RUA11" s="2235"/>
      <c r="RUB11" s="2235"/>
      <c r="RUC11" s="2235"/>
      <c r="RUD11" s="2235"/>
      <c r="RUE11" s="2235"/>
      <c r="RUF11" s="2235"/>
      <c r="RUG11" s="2235"/>
      <c r="RUH11" s="2235"/>
      <c r="RUI11" s="2235"/>
      <c r="RUJ11" s="2235"/>
      <c r="RUK11" s="2235"/>
      <c r="RUL11" s="2235"/>
      <c r="RUM11" s="2235"/>
      <c r="RUN11" s="2235"/>
      <c r="RUO11" s="2235"/>
      <c r="RUP11" s="2235"/>
      <c r="RUQ11" s="2235"/>
      <c r="RUR11" s="2235"/>
      <c r="RUS11" s="2235"/>
      <c r="RUT11" s="2235"/>
      <c r="RUU11" s="2235"/>
      <c r="RUV11" s="2235"/>
      <c r="RUW11" s="2235"/>
      <c r="RUX11" s="2235"/>
      <c r="RUY11" s="2235"/>
      <c r="RUZ11" s="2235"/>
      <c r="RVA11" s="2235"/>
      <c r="RVB11" s="2235"/>
      <c r="RVC11" s="2235"/>
      <c r="RVD11" s="2235"/>
      <c r="RVE11" s="2235"/>
      <c r="RVF11" s="2235"/>
      <c r="RVG11" s="2235"/>
      <c r="RVH11" s="2235"/>
      <c r="RVI11" s="2235"/>
      <c r="RVJ11" s="2235"/>
      <c r="RVK11" s="2235"/>
      <c r="RVL11" s="2235"/>
      <c r="RVM11" s="2235"/>
      <c r="RVN11" s="2235"/>
      <c r="RVO11" s="2235"/>
      <c r="RVP11" s="2235"/>
      <c r="RVQ11" s="2235"/>
      <c r="RVR11" s="2235"/>
      <c r="RVS11" s="2235"/>
      <c r="RVT11" s="2235"/>
      <c r="RVU11" s="2235"/>
      <c r="RVV11" s="2235"/>
      <c r="RVW11" s="2235"/>
      <c r="RVX11" s="2235"/>
      <c r="RVY11" s="2235"/>
      <c r="RVZ11" s="2235"/>
      <c r="RWA11" s="2235"/>
      <c r="RWB11" s="2235"/>
      <c r="RWC11" s="2235"/>
      <c r="RWD11" s="2235"/>
      <c r="RWE11" s="2235"/>
      <c r="RWF11" s="2235"/>
      <c r="RWG11" s="2235"/>
      <c r="RWH11" s="2235"/>
      <c r="RWI11" s="2235"/>
      <c r="RWJ11" s="2235"/>
      <c r="RWK11" s="2235"/>
      <c r="RWL11" s="2235"/>
      <c r="RWM11" s="2235"/>
      <c r="RWN11" s="2235"/>
      <c r="RWO11" s="2235"/>
      <c r="RWP11" s="2235"/>
      <c r="RWQ11" s="2235"/>
      <c r="RWR11" s="2235"/>
      <c r="RWS11" s="2235"/>
      <c r="RWT11" s="2235"/>
      <c r="RWU11" s="2235"/>
      <c r="RWV11" s="2235"/>
      <c r="RWW11" s="2235"/>
      <c r="RWX11" s="2235"/>
      <c r="RWY11" s="2235"/>
      <c r="RWZ11" s="2235"/>
      <c r="RXA11" s="2235"/>
      <c r="RXB11" s="2235"/>
      <c r="RXC11" s="2235"/>
      <c r="RXD11" s="2235"/>
      <c r="RXE11" s="2235"/>
      <c r="RXF11" s="2235"/>
      <c r="RXG11" s="2235"/>
      <c r="RXH11" s="2235"/>
      <c r="RXI11" s="2235"/>
      <c r="RXJ11" s="2235"/>
      <c r="RXK11" s="2235"/>
      <c r="RXL11" s="2235"/>
      <c r="RXM11" s="2235"/>
      <c r="RXN11" s="2235"/>
      <c r="RXO11" s="2235"/>
      <c r="RXP11" s="2235"/>
      <c r="RXQ11" s="2235"/>
      <c r="RXR11" s="2235"/>
      <c r="RXS11" s="2235"/>
      <c r="RXT11" s="2235"/>
      <c r="RXU11" s="2235"/>
      <c r="RXV11" s="2235"/>
      <c r="RXW11" s="2235"/>
      <c r="RXX11" s="2235"/>
      <c r="RXY11" s="2235"/>
      <c r="RXZ11" s="2235"/>
      <c r="RYA11" s="2235"/>
      <c r="RYB11" s="2235"/>
      <c r="RYC11" s="2235"/>
      <c r="RYD11" s="2235"/>
      <c r="RYE11" s="2235"/>
      <c r="RYF11" s="2235"/>
      <c r="RYG11" s="2235"/>
      <c r="RYH11" s="2235"/>
      <c r="RYI11" s="2235"/>
      <c r="RYJ11" s="2235"/>
      <c r="RYK11" s="2235"/>
      <c r="RYL11" s="2235"/>
      <c r="RYM11" s="2235"/>
      <c r="RYN11" s="2235"/>
      <c r="RYO11" s="2235"/>
      <c r="RYP11" s="2235"/>
      <c r="RYQ11" s="2235"/>
      <c r="RYR11" s="2235"/>
      <c r="RYS11" s="2235"/>
      <c r="RYT11" s="2235"/>
      <c r="RYU11" s="2235"/>
      <c r="RYV11" s="2235"/>
      <c r="RYW11" s="2235"/>
      <c r="RYX11" s="2235"/>
      <c r="RYY11" s="2235"/>
      <c r="RYZ11" s="2235"/>
      <c r="RZA11" s="2235"/>
      <c r="RZB11" s="2235"/>
      <c r="RZC11" s="2235"/>
      <c r="RZD11" s="2235"/>
      <c r="RZE11" s="2235"/>
      <c r="RZF11" s="2235"/>
      <c r="RZG11" s="2235"/>
      <c r="RZH11" s="2235"/>
      <c r="RZI11" s="2235"/>
      <c r="RZJ11" s="2235"/>
      <c r="RZK11" s="2235"/>
      <c r="RZL11" s="2235"/>
      <c r="RZM11" s="2235"/>
      <c r="RZN11" s="2235"/>
      <c r="RZO11" s="2235"/>
      <c r="RZP11" s="2235"/>
      <c r="RZQ11" s="2235"/>
      <c r="RZR11" s="2235"/>
      <c r="RZS11" s="2235"/>
      <c r="RZT11" s="2235"/>
      <c r="RZU11" s="2235"/>
      <c r="RZV11" s="2235"/>
      <c r="RZW11" s="2235"/>
      <c r="RZX11" s="2235"/>
      <c r="RZY11" s="2235"/>
      <c r="RZZ11" s="2235"/>
      <c r="SAA11" s="2235"/>
      <c r="SAB11" s="2235"/>
      <c r="SAC11" s="2235"/>
      <c r="SAD11" s="2235"/>
      <c r="SAE11" s="2235"/>
      <c r="SAF11" s="2235"/>
      <c r="SAG11" s="2235"/>
      <c r="SAH11" s="2235"/>
      <c r="SAI11" s="2235"/>
      <c r="SAJ11" s="2235"/>
      <c r="SAK11" s="2235"/>
      <c r="SAL11" s="2235"/>
      <c r="SAM11" s="2235"/>
      <c r="SAN11" s="2235"/>
      <c r="SAO11" s="2235"/>
      <c r="SAP11" s="2235"/>
      <c r="SAQ11" s="2235"/>
      <c r="SAR11" s="2235"/>
      <c r="SAS11" s="2235"/>
      <c r="SAT11" s="2235"/>
      <c r="SAU11" s="2235"/>
      <c r="SAV11" s="2235"/>
      <c r="SAW11" s="2235"/>
      <c r="SAX11" s="2235"/>
      <c r="SAY11" s="2235"/>
      <c r="SAZ11" s="2235"/>
      <c r="SBA11" s="2235"/>
      <c r="SBB11" s="2235"/>
      <c r="SBC11" s="2235"/>
      <c r="SBD11" s="2235"/>
      <c r="SBE11" s="2235"/>
      <c r="SBF11" s="2235"/>
      <c r="SBG11" s="2235"/>
      <c r="SBH11" s="2235"/>
      <c r="SBI11" s="2235"/>
      <c r="SBJ11" s="2235"/>
      <c r="SBK11" s="2235"/>
      <c r="SBL11" s="2235"/>
      <c r="SBM11" s="2235"/>
      <c r="SBN11" s="2235"/>
      <c r="SBO11" s="2235"/>
      <c r="SBP11" s="2235"/>
      <c r="SBQ11" s="2235"/>
      <c r="SBR11" s="2235"/>
      <c r="SBS11" s="2235"/>
      <c r="SBT11" s="2235"/>
      <c r="SBU11" s="2235"/>
      <c r="SBV11" s="2235"/>
      <c r="SBW11" s="2235"/>
      <c r="SBX11" s="2235"/>
      <c r="SBY11" s="2235"/>
      <c r="SBZ11" s="2235"/>
      <c r="SCA11" s="2235"/>
      <c r="SCB11" s="2235"/>
      <c r="SCC11" s="2235"/>
      <c r="SCD11" s="2235"/>
      <c r="SCE11" s="2235"/>
      <c r="SCF11" s="2235"/>
      <c r="SCG11" s="2235"/>
      <c r="SCH11" s="2235"/>
      <c r="SCI11" s="2235"/>
      <c r="SCJ11" s="2235"/>
      <c r="SCK11" s="2235"/>
      <c r="SCL11" s="2235"/>
      <c r="SCM11" s="2235"/>
      <c r="SCN11" s="2235"/>
      <c r="SCO11" s="2235"/>
      <c r="SCP11" s="2235"/>
      <c r="SCQ11" s="2235"/>
      <c r="SCR11" s="2235"/>
      <c r="SCS11" s="2235"/>
      <c r="SCT11" s="2235"/>
      <c r="SCU11" s="2235"/>
      <c r="SCV11" s="2235"/>
      <c r="SCW11" s="2235"/>
      <c r="SCX11" s="2235"/>
      <c r="SCY11" s="2235"/>
      <c r="SCZ11" s="2235"/>
      <c r="SDA11" s="2235"/>
      <c r="SDB11" s="2235"/>
      <c r="SDC11" s="2235"/>
      <c r="SDD11" s="2235"/>
      <c r="SDE11" s="2235"/>
      <c r="SDF11" s="2235"/>
      <c r="SDG11" s="2235"/>
      <c r="SDH11" s="2235"/>
      <c r="SDI11" s="2235"/>
      <c r="SDJ11" s="2235"/>
      <c r="SDK11" s="2235"/>
      <c r="SDL11" s="2235"/>
      <c r="SDM11" s="2235"/>
      <c r="SDN11" s="2235"/>
      <c r="SDO11" s="2235"/>
      <c r="SDP11" s="2235"/>
      <c r="SDQ11" s="2235"/>
      <c r="SDR11" s="2235"/>
      <c r="SDS11" s="2235"/>
      <c r="SDT11" s="2235"/>
      <c r="SDU11" s="2235"/>
      <c r="SDV11" s="2235"/>
      <c r="SDW11" s="2235"/>
      <c r="SDX11" s="2235"/>
      <c r="SDY11" s="2235"/>
      <c r="SDZ11" s="2235"/>
      <c r="SEA11" s="2235"/>
      <c r="SEB11" s="2235"/>
      <c r="SEC11" s="2235"/>
      <c r="SED11" s="2235"/>
      <c r="SEE11" s="2235"/>
      <c r="SEF11" s="2235"/>
      <c r="SEG11" s="2235"/>
      <c r="SEH11" s="2235"/>
      <c r="SEI11" s="2235"/>
      <c r="SEJ11" s="2235"/>
      <c r="SEK11" s="2235"/>
      <c r="SEL11" s="2235"/>
      <c r="SEM11" s="2235"/>
      <c r="SEN11" s="2235"/>
      <c r="SEO11" s="2235"/>
      <c r="SEP11" s="2235"/>
      <c r="SEQ11" s="2235"/>
      <c r="SER11" s="2235"/>
      <c r="SES11" s="2235"/>
      <c r="SET11" s="2235"/>
      <c r="SEU11" s="2235"/>
      <c r="SEV11" s="2235"/>
      <c r="SEW11" s="2235"/>
      <c r="SEX11" s="2235"/>
      <c r="SEY11" s="2235"/>
      <c r="SEZ11" s="2235"/>
      <c r="SFA11" s="2235"/>
      <c r="SFB11" s="2235"/>
      <c r="SFC11" s="2235"/>
      <c r="SFD11" s="2235"/>
      <c r="SFE11" s="2235"/>
      <c r="SFF11" s="2235"/>
      <c r="SFG11" s="2235"/>
      <c r="SFH11" s="2235"/>
      <c r="SFI11" s="2235"/>
      <c r="SFJ11" s="2235"/>
      <c r="SFK11" s="2235"/>
      <c r="SFL11" s="2235"/>
      <c r="SFM11" s="2235"/>
      <c r="SFN11" s="2235"/>
      <c r="SFO11" s="2235"/>
      <c r="SFP11" s="2235"/>
      <c r="SFQ11" s="2235"/>
      <c r="SFR11" s="2235"/>
      <c r="SFS11" s="2235"/>
      <c r="SFT11" s="2235"/>
      <c r="SFU11" s="2235"/>
      <c r="SFV11" s="2235"/>
      <c r="SFW11" s="2235"/>
      <c r="SFX11" s="2235"/>
      <c r="SFY11" s="2235"/>
      <c r="SFZ11" s="2235"/>
      <c r="SGA11" s="2235"/>
      <c r="SGB11" s="2235"/>
      <c r="SGC11" s="2235"/>
      <c r="SGD11" s="2235"/>
      <c r="SGE11" s="2235"/>
      <c r="SGF11" s="2235"/>
      <c r="SGG11" s="2235"/>
      <c r="SGH11" s="2235"/>
      <c r="SGI11" s="2235"/>
      <c r="SGJ11" s="2235"/>
      <c r="SGK11" s="2235"/>
      <c r="SGL11" s="2235"/>
      <c r="SGM11" s="2235"/>
      <c r="SGN11" s="2235"/>
      <c r="SGO11" s="2235"/>
      <c r="SGP11" s="2235"/>
      <c r="SGQ11" s="2235"/>
      <c r="SGR11" s="2235"/>
      <c r="SGS11" s="2235"/>
      <c r="SGT11" s="2235"/>
      <c r="SGU11" s="2235"/>
      <c r="SGV11" s="2235"/>
      <c r="SGW11" s="2235"/>
      <c r="SGX11" s="2235"/>
      <c r="SGY11" s="2235"/>
      <c r="SGZ11" s="2235"/>
      <c r="SHA11" s="2235"/>
      <c r="SHB11" s="2235"/>
      <c r="SHC11" s="2235"/>
      <c r="SHD11" s="2235"/>
      <c r="SHE11" s="2235"/>
      <c r="SHF11" s="2235"/>
      <c r="SHG11" s="2235"/>
      <c r="SHH11" s="2235"/>
      <c r="SHI11" s="2235"/>
      <c r="SHJ11" s="2235"/>
      <c r="SHK11" s="2235"/>
      <c r="SHL11" s="2235"/>
      <c r="SHM11" s="2235"/>
      <c r="SHN11" s="2235"/>
      <c r="SHO11" s="2235"/>
      <c r="SHP11" s="2235"/>
      <c r="SHQ11" s="2235"/>
      <c r="SHR11" s="2235"/>
      <c r="SHS11" s="2235"/>
      <c r="SHT11" s="2235"/>
      <c r="SHU11" s="2235"/>
      <c r="SHV11" s="2235"/>
      <c r="SHW11" s="2235"/>
      <c r="SHX11" s="2235"/>
      <c r="SHY11" s="2235"/>
      <c r="SHZ11" s="2235"/>
      <c r="SIA11" s="2235"/>
      <c r="SIB11" s="2235"/>
      <c r="SIC11" s="2235"/>
      <c r="SID11" s="2235"/>
      <c r="SIE11" s="2235"/>
      <c r="SIF11" s="2235"/>
      <c r="SIG11" s="2235"/>
      <c r="SIH11" s="2235"/>
      <c r="SII11" s="2235"/>
      <c r="SIJ11" s="2235"/>
      <c r="SIK11" s="2235"/>
      <c r="SIL11" s="2235"/>
      <c r="SIM11" s="2235"/>
      <c r="SIN11" s="2235"/>
      <c r="SIO11" s="2235"/>
      <c r="SIP11" s="2235"/>
      <c r="SIQ11" s="2235"/>
      <c r="SIR11" s="2235"/>
      <c r="SIS11" s="2235"/>
      <c r="SIT11" s="2235"/>
      <c r="SIU11" s="2235"/>
      <c r="SIV11" s="2235"/>
      <c r="SIW11" s="2235"/>
      <c r="SIX11" s="2235"/>
      <c r="SIY11" s="2235"/>
      <c r="SIZ11" s="2235"/>
      <c r="SJA11" s="2235"/>
      <c r="SJB11" s="2235"/>
      <c r="SJC11" s="2235"/>
      <c r="SJD11" s="2235"/>
      <c r="SJE11" s="2235"/>
      <c r="SJF11" s="2235"/>
      <c r="SJG11" s="2235"/>
      <c r="SJH11" s="2235"/>
      <c r="SJI11" s="2235"/>
      <c r="SJJ11" s="2235"/>
      <c r="SJK11" s="2235"/>
      <c r="SJL11" s="2235"/>
      <c r="SJM11" s="2235"/>
      <c r="SJN11" s="2235"/>
      <c r="SJO11" s="2235"/>
      <c r="SJP11" s="2235"/>
      <c r="SJQ11" s="2235"/>
      <c r="SJR11" s="2235"/>
      <c r="SJS11" s="2235"/>
      <c r="SJT11" s="2235"/>
      <c r="SJU11" s="2235"/>
      <c r="SJV11" s="2235"/>
      <c r="SJW11" s="2235"/>
      <c r="SJX11" s="2235"/>
      <c r="SJY11" s="2235"/>
      <c r="SJZ11" s="2235"/>
      <c r="SKA11" s="2235"/>
      <c r="SKB11" s="2235"/>
      <c r="SKC11" s="2235"/>
      <c r="SKD11" s="2235"/>
      <c r="SKE11" s="2235"/>
      <c r="SKF11" s="2235"/>
      <c r="SKG11" s="2235"/>
      <c r="SKH11" s="2235"/>
      <c r="SKI11" s="2235"/>
      <c r="SKJ11" s="2235"/>
      <c r="SKK11" s="2235"/>
      <c r="SKL11" s="2235"/>
      <c r="SKM11" s="2235"/>
      <c r="SKN11" s="2235"/>
      <c r="SKO11" s="2235"/>
      <c r="SKP11" s="2235"/>
      <c r="SKQ11" s="2235"/>
      <c r="SKR11" s="2235"/>
      <c r="SKS11" s="2235"/>
      <c r="SKT11" s="2235"/>
      <c r="SKU11" s="2235"/>
      <c r="SKV11" s="2235"/>
      <c r="SKW11" s="2235"/>
      <c r="SKX11" s="2235"/>
      <c r="SKY11" s="2235"/>
      <c r="SKZ11" s="2235"/>
      <c r="SLA11" s="2235"/>
      <c r="SLB11" s="2235"/>
      <c r="SLC11" s="2235"/>
      <c r="SLD11" s="2235"/>
      <c r="SLE11" s="2235"/>
      <c r="SLF11" s="2235"/>
      <c r="SLG11" s="2235"/>
      <c r="SLH11" s="2235"/>
      <c r="SLI11" s="2235"/>
      <c r="SLJ11" s="2235"/>
      <c r="SLK11" s="2235"/>
      <c r="SLL11" s="2235"/>
      <c r="SLM11" s="2235"/>
      <c r="SLN11" s="2235"/>
      <c r="SLO11" s="2235"/>
      <c r="SLP11" s="2235"/>
      <c r="SLQ11" s="2235"/>
      <c r="SLR11" s="2235"/>
      <c r="SLS11" s="2235"/>
      <c r="SLT11" s="2235"/>
      <c r="SLU11" s="2235"/>
      <c r="SLV11" s="2235"/>
      <c r="SLW11" s="2235"/>
      <c r="SLX11" s="2235"/>
      <c r="SLY11" s="2235"/>
      <c r="SLZ11" s="2235"/>
      <c r="SMA11" s="2235"/>
      <c r="SMB11" s="2235"/>
      <c r="SMC11" s="2235"/>
      <c r="SMD11" s="2235"/>
      <c r="SME11" s="2235"/>
      <c r="SMF11" s="2235"/>
      <c r="SMG11" s="2235"/>
      <c r="SMH11" s="2235"/>
      <c r="SMI11" s="2235"/>
      <c r="SMJ11" s="2235"/>
      <c r="SMK11" s="2235"/>
      <c r="SML11" s="2235"/>
      <c r="SMM11" s="2235"/>
      <c r="SMN11" s="2235"/>
      <c r="SMO11" s="2235"/>
      <c r="SMP11" s="2235"/>
      <c r="SMQ11" s="2235"/>
      <c r="SMR11" s="2235"/>
      <c r="SMS11" s="2235"/>
      <c r="SMT11" s="2235"/>
      <c r="SMU11" s="2235"/>
      <c r="SMV11" s="2235"/>
      <c r="SMW11" s="2235"/>
      <c r="SMX11" s="2235"/>
      <c r="SMY11" s="2235"/>
      <c r="SMZ11" s="2235"/>
      <c r="SNA11" s="2235"/>
      <c r="SNB11" s="2235"/>
      <c r="SNC11" s="2235"/>
      <c r="SND11" s="2235"/>
      <c r="SNE11" s="2235"/>
      <c r="SNF11" s="2235"/>
      <c r="SNG11" s="2235"/>
      <c r="SNH11" s="2235"/>
      <c r="SNI11" s="2235"/>
      <c r="SNJ11" s="2235"/>
      <c r="SNK11" s="2235"/>
      <c r="SNL11" s="2235"/>
      <c r="SNM11" s="2235"/>
      <c r="SNN11" s="2235"/>
      <c r="SNO11" s="2235"/>
      <c r="SNP11" s="2235"/>
      <c r="SNQ11" s="2235"/>
      <c r="SNR11" s="2235"/>
      <c r="SNS11" s="2235"/>
      <c r="SNT11" s="2235"/>
      <c r="SNU11" s="2235"/>
      <c r="SNV11" s="2235"/>
      <c r="SNW11" s="2235"/>
      <c r="SNX11" s="2235"/>
      <c r="SNY11" s="2235"/>
      <c r="SNZ11" s="2235"/>
      <c r="SOA11" s="2235"/>
      <c r="SOB11" s="2235"/>
      <c r="SOC11" s="2235"/>
      <c r="SOD11" s="2235"/>
      <c r="SOE11" s="2235"/>
      <c r="SOF11" s="2235"/>
      <c r="SOG11" s="2235"/>
      <c r="SOH11" s="2235"/>
      <c r="SOI11" s="2235"/>
      <c r="SOJ11" s="2235"/>
      <c r="SOK11" s="2235"/>
      <c r="SOL11" s="2235"/>
      <c r="SOM11" s="2235"/>
      <c r="SON11" s="2235"/>
      <c r="SOO11" s="2235"/>
      <c r="SOP11" s="2235"/>
      <c r="SOQ11" s="2235"/>
      <c r="SOR11" s="2235"/>
      <c r="SOS11" s="2235"/>
      <c r="SOT11" s="2235"/>
      <c r="SOU11" s="2235"/>
      <c r="SOV11" s="2235"/>
      <c r="SOW11" s="2235"/>
      <c r="SOX11" s="2235"/>
      <c r="SOY11" s="2235"/>
      <c r="SOZ11" s="2235"/>
      <c r="SPA11" s="2235"/>
      <c r="SPB11" s="2235"/>
      <c r="SPC11" s="2235"/>
      <c r="SPD11" s="2235"/>
      <c r="SPE11" s="2235"/>
      <c r="SPF11" s="2235"/>
      <c r="SPG11" s="2235"/>
      <c r="SPH11" s="2235"/>
      <c r="SPI11" s="2235"/>
      <c r="SPJ11" s="2235"/>
      <c r="SPK11" s="2235"/>
      <c r="SPL11" s="2235"/>
      <c r="SPM11" s="2235"/>
      <c r="SPN11" s="2235"/>
      <c r="SPO11" s="2235"/>
      <c r="SPP11" s="2235"/>
      <c r="SPQ11" s="2235"/>
      <c r="SPR11" s="2235"/>
      <c r="SPS11" s="2235"/>
      <c r="SPT11" s="2235"/>
      <c r="SPU11" s="2235"/>
      <c r="SPV11" s="2235"/>
      <c r="SPW11" s="2235"/>
      <c r="SPX11" s="2235"/>
      <c r="SPY11" s="2235"/>
      <c r="SPZ11" s="2235"/>
      <c r="SQA11" s="2235"/>
      <c r="SQB11" s="2235"/>
      <c r="SQC11" s="2235"/>
      <c r="SQD11" s="2235"/>
      <c r="SQE11" s="2235"/>
      <c r="SQF11" s="2235"/>
      <c r="SQG11" s="2235"/>
      <c r="SQH11" s="2235"/>
      <c r="SQI11" s="2235"/>
      <c r="SQJ11" s="2235"/>
      <c r="SQK11" s="2235"/>
      <c r="SQL11" s="2235"/>
      <c r="SQM11" s="2235"/>
      <c r="SQN11" s="2235"/>
      <c r="SQO11" s="2235"/>
      <c r="SQP11" s="2235"/>
      <c r="SQQ11" s="2235"/>
      <c r="SQR11" s="2235"/>
      <c r="SQS11" s="2235"/>
      <c r="SQT11" s="2235"/>
      <c r="SQU11" s="2235"/>
      <c r="SQV11" s="2235"/>
      <c r="SQW11" s="2235"/>
      <c r="SQX11" s="2235"/>
      <c r="SQY11" s="2235"/>
      <c r="SQZ11" s="2235"/>
      <c r="SRA11" s="2235"/>
      <c r="SRB11" s="2235"/>
      <c r="SRC11" s="2235"/>
      <c r="SRD11" s="2235"/>
      <c r="SRE11" s="2235"/>
      <c r="SRF11" s="2235"/>
      <c r="SRG11" s="2235"/>
      <c r="SRH11" s="2235"/>
      <c r="SRI11" s="2235"/>
      <c r="SRJ11" s="2235"/>
      <c r="SRK11" s="2235"/>
      <c r="SRL11" s="2235"/>
      <c r="SRM11" s="2235"/>
      <c r="SRN11" s="2235"/>
      <c r="SRO11" s="2235"/>
      <c r="SRP11" s="2235"/>
      <c r="SRQ11" s="2235"/>
      <c r="SRR11" s="2235"/>
      <c r="SRS11" s="2235"/>
      <c r="SRT11" s="2235"/>
      <c r="SRU11" s="2235"/>
      <c r="SRV11" s="2235"/>
      <c r="SRW11" s="2235"/>
      <c r="SRX11" s="2235"/>
      <c r="SRY11" s="2235"/>
      <c r="SRZ11" s="2235"/>
      <c r="SSA11" s="2235"/>
      <c r="SSB11" s="2235"/>
      <c r="SSC11" s="2235"/>
      <c r="SSD11" s="2235"/>
      <c r="SSE11" s="2235"/>
      <c r="SSF11" s="2235"/>
      <c r="SSG11" s="2235"/>
      <c r="SSH11" s="2235"/>
      <c r="SSI11" s="2235"/>
      <c r="SSJ11" s="2235"/>
      <c r="SSK11" s="2235"/>
      <c r="SSL11" s="2235"/>
      <c r="SSM11" s="2235"/>
      <c r="SSN11" s="2235"/>
      <c r="SSO11" s="2235"/>
      <c r="SSP11" s="2235"/>
      <c r="SSQ11" s="2235"/>
      <c r="SSR11" s="2235"/>
      <c r="SSS11" s="2235"/>
      <c r="SST11" s="2235"/>
      <c r="SSU11" s="2235"/>
      <c r="SSV11" s="2235"/>
      <c r="SSW11" s="2235"/>
      <c r="SSX11" s="2235"/>
      <c r="SSY11" s="2235"/>
      <c r="SSZ11" s="2235"/>
      <c r="STA11" s="2235"/>
      <c r="STB11" s="2235"/>
      <c r="STC11" s="2235"/>
      <c r="STD11" s="2235"/>
      <c r="STE11" s="2235"/>
      <c r="STF11" s="2235"/>
      <c r="STG11" s="2235"/>
      <c r="STH11" s="2235"/>
      <c r="STI11" s="2235"/>
      <c r="STJ11" s="2235"/>
      <c r="STK11" s="2235"/>
      <c r="STL11" s="2235"/>
      <c r="STM11" s="2235"/>
      <c r="STN11" s="2235"/>
      <c r="STO11" s="2235"/>
      <c r="STP11" s="2235"/>
      <c r="STQ11" s="2235"/>
      <c r="STR11" s="2235"/>
      <c r="STS11" s="2235"/>
      <c r="STT11" s="2235"/>
      <c r="STU11" s="2235"/>
      <c r="STV11" s="2235"/>
      <c r="STW11" s="2235"/>
      <c r="STX11" s="2235"/>
      <c r="STY11" s="2235"/>
      <c r="STZ11" s="2235"/>
      <c r="SUA11" s="2235"/>
      <c r="SUB11" s="2235"/>
      <c r="SUC11" s="2235"/>
      <c r="SUD11" s="2235"/>
      <c r="SUE11" s="2235"/>
      <c r="SUF11" s="2235"/>
      <c r="SUG11" s="2235"/>
      <c r="SUH11" s="2235"/>
      <c r="SUI11" s="2235"/>
      <c r="SUJ11" s="2235"/>
      <c r="SUK11" s="2235"/>
      <c r="SUL11" s="2235"/>
      <c r="SUM11" s="2235"/>
      <c r="SUN11" s="2235"/>
      <c r="SUO11" s="2235"/>
      <c r="SUP11" s="2235"/>
      <c r="SUQ11" s="2235"/>
      <c r="SUR11" s="2235"/>
      <c r="SUS11" s="2235"/>
      <c r="SUT11" s="2235"/>
      <c r="SUU11" s="2235"/>
      <c r="SUV11" s="2235"/>
      <c r="SUW11" s="2235"/>
      <c r="SUX11" s="2235"/>
      <c r="SUY11" s="2235"/>
      <c r="SUZ11" s="2235"/>
      <c r="SVA11" s="2235"/>
      <c r="SVB11" s="2235"/>
      <c r="SVC11" s="2235"/>
      <c r="SVD11" s="2235"/>
      <c r="SVE11" s="2235"/>
      <c r="SVF11" s="2235"/>
      <c r="SVG11" s="2235"/>
      <c r="SVH11" s="2235"/>
      <c r="SVI11" s="2235"/>
      <c r="SVJ11" s="2235"/>
      <c r="SVK11" s="2235"/>
      <c r="SVL11" s="2235"/>
      <c r="SVM11" s="2235"/>
      <c r="SVN11" s="2235"/>
      <c r="SVO11" s="2235"/>
      <c r="SVP11" s="2235"/>
      <c r="SVQ11" s="2235"/>
      <c r="SVR11" s="2235"/>
      <c r="SVS11" s="2235"/>
      <c r="SVT11" s="2235"/>
      <c r="SVU11" s="2235"/>
      <c r="SVV11" s="2235"/>
      <c r="SVW11" s="2235"/>
      <c r="SVX11" s="2235"/>
      <c r="SVY11" s="2235"/>
      <c r="SVZ11" s="2235"/>
      <c r="SWA11" s="2235"/>
      <c r="SWB11" s="2235"/>
      <c r="SWC11" s="2235"/>
      <c r="SWD11" s="2235"/>
      <c r="SWE11" s="2235"/>
      <c r="SWF11" s="2235"/>
      <c r="SWG11" s="2235"/>
      <c r="SWH11" s="2235"/>
      <c r="SWI11" s="2235"/>
      <c r="SWJ11" s="2235"/>
      <c r="SWK11" s="2235"/>
      <c r="SWL11" s="2235"/>
      <c r="SWM11" s="2235"/>
      <c r="SWN11" s="2235"/>
      <c r="SWO11" s="2235"/>
      <c r="SWP11" s="2235"/>
      <c r="SWQ11" s="2235"/>
      <c r="SWR11" s="2235"/>
      <c r="SWS11" s="2235"/>
      <c r="SWT11" s="2235"/>
      <c r="SWU11" s="2235"/>
      <c r="SWV11" s="2235"/>
      <c r="SWW11" s="2235"/>
      <c r="SWX11" s="2235"/>
      <c r="SWY11" s="2235"/>
      <c r="SWZ11" s="2235"/>
      <c r="SXA11" s="2235"/>
      <c r="SXB11" s="2235"/>
      <c r="SXC11" s="2235"/>
      <c r="SXD11" s="2235"/>
      <c r="SXE11" s="2235"/>
      <c r="SXF11" s="2235"/>
      <c r="SXG11" s="2235"/>
      <c r="SXH11" s="2235"/>
      <c r="SXI11" s="2235"/>
      <c r="SXJ11" s="2235"/>
      <c r="SXK11" s="2235"/>
      <c r="SXL11" s="2235"/>
      <c r="SXM11" s="2235"/>
      <c r="SXN11" s="2235"/>
      <c r="SXO11" s="2235"/>
      <c r="SXP11" s="2235"/>
      <c r="SXQ11" s="2235"/>
      <c r="SXR11" s="2235"/>
      <c r="SXS11" s="2235"/>
      <c r="SXT11" s="2235"/>
      <c r="SXU11" s="2235"/>
      <c r="SXV11" s="2235"/>
      <c r="SXW11" s="2235"/>
      <c r="SXX11" s="2235"/>
      <c r="SXY11" s="2235"/>
      <c r="SXZ11" s="2235"/>
      <c r="SYA11" s="2235"/>
      <c r="SYB11" s="2235"/>
      <c r="SYC11" s="2235"/>
      <c r="SYD11" s="2235"/>
      <c r="SYE11" s="2235"/>
      <c r="SYF11" s="2235"/>
      <c r="SYG11" s="2235"/>
      <c r="SYH11" s="2235"/>
      <c r="SYI11" s="2235"/>
      <c r="SYJ11" s="2235"/>
      <c r="SYK11" s="2235"/>
      <c r="SYL11" s="2235"/>
      <c r="SYM11" s="2235"/>
      <c r="SYN11" s="2235"/>
      <c r="SYO11" s="2235"/>
      <c r="SYP11" s="2235"/>
      <c r="SYQ11" s="2235"/>
      <c r="SYR11" s="2235"/>
      <c r="SYS11" s="2235"/>
      <c r="SYT11" s="2235"/>
      <c r="SYU11" s="2235"/>
      <c r="SYV11" s="2235"/>
      <c r="SYW11" s="2235"/>
      <c r="SYX11" s="2235"/>
      <c r="SYY11" s="2235"/>
      <c r="SYZ11" s="2235"/>
      <c r="SZA11" s="2235"/>
      <c r="SZB11" s="2235"/>
      <c r="SZC11" s="2235"/>
      <c r="SZD11" s="2235"/>
      <c r="SZE11" s="2235"/>
      <c r="SZF11" s="2235"/>
      <c r="SZG11" s="2235"/>
      <c r="SZH11" s="2235"/>
      <c r="SZI11" s="2235"/>
      <c r="SZJ11" s="2235"/>
      <c r="SZK11" s="2235"/>
      <c r="SZL11" s="2235"/>
      <c r="SZM11" s="2235"/>
      <c r="SZN11" s="2235"/>
      <c r="SZO11" s="2235"/>
      <c r="SZP11" s="2235"/>
      <c r="SZQ11" s="2235"/>
      <c r="SZR11" s="2235"/>
      <c r="SZS11" s="2235"/>
      <c r="SZT11" s="2235"/>
      <c r="SZU11" s="2235"/>
      <c r="SZV11" s="2235"/>
      <c r="SZW11" s="2235"/>
      <c r="SZX11" s="2235"/>
      <c r="SZY11" s="2235"/>
      <c r="SZZ11" s="2235"/>
      <c r="TAA11" s="2235"/>
      <c r="TAB11" s="2235"/>
      <c r="TAC11" s="2235"/>
      <c r="TAD11" s="2235"/>
      <c r="TAE11" s="2235"/>
      <c r="TAF11" s="2235"/>
      <c r="TAG11" s="2235"/>
      <c r="TAH11" s="2235"/>
      <c r="TAI11" s="2235"/>
      <c r="TAJ11" s="2235"/>
      <c r="TAK11" s="2235"/>
      <c r="TAL11" s="2235"/>
      <c r="TAM11" s="2235"/>
      <c r="TAN11" s="2235"/>
      <c r="TAO11" s="2235"/>
      <c r="TAP11" s="2235"/>
      <c r="TAQ11" s="2235"/>
      <c r="TAR11" s="2235"/>
      <c r="TAS11" s="2235"/>
      <c r="TAT11" s="2235"/>
      <c r="TAU11" s="2235"/>
      <c r="TAV11" s="2235"/>
      <c r="TAW11" s="2235"/>
      <c r="TAX11" s="2235"/>
      <c r="TAY11" s="2235"/>
      <c r="TAZ11" s="2235"/>
      <c r="TBA11" s="2235"/>
      <c r="TBB11" s="2235"/>
      <c r="TBC11" s="2235"/>
      <c r="TBD11" s="2235"/>
      <c r="TBE11" s="2235"/>
      <c r="TBF11" s="2235"/>
      <c r="TBG11" s="2235"/>
      <c r="TBH11" s="2235"/>
      <c r="TBI11" s="2235"/>
      <c r="TBJ11" s="2235"/>
      <c r="TBK11" s="2235"/>
      <c r="TBL11" s="2235"/>
      <c r="TBM11" s="2235"/>
      <c r="TBN11" s="2235"/>
      <c r="TBO11" s="2235"/>
      <c r="TBP11" s="2235"/>
      <c r="TBQ11" s="2235"/>
      <c r="TBR11" s="2235"/>
      <c r="TBS11" s="2235"/>
      <c r="TBT11" s="2235"/>
      <c r="TBU11" s="2235"/>
      <c r="TBV11" s="2235"/>
      <c r="TBW11" s="2235"/>
      <c r="TBX11" s="2235"/>
      <c r="TBY11" s="2235"/>
      <c r="TBZ11" s="2235"/>
      <c r="TCA11" s="2235"/>
      <c r="TCB11" s="2235"/>
      <c r="TCC11" s="2235"/>
      <c r="TCD11" s="2235"/>
      <c r="TCE11" s="2235"/>
      <c r="TCF11" s="2235"/>
      <c r="TCG11" s="2235"/>
      <c r="TCH11" s="2235"/>
      <c r="TCI11" s="2235"/>
      <c r="TCJ11" s="2235"/>
      <c r="TCK11" s="2235"/>
      <c r="TCL11" s="2235"/>
      <c r="TCM11" s="2235"/>
      <c r="TCN11" s="2235"/>
      <c r="TCO11" s="2235"/>
      <c r="TCP11" s="2235"/>
      <c r="TCQ11" s="2235"/>
      <c r="TCR11" s="2235"/>
      <c r="TCS11" s="2235"/>
      <c r="TCT11" s="2235"/>
      <c r="TCU11" s="2235"/>
      <c r="TCV11" s="2235"/>
      <c r="TCW11" s="2235"/>
      <c r="TCX11" s="2235"/>
      <c r="TCY11" s="2235"/>
      <c r="TCZ11" s="2235"/>
      <c r="TDA11" s="2235"/>
      <c r="TDB11" s="2235"/>
      <c r="TDC11" s="2235"/>
      <c r="TDD11" s="2235"/>
      <c r="TDE11" s="2235"/>
      <c r="TDF11" s="2235"/>
      <c r="TDG11" s="2235"/>
      <c r="TDH11" s="2235"/>
      <c r="TDI11" s="2235"/>
      <c r="TDJ11" s="2235"/>
      <c r="TDK11" s="2235"/>
      <c r="TDL11" s="2235"/>
      <c r="TDM11" s="2235"/>
      <c r="TDN11" s="2235"/>
      <c r="TDO11" s="2235"/>
      <c r="TDP11" s="2235"/>
      <c r="TDQ11" s="2235"/>
      <c r="TDR11" s="2235"/>
      <c r="TDS11" s="2235"/>
      <c r="TDT11" s="2235"/>
      <c r="TDU11" s="2235"/>
      <c r="TDV11" s="2235"/>
      <c r="TDW11" s="2235"/>
      <c r="TDX11" s="2235"/>
      <c r="TDY11" s="2235"/>
      <c r="TDZ11" s="2235"/>
      <c r="TEA11" s="2235"/>
      <c r="TEB11" s="2235"/>
      <c r="TEC11" s="2235"/>
      <c r="TED11" s="2235"/>
      <c r="TEE11" s="2235"/>
      <c r="TEF11" s="2235"/>
      <c r="TEG11" s="2235"/>
      <c r="TEH11" s="2235"/>
      <c r="TEI11" s="2235"/>
      <c r="TEJ11" s="2235"/>
      <c r="TEK11" s="2235"/>
      <c r="TEL11" s="2235"/>
      <c r="TEM11" s="2235"/>
      <c r="TEN11" s="2235"/>
      <c r="TEO11" s="2235"/>
      <c r="TEP11" s="2235"/>
      <c r="TEQ11" s="2235"/>
      <c r="TER11" s="2235"/>
      <c r="TES11" s="2235"/>
      <c r="TET11" s="2235"/>
      <c r="TEU11" s="2235"/>
      <c r="TEV11" s="2235"/>
      <c r="TEW11" s="2235"/>
      <c r="TEX11" s="2235"/>
      <c r="TEY11" s="2235"/>
      <c r="TEZ11" s="2235"/>
      <c r="TFA11" s="2235"/>
      <c r="TFB11" s="2235"/>
      <c r="TFC11" s="2235"/>
      <c r="TFD11" s="2235"/>
      <c r="TFE11" s="2235"/>
      <c r="TFF11" s="2235"/>
      <c r="TFG11" s="2235"/>
      <c r="TFH11" s="2235"/>
      <c r="TFI11" s="2235"/>
      <c r="TFJ11" s="2235"/>
      <c r="TFK11" s="2235"/>
      <c r="TFL11" s="2235"/>
      <c r="TFM11" s="2235"/>
      <c r="TFN11" s="2235"/>
      <c r="TFO11" s="2235"/>
      <c r="TFP11" s="2235"/>
      <c r="TFQ11" s="2235"/>
      <c r="TFR11" s="2235"/>
      <c r="TFS11" s="2235"/>
      <c r="TFT11" s="2235"/>
      <c r="TFU11" s="2235"/>
      <c r="TFV11" s="2235"/>
      <c r="TFW11" s="2235"/>
      <c r="TFX11" s="2235"/>
      <c r="TFY11" s="2235"/>
      <c r="TFZ11" s="2235"/>
      <c r="TGA11" s="2235"/>
      <c r="TGB11" s="2235"/>
      <c r="TGC11" s="2235"/>
      <c r="TGD11" s="2235"/>
      <c r="TGE11" s="2235"/>
      <c r="TGF11" s="2235"/>
      <c r="TGG11" s="2235"/>
      <c r="TGH11" s="2235"/>
      <c r="TGI11" s="2235"/>
      <c r="TGJ11" s="2235"/>
      <c r="TGK11" s="2235"/>
      <c r="TGL11" s="2235"/>
      <c r="TGM11" s="2235"/>
      <c r="TGN11" s="2235"/>
      <c r="TGO11" s="2235"/>
      <c r="TGP11" s="2235"/>
      <c r="TGQ11" s="2235"/>
      <c r="TGR11" s="2235"/>
      <c r="TGS11" s="2235"/>
      <c r="TGT11" s="2235"/>
      <c r="TGU11" s="2235"/>
      <c r="TGV11" s="2235"/>
      <c r="TGW11" s="2235"/>
      <c r="TGX11" s="2235"/>
      <c r="TGY11" s="2235"/>
      <c r="TGZ11" s="2235"/>
      <c r="THA11" s="2235"/>
      <c r="THB11" s="2235"/>
      <c r="THC11" s="2235"/>
      <c r="THD11" s="2235"/>
      <c r="THE11" s="2235"/>
      <c r="THF11" s="2235"/>
      <c r="THG11" s="2235"/>
      <c r="THH11" s="2235"/>
      <c r="THI11" s="2235"/>
      <c r="THJ11" s="2235"/>
      <c r="THK11" s="2235"/>
      <c r="THL11" s="2235"/>
      <c r="THM11" s="2235"/>
      <c r="THN11" s="2235"/>
      <c r="THO11" s="2235"/>
      <c r="THP11" s="2235"/>
      <c r="THQ11" s="2235"/>
      <c r="THR11" s="2235"/>
      <c r="THS11" s="2235"/>
      <c r="THT11" s="2235"/>
      <c r="THU11" s="2235"/>
      <c r="THV11" s="2235"/>
      <c r="THW11" s="2235"/>
      <c r="THX11" s="2235"/>
      <c r="THY11" s="2235"/>
      <c r="THZ11" s="2235"/>
      <c r="TIA11" s="2235"/>
      <c r="TIB11" s="2235"/>
      <c r="TIC11" s="2235"/>
      <c r="TID11" s="2235"/>
      <c r="TIE11" s="2235"/>
      <c r="TIF11" s="2235"/>
      <c r="TIG11" s="2235"/>
      <c r="TIH11" s="2235"/>
      <c r="TII11" s="2235"/>
      <c r="TIJ11" s="2235"/>
      <c r="TIK11" s="2235"/>
      <c r="TIL11" s="2235"/>
      <c r="TIM11" s="2235"/>
      <c r="TIN11" s="2235"/>
      <c r="TIO11" s="2235"/>
      <c r="TIP11" s="2235"/>
      <c r="TIQ11" s="2235"/>
      <c r="TIR11" s="2235"/>
      <c r="TIS11" s="2235"/>
      <c r="TIT11" s="2235"/>
      <c r="TIU11" s="2235"/>
      <c r="TIV11" s="2235"/>
      <c r="TIW11" s="2235"/>
      <c r="TIX11" s="2235"/>
      <c r="TIY11" s="2235"/>
      <c r="TIZ11" s="2235"/>
      <c r="TJA11" s="2235"/>
      <c r="TJB11" s="2235"/>
      <c r="TJC11" s="2235"/>
      <c r="TJD11" s="2235"/>
      <c r="TJE11" s="2235"/>
      <c r="TJF11" s="2235"/>
      <c r="TJG11" s="2235"/>
      <c r="TJH11" s="2235"/>
      <c r="TJI11" s="2235"/>
      <c r="TJJ11" s="2235"/>
      <c r="TJK11" s="2235"/>
      <c r="TJL11" s="2235"/>
      <c r="TJM11" s="2235"/>
      <c r="TJN11" s="2235"/>
      <c r="TJO11" s="2235"/>
      <c r="TJP11" s="2235"/>
      <c r="TJQ11" s="2235"/>
      <c r="TJR11" s="2235"/>
      <c r="TJS11" s="2235"/>
      <c r="TJT11" s="2235"/>
      <c r="TJU11" s="2235"/>
      <c r="TJV11" s="2235"/>
      <c r="TJW11" s="2235"/>
      <c r="TJX11" s="2235"/>
      <c r="TJY11" s="2235"/>
      <c r="TJZ11" s="2235"/>
      <c r="TKA11" s="2235"/>
      <c r="TKB11" s="2235"/>
      <c r="TKC11" s="2235"/>
      <c r="TKD11" s="2235"/>
      <c r="TKE11" s="2235"/>
      <c r="TKF11" s="2235"/>
      <c r="TKG11" s="2235"/>
      <c r="TKH11" s="2235"/>
      <c r="TKI11" s="2235"/>
      <c r="TKJ11" s="2235"/>
      <c r="TKK11" s="2235"/>
      <c r="TKL11" s="2235"/>
      <c r="TKM11" s="2235"/>
      <c r="TKN11" s="2235"/>
      <c r="TKO11" s="2235"/>
      <c r="TKP11" s="2235"/>
      <c r="TKQ11" s="2235"/>
      <c r="TKR11" s="2235"/>
      <c r="TKS11" s="2235"/>
      <c r="TKT11" s="2235"/>
      <c r="TKU11" s="2235"/>
      <c r="TKV11" s="2235"/>
      <c r="TKW11" s="2235"/>
      <c r="TKX11" s="2235"/>
      <c r="TKY11" s="2235"/>
      <c r="TKZ11" s="2235"/>
      <c r="TLA11" s="2235"/>
      <c r="TLB11" s="2235"/>
      <c r="TLC11" s="2235"/>
      <c r="TLD11" s="2235"/>
      <c r="TLE11" s="2235"/>
      <c r="TLF11" s="2235"/>
      <c r="TLG11" s="2235"/>
      <c r="TLH11" s="2235"/>
      <c r="TLI11" s="2235"/>
      <c r="TLJ11" s="2235"/>
      <c r="TLK11" s="2235"/>
      <c r="TLL11" s="2235"/>
      <c r="TLM11" s="2235"/>
      <c r="TLN11" s="2235"/>
      <c r="TLO11" s="2235"/>
      <c r="TLP11" s="2235"/>
      <c r="TLQ11" s="2235"/>
      <c r="TLR11" s="2235"/>
      <c r="TLS11" s="2235"/>
      <c r="TLT11" s="2235"/>
      <c r="TLU11" s="2235"/>
      <c r="TLV11" s="2235"/>
      <c r="TLW11" s="2235"/>
      <c r="TLX11" s="2235"/>
      <c r="TLY11" s="2235"/>
      <c r="TLZ11" s="2235"/>
      <c r="TMA11" s="2235"/>
      <c r="TMB11" s="2235"/>
      <c r="TMC11" s="2235"/>
      <c r="TMD11" s="2235"/>
      <c r="TME11" s="2235"/>
      <c r="TMF11" s="2235"/>
      <c r="TMG11" s="2235"/>
      <c r="TMH11" s="2235"/>
      <c r="TMI11" s="2235"/>
      <c r="TMJ11" s="2235"/>
      <c r="TMK11" s="2235"/>
      <c r="TML11" s="2235"/>
      <c r="TMM11" s="2235"/>
      <c r="TMN11" s="2235"/>
      <c r="TMO11" s="2235"/>
      <c r="TMP11" s="2235"/>
      <c r="TMQ11" s="2235"/>
      <c r="TMR11" s="2235"/>
      <c r="TMS11" s="2235"/>
      <c r="TMT11" s="2235"/>
      <c r="TMU11" s="2235"/>
      <c r="TMV11" s="2235"/>
      <c r="TMW11" s="2235"/>
      <c r="TMX11" s="2235"/>
      <c r="TMY11" s="2235"/>
      <c r="TMZ11" s="2235"/>
      <c r="TNA11" s="2235"/>
      <c r="TNB11" s="2235"/>
      <c r="TNC11" s="2235"/>
      <c r="TND11" s="2235"/>
      <c r="TNE11" s="2235"/>
      <c r="TNF11" s="2235"/>
      <c r="TNG11" s="2235"/>
      <c r="TNH11" s="2235"/>
      <c r="TNI11" s="2235"/>
      <c r="TNJ11" s="2235"/>
      <c r="TNK11" s="2235"/>
      <c r="TNL11" s="2235"/>
      <c r="TNM11" s="2235"/>
      <c r="TNN11" s="2235"/>
      <c r="TNO11" s="2235"/>
      <c r="TNP11" s="2235"/>
      <c r="TNQ11" s="2235"/>
      <c r="TNR11" s="2235"/>
      <c r="TNS11" s="2235"/>
      <c r="TNT11" s="2235"/>
      <c r="TNU11" s="2235"/>
      <c r="TNV11" s="2235"/>
      <c r="TNW11" s="2235"/>
      <c r="TNX11" s="2235"/>
      <c r="TNY11" s="2235"/>
      <c r="TNZ11" s="2235"/>
      <c r="TOA11" s="2235"/>
      <c r="TOB11" s="2235"/>
      <c r="TOC11" s="2235"/>
      <c r="TOD11" s="2235"/>
      <c r="TOE11" s="2235"/>
      <c r="TOF11" s="2235"/>
      <c r="TOG11" s="2235"/>
      <c r="TOH11" s="2235"/>
      <c r="TOI11" s="2235"/>
      <c r="TOJ11" s="2235"/>
      <c r="TOK11" s="2235"/>
      <c r="TOL11" s="2235"/>
      <c r="TOM11" s="2235"/>
      <c r="TON11" s="2235"/>
      <c r="TOO11" s="2235"/>
      <c r="TOP11" s="2235"/>
      <c r="TOQ11" s="2235"/>
      <c r="TOR11" s="2235"/>
      <c r="TOS11" s="2235"/>
      <c r="TOT11" s="2235"/>
      <c r="TOU11" s="2235"/>
      <c r="TOV11" s="2235"/>
      <c r="TOW11" s="2235"/>
      <c r="TOX11" s="2235"/>
      <c r="TOY11" s="2235"/>
      <c r="TOZ11" s="2235"/>
      <c r="TPA11" s="2235"/>
      <c r="TPB11" s="2235"/>
      <c r="TPC11" s="2235"/>
      <c r="TPD11" s="2235"/>
      <c r="TPE11" s="2235"/>
      <c r="TPF11" s="2235"/>
      <c r="TPG11" s="2235"/>
      <c r="TPH11" s="2235"/>
      <c r="TPI11" s="2235"/>
      <c r="TPJ11" s="2235"/>
      <c r="TPK11" s="2235"/>
      <c r="TPL11" s="2235"/>
      <c r="TPM11" s="2235"/>
      <c r="TPN11" s="2235"/>
      <c r="TPO11" s="2235"/>
      <c r="TPP11" s="2235"/>
      <c r="TPQ11" s="2235"/>
      <c r="TPR11" s="2235"/>
      <c r="TPS11" s="2235"/>
      <c r="TPT11" s="2235"/>
      <c r="TPU11" s="2235"/>
      <c r="TPV11" s="2235"/>
      <c r="TPW11" s="2235"/>
      <c r="TPX11" s="2235"/>
      <c r="TPY11" s="2235"/>
      <c r="TPZ11" s="2235"/>
      <c r="TQA11" s="2235"/>
      <c r="TQB11" s="2235"/>
      <c r="TQC11" s="2235"/>
      <c r="TQD11" s="2235"/>
      <c r="TQE11" s="2235"/>
      <c r="TQF11" s="2235"/>
      <c r="TQG11" s="2235"/>
      <c r="TQH11" s="2235"/>
      <c r="TQI11" s="2235"/>
      <c r="TQJ11" s="2235"/>
      <c r="TQK11" s="2235"/>
      <c r="TQL11" s="2235"/>
      <c r="TQM11" s="2235"/>
      <c r="TQN11" s="2235"/>
      <c r="TQO11" s="2235"/>
      <c r="TQP11" s="2235"/>
      <c r="TQQ11" s="2235"/>
      <c r="TQR11" s="2235"/>
      <c r="TQS11" s="2235"/>
      <c r="TQT11" s="2235"/>
      <c r="TQU11" s="2235"/>
      <c r="TQV11" s="2235"/>
      <c r="TQW11" s="2235"/>
      <c r="TQX11" s="2235"/>
      <c r="TQY11" s="2235"/>
      <c r="TQZ11" s="2235"/>
      <c r="TRA11" s="2235"/>
      <c r="TRB11" s="2235"/>
      <c r="TRC11" s="2235"/>
      <c r="TRD11" s="2235"/>
      <c r="TRE11" s="2235"/>
      <c r="TRF11" s="2235"/>
      <c r="TRG11" s="2235"/>
      <c r="TRH11" s="2235"/>
      <c r="TRI11" s="2235"/>
      <c r="TRJ11" s="2235"/>
      <c r="TRK11" s="2235"/>
      <c r="TRL11" s="2235"/>
      <c r="TRM11" s="2235"/>
      <c r="TRN11" s="2235"/>
      <c r="TRO11" s="2235"/>
      <c r="TRP11" s="2235"/>
      <c r="TRQ11" s="2235"/>
      <c r="TRR11" s="2235"/>
      <c r="TRS11" s="2235"/>
      <c r="TRT11" s="2235"/>
      <c r="TRU11" s="2235"/>
      <c r="TRV11" s="2235"/>
      <c r="TRW11" s="2235"/>
      <c r="TRX11" s="2235"/>
      <c r="TRY11" s="2235"/>
      <c r="TRZ11" s="2235"/>
      <c r="TSA11" s="2235"/>
      <c r="TSB11" s="2235"/>
      <c r="TSC11" s="2235"/>
      <c r="TSD11" s="2235"/>
      <c r="TSE11" s="2235"/>
      <c r="TSF11" s="2235"/>
      <c r="TSG11" s="2235"/>
      <c r="TSH11" s="2235"/>
      <c r="TSI11" s="2235"/>
      <c r="TSJ11" s="2235"/>
      <c r="TSK11" s="2235"/>
      <c r="TSL11" s="2235"/>
      <c r="TSM11" s="2235"/>
      <c r="TSN11" s="2235"/>
      <c r="TSO11" s="2235"/>
      <c r="TSP11" s="2235"/>
      <c r="TSQ11" s="2235"/>
      <c r="TSR11" s="2235"/>
      <c r="TSS11" s="2235"/>
      <c r="TST11" s="2235"/>
      <c r="TSU11" s="2235"/>
      <c r="TSV11" s="2235"/>
      <c r="TSW11" s="2235"/>
      <c r="TSX11" s="2235"/>
      <c r="TSY11" s="2235"/>
      <c r="TSZ11" s="2235"/>
      <c r="TTA11" s="2235"/>
      <c r="TTB11" s="2235"/>
      <c r="TTC11" s="2235"/>
      <c r="TTD11" s="2235"/>
      <c r="TTE11" s="2235"/>
      <c r="TTF11" s="2235"/>
      <c r="TTG11" s="2235"/>
      <c r="TTH11" s="2235"/>
      <c r="TTI11" s="2235"/>
      <c r="TTJ11" s="2235"/>
      <c r="TTK11" s="2235"/>
      <c r="TTL11" s="2235"/>
      <c r="TTM11" s="2235"/>
      <c r="TTN11" s="2235"/>
      <c r="TTO11" s="2235"/>
      <c r="TTP11" s="2235"/>
      <c r="TTQ11" s="2235"/>
      <c r="TTR11" s="2235"/>
      <c r="TTS11" s="2235"/>
      <c r="TTT11" s="2235"/>
      <c r="TTU11" s="2235"/>
      <c r="TTV11" s="2235"/>
      <c r="TTW11" s="2235"/>
      <c r="TTX11" s="2235"/>
      <c r="TTY11" s="2235"/>
      <c r="TTZ11" s="2235"/>
      <c r="TUA11" s="2235"/>
      <c r="TUB11" s="2235"/>
      <c r="TUC11" s="2235"/>
      <c r="TUD11" s="2235"/>
      <c r="TUE11" s="2235"/>
      <c r="TUF11" s="2235"/>
      <c r="TUG11" s="2235"/>
      <c r="TUH11" s="2235"/>
      <c r="TUI11" s="2235"/>
      <c r="TUJ11" s="2235"/>
      <c r="TUK11" s="2235"/>
      <c r="TUL11" s="2235"/>
      <c r="TUM11" s="2235"/>
      <c r="TUN11" s="2235"/>
      <c r="TUO11" s="2235"/>
      <c r="TUP11" s="2235"/>
      <c r="TUQ11" s="2235"/>
      <c r="TUR11" s="2235"/>
      <c r="TUS11" s="2235"/>
      <c r="TUT11" s="2235"/>
      <c r="TUU11" s="2235"/>
      <c r="TUV11" s="2235"/>
      <c r="TUW11" s="2235"/>
      <c r="TUX11" s="2235"/>
      <c r="TUY11" s="2235"/>
      <c r="TUZ11" s="2235"/>
      <c r="TVA11" s="2235"/>
      <c r="TVB11" s="2235"/>
      <c r="TVC11" s="2235"/>
      <c r="TVD11" s="2235"/>
      <c r="TVE11" s="2235"/>
      <c r="TVF11" s="2235"/>
      <c r="TVG11" s="2235"/>
      <c r="TVH11" s="2235"/>
      <c r="TVI11" s="2235"/>
      <c r="TVJ11" s="2235"/>
      <c r="TVK11" s="2235"/>
      <c r="TVL11" s="2235"/>
      <c r="TVM11" s="2235"/>
      <c r="TVN11" s="2235"/>
      <c r="TVO11" s="2235"/>
      <c r="TVP11" s="2235"/>
      <c r="TVQ11" s="2235"/>
      <c r="TVR11" s="2235"/>
      <c r="TVS11" s="2235"/>
      <c r="TVT11" s="2235"/>
      <c r="TVU11" s="2235"/>
      <c r="TVV11" s="2235"/>
      <c r="TVW11" s="2235"/>
      <c r="TVX11" s="2235"/>
      <c r="TVY11" s="2235"/>
      <c r="TVZ11" s="2235"/>
      <c r="TWA11" s="2235"/>
      <c r="TWB11" s="2235"/>
      <c r="TWC11" s="2235"/>
      <c r="TWD11" s="2235"/>
      <c r="TWE11" s="2235"/>
      <c r="TWF11" s="2235"/>
      <c r="TWG11" s="2235"/>
      <c r="TWH11" s="2235"/>
      <c r="TWI11" s="2235"/>
      <c r="TWJ11" s="2235"/>
      <c r="TWK11" s="2235"/>
      <c r="TWL11" s="2235"/>
      <c r="TWM11" s="2235"/>
      <c r="TWN11" s="2235"/>
      <c r="TWO11" s="2235"/>
      <c r="TWP11" s="2235"/>
      <c r="TWQ11" s="2235"/>
      <c r="TWR11" s="2235"/>
      <c r="TWS11" s="2235"/>
      <c r="TWT11" s="2235"/>
      <c r="TWU11" s="2235"/>
      <c r="TWV11" s="2235"/>
      <c r="TWW11" s="2235"/>
      <c r="TWX11" s="2235"/>
      <c r="TWY11" s="2235"/>
      <c r="TWZ11" s="2235"/>
      <c r="TXA11" s="2235"/>
      <c r="TXB11" s="2235"/>
      <c r="TXC11" s="2235"/>
      <c r="TXD11" s="2235"/>
      <c r="TXE11" s="2235"/>
      <c r="TXF11" s="2235"/>
      <c r="TXG11" s="2235"/>
      <c r="TXH11" s="2235"/>
      <c r="TXI11" s="2235"/>
      <c r="TXJ11" s="2235"/>
      <c r="TXK11" s="2235"/>
      <c r="TXL11" s="2235"/>
      <c r="TXM11" s="2235"/>
      <c r="TXN11" s="2235"/>
      <c r="TXO11" s="2235"/>
      <c r="TXP11" s="2235"/>
      <c r="TXQ11" s="2235"/>
      <c r="TXR11" s="2235"/>
      <c r="TXS11" s="2235"/>
      <c r="TXT11" s="2235"/>
      <c r="TXU11" s="2235"/>
      <c r="TXV11" s="2235"/>
      <c r="TXW11" s="2235"/>
      <c r="TXX11" s="2235"/>
      <c r="TXY11" s="2235"/>
      <c r="TXZ11" s="2235"/>
      <c r="TYA11" s="2235"/>
      <c r="TYB11" s="2235"/>
      <c r="TYC11" s="2235"/>
      <c r="TYD11" s="2235"/>
      <c r="TYE11" s="2235"/>
      <c r="TYF11" s="2235"/>
      <c r="TYG11" s="2235"/>
      <c r="TYH11" s="2235"/>
      <c r="TYI11" s="2235"/>
      <c r="TYJ11" s="2235"/>
      <c r="TYK11" s="2235"/>
      <c r="TYL11" s="2235"/>
      <c r="TYM11" s="2235"/>
      <c r="TYN11" s="2235"/>
      <c r="TYO11" s="2235"/>
      <c r="TYP11" s="2235"/>
      <c r="TYQ11" s="2235"/>
      <c r="TYR11" s="2235"/>
      <c r="TYS11" s="2235"/>
      <c r="TYT11" s="2235"/>
      <c r="TYU11" s="2235"/>
      <c r="TYV11" s="2235"/>
      <c r="TYW11" s="2235"/>
      <c r="TYX11" s="2235"/>
      <c r="TYY11" s="2235"/>
      <c r="TYZ11" s="2235"/>
      <c r="TZA11" s="2235"/>
      <c r="TZB11" s="2235"/>
      <c r="TZC11" s="2235"/>
      <c r="TZD11" s="2235"/>
      <c r="TZE11" s="2235"/>
      <c r="TZF11" s="2235"/>
      <c r="TZG11" s="2235"/>
      <c r="TZH11" s="2235"/>
      <c r="TZI11" s="2235"/>
      <c r="TZJ11" s="2235"/>
      <c r="TZK11" s="2235"/>
      <c r="TZL11" s="2235"/>
      <c r="TZM11" s="2235"/>
      <c r="TZN11" s="2235"/>
      <c r="TZO11" s="2235"/>
      <c r="TZP11" s="2235"/>
      <c r="TZQ11" s="2235"/>
      <c r="TZR11" s="2235"/>
      <c r="TZS11" s="2235"/>
      <c r="TZT11" s="2235"/>
      <c r="TZU11" s="2235"/>
      <c r="TZV11" s="2235"/>
      <c r="TZW11" s="2235"/>
      <c r="TZX11" s="2235"/>
      <c r="TZY11" s="2235"/>
      <c r="TZZ11" s="2235"/>
      <c r="UAA11" s="2235"/>
      <c r="UAB11" s="2235"/>
      <c r="UAC11" s="2235"/>
      <c r="UAD11" s="2235"/>
      <c r="UAE11" s="2235"/>
      <c r="UAF11" s="2235"/>
      <c r="UAG11" s="2235"/>
      <c r="UAH11" s="2235"/>
      <c r="UAI11" s="2235"/>
      <c r="UAJ11" s="2235"/>
      <c r="UAK11" s="2235"/>
      <c r="UAL11" s="2235"/>
      <c r="UAM11" s="2235"/>
      <c r="UAN11" s="2235"/>
      <c r="UAO11" s="2235"/>
      <c r="UAP11" s="2235"/>
      <c r="UAQ11" s="2235"/>
      <c r="UAR11" s="2235"/>
      <c r="UAS11" s="2235"/>
      <c r="UAT11" s="2235"/>
      <c r="UAU11" s="2235"/>
      <c r="UAV11" s="2235"/>
      <c r="UAW11" s="2235"/>
      <c r="UAX11" s="2235"/>
      <c r="UAY11" s="2235"/>
      <c r="UAZ11" s="2235"/>
      <c r="UBA11" s="2235"/>
      <c r="UBB11" s="2235"/>
      <c r="UBC11" s="2235"/>
      <c r="UBD11" s="2235"/>
      <c r="UBE11" s="2235"/>
      <c r="UBF11" s="2235"/>
      <c r="UBG11" s="2235"/>
      <c r="UBH11" s="2235"/>
      <c r="UBI11" s="2235"/>
      <c r="UBJ11" s="2235"/>
      <c r="UBK11" s="2235"/>
      <c r="UBL11" s="2235"/>
      <c r="UBM11" s="2235"/>
      <c r="UBN11" s="2235"/>
      <c r="UBO11" s="2235"/>
      <c r="UBP11" s="2235"/>
      <c r="UBQ11" s="2235"/>
      <c r="UBR11" s="2235"/>
      <c r="UBS11" s="2235"/>
      <c r="UBT11" s="2235"/>
      <c r="UBU11" s="2235"/>
      <c r="UBV11" s="2235"/>
      <c r="UBW11" s="2235"/>
      <c r="UBX11" s="2235"/>
      <c r="UBY11" s="2235"/>
      <c r="UBZ11" s="2235"/>
      <c r="UCA11" s="2235"/>
      <c r="UCB11" s="2235"/>
      <c r="UCC11" s="2235"/>
      <c r="UCD11" s="2235"/>
      <c r="UCE11" s="2235"/>
      <c r="UCF11" s="2235"/>
      <c r="UCG11" s="2235"/>
      <c r="UCH11" s="2235"/>
      <c r="UCI11" s="2235"/>
      <c r="UCJ11" s="2235"/>
      <c r="UCK11" s="2235"/>
      <c r="UCL11" s="2235"/>
      <c r="UCM11" s="2235"/>
      <c r="UCN11" s="2235"/>
      <c r="UCO11" s="2235"/>
      <c r="UCP11" s="2235"/>
      <c r="UCQ11" s="2235"/>
      <c r="UCR11" s="2235"/>
      <c r="UCS11" s="2235"/>
      <c r="UCT11" s="2235"/>
      <c r="UCU11" s="2235"/>
      <c r="UCV11" s="2235"/>
      <c r="UCW11" s="2235"/>
      <c r="UCX11" s="2235"/>
      <c r="UCY11" s="2235"/>
      <c r="UCZ11" s="2235"/>
      <c r="UDA11" s="2235"/>
      <c r="UDB11" s="2235"/>
      <c r="UDC11" s="2235"/>
      <c r="UDD11" s="2235"/>
      <c r="UDE11" s="2235"/>
      <c r="UDF11" s="2235"/>
      <c r="UDG11" s="2235"/>
      <c r="UDH11" s="2235"/>
      <c r="UDI11" s="2235"/>
      <c r="UDJ11" s="2235"/>
      <c r="UDK11" s="2235"/>
      <c r="UDL11" s="2235"/>
      <c r="UDM11" s="2235"/>
      <c r="UDN11" s="2235"/>
      <c r="UDO11" s="2235"/>
      <c r="UDP11" s="2235"/>
      <c r="UDQ11" s="2235"/>
      <c r="UDR11" s="2235"/>
      <c r="UDS11" s="2235"/>
      <c r="UDT11" s="2235"/>
      <c r="UDU11" s="2235"/>
      <c r="UDV11" s="2235"/>
      <c r="UDW11" s="2235"/>
      <c r="UDX11" s="2235"/>
      <c r="UDY11" s="2235"/>
      <c r="UDZ11" s="2235"/>
      <c r="UEA11" s="2235"/>
      <c r="UEB11" s="2235"/>
      <c r="UEC11" s="2235"/>
      <c r="UED11" s="2235"/>
      <c r="UEE11" s="2235"/>
      <c r="UEF11" s="2235"/>
      <c r="UEG11" s="2235"/>
      <c r="UEH11" s="2235"/>
      <c r="UEI11" s="2235"/>
      <c r="UEJ11" s="2235"/>
      <c r="UEK11" s="2235"/>
      <c r="UEL11" s="2235"/>
      <c r="UEM11" s="2235"/>
      <c r="UEN11" s="2235"/>
      <c r="UEO11" s="2235"/>
      <c r="UEP11" s="2235"/>
      <c r="UEQ11" s="2235"/>
      <c r="UER11" s="2235"/>
      <c r="UES11" s="2235"/>
      <c r="UET11" s="2235"/>
      <c r="UEU11" s="2235"/>
      <c r="UEV11" s="2235"/>
      <c r="UEW11" s="2235"/>
      <c r="UEX11" s="2235"/>
      <c r="UEY11" s="2235"/>
      <c r="UEZ11" s="2235"/>
      <c r="UFA11" s="2235"/>
      <c r="UFB11" s="2235"/>
      <c r="UFC11" s="2235"/>
      <c r="UFD11" s="2235"/>
      <c r="UFE11" s="2235"/>
      <c r="UFF11" s="2235"/>
      <c r="UFG11" s="2235"/>
      <c r="UFH11" s="2235"/>
      <c r="UFI11" s="2235"/>
      <c r="UFJ11" s="2235"/>
      <c r="UFK11" s="2235"/>
      <c r="UFL11" s="2235"/>
      <c r="UFM11" s="2235"/>
      <c r="UFN11" s="2235"/>
      <c r="UFO11" s="2235"/>
      <c r="UFP11" s="2235"/>
      <c r="UFQ11" s="2235"/>
      <c r="UFR11" s="2235"/>
      <c r="UFS11" s="2235"/>
      <c r="UFT11" s="2235"/>
      <c r="UFU11" s="2235"/>
      <c r="UFV11" s="2235"/>
      <c r="UFW11" s="2235"/>
      <c r="UFX11" s="2235"/>
      <c r="UFY11" s="2235"/>
      <c r="UFZ11" s="2235"/>
      <c r="UGA11" s="2235"/>
      <c r="UGB11" s="2235"/>
      <c r="UGC11" s="2235"/>
      <c r="UGD11" s="2235"/>
      <c r="UGE11" s="2235"/>
      <c r="UGF11" s="2235"/>
      <c r="UGG11" s="2235"/>
      <c r="UGH11" s="2235"/>
      <c r="UGI11" s="2235"/>
      <c r="UGJ11" s="2235"/>
      <c r="UGK11" s="2235"/>
      <c r="UGL11" s="2235"/>
      <c r="UGM11" s="2235"/>
      <c r="UGN11" s="2235"/>
      <c r="UGO11" s="2235"/>
      <c r="UGP11" s="2235"/>
      <c r="UGQ11" s="2235"/>
      <c r="UGR11" s="2235"/>
      <c r="UGS11" s="2235"/>
      <c r="UGT11" s="2235"/>
      <c r="UGU11" s="2235"/>
      <c r="UGV11" s="2235"/>
      <c r="UGW11" s="2235"/>
      <c r="UGX11" s="2235"/>
      <c r="UGY11" s="2235"/>
      <c r="UGZ11" s="2235"/>
      <c r="UHA11" s="2235"/>
      <c r="UHB11" s="2235"/>
      <c r="UHC11" s="2235"/>
      <c r="UHD11" s="2235"/>
      <c r="UHE11" s="2235"/>
      <c r="UHF11" s="2235"/>
      <c r="UHG11" s="2235"/>
      <c r="UHH11" s="2235"/>
      <c r="UHI11" s="2235"/>
      <c r="UHJ11" s="2235"/>
      <c r="UHK11" s="2235"/>
      <c r="UHL11" s="2235"/>
      <c r="UHM11" s="2235"/>
      <c r="UHN11" s="2235"/>
      <c r="UHO11" s="2235"/>
      <c r="UHP11" s="2235"/>
      <c r="UHQ11" s="2235"/>
      <c r="UHR11" s="2235"/>
      <c r="UHS11" s="2235"/>
      <c r="UHT11" s="2235"/>
      <c r="UHU11" s="2235"/>
      <c r="UHV11" s="2235"/>
      <c r="UHW11" s="2235"/>
      <c r="UHX11" s="2235"/>
      <c r="UHY11" s="2235"/>
      <c r="UHZ11" s="2235"/>
      <c r="UIA11" s="2235"/>
      <c r="UIB11" s="2235"/>
      <c r="UIC11" s="2235"/>
      <c r="UID11" s="2235"/>
      <c r="UIE11" s="2235"/>
      <c r="UIF11" s="2235"/>
      <c r="UIG11" s="2235"/>
      <c r="UIH11" s="2235"/>
      <c r="UII11" s="2235"/>
      <c r="UIJ11" s="2235"/>
      <c r="UIK11" s="2235"/>
      <c r="UIL11" s="2235"/>
      <c r="UIM11" s="2235"/>
      <c r="UIN11" s="2235"/>
      <c r="UIO11" s="2235"/>
      <c r="UIP11" s="2235"/>
      <c r="UIQ11" s="2235"/>
      <c r="UIR11" s="2235"/>
      <c r="UIS11" s="2235"/>
      <c r="UIT11" s="2235"/>
      <c r="UIU11" s="2235"/>
      <c r="UIV11" s="2235"/>
      <c r="UIW11" s="2235"/>
      <c r="UIX11" s="2235"/>
      <c r="UIY11" s="2235"/>
      <c r="UIZ11" s="2235"/>
      <c r="UJA11" s="2235"/>
      <c r="UJB11" s="2235"/>
      <c r="UJC11" s="2235"/>
      <c r="UJD11" s="2235"/>
      <c r="UJE11" s="2235"/>
      <c r="UJF11" s="2235"/>
      <c r="UJG11" s="2235"/>
      <c r="UJH11" s="2235"/>
      <c r="UJI11" s="2235"/>
      <c r="UJJ11" s="2235"/>
      <c r="UJK11" s="2235"/>
      <c r="UJL11" s="2235"/>
      <c r="UJM11" s="2235"/>
      <c r="UJN11" s="2235"/>
      <c r="UJO11" s="2235"/>
      <c r="UJP11" s="2235"/>
      <c r="UJQ11" s="2235"/>
      <c r="UJR11" s="2235"/>
      <c r="UJS11" s="2235"/>
      <c r="UJT11" s="2235"/>
      <c r="UJU11" s="2235"/>
      <c r="UJV11" s="2235"/>
      <c r="UJW11" s="2235"/>
      <c r="UJX11" s="2235"/>
      <c r="UJY11" s="2235"/>
      <c r="UJZ11" s="2235"/>
      <c r="UKA11" s="2235"/>
      <c r="UKB11" s="2235"/>
      <c r="UKC11" s="2235"/>
      <c r="UKD11" s="2235"/>
      <c r="UKE11" s="2235"/>
      <c r="UKF11" s="2235"/>
      <c r="UKG11" s="2235"/>
      <c r="UKH11" s="2235"/>
      <c r="UKI11" s="2235"/>
      <c r="UKJ11" s="2235"/>
      <c r="UKK11" s="2235"/>
      <c r="UKL11" s="2235"/>
      <c r="UKM11" s="2235"/>
      <c r="UKN11" s="2235"/>
      <c r="UKO11" s="2235"/>
      <c r="UKP11" s="2235"/>
      <c r="UKQ11" s="2235"/>
      <c r="UKR11" s="2235"/>
      <c r="UKS11" s="2235"/>
      <c r="UKT11" s="2235"/>
      <c r="UKU11" s="2235"/>
      <c r="UKV11" s="2235"/>
      <c r="UKW11" s="2235"/>
      <c r="UKX11" s="2235"/>
      <c r="UKY11" s="2235"/>
      <c r="UKZ11" s="2235"/>
      <c r="ULA11" s="2235"/>
      <c r="ULB11" s="2235"/>
      <c r="ULC11" s="2235"/>
      <c r="ULD11" s="2235"/>
      <c r="ULE11" s="2235"/>
      <c r="ULF11" s="2235"/>
      <c r="ULG11" s="2235"/>
      <c r="ULH11" s="2235"/>
      <c r="ULI11" s="2235"/>
      <c r="ULJ11" s="2235"/>
      <c r="ULK11" s="2235"/>
      <c r="ULL11" s="2235"/>
      <c r="ULM11" s="2235"/>
      <c r="ULN11" s="2235"/>
      <c r="ULO11" s="2235"/>
      <c r="ULP11" s="2235"/>
      <c r="ULQ11" s="2235"/>
      <c r="ULR11" s="2235"/>
      <c r="ULS11" s="2235"/>
      <c r="ULT11" s="2235"/>
      <c r="ULU11" s="2235"/>
      <c r="ULV11" s="2235"/>
      <c r="ULW11" s="2235"/>
      <c r="ULX11" s="2235"/>
      <c r="ULY11" s="2235"/>
      <c r="ULZ11" s="2235"/>
      <c r="UMA11" s="2235"/>
      <c r="UMB11" s="2235"/>
      <c r="UMC11" s="2235"/>
      <c r="UMD11" s="2235"/>
      <c r="UME11" s="2235"/>
      <c r="UMF11" s="2235"/>
      <c r="UMG11" s="2235"/>
      <c r="UMH11" s="2235"/>
      <c r="UMI11" s="2235"/>
      <c r="UMJ11" s="2235"/>
      <c r="UMK11" s="2235"/>
      <c r="UML11" s="2235"/>
      <c r="UMM11" s="2235"/>
      <c r="UMN11" s="2235"/>
      <c r="UMO11" s="2235"/>
      <c r="UMP11" s="2235"/>
      <c r="UMQ11" s="2235"/>
      <c r="UMR11" s="2235"/>
      <c r="UMS11" s="2235"/>
      <c r="UMT11" s="2235"/>
      <c r="UMU11" s="2235"/>
      <c r="UMV11" s="2235"/>
      <c r="UMW11" s="2235"/>
      <c r="UMX11" s="2235"/>
      <c r="UMY11" s="2235"/>
      <c r="UMZ11" s="2235"/>
      <c r="UNA11" s="2235"/>
      <c r="UNB11" s="2235"/>
      <c r="UNC11" s="2235"/>
      <c r="UND11" s="2235"/>
      <c r="UNE11" s="2235"/>
      <c r="UNF11" s="2235"/>
      <c r="UNG11" s="2235"/>
      <c r="UNH11" s="2235"/>
      <c r="UNI11" s="2235"/>
      <c r="UNJ11" s="2235"/>
      <c r="UNK11" s="2235"/>
      <c r="UNL11" s="2235"/>
      <c r="UNM11" s="2235"/>
      <c r="UNN11" s="2235"/>
      <c r="UNO11" s="2235"/>
      <c r="UNP11" s="2235"/>
      <c r="UNQ11" s="2235"/>
      <c r="UNR11" s="2235"/>
      <c r="UNS11" s="2235"/>
      <c r="UNT11" s="2235"/>
      <c r="UNU11" s="2235"/>
      <c r="UNV11" s="2235"/>
      <c r="UNW11" s="2235"/>
      <c r="UNX11" s="2235"/>
      <c r="UNY11" s="2235"/>
      <c r="UNZ11" s="2235"/>
      <c r="UOA11" s="2235"/>
      <c r="UOB11" s="2235"/>
      <c r="UOC11" s="2235"/>
      <c r="UOD11" s="2235"/>
      <c r="UOE11" s="2235"/>
      <c r="UOF11" s="2235"/>
      <c r="UOG11" s="2235"/>
      <c r="UOH11" s="2235"/>
      <c r="UOI11" s="2235"/>
      <c r="UOJ11" s="2235"/>
      <c r="UOK11" s="2235"/>
      <c r="UOL11" s="2235"/>
      <c r="UOM11" s="2235"/>
      <c r="UON11" s="2235"/>
      <c r="UOO11" s="2235"/>
      <c r="UOP11" s="2235"/>
      <c r="UOQ11" s="2235"/>
      <c r="UOR11" s="2235"/>
      <c r="UOS11" s="2235"/>
      <c r="UOT11" s="2235"/>
      <c r="UOU11" s="2235"/>
      <c r="UOV11" s="2235"/>
      <c r="UOW11" s="2235"/>
      <c r="UOX11" s="2235"/>
      <c r="UOY11" s="2235"/>
      <c r="UOZ11" s="2235"/>
      <c r="UPA11" s="2235"/>
      <c r="UPB11" s="2235"/>
      <c r="UPC11" s="2235"/>
      <c r="UPD11" s="2235"/>
      <c r="UPE11" s="2235"/>
      <c r="UPF11" s="2235"/>
      <c r="UPG11" s="2235"/>
      <c r="UPH11" s="2235"/>
      <c r="UPI11" s="2235"/>
      <c r="UPJ11" s="2235"/>
      <c r="UPK11" s="2235"/>
      <c r="UPL11" s="2235"/>
      <c r="UPM11" s="2235"/>
      <c r="UPN11" s="2235"/>
      <c r="UPO11" s="2235"/>
      <c r="UPP11" s="2235"/>
      <c r="UPQ11" s="2235"/>
      <c r="UPR11" s="2235"/>
      <c r="UPS11" s="2235"/>
      <c r="UPT11" s="2235"/>
      <c r="UPU11" s="2235"/>
      <c r="UPV11" s="2235"/>
      <c r="UPW11" s="2235"/>
      <c r="UPX11" s="2235"/>
      <c r="UPY11" s="2235"/>
      <c r="UPZ11" s="2235"/>
      <c r="UQA11" s="2235"/>
      <c r="UQB11" s="2235"/>
      <c r="UQC11" s="2235"/>
      <c r="UQD11" s="2235"/>
      <c r="UQE11" s="2235"/>
      <c r="UQF11" s="2235"/>
      <c r="UQG11" s="2235"/>
      <c r="UQH11" s="2235"/>
      <c r="UQI11" s="2235"/>
      <c r="UQJ11" s="2235"/>
      <c r="UQK11" s="2235"/>
      <c r="UQL11" s="2235"/>
      <c r="UQM11" s="2235"/>
      <c r="UQN11" s="2235"/>
      <c r="UQO11" s="2235"/>
      <c r="UQP11" s="2235"/>
      <c r="UQQ11" s="2235"/>
      <c r="UQR11" s="2235"/>
      <c r="UQS11" s="2235"/>
      <c r="UQT11" s="2235"/>
      <c r="UQU11" s="2235"/>
      <c r="UQV11" s="2235"/>
      <c r="UQW11" s="2235"/>
      <c r="UQX11" s="2235"/>
      <c r="UQY11" s="2235"/>
      <c r="UQZ11" s="2235"/>
      <c r="URA11" s="2235"/>
      <c r="URB11" s="2235"/>
      <c r="URC11" s="2235"/>
      <c r="URD11" s="2235"/>
      <c r="URE11" s="2235"/>
      <c r="URF11" s="2235"/>
      <c r="URG11" s="2235"/>
      <c r="URH11" s="2235"/>
      <c r="URI11" s="2235"/>
      <c r="URJ11" s="2235"/>
      <c r="URK11" s="2235"/>
      <c r="URL11" s="2235"/>
      <c r="URM11" s="2235"/>
      <c r="URN11" s="2235"/>
      <c r="URO11" s="2235"/>
      <c r="URP11" s="2235"/>
      <c r="URQ11" s="2235"/>
      <c r="URR11" s="2235"/>
      <c r="URS11" s="2235"/>
      <c r="URT11" s="2235"/>
      <c r="URU11" s="2235"/>
      <c r="URV11" s="2235"/>
      <c r="URW11" s="2235"/>
      <c r="URX11" s="2235"/>
      <c r="URY11" s="2235"/>
      <c r="URZ11" s="2235"/>
      <c r="USA11" s="2235"/>
      <c r="USB11" s="2235"/>
      <c r="USC11" s="2235"/>
      <c r="USD11" s="2235"/>
      <c r="USE11" s="2235"/>
      <c r="USF11" s="2235"/>
      <c r="USG11" s="2235"/>
      <c r="USH11" s="2235"/>
      <c r="USI11" s="2235"/>
      <c r="USJ11" s="2235"/>
      <c r="USK11" s="2235"/>
      <c r="USL11" s="2235"/>
      <c r="USM11" s="2235"/>
      <c r="USN11" s="2235"/>
      <c r="USO11" s="2235"/>
      <c r="USP11" s="2235"/>
      <c r="USQ11" s="2235"/>
      <c r="USR11" s="2235"/>
      <c r="USS11" s="2235"/>
      <c r="UST11" s="2235"/>
      <c r="USU11" s="2235"/>
      <c r="USV11" s="2235"/>
      <c r="USW11" s="2235"/>
      <c r="USX11" s="2235"/>
      <c r="USY11" s="2235"/>
      <c r="USZ11" s="2235"/>
      <c r="UTA11" s="2235"/>
      <c r="UTB11" s="2235"/>
      <c r="UTC11" s="2235"/>
      <c r="UTD11" s="2235"/>
      <c r="UTE11" s="2235"/>
      <c r="UTF11" s="2235"/>
      <c r="UTG11" s="2235"/>
      <c r="UTH11" s="2235"/>
      <c r="UTI11" s="2235"/>
      <c r="UTJ11" s="2235"/>
      <c r="UTK11" s="2235"/>
      <c r="UTL11" s="2235"/>
      <c r="UTM11" s="2235"/>
      <c r="UTN11" s="2235"/>
      <c r="UTO11" s="2235"/>
      <c r="UTP11" s="2235"/>
      <c r="UTQ11" s="2235"/>
      <c r="UTR11" s="2235"/>
      <c r="UTS11" s="2235"/>
      <c r="UTT11" s="2235"/>
      <c r="UTU11" s="2235"/>
      <c r="UTV11" s="2235"/>
      <c r="UTW11" s="2235"/>
      <c r="UTX11" s="2235"/>
      <c r="UTY11" s="2235"/>
      <c r="UTZ11" s="2235"/>
      <c r="UUA11" s="2235"/>
      <c r="UUB11" s="2235"/>
      <c r="UUC11" s="2235"/>
      <c r="UUD11" s="2235"/>
      <c r="UUE11" s="2235"/>
      <c r="UUF11" s="2235"/>
      <c r="UUG11" s="2235"/>
      <c r="UUH11" s="2235"/>
      <c r="UUI11" s="2235"/>
      <c r="UUJ11" s="2235"/>
      <c r="UUK11" s="2235"/>
      <c r="UUL11" s="2235"/>
      <c r="UUM11" s="2235"/>
      <c r="UUN11" s="2235"/>
      <c r="UUO11" s="2235"/>
      <c r="UUP11" s="2235"/>
      <c r="UUQ11" s="2235"/>
      <c r="UUR11" s="2235"/>
      <c r="UUS11" s="2235"/>
      <c r="UUT11" s="2235"/>
      <c r="UUU11" s="2235"/>
      <c r="UUV11" s="2235"/>
      <c r="UUW11" s="2235"/>
      <c r="UUX11" s="2235"/>
      <c r="UUY11" s="2235"/>
      <c r="UUZ11" s="2235"/>
      <c r="UVA11" s="2235"/>
      <c r="UVB11" s="2235"/>
      <c r="UVC11" s="2235"/>
      <c r="UVD11" s="2235"/>
      <c r="UVE11" s="2235"/>
      <c r="UVF11" s="2235"/>
      <c r="UVG11" s="2235"/>
      <c r="UVH11" s="2235"/>
      <c r="UVI11" s="2235"/>
      <c r="UVJ11" s="2235"/>
      <c r="UVK11" s="2235"/>
      <c r="UVL11" s="2235"/>
      <c r="UVM11" s="2235"/>
      <c r="UVN11" s="2235"/>
      <c r="UVO11" s="2235"/>
      <c r="UVP11" s="2235"/>
      <c r="UVQ11" s="2235"/>
      <c r="UVR11" s="2235"/>
      <c r="UVS11" s="2235"/>
      <c r="UVT11" s="2235"/>
      <c r="UVU11" s="2235"/>
      <c r="UVV11" s="2235"/>
      <c r="UVW11" s="2235"/>
      <c r="UVX11" s="2235"/>
      <c r="UVY11" s="2235"/>
      <c r="UVZ11" s="2235"/>
      <c r="UWA11" s="2235"/>
      <c r="UWB11" s="2235"/>
      <c r="UWC11" s="2235"/>
      <c r="UWD11" s="2235"/>
      <c r="UWE11" s="2235"/>
      <c r="UWF11" s="2235"/>
      <c r="UWG11" s="2235"/>
      <c r="UWH11" s="2235"/>
      <c r="UWI11" s="2235"/>
      <c r="UWJ11" s="2235"/>
      <c r="UWK11" s="2235"/>
      <c r="UWL11" s="2235"/>
      <c r="UWM11" s="2235"/>
      <c r="UWN11" s="2235"/>
      <c r="UWO11" s="2235"/>
      <c r="UWP11" s="2235"/>
      <c r="UWQ11" s="2235"/>
      <c r="UWR11" s="2235"/>
      <c r="UWS11" s="2235"/>
      <c r="UWT11" s="2235"/>
      <c r="UWU11" s="2235"/>
      <c r="UWV11" s="2235"/>
      <c r="UWW11" s="2235"/>
      <c r="UWX11" s="2235"/>
      <c r="UWY11" s="2235"/>
      <c r="UWZ11" s="2235"/>
      <c r="UXA11" s="2235"/>
      <c r="UXB11" s="2235"/>
      <c r="UXC11" s="2235"/>
      <c r="UXD11" s="2235"/>
      <c r="UXE11" s="2235"/>
      <c r="UXF11" s="2235"/>
      <c r="UXG11" s="2235"/>
      <c r="UXH11" s="2235"/>
      <c r="UXI11" s="2235"/>
      <c r="UXJ11" s="2235"/>
      <c r="UXK11" s="2235"/>
      <c r="UXL11" s="2235"/>
      <c r="UXM11" s="2235"/>
      <c r="UXN11" s="2235"/>
      <c r="UXO11" s="2235"/>
      <c r="UXP11" s="2235"/>
      <c r="UXQ11" s="2235"/>
      <c r="UXR11" s="2235"/>
      <c r="UXS11" s="2235"/>
      <c r="UXT11" s="2235"/>
      <c r="UXU11" s="2235"/>
      <c r="UXV11" s="2235"/>
      <c r="UXW11" s="2235"/>
      <c r="UXX11" s="2235"/>
      <c r="UXY11" s="2235"/>
      <c r="UXZ11" s="2235"/>
      <c r="UYA11" s="2235"/>
      <c r="UYB11" s="2235"/>
      <c r="UYC11" s="2235"/>
      <c r="UYD11" s="2235"/>
      <c r="UYE11" s="2235"/>
      <c r="UYF11" s="2235"/>
      <c r="UYG11" s="2235"/>
      <c r="UYH11" s="2235"/>
      <c r="UYI11" s="2235"/>
      <c r="UYJ11" s="2235"/>
      <c r="UYK11" s="2235"/>
      <c r="UYL11" s="2235"/>
      <c r="UYM11" s="2235"/>
      <c r="UYN11" s="2235"/>
      <c r="UYO11" s="2235"/>
      <c r="UYP11" s="2235"/>
      <c r="UYQ11" s="2235"/>
      <c r="UYR11" s="2235"/>
      <c r="UYS11" s="2235"/>
      <c r="UYT11" s="2235"/>
      <c r="UYU11" s="2235"/>
      <c r="UYV11" s="2235"/>
      <c r="UYW11" s="2235"/>
      <c r="UYX11" s="2235"/>
      <c r="UYY11" s="2235"/>
      <c r="UYZ11" s="2235"/>
      <c r="UZA11" s="2235"/>
      <c r="UZB11" s="2235"/>
      <c r="UZC11" s="2235"/>
      <c r="UZD11" s="2235"/>
      <c r="UZE11" s="2235"/>
      <c r="UZF11" s="2235"/>
      <c r="UZG11" s="2235"/>
      <c r="UZH11" s="2235"/>
      <c r="UZI11" s="2235"/>
      <c r="UZJ11" s="2235"/>
      <c r="UZK11" s="2235"/>
      <c r="UZL11" s="2235"/>
      <c r="UZM11" s="2235"/>
      <c r="UZN11" s="2235"/>
      <c r="UZO11" s="2235"/>
      <c r="UZP11" s="2235"/>
      <c r="UZQ11" s="2235"/>
      <c r="UZR11" s="2235"/>
      <c r="UZS11" s="2235"/>
      <c r="UZT11" s="2235"/>
      <c r="UZU11" s="2235"/>
      <c r="UZV11" s="2235"/>
      <c r="UZW11" s="2235"/>
      <c r="UZX11" s="2235"/>
      <c r="UZY11" s="2235"/>
      <c r="UZZ11" s="2235"/>
      <c r="VAA11" s="2235"/>
      <c r="VAB11" s="2235"/>
      <c r="VAC11" s="2235"/>
      <c r="VAD11" s="2235"/>
      <c r="VAE11" s="2235"/>
      <c r="VAF11" s="2235"/>
      <c r="VAG11" s="2235"/>
      <c r="VAH11" s="2235"/>
      <c r="VAI11" s="2235"/>
      <c r="VAJ11" s="2235"/>
      <c r="VAK11" s="2235"/>
      <c r="VAL11" s="2235"/>
      <c r="VAM11" s="2235"/>
      <c r="VAN11" s="2235"/>
      <c r="VAO11" s="2235"/>
      <c r="VAP11" s="2235"/>
      <c r="VAQ11" s="2235"/>
      <c r="VAR11" s="2235"/>
      <c r="VAS11" s="2235"/>
      <c r="VAT11" s="2235"/>
      <c r="VAU11" s="2235"/>
      <c r="VAV11" s="2235"/>
      <c r="VAW11" s="2235"/>
      <c r="VAX11" s="2235"/>
      <c r="VAY11" s="2235"/>
      <c r="VAZ11" s="2235"/>
      <c r="VBA11" s="2235"/>
      <c r="VBB11" s="2235"/>
      <c r="VBC11" s="2235"/>
      <c r="VBD11" s="2235"/>
      <c r="VBE11" s="2235"/>
      <c r="VBF11" s="2235"/>
      <c r="VBG11" s="2235"/>
      <c r="VBH11" s="2235"/>
      <c r="VBI11" s="2235"/>
      <c r="VBJ11" s="2235"/>
      <c r="VBK11" s="2235"/>
      <c r="VBL11" s="2235"/>
      <c r="VBM11" s="2235"/>
      <c r="VBN11" s="2235"/>
      <c r="VBO11" s="2235"/>
      <c r="VBP11" s="2235"/>
      <c r="VBQ11" s="2235"/>
      <c r="VBR11" s="2235"/>
      <c r="VBS11" s="2235"/>
      <c r="VBT11" s="2235"/>
      <c r="VBU11" s="2235"/>
      <c r="VBV11" s="2235"/>
      <c r="VBW11" s="2235"/>
      <c r="VBX11" s="2235"/>
      <c r="VBY11" s="2235"/>
      <c r="VBZ11" s="2235"/>
      <c r="VCA11" s="2235"/>
      <c r="VCB11" s="2235"/>
      <c r="VCC11" s="2235"/>
      <c r="VCD11" s="2235"/>
      <c r="VCE11" s="2235"/>
      <c r="VCF11" s="2235"/>
      <c r="VCG11" s="2235"/>
      <c r="VCH11" s="2235"/>
      <c r="VCI11" s="2235"/>
      <c r="VCJ11" s="2235"/>
      <c r="VCK11" s="2235"/>
      <c r="VCL11" s="2235"/>
      <c r="VCM11" s="2235"/>
      <c r="VCN11" s="2235"/>
      <c r="VCO11" s="2235"/>
      <c r="VCP11" s="2235"/>
      <c r="VCQ11" s="2235"/>
      <c r="VCR11" s="2235"/>
      <c r="VCS11" s="2235"/>
      <c r="VCT11" s="2235"/>
      <c r="VCU11" s="2235"/>
      <c r="VCV11" s="2235"/>
      <c r="VCW11" s="2235"/>
      <c r="VCX11" s="2235"/>
      <c r="VCY11" s="2235"/>
      <c r="VCZ11" s="2235"/>
      <c r="VDA11" s="2235"/>
      <c r="VDB11" s="2235"/>
      <c r="VDC11" s="2235"/>
      <c r="VDD11" s="2235"/>
      <c r="VDE11" s="2235"/>
      <c r="VDF11" s="2235"/>
      <c r="VDG11" s="2235"/>
      <c r="VDH11" s="2235"/>
      <c r="VDI11" s="2235"/>
      <c r="VDJ11" s="2235"/>
      <c r="VDK11" s="2235"/>
      <c r="VDL11" s="2235"/>
      <c r="VDM11" s="2235"/>
      <c r="VDN11" s="2235"/>
      <c r="VDO11" s="2235"/>
      <c r="VDP11" s="2235"/>
      <c r="VDQ11" s="2235"/>
      <c r="VDR11" s="2235"/>
      <c r="VDS11" s="2235"/>
      <c r="VDT11" s="2235"/>
      <c r="VDU11" s="2235"/>
      <c r="VDV11" s="2235"/>
      <c r="VDW11" s="2235"/>
      <c r="VDX11" s="2235"/>
      <c r="VDY11" s="2235"/>
      <c r="VDZ11" s="2235"/>
      <c r="VEA11" s="2235"/>
      <c r="VEB11" s="2235"/>
      <c r="VEC11" s="2235"/>
      <c r="VED11" s="2235"/>
      <c r="VEE11" s="2235"/>
      <c r="VEF11" s="2235"/>
      <c r="VEG11" s="2235"/>
      <c r="VEH11" s="2235"/>
      <c r="VEI11" s="2235"/>
      <c r="VEJ11" s="2235"/>
      <c r="VEK11" s="2235"/>
      <c r="VEL11" s="2235"/>
      <c r="VEM11" s="2235"/>
      <c r="VEN11" s="2235"/>
      <c r="VEO11" s="2235"/>
      <c r="VEP11" s="2235"/>
      <c r="VEQ11" s="2235"/>
      <c r="VER11" s="2235"/>
      <c r="VES11" s="2235"/>
      <c r="VET11" s="2235"/>
      <c r="VEU11" s="2235"/>
      <c r="VEV11" s="2235"/>
      <c r="VEW11" s="2235"/>
      <c r="VEX11" s="2235"/>
      <c r="VEY11" s="2235"/>
      <c r="VEZ11" s="2235"/>
      <c r="VFA11" s="2235"/>
      <c r="VFB11" s="2235"/>
      <c r="VFC11" s="2235"/>
      <c r="VFD11" s="2235"/>
      <c r="VFE11" s="2235"/>
      <c r="VFF11" s="2235"/>
      <c r="VFG11" s="2235"/>
      <c r="VFH11" s="2235"/>
      <c r="VFI11" s="2235"/>
      <c r="VFJ11" s="2235"/>
      <c r="VFK11" s="2235"/>
      <c r="VFL11" s="2235"/>
      <c r="VFM11" s="2235"/>
      <c r="VFN11" s="2235"/>
      <c r="VFO11" s="2235"/>
      <c r="VFP11" s="2235"/>
      <c r="VFQ11" s="2235"/>
      <c r="VFR11" s="2235"/>
      <c r="VFS11" s="2235"/>
      <c r="VFT11" s="2235"/>
      <c r="VFU11" s="2235"/>
      <c r="VFV11" s="2235"/>
      <c r="VFW11" s="2235"/>
      <c r="VFX11" s="2235"/>
      <c r="VFY11" s="2235"/>
      <c r="VFZ11" s="2235"/>
      <c r="VGA11" s="2235"/>
      <c r="VGB11" s="2235"/>
      <c r="VGC11" s="2235"/>
      <c r="VGD11" s="2235"/>
      <c r="VGE11" s="2235"/>
      <c r="VGF11" s="2235"/>
      <c r="VGG11" s="2235"/>
      <c r="VGH11" s="2235"/>
      <c r="VGI11" s="2235"/>
      <c r="VGJ11" s="2235"/>
      <c r="VGK11" s="2235"/>
      <c r="VGL11" s="2235"/>
      <c r="VGM11" s="2235"/>
      <c r="VGN11" s="2235"/>
      <c r="VGO11" s="2235"/>
      <c r="VGP11" s="2235"/>
      <c r="VGQ11" s="2235"/>
      <c r="VGR11" s="2235"/>
      <c r="VGS11" s="2235"/>
      <c r="VGT11" s="2235"/>
      <c r="VGU11" s="2235"/>
      <c r="VGV11" s="2235"/>
      <c r="VGW11" s="2235"/>
      <c r="VGX11" s="2235"/>
      <c r="VGY11" s="2235"/>
      <c r="VGZ11" s="2235"/>
      <c r="VHA11" s="2235"/>
      <c r="VHB11" s="2235"/>
      <c r="VHC11" s="2235"/>
      <c r="VHD11" s="2235"/>
      <c r="VHE11" s="2235"/>
      <c r="VHF11" s="2235"/>
      <c r="VHG11" s="2235"/>
      <c r="VHH11" s="2235"/>
      <c r="VHI11" s="2235"/>
      <c r="VHJ11" s="2235"/>
      <c r="VHK11" s="2235"/>
      <c r="VHL11" s="2235"/>
      <c r="VHM11" s="2235"/>
      <c r="VHN11" s="2235"/>
      <c r="VHO11" s="2235"/>
      <c r="VHP11" s="2235"/>
      <c r="VHQ11" s="2235"/>
      <c r="VHR11" s="2235"/>
      <c r="VHS11" s="2235"/>
      <c r="VHT11" s="2235"/>
      <c r="VHU11" s="2235"/>
      <c r="VHV11" s="2235"/>
      <c r="VHW11" s="2235"/>
      <c r="VHX11" s="2235"/>
      <c r="VHY11" s="2235"/>
      <c r="VHZ11" s="2235"/>
      <c r="VIA11" s="2235"/>
      <c r="VIB11" s="2235"/>
      <c r="VIC11" s="2235"/>
      <c r="VID11" s="2235"/>
      <c r="VIE11" s="2235"/>
      <c r="VIF11" s="2235"/>
      <c r="VIG11" s="2235"/>
      <c r="VIH11" s="2235"/>
      <c r="VII11" s="2235"/>
      <c r="VIJ11" s="2235"/>
      <c r="VIK11" s="2235"/>
      <c r="VIL11" s="2235"/>
      <c r="VIM11" s="2235"/>
      <c r="VIN11" s="2235"/>
      <c r="VIO11" s="2235"/>
      <c r="VIP11" s="2235"/>
      <c r="VIQ11" s="2235"/>
      <c r="VIR11" s="2235"/>
      <c r="VIS11" s="2235"/>
      <c r="VIT11" s="2235"/>
      <c r="VIU11" s="2235"/>
      <c r="VIV11" s="2235"/>
      <c r="VIW11" s="2235"/>
      <c r="VIX11" s="2235"/>
      <c r="VIY11" s="2235"/>
      <c r="VIZ11" s="2235"/>
      <c r="VJA11" s="2235"/>
      <c r="VJB11" s="2235"/>
      <c r="VJC11" s="2235"/>
      <c r="VJD11" s="2235"/>
      <c r="VJE11" s="2235"/>
      <c r="VJF11" s="2235"/>
      <c r="VJG11" s="2235"/>
      <c r="VJH11" s="2235"/>
      <c r="VJI11" s="2235"/>
      <c r="VJJ11" s="2235"/>
      <c r="VJK11" s="2235"/>
      <c r="VJL11" s="2235"/>
      <c r="VJM11" s="2235"/>
      <c r="VJN11" s="2235"/>
      <c r="VJO11" s="2235"/>
      <c r="VJP11" s="2235"/>
      <c r="VJQ11" s="2235"/>
      <c r="VJR11" s="2235"/>
      <c r="VJS11" s="2235"/>
      <c r="VJT11" s="2235"/>
      <c r="VJU11" s="2235"/>
      <c r="VJV11" s="2235"/>
      <c r="VJW11" s="2235"/>
      <c r="VJX11" s="2235"/>
      <c r="VJY11" s="2235"/>
      <c r="VJZ11" s="2235"/>
      <c r="VKA11" s="2235"/>
      <c r="VKB11" s="2235"/>
      <c r="VKC11" s="2235"/>
      <c r="VKD11" s="2235"/>
      <c r="VKE11" s="2235"/>
      <c r="VKF11" s="2235"/>
      <c r="VKG11" s="2235"/>
      <c r="VKH11" s="2235"/>
      <c r="VKI11" s="2235"/>
      <c r="VKJ11" s="2235"/>
      <c r="VKK11" s="2235"/>
      <c r="VKL11" s="2235"/>
      <c r="VKM11" s="2235"/>
      <c r="VKN11" s="2235"/>
      <c r="VKO11" s="2235"/>
      <c r="VKP11" s="2235"/>
      <c r="VKQ11" s="2235"/>
      <c r="VKR11" s="2235"/>
      <c r="VKS11" s="2235"/>
      <c r="VKT11" s="2235"/>
      <c r="VKU11" s="2235"/>
      <c r="VKV11" s="2235"/>
      <c r="VKW11" s="2235"/>
      <c r="VKX11" s="2235"/>
      <c r="VKY11" s="2235"/>
      <c r="VKZ11" s="2235"/>
      <c r="VLA11" s="2235"/>
      <c r="VLB11" s="2235"/>
      <c r="VLC11" s="2235"/>
      <c r="VLD11" s="2235"/>
      <c r="VLE11" s="2235"/>
      <c r="VLF11" s="2235"/>
      <c r="VLG11" s="2235"/>
      <c r="VLH11" s="2235"/>
      <c r="VLI11" s="2235"/>
      <c r="VLJ11" s="2235"/>
      <c r="VLK11" s="2235"/>
      <c r="VLL11" s="2235"/>
      <c r="VLM11" s="2235"/>
      <c r="VLN11" s="2235"/>
      <c r="VLO11" s="2235"/>
      <c r="VLP11" s="2235"/>
      <c r="VLQ11" s="2235"/>
      <c r="VLR11" s="2235"/>
      <c r="VLS11" s="2235"/>
      <c r="VLT11" s="2235"/>
      <c r="VLU11" s="2235"/>
      <c r="VLV11" s="2235"/>
      <c r="VLW11" s="2235"/>
      <c r="VLX11" s="2235"/>
      <c r="VLY11" s="2235"/>
      <c r="VLZ11" s="2235"/>
      <c r="VMA11" s="2235"/>
      <c r="VMB11" s="2235"/>
      <c r="VMC11" s="2235"/>
      <c r="VMD11" s="2235"/>
      <c r="VME11" s="2235"/>
      <c r="VMF11" s="2235"/>
      <c r="VMG11" s="2235"/>
      <c r="VMH11" s="2235"/>
      <c r="VMI11" s="2235"/>
      <c r="VMJ11" s="2235"/>
      <c r="VMK11" s="2235"/>
      <c r="VML11" s="2235"/>
      <c r="VMM11" s="2235"/>
      <c r="VMN11" s="2235"/>
      <c r="VMO11" s="2235"/>
      <c r="VMP11" s="2235"/>
      <c r="VMQ11" s="2235"/>
      <c r="VMR11" s="2235"/>
      <c r="VMS11" s="2235"/>
      <c r="VMT11" s="2235"/>
      <c r="VMU11" s="2235"/>
      <c r="VMV11" s="2235"/>
      <c r="VMW11" s="2235"/>
      <c r="VMX11" s="2235"/>
      <c r="VMY11" s="2235"/>
      <c r="VMZ11" s="2235"/>
      <c r="VNA11" s="2235"/>
      <c r="VNB11" s="2235"/>
      <c r="VNC11" s="2235"/>
      <c r="VND11" s="2235"/>
      <c r="VNE11" s="2235"/>
      <c r="VNF11" s="2235"/>
      <c r="VNG11" s="2235"/>
      <c r="VNH11" s="2235"/>
      <c r="VNI11" s="2235"/>
      <c r="VNJ11" s="2235"/>
      <c r="VNK11" s="2235"/>
      <c r="VNL11" s="2235"/>
      <c r="VNM11" s="2235"/>
      <c r="VNN11" s="2235"/>
      <c r="VNO11" s="2235"/>
      <c r="VNP11" s="2235"/>
      <c r="VNQ11" s="2235"/>
      <c r="VNR11" s="2235"/>
      <c r="VNS11" s="2235"/>
      <c r="VNT11" s="2235"/>
      <c r="VNU11" s="2235"/>
      <c r="VNV11" s="2235"/>
      <c r="VNW11" s="2235"/>
      <c r="VNX11" s="2235"/>
      <c r="VNY11" s="2235"/>
      <c r="VNZ11" s="2235"/>
      <c r="VOA11" s="2235"/>
      <c r="VOB11" s="2235"/>
      <c r="VOC11" s="2235"/>
      <c r="VOD11" s="2235"/>
      <c r="VOE11" s="2235"/>
      <c r="VOF11" s="2235"/>
      <c r="VOG11" s="2235"/>
      <c r="VOH11" s="2235"/>
      <c r="VOI11" s="2235"/>
      <c r="VOJ11" s="2235"/>
      <c r="VOK11" s="2235"/>
      <c r="VOL11" s="2235"/>
      <c r="VOM11" s="2235"/>
      <c r="VON11" s="2235"/>
      <c r="VOO11" s="2235"/>
      <c r="VOP11" s="2235"/>
      <c r="VOQ11" s="2235"/>
      <c r="VOR11" s="2235"/>
      <c r="VOS11" s="2235"/>
      <c r="VOT11" s="2235"/>
      <c r="VOU11" s="2235"/>
      <c r="VOV11" s="2235"/>
      <c r="VOW11" s="2235"/>
      <c r="VOX11" s="2235"/>
      <c r="VOY11" s="2235"/>
      <c r="VOZ11" s="2235"/>
      <c r="VPA11" s="2235"/>
      <c r="VPB11" s="2235"/>
      <c r="VPC11" s="2235"/>
      <c r="VPD11" s="2235"/>
      <c r="VPE11" s="2235"/>
      <c r="VPF11" s="2235"/>
      <c r="VPG11" s="2235"/>
      <c r="VPH11" s="2235"/>
      <c r="VPI11" s="2235"/>
      <c r="VPJ11" s="2235"/>
      <c r="VPK11" s="2235"/>
      <c r="VPL11" s="2235"/>
      <c r="VPM11" s="2235"/>
      <c r="VPN11" s="2235"/>
      <c r="VPO11" s="2235"/>
      <c r="VPP11" s="2235"/>
      <c r="VPQ11" s="2235"/>
      <c r="VPR11" s="2235"/>
      <c r="VPS11" s="2235"/>
      <c r="VPT11" s="2235"/>
      <c r="VPU11" s="2235"/>
      <c r="VPV11" s="2235"/>
      <c r="VPW11" s="2235"/>
      <c r="VPX11" s="2235"/>
      <c r="VPY11" s="2235"/>
      <c r="VPZ11" s="2235"/>
      <c r="VQA11" s="2235"/>
      <c r="VQB11" s="2235"/>
      <c r="VQC11" s="2235"/>
      <c r="VQD11" s="2235"/>
      <c r="VQE11" s="2235"/>
      <c r="VQF11" s="2235"/>
      <c r="VQG11" s="2235"/>
      <c r="VQH11" s="2235"/>
      <c r="VQI11" s="2235"/>
      <c r="VQJ11" s="2235"/>
      <c r="VQK11" s="2235"/>
      <c r="VQL11" s="2235"/>
      <c r="VQM11" s="2235"/>
      <c r="VQN11" s="2235"/>
      <c r="VQO11" s="2235"/>
      <c r="VQP11" s="2235"/>
      <c r="VQQ11" s="2235"/>
      <c r="VQR11" s="2235"/>
      <c r="VQS11" s="2235"/>
      <c r="VQT11" s="2235"/>
      <c r="VQU11" s="2235"/>
      <c r="VQV11" s="2235"/>
      <c r="VQW11" s="2235"/>
      <c r="VQX11" s="2235"/>
      <c r="VQY11" s="2235"/>
      <c r="VQZ11" s="2235"/>
      <c r="VRA11" s="2235"/>
      <c r="VRB11" s="2235"/>
      <c r="VRC11" s="2235"/>
      <c r="VRD11" s="2235"/>
      <c r="VRE11" s="2235"/>
      <c r="VRF11" s="2235"/>
      <c r="VRG11" s="2235"/>
      <c r="VRH11" s="2235"/>
      <c r="VRI11" s="2235"/>
      <c r="VRJ11" s="2235"/>
      <c r="VRK11" s="2235"/>
      <c r="VRL11" s="2235"/>
      <c r="VRM11" s="2235"/>
      <c r="VRN11" s="2235"/>
      <c r="VRO11" s="2235"/>
      <c r="VRP11" s="2235"/>
      <c r="VRQ11" s="2235"/>
      <c r="VRR11" s="2235"/>
      <c r="VRS11" s="2235"/>
      <c r="VRT11" s="2235"/>
      <c r="VRU11" s="2235"/>
      <c r="VRV11" s="2235"/>
      <c r="VRW11" s="2235"/>
      <c r="VRX11" s="2235"/>
      <c r="VRY11" s="2235"/>
      <c r="VRZ11" s="2235"/>
      <c r="VSA11" s="2235"/>
      <c r="VSB11" s="2235"/>
      <c r="VSC11" s="2235"/>
      <c r="VSD11" s="2235"/>
      <c r="VSE11" s="2235"/>
      <c r="VSF11" s="2235"/>
      <c r="VSG11" s="2235"/>
      <c r="VSH11" s="2235"/>
      <c r="VSI11" s="2235"/>
      <c r="VSJ11" s="2235"/>
      <c r="VSK11" s="2235"/>
      <c r="VSL11" s="2235"/>
      <c r="VSM11" s="2235"/>
      <c r="VSN11" s="2235"/>
      <c r="VSO11" s="2235"/>
      <c r="VSP11" s="2235"/>
      <c r="VSQ11" s="2235"/>
      <c r="VSR11" s="2235"/>
      <c r="VSS11" s="2235"/>
      <c r="VST11" s="2235"/>
      <c r="VSU11" s="2235"/>
      <c r="VSV11" s="2235"/>
      <c r="VSW11" s="2235"/>
      <c r="VSX11" s="2235"/>
      <c r="VSY11" s="2235"/>
      <c r="VSZ11" s="2235"/>
      <c r="VTA11" s="2235"/>
      <c r="VTB11" s="2235"/>
      <c r="VTC11" s="2235"/>
      <c r="VTD11" s="2235"/>
      <c r="VTE11" s="2235"/>
      <c r="VTF11" s="2235"/>
      <c r="VTG11" s="2235"/>
      <c r="VTH11" s="2235"/>
      <c r="VTI11" s="2235"/>
      <c r="VTJ11" s="2235"/>
      <c r="VTK11" s="2235"/>
      <c r="VTL11" s="2235"/>
      <c r="VTM11" s="2235"/>
      <c r="VTN11" s="2235"/>
      <c r="VTO11" s="2235"/>
      <c r="VTP11" s="2235"/>
      <c r="VTQ11" s="2235"/>
      <c r="VTR11" s="2235"/>
      <c r="VTS11" s="2235"/>
      <c r="VTT11" s="2235"/>
      <c r="VTU11" s="2235"/>
      <c r="VTV11" s="2235"/>
      <c r="VTW11" s="2235"/>
      <c r="VTX11" s="2235"/>
      <c r="VTY11" s="2235"/>
      <c r="VTZ11" s="2235"/>
      <c r="VUA11" s="2235"/>
      <c r="VUB11" s="2235"/>
      <c r="VUC11" s="2235"/>
      <c r="VUD11" s="2235"/>
      <c r="VUE11" s="2235"/>
      <c r="VUF11" s="2235"/>
      <c r="VUG11" s="2235"/>
      <c r="VUH11" s="2235"/>
      <c r="VUI11" s="2235"/>
      <c r="VUJ11" s="2235"/>
      <c r="VUK11" s="2235"/>
      <c r="VUL11" s="2235"/>
      <c r="VUM11" s="2235"/>
      <c r="VUN11" s="2235"/>
      <c r="VUO11" s="2235"/>
      <c r="VUP11" s="2235"/>
      <c r="VUQ11" s="2235"/>
      <c r="VUR11" s="2235"/>
      <c r="VUS11" s="2235"/>
      <c r="VUT11" s="2235"/>
      <c r="VUU11" s="2235"/>
      <c r="VUV11" s="2235"/>
      <c r="VUW11" s="2235"/>
      <c r="VUX11" s="2235"/>
      <c r="VUY11" s="2235"/>
      <c r="VUZ11" s="2235"/>
      <c r="VVA11" s="2235"/>
      <c r="VVB11" s="2235"/>
      <c r="VVC11" s="2235"/>
      <c r="VVD11" s="2235"/>
      <c r="VVE11" s="2235"/>
      <c r="VVF11" s="2235"/>
      <c r="VVG11" s="2235"/>
      <c r="VVH11" s="2235"/>
      <c r="VVI11" s="2235"/>
      <c r="VVJ11" s="2235"/>
      <c r="VVK11" s="2235"/>
      <c r="VVL11" s="2235"/>
      <c r="VVM11" s="2235"/>
      <c r="VVN11" s="2235"/>
      <c r="VVO11" s="2235"/>
      <c r="VVP11" s="2235"/>
      <c r="VVQ11" s="2235"/>
      <c r="VVR11" s="2235"/>
      <c r="VVS11" s="2235"/>
      <c r="VVT11" s="2235"/>
      <c r="VVU11" s="2235"/>
      <c r="VVV11" s="2235"/>
      <c r="VVW11" s="2235"/>
      <c r="VVX11" s="2235"/>
      <c r="VVY11" s="2235"/>
      <c r="VVZ11" s="2235"/>
      <c r="VWA11" s="2235"/>
      <c r="VWB11" s="2235"/>
      <c r="VWC11" s="2235"/>
      <c r="VWD11" s="2235"/>
      <c r="VWE11" s="2235"/>
      <c r="VWF11" s="2235"/>
      <c r="VWG11" s="2235"/>
      <c r="VWH11" s="2235"/>
      <c r="VWI11" s="2235"/>
      <c r="VWJ11" s="2235"/>
      <c r="VWK11" s="2235"/>
      <c r="VWL11" s="2235"/>
      <c r="VWM11" s="2235"/>
      <c r="VWN11" s="2235"/>
      <c r="VWO11" s="2235"/>
      <c r="VWP11" s="2235"/>
      <c r="VWQ11" s="2235"/>
      <c r="VWR11" s="2235"/>
      <c r="VWS11" s="2235"/>
      <c r="VWT11" s="2235"/>
      <c r="VWU11" s="2235"/>
      <c r="VWV11" s="2235"/>
      <c r="VWW11" s="2235"/>
      <c r="VWX11" s="2235"/>
      <c r="VWY11" s="2235"/>
      <c r="VWZ11" s="2235"/>
      <c r="VXA11" s="2235"/>
      <c r="VXB11" s="2235"/>
      <c r="VXC11" s="2235"/>
      <c r="VXD11" s="2235"/>
      <c r="VXE11" s="2235"/>
      <c r="VXF11" s="2235"/>
      <c r="VXG11" s="2235"/>
      <c r="VXH11" s="2235"/>
      <c r="VXI11" s="2235"/>
      <c r="VXJ11" s="2235"/>
      <c r="VXK11" s="2235"/>
      <c r="VXL11" s="2235"/>
      <c r="VXM11" s="2235"/>
      <c r="VXN11" s="2235"/>
      <c r="VXO11" s="2235"/>
      <c r="VXP11" s="2235"/>
      <c r="VXQ11" s="2235"/>
      <c r="VXR11" s="2235"/>
      <c r="VXS11" s="2235"/>
      <c r="VXT11" s="2235"/>
      <c r="VXU11" s="2235"/>
      <c r="VXV11" s="2235"/>
      <c r="VXW11" s="2235"/>
      <c r="VXX11" s="2235"/>
      <c r="VXY11" s="2235"/>
      <c r="VXZ11" s="2235"/>
      <c r="VYA11" s="2235"/>
      <c r="VYB11" s="2235"/>
      <c r="VYC11" s="2235"/>
      <c r="VYD11" s="2235"/>
      <c r="VYE11" s="2235"/>
      <c r="VYF11" s="2235"/>
      <c r="VYG11" s="2235"/>
      <c r="VYH11" s="2235"/>
      <c r="VYI11" s="2235"/>
      <c r="VYJ11" s="2235"/>
      <c r="VYK11" s="2235"/>
      <c r="VYL11" s="2235"/>
      <c r="VYM11" s="2235"/>
      <c r="VYN11" s="2235"/>
      <c r="VYO11" s="2235"/>
      <c r="VYP11" s="2235"/>
      <c r="VYQ11" s="2235"/>
      <c r="VYR11" s="2235"/>
      <c r="VYS11" s="2235"/>
      <c r="VYT11" s="2235"/>
      <c r="VYU11" s="2235"/>
      <c r="VYV11" s="2235"/>
      <c r="VYW11" s="2235"/>
      <c r="VYX11" s="2235"/>
      <c r="VYY11" s="2235"/>
      <c r="VYZ11" s="2235"/>
      <c r="VZA11" s="2235"/>
      <c r="VZB11" s="2235"/>
      <c r="VZC11" s="2235"/>
      <c r="VZD11" s="2235"/>
      <c r="VZE11" s="2235"/>
      <c r="VZF11" s="2235"/>
      <c r="VZG11" s="2235"/>
      <c r="VZH11" s="2235"/>
      <c r="VZI11" s="2235"/>
      <c r="VZJ11" s="2235"/>
      <c r="VZK11" s="2235"/>
      <c r="VZL11" s="2235"/>
      <c r="VZM11" s="2235"/>
      <c r="VZN11" s="2235"/>
      <c r="VZO11" s="2235"/>
      <c r="VZP11" s="2235"/>
      <c r="VZQ11" s="2235"/>
      <c r="VZR11" s="2235"/>
      <c r="VZS11" s="2235"/>
      <c r="VZT11" s="2235"/>
      <c r="VZU11" s="2235"/>
      <c r="VZV11" s="2235"/>
      <c r="VZW11" s="2235"/>
      <c r="VZX11" s="2235"/>
      <c r="VZY11" s="2235"/>
      <c r="VZZ11" s="2235"/>
      <c r="WAA11" s="2235"/>
      <c r="WAB11" s="2235"/>
      <c r="WAC11" s="2235"/>
      <c r="WAD11" s="2235"/>
      <c r="WAE11" s="2235"/>
      <c r="WAF11" s="2235"/>
      <c r="WAG11" s="2235"/>
      <c r="WAH11" s="2235"/>
      <c r="WAI11" s="2235"/>
      <c r="WAJ11" s="2235"/>
      <c r="WAK11" s="2235"/>
      <c r="WAL11" s="2235"/>
      <c r="WAM11" s="2235"/>
      <c r="WAN11" s="2235"/>
      <c r="WAO11" s="2235"/>
      <c r="WAP11" s="2235"/>
      <c r="WAQ11" s="2235"/>
      <c r="WAR11" s="2235"/>
      <c r="WAS11" s="2235"/>
      <c r="WAT11" s="2235"/>
      <c r="WAU11" s="2235"/>
      <c r="WAV11" s="2235"/>
      <c r="WAW11" s="2235"/>
      <c r="WAX11" s="2235"/>
      <c r="WAY11" s="2235"/>
      <c r="WAZ11" s="2235"/>
      <c r="WBA11" s="2235"/>
      <c r="WBB11" s="2235"/>
      <c r="WBC11" s="2235"/>
      <c r="WBD11" s="2235"/>
      <c r="WBE11" s="2235"/>
      <c r="WBF11" s="2235"/>
      <c r="WBG11" s="2235"/>
      <c r="WBH11" s="2235"/>
      <c r="WBI11" s="2235"/>
      <c r="WBJ11" s="2235"/>
      <c r="WBK11" s="2235"/>
      <c r="WBL11" s="2235"/>
      <c r="WBM11" s="2235"/>
      <c r="WBN11" s="2235"/>
      <c r="WBO11" s="2235"/>
      <c r="WBP11" s="2235"/>
      <c r="WBQ11" s="2235"/>
      <c r="WBR11" s="2235"/>
      <c r="WBS11" s="2235"/>
      <c r="WBT11" s="2235"/>
      <c r="WBU11" s="2235"/>
      <c r="WBV11" s="2235"/>
      <c r="WBW11" s="2235"/>
      <c r="WBX11" s="2235"/>
      <c r="WBY11" s="2235"/>
      <c r="WBZ11" s="2235"/>
      <c r="WCA11" s="2235"/>
      <c r="WCB11" s="2235"/>
      <c r="WCC11" s="2235"/>
      <c r="WCD11" s="2235"/>
      <c r="WCE11" s="2235"/>
      <c r="WCF11" s="2235"/>
      <c r="WCG11" s="2235"/>
      <c r="WCH11" s="2235"/>
      <c r="WCI11" s="2235"/>
      <c r="WCJ11" s="2235"/>
      <c r="WCK11" s="2235"/>
      <c r="WCL11" s="2235"/>
      <c r="WCM11" s="2235"/>
      <c r="WCN11" s="2235"/>
      <c r="WCO11" s="2235"/>
      <c r="WCP11" s="2235"/>
      <c r="WCQ11" s="2235"/>
      <c r="WCR11" s="2235"/>
      <c r="WCS11" s="2235"/>
      <c r="WCT11" s="2235"/>
      <c r="WCU11" s="2235"/>
      <c r="WCV11" s="2235"/>
      <c r="WCW11" s="2235"/>
      <c r="WCX11" s="2235"/>
      <c r="WCY11" s="2235"/>
      <c r="WCZ11" s="2235"/>
      <c r="WDA11" s="2235"/>
      <c r="WDB11" s="2235"/>
      <c r="WDC11" s="2235"/>
      <c r="WDD11" s="2235"/>
      <c r="WDE11" s="2235"/>
      <c r="WDF11" s="2235"/>
      <c r="WDG11" s="2235"/>
      <c r="WDH11" s="2235"/>
      <c r="WDI11" s="2235"/>
      <c r="WDJ11" s="2235"/>
      <c r="WDK11" s="2235"/>
      <c r="WDL11" s="2235"/>
      <c r="WDM11" s="2235"/>
      <c r="WDN11" s="2235"/>
      <c r="WDO11" s="2235"/>
      <c r="WDP11" s="2235"/>
      <c r="WDQ11" s="2235"/>
      <c r="WDR11" s="2235"/>
      <c r="WDS11" s="2235"/>
      <c r="WDT11" s="2235"/>
      <c r="WDU11" s="2235"/>
      <c r="WDV11" s="2235"/>
      <c r="WDW11" s="2235"/>
      <c r="WDX11" s="2235"/>
      <c r="WDY11" s="2235"/>
      <c r="WDZ11" s="2235"/>
      <c r="WEA11" s="2235"/>
      <c r="WEB11" s="2235"/>
      <c r="WEC11" s="2235"/>
      <c r="WED11" s="2235"/>
      <c r="WEE11" s="2235"/>
      <c r="WEF11" s="2235"/>
      <c r="WEG11" s="2235"/>
      <c r="WEH11" s="2235"/>
      <c r="WEI11" s="2235"/>
      <c r="WEJ11" s="2235"/>
      <c r="WEK11" s="2235"/>
      <c r="WEL11" s="2235"/>
      <c r="WEM11" s="2235"/>
      <c r="WEN11" s="2235"/>
      <c r="WEO11" s="2235"/>
      <c r="WEP11" s="2235"/>
      <c r="WEQ11" s="2235"/>
      <c r="WER11" s="2235"/>
      <c r="WES11" s="2235"/>
      <c r="WET11" s="2235"/>
      <c r="WEU11" s="2235"/>
      <c r="WEV11" s="2235"/>
      <c r="WEW11" s="2235"/>
      <c r="WEX11" s="2235"/>
      <c r="WEY11" s="2235"/>
      <c r="WEZ11" s="2235"/>
      <c r="WFA11" s="2235"/>
      <c r="WFB11" s="2235"/>
      <c r="WFC11" s="2235"/>
      <c r="WFD11" s="2235"/>
      <c r="WFE11" s="2235"/>
      <c r="WFF11" s="2235"/>
      <c r="WFG11" s="2235"/>
      <c r="WFH11" s="2235"/>
      <c r="WFI11" s="2235"/>
      <c r="WFJ11" s="2235"/>
      <c r="WFK11" s="2235"/>
      <c r="WFL11" s="2235"/>
      <c r="WFM11" s="2235"/>
      <c r="WFN11" s="2235"/>
      <c r="WFO11" s="2235"/>
      <c r="WFP11" s="2235"/>
      <c r="WFQ11" s="2235"/>
      <c r="WFR11" s="2235"/>
      <c r="WFS11" s="2235"/>
      <c r="WFT11" s="2235"/>
      <c r="WFU11" s="2235"/>
      <c r="WFV11" s="2235"/>
      <c r="WFW11" s="2235"/>
      <c r="WFX11" s="2235"/>
      <c r="WFY11" s="2235"/>
      <c r="WFZ11" s="2235"/>
      <c r="WGA11" s="2235"/>
      <c r="WGB11" s="2235"/>
      <c r="WGC11" s="2235"/>
      <c r="WGD11" s="2235"/>
      <c r="WGE11" s="2235"/>
      <c r="WGF11" s="2235"/>
      <c r="WGG11" s="2235"/>
      <c r="WGH11" s="2235"/>
      <c r="WGI11" s="2235"/>
      <c r="WGJ11" s="2235"/>
      <c r="WGK11" s="2235"/>
      <c r="WGL11" s="2235"/>
      <c r="WGM11" s="2235"/>
      <c r="WGN11" s="2235"/>
      <c r="WGO11" s="2235"/>
      <c r="WGP11" s="2235"/>
      <c r="WGQ11" s="2235"/>
      <c r="WGR11" s="2235"/>
      <c r="WGS11" s="2235"/>
      <c r="WGT11" s="2235"/>
      <c r="WGU11" s="2235"/>
      <c r="WGV11" s="2235"/>
      <c r="WGW11" s="2235"/>
      <c r="WGX11" s="2235"/>
      <c r="WGY11" s="2235"/>
      <c r="WGZ11" s="2235"/>
      <c r="WHA11" s="2235"/>
      <c r="WHB11" s="2235"/>
      <c r="WHC11" s="2235"/>
      <c r="WHD11" s="2235"/>
      <c r="WHE11" s="2235"/>
      <c r="WHF11" s="2235"/>
      <c r="WHG11" s="2235"/>
      <c r="WHH11" s="2235"/>
      <c r="WHI11" s="2235"/>
      <c r="WHJ11" s="2235"/>
      <c r="WHK11" s="2235"/>
      <c r="WHL11" s="2235"/>
      <c r="WHM11" s="2235"/>
      <c r="WHN11" s="2235"/>
      <c r="WHO11" s="2235"/>
      <c r="WHP11" s="2235"/>
      <c r="WHQ11" s="2235"/>
      <c r="WHR11" s="2235"/>
      <c r="WHS11" s="2235"/>
      <c r="WHT11" s="2235"/>
      <c r="WHU11" s="2235"/>
      <c r="WHV11" s="2235"/>
      <c r="WHW11" s="2235"/>
      <c r="WHX11" s="2235"/>
      <c r="WHY11" s="2235"/>
      <c r="WHZ11" s="2235"/>
      <c r="WIA11" s="2235"/>
      <c r="WIB11" s="2235"/>
      <c r="WIC11" s="2235"/>
      <c r="WID11" s="2235"/>
      <c r="WIE11" s="2235"/>
      <c r="WIF11" s="2235"/>
      <c r="WIG11" s="2235"/>
      <c r="WIH11" s="2235"/>
      <c r="WII11" s="2235"/>
      <c r="WIJ11" s="2235"/>
      <c r="WIK11" s="2235"/>
      <c r="WIL11" s="2235"/>
      <c r="WIM11" s="2235"/>
      <c r="WIN11" s="2235"/>
      <c r="WIO11" s="2235"/>
      <c r="WIP11" s="2235"/>
      <c r="WIQ11" s="2235"/>
      <c r="WIR11" s="2235"/>
      <c r="WIS11" s="2235"/>
      <c r="WIT11" s="2235"/>
      <c r="WIU11" s="2235"/>
      <c r="WIV11" s="2235"/>
      <c r="WIW11" s="2235"/>
      <c r="WIX11" s="2235"/>
      <c r="WIY11" s="2235"/>
      <c r="WIZ11" s="2235"/>
      <c r="WJA11" s="2235"/>
      <c r="WJB11" s="2235"/>
      <c r="WJC11" s="2235"/>
      <c r="WJD11" s="2235"/>
      <c r="WJE11" s="2235"/>
      <c r="WJF11" s="2235"/>
      <c r="WJG11" s="2235"/>
      <c r="WJH11" s="2235"/>
      <c r="WJI11" s="2235"/>
      <c r="WJJ11" s="2235"/>
      <c r="WJK11" s="2235"/>
      <c r="WJL11" s="2235"/>
      <c r="WJM11" s="2235"/>
      <c r="WJN11" s="2235"/>
      <c r="WJO11" s="2235"/>
      <c r="WJP11" s="2235"/>
      <c r="WJQ11" s="2235"/>
      <c r="WJR11" s="2235"/>
      <c r="WJS11" s="2235"/>
      <c r="WJT11" s="2235"/>
      <c r="WJU11" s="2235"/>
      <c r="WJV11" s="2235"/>
      <c r="WJW11" s="2235"/>
      <c r="WJX11" s="2235"/>
      <c r="WJY11" s="2235"/>
      <c r="WJZ11" s="2235"/>
      <c r="WKA11" s="2235"/>
      <c r="WKB11" s="2235"/>
      <c r="WKC11" s="2235"/>
      <c r="WKD11" s="2235"/>
      <c r="WKE11" s="2235"/>
      <c r="WKF11" s="2235"/>
      <c r="WKG11" s="2235"/>
      <c r="WKH11" s="2235"/>
      <c r="WKI11" s="2235"/>
      <c r="WKJ11" s="2235"/>
      <c r="WKK11" s="2235"/>
      <c r="WKL11" s="2235"/>
      <c r="WKM11" s="2235"/>
      <c r="WKN11" s="2235"/>
      <c r="WKO11" s="2235"/>
      <c r="WKP11" s="2235"/>
      <c r="WKQ11" s="2235"/>
      <c r="WKR11" s="2235"/>
      <c r="WKS11" s="2235"/>
      <c r="WKT11" s="2235"/>
      <c r="WKU11" s="2235"/>
      <c r="WKV11" s="2235"/>
      <c r="WKW11" s="2235"/>
      <c r="WKX11" s="2235"/>
      <c r="WKY11" s="2235"/>
      <c r="WKZ11" s="2235"/>
      <c r="WLA11" s="2235"/>
      <c r="WLB11" s="2235"/>
      <c r="WLC11" s="2235"/>
      <c r="WLD11" s="2235"/>
      <c r="WLE11" s="2235"/>
      <c r="WLF11" s="2235"/>
      <c r="WLG11" s="2235"/>
      <c r="WLH11" s="2235"/>
      <c r="WLI11" s="2235"/>
      <c r="WLJ11" s="2235"/>
      <c r="WLK11" s="2235"/>
      <c r="WLL11" s="2235"/>
      <c r="WLM11" s="2235"/>
      <c r="WLN11" s="2235"/>
      <c r="WLO11" s="2235"/>
      <c r="WLP11" s="2235"/>
      <c r="WLQ11" s="2235"/>
      <c r="WLR11" s="2235"/>
      <c r="WLS11" s="2235"/>
      <c r="WLT11" s="2235"/>
      <c r="WLU11" s="2235"/>
      <c r="WLV11" s="2235"/>
      <c r="WLW11" s="2235"/>
      <c r="WLX11" s="2235"/>
      <c r="WLY11" s="2235"/>
      <c r="WLZ11" s="2235"/>
      <c r="WMA11" s="2235"/>
      <c r="WMB11" s="2235"/>
      <c r="WMC11" s="2235"/>
      <c r="WMD11" s="2235"/>
      <c r="WME11" s="2235"/>
      <c r="WMF11" s="2235"/>
      <c r="WMG11" s="2235"/>
      <c r="WMH11" s="2235"/>
      <c r="WMI11" s="2235"/>
      <c r="WMJ11" s="2235"/>
      <c r="WMK11" s="2235"/>
      <c r="WML11" s="2235"/>
      <c r="WMM11" s="2235"/>
      <c r="WMN11" s="2235"/>
      <c r="WMO11" s="2235"/>
      <c r="WMP11" s="2235"/>
      <c r="WMQ11" s="2235"/>
      <c r="WMR11" s="2235"/>
      <c r="WMS11" s="2235"/>
      <c r="WMT11" s="2235"/>
      <c r="WMU11" s="2235"/>
      <c r="WMV11" s="2235"/>
      <c r="WMW11" s="2235"/>
      <c r="WMX11" s="2235"/>
      <c r="WMY11" s="2235"/>
      <c r="WMZ11" s="2235"/>
      <c r="WNA11" s="2235"/>
      <c r="WNB11" s="2235"/>
      <c r="WNC11" s="2235"/>
      <c r="WND11" s="2235"/>
      <c r="WNE11" s="2235"/>
      <c r="WNF11" s="2235"/>
      <c r="WNG11" s="2235"/>
      <c r="WNH11" s="2235"/>
      <c r="WNI11" s="2235"/>
      <c r="WNJ11" s="2235"/>
      <c r="WNK11" s="2235"/>
      <c r="WNL11" s="2235"/>
      <c r="WNM11" s="2235"/>
      <c r="WNN11" s="2235"/>
      <c r="WNO11" s="2235"/>
      <c r="WNP11" s="2235"/>
      <c r="WNQ11" s="2235"/>
      <c r="WNR11" s="2235"/>
      <c r="WNS11" s="2235"/>
      <c r="WNT11" s="2235"/>
      <c r="WNU11" s="2235"/>
      <c r="WNV11" s="2235"/>
      <c r="WNW11" s="2235"/>
      <c r="WNX11" s="2235"/>
      <c r="WNY11" s="2235"/>
      <c r="WNZ11" s="2235"/>
      <c r="WOA11" s="2235"/>
      <c r="WOB11" s="2235"/>
      <c r="WOC11" s="2235"/>
      <c r="WOD11" s="2235"/>
      <c r="WOE11" s="2235"/>
      <c r="WOF11" s="2235"/>
      <c r="WOG11" s="2235"/>
      <c r="WOH11" s="2235"/>
      <c r="WOI11" s="2235"/>
      <c r="WOJ11" s="2235"/>
      <c r="WOK11" s="2235"/>
      <c r="WOL11" s="2235"/>
      <c r="WOM11" s="2235"/>
      <c r="WON11" s="2235"/>
      <c r="WOO11" s="2235"/>
      <c r="WOP11" s="2235"/>
      <c r="WOQ11" s="2235"/>
      <c r="WOR11" s="2235"/>
      <c r="WOS11" s="2235"/>
      <c r="WOT11" s="2235"/>
      <c r="WOU11" s="2235"/>
      <c r="WOV11" s="2235"/>
      <c r="WOW11" s="2235"/>
      <c r="WOX11" s="2235"/>
      <c r="WOY11" s="2235"/>
      <c r="WOZ11" s="2235"/>
      <c r="WPA11" s="2235"/>
      <c r="WPB11" s="2235"/>
      <c r="WPC11" s="2235"/>
      <c r="WPD11" s="2235"/>
      <c r="WPE11" s="2235"/>
      <c r="WPF11" s="2235"/>
      <c r="WPG11" s="2235"/>
      <c r="WPH11" s="2235"/>
      <c r="WPI11" s="2235"/>
      <c r="WPJ11" s="2235"/>
      <c r="WPK11" s="2235"/>
      <c r="WPL11" s="2235"/>
      <c r="WPM11" s="2235"/>
      <c r="WPN11" s="2235"/>
      <c r="WPO11" s="2235"/>
      <c r="WPP11" s="2235"/>
      <c r="WPQ11" s="2235"/>
      <c r="WPR11" s="2235"/>
      <c r="WPS11" s="2235"/>
      <c r="WPT11" s="2235"/>
      <c r="WPU11" s="2235"/>
      <c r="WPV11" s="2235"/>
      <c r="WPW11" s="2235"/>
      <c r="WPX11" s="2235"/>
      <c r="WPY11" s="2235"/>
      <c r="WPZ11" s="2235"/>
      <c r="WQA11" s="2235"/>
      <c r="WQB11" s="2235"/>
      <c r="WQC11" s="2235"/>
      <c r="WQD11" s="2235"/>
      <c r="WQE11" s="2235"/>
      <c r="WQF11" s="2235"/>
      <c r="WQG11" s="2235"/>
      <c r="WQH11" s="2235"/>
      <c r="WQI11" s="2235"/>
      <c r="WQJ11" s="2235"/>
      <c r="WQK11" s="2235"/>
      <c r="WQL11" s="2235"/>
      <c r="WQM11" s="2235"/>
      <c r="WQN11" s="2235"/>
      <c r="WQO11" s="2235"/>
      <c r="WQP11" s="2235"/>
      <c r="WQQ11" s="2235"/>
      <c r="WQR11" s="2235"/>
      <c r="WQS11" s="2235"/>
      <c r="WQT11" s="2235"/>
      <c r="WQU11" s="2235"/>
      <c r="WQV11" s="2235"/>
      <c r="WQW11" s="2235"/>
      <c r="WQX11" s="2235"/>
      <c r="WQY11" s="2235"/>
      <c r="WQZ11" s="2235"/>
      <c r="WRA11" s="2235"/>
      <c r="WRB11" s="2235"/>
      <c r="WRC11" s="2235"/>
      <c r="WRD11" s="2235"/>
      <c r="WRE11" s="2235"/>
      <c r="WRF11" s="2235"/>
      <c r="WRG11" s="2235"/>
      <c r="WRH11" s="2235"/>
      <c r="WRI11" s="2235"/>
      <c r="WRJ11" s="2235"/>
      <c r="WRK11" s="2235"/>
      <c r="WRL11" s="2235"/>
      <c r="WRM11" s="2235"/>
      <c r="WRN11" s="2235"/>
      <c r="WRO11" s="2235"/>
      <c r="WRP11" s="2235"/>
      <c r="WRQ11" s="2235"/>
      <c r="WRR11" s="2235"/>
      <c r="WRS11" s="2235"/>
      <c r="WRT11" s="2235"/>
      <c r="WRU11" s="2235"/>
      <c r="WRV11" s="2235"/>
      <c r="WRW11" s="2235"/>
      <c r="WRX11" s="2235"/>
      <c r="WRY11" s="2235"/>
      <c r="WRZ11" s="2235"/>
      <c r="WSA11" s="2235"/>
      <c r="WSB11" s="2235"/>
      <c r="WSC11" s="2235"/>
      <c r="WSD11" s="2235"/>
      <c r="WSE11" s="2235"/>
      <c r="WSF11" s="2235"/>
      <c r="WSG11" s="2235"/>
      <c r="WSH11" s="2235"/>
      <c r="WSI11" s="2235"/>
      <c r="WSJ11" s="2235"/>
      <c r="WSK11" s="2235"/>
      <c r="WSL11" s="2235"/>
      <c r="WSM11" s="2235"/>
      <c r="WSN11" s="2235"/>
      <c r="WSO11" s="2235"/>
      <c r="WSP11" s="2235"/>
      <c r="WSQ11" s="2235"/>
      <c r="WSR11" s="2235"/>
      <c r="WSS11" s="2235"/>
      <c r="WST11" s="2235"/>
      <c r="WSU11" s="2235"/>
      <c r="WSV11" s="2235"/>
      <c r="WSW11" s="2235"/>
      <c r="WSX11" s="2235"/>
      <c r="WSY11" s="2235"/>
      <c r="WSZ11" s="2235"/>
      <c r="WTA11" s="2235"/>
      <c r="WTB11" s="2235"/>
      <c r="WTC11" s="2235"/>
      <c r="WTD11" s="2235"/>
      <c r="WTE11" s="2235"/>
      <c r="WTF11" s="2235"/>
      <c r="WTG11" s="2235"/>
      <c r="WTH11" s="2235"/>
      <c r="WTI11" s="2235"/>
      <c r="WTJ11" s="2235"/>
      <c r="WTK11" s="2235"/>
      <c r="WTL11" s="2235"/>
      <c r="WTM11" s="2235"/>
      <c r="WTN11" s="2235"/>
      <c r="WTO11" s="2235"/>
      <c r="WTP11" s="2235"/>
      <c r="WTQ11" s="2235"/>
      <c r="WTR11" s="2235"/>
      <c r="WTS11" s="2235"/>
      <c r="WTT11" s="2235"/>
      <c r="WTU11" s="2235"/>
      <c r="WTV11" s="2235"/>
      <c r="WTW11" s="2235"/>
      <c r="WTX11" s="2235"/>
      <c r="WTY11" s="2235"/>
      <c r="WTZ11" s="2235"/>
      <c r="WUA11" s="2235"/>
      <c r="WUB11" s="2235"/>
      <c r="WUC11" s="2235"/>
      <c r="WUD11" s="2235"/>
      <c r="WUE11" s="2235"/>
      <c r="WUF11" s="2235"/>
      <c r="WUG11" s="2235"/>
      <c r="WUH11" s="2235"/>
      <c r="WUI11" s="2235"/>
      <c r="WUJ11" s="2235"/>
      <c r="WUK11" s="2235"/>
      <c r="WUL11" s="2235"/>
      <c r="WUM11" s="2235"/>
      <c r="WUN11" s="2235"/>
      <c r="WUO11" s="2235"/>
      <c r="WUP11" s="2235"/>
      <c r="WUQ11" s="2235"/>
      <c r="WUR11" s="2235"/>
      <c r="WUS11" s="2235"/>
      <c r="WUT11" s="2235"/>
      <c r="WUU11" s="2235"/>
      <c r="WUV11" s="2235"/>
      <c r="WUW11" s="2235"/>
      <c r="WUX11" s="2235"/>
      <c r="WUY11" s="2235"/>
      <c r="WUZ11" s="2235"/>
      <c r="WVA11" s="2235"/>
      <c r="WVB11" s="2235"/>
      <c r="WVC11" s="2235"/>
      <c r="WVD11" s="2235"/>
      <c r="WVE11" s="2235"/>
      <c r="WVF11" s="2235"/>
      <c r="WVG11" s="2235"/>
      <c r="WVH11" s="2235"/>
      <c r="WVI11" s="2235"/>
      <c r="WVJ11" s="2235"/>
      <c r="WVK11" s="2235"/>
      <c r="WVL11" s="2235"/>
      <c r="WVM11" s="2235"/>
      <c r="WVN11" s="2235"/>
      <c r="WVO11" s="2235"/>
      <c r="WVP11" s="2235"/>
      <c r="WVQ11" s="2235"/>
      <c r="WVR11" s="2235"/>
      <c r="WVS11" s="2235"/>
      <c r="WVT11" s="2235"/>
      <c r="WVU11" s="2235"/>
      <c r="WVV11" s="2235"/>
      <c r="WVW11" s="2235"/>
      <c r="WVX11" s="2235"/>
      <c r="WVY11" s="2235"/>
      <c r="WVZ11" s="2235"/>
      <c r="WWA11" s="2235"/>
      <c r="WWB11" s="2235"/>
      <c r="WWC11" s="2235"/>
      <c r="WWD11" s="2235"/>
      <c r="WWE11" s="2235"/>
      <c r="WWF11" s="2235"/>
      <c r="WWG11" s="2235"/>
      <c r="WWH11" s="2235"/>
      <c r="WWI11" s="2235"/>
      <c r="WWJ11" s="2235"/>
      <c r="WWK11" s="2235"/>
      <c r="WWL11" s="2235"/>
      <c r="WWM11" s="2235"/>
      <c r="WWN11" s="2235"/>
      <c r="WWO11" s="2235"/>
      <c r="WWP11" s="2235"/>
      <c r="WWQ11" s="2235"/>
      <c r="WWR11" s="2235"/>
      <c r="WWS11" s="2235"/>
      <c r="WWT11" s="2235"/>
      <c r="WWU11" s="2235"/>
      <c r="WWV11" s="2235"/>
      <c r="WWW11" s="2235"/>
      <c r="WWX11" s="2235"/>
      <c r="WWY11" s="2235"/>
      <c r="WWZ11" s="2235"/>
      <c r="WXA11" s="2235"/>
      <c r="WXB11" s="2235"/>
      <c r="WXC11" s="2235"/>
      <c r="WXD11" s="2235"/>
      <c r="WXE11" s="2235"/>
      <c r="WXF11" s="2235"/>
      <c r="WXG11" s="2235"/>
      <c r="WXH11" s="2235"/>
      <c r="WXI11" s="2235"/>
      <c r="WXJ11" s="2235"/>
      <c r="WXK11" s="2235"/>
      <c r="WXL11" s="2235"/>
      <c r="WXM11" s="2235"/>
      <c r="WXN11" s="2235"/>
      <c r="WXO11" s="2235"/>
      <c r="WXP11" s="2235"/>
      <c r="WXQ11" s="2235"/>
      <c r="WXR11" s="2235"/>
      <c r="WXS11" s="2235"/>
      <c r="WXT11" s="2235"/>
      <c r="WXU11" s="2235"/>
      <c r="WXV11" s="2235"/>
      <c r="WXW11" s="2235"/>
      <c r="WXX11" s="2235"/>
      <c r="WXY11" s="2235"/>
      <c r="WXZ11" s="2235"/>
      <c r="WYA11" s="2235"/>
      <c r="WYB11" s="2235"/>
      <c r="WYC11" s="2235"/>
      <c r="WYD11" s="2235"/>
      <c r="WYE11" s="2235"/>
      <c r="WYF11" s="2235"/>
      <c r="WYG11" s="2235"/>
      <c r="WYH11" s="2235"/>
      <c r="WYI11" s="2235"/>
      <c r="WYJ11" s="2235"/>
      <c r="WYK11" s="2235"/>
      <c r="WYL11" s="2235"/>
      <c r="WYM11" s="2235"/>
      <c r="WYN11" s="2235"/>
      <c r="WYO11" s="2235"/>
      <c r="WYP11" s="2235"/>
      <c r="WYQ11" s="2235"/>
      <c r="WYR11" s="2235"/>
      <c r="WYS11" s="2235"/>
      <c r="WYT11" s="2235"/>
      <c r="WYU11" s="2235"/>
      <c r="WYV11" s="2235"/>
      <c r="WYW11" s="2235"/>
      <c r="WYX11" s="2235"/>
      <c r="WYY11" s="2235"/>
      <c r="WYZ11" s="2235"/>
      <c r="WZA11" s="2235"/>
      <c r="WZB11" s="2235"/>
      <c r="WZC11" s="2235"/>
      <c r="WZD11" s="2235"/>
      <c r="WZE11" s="2235"/>
      <c r="WZF11" s="2235"/>
      <c r="WZG11" s="2235"/>
      <c r="WZH11" s="2235"/>
      <c r="WZI11" s="2235"/>
      <c r="WZJ11" s="2235"/>
      <c r="WZK11" s="2235"/>
      <c r="WZL11" s="2235"/>
      <c r="WZM11" s="2235"/>
      <c r="WZN11" s="2235"/>
      <c r="WZO11" s="2235"/>
      <c r="WZP11" s="2235"/>
      <c r="WZQ11" s="2235"/>
      <c r="WZR11" s="2235"/>
      <c r="WZS11" s="2235"/>
      <c r="WZT11" s="2235"/>
      <c r="WZU11" s="2235"/>
      <c r="WZV11" s="2235"/>
      <c r="WZW11" s="2235"/>
      <c r="WZX11" s="2235"/>
      <c r="WZY11" s="2235"/>
      <c r="WZZ11" s="2235"/>
      <c r="XAA11" s="2235"/>
      <c r="XAB11" s="2235"/>
      <c r="XAC11" s="2235"/>
      <c r="XAD11" s="2235"/>
      <c r="XAE11" s="2235"/>
      <c r="XAF11" s="2235"/>
      <c r="XAG11" s="2235"/>
      <c r="XAH11" s="2235"/>
      <c r="XAI11" s="2235"/>
      <c r="XAJ11" s="2235"/>
      <c r="XAK11" s="2235"/>
      <c r="XAL11" s="2235"/>
      <c r="XAM11" s="2235"/>
      <c r="XAN11" s="2235"/>
      <c r="XAO11" s="2235"/>
      <c r="XAP11" s="2235"/>
      <c r="XAQ11" s="2235"/>
      <c r="XAR11" s="2235"/>
      <c r="XAS11" s="2235"/>
      <c r="XAT11" s="2235"/>
      <c r="XAU11" s="2235"/>
      <c r="XAV11" s="2235"/>
      <c r="XAW11" s="2235"/>
      <c r="XAX11" s="2235"/>
      <c r="XAY11" s="2235"/>
      <c r="XAZ11" s="2235"/>
      <c r="XBA11" s="2235"/>
      <c r="XBB11" s="2235"/>
      <c r="XBC11" s="2235"/>
      <c r="XBD11" s="2235"/>
      <c r="XBE11" s="2235"/>
      <c r="XBF11" s="2235"/>
      <c r="XBG11" s="2235"/>
      <c r="XBH11" s="2235"/>
      <c r="XBI11" s="2235"/>
      <c r="XBJ11" s="2235"/>
      <c r="XBK11" s="2235"/>
      <c r="XBL11" s="2235"/>
      <c r="XBM11" s="2235"/>
      <c r="XBN11" s="2235"/>
      <c r="XBO11" s="2235"/>
      <c r="XBP11" s="2235"/>
      <c r="XBQ11" s="2235"/>
      <c r="XBR11" s="2235"/>
      <c r="XBS11" s="2235"/>
      <c r="XBT11" s="2235"/>
      <c r="XBU11" s="2235"/>
      <c r="XBV11" s="2235"/>
      <c r="XBW11" s="2235"/>
      <c r="XBX11" s="2235"/>
      <c r="XBY11" s="2235"/>
      <c r="XBZ11" s="2235"/>
      <c r="XCA11" s="2235"/>
      <c r="XCB11" s="2235"/>
      <c r="XCC11" s="2235"/>
      <c r="XCD11" s="2235"/>
      <c r="XCE11" s="2235"/>
      <c r="XCF11" s="2235"/>
      <c r="XCG11" s="2235"/>
      <c r="XCH11" s="2235"/>
      <c r="XCI11" s="2235"/>
      <c r="XCJ11" s="2235"/>
      <c r="XCK11" s="2235"/>
      <c r="XCL11" s="2235"/>
      <c r="XCM11" s="2235"/>
      <c r="XCN11" s="2235"/>
      <c r="XCO11" s="2235"/>
      <c r="XCP11" s="2235"/>
      <c r="XCQ11" s="2235"/>
      <c r="XCR11" s="2235"/>
      <c r="XCS11" s="2235"/>
      <c r="XCT11" s="2235"/>
      <c r="XCU11" s="2235"/>
      <c r="XCV11" s="2235"/>
      <c r="XCW11" s="2235"/>
      <c r="XCX11" s="2235"/>
      <c r="XCY11" s="2235"/>
      <c r="XCZ11" s="2235"/>
      <c r="XDA11" s="2235"/>
      <c r="XDB11" s="2235"/>
      <c r="XDC11" s="2235"/>
      <c r="XDD11" s="2235"/>
      <c r="XDE11" s="2235"/>
      <c r="XDF11" s="2235"/>
      <c r="XDG11" s="2235"/>
      <c r="XDH11" s="2235"/>
      <c r="XDI11" s="2235"/>
      <c r="XDJ11" s="2235"/>
      <c r="XDK11" s="2235"/>
      <c r="XDL11" s="2235"/>
      <c r="XDM11" s="2235"/>
      <c r="XDN11" s="2235"/>
      <c r="XDO11" s="2235"/>
      <c r="XDP11" s="2235"/>
      <c r="XDQ11" s="2235"/>
      <c r="XDR11" s="2235"/>
      <c r="XDS11" s="2235"/>
      <c r="XDT11" s="2235"/>
      <c r="XDU11" s="2235"/>
      <c r="XDV11" s="2235"/>
      <c r="XDW11" s="2235"/>
      <c r="XDX11" s="2235"/>
      <c r="XDY11" s="2235"/>
    </row>
    <row r="15" spans="1:16353" s="3762" customFormat="1" ht="27" customHeight="1">
      <c r="A15" s="3757" t="s">
        <v>3470</v>
      </c>
      <c r="B15" s="3757" t="s">
        <v>2146</v>
      </c>
      <c r="C15" s="3757" t="s">
        <v>3471</v>
      </c>
      <c r="D15" s="3758" t="s">
        <v>3472</v>
      </c>
      <c r="E15" s="3758"/>
      <c r="F15" s="3757" t="s">
        <v>3473</v>
      </c>
      <c r="G15" s="3757"/>
      <c r="H15" s="3759" t="s">
        <v>3474</v>
      </c>
      <c r="I15" s="3757" t="s">
        <v>3475</v>
      </c>
      <c r="J15" s="3760" t="s">
        <v>3476</v>
      </c>
      <c r="K15" s="3760"/>
      <c r="L15" s="3761"/>
      <c r="M15" s="3761"/>
      <c r="N15" s="3761"/>
      <c r="O15" s="3761"/>
      <c r="P15" s="3761"/>
    </row>
    <row r="16" spans="1:16353" s="3765" customFormat="1" ht="81">
      <c r="A16" s="3757"/>
      <c r="B16" s="3757"/>
      <c r="C16" s="3757"/>
      <c r="D16" s="3763" t="s">
        <v>3371</v>
      </c>
      <c r="E16" s="3763" t="s">
        <v>3372</v>
      </c>
      <c r="F16" s="3763" t="s">
        <v>3477</v>
      </c>
      <c r="G16" s="3763" t="s">
        <v>3478</v>
      </c>
      <c r="H16" s="3764"/>
      <c r="I16" s="3757"/>
      <c r="J16" s="3760"/>
      <c r="K16" s="3760"/>
      <c r="L16" s="3421"/>
      <c r="M16" s="3421"/>
      <c r="N16" s="3421"/>
      <c r="O16" s="3421"/>
      <c r="P16" s="3421"/>
    </row>
    <row r="17" spans="1:16" s="3771" customFormat="1" ht="14.25" customHeight="1">
      <c r="A17" s="3766">
        <v>4</v>
      </c>
      <c r="B17" s="3766" t="s">
        <v>3481</v>
      </c>
      <c r="C17" s="3767" t="s">
        <v>3479</v>
      </c>
      <c r="D17" s="3766">
        <v>84.72</v>
      </c>
      <c r="E17" s="3766">
        <v>44.73</v>
      </c>
      <c r="F17" s="3766">
        <v>36436.78</v>
      </c>
      <c r="G17" s="3766">
        <v>98258.5</v>
      </c>
      <c r="H17" s="3767">
        <v>0.18007912877011065</v>
      </c>
      <c r="I17" s="3768">
        <v>44986</v>
      </c>
      <c r="J17" s="3769">
        <f>ROUND((F17+G17)/D17,0)</f>
        <v>1590</v>
      </c>
      <c r="K17" s="3769"/>
      <c r="L17" s="3770"/>
      <c r="M17" s="3770"/>
      <c r="N17" s="3770"/>
      <c r="O17" s="3770"/>
      <c r="P17" s="3770"/>
    </row>
    <row r="18" spans="1:16" s="3762" customFormat="1">
      <c r="A18" s="3758">
        <v>10</v>
      </c>
      <c r="B18" s="3758" t="s">
        <v>3480</v>
      </c>
      <c r="C18" s="3772" t="s">
        <v>3479</v>
      </c>
      <c r="D18" s="3758">
        <v>24.25</v>
      </c>
      <c r="E18" s="3758">
        <v>7.26</v>
      </c>
      <c r="F18" s="3758">
        <v>3879.88</v>
      </c>
      <c r="G18" s="3758">
        <v>20568.54</v>
      </c>
      <c r="H18" s="3772">
        <v>1.2334725731683311E-2</v>
      </c>
      <c r="I18" s="3773">
        <v>44621</v>
      </c>
      <c r="J18" s="3774">
        <f>ROUND((F18+G18)/D18,0)</f>
        <v>1008</v>
      </c>
      <c r="K18" s="3774"/>
      <c r="L18" s="3761"/>
      <c r="M18" s="3761"/>
      <c r="N18" s="3761"/>
      <c r="O18" s="3761"/>
      <c r="P18" s="3761"/>
    </row>
  </sheetData>
  <mergeCells count="24">
    <mergeCell ref="I15:I16"/>
    <mergeCell ref="J15:J16"/>
    <mergeCell ref="K15:K16"/>
    <mergeCell ref="A15:A16"/>
    <mergeCell ref="B15:B16"/>
    <mergeCell ref="C15:C16"/>
    <mergeCell ref="F15:G15"/>
    <mergeCell ref="H15:H16"/>
    <mergeCell ref="F1:F2"/>
    <mergeCell ref="A1:A2"/>
    <mergeCell ref="B1:B2"/>
    <mergeCell ref="C1:C2"/>
    <mergeCell ref="D1:D2"/>
    <mergeCell ref="E1:E2"/>
    <mergeCell ref="N1:N2"/>
    <mergeCell ref="O1:O2"/>
    <mergeCell ref="P1:P2"/>
    <mergeCell ref="Q1:Q2"/>
    <mergeCell ref="G1:G2"/>
    <mergeCell ref="H1:H2"/>
    <mergeCell ref="I1:I2"/>
    <mergeCell ref="J1:J2"/>
    <mergeCell ref="K1:K2"/>
    <mergeCell ref="L1:M1"/>
  </mergeCells>
  <phoneticPr fontId="224" type="noConversion"/>
  <dataValidations count="1">
    <dataValidation type="list" allowBlank="1" showInputMessage="1" showErrorMessage="1" sqref="F8:F10" xr:uid="{4F9215D8-9C76-4028-99C4-0C86BA37D5C3}">
      <formula1>"公开出让,协议出让,划拨"</formula1>
    </dataValidation>
  </dataValidations>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F41B0A-4FA5-4829-89F0-4FB84686BD69}">
  <dimension ref="B3:E20"/>
  <sheetViews>
    <sheetView workbookViewId="0">
      <selection activeCell="G7" sqref="G7"/>
    </sheetView>
  </sheetViews>
  <sheetFormatPr defaultRowHeight="13.5"/>
  <cols>
    <col min="1" max="2" width="14.75" style="2" customWidth="1"/>
    <col min="3" max="5" width="18.875" style="2" customWidth="1"/>
    <col min="6" max="6" width="14.75" style="2" customWidth="1"/>
    <col min="7" max="16384" width="9" style="2"/>
  </cols>
  <sheetData>
    <row r="3" spans="2:5">
      <c r="B3" s="3421"/>
      <c r="C3" s="3718" t="s">
        <v>3429</v>
      </c>
      <c r="D3" s="3719"/>
      <c r="E3" s="3719"/>
    </row>
    <row r="4" spans="2:5">
      <c r="B4" s="3421"/>
      <c r="C4" s="3718" t="s">
        <v>3430</v>
      </c>
      <c r="D4" s="3719"/>
      <c r="E4" s="3719"/>
    </row>
    <row r="5" spans="2:5">
      <c r="B5" s="3421"/>
      <c r="C5" s="3421" t="s">
        <v>3431</v>
      </c>
      <c r="D5" s="3421" t="s">
        <v>3431</v>
      </c>
      <c r="E5" s="3421" t="s">
        <v>3432</v>
      </c>
    </row>
    <row r="6" spans="2:5" ht="27">
      <c r="B6" s="3421" t="s">
        <v>3433</v>
      </c>
      <c r="C6" s="3421" t="s">
        <v>3434</v>
      </c>
      <c r="D6" s="3421" t="s">
        <v>3435</v>
      </c>
      <c r="E6" s="3421" t="s">
        <v>3436</v>
      </c>
    </row>
    <row r="7" spans="2:5" ht="27">
      <c r="B7" s="3421" t="s">
        <v>3437</v>
      </c>
      <c r="C7" s="3421" t="s">
        <v>3438</v>
      </c>
      <c r="D7" s="3421" t="s">
        <v>3438</v>
      </c>
      <c r="E7" s="3421" t="s">
        <v>3439</v>
      </c>
    </row>
    <row r="8" spans="2:5" ht="27">
      <c r="B8" s="3421" t="s">
        <v>3440</v>
      </c>
      <c r="C8" s="3421" t="s">
        <v>3441</v>
      </c>
      <c r="D8" s="3421" t="s">
        <v>3441</v>
      </c>
      <c r="E8" s="3421" t="s">
        <v>3441</v>
      </c>
    </row>
    <row r="9" spans="2:5">
      <c r="B9" s="3421" t="s">
        <v>3442</v>
      </c>
      <c r="C9" s="3422">
        <v>43525</v>
      </c>
      <c r="D9" s="3422">
        <v>43525</v>
      </c>
      <c r="E9" s="3422">
        <v>43983</v>
      </c>
    </row>
    <row r="10" spans="2:5">
      <c r="B10" s="3421" t="s">
        <v>3443</v>
      </c>
      <c r="C10" s="3421" t="s">
        <v>3444</v>
      </c>
      <c r="D10" s="3421" t="s">
        <v>3445</v>
      </c>
      <c r="E10" s="3421" t="s">
        <v>3445</v>
      </c>
    </row>
    <row r="11" spans="2:5">
      <c r="B11" s="3421" t="s">
        <v>3446</v>
      </c>
      <c r="C11" s="3421" t="s">
        <v>3447</v>
      </c>
      <c r="D11" s="3421" t="s">
        <v>3447</v>
      </c>
      <c r="E11" s="3421" t="s">
        <v>3447</v>
      </c>
    </row>
    <row r="12" spans="2:5">
      <c r="B12" s="3421" t="s">
        <v>3448</v>
      </c>
      <c r="C12" s="3421" t="s">
        <v>905</v>
      </c>
      <c r="D12" s="3421" t="s">
        <v>905</v>
      </c>
      <c r="E12" s="3421" t="s">
        <v>905</v>
      </c>
    </row>
    <row r="13" spans="2:5" ht="27">
      <c r="B13" s="3421" t="s">
        <v>3449</v>
      </c>
      <c r="C13" s="3421" t="s">
        <v>3450</v>
      </c>
      <c r="D13" s="3421" t="s">
        <v>3450</v>
      </c>
      <c r="E13" s="3421" t="s">
        <v>3450</v>
      </c>
    </row>
    <row r="14" spans="2:5">
      <c r="B14" s="3421" t="s">
        <v>3451</v>
      </c>
      <c r="C14" s="3421">
        <v>57037.940999999999</v>
      </c>
      <c r="D14" s="3421">
        <v>63417.17</v>
      </c>
      <c r="E14" s="3421">
        <v>3586.3</v>
      </c>
    </row>
    <row r="15" spans="2:5" ht="27">
      <c r="B15" s="3421" t="s">
        <v>3452</v>
      </c>
      <c r="C15" s="3421">
        <v>4319</v>
      </c>
      <c r="D15" s="3421">
        <v>4319</v>
      </c>
      <c r="E15" s="3421">
        <v>4577</v>
      </c>
    </row>
    <row r="16" spans="2:5">
      <c r="B16" s="3421" t="s">
        <v>3453</v>
      </c>
      <c r="C16" s="3421">
        <v>1</v>
      </c>
      <c r="D16" s="3421">
        <v>1</v>
      </c>
      <c r="E16" s="3421">
        <v>1</v>
      </c>
    </row>
    <row r="17" spans="2:5" ht="27">
      <c r="B17" s="3421" t="s">
        <v>3454</v>
      </c>
      <c r="C17" s="3421">
        <v>4319</v>
      </c>
      <c r="D17" s="3421">
        <v>4319</v>
      </c>
      <c r="E17" s="3421">
        <v>4577</v>
      </c>
    </row>
    <row r="18" spans="2:5" ht="27">
      <c r="B18" s="3421" t="s">
        <v>3455</v>
      </c>
      <c r="C18" s="3421">
        <v>287.93</v>
      </c>
      <c r="D18" s="3421">
        <v>287.93</v>
      </c>
      <c r="E18" s="3421">
        <v>305.13</v>
      </c>
    </row>
    <row r="19" spans="2:5" ht="27">
      <c r="B19" s="3421" t="s">
        <v>3456</v>
      </c>
      <c r="C19" s="3718">
        <v>4183</v>
      </c>
      <c r="D19" s="3719"/>
      <c r="E19" s="3719"/>
    </row>
    <row r="20" spans="2:5" ht="27">
      <c r="B20" s="3421" t="s">
        <v>3457</v>
      </c>
      <c r="C20" s="3718">
        <v>278.87</v>
      </c>
      <c r="D20" s="3719"/>
      <c r="E20" s="3719"/>
    </row>
  </sheetData>
  <mergeCells count="4">
    <mergeCell ref="C19:E19"/>
    <mergeCell ref="C20:E20"/>
    <mergeCell ref="C3:E3"/>
    <mergeCell ref="C4:E4"/>
  </mergeCells>
  <phoneticPr fontId="224"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sheetPr>
  <dimension ref="A1:W44"/>
  <sheetViews>
    <sheetView zoomScale="80" zoomScaleNormal="80" workbookViewId="0">
      <selection activeCell="C24" sqref="C24:C524"/>
    </sheetView>
  </sheetViews>
  <sheetFormatPr defaultRowHeight="13.15" customHeight="1"/>
  <cols>
    <col min="1" max="1" width="9.5" style="2826" customWidth="1"/>
    <col min="2" max="2" width="8.875" style="2826"/>
    <col min="3" max="5" width="12.875" style="2826" customWidth="1"/>
    <col min="6" max="6" width="47.5" style="2826" customWidth="1"/>
    <col min="7" max="7" width="13" style="2820" customWidth="1"/>
    <col min="8" max="8" width="8.875" style="2820"/>
    <col min="9" max="9" width="8.875" style="2821"/>
    <col min="10" max="10" width="5.75" style="2981" customWidth="1"/>
    <col min="11" max="11" width="11.75" style="2981" customWidth="1"/>
    <col min="12" max="13" width="10.75" style="2981" customWidth="1"/>
    <col min="14" max="14" width="10" style="2981" customWidth="1"/>
    <col min="15" max="16" width="10.5" style="2981" bestFit="1" customWidth="1"/>
    <col min="17" max="17" width="10" style="2981" customWidth="1"/>
    <col min="18" max="18" width="10.125" style="2981" customWidth="1"/>
    <col min="19" max="19" width="10" style="2981" customWidth="1"/>
    <col min="20" max="20" width="26.125" style="2981" customWidth="1"/>
    <col min="21" max="21" width="8.875" style="2981"/>
    <col min="22" max="22" width="8.875" style="2821"/>
    <col min="23" max="256" width="8.875" style="2826"/>
    <col min="257" max="257" width="9.5" style="2826" customWidth="1"/>
    <col min="258" max="258" width="8.875" style="2826"/>
    <col min="259" max="261" width="12.875" style="2826" customWidth="1"/>
    <col min="262" max="262" width="47.5" style="2826" customWidth="1"/>
    <col min="263" max="263" width="13" style="2826" customWidth="1"/>
    <col min="264" max="265" width="8.875" style="2826"/>
    <col min="266" max="266" width="5.75" style="2826" customWidth="1"/>
    <col min="267" max="267" width="11.75" style="2826" customWidth="1"/>
    <col min="268" max="269" width="10.75" style="2826" customWidth="1"/>
    <col min="270" max="270" width="10" style="2826" customWidth="1"/>
    <col min="271" max="272" width="10.5" style="2826" bestFit="1" customWidth="1"/>
    <col min="273" max="273" width="10" style="2826" customWidth="1"/>
    <col min="274" max="274" width="10.125" style="2826" customWidth="1"/>
    <col min="275" max="275" width="10" style="2826" customWidth="1"/>
    <col min="276" max="276" width="26.125" style="2826" customWidth="1"/>
    <col min="277" max="512" width="8.875" style="2826"/>
    <col min="513" max="513" width="9.5" style="2826" customWidth="1"/>
    <col min="514" max="514" width="8.875" style="2826"/>
    <col min="515" max="517" width="12.875" style="2826" customWidth="1"/>
    <col min="518" max="518" width="47.5" style="2826" customWidth="1"/>
    <col min="519" max="519" width="13" style="2826" customWidth="1"/>
    <col min="520" max="521" width="8.875" style="2826"/>
    <col min="522" max="522" width="5.75" style="2826" customWidth="1"/>
    <col min="523" max="523" width="11.75" style="2826" customWidth="1"/>
    <col min="524" max="525" width="10.75" style="2826" customWidth="1"/>
    <col min="526" max="526" width="10" style="2826" customWidth="1"/>
    <col min="527" max="528" width="10.5" style="2826" bestFit="1" customWidth="1"/>
    <col min="529" max="529" width="10" style="2826" customWidth="1"/>
    <col min="530" max="530" width="10.125" style="2826" customWidth="1"/>
    <col min="531" max="531" width="10" style="2826" customWidth="1"/>
    <col min="532" max="532" width="26.125" style="2826" customWidth="1"/>
    <col min="533" max="768" width="8.875" style="2826"/>
    <col min="769" max="769" width="9.5" style="2826" customWidth="1"/>
    <col min="770" max="770" width="8.875" style="2826"/>
    <col min="771" max="773" width="12.875" style="2826" customWidth="1"/>
    <col min="774" max="774" width="47.5" style="2826" customWidth="1"/>
    <col min="775" max="775" width="13" style="2826" customWidth="1"/>
    <col min="776" max="777" width="8.875" style="2826"/>
    <col min="778" max="778" width="5.75" style="2826" customWidth="1"/>
    <col min="779" max="779" width="11.75" style="2826" customWidth="1"/>
    <col min="780" max="781" width="10.75" style="2826" customWidth="1"/>
    <col min="782" max="782" width="10" style="2826" customWidth="1"/>
    <col min="783" max="784" width="10.5" style="2826" bestFit="1" customWidth="1"/>
    <col min="785" max="785" width="10" style="2826" customWidth="1"/>
    <col min="786" max="786" width="10.125" style="2826" customWidth="1"/>
    <col min="787" max="787" width="10" style="2826" customWidth="1"/>
    <col min="788" max="788" width="26.125" style="2826" customWidth="1"/>
    <col min="789" max="1024" width="8.875" style="2826"/>
    <col min="1025" max="1025" width="9.5" style="2826" customWidth="1"/>
    <col min="1026" max="1026" width="8.875" style="2826"/>
    <col min="1027" max="1029" width="12.875" style="2826" customWidth="1"/>
    <col min="1030" max="1030" width="47.5" style="2826" customWidth="1"/>
    <col min="1031" max="1031" width="13" style="2826" customWidth="1"/>
    <col min="1032" max="1033" width="8.875" style="2826"/>
    <col min="1034" max="1034" width="5.75" style="2826" customWidth="1"/>
    <col min="1035" max="1035" width="11.75" style="2826" customWidth="1"/>
    <col min="1036" max="1037" width="10.75" style="2826" customWidth="1"/>
    <col min="1038" max="1038" width="10" style="2826" customWidth="1"/>
    <col min="1039" max="1040" width="10.5" style="2826" bestFit="1" customWidth="1"/>
    <col min="1041" max="1041" width="10" style="2826" customWidth="1"/>
    <col min="1042" max="1042" width="10.125" style="2826" customWidth="1"/>
    <col min="1043" max="1043" width="10" style="2826" customWidth="1"/>
    <col min="1044" max="1044" width="26.125" style="2826" customWidth="1"/>
    <col min="1045" max="1280" width="8.875" style="2826"/>
    <col min="1281" max="1281" width="9.5" style="2826" customWidth="1"/>
    <col min="1282" max="1282" width="8.875" style="2826"/>
    <col min="1283" max="1285" width="12.875" style="2826" customWidth="1"/>
    <col min="1286" max="1286" width="47.5" style="2826" customWidth="1"/>
    <col min="1287" max="1287" width="13" style="2826" customWidth="1"/>
    <col min="1288" max="1289" width="8.875" style="2826"/>
    <col min="1290" max="1290" width="5.75" style="2826" customWidth="1"/>
    <col min="1291" max="1291" width="11.75" style="2826" customWidth="1"/>
    <col min="1292" max="1293" width="10.75" style="2826" customWidth="1"/>
    <col min="1294" max="1294" width="10" style="2826" customWidth="1"/>
    <col min="1295" max="1296" width="10.5" style="2826" bestFit="1" customWidth="1"/>
    <col min="1297" max="1297" width="10" style="2826" customWidth="1"/>
    <col min="1298" max="1298" width="10.125" style="2826" customWidth="1"/>
    <col min="1299" max="1299" width="10" style="2826" customWidth="1"/>
    <col min="1300" max="1300" width="26.125" style="2826" customWidth="1"/>
    <col min="1301" max="1536" width="8.875" style="2826"/>
    <col min="1537" max="1537" width="9.5" style="2826" customWidth="1"/>
    <col min="1538" max="1538" width="8.875" style="2826"/>
    <col min="1539" max="1541" width="12.875" style="2826" customWidth="1"/>
    <col min="1542" max="1542" width="47.5" style="2826" customWidth="1"/>
    <col min="1543" max="1543" width="13" style="2826" customWidth="1"/>
    <col min="1544" max="1545" width="8.875" style="2826"/>
    <col min="1546" max="1546" width="5.75" style="2826" customWidth="1"/>
    <col min="1547" max="1547" width="11.75" style="2826" customWidth="1"/>
    <col min="1548" max="1549" width="10.75" style="2826" customWidth="1"/>
    <col min="1550" max="1550" width="10" style="2826" customWidth="1"/>
    <col min="1551" max="1552" width="10.5" style="2826" bestFit="1" customWidth="1"/>
    <col min="1553" max="1553" width="10" style="2826" customWidth="1"/>
    <col min="1554" max="1554" width="10.125" style="2826" customWidth="1"/>
    <col min="1555" max="1555" width="10" style="2826" customWidth="1"/>
    <col min="1556" max="1556" width="26.125" style="2826" customWidth="1"/>
    <col min="1557" max="1792" width="8.875" style="2826"/>
    <col min="1793" max="1793" width="9.5" style="2826" customWidth="1"/>
    <col min="1794" max="1794" width="8.875" style="2826"/>
    <col min="1795" max="1797" width="12.875" style="2826" customWidth="1"/>
    <col min="1798" max="1798" width="47.5" style="2826" customWidth="1"/>
    <col min="1799" max="1799" width="13" style="2826" customWidth="1"/>
    <col min="1800" max="1801" width="8.875" style="2826"/>
    <col min="1802" max="1802" width="5.75" style="2826" customWidth="1"/>
    <col min="1803" max="1803" width="11.75" style="2826" customWidth="1"/>
    <col min="1804" max="1805" width="10.75" style="2826" customWidth="1"/>
    <col min="1806" max="1806" width="10" style="2826" customWidth="1"/>
    <col min="1807" max="1808" width="10.5" style="2826" bestFit="1" customWidth="1"/>
    <col min="1809" max="1809" width="10" style="2826" customWidth="1"/>
    <col min="1810" max="1810" width="10.125" style="2826" customWidth="1"/>
    <col min="1811" max="1811" width="10" style="2826" customWidth="1"/>
    <col min="1812" max="1812" width="26.125" style="2826" customWidth="1"/>
    <col min="1813" max="2048" width="8.875" style="2826"/>
    <col min="2049" max="2049" width="9.5" style="2826" customWidth="1"/>
    <col min="2050" max="2050" width="8.875" style="2826"/>
    <col min="2051" max="2053" width="12.875" style="2826" customWidth="1"/>
    <col min="2054" max="2054" width="47.5" style="2826" customWidth="1"/>
    <col min="2055" max="2055" width="13" style="2826" customWidth="1"/>
    <col min="2056" max="2057" width="8.875" style="2826"/>
    <col min="2058" max="2058" width="5.75" style="2826" customWidth="1"/>
    <col min="2059" max="2059" width="11.75" style="2826" customWidth="1"/>
    <col min="2060" max="2061" width="10.75" style="2826" customWidth="1"/>
    <col min="2062" max="2062" width="10" style="2826" customWidth="1"/>
    <col min="2063" max="2064" width="10.5" style="2826" bestFit="1" customWidth="1"/>
    <col min="2065" max="2065" width="10" style="2826" customWidth="1"/>
    <col min="2066" max="2066" width="10.125" style="2826" customWidth="1"/>
    <col min="2067" max="2067" width="10" style="2826" customWidth="1"/>
    <col min="2068" max="2068" width="26.125" style="2826" customWidth="1"/>
    <col min="2069" max="2304" width="8.875" style="2826"/>
    <col min="2305" max="2305" width="9.5" style="2826" customWidth="1"/>
    <col min="2306" max="2306" width="8.875" style="2826"/>
    <col min="2307" max="2309" width="12.875" style="2826" customWidth="1"/>
    <col min="2310" max="2310" width="47.5" style="2826" customWidth="1"/>
    <col min="2311" max="2311" width="13" style="2826" customWidth="1"/>
    <col min="2312" max="2313" width="8.875" style="2826"/>
    <col min="2314" max="2314" width="5.75" style="2826" customWidth="1"/>
    <col min="2315" max="2315" width="11.75" style="2826" customWidth="1"/>
    <col min="2316" max="2317" width="10.75" style="2826" customWidth="1"/>
    <col min="2318" max="2318" width="10" style="2826" customWidth="1"/>
    <col min="2319" max="2320" width="10.5" style="2826" bestFit="1" customWidth="1"/>
    <col min="2321" max="2321" width="10" style="2826" customWidth="1"/>
    <col min="2322" max="2322" width="10.125" style="2826" customWidth="1"/>
    <col min="2323" max="2323" width="10" style="2826" customWidth="1"/>
    <col min="2324" max="2324" width="26.125" style="2826" customWidth="1"/>
    <col min="2325" max="2560" width="8.875" style="2826"/>
    <col min="2561" max="2561" width="9.5" style="2826" customWidth="1"/>
    <col min="2562" max="2562" width="8.875" style="2826"/>
    <col min="2563" max="2565" width="12.875" style="2826" customWidth="1"/>
    <col min="2566" max="2566" width="47.5" style="2826" customWidth="1"/>
    <col min="2567" max="2567" width="13" style="2826" customWidth="1"/>
    <col min="2568" max="2569" width="8.875" style="2826"/>
    <col min="2570" max="2570" width="5.75" style="2826" customWidth="1"/>
    <col min="2571" max="2571" width="11.75" style="2826" customWidth="1"/>
    <col min="2572" max="2573" width="10.75" style="2826" customWidth="1"/>
    <col min="2574" max="2574" width="10" style="2826" customWidth="1"/>
    <col min="2575" max="2576" width="10.5" style="2826" bestFit="1" customWidth="1"/>
    <col min="2577" max="2577" width="10" style="2826" customWidth="1"/>
    <col min="2578" max="2578" width="10.125" style="2826" customWidth="1"/>
    <col min="2579" max="2579" width="10" style="2826" customWidth="1"/>
    <col min="2580" max="2580" width="26.125" style="2826" customWidth="1"/>
    <col min="2581" max="2816" width="8.875" style="2826"/>
    <col min="2817" max="2817" width="9.5" style="2826" customWidth="1"/>
    <col min="2818" max="2818" width="8.875" style="2826"/>
    <col min="2819" max="2821" width="12.875" style="2826" customWidth="1"/>
    <col min="2822" max="2822" width="47.5" style="2826" customWidth="1"/>
    <col min="2823" max="2823" width="13" style="2826" customWidth="1"/>
    <col min="2824" max="2825" width="8.875" style="2826"/>
    <col min="2826" max="2826" width="5.75" style="2826" customWidth="1"/>
    <col min="2827" max="2827" width="11.75" style="2826" customWidth="1"/>
    <col min="2828" max="2829" width="10.75" style="2826" customWidth="1"/>
    <col min="2830" max="2830" width="10" style="2826" customWidth="1"/>
    <col min="2831" max="2832" width="10.5" style="2826" bestFit="1" customWidth="1"/>
    <col min="2833" max="2833" width="10" style="2826" customWidth="1"/>
    <col min="2834" max="2834" width="10.125" style="2826" customWidth="1"/>
    <col min="2835" max="2835" width="10" style="2826" customWidth="1"/>
    <col min="2836" max="2836" width="26.125" style="2826" customWidth="1"/>
    <col min="2837" max="3072" width="8.875" style="2826"/>
    <col min="3073" max="3073" width="9.5" style="2826" customWidth="1"/>
    <col min="3074" max="3074" width="8.875" style="2826"/>
    <col min="3075" max="3077" width="12.875" style="2826" customWidth="1"/>
    <col min="3078" max="3078" width="47.5" style="2826" customWidth="1"/>
    <col min="3079" max="3079" width="13" style="2826" customWidth="1"/>
    <col min="3080" max="3081" width="8.875" style="2826"/>
    <col min="3082" max="3082" width="5.75" style="2826" customWidth="1"/>
    <col min="3083" max="3083" width="11.75" style="2826" customWidth="1"/>
    <col min="3084" max="3085" width="10.75" style="2826" customWidth="1"/>
    <col min="3086" max="3086" width="10" style="2826" customWidth="1"/>
    <col min="3087" max="3088" width="10.5" style="2826" bestFit="1" customWidth="1"/>
    <col min="3089" max="3089" width="10" style="2826" customWidth="1"/>
    <col min="3090" max="3090" width="10.125" style="2826" customWidth="1"/>
    <col min="3091" max="3091" width="10" style="2826" customWidth="1"/>
    <col min="3092" max="3092" width="26.125" style="2826" customWidth="1"/>
    <col min="3093" max="3328" width="8.875" style="2826"/>
    <col min="3329" max="3329" width="9.5" style="2826" customWidth="1"/>
    <col min="3330" max="3330" width="8.875" style="2826"/>
    <col min="3331" max="3333" width="12.875" style="2826" customWidth="1"/>
    <col min="3334" max="3334" width="47.5" style="2826" customWidth="1"/>
    <col min="3335" max="3335" width="13" style="2826" customWidth="1"/>
    <col min="3336" max="3337" width="8.875" style="2826"/>
    <col min="3338" max="3338" width="5.75" style="2826" customWidth="1"/>
    <col min="3339" max="3339" width="11.75" style="2826" customWidth="1"/>
    <col min="3340" max="3341" width="10.75" style="2826" customWidth="1"/>
    <col min="3342" max="3342" width="10" style="2826" customWidth="1"/>
    <col min="3343" max="3344" width="10.5" style="2826" bestFit="1" customWidth="1"/>
    <col min="3345" max="3345" width="10" style="2826" customWidth="1"/>
    <col min="3346" max="3346" width="10.125" style="2826" customWidth="1"/>
    <col min="3347" max="3347" width="10" style="2826" customWidth="1"/>
    <col min="3348" max="3348" width="26.125" style="2826" customWidth="1"/>
    <col min="3349" max="3584" width="8.875" style="2826"/>
    <col min="3585" max="3585" width="9.5" style="2826" customWidth="1"/>
    <col min="3586" max="3586" width="8.875" style="2826"/>
    <col min="3587" max="3589" width="12.875" style="2826" customWidth="1"/>
    <col min="3590" max="3590" width="47.5" style="2826" customWidth="1"/>
    <col min="3591" max="3591" width="13" style="2826" customWidth="1"/>
    <col min="3592" max="3593" width="8.875" style="2826"/>
    <col min="3594" max="3594" width="5.75" style="2826" customWidth="1"/>
    <col min="3595" max="3595" width="11.75" style="2826" customWidth="1"/>
    <col min="3596" max="3597" width="10.75" style="2826" customWidth="1"/>
    <col min="3598" max="3598" width="10" style="2826" customWidth="1"/>
    <col min="3599" max="3600" width="10.5" style="2826" bestFit="1" customWidth="1"/>
    <col min="3601" max="3601" width="10" style="2826" customWidth="1"/>
    <col min="3602" max="3602" width="10.125" style="2826" customWidth="1"/>
    <col min="3603" max="3603" width="10" style="2826" customWidth="1"/>
    <col min="3604" max="3604" width="26.125" style="2826" customWidth="1"/>
    <col min="3605" max="3840" width="8.875" style="2826"/>
    <col min="3841" max="3841" width="9.5" style="2826" customWidth="1"/>
    <col min="3842" max="3842" width="8.875" style="2826"/>
    <col min="3843" max="3845" width="12.875" style="2826" customWidth="1"/>
    <col min="3846" max="3846" width="47.5" style="2826" customWidth="1"/>
    <col min="3847" max="3847" width="13" style="2826" customWidth="1"/>
    <col min="3848" max="3849" width="8.875" style="2826"/>
    <col min="3850" max="3850" width="5.75" style="2826" customWidth="1"/>
    <col min="3851" max="3851" width="11.75" style="2826" customWidth="1"/>
    <col min="3852" max="3853" width="10.75" style="2826" customWidth="1"/>
    <col min="3854" max="3854" width="10" style="2826" customWidth="1"/>
    <col min="3855" max="3856" width="10.5" style="2826" bestFit="1" customWidth="1"/>
    <col min="3857" max="3857" width="10" style="2826" customWidth="1"/>
    <col min="3858" max="3858" width="10.125" style="2826" customWidth="1"/>
    <col min="3859" max="3859" width="10" style="2826" customWidth="1"/>
    <col min="3860" max="3860" width="26.125" style="2826" customWidth="1"/>
    <col min="3861" max="4096" width="8.875" style="2826"/>
    <col min="4097" max="4097" width="9.5" style="2826" customWidth="1"/>
    <col min="4098" max="4098" width="8.875" style="2826"/>
    <col min="4099" max="4101" width="12.875" style="2826" customWidth="1"/>
    <col min="4102" max="4102" width="47.5" style="2826" customWidth="1"/>
    <col min="4103" max="4103" width="13" style="2826" customWidth="1"/>
    <col min="4104" max="4105" width="8.875" style="2826"/>
    <col min="4106" max="4106" width="5.75" style="2826" customWidth="1"/>
    <col min="4107" max="4107" width="11.75" style="2826" customWidth="1"/>
    <col min="4108" max="4109" width="10.75" style="2826" customWidth="1"/>
    <col min="4110" max="4110" width="10" style="2826" customWidth="1"/>
    <col min="4111" max="4112" width="10.5" style="2826" bestFit="1" customWidth="1"/>
    <col min="4113" max="4113" width="10" style="2826" customWidth="1"/>
    <col min="4114" max="4114" width="10.125" style="2826" customWidth="1"/>
    <col min="4115" max="4115" width="10" style="2826" customWidth="1"/>
    <col min="4116" max="4116" width="26.125" style="2826" customWidth="1"/>
    <col min="4117" max="4352" width="8.875" style="2826"/>
    <col min="4353" max="4353" width="9.5" style="2826" customWidth="1"/>
    <col min="4354" max="4354" width="8.875" style="2826"/>
    <col min="4355" max="4357" width="12.875" style="2826" customWidth="1"/>
    <col min="4358" max="4358" width="47.5" style="2826" customWidth="1"/>
    <col min="4359" max="4359" width="13" style="2826" customWidth="1"/>
    <col min="4360" max="4361" width="8.875" style="2826"/>
    <col min="4362" max="4362" width="5.75" style="2826" customWidth="1"/>
    <col min="4363" max="4363" width="11.75" style="2826" customWidth="1"/>
    <col min="4364" max="4365" width="10.75" style="2826" customWidth="1"/>
    <col min="4366" max="4366" width="10" style="2826" customWidth="1"/>
    <col min="4367" max="4368" width="10.5" style="2826" bestFit="1" customWidth="1"/>
    <col min="4369" max="4369" width="10" style="2826" customWidth="1"/>
    <col min="4370" max="4370" width="10.125" style="2826" customWidth="1"/>
    <col min="4371" max="4371" width="10" style="2826" customWidth="1"/>
    <col min="4372" max="4372" width="26.125" style="2826" customWidth="1"/>
    <col min="4373" max="4608" width="8.875" style="2826"/>
    <col min="4609" max="4609" width="9.5" style="2826" customWidth="1"/>
    <col min="4610" max="4610" width="8.875" style="2826"/>
    <col min="4611" max="4613" width="12.875" style="2826" customWidth="1"/>
    <col min="4614" max="4614" width="47.5" style="2826" customWidth="1"/>
    <col min="4615" max="4615" width="13" style="2826" customWidth="1"/>
    <col min="4616" max="4617" width="8.875" style="2826"/>
    <col min="4618" max="4618" width="5.75" style="2826" customWidth="1"/>
    <col min="4619" max="4619" width="11.75" style="2826" customWidth="1"/>
    <col min="4620" max="4621" width="10.75" style="2826" customWidth="1"/>
    <col min="4622" max="4622" width="10" style="2826" customWidth="1"/>
    <col min="4623" max="4624" width="10.5" style="2826" bestFit="1" customWidth="1"/>
    <col min="4625" max="4625" width="10" style="2826" customWidth="1"/>
    <col min="4626" max="4626" width="10.125" style="2826" customWidth="1"/>
    <col min="4627" max="4627" width="10" style="2826" customWidth="1"/>
    <col min="4628" max="4628" width="26.125" style="2826" customWidth="1"/>
    <col min="4629" max="4864" width="8.875" style="2826"/>
    <col min="4865" max="4865" width="9.5" style="2826" customWidth="1"/>
    <col min="4866" max="4866" width="8.875" style="2826"/>
    <col min="4867" max="4869" width="12.875" style="2826" customWidth="1"/>
    <col min="4870" max="4870" width="47.5" style="2826" customWidth="1"/>
    <col min="4871" max="4871" width="13" style="2826" customWidth="1"/>
    <col min="4872" max="4873" width="8.875" style="2826"/>
    <col min="4874" max="4874" width="5.75" style="2826" customWidth="1"/>
    <col min="4875" max="4875" width="11.75" style="2826" customWidth="1"/>
    <col min="4876" max="4877" width="10.75" style="2826" customWidth="1"/>
    <col min="4878" max="4878" width="10" style="2826" customWidth="1"/>
    <col min="4879" max="4880" width="10.5" style="2826" bestFit="1" customWidth="1"/>
    <col min="4881" max="4881" width="10" style="2826" customWidth="1"/>
    <col min="4882" max="4882" width="10.125" style="2826" customWidth="1"/>
    <col min="4883" max="4883" width="10" style="2826" customWidth="1"/>
    <col min="4884" max="4884" width="26.125" style="2826" customWidth="1"/>
    <col min="4885" max="5120" width="8.875" style="2826"/>
    <col min="5121" max="5121" width="9.5" style="2826" customWidth="1"/>
    <col min="5122" max="5122" width="8.875" style="2826"/>
    <col min="5123" max="5125" width="12.875" style="2826" customWidth="1"/>
    <col min="5126" max="5126" width="47.5" style="2826" customWidth="1"/>
    <col min="5127" max="5127" width="13" style="2826" customWidth="1"/>
    <col min="5128" max="5129" width="8.875" style="2826"/>
    <col min="5130" max="5130" width="5.75" style="2826" customWidth="1"/>
    <col min="5131" max="5131" width="11.75" style="2826" customWidth="1"/>
    <col min="5132" max="5133" width="10.75" style="2826" customWidth="1"/>
    <col min="5134" max="5134" width="10" style="2826" customWidth="1"/>
    <col min="5135" max="5136" width="10.5" style="2826" bestFit="1" customWidth="1"/>
    <col min="5137" max="5137" width="10" style="2826" customWidth="1"/>
    <col min="5138" max="5138" width="10.125" style="2826" customWidth="1"/>
    <col min="5139" max="5139" width="10" style="2826" customWidth="1"/>
    <col min="5140" max="5140" width="26.125" style="2826" customWidth="1"/>
    <col min="5141" max="5376" width="8.875" style="2826"/>
    <col min="5377" max="5377" width="9.5" style="2826" customWidth="1"/>
    <col min="5378" max="5378" width="8.875" style="2826"/>
    <col min="5379" max="5381" width="12.875" style="2826" customWidth="1"/>
    <col min="5382" max="5382" width="47.5" style="2826" customWidth="1"/>
    <col min="5383" max="5383" width="13" style="2826" customWidth="1"/>
    <col min="5384" max="5385" width="8.875" style="2826"/>
    <col min="5386" max="5386" width="5.75" style="2826" customWidth="1"/>
    <col min="5387" max="5387" width="11.75" style="2826" customWidth="1"/>
    <col min="5388" max="5389" width="10.75" style="2826" customWidth="1"/>
    <col min="5390" max="5390" width="10" style="2826" customWidth="1"/>
    <col min="5391" max="5392" width="10.5" style="2826" bestFit="1" customWidth="1"/>
    <col min="5393" max="5393" width="10" style="2826" customWidth="1"/>
    <col min="5394" max="5394" width="10.125" style="2826" customWidth="1"/>
    <col min="5395" max="5395" width="10" style="2826" customWidth="1"/>
    <col min="5396" max="5396" width="26.125" style="2826" customWidth="1"/>
    <col min="5397" max="5632" width="8.875" style="2826"/>
    <col min="5633" max="5633" width="9.5" style="2826" customWidth="1"/>
    <col min="5634" max="5634" width="8.875" style="2826"/>
    <col min="5635" max="5637" width="12.875" style="2826" customWidth="1"/>
    <col min="5638" max="5638" width="47.5" style="2826" customWidth="1"/>
    <col min="5639" max="5639" width="13" style="2826" customWidth="1"/>
    <col min="5640" max="5641" width="8.875" style="2826"/>
    <col min="5642" max="5642" width="5.75" style="2826" customWidth="1"/>
    <col min="5643" max="5643" width="11.75" style="2826" customWidth="1"/>
    <col min="5644" max="5645" width="10.75" style="2826" customWidth="1"/>
    <col min="5646" max="5646" width="10" style="2826" customWidth="1"/>
    <col min="5647" max="5648" width="10.5" style="2826" bestFit="1" customWidth="1"/>
    <col min="5649" max="5649" width="10" style="2826" customWidth="1"/>
    <col min="5650" max="5650" width="10.125" style="2826" customWidth="1"/>
    <col min="5651" max="5651" width="10" style="2826" customWidth="1"/>
    <col min="5652" max="5652" width="26.125" style="2826" customWidth="1"/>
    <col min="5653" max="5888" width="8.875" style="2826"/>
    <col min="5889" max="5889" width="9.5" style="2826" customWidth="1"/>
    <col min="5890" max="5890" width="8.875" style="2826"/>
    <col min="5891" max="5893" width="12.875" style="2826" customWidth="1"/>
    <col min="5894" max="5894" width="47.5" style="2826" customWidth="1"/>
    <col min="5895" max="5895" width="13" style="2826" customWidth="1"/>
    <col min="5896" max="5897" width="8.875" style="2826"/>
    <col min="5898" max="5898" width="5.75" style="2826" customWidth="1"/>
    <col min="5899" max="5899" width="11.75" style="2826" customWidth="1"/>
    <col min="5900" max="5901" width="10.75" style="2826" customWidth="1"/>
    <col min="5902" max="5902" width="10" style="2826" customWidth="1"/>
    <col min="5903" max="5904" width="10.5" style="2826" bestFit="1" customWidth="1"/>
    <col min="5905" max="5905" width="10" style="2826" customWidth="1"/>
    <col min="5906" max="5906" width="10.125" style="2826" customWidth="1"/>
    <col min="5907" max="5907" width="10" style="2826" customWidth="1"/>
    <col min="5908" max="5908" width="26.125" style="2826" customWidth="1"/>
    <col min="5909" max="6144" width="8.875" style="2826"/>
    <col min="6145" max="6145" width="9.5" style="2826" customWidth="1"/>
    <col min="6146" max="6146" width="8.875" style="2826"/>
    <col min="6147" max="6149" width="12.875" style="2826" customWidth="1"/>
    <col min="6150" max="6150" width="47.5" style="2826" customWidth="1"/>
    <col min="6151" max="6151" width="13" style="2826" customWidth="1"/>
    <col min="6152" max="6153" width="8.875" style="2826"/>
    <col min="6154" max="6154" width="5.75" style="2826" customWidth="1"/>
    <col min="6155" max="6155" width="11.75" style="2826" customWidth="1"/>
    <col min="6156" max="6157" width="10.75" style="2826" customWidth="1"/>
    <col min="6158" max="6158" width="10" style="2826" customWidth="1"/>
    <col min="6159" max="6160" width="10.5" style="2826" bestFit="1" customWidth="1"/>
    <col min="6161" max="6161" width="10" style="2826" customWidth="1"/>
    <col min="6162" max="6162" width="10.125" style="2826" customWidth="1"/>
    <col min="6163" max="6163" width="10" style="2826" customWidth="1"/>
    <col min="6164" max="6164" width="26.125" style="2826" customWidth="1"/>
    <col min="6165" max="6400" width="8.875" style="2826"/>
    <col min="6401" max="6401" width="9.5" style="2826" customWidth="1"/>
    <col min="6402" max="6402" width="8.875" style="2826"/>
    <col min="6403" max="6405" width="12.875" style="2826" customWidth="1"/>
    <col min="6406" max="6406" width="47.5" style="2826" customWidth="1"/>
    <col min="6407" max="6407" width="13" style="2826" customWidth="1"/>
    <col min="6408" max="6409" width="8.875" style="2826"/>
    <col min="6410" max="6410" width="5.75" style="2826" customWidth="1"/>
    <col min="6411" max="6411" width="11.75" style="2826" customWidth="1"/>
    <col min="6412" max="6413" width="10.75" style="2826" customWidth="1"/>
    <col min="6414" max="6414" width="10" style="2826" customWidth="1"/>
    <col min="6415" max="6416" width="10.5" style="2826" bestFit="1" customWidth="1"/>
    <col min="6417" max="6417" width="10" style="2826" customWidth="1"/>
    <col min="6418" max="6418" width="10.125" style="2826" customWidth="1"/>
    <col min="6419" max="6419" width="10" style="2826" customWidth="1"/>
    <col min="6420" max="6420" width="26.125" style="2826" customWidth="1"/>
    <col min="6421" max="6656" width="8.875" style="2826"/>
    <col min="6657" max="6657" width="9.5" style="2826" customWidth="1"/>
    <col min="6658" max="6658" width="8.875" style="2826"/>
    <col min="6659" max="6661" width="12.875" style="2826" customWidth="1"/>
    <col min="6662" max="6662" width="47.5" style="2826" customWidth="1"/>
    <col min="6663" max="6663" width="13" style="2826" customWidth="1"/>
    <col min="6664" max="6665" width="8.875" style="2826"/>
    <col min="6666" max="6666" width="5.75" style="2826" customWidth="1"/>
    <col min="6667" max="6667" width="11.75" style="2826" customWidth="1"/>
    <col min="6668" max="6669" width="10.75" style="2826" customWidth="1"/>
    <col min="6670" max="6670" width="10" style="2826" customWidth="1"/>
    <col min="6671" max="6672" width="10.5" style="2826" bestFit="1" customWidth="1"/>
    <col min="6673" max="6673" width="10" style="2826" customWidth="1"/>
    <col min="6674" max="6674" width="10.125" style="2826" customWidth="1"/>
    <col min="6675" max="6675" width="10" style="2826" customWidth="1"/>
    <col min="6676" max="6676" width="26.125" style="2826" customWidth="1"/>
    <col min="6677" max="6912" width="8.875" style="2826"/>
    <col min="6913" max="6913" width="9.5" style="2826" customWidth="1"/>
    <col min="6914" max="6914" width="8.875" style="2826"/>
    <col min="6915" max="6917" width="12.875" style="2826" customWidth="1"/>
    <col min="6918" max="6918" width="47.5" style="2826" customWidth="1"/>
    <col min="6919" max="6919" width="13" style="2826" customWidth="1"/>
    <col min="6920" max="6921" width="8.875" style="2826"/>
    <col min="6922" max="6922" width="5.75" style="2826" customWidth="1"/>
    <col min="6923" max="6923" width="11.75" style="2826" customWidth="1"/>
    <col min="6924" max="6925" width="10.75" style="2826" customWidth="1"/>
    <col min="6926" max="6926" width="10" style="2826" customWidth="1"/>
    <col min="6927" max="6928" width="10.5" style="2826" bestFit="1" customWidth="1"/>
    <col min="6929" max="6929" width="10" style="2826" customWidth="1"/>
    <col min="6930" max="6930" width="10.125" style="2826" customWidth="1"/>
    <col min="6931" max="6931" width="10" style="2826" customWidth="1"/>
    <col min="6932" max="6932" width="26.125" style="2826" customWidth="1"/>
    <col min="6933" max="7168" width="8.875" style="2826"/>
    <col min="7169" max="7169" width="9.5" style="2826" customWidth="1"/>
    <col min="7170" max="7170" width="8.875" style="2826"/>
    <col min="7171" max="7173" width="12.875" style="2826" customWidth="1"/>
    <col min="7174" max="7174" width="47.5" style="2826" customWidth="1"/>
    <col min="7175" max="7175" width="13" style="2826" customWidth="1"/>
    <col min="7176" max="7177" width="8.875" style="2826"/>
    <col min="7178" max="7178" width="5.75" style="2826" customWidth="1"/>
    <col min="7179" max="7179" width="11.75" style="2826" customWidth="1"/>
    <col min="7180" max="7181" width="10.75" style="2826" customWidth="1"/>
    <col min="7182" max="7182" width="10" style="2826" customWidth="1"/>
    <col min="7183" max="7184" width="10.5" style="2826" bestFit="1" customWidth="1"/>
    <col min="7185" max="7185" width="10" style="2826" customWidth="1"/>
    <col min="7186" max="7186" width="10.125" style="2826" customWidth="1"/>
    <col min="7187" max="7187" width="10" style="2826" customWidth="1"/>
    <col min="7188" max="7188" width="26.125" style="2826" customWidth="1"/>
    <col min="7189" max="7424" width="8.875" style="2826"/>
    <col min="7425" max="7425" width="9.5" style="2826" customWidth="1"/>
    <col min="7426" max="7426" width="8.875" style="2826"/>
    <col min="7427" max="7429" width="12.875" style="2826" customWidth="1"/>
    <col min="7430" max="7430" width="47.5" style="2826" customWidth="1"/>
    <col min="7431" max="7431" width="13" style="2826" customWidth="1"/>
    <col min="7432" max="7433" width="8.875" style="2826"/>
    <col min="7434" max="7434" width="5.75" style="2826" customWidth="1"/>
    <col min="7435" max="7435" width="11.75" style="2826" customWidth="1"/>
    <col min="7436" max="7437" width="10.75" style="2826" customWidth="1"/>
    <col min="7438" max="7438" width="10" style="2826" customWidth="1"/>
    <col min="7439" max="7440" width="10.5" style="2826" bestFit="1" customWidth="1"/>
    <col min="7441" max="7441" width="10" style="2826" customWidth="1"/>
    <col min="7442" max="7442" width="10.125" style="2826" customWidth="1"/>
    <col min="7443" max="7443" width="10" style="2826" customWidth="1"/>
    <col min="7444" max="7444" width="26.125" style="2826" customWidth="1"/>
    <col min="7445" max="7680" width="8.875" style="2826"/>
    <col min="7681" max="7681" width="9.5" style="2826" customWidth="1"/>
    <col min="7682" max="7682" width="8.875" style="2826"/>
    <col min="7683" max="7685" width="12.875" style="2826" customWidth="1"/>
    <col min="7686" max="7686" width="47.5" style="2826" customWidth="1"/>
    <col min="7687" max="7687" width="13" style="2826" customWidth="1"/>
    <col min="7688" max="7689" width="8.875" style="2826"/>
    <col min="7690" max="7690" width="5.75" style="2826" customWidth="1"/>
    <col min="7691" max="7691" width="11.75" style="2826" customWidth="1"/>
    <col min="7692" max="7693" width="10.75" style="2826" customWidth="1"/>
    <col min="7694" max="7694" width="10" style="2826" customWidth="1"/>
    <col min="7695" max="7696" width="10.5" style="2826" bestFit="1" customWidth="1"/>
    <col min="7697" max="7697" width="10" style="2826" customWidth="1"/>
    <col min="7698" max="7698" width="10.125" style="2826" customWidth="1"/>
    <col min="7699" max="7699" width="10" style="2826" customWidth="1"/>
    <col min="7700" max="7700" width="26.125" style="2826" customWidth="1"/>
    <col min="7701" max="7936" width="8.875" style="2826"/>
    <col min="7937" max="7937" width="9.5" style="2826" customWidth="1"/>
    <col min="7938" max="7938" width="8.875" style="2826"/>
    <col min="7939" max="7941" width="12.875" style="2826" customWidth="1"/>
    <col min="7942" max="7942" width="47.5" style="2826" customWidth="1"/>
    <col min="7943" max="7943" width="13" style="2826" customWidth="1"/>
    <col min="7944" max="7945" width="8.875" style="2826"/>
    <col min="7946" max="7946" width="5.75" style="2826" customWidth="1"/>
    <col min="7947" max="7947" width="11.75" style="2826" customWidth="1"/>
    <col min="7948" max="7949" width="10.75" style="2826" customWidth="1"/>
    <col min="7950" max="7950" width="10" style="2826" customWidth="1"/>
    <col min="7951" max="7952" width="10.5" style="2826" bestFit="1" customWidth="1"/>
    <col min="7953" max="7953" width="10" style="2826" customWidth="1"/>
    <col min="7954" max="7954" width="10.125" style="2826" customWidth="1"/>
    <col min="7955" max="7955" width="10" style="2826" customWidth="1"/>
    <col min="7956" max="7956" width="26.125" style="2826" customWidth="1"/>
    <col min="7957" max="8192" width="8.875" style="2826"/>
    <col min="8193" max="8193" width="9.5" style="2826" customWidth="1"/>
    <col min="8194" max="8194" width="8.875" style="2826"/>
    <col min="8195" max="8197" width="12.875" style="2826" customWidth="1"/>
    <col min="8198" max="8198" width="47.5" style="2826" customWidth="1"/>
    <col min="8199" max="8199" width="13" style="2826" customWidth="1"/>
    <col min="8200" max="8201" width="8.875" style="2826"/>
    <col min="8202" max="8202" width="5.75" style="2826" customWidth="1"/>
    <col min="8203" max="8203" width="11.75" style="2826" customWidth="1"/>
    <col min="8204" max="8205" width="10.75" style="2826" customWidth="1"/>
    <col min="8206" max="8206" width="10" style="2826" customWidth="1"/>
    <col min="8207" max="8208" width="10.5" style="2826" bestFit="1" customWidth="1"/>
    <col min="8209" max="8209" width="10" style="2826" customWidth="1"/>
    <col min="8210" max="8210" width="10.125" style="2826" customWidth="1"/>
    <col min="8211" max="8211" width="10" style="2826" customWidth="1"/>
    <col min="8212" max="8212" width="26.125" style="2826" customWidth="1"/>
    <col min="8213" max="8448" width="8.875" style="2826"/>
    <col min="8449" max="8449" width="9.5" style="2826" customWidth="1"/>
    <col min="8450" max="8450" width="8.875" style="2826"/>
    <col min="8451" max="8453" width="12.875" style="2826" customWidth="1"/>
    <col min="8454" max="8454" width="47.5" style="2826" customWidth="1"/>
    <col min="8455" max="8455" width="13" style="2826" customWidth="1"/>
    <col min="8456" max="8457" width="8.875" style="2826"/>
    <col min="8458" max="8458" width="5.75" style="2826" customWidth="1"/>
    <col min="8459" max="8459" width="11.75" style="2826" customWidth="1"/>
    <col min="8460" max="8461" width="10.75" style="2826" customWidth="1"/>
    <col min="8462" max="8462" width="10" style="2826" customWidth="1"/>
    <col min="8463" max="8464" width="10.5" style="2826" bestFit="1" customWidth="1"/>
    <col min="8465" max="8465" width="10" style="2826" customWidth="1"/>
    <col min="8466" max="8466" width="10.125" style="2826" customWidth="1"/>
    <col min="8467" max="8467" width="10" style="2826" customWidth="1"/>
    <col min="8468" max="8468" width="26.125" style="2826" customWidth="1"/>
    <col min="8469" max="8704" width="8.875" style="2826"/>
    <col min="8705" max="8705" width="9.5" style="2826" customWidth="1"/>
    <col min="8706" max="8706" width="8.875" style="2826"/>
    <col min="8707" max="8709" width="12.875" style="2826" customWidth="1"/>
    <col min="8710" max="8710" width="47.5" style="2826" customWidth="1"/>
    <col min="8711" max="8711" width="13" style="2826" customWidth="1"/>
    <col min="8712" max="8713" width="8.875" style="2826"/>
    <col min="8714" max="8714" width="5.75" style="2826" customWidth="1"/>
    <col min="8715" max="8715" width="11.75" style="2826" customWidth="1"/>
    <col min="8716" max="8717" width="10.75" style="2826" customWidth="1"/>
    <col min="8718" max="8718" width="10" style="2826" customWidth="1"/>
    <col min="8719" max="8720" width="10.5" style="2826" bestFit="1" customWidth="1"/>
    <col min="8721" max="8721" width="10" style="2826" customWidth="1"/>
    <col min="8722" max="8722" width="10.125" style="2826" customWidth="1"/>
    <col min="8723" max="8723" width="10" style="2826" customWidth="1"/>
    <col min="8724" max="8724" width="26.125" style="2826" customWidth="1"/>
    <col min="8725" max="8960" width="8.875" style="2826"/>
    <col min="8961" max="8961" width="9.5" style="2826" customWidth="1"/>
    <col min="8962" max="8962" width="8.875" style="2826"/>
    <col min="8963" max="8965" width="12.875" style="2826" customWidth="1"/>
    <col min="8966" max="8966" width="47.5" style="2826" customWidth="1"/>
    <col min="8967" max="8967" width="13" style="2826" customWidth="1"/>
    <col min="8968" max="8969" width="8.875" style="2826"/>
    <col min="8970" max="8970" width="5.75" style="2826" customWidth="1"/>
    <col min="8971" max="8971" width="11.75" style="2826" customWidth="1"/>
    <col min="8972" max="8973" width="10.75" style="2826" customWidth="1"/>
    <col min="8974" max="8974" width="10" style="2826" customWidth="1"/>
    <col min="8975" max="8976" width="10.5" style="2826" bestFit="1" customWidth="1"/>
    <col min="8977" max="8977" width="10" style="2826" customWidth="1"/>
    <col min="8978" max="8978" width="10.125" style="2826" customWidth="1"/>
    <col min="8979" max="8979" width="10" style="2826" customWidth="1"/>
    <col min="8980" max="8980" width="26.125" style="2826" customWidth="1"/>
    <col min="8981" max="9216" width="8.875" style="2826"/>
    <col min="9217" max="9217" width="9.5" style="2826" customWidth="1"/>
    <col min="9218" max="9218" width="8.875" style="2826"/>
    <col min="9219" max="9221" width="12.875" style="2826" customWidth="1"/>
    <col min="9222" max="9222" width="47.5" style="2826" customWidth="1"/>
    <col min="9223" max="9223" width="13" style="2826" customWidth="1"/>
    <col min="9224" max="9225" width="8.875" style="2826"/>
    <col min="9226" max="9226" width="5.75" style="2826" customWidth="1"/>
    <col min="9227" max="9227" width="11.75" style="2826" customWidth="1"/>
    <col min="9228" max="9229" width="10.75" style="2826" customWidth="1"/>
    <col min="9230" max="9230" width="10" style="2826" customWidth="1"/>
    <col min="9231" max="9232" width="10.5" style="2826" bestFit="1" customWidth="1"/>
    <col min="9233" max="9233" width="10" style="2826" customWidth="1"/>
    <col min="9234" max="9234" width="10.125" style="2826" customWidth="1"/>
    <col min="9235" max="9235" width="10" style="2826" customWidth="1"/>
    <col min="9236" max="9236" width="26.125" style="2826" customWidth="1"/>
    <col min="9237" max="9472" width="8.875" style="2826"/>
    <col min="9473" max="9473" width="9.5" style="2826" customWidth="1"/>
    <col min="9474" max="9474" width="8.875" style="2826"/>
    <col min="9475" max="9477" width="12.875" style="2826" customWidth="1"/>
    <col min="9478" max="9478" width="47.5" style="2826" customWidth="1"/>
    <col min="9479" max="9479" width="13" style="2826" customWidth="1"/>
    <col min="9480" max="9481" width="8.875" style="2826"/>
    <col min="9482" max="9482" width="5.75" style="2826" customWidth="1"/>
    <col min="9483" max="9483" width="11.75" style="2826" customWidth="1"/>
    <col min="9484" max="9485" width="10.75" style="2826" customWidth="1"/>
    <col min="9486" max="9486" width="10" style="2826" customWidth="1"/>
    <col min="9487" max="9488" width="10.5" style="2826" bestFit="1" customWidth="1"/>
    <col min="9489" max="9489" width="10" style="2826" customWidth="1"/>
    <col min="9490" max="9490" width="10.125" style="2826" customWidth="1"/>
    <col min="9491" max="9491" width="10" style="2826" customWidth="1"/>
    <col min="9492" max="9492" width="26.125" style="2826" customWidth="1"/>
    <col min="9493" max="9728" width="8.875" style="2826"/>
    <col min="9729" max="9729" width="9.5" style="2826" customWidth="1"/>
    <col min="9730" max="9730" width="8.875" style="2826"/>
    <col min="9731" max="9733" width="12.875" style="2826" customWidth="1"/>
    <col min="9734" max="9734" width="47.5" style="2826" customWidth="1"/>
    <col min="9735" max="9735" width="13" style="2826" customWidth="1"/>
    <col min="9736" max="9737" width="8.875" style="2826"/>
    <col min="9738" max="9738" width="5.75" style="2826" customWidth="1"/>
    <col min="9739" max="9739" width="11.75" style="2826" customWidth="1"/>
    <col min="9740" max="9741" width="10.75" style="2826" customWidth="1"/>
    <col min="9742" max="9742" width="10" style="2826" customWidth="1"/>
    <col min="9743" max="9744" width="10.5" style="2826" bestFit="1" customWidth="1"/>
    <col min="9745" max="9745" width="10" style="2826" customWidth="1"/>
    <col min="9746" max="9746" width="10.125" style="2826" customWidth="1"/>
    <col min="9747" max="9747" width="10" style="2826" customWidth="1"/>
    <col min="9748" max="9748" width="26.125" style="2826" customWidth="1"/>
    <col min="9749" max="9984" width="8.875" style="2826"/>
    <col min="9985" max="9985" width="9.5" style="2826" customWidth="1"/>
    <col min="9986" max="9986" width="8.875" style="2826"/>
    <col min="9987" max="9989" width="12.875" style="2826" customWidth="1"/>
    <col min="9990" max="9990" width="47.5" style="2826" customWidth="1"/>
    <col min="9991" max="9991" width="13" style="2826" customWidth="1"/>
    <col min="9992" max="9993" width="8.875" style="2826"/>
    <col min="9994" max="9994" width="5.75" style="2826" customWidth="1"/>
    <col min="9995" max="9995" width="11.75" style="2826" customWidth="1"/>
    <col min="9996" max="9997" width="10.75" style="2826" customWidth="1"/>
    <col min="9998" max="9998" width="10" style="2826" customWidth="1"/>
    <col min="9999" max="10000" width="10.5" style="2826" bestFit="1" customWidth="1"/>
    <col min="10001" max="10001" width="10" style="2826" customWidth="1"/>
    <col min="10002" max="10002" width="10.125" style="2826" customWidth="1"/>
    <col min="10003" max="10003" width="10" style="2826" customWidth="1"/>
    <col min="10004" max="10004" width="26.125" style="2826" customWidth="1"/>
    <col min="10005" max="10240" width="8.875" style="2826"/>
    <col min="10241" max="10241" width="9.5" style="2826" customWidth="1"/>
    <col min="10242" max="10242" width="8.875" style="2826"/>
    <col min="10243" max="10245" width="12.875" style="2826" customWidth="1"/>
    <col min="10246" max="10246" width="47.5" style="2826" customWidth="1"/>
    <col min="10247" max="10247" width="13" style="2826" customWidth="1"/>
    <col min="10248" max="10249" width="8.875" style="2826"/>
    <col min="10250" max="10250" width="5.75" style="2826" customWidth="1"/>
    <col min="10251" max="10251" width="11.75" style="2826" customWidth="1"/>
    <col min="10252" max="10253" width="10.75" style="2826" customWidth="1"/>
    <col min="10254" max="10254" width="10" style="2826" customWidth="1"/>
    <col min="10255" max="10256" width="10.5" style="2826" bestFit="1" customWidth="1"/>
    <col min="10257" max="10257" width="10" style="2826" customWidth="1"/>
    <col min="10258" max="10258" width="10.125" style="2826" customWidth="1"/>
    <col min="10259" max="10259" width="10" style="2826" customWidth="1"/>
    <col min="10260" max="10260" width="26.125" style="2826" customWidth="1"/>
    <col min="10261" max="10496" width="8.875" style="2826"/>
    <col min="10497" max="10497" width="9.5" style="2826" customWidth="1"/>
    <col min="10498" max="10498" width="8.875" style="2826"/>
    <col min="10499" max="10501" width="12.875" style="2826" customWidth="1"/>
    <col min="10502" max="10502" width="47.5" style="2826" customWidth="1"/>
    <col min="10503" max="10503" width="13" style="2826" customWidth="1"/>
    <col min="10504" max="10505" width="8.875" style="2826"/>
    <col min="10506" max="10506" width="5.75" style="2826" customWidth="1"/>
    <col min="10507" max="10507" width="11.75" style="2826" customWidth="1"/>
    <col min="10508" max="10509" width="10.75" style="2826" customWidth="1"/>
    <col min="10510" max="10510" width="10" style="2826" customWidth="1"/>
    <col min="10511" max="10512" width="10.5" style="2826" bestFit="1" customWidth="1"/>
    <col min="10513" max="10513" width="10" style="2826" customWidth="1"/>
    <col min="10514" max="10514" width="10.125" style="2826" customWidth="1"/>
    <col min="10515" max="10515" width="10" style="2826" customWidth="1"/>
    <col min="10516" max="10516" width="26.125" style="2826" customWidth="1"/>
    <col min="10517" max="10752" width="8.875" style="2826"/>
    <col min="10753" max="10753" width="9.5" style="2826" customWidth="1"/>
    <col min="10754" max="10754" width="8.875" style="2826"/>
    <col min="10755" max="10757" width="12.875" style="2826" customWidth="1"/>
    <col min="10758" max="10758" width="47.5" style="2826" customWidth="1"/>
    <col min="10759" max="10759" width="13" style="2826" customWidth="1"/>
    <col min="10760" max="10761" width="8.875" style="2826"/>
    <col min="10762" max="10762" width="5.75" style="2826" customWidth="1"/>
    <col min="10763" max="10763" width="11.75" style="2826" customWidth="1"/>
    <col min="10764" max="10765" width="10.75" style="2826" customWidth="1"/>
    <col min="10766" max="10766" width="10" style="2826" customWidth="1"/>
    <col min="10767" max="10768" width="10.5" style="2826" bestFit="1" customWidth="1"/>
    <col min="10769" max="10769" width="10" style="2826" customWidth="1"/>
    <col min="10770" max="10770" width="10.125" style="2826" customWidth="1"/>
    <col min="10771" max="10771" width="10" style="2826" customWidth="1"/>
    <col min="10772" max="10772" width="26.125" style="2826" customWidth="1"/>
    <col min="10773" max="11008" width="8.875" style="2826"/>
    <col min="11009" max="11009" width="9.5" style="2826" customWidth="1"/>
    <col min="11010" max="11010" width="8.875" style="2826"/>
    <col min="11011" max="11013" width="12.875" style="2826" customWidth="1"/>
    <col min="11014" max="11014" width="47.5" style="2826" customWidth="1"/>
    <col min="11015" max="11015" width="13" style="2826" customWidth="1"/>
    <col min="11016" max="11017" width="8.875" style="2826"/>
    <col min="11018" max="11018" width="5.75" style="2826" customWidth="1"/>
    <col min="11019" max="11019" width="11.75" style="2826" customWidth="1"/>
    <col min="11020" max="11021" width="10.75" style="2826" customWidth="1"/>
    <col min="11022" max="11022" width="10" style="2826" customWidth="1"/>
    <col min="11023" max="11024" width="10.5" style="2826" bestFit="1" customWidth="1"/>
    <col min="11025" max="11025" width="10" style="2826" customWidth="1"/>
    <col min="11026" max="11026" width="10.125" style="2826" customWidth="1"/>
    <col min="11027" max="11027" width="10" style="2826" customWidth="1"/>
    <col min="11028" max="11028" width="26.125" style="2826" customWidth="1"/>
    <col min="11029" max="11264" width="8.875" style="2826"/>
    <col min="11265" max="11265" width="9.5" style="2826" customWidth="1"/>
    <col min="11266" max="11266" width="8.875" style="2826"/>
    <col min="11267" max="11269" width="12.875" style="2826" customWidth="1"/>
    <col min="11270" max="11270" width="47.5" style="2826" customWidth="1"/>
    <col min="11271" max="11271" width="13" style="2826" customWidth="1"/>
    <col min="11272" max="11273" width="8.875" style="2826"/>
    <col min="11274" max="11274" width="5.75" style="2826" customWidth="1"/>
    <col min="11275" max="11275" width="11.75" style="2826" customWidth="1"/>
    <col min="11276" max="11277" width="10.75" style="2826" customWidth="1"/>
    <col min="11278" max="11278" width="10" style="2826" customWidth="1"/>
    <col min="11279" max="11280" width="10.5" style="2826" bestFit="1" customWidth="1"/>
    <col min="11281" max="11281" width="10" style="2826" customWidth="1"/>
    <col min="11282" max="11282" width="10.125" style="2826" customWidth="1"/>
    <col min="11283" max="11283" width="10" style="2826" customWidth="1"/>
    <col min="11284" max="11284" width="26.125" style="2826" customWidth="1"/>
    <col min="11285" max="11520" width="8.875" style="2826"/>
    <col min="11521" max="11521" width="9.5" style="2826" customWidth="1"/>
    <col min="11522" max="11522" width="8.875" style="2826"/>
    <col min="11523" max="11525" width="12.875" style="2826" customWidth="1"/>
    <col min="11526" max="11526" width="47.5" style="2826" customWidth="1"/>
    <col min="11527" max="11527" width="13" style="2826" customWidth="1"/>
    <col min="11528" max="11529" width="8.875" style="2826"/>
    <col min="11530" max="11530" width="5.75" style="2826" customWidth="1"/>
    <col min="11531" max="11531" width="11.75" style="2826" customWidth="1"/>
    <col min="11532" max="11533" width="10.75" style="2826" customWidth="1"/>
    <col min="11534" max="11534" width="10" style="2826" customWidth="1"/>
    <col min="11535" max="11536" width="10.5" style="2826" bestFit="1" customWidth="1"/>
    <col min="11537" max="11537" width="10" style="2826" customWidth="1"/>
    <col min="11538" max="11538" width="10.125" style="2826" customWidth="1"/>
    <col min="11539" max="11539" width="10" style="2826" customWidth="1"/>
    <col min="11540" max="11540" width="26.125" style="2826" customWidth="1"/>
    <col min="11541" max="11776" width="8.875" style="2826"/>
    <col min="11777" max="11777" width="9.5" style="2826" customWidth="1"/>
    <col min="11778" max="11778" width="8.875" style="2826"/>
    <col min="11779" max="11781" width="12.875" style="2826" customWidth="1"/>
    <col min="11782" max="11782" width="47.5" style="2826" customWidth="1"/>
    <col min="11783" max="11783" width="13" style="2826" customWidth="1"/>
    <col min="11784" max="11785" width="8.875" style="2826"/>
    <col min="11786" max="11786" width="5.75" style="2826" customWidth="1"/>
    <col min="11787" max="11787" width="11.75" style="2826" customWidth="1"/>
    <col min="11788" max="11789" width="10.75" style="2826" customWidth="1"/>
    <col min="11790" max="11790" width="10" style="2826" customWidth="1"/>
    <col min="11791" max="11792" width="10.5" style="2826" bestFit="1" customWidth="1"/>
    <col min="11793" max="11793" width="10" style="2826" customWidth="1"/>
    <col min="11794" max="11794" width="10.125" style="2826" customWidth="1"/>
    <col min="11795" max="11795" width="10" style="2826" customWidth="1"/>
    <col min="11796" max="11796" width="26.125" style="2826" customWidth="1"/>
    <col min="11797" max="12032" width="8.875" style="2826"/>
    <col min="12033" max="12033" width="9.5" style="2826" customWidth="1"/>
    <col min="12034" max="12034" width="8.875" style="2826"/>
    <col min="12035" max="12037" width="12.875" style="2826" customWidth="1"/>
    <col min="12038" max="12038" width="47.5" style="2826" customWidth="1"/>
    <col min="12039" max="12039" width="13" style="2826" customWidth="1"/>
    <col min="12040" max="12041" width="8.875" style="2826"/>
    <col min="12042" max="12042" width="5.75" style="2826" customWidth="1"/>
    <col min="12043" max="12043" width="11.75" style="2826" customWidth="1"/>
    <col min="12044" max="12045" width="10.75" style="2826" customWidth="1"/>
    <col min="12046" max="12046" width="10" style="2826" customWidth="1"/>
    <col min="12047" max="12048" width="10.5" style="2826" bestFit="1" customWidth="1"/>
    <col min="12049" max="12049" width="10" style="2826" customWidth="1"/>
    <col min="12050" max="12050" width="10.125" style="2826" customWidth="1"/>
    <col min="12051" max="12051" width="10" style="2826" customWidth="1"/>
    <col min="12052" max="12052" width="26.125" style="2826" customWidth="1"/>
    <col min="12053" max="12288" width="8.875" style="2826"/>
    <col min="12289" max="12289" width="9.5" style="2826" customWidth="1"/>
    <col min="12290" max="12290" width="8.875" style="2826"/>
    <col min="12291" max="12293" width="12.875" style="2826" customWidth="1"/>
    <col min="12294" max="12294" width="47.5" style="2826" customWidth="1"/>
    <col min="12295" max="12295" width="13" style="2826" customWidth="1"/>
    <col min="12296" max="12297" width="8.875" style="2826"/>
    <col min="12298" max="12298" width="5.75" style="2826" customWidth="1"/>
    <col min="12299" max="12299" width="11.75" style="2826" customWidth="1"/>
    <col min="12300" max="12301" width="10.75" style="2826" customWidth="1"/>
    <col min="12302" max="12302" width="10" style="2826" customWidth="1"/>
    <col min="12303" max="12304" width="10.5" style="2826" bestFit="1" customWidth="1"/>
    <col min="12305" max="12305" width="10" style="2826" customWidth="1"/>
    <col min="12306" max="12306" width="10.125" style="2826" customWidth="1"/>
    <col min="12307" max="12307" width="10" style="2826" customWidth="1"/>
    <col min="12308" max="12308" width="26.125" style="2826" customWidth="1"/>
    <col min="12309" max="12544" width="8.875" style="2826"/>
    <col min="12545" max="12545" width="9.5" style="2826" customWidth="1"/>
    <col min="12546" max="12546" width="8.875" style="2826"/>
    <col min="12547" max="12549" width="12.875" style="2826" customWidth="1"/>
    <col min="12550" max="12550" width="47.5" style="2826" customWidth="1"/>
    <col min="12551" max="12551" width="13" style="2826" customWidth="1"/>
    <col min="12552" max="12553" width="8.875" style="2826"/>
    <col min="12554" max="12554" width="5.75" style="2826" customWidth="1"/>
    <col min="12555" max="12555" width="11.75" style="2826" customWidth="1"/>
    <col min="12556" max="12557" width="10.75" style="2826" customWidth="1"/>
    <col min="12558" max="12558" width="10" style="2826" customWidth="1"/>
    <col min="12559" max="12560" width="10.5" style="2826" bestFit="1" customWidth="1"/>
    <col min="12561" max="12561" width="10" style="2826" customWidth="1"/>
    <col min="12562" max="12562" width="10.125" style="2826" customWidth="1"/>
    <col min="12563" max="12563" width="10" style="2826" customWidth="1"/>
    <col min="12564" max="12564" width="26.125" style="2826" customWidth="1"/>
    <col min="12565" max="12800" width="8.875" style="2826"/>
    <col min="12801" max="12801" width="9.5" style="2826" customWidth="1"/>
    <col min="12802" max="12802" width="8.875" style="2826"/>
    <col min="12803" max="12805" width="12.875" style="2826" customWidth="1"/>
    <col min="12806" max="12806" width="47.5" style="2826" customWidth="1"/>
    <col min="12807" max="12807" width="13" style="2826" customWidth="1"/>
    <col min="12808" max="12809" width="8.875" style="2826"/>
    <col min="12810" max="12810" width="5.75" style="2826" customWidth="1"/>
    <col min="12811" max="12811" width="11.75" style="2826" customWidth="1"/>
    <col min="12812" max="12813" width="10.75" style="2826" customWidth="1"/>
    <col min="12814" max="12814" width="10" style="2826" customWidth="1"/>
    <col min="12815" max="12816" width="10.5" style="2826" bestFit="1" customWidth="1"/>
    <col min="12817" max="12817" width="10" style="2826" customWidth="1"/>
    <col min="12818" max="12818" width="10.125" style="2826" customWidth="1"/>
    <col min="12819" max="12819" width="10" style="2826" customWidth="1"/>
    <col min="12820" max="12820" width="26.125" style="2826" customWidth="1"/>
    <col min="12821" max="13056" width="8.875" style="2826"/>
    <col min="13057" max="13057" width="9.5" style="2826" customWidth="1"/>
    <col min="13058" max="13058" width="8.875" style="2826"/>
    <col min="13059" max="13061" width="12.875" style="2826" customWidth="1"/>
    <col min="13062" max="13062" width="47.5" style="2826" customWidth="1"/>
    <col min="13063" max="13063" width="13" style="2826" customWidth="1"/>
    <col min="13064" max="13065" width="8.875" style="2826"/>
    <col min="13066" max="13066" width="5.75" style="2826" customWidth="1"/>
    <col min="13067" max="13067" width="11.75" style="2826" customWidth="1"/>
    <col min="13068" max="13069" width="10.75" style="2826" customWidth="1"/>
    <col min="13070" max="13070" width="10" style="2826" customWidth="1"/>
    <col min="13071" max="13072" width="10.5" style="2826" bestFit="1" customWidth="1"/>
    <col min="13073" max="13073" width="10" style="2826" customWidth="1"/>
    <col min="13074" max="13074" width="10.125" style="2826" customWidth="1"/>
    <col min="13075" max="13075" width="10" style="2826" customWidth="1"/>
    <col min="13076" max="13076" width="26.125" style="2826" customWidth="1"/>
    <col min="13077" max="13312" width="8.875" style="2826"/>
    <col min="13313" max="13313" width="9.5" style="2826" customWidth="1"/>
    <col min="13314" max="13314" width="8.875" style="2826"/>
    <col min="13315" max="13317" width="12.875" style="2826" customWidth="1"/>
    <col min="13318" max="13318" width="47.5" style="2826" customWidth="1"/>
    <col min="13319" max="13319" width="13" style="2826" customWidth="1"/>
    <col min="13320" max="13321" width="8.875" style="2826"/>
    <col min="13322" max="13322" width="5.75" style="2826" customWidth="1"/>
    <col min="13323" max="13323" width="11.75" style="2826" customWidth="1"/>
    <col min="13324" max="13325" width="10.75" style="2826" customWidth="1"/>
    <col min="13326" max="13326" width="10" style="2826" customWidth="1"/>
    <col min="13327" max="13328" width="10.5" style="2826" bestFit="1" customWidth="1"/>
    <col min="13329" max="13329" width="10" style="2826" customWidth="1"/>
    <col min="13330" max="13330" width="10.125" style="2826" customWidth="1"/>
    <col min="13331" max="13331" width="10" style="2826" customWidth="1"/>
    <col min="13332" max="13332" width="26.125" style="2826" customWidth="1"/>
    <col min="13333" max="13568" width="8.875" style="2826"/>
    <col min="13569" max="13569" width="9.5" style="2826" customWidth="1"/>
    <col min="13570" max="13570" width="8.875" style="2826"/>
    <col min="13571" max="13573" width="12.875" style="2826" customWidth="1"/>
    <col min="13574" max="13574" width="47.5" style="2826" customWidth="1"/>
    <col min="13575" max="13575" width="13" style="2826" customWidth="1"/>
    <col min="13576" max="13577" width="8.875" style="2826"/>
    <col min="13578" max="13578" width="5.75" style="2826" customWidth="1"/>
    <col min="13579" max="13579" width="11.75" style="2826" customWidth="1"/>
    <col min="13580" max="13581" width="10.75" style="2826" customWidth="1"/>
    <col min="13582" max="13582" width="10" style="2826" customWidth="1"/>
    <col min="13583" max="13584" width="10.5" style="2826" bestFit="1" customWidth="1"/>
    <col min="13585" max="13585" width="10" style="2826" customWidth="1"/>
    <col min="13586" max="13586" width="10.125" style="2826" customWidth="1"/>
    <col min="13587" max="13587" width="10" style="2826" customWidth="1"/>
    <col min="13588" max="13588" width="26.125" style="2826" customWidth="1"/>
    <col min="13589" max="13824" width="8.875" style="2826"/>
    <col min="13825" max="13825" width="9.5" style="2826" customWidth="1"/>
    <col min="13826" max="13826" width="8.875" style="2826"/>
    <col min="13827" max="13829" width="12.875" style="2826" customWidth="1"/>
    <col min="13830" max="13830" width="47.5" style="2826" customWidth="1"/>
    <col min="13831" max="13831" width="13" style="2826" customWidth="1"/>
    <col min="13832" max="13833" width="8.875" style="2826"/>
    <col min="13834" max="13834" width="5.75" style="2826" customWidth="1"/>
    <col min="13835" max="13835" width="11.75" style="2826" customWidth="1"/>
    <col min="13836" max="13837" width="10.75" style="2826" customWidth="1"/>
    <col min="13838" max="13838" width="10" style="2826" customWidth="1"/>
    <col min="13839" max="13840" width="10.5" style="2826" bestFit="1" customWidth="1"/>
    <col min="13841" max="13841" width="10" style="2826" customWidth="1"/>
    <col min="13842" max="13842" width="10.125" style="2826" customWidth="1"/>
    <col min="13843" max="13843" width="10" style="2826" customWidth="1"/>
    <col min="13844" max="13844" width="26.125" style="2826" customWidth="1"/>
    <col min="13845" max="14080" width="8.875" style="2826"/>
    <col min="14081" max="14081" width="9.5" style="2826" customWidth="1"/>
    <col min="14082" max="14082" width="8.875" style="2826"/>
    <col min="14083" max="14085" width="12.875" style="2826" customWidth="1"/>
    <col min="14086" max="14086" width="47.5" style="2826" customWidth="1"/>
    <col min="14087" max="14087" width="13" style="2826" customWidth="1"/>
    <col min="14088" max="14089" width="8.875" style="2826"/>
    <col min="14090" max="14090" width="5.75" style="2826" customWidth="1"/>
    <col min="14091" max="14091" width="11.75" style="2826" customWidth="1"/>
    <col min="14092" max="14093" width="10.75" style="2826" customWidth="1"/>
    <col min="14094" max="14094" width="10" style="2826" customWidth="1"/>
    <col min="14095" max="14096" width="10.5" style="2826" bestFit="1" customWidth="1"/>
    <col min="14097" max="14097" width="10" style="2826" customWidth="1"/>
    <col min="14098" max="14098" width="10.125" style="2826" customWidth="1"/>
    <col min="14099" max="14099" width="10" style="2826" customWidth="1"/>
    <col min="14100" max="14100" width="26.125" style="2826" customWidth="1"/>
    <col min="14101" max="14336" width="8.875" style="2826"/>
    <col min="14337" max="14337" width="9.5" style="2826" customWidth="1"/>
    <col min="14338" max="14338" width="8.875" style="2826"/>
    <col min="14339" max="14341" width="12.875" style="2826" customWidth="1"/>
    <col min="14342" max="14342" width="47.5" style="2826" customWidth="1"/>
    <col min="14343" max="14343" width="13" style="2826" customWidth="1"/>
    <col min="14344" max="14345" width="8.875" style="2826"/>
    <col min="14346" max="14346" width="5.75" style="2826" customWidth="1"/>
    <col min="14347" max="14347" width="11.75" style="2826" customWidth="1"/>
    <col min="14348" max="14349" width="10.75" style="2826" customWidth="1"/>
    <col min="14350" max="14350" width="10" style="2826" customWidth="1"/>
    <col min="14351" max="14352" width="10.5" style="2826" bestFit="1" customWidth="1"/>
    <col min="14353" max="14353" width="10" style="2826" customWidth="1"/>
    <col min="14354" max="14354" width="10.125" style="2826" customWidth="1"/>
    <col min="14355" max="14355" width="10" style="2826" customWidth="1"/>
    <col min="14356" max="14356" width="26.125" style="2826" customWidth="1"/>
    <col min="14357" max="14592" width="8.875" style="2826"/>
    <col min="14593" max="14593" width="9.5" style="2826" customWidth="1"/>
    <col min="14594" max="14594" width="8.875" style="2826"/>
    <col min="14595" max="14597" width="12.875" style="2826" customWidth="1"/>
    <col min="14598" max="14598" width="47.5" style="2826" customWidth="1"/>
    <col min="14599" max="14599" width="13" style="2826" customWidth="1"/>
    <col min="14600" max="14601" width="8.875" style="2826"/>
    <col min="14602" max="14602" width="5.75" style="2826" customWidth="1"/>
    <col min="14603" max="14603" width="11.75" style="2826" customWidth="1"/>
    <col min="14604" max="14605" width="10.75" style="2826" customWidth="1"/>
    <col min="14606" max="14606" width="10" style="2826" customWidth="1"/>
    <col min="14607" max="14608" width="10.5" style="2826" bestFit="1" customWidth="1"/>
    <col min="14609" max="14609" width="10" style="2826" customWidth="1"/>
    <col min="14610" max="14610" width="10.125" style="2826" customWidth="1"/>
    <col min="14611" max="14611" width="10" style="2826" customWidth="1"/>
    <col min="14612" max="14612" width="26.125" style="2826" customWidth="1"/>
    <col min="14613" max="14848" width="8.875" style="2826"/>
    <col min="14849" max="14849" width="9.5" style="2826" customWidth="1"/>
    <col min="14850" max="14850" width="8.875" style="2826"/>
    <col min="14851" max="14853" width="12.875" style="2826" customWidth="1"/>
    <col min="14854" max="14854" width="47.5" style="2826" customWidth="1"/>
    <col min="14855" max="14855" width="13" style="2826" customWidth="1"/>
    <col min="14856" max="14857" width="8.875" style="2826"/>
    <col min="14858" max="14858" width="5.75" style="2826" customWidth="1"/>
    <col min="14859" max="14859" width="11.75" style="2826" customWidth="1"/>
    <col min="14860" max="14861" width="10.75" style="2826" customWidth="1"/>
    <col min="14862" max="14862" width="10" style="2826" customWidth="1"/>
    <col min="14863" max="14864" width="10.5" style="2826" bestFit="1" customWidth="1"/>
    <col min="14865" max="14865" width="10" style="2826" customWidth="1"/>
    <col min="14866" max="14866" width="10.125" style="2826" customWidth="1"/>
    <col min="14867" max="14867" width="10" style="2826" customWidth="1"/>
    <col min="14868" max="14868" width="26.125" style="2826" customWidth="1"/>
    <col min="14869" max="15104" width="8.875" style="2826"/>
    <col min="15105" max="15105" width="9.5" style="2826" customWidth="1"/>
    <col min="15106" max="15106" width="8.875" style="2826"/>
    <col min="15107" max="15109" width="12.875" style="2826" customWidth="1"/>
    <col min="15110" max="15110" width="47.5" style="2826" customWidth="1"/>
    <col min="15111" max="15111" width="13" style="2826" customWidth="1"/>
    <col min="15112" max="15113" width="8.875" style="2826"/>
    <col min="15114" max="15114" width="5.75" style="2826" customWidth="1"/>
    <col min="15115" max="15115" width="11.75" style="2826" customWidth="1"/>
    <col min="15116" max="15117" width="10.75" style="2826" customWidth="1"/>
    <col min="15118" max="15118" width="10" style="2826" customWidth="1"/>
    <col min="15119" max="15120" width="10.5" style="2826" bestFit="1" customWidth="1"/>
    <col min="15121" max="15121" width="10" style="2826" customWidth="1"/>
    <col min="15122" max="15122" width="10.125" style="2826" customWidth="1"/>
    <col min="15123" max="15123" width="10" style="2826" customWidth="1"/>
    <col min="15124" max="15124" width="26.125" style="2826" customWidth="1"/>
    <col min="15125" max="15360" width="8.875" style="2826"/>
    <col min="15361" max="15361" width="9.5" style="2826" customWidth="1"/>
    <col min="15362" max="15362" width="8.875" style="2826"/>
    <col min="15363" max="15365" width="12.875" style="2826" customWidth="1"/>
    <col min="15366" max="15366" width="47.5" style="2826" customWidth="1"/>
    <col min="15367" max="15367" width="13" style="2826" customWidth="1"/>
    <col min="15368" max="15369" width="8.875" style="2826"/>
    <col min="15370" max="15370" width="5.75" style="2826" customWidth="1"/>
    <col min="15371" max="15371" width="11.75" style="2826" customWidth="1"/>
    <col min="15372" max="15373" width="10.75" style="2826" customWidth="1"/>
    <col min="15374" max="15374" width="10" style="2826" customWidth="1"/>
    <col min="15375" max="15376" width="10.5" style="2826" bestFit="1" customWidth="1"/>
    <col min="15377" max="15377" width="10" style="2826" customWidth="1"/>
    <col min="15378" max="15378" width="10.125" style="2826" customWidth="1"/>
    <col min="15379" max="15379" width="10" style="2826" customWidth="1"/>
    <col min="15380" max="15380" width="26.125" style="2826" customWidth="1"/>
    <col min="15381" max="15616" width="8.875" style="2826"/>
    <col min="15617" max="15617" width="9.5" style="2826" customWidth="1"/>
    <col min="15618" max="15618" width="8.875" style="2826"/>
    <col min="15619" max="15621" width="12.875" style="2826" customWidth="1"/>
    <col min="15622" max="15622" width="47.5" style="2826" customWidth="1"/>
    <col min="15623" max="15623" width="13" style="2826" customWidth="1"/>
    <col min="15624" max="15625" width="8.875" style="2826"/>
    <col min="15626" max="15626" width="5.75" style="2826" customWidth="1"/>
    <col min="15627" max="15627" width="11.75" style="2826" customWidth="1"/>
    <col min="15628" max="15629" width="10.75" style="2826" customWidth="1"/>
    <col min="15630" max="15630" width="10" style="2826" customWidth="1"/>
    <col min="15631" max="15632" width="10.5" style="2826" bestFit="1" customWidth="1"/>
    <col min="15633" max="15633" width="10" style="2826" customWidth="1"/>
    <col min="15634" max="15634" width="10.125" style="2826" customWidth="1"/>
    <col min="15635" max="15635" width="10" style="2826" customWidth="1"/>
    <col min="15636" max="15636" width="26.125" style="2826" customWidth="1"/>
    <col min="15637" max="15872" width="8.875" style="2826"/>
    <col min="15873" max="15873" width="9.5" style="2826" customWidth="1"/>
    <col min="15874" max="15874" width="8.875" style="2826"/>
    <col min="15875" max="15877" width="12.875" style="2826" customWidth="1"/>
    <col min="15878" max="15878" width="47.5" style="2826" customWidth="1"/>
    <col min="15879" max="15879" width="13" style="2826" customWidth="1"/>
    <col min="15880" max="15881" width="8.875" style="2826"/>
    <col min="15882" max="15882" width="5.75" style="2826" customWidth="1"/>
    <col min="15883" max="15883" width="11.75" style="2826" customWidth="1"/>
    <col min="15884" max="15885" width="10.75" style="2826" customWidth="1"/>
    <col min="15886" max="15886" width="10" style="2826" customWidth="1"/>
    <col min="15887" max="15888" width="10.5" style="2826" bestFit="1" customWidth="1"/>
    <col min="15889" max="15889" width="10" style="2826" customWidth="1"/>
    <col min="15890" max="15890" width="10.125" style="2826" customWidth="1"/>
    <col min="15891" max="15891" width="10" style="2826" customWidth="1"/>
    <col min="15892" max="15892" width="26.125" style="2826" customWidth="1"/>
    <col min="15893" max="16128" width="8.875" style="2826"/>
    <col min="16129" max="16129" width="9.5" style="2826" customWidth="1"/>
    <col min="16130" max="16130" width="8.875" style="2826"/>
    <col min="16131" max="16133" width="12.875" style="2826" customWidth="1"/>
    <col min="16134" max="16134" width="47.5" style="2826" customWidth="1"/>
    <col min="16135" max="16135" width="13" style="2826" customWidth="1"/>
    <col min="16136" max="16137" width="8.875" style="2826"/>
    <col min="16138" max="16138" width="5.75" style="2826" customWidth="1"/>
    <col min="16139" max="16139" width="11.75" style="2826" customWidth="1"/>
    <col min="16140" max="16141" width="10.75" style="2826" customWidth="1"/>
    <col min="16142" max="16142" width="10" style="2826" customWidth="1"/>
    <col min="16143" max="16144" width="10.5" style="2826" bestFit="1" customWidth="1"/>
    <col min="16145" max="16145" width="10" style="2826" customWidth="1"/>
    <col min="16146" max="16146" width="10.125" style="2826" customWidth="1"/>
    <col min="16147" max="16147" width="10" style="2826" customWidth="1"/>
    <col min="16148" max="16148" width="26.125" style="2826" customWidth="1"/>
    <col min="16149" max="16384" width="8.875" style="2826"/>
  </cols>
  <sheetData>
    <row r="1" spans="1:22" ht="21" customHeight="1">
      <c r="A1" s="2815" t="s">
        <v>2444</v>
      </c>
      <c r="B1" s="2816"/>
      <c r="C1" s="2829"/>
      <c r="D1" s="2829"/>
      <c r="E1" s="2817"/>
      <c r="F1" s="2818"/>
      <c r="G1" s="2819"/>
      <c r="J1" s="2822" t="s">
        <v>2301</v>
      </c>
      <c r="K1" s="2823"/>
      <c r="L1" s="2823"/>
      <c r="M1" s="2823"/>
      <c r="N1" s="2823"/>
      <c r="O1" s="2823"/>
      <c r="P1" s="2823"/>
      <c r="Q1" s="2823"/>
      <c r="R1" s="2824"/>
      <c r="S1" s="2825"/>
      <c r="T1" s="2825"/>
      <c r="U1" s="2825"/>
    </row>
    <row r="2" spans="1:22" s="2838" customFormat="1" ht="13.15" customHeight="1">
      <c r="A2" s="2827" t="s">
        <v>2302</v>
      </c>
      <c r="B2" s="2828" t="e">
        <f>C40</f>
        <v>#DIV/0!</v>
      </c>
      <c r="C2" s="2829" t="s">
        <v>2303</v>
      </c>
      <c r="D2" s="2829"/>
      <c r="E2" s="2830"/>
      <c r="F2" s="2831"/>
      <c r="G2" s="2832"/>
      <c r="H2" s="2833"/>
      <c r="I2" s="2834"/>
      <c r="J2" s="3726" t="s">
        <v>2304</v>
      </c>
      <c r="K2" s="3727"/>
      <c r="L2" s="2835" t="s">
        <v>2305</v>
      </c>
      <c r="M2" s="2835" t="s">
        <v>2306</v>
      </c>
      <c r="N2" s="2835" t="s">
        <v>2307</v>
      </c>
      <c r="O2" s="2835" t="s">
        <v>2308</v>
      </c>
      <c r="P2" s="2835" t="s">
        <v>2309</v>
      </c>
      <c r="Q2" s="2836" t="s">
        <v>2310</v>
      </c>
      <c r="R2" s="2837" t="s">
        <v>2311</v>
      </c>
      <c r="S2" s="2825"/>
      <c r="T2" s="2825"/>
      <c r="U2" s="2825"/>
      <c r="V2" s="2834"/>
    </row>
    <row r="3" spans="1:22" s="2838" customFormat="1" ht="13.15" customHeight="1">
      <c r="A3" s="2839" t="s">
        <v>2312</v>
      </c>
      <c r="B3" s="2840" t="e">
        <f>ROUND(B2*10000/B4,0)</f>
        <v>#DIV/0!</v>
      </c>
      <c r="C3" s="2829" t="s">
        <v>2313</v>
      </c>
      <c r="D3" s="2829"/>
      <c r="E3" s="2830"/>
      <c r="F3" s="2831"/>
      <c r="G3" s="2832"/>
      <c r="H3" s="2833"/>
      <c r="I3" s="2834"/>
      <c r="J3" s="3728" t="s">
        <v>2314</v>
      </c>
      <c r="K3" s="3729"/>
      <c r="L3" s="2841"/>
      <c r="M3" s="2841"/>
      <c r="N3" s="2841"/>
      <c r="O3" s="2841"/>
      <c r="P3" s="2841"/>
      <c r="Q3" s="2842"/>
      <c r="R3" s="2843">
        <f>SUM(L3:Q3)</f>
        <v>0</v>
      </c>
      <c r="S3" s="2825"/>
      <c r="T3" s="2825"/>
      <c r="U3" s="2825"/>
      <c r="V3" s="2834"/>
    </row>
    <row r="4" spans="1:22" s="2838" customFormat="1" ht="13.15" customHeight="1">
      <c r="A4" s="2844" t="s">
        <v>2315</v>
      </c>
      <c r="B4" s="2845"/>
      <c r="C4" s="2829"/>
      <c r="D4" s="2829"/>
      <c r="E4" s="2830"/>
      <c r="F4" s="2831"/>
      <c r="G4" s="2832"/>
      <c r="H4" s="2833"/>
      <c r="I4" s="2834"/>
      <c r="J4" s="3728" t="s">
        <v>2316</v>
      </c>
      <c r="K4" s="3729"/>
      <c r="L4" s="2846"/>
      <c r="M4" s="2846"/>
      <c r="N4" s="2846"/>
      <c r="O4" s="2846"/>
      <c r="P4" s="2846"/>
      <c r="Q4" s="2847"/>
      <c r="R4" s="2848">
        <f>SUM(L4:Q4)</f>
        <v>0</v>
      </c>
      <c r="S4" s="2825"/>
      <c r="T4" s="2825"/>
      <c r="U4" s="2825"/>
      <c r="V4" s="2834"/>
    </row>
    <row r="5" spans="1:22" s="2838" customFormat="1" ht="13.15" customHeight="1" thickBot="1">
      <c r="A5" s="2849" t="s">
        <v>2317</v>
      </c>
      <c r="B5" s="2850"/>
      <c r="C5" s="2829"/>
      <c r="D5" s="2851"/>
      <c r="E5" s="2831"/>
      <c r="F5" s="2831"/>
      <c r="G5" s="2832"/>
      <c r="H5" s="2833"/>
      <c r="I5" s="2834"/>
      <c r="J5" s="2852" t="s">
        <v>2318</v>
      </c>
      <c r="K5" s="2853"/>
      <c r="L5" s="2853"/>
      <c r="M5" s="2854"/>
      <c r="N5" s="2854"/>
      <c r="O5" s="2854"/>
      <c r="P5" s="2854"/>
      <c r="Q5" s="2854"/>
      <c r="R5" s="2837">
        <f>SUM(R14,R19,R24,R25,R27,R28)</f>
        <v>0</v>
      </c>
      <c r="S5" s="2825"/>
      <c r="T5" s="2825" t="s">
        <v>2319</v>
      </c>
      <c r="U5" s="2825" t="e">
        <f>ROUND(R5*10000/365/R3,1)</f>
        <v>#DIV/0!</v>
      </c>
      <c r="V5" s="2834"/>
    </row>
    <row r="6" spans="1:22" s="2838" customFormat="1" ht="13.15" customHeight="1" thickBot="1">
      <c r="A6" s="3734" t="s">
        <v>2320</v>
      </c>
      <c r="B6" s="3735"/>
      <c r="C6" s="3736"/>
      <c r="D6" s="2855"/>
      <c r="E6" s="2856"/>
      <c r="F6" s="2857"/>
      <c r="G6" s="2858"/>
      <c r="H6" s="2833"/>
      <c r="I6" s="2834"/>
      <c r="J6" s="3720">
        <v>1</v>
      </c>
      <c r="K6" s="3721" t="s">
        <v>2321</v>
      </c>
      <c r="L6" s="2859" t="s">
        <v>2322</v>
      </c>
      <c r="M6" s="2860" t="s">
        <v>2323</v>
      </c>
      <c r="N6" s="2860" t="s">
        <v>2324</v>
      </c>
      <c r="O6" s="2860" t="s">
        <v>2325</v>
      </c>
      <c r="P6" s="2860" t="s">
        <v>2326</v>
      </c>
      <c r="Q6" s="2860" t="s">
        <v>2327</v>
      </c>
      <c r="R6" s="2843" t="s">
        <v>2328</v>
      </c>
      <c r="S6" s="2825"/>
      <c r="T6" s="2825" t="s">
        <v>2329</v>
      </c>
      <c r="U6" s="2825"/>
      <c r="V6" s="2834"/>
    </row>
    <row r="7" spans="1:22" s="2838" customFormat="1" ht="13.15" customHeight="1">
      <c r="A7" s="2861" t="s">
        <v>2330</v>
      </c>
      <c r="B7" s="2862"/>
      <c r="C7" s="2863"/>
      <c r="D7" s="2864">
        <f>SUM(D9,D10,D11,D17,0)</f>
        <v>0</v>
      </c>
      <c r="E7" s="2865" t="e">
        <f>E9+E10+E11+E17</f>
        <v>#DIV/0!</v>
      </c>
      <c r="F7" s="2866"/>
      <c r="G7" s="2867"/>
      <c r="H7" s="2833"/>
      <c r="I7" s="2834"/>
      <c r="J7" s="3720"/>
      <c r="K7" s="3722"/>
      <c r="L7" s="2868" t="s">
        <v>2331</v>
      </c>
      <c r="M7" s="2869"/>
      <c r="N7" s="2845"/>
      <c r="O7" s="2870"/>
      <c r="P7" s="2870"/>
      <c r="Q7" s="2871">
        <v>365</v>
      </c>
      <c r="R7" s="2872">
        <f>ROUND(M7*N7*O7*P7*Q7/10000,0)</f>
        <v>0</v>
      </c>
      <c r="S7" s="2825"/>
      <c r="T7" s="2825" t="s">
        <v>2332</v>
      </c>
      <c r="U7" s="2825"/>
      <c r="V7" s="2834"/>
    </row>
    <row r="8" spans="1:22" s="2838" customFormat="1" ht="13.15" customHeight="1">
      <c r="A8" s="2873" t="s">
        <v>2333</v>
      </c>
      <c r="B8" s="3737" t="s">
        <v>2334</v>
      </c>
      <c r="C8" s="3738"/>
      <c r="D8" s="2874" t="s">
        <v>2335</v>
      </c>
      <c r="E8" s="2875" t="s">
        <v>2336</v>
      </c>
      <c r="F8" s="2876" t="s">
        <v>2337</v>
      </c>
      <c r="G8" s="2877"/>
      <c r="H8" s="2833"/>
      <c r="I8" s="2834"/>
      <c r="J8" s="3720"/>
      <c r="K8" s="3722"/>
      <c r="L8" s="2868" t="s">
        <v>2338</v>
      </c>
      <c r="M8" s="2869"/>
      <c r="N8" s="2845"/>
      <c r="O8" s="2870"/>
      <c r="P8" s="2870"/>
      <c r="Q8" s="2871">
        <v>365</v>
      </c>
      <c r="R8" s="2872">
        <f t="shared" ref="R8:R13" si="0">ROUND(M8*N8*O8*P8*Q8/10000,0)</f>
        <v>0</v>
      </c>
      <c r="S8" s="2825"/>
      <c r="T8" s="2825" t="s">
        <v>2339</v>
      </c>
      <c r="U8" s="2825"/>
      <c r="V8" s="2834"/>
    </row>
    <row r="9" spans="1:22" s="2838" customFormat="1" ht="13.15" customHeight="1">
      <c r="A9" s="2873">
        <v>1</v>
      </c>
      <c r="B9" s="3737" t="s">
        <v>2340</v>
      </c>
      <c r="C9" s="3738"/>
      <c r="D9" s="2874">
        <f>ROUND(D6*E9,0)</f>
        <v>0</v>
      </c>
      <c r="E9" s="2878"/>
      <c r="F9" s="2879" t="s">
        <v>2341</v>
      </c>
      <c r="G9" s="2858"/>
      <c r="H9" s="2833"/>
      <c r="I9" s="2834"/>
      <c r="J9" s="3720"/>
      <c r="K9" s="3722"/>
      <c r="L9" s="2868" t="s">
        <v>2342</v>
      </c>
      <c r="M9" s="2869"/>
      <c r="N9" s="2845"/>
      <c r="O9" s="2870"/>
      <c r="P9" s="2870"/>
      <c r="Q9" s="2871">
        <v>365</v>
      </c>
      <c r="R9" s="2872">
        <f t="shared" si="0"/>
        <v>0</v>
      </c>
      <c r="S9" s="2825"/>
      <c r="T9" s="2825"/>
      <c r="U9" s="2825"/>
      <c r="V9" s="2834"/>
    </row>
    <row r="10" spans="1:22" s="2838" customFormat="1" ht="13.15" customHeight="1">
      <c r="A10" s="2873">
        <v>2</v>
      </c>
      <c r="B10" s="3737" t="s">
        <v>2343</v>
      </c>
      <c r="C10" s="3738"/>
      <c r="D10" s="2874">
        <f>ROUND(D6*E10,0)</f>
        <v>0</v>
      </c>
      <c r="E10" s="2878"/>
      <c r="F10" s="2879" t="s">
        <v>2344</v>
      </c>
      <c r="G10" s="2858"/>
      <c r="H10" s="2833"/>
      <c r="I10" s="2834"/>
      <c r="J10" s="3720"/>
      <c r="K10" s="3722"/>
      <c r="L10" s="2868" t="s">
        <v>2345</v>
      </c>
      <c r="M10" s="2869"/>
      <c r="N10" s="2845"/>
      <c r="O10" s="2870"/>
      <c r="P10" s="2870"/>
      <c r="Q10" s="2871">
        <v>365</v>
      </c>
      <c r="R10" s="2872">
        <f t="shared" si="0"/>
        <v>0</v>
      </c>
      <c r="S10" s="2825"/>
      <c r="T10" s="2825"/>
      <c r="U10" s="2825"/>
      <c r="V10" s="2834"/>
    </row>
    <row r="11" spans="1:22" s="2838" customFormat="1" ht="13.15" customHeight="1">
      <c r="A11" s="2873">
        <v>3</v>
      </c>
      <c r="B11" s="3737" t="s">
        <v>2346</v>
      </c>
      <c r="C11" s="3738"/>
      <c r="D11" s="2874">
        <f>D12+D14+D15+D16</f>
        <v>0</v>
      </c>
      <c r="E11" s="2880" t="e">
        <f>D11/D6</f>
        <v>#DIV/0!</v>
      </c>
      <c r="F11" s="2876"/>
      <c r="G11" s="2877"/>
      <c r="H11" s="2833"/>
      <c r="I11" s="2834"/>
      <c r="J11" s="3720"/>
      <c r="K11" s="3722"/>
      <c r="L11" s="2868" t="s">
        <v>2347</v>
      </c>
      <c r="M11" s="2869"/>
      <c r="N11" s="2845"/>
      <c r="O11" s="2870"/>
      <c r="P11" s="2870"/>
      <c r="Q11" s="2871">
        <v>365</v>
      </c>
      <c r="R11" s="2872">
        <f t="shared" si="0"/>
        <v>0</v>
      </c>
      <c r="S11" s="2825"/>
      <c r="T11" s="2825"/>
      <c r="U11" s="2825"/>
      <c r="V11" s="2834"/>
    </row>
    <row r="12" spans="1:22" s="2838" customFormat="1" ht="13.15" customHeight="1">
      <c r="A12" s="2881" t="s">
        <v>2348</v>
      </c>
      <c r="B12" s="3730" t="s">
        <v>2349</v>
      </c>
      <c r="C12" s="3731"/>
      <c r="D12" s="2882">
        <f>ROUND(D13*1.2%*(1-30%),0)</f>
        <v>0</v>
      </c>
      <c r="E12" s="2883">
        <v>1.2E-2</v>
      </c>
      <c r="F12" s="2876" t="s">
        <v>2350</v>
      </c>
      <c r="G12" s="2877"/>
      <c r="H12" s="2833"/>
      <c r="I12" s="2834"/>
      <c r="J12" s="3720"/>
      <c r="K12" s="3722"/>
      <c r="L12" s="2868" t="s">
        <v>2351</v>
      </c>
      <c r="M12" s="2869"/>
      <c r="N12" s="2845"/>
      <c r="O12" s="2870"/>
      <c r="P12" s="2870"/>
      <c r="Q12" s="2871">
        <v>365</v>
      </c>
      <c r="R12" s="2872">
        <f t="shared" si="0"/>
        <v>0</v>
      </c>
      <c r="S12" s="2825"/>
      <c r="T12" s="2825"/>
      <c r="U12" s="2825"/>
      <c r="V12" s="2834"/>
    </row>
    <row r="13" spans="1:22" s="2838" customFormat="1" ht="13.15" customHeight="1">
      <c r="A13" s="2881"/>
      <c r="B13" s="2884"/>
      <c r="C13" s="2885" t="s">
        <v>2352</v>
      </c>
      <c r="D13" s="2886"/>
      <c r="E13" s="2887"/>
      <c r="F13" s="2876"/>
      <c r="G13" s="2877"/>
      <c r="H13" s="2833"/>
      <c r="I13" s="2834"/>
      <c r="J13" s="3720"/>
      <c r="K13" s="3722"/>
      <c r="L13" s="2868" t="s">
        <v>2353</v>
      </c>
      <c r="M13" s="2869"/>
      <c r="N13" s="2845"/>
      <c r="O13" s="2870"/>
      <c r="P13" s="2870"/>
      <c r="Q13" s="2871">
        <v>365</v>
      </c>
      <c r="R13" s="2872">
        <f t="shared" si="0"/>
        <v>0</v>
      </c>
      <c r="S13" s="2825"/>
      <c r="T13" s="2825"/>
      <c r="U13" s="2825"/>
      <c r="V13" s="2834"/>
    </row>
    <row r="14" spans="1:22" s="2838" customFormat="1" ht="13.15" customHeight="1">
      <c r="A14" s="2881" t="s">
        <v>2354</v>
      </c>
      <c r="B14" s="3730" t="s">
        <v>2355</v>
      </c>
      <c r="C14" s="3731"/>
      <c r="D14" s="2882">
        <f>ROUND(E14*B5/10000,0)</f>
        <v>0</v>
      </c>
      <c r="E14" s="2871"/>
      <c r="F14" s="2876" t="s">
        <v>2356</v>
      </c>
      <c r="G14" s="2877"/>
      <c r="H14" s="2833"/>
      <c r="I14" s="2834"/>
      <c r="J14" s="3720"/>
      <c r="K14" s="3723"/>
      <c r="L14" s="2888" t="s">
        <v>2357</v>
      </c>
      <c r="M14" s="2889">
        <f>SUM(M7:M13)</f>
        <v>0</v>
      </c>
      <c r="N14" s="2889" t="e">
        <f>ROUND((N7*M7+N8*M8+N9*M9+N10*M10+N11*M11+N12*M12+N13*M13)/M14,0)</f>
        <v>#DIV/0!</v>
      </c>
      <c r="O14" s="2890"/>
      <c r="P14" s="2890"/>
      <c r="Q14" s="2891"/>
      <c r="R14" s="2837">
        <f>SUM(R7:R13)</f>
        <v>0</v>
      </c>
      <c r="S14" s="2825"/>
      <c r="T14" s="2825"/>
      <c r="U14" s="2825"/>
      <c r="V14" s="2834"/>
    </row>
    <row r="15" spans="1:22" s="2838" customFormat="1" ht="13.15" customHeight="1">
      <c r="A15" s="2881" t="s">
        <v>2358</v>
      </c>
      <c r="B15" s="3730" t="s">
        <v>2359</v>
      </c>
      <c r="C15" s="3731"/>
      <c r="D15" s="2882">
        <f>ROUND(D6*E15,0)</f>
        <v>0</v>
      </c>
      <c r="E15" s="2883">
        <v>5.5E-2</v>
      </c>
      <c r="F15" s="2876" t="s">
        <v>2360</v>
      </c>
      <c r="G15" s="2858"/>
      <c r="H15" s="2833"/>
      <c r="I15" s="2834"/>
      <c r="J15" s="3720">
        <v>2</v>
      </c>
      <c r="K15" s="3721" t="s">
        <v>2361</v>
      </c>
      <c r="L15" s="2868" t="s">
        <v>2362</v>
      </c>
      <c r="M15" s="2869" t="s">
        <v>2363</v>
      </c>
      <c r="N15" s="2869" t="s">
        <v>2364</v>
      </c>
      <c r="O15" s="2870" t="s">
        <v>2365</v>
      </c>
      <c r="P15" s="2870" t="s">
        <v>2366</v>
      </c>
      <c r="Q15" s="2845" t="s">
        <v>2367</v>
      </c>
      <c r="R15" s="2892" t="s">
        <v>2368</v>
      </c>
      <c r="S15" s="2825"/>
      <c r="T15" s="2825"/>
      <c r="U15" s="2825"/>
      <c r="V15" s="2834"/>
    </row>
    <row r="16" spans="1:22" s="2838" customFormat="1" ht="13.15" customHeight="1">
      <c r="A16" s="2881" t="s">
        <v>2369</v>
      </c>
      <c r="B16" s="3730" t="s">
        <v>2370</v>
      </c>
      <c r="C16" s="3731"/>
      <c r="D16" s="2893">
        <f>D6*E16</f>
        <v>0</v>
      </c>
      <c r="E16" s="2894"/>
      <c r="F16" s="2879" t="s">
        <v>2371</v>
      </c>
      <c r="G16" s="2858"/>
      <c r="H16" s="2833"/>
      <c r="I16" s="2834"/>
      <c r="J16" s="3720"/>
      <c r="K16" s="3722"/>
      <c r="L16" s="2868" t="s">
        <v>2372</v>
      </c>
      <c r="M16" s="2869"/>
      <c r="N16" s="2869"/>
      <c r="O16" s="2870"/>
      <c r="P16" s="2871">
        <v>365</v>
      </c>
      <c r="Q16" s="2845"/>
      <c r="R16" s="2892">
        <f>ROUND(M16*N16*O16*P16/10000,0)</f>
        <v>0</v>
      </c>
      <c r="S16" s="2825"/>
      <c r="T16" s="2825"/>
      <c r="U16" s="2825"/>
      <c r="V16" s="2834"/>
    </row>
    <row r="17" spans="1:22" s="2838" customFormat="1" ht="13.15" customHeight="1" thickBot="1">
      <c r="A17" s="2895">
        <v>4</v>
      </c>
      <c r="B17" s="3732" t="s">
        <v>2373</v>
      </c>
      <c r="C17" s="3733"/>
      <c r="D17" s="2896">
        <f>ROUND(D6*E17,0)</f>
        <v>0</v>
      </c>
      <c r="E17" s="2897"/>
      <c r="F17" s="2898" t="s">
        <v>2374</v>
      </c>
      <c r="G17" s="2858"/>
      <c r="H17" s="2833"/>
      <c r="I17" s="2834"/>
      <c r="J17" s="3720"/>
      <c r="K17" s="3722"/>
      <c r="L17" s="2868" t="s">
        <v>2375</v>
      </c>
      <c r="M17" s="2869"/>
      <c r="N17" s="2869"/>
      <c r="O17" s="2870"/>
      <c r="P17" s="2871">
        <v>365</v>
      </c>
      <c r="Q17" s="2845"/>
      <c r="R17" s="2892">
        <f>ROUND(M17*N17*O17*P17/10000,0)</f>
        <v>0</v>
      </c>
      <c r="S17" s="2825"/>
      <c r="T17" s="2825"/>
      <c r="U17" s="2825"/>
      <c r="V17" s="2834"/>
    </row>
    <row r="18" spans="1:22" s="2838" customFormat="1" ht="13.15" customHeight="1" thickBot="1">
      <c r="A18" s="2861" t="s">
        <v>2376</v>
      </c>
      <c r="B18" s="2862"/>
      <c r="C18" s="2862"/>
      <c r="D18" s="2899">
        <f>ROUND(D6*E18,0)</f>
        <v>0</v>
      </c>
      <c r="E18" s="2900"/>
      <c r="F18" s="2901" t="s">
        <v>2377</v>
      </c>
      <c r="G18" s="2858"/>
      <c r="H18" s="2833"/>
      <c r="I18" s="2834"/>
      <c r="J18" s="3720"/>
      <c r="K18" s="3722"/>
      <c r="L18" s="2868" t="s">
        <v>2378</v>
      </c>
      <c r="M18" s="2869"/>
      <c r="N18" s="2869"/>
      <c r="O18" s="2870"/>
      <c r="P18" s="2871">
        <v>365</v>
      </c>
      <c r="Q18" s="2845"/>
      <c r="R18" s="2892">
        <f>ROUND(M18*N18*O18*P18/10000,0)</f>
        <v>0</v>
      </c>
      <c r="S18" s="2825"/>
      <c r="T18" s="2825"/>
      <c r="U18" s="2825"/>
      <c r="V18" s="2834"/>
    </row>
    <row r="19" spans="1:22" s="2838" customFormat="1" ht="13.15" customHeight="1" thickBot="1">
      <c r="A19" s="2902" t="s">
        <v>2379</v>
      </c>
      <c r="B19" s="2856"/>
      <c r="C19" s="2856"/>
      <c r="D19" s="2856"/>
      <c r="E19" s="2856"/>
      <c r="F19" s="2857"/>
      <c r="G19" s="2877"/>
      <c r="H19" s="2833"/>
      <c r="I19" s="2834"/>
      <c r="J19" s="3720"/>
      <c r="K19" s="3723"/>
      <c r="L19" s="2888" t="s">
        <v>2357</v>
      </c>
      <c r="M19" s="2889"/>
      <c r="N19" s="2889">
        <f>SUM(N16:N18)</f>
        <v>0</v>
      </c>
      <c r="O19" s="2890"/>
      <c r="P19" s="2903" t="s">
        <v>2445</v>
      </c>
      <c r="Q19" s="2870"/>
      <c r="R19" s="2904">
        <f>ROUND(IF(P19="按比例",R14*Q19,SUM(R16:R18)),0)</f>
        <v>0</v>
      </c>
      <c r="S19" s="2825"/>
      <c r="T19" s="2825"/>
      <c r="U19" s="2825"/>
      <c r="V19" s="2834"/>
    </row>
    <row r="20" spans="1:22" s="2838" customFormat="1" ht="13.15" customHeight="1">
      <c r="A20" s="2861"/>
      <c r="B20" s="2862"/>
      <c r="C20" s="2862"/>
      <c r="D20" s="2862"/>
      <c r="E20" s="2862"/>
      <c r="F20" s="2905"/>
      <c r="G20" s="2877"/>
      <c r="H20" s="2833"/>
      <c r="I20" s="2834"/>
      <c r="J20" s="3720">
        <v>3</v>
      </c>
      <c r="K20" s="3721" t="s">
        <v>2380</v>
      </c>
      <c r="L20" s="2868" t="s">
        <v>2381</v>
      </c>
      <c r="M20" s="2869" t="s">
        <v>2382</v>
      </c>
      <c r="N20" s="2906" t="s">
        <v>2383</v>
      </c>
      <c r="O20" s="2870" t="s">
        <v>2384</v>
      </c>
      <c r="P20" s="2871" t="s">
        <v>2385</v>
      </c>
      <c r="Q20" s="2845" t="s">
        <v>2386</v>
      </c>
      <c r="R20" s="2892" t="s">
        <v>2328</v>
      </c>
      <c r="S20" s="2825"/>
      <c r="T20" s="2825"/>
      <c r="U20" s="2825"/>
      <c r="V20" s="2834"/>
    </row>
    <row r="21" spans="1:22" s="2838" customFormat="1" ht="13.15" customHeight="1">
      <c r="A21" s="2861"/>
      <c r="B21" s="2862"/>
      <c r="C21" s="2907" t="s">
        <v>2387</v>
      </c>
      <c r="D21" s="2908" t="s">
        <v>2388</v>
      </c>
      <c r="E21" s="2909" t="s">
        <v>2389</v>
      </c>
      <c r="F21" s="2905"/>
      <c r="G21" s="2877"/>
      <c r="H21" s="2833"/>
      <c r="I21" s="2834"/>
      <c r="J21" s="3720"/>
      <c r="K21" s="3722"/>
      <c r="L21" s="2868" t="s">
        <v>2390</v>
      </c>
      <c r="M21" s="2869"/>
      <c r="N21" s="2869"/>
      <c r="O21" s="2870"/>
      <c r="P21" s="2871">
        <v>365</v>
      </c>
      <c r="Q21" s="2845"/>
      <c r="R21" s="2910">
        <f>ROUND(M21*N21*O21*P21/10000,0)</f>
        <v>0</v>
      </c>
      <c r="S21" s="2825"/>
      <c r="T21" s="2825"/>
      <c r="U21" s="2825"/>
      <c r="V21" s="2834"/>
    </row>
    <row r="22" spans="1:22" s="2838" customFormat="1" ht="13.15" customHeight="1">
      <c r="A22" s="2861"/>
      <c r="B22" s="2862"/>
      <c r="C22" s="2911" t="s">
        <v>2391</v>
      </c>
      <c r="D22" s="2912" t="s">
        <v>2392</v>
      </c>
      <c r="E22" s="2913" t="s">
        <v>2393</v>
      </c>
      <c r="F22" s="2905"/>
      <c r="G22" s="2825"/>
      <c r="H22" s="2833"/>
      <c r="I22" s="2834"/>
      <c r="J22" s="3720"/>
      <c r="K22" s="3722"/>
      <c r="L22" s="2868" t="s">
        <v>2394</v>
      </c>
      <c r="M22" s="2869"/>
      <c r="N22" s="2869"/>
      <c r="O22" s="2870"/>
      <c r="P22" s="2871">
        <v>365</v>
      </c>
      <c r="Q22" s="2845"/>
      <c r="R22" s="2910">
        <f>ROUND(M22*N22*O22*P22/10000,0)</f>
        <v>0</v>
      </c>
      <c r="S22" s="2825"/>
      <c r="T22" s="2825"/>
      <c r="U22" s="2825"/>
      <c r="V22" s="2834"/>
    </row>
    <row r="23" spans="1:22" s="2838" customFormat="1" ht="13.15" customHeight="1">
      <c r="A23" s="2914">
        <v>1</v>
      </c>
      <c r="B23" s="2915" t="s">
        <v>2395</v>
      </c>
      <c r="C23" s="2916">
        <f>D6</f>
        <v>0</v>
      </c>
      <c r="D23" s="2917">
        <f>C23*(1+D24)</f>
        <v>0</v>
      </c>
      <c r="E23" s="2918">
        <f>D23*(1+E24)</f>
        <v>0</v>
      </c>
      <c r="F23" s="2919"/>
      <c r="G23" s="2920"/>
      <c r="H23" s="2833"/>
      <c r="I23" s="2834"/>
      <c r="J23" s="3720"/>
      <c r="K23" s="3722"/>
      <c r="L23" s="2868" t="s">
        <v>2396</v>
      </c>
      <c r="M23" s="2869"/>
      <c r="N23" s="2869"/>
      <c r="O23" s="2870"/>
      <c r="P23" s="2871">
        <v>365</v>
      </c>
      <c r="Q23" s="2845"/>
      <c r="R23" s="2910">
        <f>ROUND(M23*N23*O23*P23/10000,0)</f>
        <v>0</v>
      </c>
      <c r="S23" s="2825"/>
      <c r="T23" s="2825"/>
      <c r="U23" s="2825"/>
      <c r="V23" s="2834"/>
    </row>
    <row r="24" spans="1:22" s="2838" customFormat="1" ht="13.15" customHeight="1">
      <c r="A24" s="2921"/>
      <c r="B24" s="2922" t="s">
        <v>2397</v>
      </c>
      <c r="C24" s="2923"/>
      <c r="D24" s="2924"/>
      <c r="E24" s="2925"/>
      <c r="F24" s="2926"/>
      <c r="G24" s="2920"/>
      <c r="H24" s="2833"/>
      <c r="I24" s="2834"/>
      <c r="J24" s="3720"/>
      <c r="K24" s="3723"/>
      <c r="L24" s="2888" t="s">
        <v>2357</v>
      </c>
      <c r="M24" s="2889">
        <f>SUM(M21:M23)</f>
        <v>0</v>
      </c>
      <c r="N24" s="2889"/>
      <c r="O24" s="2890"/>
      <c r="P24" s="2903" t="s">
        <v>2445</v>
      </c>
      <c r="Q24" s="2870"/>
      <c r="R24" s="2904">
        <f>ROUND(IF(P24="按比例",R14*Q24,SUM(R21:R23)),0)</f>
        <v>0</v>
      </c>
      <c r="S24" s="2825"/>
      <c r="T24" s="2825"/>
      <c r="U24" s="2825"/>
      <c r="V24" s="2834"/>
    </row>
    <row r="25" spans="1:22" s="2933" customFormat="1" ht="13.15" customHeight="1">
      <c r="A25" s="2921"/>
      <c r="B25" s="2922"/>
      <c r="C25" s="2923"/>
      <c r="D25" s="2924"/>
      <c r="E25" s="2925"/>
      <c r="F25" s="2926"/>
      <c r="G25" s="2825"/>
      <c r="H25" s="2833"/>
      <c r="I25" s="2834"/>
      <c r="J25" s="2927">
        <v>4</v>
      </c>
      <c r="K25" s="2928" t="s">
        <v>2398</v>
      </c>
      <c r="L25" s="2929"/>
      <c r="M25" s="2929"/>
      <c r="N25" s="2929"/>
      <c r="O25" s="2929"/>
      <c r="P25" s="2930"/>
      <c r="Q25" s="2931"/>
      <c r="R25" s="2904">
        <f>ROUND(R14*Q25,0)</f>
        <v>0</v>
      </c>
      <c r="S25" s="2825"/>
      <c r="T25" s="2825"/>
      <c r="U25" s="2825"/>
      <c r="V25" s="2932"/>
    </row>
    <row r="26" spans="1:22" s="2933" customFormat="1" ht="13.15" customHeight="1">
      <c r="A26" s="2914">
        <v>2</v>
      </c>
      <c r="B26" s="2915" t="s">
        <v>2399</v>
      </c>
      <c r="C26" s="2916">
        <f>D7</f>
        <v>0</v>
      </c>
      <c r="D26" s="2917">
        <f>D23*D27</f>
        <v>0</v>
      </c>
      <c r="E26" s="2918">
        <f>E23*E27</f>
        <v>0</v>
      </c>
      <c r="F26" s="2919"/>
      <c r="G26" s="2920"/>
      <c r="H26" s="2833"/>
      <c r="I26" s="2834"/>
      <c r="J26" s="3724">
        <v>5</v>
      </c>
      <c r="K26" s="2934" t="s">
        <v>2400</v>
      </c>
      <c r="L26" s="2935"/>
      <c r="M26" s="2936"/>
      <c r="N26" s="2937" t="s">
        <v>2401</v>
      </c>
      <c r="O26" s="2937" t="s">
        <v>2402</v>
      </c>
      <c r="P26" s="2938" t="s">
        <v>2403</v>
      </c>
      <c r="Q26" s="2938" t="s">
        <v>2404</v>
      </c>
      <c r="R26" s="2843" t="s">
        <v>2405</v>
      </c>
      <c r="S26" s="2877"/>
      <c r="T26" s="2877"/>
      <c r="U26" s="2877"/>
      <c r="V26" s="2932"/>
    </row>
    <row r="27" spans="1:22" s="2838" customFormat="1" ht="13.15" customHeight="1">
      <c r="A27" s="2921"/>
      <c r="B27" s="2922" t="s">
        <v>2406</v>
      </c>
      <c r="C27" s="2939" t="e">
        <f>E7</f>
        <v>#DIV/0!</v>
      </c>
      <c r="D27" s="2924"/>
      <c r="E27" s="2925"/>
      <c r="F27" s="2926"/>
      <c r="G27" s="2920"/>
      <c r="H27" s="2940"/>
      <c r="I27" s="2932"/>
      <c r="J27" s="3725"/>
      <c r="K27" s="2941"/>
      <c r="L27" s="2942"/>
      <c r="M27" s="2943"/>
      <c r="N27" s="2944"/>
      <c r="O27" s="2944"/>
      <c r="P27" s="2944"/>
      <c r="Q27" s="2945"/>
      <c r="R27" s="2904">
        <f>ROUND(O27*N27*P27*(1-Q27)/10000,0)</f>
        <v>0</v>
      </c>
      <c r="S27" s="2825"/>
      <c r="T27" s="2825"/>
      <c r="U27" s="2825"/>
      <c r="V27" s="2834"/>
    </row>
    <row r="28" spans="1:22" s="2933" customFormat="1" ht="13.15" customHeight="1" thickBot="1">
      <c r="A28" s="2921"/>
      <c r="B28" s="2922"/>
      <c r="C28" s="2939"/>
      <c r="D28" s="2924"/>
      <c r="E28" s="2925" t="s">
        <v>2407</v>
      </c>
      <c r="F28" s="2926"/>
      <c r="G28" s="2825"/>
      <c r="H28" s="2940"/>
      <c r="I28" s="2932"/>
      <c r="J28" s="2946">
        <v>6</v>
      </c>
      <c r="K28" s="2947" t="s">
        <v>2408</v>
      </c>
      <c r="L28" s="2948" t="s">
        <v>2409</v>
      </c>
      <c r="M28" s="2949"/>
      <c r="N28" s="2948" t="s">
        <v>2410</v>
      </c>
      <c r="O28" s="2950"/>
      <c r="P28" s="2948" t="s">
        <v>2411</v>
      </c>
      <c r="Q28" s="2951">
        <v>1.4999999999999999E-2</v>
      </c>
      <c r="R28" s="2952"/>
      <c r="S28" s="2825"/>
      <c r="T28" s="2825"/>
      <c r="U28" s="2825"/>
      <c r="V28" s="2932"/>
    </row>
    <row r="29" spans="1:22" s="2933" customFormat="1" ht="13.15" customHeight="1">
      <c r="A29" s="2914">
        <v>3</v>
      </c>
      <c r="B29" s="2915" t="s">
        <v>2412</v>
      </c>
      <c r="C29" s="2916">
        <f>C23*C30</f>
        <v>0</v>
      </c>
      <c r="D29" s="2917">
        <f>D23*C30</f>
        <v>0</v>
      </c>
      <c r="E29" s="2918">
        <f>E23*C30</f>
        <v>0</v>
      </c>
      <c r="F29" s="2919"/>
      <c r="G29" s="2920"/>
      <c r="H29" s="2833"/>
      <c r="I29" s="2834"/>
      <c r="J29" s="2825"/>
      <c r="K29" s="2825"/>
      <c r="L29" s="2825"/>
      <c r="M29" s="2825"/>
      <c r="N29" s="2825"/>
      <c r="O29" s="2825"/>
      <c r="P29" s="2825"/>
      <c r="Q29" s="2825"/>
      <c r="R29" s="2825"/>
      <c r="S29" s="2825"/>
      <c r="T29" s="2825"/>
      <c r="U29" s="2825"/>
      <c r="V29" s="2932"/>
    </row>
    <row r="30" spans="1:22" s="2838" customFormat="1" ht="13.15" customHeight="1" thickBot="1">
      <c r="A30" s="2921"/>
      <c r="B30" s="2922" t="s">
        <v>2413</v>
      </c>
      <c r="C30" s="2939">
        <f>E18</f>
        <v>0</v>
      </c>
      <c r="D30" s="2953"/>
      <c r="E30" s="2887"/>
      <c r="F30" s="2926"/>
      <c r="G30" s="2920"/>
      <c r="H30" s="2940"/>
      <c r="I30" s="2932"/>
      <c r="J30" s="2825"/>
      <c r="K30" s="2825"/>
      <c r="L30" s="2825"/>
      <c r="M30" s="2825"/>
      <c r="N30" s="2825"/>
      <c r="O30" s="2825"/>
      <c r="P30" s="2825"/>
      <c r="Q30" s="2825"/>
      <c r="R30" s="2825"/>
      <c r="S30" s="2825"/>
      <c r="T30" s="2825"/>
      <c r="U30" s="2825"/>
      <c r="V30" s="2834"/>
    </row>
    <row r="31" spans="1:22" s="2933" customFormat="1" ht="13.15" customHeight="1">
      <c r="A31" s="2921"/>
      <c r="B31" s="2922"/>
      <c r="C31" s="2954"/>
      <c r="D31" s="2953"/>
      <c r="E31" s="2887"/>
      <c r="F31" s="2926"/>
      <c r="G31" s="2825"/>
      <c r="H31" s="2940"/>
      <c r="I31" s="2932"/>
      <c r="J31" s="2822" t="s">
        <v>2414</v>
      </c>
      <c r="K31" s="2823"/>
      <c r="L31" s="2823"/>
      <c r="M31" s="2823"/>
      <c r="N31" s="2823"/>
      <c r="O31" s="2823"/>
      <c r="P31" s="2823"/>
      <c r="Q31" s="2823"/>
      <c r="R31" s="2824"/>
      <c r="S31" s="2825"/>
      <c r="T31" s="2825"/>
      <c r="U31" s="2825"/>
      <c r="V31" s="2932"/>
    </row>
    <row r="32" spans="1:22" s="2933" customFormat="1" ht="13.15" customHeight="1">
      <c r="A32" s="2914">
        <v>4</v>
      </c>
      <c r="B32" s="2915" t="s">
        <v>2415</v>
      </c>
      <c r="C32" s="2916">
        <f>C23-C26-C29</f>
        <v>0</v>
      </c>
      <c r="D32" s="2917">
        <f>D23-D26-D29</f>
        <v>0</v>
      </c>
      <c r="E32" s="2918">
        <f>E23-E26-E29</f>
        <v>0</v>
      </c>
      <c r="F32" s="2919"/>
      <c r="G32" s="2825"/>
      <c r="H32" s="2833"/>
      <c r="I32" s="2834"/>
      <c r="J32" s="3726" t="s">
        <v>2416</v>
      </c>
      <c r="K32" s="3727"/>
      <c r="L32" s="2835" t="s">
        <v>2417</v>
      </c>
      <c r="M32" s="2835" t="s">
        <v>2306</v>
      </c>
      <c r="N32" s="2835" t="s">
        <v>2307</v>
      </c>
      <c r="O32" s="2835" t="s">
        <v>2308</v>
      </c>
      <c r="P32" s="2835" t="s">
        <v>2309</v>
      </c>
      <c r="Q32" s="2836" t="s">
        <v>2418</v>
      </c>
      <c r="R32" s="2955" t="s">
        <v>2419</v>
      </c>
      <c r="S32" s="2825"/>
      <c r="T32" s="2825"/>
      <c r="U32" s="2825"/>
      <c r="V32" s="2932"/>
    </row>
    <row r="33" spans="1:23" s="2838" customFormat="1" ht="13.15" customHeight="1">
      <c r="A33" s="2914"/>
      <c r="B33" s="2915"/>
      <c r="C33" s="2916"/>
      <c r="D33" s="2956"/>
      <c r="E33" s="2957"/>
      <c r="F33" s="2919"/>
      <c r="G33" s="2825"/>
      <c r="H33" s="2940"/>
      <c r="I33" s="2932"/>
      <c r="J33" s="3728" t="s">
        <v>2420</v>
      </c>
      <c r="K33" s="3729"/>
      <c r="L33" s="2841"/>
      <c r="M33" s="2841"/>
      <c r="N33" s="2841"/>
      <c r="O33" s="2841"/>
      <c r="P33" s="2841"/>
      <c r="Q33" s="2842"/>
      <c r="R33" s="2958">
        <f>SUM(L33:Q33)</f>
        <v>0</v>
      </c>
      <c r="S33" s="2825"/>
      <c r="T33" s="2825"/>
      <c r="U33" s="2825"/>
      <c r="V33" s="2834"/>
    </row>
    <row r="34" spans="1:23" s="2838" customFormat="1" ht="13.15" customHeight="1">
      <c r="A34" s="2914">
        <v>5</v>
      </c>
      <c r="B34" s="2915" t="s">
        <v>2421</v>
      </c>
      <c r="C34" s="2959"/>
      <c r="D34" s="2960"/>
      <c r="E34" s="2961"/>
      <c r="F34" s="2919"/>
      <c r="G34" s="2825"/>
      <c r="H34" s="2940"/>
      <c r="I34" s="2932"/>
      <c r="J34" s="3728" t="s">
        <v>2422</v>
      </c>
      <c r="K34" s="3729"/>
      <c r="L34" s="2846"/>
      <c r="M34" s="2846"/>
      <c r="N34" s="2846"/>
      <c r="O34" s="2846"/>
      <c r="P34" s="2846"/>
      <c r="Q34" s="2847"/>
      <c r="R34" s="2962">
        <f>SUM(L34:Q34)</f>
        <v>0</v>
      </c>
      <c r="S34" s="2825"/>
      <c r="T34" s="2825"/>
      <c r="U34" s="2825" t="e">
        <f>ROUND(R35*10000/365/R33,1)</f>
        <v>#DIV/0!</v>
      </c>
      <c r="V34" s="2834"/>
    </row>
    <row r="35" spans="1:23" s="2838" customFormat="1" ht="13.15" customHeight="1">
      <c r="A35" s="2914">
        <v>6</v>
      </c>
      <c r="B35" s="2915" t="s">
        <v>2423</v>
      </c>
      <c r="C35" s="2963"/>
      <c r="D35" s="2964"/>
      <c r="E35" s="2965"/>
      <c r="F35" s="2919"/>
      <c r="G35" s="2966"/>
      <c r="H35" s="2833"/>
      <c r="I35" s="2932"/>
      <c r="J35" s="2852" t="s">
        <v>2424</v>
      </c>
      <c r="K35" s="2853"/>
      <c r="L35" s="2853"/>
      <c r="M35" s="2854"/>
      <c r="N35" s="2854"/>
      <c r="O35" s="2854"/>
      <c r="P35" s="2854"/>
      <c r="Q35" s="2854"/>
      <c r="R35" s="2967">
        <f>R40+R41+R43</f>
        <v>0</v>
      </c>
      <c r="S35" s="2825"/>
      <c r="T35" s="2825" t="s">
        <v>2425</v>
      </c>
      <c r="U35" s="2825"/>
      <c r="V35" s="2834"/>
    </row>
    <row r="36" spans="1:23" s="2838" customFormat="1" ht="13.15" customHeight="1" thickBot="1">
      <c r="A36" s="2914">
        <v>7</v>
      </c>
      <c r="B36" s="2968" t="s">
        <v>2426</v>
      </c>
      <c r="C36" s="2969"/>
      <c r="D36" s="2970"/>
      <c r="E36" s="2971"/>
      <c r="F36" s="2972">
        <f>C36+D36+E36</f>
        <v>0</v>
      </c>
      <c r="G36" s="2825"/>
      <c r="H36" s="2833"/>
      <c r="I36" s="2834"/>
      <c r="J36" s="3720">
        <v>1</v>
      </c>
      <c r="K36" s="3721" t="s">
        <v>2427</v>
      </c>
      <c r="L36" s="2859"/>
      <c r="M36" s="2860"/>
      <c r="N36" s="2860"/>
      <c r="O36" s="2860"/>
      <c r="P36" s="2860"/>
      <c r="Q36" s="2860"/>
      <c r="R36" s="2843" t="s">
        <v>2328</v>
      </c>
      <c r="S36" s="2825"/>
      <c r="T36" s="2825" t="s">
        <v>2329</v>
      </c>
      <c r="U36" s="2825"/>
      <c r="V36" s="2834"/>
    </row>
    <row r="37" spans="1:23" s="2838" customFormat="1" ht="13.15" customHeight="1">
      <c r="A37" s="2914"/>
      <c r="B37" s="2915"/>
      <c r="C37" s="2915"/>
      <c r="D37" s="2915"/>
      <c r="E37" s="2915"/>
      <c r="F37" s="2919"/>
      <c r="G37" s="2825"/>
      <c r="H37" s="2833"/>
      <c r="I37" s="2834"/>
      <c r="J37" s="3720"/>
      <c r="K37" s="3722"/>
      <c r="L37" s="2868"/>
      <c r="M37" s="2869"/>
      <c r="N37" s="2845"/>
      <c r="O37" s="2870"/>
      <c r="P37" s="2870"/>
      <c r="Q37" s="2871"/>
      <c r="R37" s="2872"/>
      <c r="S37" s="2825"/>
      <c r="T37" s="2825" t="s">
        <v>2332</v>
      </c>
      <c r="U37" s="2825"/>
      <c r="V37" s="2834"/>
    </row>
    <row r="38" spans="1:23" s="2838" customFormat="1" ht="13.15" customHeight="1">
      <c r="A38" s="2914">
        <v>8</v>
      </c>
      <c r="B38" s="2915"/>
      <c r="C38" s="2874" t="e">
        <f>ROUND(C32*(1-((1+C35)/(1+C34))^C36)/(C34-C35),0)</f>
        <v>#DIV/0!</v>
      </c>
      <c r="D38" s="2874">
        <f>IF(D23=0,0,ROUND(D32*(1-((1+D35)/(1+D34))^D36)/(D34-D35),0))</f>
        <v>0</v>
      </c>
      <c r="E38" s="2874">
        <f>IF(E23=0,0,ROUND(E32*(1-((1+E35)/(1+E34))^E36)/(E34-E35),0))</f>
        <v>0</v>
      </c>
      <c r="F38" s="2919"/>
      <c r="G38" s="2825"/>
      <c r="H38" s="2833"/>
      <c r="I38" s="2834"/>
      <c r="J38" s="3720"/>
      <c r="K38" s="3722"/>
      <c r="L38" s="2868"/>
      <c r="M38" s="2869"/>
      <c r="N38" s="2845"/>
      <c r="O38" s="2870"/>
      <c r="P38" s="2870"/>
      <c r="Q38" s="2871"/>
      <c r="R38" s="2872"/>
      <c r="S38" s="2825"/>
      <c r="T38" s="2825" t="s">
        <v>2339</v>
      </c>
      <c r="U38" s="2825"/>
      <c r="V38" s="2834"/>
    </row>
    <row r="39" spans="1:23" s="2838" customFormat="1" ht="13.15" customHeight="1">
      <c r="A39" s="2914">
        <v>9</v>
      </c>
      <c r="B39" s="2915" t="s">
        <v>2428</v>
      </c>
      <c r="C39" s="2882" t="e">
        <f>C38</f>
        <v>#DIV/0!</v>
      </c>
      <c r="D39" s="2915">
        <f>D38/(1+D34)^C36</f>
        <v>0</v>
      </c>
      <c r="E39" s="2915">
        <f>E38/(1+E34)^(C36+D36)</f>
        <v>0</v>
      </c>
      <c r="F39" s="2919"/>
      <c r="G39" s="2834"/>
      <c r="H39" s="2833"/>
      <c r="I39" s="2834"/>
      <c r="J39" s="3720"/>
      <c r="K39" s="3722"/>
      <c r="L39" s="2868"/>
      <c r="M39" s="2869"/>
      <c r="N39" s="2845"/>
      <c r="O39" s="2870"/>
      <c r="P39" s="2870"/>
      <c r="Q39" s="2871"/>
      <c r="R39" s="2872"/>
      <c r="S39" s="2825"/>
      <c r="T39" s="2825"/>
      <c r="U39" s="2825"/>
      <c r="V39" s="2834"/>
    </row>
    <row r="40" spans="1:23" s="2838" customFormat="1" ht="13.15" customHeight="1">
      <c r="A40" s="2973">
        <v>10</v>
      </c>
      <c r="B40" s="2915" t="s">
        <v>2429</v>
      </c>
      <c r="C40" s="2974" t="e">
        <f>C39+D39+E39</f>
        <v>#DIV/0!</v>
      </c>
      <c r="D40" s="2975"/>
      <c r="E40" s="2975"/>
      <c r="F40" s="2976"/>
      <c r="G40" s="2825"/>
      <c r="H40" s="2833"/>
      <c r="I40" s="2834"/>
      <c r="J40" s="3720"/>
      <c r="K40" s="3723"/>
      <c r="L40" s="2888" t="s">
        <v>2430</v>
      </c>
      <c r="M40" s="2889"/>
      <c r="N40" s="2889"/>
      <c r="O40" s="2890"/>
      <c r="P40" s="2890"/>
      <c r="Q40" s="2891"/>
      <c r="R40" s="2837">
        <f>SUM(R37:R39)</f>
        <v>0</v>
      </c>
      <c r="S40" s="2825"/>
      <c r="T40" s="2825"/>
      <c r="U40" s="2825"/>
      <c r="V40" s="2834"/>
    </row>
    <row r="41" spans="1:23" s="2838" customFormat="1" ht="13.15" customHeight="1" thickBot="1">
      <c r="A41" s="2977">
        <v>11</v>
      </c>
      <c r="B41" s="2978" t="s">
        <v>2431</v>
      </c>
      <c r="C41" s="2978" t="e">
        <f>ROUND(C40*10000/B4,0)</f>
        <v>#DIV/0!</v>
      </c>
      <c r="D41" s="2979"/>
      <c r="E41" s="2979"/>
      <c r="F41" s="2980"/>
      <c r="G41" s="2833"/>
      <c r="H41" s="2833"/>
      <c r="I41" s="2834"/>
      <c r="J41" s="2927">
        <v>2</v>
      </c>
      <c r="K41" s="2928" t="s">
        <v>2432</v>
      </c>
      <c r="L41" s="2929"/>
      <c r="M41" s="2929"/>
      <c r="N41" s="2929"/>
      <c r="O41" s="2929"/>
      <c r="P41" s="2930"/>
      <c r="Q41" s="2931"/>
      <c r="R41" s="2904">
        <f>ROUND(R40*Q41,0)</f>
        <v>0</v>
      </c>
      <c r="S41" s="2825"/>
      <c r="T41" s="2825"/>
      <c r="U41" s="2877"/>
      <c r="V41" s="2834"/>
    </row>
    <row r="42" spans="1:23" s="2838" customFormat="1" ht="13.15" customHeight="1">
      <c r="G42" s="2833"/>
      <c r="H42" s="2833"/>
      <c r="I42" s="2834"/>
      <c r="J42" s="3724">
        <v>3</v>
      </c>
      <c r="K42" s="2934" t="s">
        <v>2433</v>
      </c>
      <c r="L42" s="2935"/>
      <c r="M42" s="2936"/>
      <c r="N42" s="2937" t="s">
        <v>2434</v>
      </c>
      <c r="O42" s="2937" t="s">
        <v>2435</v>
      </c>
      <c r="P42" s="2938" t="s">
        <v>2436</v>
      </c>
      <c r="Q42" s="2938" t="s">
        <v>2437</v>
      </c>
      <c r="R42" s="2843" t="s">
        <v>2438</v>
      </c>
      <c r="S42" s="2877"/>
      <c r="T42" s="2877"/>
      <c r="U42" s="2825"/>
      <c r="V42" s="2834"/>
    </row>
    <row r="43" spans="1:23" ht="13.15" customHeight="1">
      <c r="A43" s="2838"/>
      <c r="B43" s="2838"/>
      <c r="C43" s="2838"/>
      <c r="D43" s="2838"/>
      <c r="E43" s="2838"/>
      <c r="F43" s="2838"/>
      <c r="I43" s="2820"/>
      <c r="J43" s="3725"/>
      <c r="K43" s="2941"/>
      <c r="L43" s="2942"/>
      <c r="M43" s="2943"/>
      <c r="N43" s="2869"/>
      <c r="O43" s="2869"/>
      <c r="P43" s="2869"/>
      <c r="Q43" s="2931"/>
      <c r="R43" s="2904">
        <f>ROUND(O43*N43*P43*(1-Q43)/10000,0)</f>
        <v>0</v>
      </c>
      <c r="S43" s="2825"/>
      <c r="T43" s="2825"/>
      <c r="V43" s="2981"/>
      <c r="W43" s="2982"/>
    </row>
    <row r="44" spans="1:23" ht="13.15" customHeight="1" thickBot="1">
      <c r="J44" s="2946">
        <v>6</v>
      </c>
      <c r="K44" s="2947" t="s">
        <v>2439</v>
      </c>
      <c r="L44" s="2983" t="s">
        <v>2440</v>
      </c>
      <c r="M44" s="2949"/>
      <c r="N44" s="2983" t="s">
        <v>2441</v>
      </c>
      <c r="O44" s="2949"/>
      <c r="P44" s="2983" t="s">
        <v>2442</v>
      </c>
      <c r="Q44" s="2951">
        <v>1.4999999999999999E-2</v>
      </c>
      <c r="R44" s="2952"/>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224"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20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2000-000001000000}">
      <formula1>"按明细,按比例"</formula1>
    </dataValidation>
  </dataValidation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3">
    <tabColor rgb="FF92D050"/>
    <pageSetUpPr fitToPage="1"/>
  </sheetPr>
  <dimension ref="A1:AC268"/>
  <sheetViews>
    <sheetView view="pageBreakPreview" topLeftCell="A25" zoomScale="60" zoomScaleNormal="60" workbookViewId="0">
      <selection activeCell="C24" sqref="C24:C524"/>
    </sheetView>
  </sheetViews>
  <sheetFormatPr defaultColWidth="9" defaultRowHeight="14.25"/>
  <cols>
    <col min="1" max="1" width="10.5" style="1132" customWidth="1"/>
    <col min="2" max="2" width="15.75" style="1132" customWidth="1"/>
    <col min="3" max="3" width="15.125" style="1132" customWidth="1"/>
    <col min="4" max="4" width="12.25" style="1132" customWidth="1"/>
    <col min="5" max="5" width="14.375" style="1132" customWidth="1"/>
    <col min="6" max="6" width="12.25" style="1132" customWidth="1"/>
    <col min="7" max="7" width="14.5" style="1132" customWidth="1"/>
    <col min="8" max="8" width="12.25" style="1132" customWidth="1"/>
    <col min="9" max="9" width="14.5" style="1132" customWidth="1"/>
    <col min="10" max="10" width="12.25" style="1132" customWidth="1"/>
    <col min="11" max="11" width="12.25" style="1137" customWidth="1"/>
    <col min="12" max="12" width="12.25" style="1138" customWidth="1"/>
    <col min="13" max="15" width="12.25" style="1132" customWidth="1"/>
    <col min="16" max="16" width="4.75" style="1132" customWidth="1"/>
    <col min="17" max="17" width="19.5" style="1132" customWidth="1"/>
    <col min="18" max="22" width="6.125" style="1132" customWidth="1"/>
    <col min="23" max="23" width="5.75" style="1132" customWidth="1"/>
    <col min="24" max="24" width="4.25" style="1132" customWidth="1"/>
    <col min="25" max="25" width="3.5" style="1132" customWidth="1"/>
    <col min="26" max="26" width="19.75" style="1132" customWidth="1"/>
    <col min="27" max="28" width="9.375" style="1132" customWidth="1"/>
    <col min="29" max="16384" width="9" style="1132"/>
  </cols>
  <sheetData>
    <row r="1" spans="1:29" s="1131" customFormat="1" ht="28.5" customHeight="1">
      <c r="A1" s="453" t="s">
        <v>665</v>
      </c>
      <c r="B1" s="2078" t="s">
        <v>666</v>
      </c>
      <c r="C1" s="2079" t="s">
        <v>667</v>
      </c>
      <c r="D1" s="2080"/>
      <c r="E1" s="1735"/>
      <c r="F1" s="2118"/>
      <c r="G1" s="1328" t="s">
        <v>668</v>
      </c>
      <c r="H1" s="457"/>
      <c r="I1" s="457"/>
      <c r="J1" s="457"/>
      <c r="K1" s="458"/>
      <c r="L1" s="2717"/>
      <c r="M1" s="2718"/>
      <c r="N1" s="2718"/>
      <c r="O1" s="2718"/>
      <c r="P1" s="455"/>
      <c r="Q1" s="455"/>
      <c r="R1" s="455"/>
      <c r="S1" s="455"/>
      <c r="T1" s="455"/>
      <c r="U1" s="455"/>
      <c r="V1" s="455"/>
      <c r="W1" s="455"/>
      <c r="X1" s="455"/>
      <c r="Y1" s="455"/>
      <c r="Z1" s="455"/>
      <c r="AA1" s="455"/>
      <c r="AB1" s="455"/>
      <c r="AC1" s="398"/>
    </row>
    <row r="2" spans="1:29" s="1156" customFormat="1" ht="28.5" customHeight="1">
      <c r="A2" s="393" t="s">
        <v>427</v>
      </c>
      <c r="B2" s="2077" t="e">
        <f>ROUND(B3*D3/10000,0)</f>
        <v>#DIV/0!</v>
      </c>
      <c r="C2" s="1735"/>
      <c r="D2" s="1735"/>
      <c r="E2" s="1735"/>
      <c r="F2" s="1799"/>
      <c r="G2" s="1735"/>
      <c r="H2" s="1735"/>
      <c r="I2" s="1735"/>
      <c r="J2" s="1735"/>
      <c r="K2" s="1800"/>
      <c r="L2" s="1801"/>
      <c r="M2" s="1802"/>
      <c r="N2" s="1802"/>
      <c r="O2" s="1802"/>
      <c r="P2" s="1329"/>
      <c r="Q2" s="1329"/>
      <c r="R2" s="1329"/>
      <c r="S2" s="1329"/>
      <c r="T2" s="1329"/>
      <c r="U2" s="1329"/>
      <c r="V2" s="1329"/>
      <c r="W2" s="1329"/>
      <c r="X2" s="1329"/>
      <c r="Y2" s="1329"/>
      <c r="Z2" s="1329"/>
      <c r="AA2" s="1329"/>
      <c r="AB2" s="1329"/>
      <c r="AC2" s="1330"/>
    </row>
    <row r="3" spans="1:29" s="1156" customFormat="1" ht="28.5" customHeight="1" thickBot="1">
      <c r="A3" s="460" t="s">
        <v>468</v>
      </c>
      <c r="B3" s="785" t="e">
        <f>C49</f>
        <v>#DIV/0!</v>
      </c>
      <c r="C3" s="786" t="s">
        <v>669</v>
      </c>
      <c r="D3" s="785">
        <f>SUMIF('数据-汇总表'!$C19:$C33,D1,'数据-汇总表'!$E19:$E33)</f>
        <v>0</v>
      </c>
      <c r="E3" s="1735"/>
      <c r="F3" s="1799"/>
      <c r="G3" s="1735"/>
      <c r="H3" s="1735"/>
      <c r="I3" s="1735"/>
      <c r="J3" s="1735"/>
      <c r="K3" s="1800"/>
      <c r="L3" s="1801"/>
      <c r="M3" s="1802"/>
      <c r="N3" s="1802"/>
      <c r="O3" s="1802"/>
      <c r="P3" s="1329"/>
      <c r="Q3" s="1329"/>
      <c r="R3" s="1329"/>
      <c r="S3" s="1329"/>
      <c r="T3" s="1329"/>
      <c r="U3" s="1329"/>
      <c r="V3" s="1329"/>
      <c r="W3" s="1329"/>
      <c r="X3" s="1329"/>
      <c r="Y3" s="1329"/>
      <c r="Z3" s="1329"/>
      <c r="AA3" s="1329"/>
      <c r="AB3" s="1329"/>
      <c r="AC3" s="1330"/>
    </row>
    <row r="4" spans="1:29" ht="15">
      <c r="A4" s="463" t="s">
        <v>470</v>
      </c>
      <c r="B4" s="464"/>
      <c r="C4" s="3631" t="s">
        <v>471</v>
      </c>
      <c r="D4" s="3632"/>
      <c r="E4" s="3707" t="s">
        <v>472</v>
      </c>
      <c r="F4" s="3708"/>
      <c r="G4" s="3631" t="s">
        <v>473</v>
      </c>
      <c r="H4" s="3632"/>
      <c r="I4" s="3631" t="s">
        <v>474</v>
      </c>
      <c r="J4" s="3632"/>
      <c r="K4" s="787" t="s">
        <v>475</v>
      </c>
      <c r="L4" s="1741"/>
      <c r="M4" s="1742"/>
      <c r="N4" s="1742"/>
      <c r="O4" s="1742"/>
      <c r="P4" s="3633" t="s">
        <v>476</v>
      </c>
      <c r="Q4" s="3634"/>
      <c r="R4" s="3617" t="s">
        <v>472</v>
      </c>
      <c r="S4" s="3618"/>
      <c r="T4" s="3617" t="s">
        <v>473</v>
      </c>
      <c r="U4" s="3618"/>
      <c r="V4" s="3639" t="s">
        <v>474</v>
      </c>
      <c r="W4" s="3639"/>
      <c r="X4" s="1302"/>
      <c r="Y4" s="3617" t="s">
        <v>476</v>
      </c>
      <c r="Z4" s="3618"/>
      <c r="AA4" s="3612" t="s">
        <v>472</v>
      </c>
      <c r="AB4" s="3612" t="s">
        <v>473</v>
      </c>
      <c r="AC4" s="3612" t="s">
        <v>474</v>
      </c>
    </row>
    <row r="5" spans="1:29" ht="15">
      <c r="A5" s="466"/>
      <c r="B5" s="467"/>
      <c r="C5" s="3642" t="s">
        <v>2192</v>
      </c>
      <c r="D5" s="3643"/>
      <c r="E5" s="3709" t="s">
        <v>2193</v>
      </c>
      <c r="F5" s="3710"/>
      <c r="G5" s="3642" t="s">
        <v>2194</v>
      </c>
      <c r="H5" s="3643"/>
      <c r="I5" s="3642" t="s">
        <v>2195</v>
      </c>
      <c r="J5" s="3643"/>
      <c r="K5" s="788"/>
      <c r="L5" s="1741"/>
      <c r="M5" s="1742"/>
      <c r="N5" s="1742"/>
      <c r="O5" s="1742"/>
      <c r="P5" s="3635"/>
      <c r="Q5" s="3636"/>
      <c r="R5" s="3619"/>
      <c r="S5" s="3620"/>
      <c r="T5" s="3619"/>
      <c r="U5" s="3620"/>
      <c r="V5" s="3639"/>
      <c r="W5" s="3639"/>
      <c r="X5" s="1302"/>
      <c r="Y5" s="3619"/>
      <c r="Z5" s="3620"/>
      <c r="AA5" s="3613"/>
      <c r="AB5" s="3613"/>
      <c r="AC5" s="3613"/>
    </row>
    <row r="6" spans="1:29" ht="15.75" thickBot="1">
      <c r="A6" s="468"/>
      <c r="B6" s="469"/>
      <c r="C6" s="3640" t="s">
        <v>2196</v>
      </c>
      <c r="D6" s="3641"/>
      <c r="E6" s="3711" t="s">
        <v>2196</v>
      </c>
      <c r="F6" s="3712"/>
      <c r="G6" s="3640" t="s">
        <v>2196</v>
      </c>
      <c r="H6" s="3641"/>
      <c r="I6" s="3640" t="s">
        <v>2196</v>
      </c>
      <c r="J6" s="3641"/>
      <c r="K6" s="788" t="s">
        <v>477</v>
      </c>
      <c r="L6" s="1741"/>
      <c r="M6" s="1742"/>
      <c r="N6" s="1742"/>
      <c r="O6" s="1742"/>
      <c r="P6" s="3637"/>
      <c r="Q6" s="3638"/>
      <c r="R6" s="3619"/>
      <c r="S6" s="3620"/>
      <c r="T6" s="3621"/>
      <c r="U6" s="3622"/>
      <c r="V6" s="3639"/>
      <c r="W6" s="3639"/>
      <c r="X6" s="1302"/>
      <c r="Y6" s="3621"/>
      <c r="Z6" s="3622"/>
      <c r="AA6" s="3614"/>
      <c r="AB6" s="3614"/>
      <c r="AC6" s="3614"/>
    </row>
    <row r="7" spans="1:29" s="1060" customFormat="1" ht="15.75" thickBot="1">
      <c r="A7" s="2209"/>
      <c r="B7" s="2216" t="s">
        <v>478</v>
      </c>
      <c r="C7" s="470">
        <f>'数据-取费表'!B2</f>
        <v>45483</v>
      </c>
      <c r="D7" s="471">
        <v>100</v>
      </c>
      <c r="E7" s="472"/>
      <c r="F7" s="473">
        <f>SUMIF(58:58,YEAR(E7)&amp;"-"&amp;MONTH(E7),59:59)</f>
        <v>0</v>
      </c>
      <c r="G7" s="474"/>
      <c r="H7" s="471">
        <f>SUMIF(58:58,YEAR(G7)&amp;"-"&amp;MONTH(G7),59:59)</f>
        <v>0</v>
      </c>
      <c r="I7" s="474"/>
      <c r="J7" s="471">
        <f>SUMIF(58:58,YEAR(I7)&amp;"-"&amp;MONTH(I7),59:59)</f>
        <v>0</v>
      </c>
      <c r="K7" s="789"/>
      <c r="L7" s="1743"/>
      <c r="M7" s="1640"/>
      <c r="N7" s="1640"/>
      <c r="O7" s="1640"/>
      <c r="P7" s="3615" t="s">
        <v>479</v>
      </c>
      <c r="Q7" s="3624"/>
      <c r="R7" s="1303" t="s">
        <v>10</v>
      </c>
      <c r="S7" s="1304">
        <f t="shared" ref="S7:S15" si="0">F7</f>
        <v>0</v>
      </c>
      <c r="T7" s="1303" t="s">
        <v>10</v>
      </c>
      <c r="U7" s="1304">
        <f t="shared" ref="U7:U15" si="1">H7</f>
        <v>0</v>
      </c>
      <c r="V7" s="1303" t="s">
        <v>10</v>
      </c>
      <c r="W7" s="1304">
        <f t="shared" ref="W7:W15" si="2">J7</f>
        <v>0</v>
      </c>
      <c r="X7" s="1305"/>
      <c r="Y7" s="3615" t="s">
        <v>479</v>
      </c>
      <c r="Z7" s="3616"/>
      <c r="AA7" s="997" t="e">
        <f>D7/F7</f>
        <v>#DIV/0!</v>
      </c>
      <c r="AB7" s="997" t="e">
        <f>D7/H7</f>
        <v>#DIV/0!</v>
      </c>
      <c r="AC7" s="997" t="e">
        <f>D7/J7</f>
        <v>#DIV/0!</v>
      </c>
    </row>
    <row r="8" spans="1:29" s="1060" customFormat="1" ht="15.75" thickBot="1">
      <c r="A8" s="2210"/>
      <c r="B8" s="2217" t="s">
        <v>480</v>
      </c>
      <c r="C8" s="475" t="s">
        <v>524</v>
      </c>
      <c r="D8" s="471">
        <v>100</v>
      </c>
      <c r="E8" s="790"/>
      <c r="F8" s="473">
        <f>SUMIF(61:61,E8,62:62)-SUMIF(61:61,C8,62:62)+100</f>
        <v>0</v>
      </c>
      <c r="G8" s="475"/>
      <c r="H8" s="471">
        <f>SUMIF(61:61,G8,62:62)-SUMIF(61:61,C8,62:62)+100</f>
        <v>0</v>
      </c>
      <c r="I8" s="790"/>
      <c r="J8" s="471">
        <f>SUMIF(61:61,I8,62:62)-SUMIF(61:61,C8,62:62)+100</f>
        <v>0</v>
      </c>
      <c r="K8" s="789"/>
      <c r="L8" s="1743"/>
      <c r="M8" s="1640"/>
      <c r="N8" s="1640"/>
      <c r="O8" s="1640"/>
      <c r="P8" s="3615" t="s">
        <v>482</v>
      </c>
      <c r="Q8" s="3616"/>
      <c r="R8" s="1303" t="s">
        <v>10</v>
      </c>
      <c r="S8" s="1304">
        <f t="shared" si="0"/>
        <v>0</v>
      </c>
      <c r="T8" s="1303" t="s">
        <v>10</v>
      </c>
      <c r="U8" s="1304">
        <f t="shared" si="1"/>
        <v>0</v>
      </c>
      <c r="V8" s="1303" t="s">
        <v>10</v>
      </c>
      <c r="W8" s="1304">
        <f t="shared" si="2"/>
        <v>0</v>
      </c>
      <c r="X8" s="1305"/>
      <c r="Y8" s="3615" t="s">
        <v>482</v>
      </c>
      <c r="Z8" s="3616"/>
      <c r="AA8" s="997" t="e">
        <f t="shared" ref="AA8:AA46" si="3">D8/F8</f>
        <v>#DIV/0!</v>
      </c>
      <c r="AB8" s="997" t="e">
        <f t="shared" ref="AB8:AB46" si="4">D8/H8</f>
        <v>#DIV/0!</v>
      </c>
      <c r="AC8" s="997" t="e">
        <f t="shared" ref="AC8:AC46" si="5">D8/J8</f>
        <v>#DIV/0!</v>
      </c>
    </row>
    <row r="9" spans="1:29" s="1060" customFormat="1" ht="15">
      <c r="A9" s="2211"/>
      <c r="B9" s="2218" t="s">
        <v>2038</v>
      </c>
      <c r="C9" s="791"/>
      <c r="D9" s="154">
        <v>100</v>
      </c>
      <c r="E9" s="792"/>
      <c r="F9" s="156">
        <f>SUMIF(63:63,E9,64:64)-SUMIF(63:63,C9,64:64)+100</f>
        <v>100</v>
      </c>
      <c r="G9" s="793"/>
      <c r="H9" s="154">
        <f>SUMIF(63:63,G9,64:64)-SUMIF(63:63,C9,64:64)+100</f>
        <v>100</v>
      </c>
      <c r="I9" s="793"/>
      <c r="J9" s="154">
        <f>SUMIF(63:63,I9,64:64)-SUMIF(63:63,C9,64:64)+100</f>
        <v>100</v>
      </c>
      <c r="K9" s="789"/>
      <c r="L9" s="1743"/>
      <c r="M9" s="1640"/>
      <c r="N9" s="1640"/>
      <c r="O9" s="1744"/>
      <c r="P9" s="3623" t="s">
        <v>484</v>
      </c>
      <c r="Q9" s="818" t="str">
        <f t="shared" ref="Q9:Q15" si="6">B9</f>
        <v>用途</v>
      </c>
      <c r="R9" s="1303" t="s">
        <v>5</v>
      </c>
      <c r="S9" s="1304">
        <f t="shared" si="0"/>
        <v>100</v>
      </c>
      <c r="T9" s="1303" t="s">
        <v>5</v>
      </c>
      <c r="U9" s="1304">
        <f t="shared" si="1"/>
        <v>100</v>
      </c>
      <c r="V9" s="1303" t="s">
        <v>5</v>
      </c>
      <c r="W9" s="1304">
        <f t="shared" si="2"/>
        <v>100</v>
      </c>
      <c r="X9" s="1305"/>
      <c r="Y9" s="3575" t="s">
        <v>485</v>
      </c>
      <c r="Z9" s="997" t="str">
        <f t="shared" ref="Z9:Z15" si="7">Q9</f>
        <v>用途</v>
      </c>
      <c r="AA9" s="997">
        <f t="shared" si="3"/>
        <v>1</v>
      </c>
      <c r="AB9" s="997">
        <f t="shared" si="4"/>
        <v>1</v>
      </c>
      <c r="AC9" s="997">
        <f t="shared" si="5"/>
        <v>1</v>
      </c>
    </row>
    <row r="10" spans="1:29" s="1133" customFormat="1" ht="27">
      <c r="A10" s="2212"/>
      <c r="B10" s="2217" t="s">
        <v>2039</v>
      </c>
      <c r="C10" s="3386"/>
      <c r="D10" s="235">
        <v>100</v>
      </c>
      <c r="E10" s="3387"/>
      <c r="F10" s="477">
        <f>SUMIF(65:65,E10,66:66)-SUMIF(65:65,C10,66:66)+100</f>
        <v>100</v>
      </c>
      <c r="G10" s="3386"/>
      <c r="H10" s="235">
        <f>SUMIF(65:65,G10,66:66)-SUMIF(65:65,C10,66:66)+100</f>
        <v>100</v>
      </c>
      <c r="I10" s="3386"/>
      <c r="J10" s="235">
        <f>SUMIF(65:65,I10,66:66)-SUMIF(65:65,C10,66:66)+100</f>
        <v>100</v>
      </c>
      <c r="K10" s="789"/>
      <c r="L10" s="1745"/>
      <c r="M10" s="1778"/>
      <c r="N10" s="1778"/>
      <c r="O10" s="1746"/>
      <c r="P10" s="3623"/>
      <c r="Q10" s="818" t="str">
        <f t="shared" si="6"/>
        <v>土地使用年限（年）</v>
      </c>
      <c r="R10" s="1303" t="s">
        <v>5</v>
      </c>
      <c r="S10" s="1304">
        <f t="shared" si="0"/>
        <v>100</v>
      </c>
      <c r="T10" s="1303" t="s">
        <v>5</v>
      </c>
      <c r="U10" s="1304">
        <f t="shared" si="1"/>
        <v>100</v>
      </c>
      <c r="V10" s="1303" t="s">
        <v>5</v>
      </c>
      <c r="W10" s="1304">
        <f t="shared" si="2"/>
        <v>100</v>
      </c>
      <c r="X10" s="1305"/>
      <c r="Y10" s="3575"/>
      <c r="Z10" s="997" t="str">
        <f t="shared" si="7"/>
        <v>土地使用年限（年）</v>
      </c>
      <c r="AA10" s="997">
        <f t="shared" si="3"/>
        <v>1</v>
      </c>
      <c r="AB10" s="997">
        <f t="shared" si="4"/>
        <v>1</v>
      </c>
      <c r="AC10" s="997">
        <f t="shared" si="5"/>
        <v>1</v>
      </c>
    </row>
    <row r="11" spans="1:29" ht="15">
      <c r="A11" s="2213"/>
      <c r="B11" s="2217" t="s">
        <v>2040</v>
      </c>
      <c r="C11" s="483"/>
      <c r="D11" s="235">
        <v>100</v>
      </c>
      <c r="E11" s="484"/>
      <c r="F11" s="477" t="e">
        <f>LOOKUP(E11,68:68,69:69)-LOOKUP(C11,68:68,69:69)+100</f>
        <v>#N/A</v>
      </c>
      <c r="G11" s="483"/>
      <c r="H11" s="235" t="e">
        <f>LOOKUP(G11,68:68,69:69)-LOOKUP(C11,68:68,69:69)+100</f>
        <v>#N/A</v>
      </c>
      <c r="I11" s="483"/>
      <c r="J11" s="235" t="e">
        <f>LOOKUP(I11,68:68,69:69)-LOOKUP(C11,68:68,69:69)+100</f>
        <v>#N/A</v>
      </c>
      <c r="K11" s="794"/>
      <c r="L11" s="1747"/>
      <c r="M11" s="1742"/>
      <c r="N11" s="1742"/>
      <c r="O11" s="1748"/>
      <c r="P11" s="3623"/>
      <c r="Q11" s="818" t="str">
        <f t="shared" si="6"/>
        <v>容积率</v>
      </c>
      <c r="R11" s="1303" t="s">
        <v>8</v>
      </c>
      <c r="S11" s="1304" t="e">
        <f t="shared" si="0"/>
        <v>#N/A</v>
      </c>
      <c r="T11" s="1303" t="s">
        <v>8</v>
      </c>
      <c r="U11" s="1304" t="e">
        <f t="shared" si="1"/>
        <v>#N/A</v>
      </c>
      <c r="V11" s="1303" t="s">
        <v>8</v>
      </c>
      <c r="W11" s="1304" t="e">
        <f t="shared" si="2"/>
        <v>#N/A</v>
      </c>
      <c r="X11" s="1305"/>
      <c r="Y11" s="3575"/>
      <c r="Z11" s="997" t="str">
        <f t="shared" si="7"/>
        <v>容积率</v>
      </c>
      <c r="AA11" s="997" t="e">
        <f t="shared" si="3"/>
        <v>#N/A</v>
      </c>
      <c r="AB11" s="997" t="e">
        <f t="shared" si="4"/>
        <v>#N/A</v>
      </c>
      <c r="AC11" s="997" t="e">
        <f t="shared" si="5"/>
        <v>#N/A</v>
      </c>
    </row>
    <row r="12" spans="1:29" s="1060" customFormat="1" ht="15">
      <c r="A12" s="2214"/>
      <c r="B12" s="2220">
        <v>111</v>
      </c>
      <c r="C12" s="478"/>
      <c r="D12" s="488">
        <v>100</v>
      </c>
      <c r="E12" s="478"/>
      <c r="F12" s="477">
        <f>SUMIF(70:70,E12,71:71)-SUMIF(70:70,C12,71:71)+100</f>
        <v>100</v>
      </c>
      <c r="G12" s="478"/>
      <c r="H12" s="235">
        <f>SUMIF(70:70,G12,71:71)-SUMIF(70:70,C12,71:71)+100</f>
        <v>100</v>
      </c>
      <c r="I12" s="478"/>
      <c r="J12" s="235">
        <f>SUMIF(70:70,I12,71:71)-SUMIF(70:70,C12,71:71)+100</f>
        <v>100</v>
      </c>
      <c r="K12" s="795"/>
      <c r="L12" s="1743"/>
      <c r="M12" s="1640"/>
      <c r="N12" s="1640"/>
      <c r="O12" s="1744"/>
      <c r="P12" s="3623"/>
      <c r="Q12" s="818">
        <f t="shared" si="6"/>
        <v>111</v>
      </c>
      <c r="R12" s="1303" t="s">
        <v>8</v>
      </c>
      <c r="S12" s="1304">
        <f t="shared" si="0"/>
        <v>100</v>
      </c>
      <c r="T12" s="1303" t="s">
        <v>8</v>
      </c>
      <c r="U12" s="1304">
        <f t="shared" si="1"/>
        <v>100</v>
      </c>
      <c r="V12" s="1303" t="s">
        <v>8</v>
      </c>
      <c r="W12" s="1304">
        <f t="shared" si="2"/>
        <v>100</v>
      </c>
      <c r="X12" s="1305"/>
      <c r="Y12" s="3575"/>
      <c r="Z12" s="997">
        <f t="shared" si="7"/>
        <v>111</v>
      </c>
      <c r="AA12" s="997">
        <f>D12/F12</f>
        <v>1</v>
      </c>
      <c r="AB12" s="997">
        <f>D12/H12</f>
        <v>1</v>
      </c>
      <c r="AC12" s="997">
        <f>D12/J12</f>
        <v>1</v>
      </c>
    </row>
    <row r="13" spans="1:29" ht="15">
      <c r="A13" s="2214"/>
      <c r="B13" s="2220">
        <v>111</v>
      </c>
      <c r="C13" s="489"/>
      <c r="D13" s="490">
        <v>100</v>
      </c>
      <c r="E13" s="489"/>
      <c r="F13" s="477">
        <f>SUMIF(72:72,E13,73:73)-SUMIF(72:72,C13,73:73)+100</f>
        <v>100</v>
      </c>
      <c r="G13" s="489"/>
      <c r="H13" s="490">
        <f>SUMIF(72:72,G13,73:73)-SUMIF(72:72,C13,73:73)+100</f>
        <v>100</v>
      </c>
      <c r="I13" s="489"/>
      <c r="J13" s="490">
        <f>SUMIF(72:72,I13,73:73)-SUMIF(72:72,C13,73:73)+100</f>
        <v>100</v>
      </c>
      <c r="K13" s="795"/>
      <c r="L13" s="1749"/>
      <c r="M13" s="1742"/>
      <c r="N13" s="1742"/>
      <c r="O13" s="1748"/>
      <c r="P13" s="3623"/>
      <c r="Q13" s="818">
        <f t="shared" si="6"/>
        <v>111</v>
      </c>
      <c r="R13" s="1303" t="s">
        <v>8</v>
      </c>
      <c r="S13" s="1304">
        <f t="shared" si="0"/>
        <v>100</v>
      </c>
      <c r="T13" s="1303" t="s">
        <v>8</v>
      </c>
      <c r="U13" s="1304">
        <f t="shared" si="1"/>
        <v>100</v>
      </c>
      <c r="V13" s="1303" t="s">
        <v>8</v>
      </c>
      <c r="W13" s="1304">
        <f t="shared" si="2"/>
        <v>100</v>
      </c>
      <c r="X13" s="1305"/>
      <c r="Y13" s="3575"/>
      <c r="Z13" s="997">
        <f t="shared" si="7"/>
        <v>111</v>
      </c>
      <c r="AA13" s="997">
        <f t="shared" si="3"/>
        <v>1</v>
      </c>
      <c r="AB13" s="997">
        <f t="shared" si="4"/>
        <v>1</v>
      </c>
      <c r="AC13" s="997">
        <f t="shared" si="5"/>
        <v>1</v>
      </c>
    </row>
    <row r="14" spans="1:29" ht="15.75" thickBot="1">
      <c r="A14" s="2215"/>
      <c r="B14" s="2221">
        <v>111</v>
      </c>
      <c r="C14" s="495"/>
      <c r="D14" s="496">
        <v>100</v>
      </c>
      <c r="E14" s="495"/>
      <c r="F14" s="796">
        <f>SUMIF(74:74,E14,75:75)-SUMIF(74:74,C14,75:75)+100</f>
        <v>100</v>
      </c>
      <c r="G14" s="495"/>
      <c r="H14" s="496">
        <f>SUMIF(74:74,G14,75:75)-SUMIF(74:74,C14,75:75)+100</f>
        <v>100</v>
      </c>
      <c r="I14" s="495"/>
      <c r="J14" s="496">
        <f>SUMIF(74:74,I14,75:75)-SUMIF(74:74,C14,75:75)+100</f>
        <v>100</v>
      </c>
      <c r="K14" s="795"/>
      <c r="L14" s="1749"/>
      <c r="M14" s="1742"/>
      <c r="N14" s="1742"/>
      <c r="O14" s="1748"/>
      <c r="P14" s="3623"/>
      <c r="Q14" s="818">
        <f t="shared" si="6"/>
        <v>111</v>
      </c>
      <c r="R14" s="1303" t="s">
        <v>8</v>
      </c>
      <c r="S14" s="1304">
        <f t="shared" si="0"/>
        <v>100</v>
      </c>
      <c r="T14" s="1303" t="s">
        <v>8</v>
      </c>
      <c r="U14" s="1304">
        <f t="shared" si="1"/>
        <v>100</v>
      </c>
      <c r="V14" s="1303" t="s">
        <v>8</v>
      </c>
      <c r="W14" s="1304">
        <f t="shared" si="2"/>
        <v>100</v>
      </c>
      <c r="X14" s="1305"/>
      <c r="Y14" s="3575"/>
      <c r="Z14" s="997">
        <f t="shared" si="7"/>
        <v>111</v>
      </c>
      <c r="AA14" s="997">
        <f t="shared" si="3"/>
        <v>1</v>
      </c>
      <c r="AB14" s="997">
        <f t="shared" si="4"/>
        <v>1</v>
      </c>
      <c r="AC14" s="997">
        <f t="shared" si="5"/>
        <v>1</v>
      </c>
    </row>
    <row r="15" spans="1:29" ht="99.75">
      <c r="A15" s="2207" t="s">
        <v>2036</v>
      </c>
      <c r="B15" s="150" t="s">
        <v>261</v>
      </c>
      <c r="C15" s="797" t="str">
        <f>估价对象房地状况!C3</f>
        <v>估价对象周边居住用地比例、居住小区规模和社区发展完善程度，综合评价居住社区成熟度一般</v>
      </c>
      <c r="D15" s="499">
        <v>100</v>
      </c>
      <c r="E15" s="500"/>
      <c r="F15" s="501">
        <f>SUMIF(76:76,E16,77:77)-SUMIF(76:76,C16,77:77)+100</f>
        <v>100</v>
      </c>
      <c r="G15" s="502"/>
      <c r="H15" s="499">
        <f>SUMIF(76:76,G16,77:77)-SUMIF(76:76,C16,77:77)+100</f>
        <v>100</v>
      </c>
      <c r="I15" s="500"/>
      <c r="J15" s="499">
        <f>SUMIF(76:76,I16,77:77)-SUMIF(76:76,C16,77:77)+100</f>
        <v>100</v>
      </c>
      <c r="K15" s="798"/>
      <c r="L15" s="1749"/>
      <c r="M15" s="1742"/>
      <c r="N15" s="1742"/>
      <c r="O15" s="1748"/>
      <c r="P15" s="3625" t="s">
        <v>489</v>
      </c>
      <c r="Q15" s="1306" t="str">
        <f t="shared" si="6"/>
        <v>居住社区成熟度</v>
      </c>
      <c r="R15" s="1307" t="s">
        <v>8</v>
      </c>
      <c r="S15" s="1308">
        <f t="shared" si="0"/>
        <v>100</v>
      </c>
      <c r="T15" s="1307" t="s">
        <v>8</v>
      </c>
      <c r="U15" s="1308">
        <f t="shared" si="1"/>
        <v>100</v>
      </c>
      <c r="V15" s="1307" t="s">
        <v>8</v>
      </c>
      <c r="W15" s="1308">
        <f t="shared" si="2"/>
        <v>100</v>
      </c>
      <c r="X15" s="1302"/>
      <c r="Y15" s="3625" t="s">
        <v>489</v>
      </c>
      <c r="Z15" s="1309" t="str">
        <f t="shared" si="7"/>
        <v>居住社区成熟度</v>
      </c>
      <c r="AA15" s="1309">
        <f t="shared" si="3"/>
        <v>1</v>
      </c>
      <c r="AB15" s="1309">
        <f t="shared" si="4"/>
        <v>1</v>
      </c>
      <c r="AC15" s="1309">
        <f t="shared" si="5"/>
        <v>1</v>
      </c>
    </row>
    <row r="16" spans="1:29" ht="15">
      <c r="A16" s="482"/>
      <c r="B16" s="799"/>
      <c r="C16" s="526"/>
      <c r="D16" s="505"/>
      <c r="E16" s="506"/>
      <c r="F16" s="507"/>
      <c r="G16" s="508"/>
      <c r="H16" s="509"/>
      <c r="I16" s="506"/>
      <c r="J16" s="505"/>
      <c r="K16" s="800"/>
      <c r="L16" s="1749"/>
      <c r="M16" s="1742"/>
      <c r="N16" s="1742"/>
      <c r="O16" s="1748"/>
      <c r="P16" s="3626"/>
      <c r="Q16" s="1306"/>
      <c r="R16" s="1307"/>
      <c r="S16" s="1308"/>
      <c r="T16" s="1307"/>
      <c r="U16" s="1308"/>
      <c r="V16" s="1307"/>
      <c r="W16" s="1308"/>
      <c r="X16" s="1302"/>
      <c r="Y16" s="3626"/>
      <c r="Z16" s="1309"/>
      <c r="AA16" s="1309">
        <v>1</v>
      </c>
      <c r="AB16" s="1309">
        <v>1</v>
      </c>
      <c r="AC16" s="1309">
        <v>1</v>
      </c>
    </row>
    <row r="17" spans="1:29" ht="85.5">
      <c r="A17" s="482"/>
      <c r="B17" s="677" t="s">
        <v>262</v>
      </c>
      <c r="C17" s="801" t="str">
        <f>估价对象房地状况!C6</f>
        <v>估价对象周边道路状况、公共交通通达情况、停车便捷程度，综合评价交通便捷度较好</v>
      </c>
      <c r="D17" s="509">
        <v>100</v>
      </c>
      <c r="E17" s="512"/>
      <c r="F17" s="513">
        <f>SUMIF(78:78,E18,79:79)-SUMIF(78:78,C18,79:79)+100</f>
        <v>100</v>
      </c>
      <c r="G17" s="514"/>
      <c r="H17" s="515">
        <f>SUMIF(78:78,G18,79:79)-SUMIF(78:78,C18,79:79)+100</f>
        <v>100</v>
      </c>
      <c r="I17" s="512"/>
      <c r="J17" s="515">
        <f>SUMIF(78:78,I18,79:79)-SUMIF(78:78,C18,79:79)+100</f>
        <v>100</v>
      </c>
      <c r="K17" s="798"/>
      <c r="L17" s="1749"/>
      <c r="M17" s="1742"/>
      <c r="N17" s="1742"/>
      <c r="O17" s="1748"/>
      <c r="P17" s="3626"/>
      <c r="Q17" s="1306" t="str">
        <f>B17</f>
        <v>交通便捷度</v>
      </c>
      <c r="R17" s="1307" t="s">
        <v>8</v>
      </c>
      <c r="S17" s="1308">
        <f>F17</f>
        <v>100</v>
      </c>
      <c r="T17" s="1307" t="s">
        <v>8</v>
      </c>
      <c r="U17" s="1308">
        <f>H17</f>
        <v>100</v>
      </c>
      <c r="V17" s="1307" t="s">
        <v>8</v>
      </c>
      <c r="W17" s="1308">
        <f>J17</f>
        <v>100</v>
      </c>
      <c r="X17" s="1302"/>
      <c r="Y17" s="3626"/>
      <c r="Z17" s="1309" t="str">
        <f>Q17</f>
        <v>交通便捷度</v>
      </c>
      <c r="AA17" s="1309">
        <f t="shared" si="3"/>
        <v>1</v>
      </c>
      <c r="AB17" s="1309">
        <f t="shared" si="4"/>
        <v>1</v>
      </c>
      <c r="AC17" s="1309">
        <f t="shared" si="5"/>
        <v>1</v>
      </c>
    </row>
    <row r="18" spans="1:29" ht="15">
      <c r="A18" s="482"/>
      <c r="B18" s="544"/>
      <c r="C18" s="802"/>
      <c r="D18" s="509"/>
      <c r="E18" s="518"/>
      <c r="F18" s="513"/>
      <c r="G18" s="519"/>
      <c r="H18" s="505"/>
      <c r="I18" s="518"/>
      <c r="J18" s="505"/>
      <c r="K18" s="800"/>
      <c r="L18" s="1749"/>
      <c r="M18" s="1742"/>
      <c r="N18" s="1742"/>
      <c r="O18" s="1748"/>
      <c r="P18" s="3626"/>
      <c r="Q18" s="1306"/>
      <c r="R18" s="1307"/>
      <c r="S18" s="1308"/>
      <c r="T18" s="1307"/>
      <c r="U18" s="1308"/>
      <c r="V18" s="1307"/>
      <c r="W18" s="1308"/>
      <c r="X18" s="1302"/>
      <c r="Y18" s="3626"/>
      <c r="Z18" s="1309"/>
      <c r="AA18" s="1309">
        <v>1</v>
      </c>
      <c r="AB18" s="1309">
        <v>1</v>
      </c>
      <c r="AC18" s="1309">
        <v>1</v>
      </c>
    </row>
    <row r="19" spans="1:29" ht="42.75">
      <c r="A19" s="482"/>
      <c r="B19" s="2059" t="s">
        <v>1829</v>
      </c>
      <c r="C19" s="801" t="str">
        <f>估价对象房地状况!C7</f>
        <v>估价对象所在区域公共配套设施齐备情况</v>
      </c>
      <c r="D19" s="515">
        <v>100</v>
      </c>
      <c r="E19" s="520"/>
      <c r="F19" s="521">
        <f>SUMIF(80:80,E20,81:81)-SUMIF(80:80,C20,81:81)+100</f>
        <v>100</v>
      </c>
      <c r="G19" s="522"/>
      <c r="H19" s="509">
        <f>SUMIF(80:80,G20,81:81)-SUMIF(80:80,C20,81:81)+100</f>
        <v>100</v>
      </c>
      <c r="I19" s="520"/>
      <c r="J19" s="509">
        <f>SUMIF(80:80,I20,81:81)-SUMIF(80:80,C20,81:81)+100</f>
        <v>100</v>
      </c>
      <c r="K19" s="798"/>
      <c r="L19" s="1749"/>
      <c r="M19" s="1742"/>
      <c r="N19" s="1742"/>
      <c r="O19" s="1748"/>
      <c r="P19" s="3626"/>
      <c r="Q19" s="1306" t="str">
        <f>B19</f>
        <v>公共配套设施</v>
      </c>
      <c r="R19" s="1307" t="s">
        <v>8</v>
      </c>
      <c r="S19" s="1308">
        <f>F19</f>
        <v>100</v>
      </c>
      <c r="T19" s="1307" t="s">
        <v>8</v>
      </c>
      <c r="U19" s="1308">
        <f>H19</f>
        <v>100</v>
      </c>
      <c r="V19" s="1307" t="s">
        <v>8</v>
      </c>
      <c r="W19" s="1308">
        <f>J19</f>
        <v>100</v>
      </c>
      <c r="X19" s="1302"/>
      <c r="Y19" s="3626"/>
      <c r="Z19" s="1309" t="str">
        <f>Q19</f>
        <v>公共配套设施</v>
      </c>
      <c r="AA19" s="1309">
        <f t="shared" si="3"/>
        <v>1</v>
      </c>
      <c r="AB19" s="1309">
        <f t="shared" si="4"/>
        <v>1</v>
      </c>
      <c r="AC19" s="1309">
        <f t="shared" si="5"/>
        <v>1</v>
      </c>
    </row>
    <row r="20" spans="1:29" ht="15">
      <c r="A20" s="482"/>
      <c r="B20" s="544"/>
      <c r="C20" s="526"/>
      <c r="D20" s="505"/>
      <c r="E20" s="506"/>
      <c r="F20" s="507"/>
      <c r="G20" s="508"/>
      <c r="H20" s="505"/>
      <c r="I20" s="506"/>
      <c r="J20" s="505"/>
      <c r="K20" s="800"/>
      <c r="L20" s="1749"/>
      <c r="M20" s="1742"/>
      <c r="N20" s="1742"/>
      <c r="O20" s="1748"/>
      <c r="P20" s="3626"/>
      <c r="Q20" s="1306"/>
      <c r="R20" s="1307"/>
      <c r="S20" s="1308"/>
      <c r="T20" s="1307"/>
      <c r="U20" s="1308"/>
      <c r="V20" s="1307"/>
      <c r="W20" s="1308"/>
      <c r="X20" s="1302"/>
      <c r="Y20" s="3626"/>
      <c r="Z20" s="1309"/>
      <c r="AA20" s="1309">
        <v>1</v>
      </c>
      <c r="AB20" s="1309">
        <v>1</v>
      </c>
      <c r="AC20" s="1309">
        <v>1</v>
      </c>
    </row>
    <row r="21" spans="1:29" ht="28.5">
      <c r="A21" s="482"/>
      <c r="B21" s="2052" t="s">
        <v>1841</v>
      </c>
      <c r="C21" s="801" t="str">
        <f>估价对象房地状况!C8</f>
        <v>估价对象所在区域基础设施水平</v>
      </c>
      <c r="D21" s="515">
        <v>100</v>
      </c>
      <c r="E21" s="522"/>
      <c r="F21" s="521">
        <f>SUMIF(82:82,E22,83:83)-SUMIF(82:82,C22,83:83)+100</f>
        <v>100</v>
      </c>
      <c r="G21" s="522"/>
      <c r="H21" s="515">
        <f>SUMIF(82:82,G22,83:83)-SUMIF(82:82,C22,83:83)+100</f>
        <v>100</v>
      </c>
      <c r="I21" s="520"/>
      <c r="J21" s="515">
        <f>SUMIF(82:82,I22,83:83)-SUMIF(82:82,C22,83:83)+100</f>
        <v>100</v>
      </c>
      <c r="K21" s="798"/>
      <c r="L21" s="1749"/>
      <c r="M21" s="1742"/>
      <c r="N21" s="1742"/>
      <c r="O21" s="1748"/>
      <c r="P21" s="3626"/>
      <c r="Q21" s="1306" t="str">
        <f>B21</f>
        <v>基础设施水平</v>
      </c>
      <c r="R21" s="1307" t="s">
        <v>8</v>
      </c>
      <c r="S21" s="1308">
        <f>F21</f>
        <v>100</v>
      </c>
      <c r="T21" s="1307" t="s">
        <v>8</v>
      </c>
      <c r="U21" s="1308">
        <f>H21</f>
        <v>100</v>
      </c>
      <c r="V21" s="1307" t="s">
        <v>8</v>
      </c>
      <c r="W21" s="1308">
        <f>J21</f>
        <v>100</v>
      </c>
      <c r="X21" s="1302"/>
      <c r="Y21" s="3626"/>
      <c r="Z21" s="1309" t="str">
        <f>Q21</f>
        <v>基础设施水平</v>
      </c>
      <c r="AA21" s="1309">
        <f>D21/F21</f>
        <v>1</v>
      </c>
      <c r="AB21" s="1309">
        <f>D21/H21</f>
        <v>1</v>
      </c>
      <c r="AC21" s="1309">
        <f>D21/J21</f>
        <v>1</v>
      </c>
    </row>
    <row r="22" spans="1:29" ht="15">
      <c r="A22" s="482"/>
      <c r="B22" s="844"/>
      <c r="C22" s="802"/>
      <c r="D22" s="505"/>
      <c r="E22" s="526"/>
      <c r="F22" s="507"/>
      <c r="G22" s="526"/>
      <c r="H22" s="505"/>
      <c r="I22" s="526"/>
      <c r="J22" s="505"/>
      <c r="K22" s="2058"/>
      <c r="L22" s="1749"/>
      <c r="M22" s="1742"/>
      <c r="N22" s="1742"/>
      <c r="O22" s="1748"/>
      <c r="P22" s="3626"/>
      <c r="Q22" s="1306"/>
      <c r="R22" s="1307"/>
      <c r="S22" s="1308"/>
      <c r="T22" s="1307"/>
      <c r="U22" s="1308"/>
      <c r="V22" s="1307"/>
      <c r="W22" s="1308"/>
      <c r="X22" s="1302"/>
      <c r="Y22" s="3626"/>
      <c r="Z22" s="1309"/>
      <c r="AA22" s="1309">
        <v>1</v>
      </c>
      <c r="AB22" s="1309">
        <v>1</v>
      </c>
      <c r="AC22" s="1309">
        <v>1</v>
      </c>
    </row>
    <row r="23" spans="1:29" ht="57">
      <c r="A23" s="482"/>
      <c r="B23" s="677" t="s">
        <v>263</v>
      </c>
      <c r="C23" s="801" t="str">
        <f>估价对象房地状况!C9</f>
        <v>区域自然环境：；人文环境；综合评价环境状况一般</v>
      </c>
      <c r="D23" s="509">
        <v>100</v>
      </c>
      <c r="E23" s="512"/>
      <c r="F23" s="513">
        <f>SUMIF(84:84,E24,85:85)-SUMIF(84:84,C24,85:85)+100</f>
        <v>100</v>
      </c>
      <c r="G23" s="514"/>
      <c r="H23" s="509">
        <f>SUMIF(84:84,G24,85:85)-SUMIF(84:84,C24,85:85)+100</f>
        <v>100</v>
      </c>
      <c r="I23" s="512"/>
      <c r="J23" s="509">
        <f>SUMIF(84:84,I24,85:85)-SUMIF(84:84,C24,85:85)+100</f>
        <v>100</v>
      </c>
      <c r="K23" s="798"/>
      <c r="L23" s="1749"/>
      <c r="M23" s="1742"/>
      <c r="N23" s="1742"/>
      <c r="O23" s="1748"/>
      <c r="P23" s="3626"/>
      <c r="Q23" s="1306" t="str">
        <f>B23</f>
        <v>自然及人文环境</v>
      </c>
      <c r="R23" s="1307" t="s">
        <v>8</v>
      </c>
      <c r="S23" s="1308">
        <f>F23</f>
        <v>100</v>
      </c>
      <c r="T23" s="1307" t="s">
        <v>8</v>
      </c>
      <c r="U23" s="1308">
        <f>H23</f>
        <v>100</v>
      </c>
      <c r="V23" s="1307" t="s">
        <v>8</v>
      </c>
      <c r="W23" s="1308">
        <f>J23</f>
        <v>100</v>
      </c>
      <c r="X23" s="1302"/>
      <c r="Y23" s="3626"/>
      <c r="Z23" s="1309" t="str">
        <f>Q23</f>
        <v>自然及人文环境</v>
      </c>
      <c r="AA23" s="1309">
        <f t="shared" si="3"/>
        <v>1</v>
      </c>
      <c r="AB23" s="1309">
        <f t="shared" si="4"/>
        <v>1</v>
      </c>
      <c r="AC23" s="1309">
        <f t="shared" si="5"/>
        <v>1</v>
      </c>
    </row>
    <row r="24" spans="1:29" ht="15">
      <c r="A24" s="482"/>
      <c r="B24" s="544"/>
      <c r="C24" s="526"/>
      <c r="D24" s="505"/>
      <c r="E24" s="506"/>
      <c r="F24" s="507"/>
      <c r="G24" s="508"/>
      <c r="H24" s="505"/>
      <c r="I24" s="506"/>
      <c r="J24" s="505"/>
      <c r="K24" s="800"/>
      <c r="L24" s="1749"/>
      <c r="M24" s="1742"/>
      <c r="N24" s="1742"/>
      <c r="O24" s="1748"/>
      <c r="P24" s="3626"/>
      <c r="Q24" s="1306"/>
      <c r="R24" s="1307"/>
      <c r="S24" s="1308"/>
      <c r="T24" s="1307"/>
      <c r="U24" s="1308"/>
      <c r="V24" s="1307"/>
      <c r="W24" s="1308"/>
      <c r="X24" s="1302"/>
      <c r="Y24" s="3626"/>
      <c r="Z24" s="1309"/>
      <c r="AA24" s="1309">
        <v>1</v>
      </c>
      <c r="AB24" s="1309">
        <v>1</v>
      </c>
      <c r="AC24" s="1309">
        <v>1</v>
      </c>
    </row>
    <row r="25" spans="1:29" ht="15">
      <c r="A25" s="482"/>
      <c r="B25" s="1554" t="s">
        <v>1615</v>
      </c>
      <c r="C25" s="524"/>
      <c r="D25" s="490">
        <v>100</v>
      </c>
      <c r="E25" s="803"/>
      <c r="F25" s="525">
        <f>SUMIF(86:86,E25,87:87)-SUMIF(86:86,C25,87:87)+100</f>
        <v>100</v>
      </c>
      <c r="G25" s="548"/>
      <c r="H25" s="490">
        <f>SUMIF(86:86,G25,87:87)-SUMIF(86:86,C25,87:87)+100</f>
        <v>100</v>
      </c>
      <c r="I25" s="803"/>
      <c r="J25" s="490">
        <f>SUMIF(86:86,I25,87:87)-SUMIF(86:86,C25,87:87)+100</f>
        <v>100</v>
      </c>
      <c r="K25" s="794"/>
      <c r="L25" s="1749"/>
      <c r="M25" s="1742"/>
      <c r="N25" s="1742"/>
      <c r="O25" s="1748"/>
      <c r="P25" s="3626"/>
      <c r="Q25" s="1306" t="str">
        <f t="shared" ref="Q25:Q46" si="8">B25</f>
        <v>楼层-1</v>
      </c>
      <c r="R25" s="1307" t="s">
        <v>8</v>
      </c>
      <c r="S25" s="1308">
        <f>F25</f>
        <v>100</v>
      </c>
      <c r="T25" s="1307" t="s">
        <v>8</v>
      </c>
      <c r="U25" s="1308">
        <f>H25</f>
        <v>100</v>
      </c>
      <c r="V25" s="1307" t="s">
        <v>8</v>
      </c>
      <c r="W25" s="1308">
        <f>J25</f>
        <v>100</v>
      </c>
      <c r="X25" s="1302"/>
      <c r="Y25" s="3626"/>
      <c r="Z25" s="1309" t="str">
        <f>Q25</f>
        <v>楼层-1</v>
      </c>
      <c r="AA25" s="1309">
        <f t="shared" si="3"/>
        <v>1</v>
      </c>
      <c r="AB25" s="1309">
        <f t="shared" si="4"/>
        <v>1</v>
      </c>
      <c r="AC25" s="1309">
        <f t="shared" si="5"/>
        <v>1</v>
      </c>
    </row>
    <row r="26" spans="1:29" ht="15">
      <c r="A26" s="482"/>
      <c r="B26" s="477" t="s">
        <v>670</v>
      </c>
      <c r="C26" s="524"/>
      <c r="D26" s="490">
        <v>100</v>
      </c>
      <c r="E26" s="803"/>
      <c r="F26" s="525">
        <f>SUMIF(88:88,E26,89:89)-SUMIF(88:88,C26,89:89)+100</f>
        <v>100</v>
      </c>
      <c r="G26" s="548"/>
      <c r="H26" s="490">
        <f>SUMIF(88:88,G26,89:89)-SUMIF(88:88,C26,89:89)+100</f>
        <v>100</v>
      </c>
      <c r="I26" s="803"/>
      <c r="J26" s="490">
        <f>SUMIF(88:88,I26,89:89)-SUMIF(88:88,C26,89:89)+100</f>
        <v>100</v>
      </c>
      <c r="K26" s="794"/>
      <c r="L26" s="1749"/>
      <c r="M26" s="1742"/>
      <c r="N26" s="1742"/>
      <c r="O26" s="1748"/>
      <c r="P26" s="3626"/>
      <c r="Q26" s="1306" t="str">
        <f t="shared" si="8"/>
        <v>朝向</v>
      </c>
      <c r="R26" s="1307" t="s">
        <v>8</v>
      </c>
      <c r="S26" s="1308">
        <f>F26</f>
        <v>100</v>
      </c>
      <c r="T26" s="1307" t="s">
        <v>8</v>
      </c>
      <c r="U26" s="1308">
        <f>H26</f>
        <v>100</v>
      </c>
      <c r="V26" s="1307" t="s">
        <v>8</v>
      </c>
      <c r="W26" s="1308">
        <f>J26</f>
        <v>100</v>
      </c>
      <c r="X26" s="1302"/>
      <c r="Y26" s="3626"/>
      <c r="Z26" s="1309" t="str">
        <f>Q26</f>
        <v>朝向</v>
      </c>
      <c r="AA26" s="1309">
        <f t="shared" si="3"/>
        <v>1</v>
      </c>
      <c r="AB26" s="1309">
        <f t="shared" si="4"/>
        <v>1</v>
      </c>
      <c r="AC26" s="1309">
        <f t="shared" si="5"/>
        <v>1</v>
      </c>
    </row>
    <row r="27" spans="1:29" s="1060" customFormat="1" ht="15">
      <c r="A27" s="486"/>
      <c r="B27" s="487" t="s">
        <v>671</v>
      </c>
      <c r="C27" s="478"/>
      <c r="D27" s="516">
        <v>100</v>
      </c>
      <c r="E27" s="480"/>
      <c r="F27" s="544">
        <f>SUMIF(90:90,E27,91:91)-SUMIF(90:90,C27,91:91)+100</f>
        <v>100</v>
      </c>
      <c r="G27" s="479"/>
      <c r="H27" s="516">
        <f>SUMIF(90:90,G27,91:91)-SUMIF(90:90,C27,91:91)+100</f>
        <v>100</v>
      </c>
      <c r="I27" s="480"/>
      <c r="J27" s="516">
        <f>SUMIF(90:90,I27,91:91)-SUMIF(90:90,C27,91:91)+100</f>
        <v>100</v>
      </c>
      <c r="K27" s="795"/>
      <c r="L27" s="1743"/>
      <c r="M27" s="1640"/>
      <c r="N27" s="1640"/>
      <c r="O27" s="1744"/>
      <c r="P27" s="3626"/>
      <c r="Q27" s="818" t="str">
        <f t="shared" si="8"/>
        <v>道路级别</v>
      </c>
      <c r="R27" s="1303" t="s">
        <v>8</v>
      </c>
      <c r="S27" s="1304">
        <f>F27</f>
        <v>100</v>
      </c>
      <c r="T27" s="1303" t="s">
        <v>8</v>
      </c>
      <c r="U27" s="1304">
        <f>H27</f>
        <v>100</v>
      </c>
      <c r="V27" s="1303" t="s">
        <v>8</v>
      </c>
      <c r="W27" s="1304">
        <f>J27</f>
        <v>100</v>
      </c>
      <c r="X27" s="1305"/>
      <c r="Y27" s="3626"/>
      <c r="Z27" s="997" t="str">
        <f>Q27</f>
        <v>道路级别</v>
      </c>
      <c r="AA27" s="1309">
        <f>D27/F27</f>
        <v>1</v>
      </c>
      <c r="AB27" s="1309">
        <f>D27/H27</f>
        <v>1</v>
      </c>
      <c r="AC27" s="1309">
        <f>D27/J27</f>
        <v>1</v>
      </c>
    </row>
    <row r="28" spans="1:29" ht="15">
      <c r="A28" s="482"/>
      <c r="B28" s="91">
        <v>111</v>
      </c>
      <c r="C28" s="489"/>
      <c r="D28" s="490">
        <v>100</v>
      </c>
      <c r="E28" s="489"/>
      <c r="F28" s="525">
        <f>SUMIF(92:92,E28,93:93)-SUMIF(92:92,C28,93:93)+100</f>
        <v>100</v>
      </c>
      <c r="G28" s="489"/>
      <c r="H28" s="490">
        <f>SUMIF(92:92,G28,93:93)-SUMIF(92:92,C28,93:93)+100</f>
        <v>100</v>
      </c>
      <c r="I28" s="489"/>
      <c r="J28" s="490">
        <f>SUMIF(92:92,I28,93:93)-SUMIF(92:92,C28,93:93)+100</f>
        <v>100</v>
      </c>
      <c r="K28" s="795"/>
      <c r="L28" s="1749"/>
      <c r="M28" s="1742"/>
      <c r="N28" s="1742"/>
      <c r="O28" s="1748"/>
      <c r="P28" s="3626"/>
      <c r="Q28" s="1306">
        <f t="shared" si="8"/>
        <v>111</v>
      </c>
      <c r="R28" s="1307" t="s">
        <v>8</v>
      </c>
      <c r="S28" s="1308">
        <f t="shared" ref="S28:S46" si="9">F28</f>
        <v>100</v>
      </c>
      <c r="T28" s="1307" t="s">
        <v>8</v>
      </c>
      <c r="U28" s="1308">
        <f t="shared" ref="U28:U46" si="10">H28</f>
        <v>100</v>
      </c>
      <c r="V28" s="1307" t="s">
        <v>8</v>
      </c>
      <c r="W28" s="1308">
        <f t="shared" ref="W28:W46" si="11">J28</f>
        <v>100</v>
      </c>
      <c r="X28" s="1302"/>
      <c r="Y28" s="3626"/>
      <c r="Z28" s="1309">
        <f t="shared" ref="Z28:Z46" si="12">Q28</f>
        <v>111</v>
      </c>
      <c r="AA28" s="1309">
        <f t="shared" si="3"/>
        <v>1</v>
      </c>
      <c r="AB28" s="1309">
        <f t="shared" si="4"/>
        <v>1</v>
      </c>
      <c r="AC28" s="1309">
        <f t="shared" si="5"/>
        <v>1</v>
      </c>
    </row>
    <row r="29" spans="1:29" ht="15">
      <c r="A29" s="482"/>
      <c r="B29" s="91">
        <v>111</v>
      </c>
      <c r="C29" s="489"/>
      <c r="D29" s="490">
        <v>100</v>
      </c>
      <c r="E29" s="489"/>
      <c r="F29" s="525">
        <f>SUMIF(94:94,E29,95:95)-SUMIF(94:94,C29,95:95)+100</f>
        <v>100</v>
      </c>
      <c r="G29" s="489"/>
      <c r="H29" s="490">
        <f>SUMIF(94:94,G29,95:95)-SUMIF(94:94,C29,95:95)+100</f>
        <v>100</v>
      </c>
      <c r="I29" s="489"/>
      <c r="J29" s="490">
        <f>SUMIF(94:94,I29,95:95)-SUMIF(94:94,C29,95:95)+100</f>
        <v>100</v>
      </c>
      <c r="K29" s="795"/>
      <c r="L29" s="1749"/>
      <c r="M29" s="1742"/>
      <c r="N29" s="1742"/>
      <c r="O29" s="1748"/>
      <c r="P29" s="3626"/>
      <c r="Q29" s="1306">
        <f t="shared" si="8"/>
        <v>111</v>
      </c>
      <c r="R29" s="1307" t="s">
        <v>8</v>
      </c>
      <c r="S29" s="1308">
        <f t="shared" si="9"/>
        <v>100</v>
      </c>
      <c r="T29" s="1307" t="s">
        <v>8</v>
      </c>
      <c r="U29" s="1308">
        <f t="shared" si="10"/>
        <v>100</v>
      </c>
      <c r="V29" s="1307" t="s">
        <v>8</v>
      </c>
      <c r="W29" s="1308">
        <f t="shared" si="11"/>
        <v>100</v>
      </c>
      <c r="X29" s="1302"/>
      <c r="Y29" s="3626"/>
      <c r="Z29" s="1309">
        <f t="shared" si="12"/>
        <v>111</v>
      </c>
      <c r="AA29" s="1309">
        <f t="shared" si="3"/>
        <v>1</v>
      </c>
      <c r="AB29" s="1309">
        <f t="shared" si="4"/>
        <v>1</v>
      </c>
      <c r="AC29" s="1309">
        <f t="shared" si="5"/>
        <v>1</v>
      </c>
    </row>
    <row r="30" spans="1:29" ht="15">
      <c r="A30" s="482"/>
      <c r="B30" s="91">
        <v>111</v>
      </c>
      <c r="C30" s="489"/>
      <c r="D30" s="490">
        <v>100</v>
      </c>
      <c r="E30" s="489"/>
      <c r="F30" s="525">
        <f>SUMIF(96:96,E30,97:97)-SUMIF(96:96,C30,97:97)+100</f>
        <v>100</v>
      </c>
      <c r="G30" s="489"/>
      <c r="H30" s="490">
        <f>SUMIF(96:96,G30,97:97)-SUMIF(96:96,C30,97:97)+100</f>
        <v>100</v>
      </c>
      <c r="I30" s="489"/>
      <c r="J30" s="490">
        <f>SUMIF(96:96,I30,97:97)-SUMIF(96:96,C30,97:97)+100</f>
        <v>100</v>
      </c>
      <c r="K30" s="795"/>
      <c r="L30" s="1749"/>
      <c r="M30" s="1742"/>
      <c r="N30" s="1742"/>
      <c r="O30" s="1748"/>
      <c r="P30" s="3626"/>
      <c r="Q30" s="1306">
        <f t="shared" si="8"/>
        <v>111</v>
      </c>
      <c r="R30" s="1307" t="s">
        <v>8</v>
      </c>
      <c r="S30" s="1308">
        <f t="shared" si="9"/>
        <v>100</v>
      </c>
      <c r="T30" s="1307" t="s">
        <v>8</v>
      </c>
      <c r="U30" s="1308">
        <f t="shared" si="10"/>
        <v>100</v>
      </c>
      <c r="V30" s="1307" t="s">
        <v>8</v>
      </c>
      <c r="W30" s="1308">
        <f t="shared" si="11"/>
        <v>100</v>
      </c>
      <c r="X30" s="1302"/>
      <c r="Y30" s="3626"/>
      <c r="Z30" s="1309">
        <f t="shared" si="12"/>
        <v>111</v>
      </c>
      <c r="AA30" s="1309">
        <f t="shared" si="3"/>
        <v>1</v>
      </c>
      <c r="AB30" s="1309">
        <f t="shared" si="4"/>
        <v>1</v>
      </c>
      <c r="AC30" s="1309">
        <f t="shared" si="5"/>
        <v>1</v>
      </c>
    </row>
    <row r="31" spans="1:29" ht="15.75" thickBot="1">
      <c r="A31" s="493"/>
      <c r="B31" s="91">
        <v>111</v>
      </c>
      <c r="C31" s="495"/>
      <c r="D31" s="496">
        <v>100</v>
      </c>
      <c r="E31" s="495"/>
      <c r="F31" s="796">
        <f>SUMIF(98:98,E31,99:99)-SUMIF(98:98,C31,99:99)+100</f>
        <v>100</v>
      </c>
      <c r="G31" s="495"/>
      <c r="H31" s="496">
        <f>SUMIF(98:98,G31,99:99)-SUMIF(98:98,C31,99:99)+100</f>
        <v>100</v>
      </c>
      <c r="I31" s="495"/>
      <c r="J31" s="496">
        <f>SUMIF(98:98,I31,99:99)-SUMIF(98:98,C31,99:99)+100</f>
        <v>100</v>
      </c>
      <c r="K31" s="795"/>
      <c r="L31" s="1749"/>
      <c r="M31" s="1742"/>
      <c r="N31" s="1742"/>
      <c r="O31" s="1748"/>
      <c r="P31" s="3626"/>
      <c r="Q31" s="1306">
        <f t="shared" si="8"/>
        <v>111</v>
      </c>
      <c r="R31" s="1307" t="s">
        <v>8</v>
      </c>
      <c r="S31" s="1308">
        <f t="shared" si="9"/>
        <v>100</v>
      </c>
      <c r="T31" s="1307" t="s">
        <v>8</v>
      </c>
      <c r="U31" s="1308">
        <f t="shared" si="10"/>
        <v>100</v>
      </c>
      <c r="V31" s="1307" t="s">
        <v>8</v>
      </c>
      <c r="W31" s="1308">
        <f t="shared" si="11"/>
        <v>100</v>
      </c>
      <c r="X31" s="1302"/>
      <c r="Y31" s="3626"/>
      <c r="Z31" s="1309">
        <f t="shared" si="12"/>
        <v>111</v>
      </c>
      <c r="AA31" s="1309">
        <f t="shared" si="3"/>
        <v>1</v>
      </c>
      <c r="AB31" s="1309">
        <f t="shared" si="4"/>
        <v>1</v>
      </c>
      <c r="AC31" s="1309">
        <f t="shared" si="5"/>
        <v>1</v>
      </c>
    </row>
    <row r="32" spans="1:29" ht="15">
      <c r="A32" s="2204" t="s">
        <v>2037</v>
      </c>
      <c r="B32" s="156" t="s">
        <v>672</v>
      </c>
      <c r="C32" s="804"/>
      <c r="D32" s="546">
        <v>100</v>
      </c>
      <c r="E32" s="805"/>
      <c r="F32" s="525">
        <f>SUMIF(100:100,E32,101:101)-SUMIF(100:100,C32,101:101)+100</f>
        <v>100</v>
      </c>
      <c r="G32" s="804"/>
      <c r="H32" s="546">
        <f>SUMIF(100:100,G32,101:101)-SUMIF(100:100,C32,101:101)+100</f>
        <v>100</v>
      </c>
      <c r="I32" s="805"/>
      <c r="J32" s="490">
        <f>SUMIF(100:100,I32,101:101)-SUMIF(100:100,C32,101:101)+100</f>
        <v>100</v>
      </c>
      <c r="K32" s="794"/>
      <c r="L32" s="1749"/>
      <c r="M32" s="1742"/>
      <c r="N32" s="1742"/>
      <c r="O32" s="1748"/>
      <c r="P32" s="3627" t="s">
        <v>499</v>
      </c>
      <c r="Q32" s="1306" t="str">
        <f t="shared" si="8"/>
        <v>建筑类型</v>
      </c>
      <c r="R32" s="1307" t="s">
        <v>8</v>
      </c>
      <c r="S32" s="1308">
        <f t="shared" si="9"/>
        <v>100</v>
      </c>
      <c r="T32" s="1307" t="s">
        <v>8</v>
      </c>
      <c r="U32" s="1308">
        <f t="shared" si="10"/>
        <v>100</v>
      </c>
      <c r="V32" s="1307" t="s">
        <v>8</v>
      </c>
      <c r="W32" s="1308">
        <f t="shared" si="11"/>
        <v>100</v>
      </c>
      <c r="X32" s="1302"/>
      <c r="Y32" s="3628" t="s">
        <v>499</v>
      </c>
      <c r="Z32" s="1309" t="str">
        <f t="shared" si="12"/>
        <v>建筑类型</v>
      </c>
      <c r="AA32" s="1309">
        <f t="shared" si="3"/>
        <v>1</v>
      </c>
      <c r="AB32" s="1309">
        <f t="shared" si="4"/>
        <v>1</v>
      </c>
      <c r="AC32" s="1309">
        <f t="shared" si="5"/>
        <v>1</v>
      </c>
    </row>
    <row r="33" spans="1:29" s="1134" customFormat="1" ht="15">
      <c r="A33" s="552"/>
      <c r="B33" s="477" t="s">
        <v>673</v>
      </c>
      <c r="C33" s="806"/>
      <c r="D33" s="235">
        <v>100</v>
      </c>
      <c r="E33" s="484"/>
      <c r="F33" s="477" t="e">
        <f>LOOKUP(E33,103:103,104:104)-LOOKUP(C33,103:103,104:104)+100</f>
        <v>#N/A</v>
      </c>
      <c r="G33" s="483"/>
      <c r="H33" s="235" t="e">
        <f>LOOKUP(G33,103:103,104:104)-LOOKUP(C33,103:103,104:104)+100</f>
        <v>#N/A</v>
      </c>
      <c r="I33" s="484"/>
      <c r="J33" s="235" t="e">
        <f>LOOKUP(I33,103:103,104:104)-LOOKUP(C33,103:103,104:104)+100</f>
        <v>#N/A</v>
      </c>
      <c r="K33" s="795"/>
      <c r="L33" s="1747"/>
      <c r="M33" s="1771"/>
      <c r="N33" s="1771"/>
      <c r="O33" s="1750"/>
      <c r="P33" s="3628"/>
      <c r="Q33" s="819" t="str">
        <f t="shared" si="8"/>
        <v>项目建筑规模</v>
      </c>
      <c r="R33" s="1310" t="s">
        <v>8</v>
      </c>
      <c r="S33" s="1311" t="e">
        <f t="shared" si="9"/>
        <v>#N/A</v>
      </c>
      <c r="T33" s="1310" t="s">
        <v>8</v>
      </c>
      <c r="U33" s="1311" t="e">
        <f t="shared" si="10"/>
        <v>#N/A</v>
      </c>
      <c r="V33" s="1310" t="s">
        <v>8</v>
      </c>
      <c r="W33" s="1311" t="e">
        <f t="shared" si="11"/>
        <v>#N/A</v>
      </c>
      <c r="X33" s="1312"/>
      <c r="Y33" s="3628"/>
      <c r="Z33" s="1313" t="str">
        <f t="shared" si="12"/>
        <v>项目建筑规模</v>
      </c>
      <c r="AA33" s="1309" t="e">
        <f t="shared" si="3"/>
        <v>#N/A</v>
      </c>
      <c r="AB33" s="1309" t="e">
        <f t="shared" si="4"/>
        <v>#N/A</v>
      </c>
      <c r="AC33" s="1309" t="e">
        <f t="shared" si="5"/>
        <v>#N/A</v>
      </c>
    </row>
    <row r="34" spans="1:29" ht="15">
      <c r="A34" s="543"/>
      <c r="B34" s="477" t="s">
        <v>674</v>
      </c>
      <c r="C34" s="524"/>
      <c r="D34" s="490">
        <v>100</v>
      </c>
      <c r="E34" s="807"/>
      <c r="F34" s="525">
        <f>SUMIF(105:105,E34,106:106)-SUMIF(105:105,C34,106:106)+100</f>
        <v>100</v>
      </c>
      <c r="G34" s="524"/>
      <c r="H34" s="490">
        <f>SUMIF(105:105,G34,106:106)-SUMIF(105:105,C34,106:106)+100</f>
        <v>100</v>
      </c>
      <c r="I34" s="807"/>
      <c r="J34" s="490">
        <f>SUMIF(105:105,I34,106:106)-SUMIF(105:105,C34,106:106)+100</f>
        <v>100</v>
      </c>
      <c r="K34" s="794"/>
      <c r="L34" s="1749"/>
      <c r="M34" s="1742"/>
      <c r="N34" s="1742"/>
      <c r="O34" s="1748"/>
      <c r="P34" s="3628"/>
      <c r="Q34" s="1306" t="str">
        <f t="shared" si="8"/>
        <v>建筑结构</v>
      </c>
      <c r="R34" s="1307" t="s">
        <v>8</v>
      </c>
      <c r="S34" s="1308">
        <f t="shared" si="9"/>
        <v>100</v>
      </c>
      <c r="T34" s="1307" t="s">
        <v>8</v>
      </c>
      <c r="U34" s="1308">
        <f t="shared" si="10"/>
        <v>100</v>
      </c>
      <c r="V34" s="1307" t="s">
        <v>8</v>
      </c>
      <c r="W34" s="1308">
        <f t="shared" si="11"/>
        <v>100</v>
      </c>
      <c r="X34" s="1302"/>
      <c r="Y34" s="3628"/>
      <c r="Z34" s="1309" t="str">
        <f t="shared" si="12"/>
        <v>建筑结构</v>
      </c>
      <c r="AA34" s="1309">
        <f t="shared" si="3"/>
        <v>1</v>
      </c>
      <c r="AB34" s="1309">
        <f t="shared" si="4"/>
        <v>1</v>
      </c>
      <c r="AC34" s="1309">
        <f t="shared" si="5"/>
        <v>1</v>
      </c>
    </row>
    <row r="35" spans="1:29" ht="15">
      <c r="A35" s="543"/>
      <c r="B35" s="477" t="s">
        <v>675</v>
      </c>
      <c r="C35" s="548"/>
      <c r="D35" s="490">
        <v>100</v>
      </c>
      <c r="E35" s="803"/>
      <c r="F35" s="525">
        <f>SUMIF(107:107,E35,108:108)-SUMIF(107:107,C35,108:108)+100</f>
        <v>100</v>
      </c>
      <c r="G35" s="548"/>
      <c r="H35" s="490">
        <f>SUMIF(107:107,G35,108:108)-SUMIF(107:107,C35,108:108)+100</f>
        <v>100</v>
      </c>
      <c r="I35" s="803"/>
      <c r="J35" s="490">
        <f>SUMIF(107:107,I35,108:108)-SUMIF(107:107,C35,108:108)+100</f>
        <v>100</v>
      </c>
      <c r="K35" s="794"/>
      <c r="L35" s="1749"/>
      <c r="M35" s="1742"/>
      <c r="N35" s="1742"/>
      <c r="O35" s="1748"/>
      <c r="P35" s="3628"/>
      <c r="Q35" s="1306" t="str">
        <f t="shared" si="8"/>
        <v>建筑品质</v>
      </c>
      <c r="R35" s="1307" t="s">
        <v>8</v>
      </c>
      <c r="S35" s="1308">
        <f t="shared" si="9"/>
        <v>100</v>
      </c>
      <c r="T35" s="1307" t="s">
        <v>8</v>
      </c>
      <c r="U35" s="1308">
        <f t="shared" si="10"/>
        <v>100</v>
      </c>
      <c r="V35" s="1307" t="s">
        <v>8</v>
      </c>
      <c r="W35" s="1308">
        <f t="shared" si="11"/>
        <v>100</v>
      </c>
      <c r="X35" s="1302"/>
      <c r="Y35" s="3628"/>
      <c r="Z35" s="1309" t="str">
        <f t="shared" si="12"/>
        <v>建筑品质</v>
      </c>
      <c r="AA35" s="1309">
        <f t="shared" si="3"/>
        <v>1</v>
      </c>
      <c r="AB35" s="1309">
        <f t="shared" si="4"/>
        <v>1</v>
      </c>
      <c r="AC35" s="1309">
        <f t="shared" si="5"/>
        <v>1</v>
      </c>
    </row>
    <row r="36" spans="1:29" ht="15">
      <c r="A36" s="543"/>
      <c r="B36" s="477" t="s">
        <v>676</v>
      </c>
      <c r="C36" s="548"/>
      <c r="D36" s="490">
        <v>100</v>
      </c>
      <c r="E36" s="803"/>
      <c r="F36" s="525">
        <f>SUMIF(109:109,E36,110:110)-SUMIF(109:109,C36,110:110)+100</f>
        <v>100</v>
      </c>
      <c r="G36" s="548"/>
      <c r="H36" s="490">
        <f>SUMIF(109:109,G36,110:110)-SUMIF(109:109,C36,110:110)+100</f>
        <v>100</v>
      </c>
      <c r="I36" s="803"/>
      <c r="J36" s="490">
        <f>SUMIF(109:109,I36,110:110)-SUMIF(109:109,C36,110:110)+100</f>
        <v>100</v>
      </c>
      <c r="K36" s="794"/>
      <c r="L36" s="1749"/>
      <c r="M36" s="1742"/>
      <c r="N36" s="1742"/>
      <c r="O36" s="1748"/>
      <c r="P36" s="3628"/>
      <c r="Q36" s="1306" t="str">
        <f t="shared" si="8"/>
        <v>公共部分装修</v>
      </c>
      <c r="R36" s="1307" t="s">
        <v>8</v>
      </c>
      <c r="S36" s="1308">
        <f t="shared" si="9"/>
        <v>100</v>
      </c>
      <c r="T36" s="1307" t="s">
        <v>8</v>
      </c>
      <c r="U36" s="1308">
        <f t="shared" si="10"/>
        <v>100</v>
      </c>
      <c r="V36" s="1307" t="s">
        <v>8</v>
      </c>
      <c r="W36" s="1308">
        <f t="shared" si="11"/>
        <v>100</v>
      </c>
      <c r="X36" s="1302"/>
      <c r="Y36" s="3628"/>
      <c r="Z36" s="1309" t="str">
        <f t="shared" si="12"/>
        <v>公共部分装修</v>
      </c>
      <c r="AA36" s="1309">
        <f t="shared" si="3"/>
        <v>1</v>
      </c>
      <c r="AB36" s="1309">
        <f t="shared" si="4"/>
        <v>1</v>
      </c>
      <c r="AC36" s="1309">
        <f t="shared" si="5"/>
        <v>1</v>
      </c>
    </row>
    <row r="37" spans="1:29" s="1060" customFormat="1" ht="15">
      <c r="A37" s="549"/>
      <c r="B37" s="477" t="s">
        <v>677</v>
      </c>
      <c r="C37" s="808"/>
      <c r="D37" s="235">
        <v>100</v>
      </c>
      <c r="E37" s="809"/>
      <c r="F37" s="477" t="e">
        <f>LOOKUP(E37,112:112,113:113)-LOOKUP(C37,112:112,113:113)+100</f>
        <v>#N/A</v>
      </c>
      <c r="G37" s="810"/>
      <c r="H37" s="235" t="e">
        <f>LOOKUP(G37,112:112,113:113)-LOOKUP(C37,112:112,113:113)+100</f>
        <v>#N/A</v>
      </c>
      <c r="I37" s="809"/>
      <c r="J37" s="235" t="e">
        <f>LOOKUP(I37,112:112,113:113)-LOOKUP(C37,112:112,113:113)+100</f>
        <v>#N/A</v>
      </c>
      <c r="K37" s="794"/>
      <c r="L37" s="1743"/>
      <c r="M37" s="1640"/>
      <c r="N37" s="1640"/>
      <c r="O37" s="1744"/>
      <c r="P37" s="3628"/>
      <c r="Q37" s="818" t="str">
        <f t="shared" si="8"/>
        <v>成新度</v>
      </c>
      <c r="R37" s="1303" t="s">
        <v>8</v>
      </c>
      <c r="S37" s="1304" t="e">
        <f t="shared" si="9"/>
        <v>#N/A</v>
      </c>
      <c r="T37" s="1303" t="s">
        <v>8</v>
      </c>
      <c r="U37" s="1304" t="e">
        <f t="shared" si="10"/>
        <v>#N/A</v>
      </c>
      <c r="V37" s="1303" t="s">
        <v>8</v>
      </c>
      <c r="W37" s="1304" t="e">
        <f t="shared" si="11"/>
        <v>#N/A</v>
      </c>
      <c r="X37" s="1305"/>
      <c r="Y37" s="3628"/>
      <c r="Z37" s="997" t="str">
        <f t="shared" si="12"/>
        <v>成新度</v>
      </c>
      <c r="AA37" s="997" t="e">
        <f t="shared" si="3"/>
        <v>#N/A</v>
      </c>
      <c r="AB37" s="997" t="e">
        <f t="shared" si="4"/>
        <v>#N/A</v>
      </c>
      <c r="AC37" s="997" t="e">
        <f t="shared" si="5"/>
        <v>#N/A</v>
      </c>
    </row>
    <row r="38" spans="1:29" ht="15">
      <c r="A38" s="543"/>
      <c r="B38" s="477" t="s">
        <v>678</v>
      </c>
      <c r="C38" s="548"/>
      <c r="D38" s="490">
        <v>100</v>
      </c>
      <c r="E38" s="803"/>
      <c r="F38" s="525">
        <f>SUMIF(114:114,E38,115:115)-SUMIF(114:114,C38,115:115)+100</f>
        <v>100</v>
      </c>
      <c r="G38" s="548"/>
      <c r="H38" s="490">
        <f>SUMIF(114:114,G38,115:115)-SUMIF(114:114,C38,115:115)+100</f>
        <v>100</v>
      </c>
      <c r="I38" s="803"/>
      <c r="J38" s="490">
        <f>SUMIF(114:114,I38,115:115)-SUMIF(114:114,C38,115:115)+100</f>
        <v>100</v>
      </c>
      <c r="K38" s="794"/>
      <c r="L38" s="1749"/>
      <c r="M38" s="1742"/>
      <c r="N38" s="1742"/>
      <c r="O38" s="1748"/>
      <c r="P38" s="3628" t="s">
        <v>499</v>
      </c>
      <c r="Q38" s="1306" t="str">
        <f t="shared" si="8"/>
        <v>物业管理</v>
      </c>
      <c r="R38" s="1307" t="s">
        <v>8</v>
      </c>
      <c r="S38" s="1308">
        <f t="shared" si="9"/>
        <v>100</v>
      </c>
      <c r="T38" s="1307" t="s">
        <v>8</v>
      </c>
      <c r="U38" s="1308">
        <f t="shared" si="10"/>
        <v>100</v>
      </c>
      <c r="V38" s="1307" t="s">
        <v>8</v>
      </c>
      <c r="W38" s="1308">
        <f t="shared" si="11"/>
        <v>100</v>
      </c>
      <c r="X38" s="1302"/>
      <c r="Y38" s="3628" t="s">
        <v>499</v>
      </c>
      <c r="Z38" s="1309" t="str">
        <f t="shared" si="12"/>
        <v>物业管理</v>
      </c>
      <c r="AA38" s="1309">
        <f t="shared" si="3"/>
        <v>1</v>
      </c>
      <c r="AB38" s="1309">
        <f t="shared" si="4"/>
        <v>1</v>
      </c>
      <c r="AC38" s="1309">
        <f t="shared" si="5"/>
        <v>1</v>
      </c>
    </row>
    <row r="39" spans="1:29" ht="15">
      <c r="A39" s="543"/>
      <c r="B39" s="1554" t="s">
        <v>1847</v>
      </c>
      <c r="C39" s="548"/>
      <c r="D39" s="490">
        <v>100</v>
      </c>
      <c r="E39" s="803"/>
      <c r="F39" s="525">
        <f>SUMIF(116:116,E39,117:117)-SUMIF(116:116,C39,117:117)+100</f>
        <v>100</v>
      </c>
      <c r="G39" s="548"/>
      <c r="H39" s="490">
        <f>SUMIF(116:116,G39,117:117)-SUMIF(116:116,C39,117:117)+100</f>
        <v>100</v>
      </c>
      <c r="I39" s="803"/>
      <c r="J39" s="490">
        <f>SUMIF(116:116,I39,117:117)-SUMIF(116:116,C39,117:117)+100</f>
        <v>100</v>
      </c>
      <c r="K39" s="794"/>
      <c r="L39" s="1749"/>
      <c r="M39" s="1742"/>
      <c r="N39" s="1742"/>
      <c r="O39" s="1748"/>
      <c r="P39" s="3628"/>
      <c r="Q39" s="1306" t="str">
        <f t="shared" si="8"/>
        <v>市政基础设施</v>
      </c>
      <c r="R39" s="1307" t="s">
        <v>8</v>
      </c>
      <c r="S39" s="1308">
        <f t="shared" si="9"/>
        <v>100</v>
      </c>
      <c r="T39" s="1307" t="s">
        <v>8</v>
      </c>
      <c r="U39" s="1308">
        <f t="shared" si="10"/>
        <v>100</v>
      </c>
      <c r="V39" s="1307" t="s">
        <v>8</v>
      </c>
      <c r="W39" s="1308">
        <f t="shared" si="11"/>
        <v>100</v>
      </c>
      <c r="X39" s="1302"/>
      <c r="Y39" s="3628"/>
      <c r="Z39" s="1309" t="str">
        <f t="shared" si="12"/>
        <v>市政基础设施</v>
      </c>
      <c r="AA39" s="1309">
        <f t="shared" si="3"/>
        <v>1</v>
      </c>
      <c r="AB39" s="1309">
        <f t="shared" si="4"/>
        <v>1</v>
      </c>
      <c r="AC39" s="1309">
        <f t="shared" si="5"/>
        <v>1</v>
      </c>
    </row>
    <row r="40" spans="1:29" ht="15">
      <c r="A40" s="543"/>
      <c r="B40" s="477" t="s">
        <v>679</v>
      </c>
      <c r="C40" s="548"/>
      <c r="D40" s="490">
        <v>100</v>
      </c>
      <c r="E40" s="803"/>
      <c r="F40" s="525">
        <f>SUMIF(118:118,E40,119:119)-SUMIF(118:118,C40,119:119)+100</f>
        <v>100</v>
      </c>
      <c r="G40" s="548"/>
      <c r="H40" s="490">
        <f>SUMIF(118:118,G40,119:119)-SUMIF(118:118,C40,119:119)+100</f>
        <v>100</v>
      </c>
      <c r="I40" s="803"/>
      <c r="J40" s="490">
        <f>SUMIF(118:118,I40,119:119)-SUMIF(118:118,C40,119:119)+100</f>
        <v>100</v>
      </c>
      <c r="K40" s="794"/>
      <c r="L40" s="1749"/>
      <c r="M40" s="1742"/>
      <c r="N40" s="1742"/>
      <c r="O40" s="1748"/>
      <c r="P40" s="3628"/>
      <c r="Q40" s="1306" t="str">
        <f t="shared" si="8"/>
        <v>房型</v>
      </c>
      <c r="R40" s="1307" t="s">
        <v>8</v>
      </c>
      <c r="S40" s="1308">
        <f t="shared" si="9"/>
        <v>100</v>
      </c>
      <c r="T40" s="1307" t="s">
        <v>8</v>
      </c>
      <c r="U40" s="1308">
        <f t="shared" si="10"/>
        <v>100</v>
      </c>
      <c r="V40" s="1307" t="s">
        <v>8</v>
      </c>
      <c r="W40" s="1308">
        <f t="shared" si="11"/>
        <v>100</v>
      </c>
      <c r="X40" s="1302"/>
      <c r="Y40" s="3628"/>
      <c r="Z40" s="1309" t="str">
        <f t="shared" si="12"/>
        <v>房型</v>
      </c>
      <c r="AA40" s="1309">
        <f t="shared" si="3"/>
        <v>1</v>
      </c>
      <c r="AB40" s="1309">
        <f t="shared" si="4"/>
        <v>1</v>
      </c>
      <c r="AC40" s="1309">
        <f t="shared" si="5"/>
        <v>1</v>
      </c>
    </row>
    <row r="41" spans="1:29" s="1134" customFormat="1" ht="28.5">
      <c r="A41" s="552"/>
      <c r="B41" s="477" t="s">
        <v>680</v>
      </c>
      <c r="C41" s="806"/>
      <c r="D41" s="235">
        <v>100</v>
      </c>
      <c r="E41" s="484"/>
      <c r="F41" s="477">
        <f>SUMIF(120:120,E41,121:121)-SUMIF(120:120,C41,121:121)+100</f>
        <v>100</v>
      </c>
      <c r="G41" s="483"/>
      <c r="H41" s="235">
        <f>SUMIF(120:120,G41,121:121)-SUMIF(120:120,C41,121:121)+100</f>
        <v>100</v>
      </c>
      <c r="I41" s="535"/>
      <c r="J41" s="490">
        <f>SUMIF(120:120,I41,121:121)-SUMIF(120:120,C41,121:121)+100</f>
        <v>100</v>
      </c>
      <c r="K41" s="795"/>
      <c r="L41" s="1747"/>
      <c r="M41" s="1771"/>
      <c r="N41" s="1771"/>
      <c r="O41" s="1750"/>
      <c r="P41" s="3628"/>
      <c r="Q41" s="819" t="str">
        <f t="shared" si="8"/>
        <v>单套/主力户型建筑面积</v>
      </c>
      <c r="R41" s="1310" t="s">
        <v>8</v>
      </c>
      <c r="S41" s="1311">
        <f t="shared" si="9"/>
        <v>100</v>
      </c>
      <c r="T41" s="1310" t="s">
        <v>8</v>
      </c>
      <c r="U41" s="1311">
        <f t="shared" si="10"/>
        <v>100</v>
      </c>
      <c r="V41" s="1310" t="s">
        <v>8</v>
      </c>
      <c r="W41" s="1311">
        <f t="shared" si="11"/>
        <v>100</v>
      </c>
      <c r="X41" s="1312"/>
      <c r="Y41" s="3628"/>
      <c r="Z41" s="1313" t="str">
        <f t="shared" si="12"/>
        <v>单套/主力户型建筑面积</v>
      </c>
      <c r="AA41" s="1309">
        <f t="shared" si="3"/>
        <v>1</v>
      </c>
      <c r="AB41" s="1309">
        <f t="shared" si="4"/>
        <v>1</v>
      </c>
      <c r="AC41" s="1309">
        <f t="shared" si="5"/>
        <v>1</v>
      </c>
    </row>
    <row r="42" spans="1:29" ht="15">
      <c r="A42" s="543"/>
      <c r="B42" s="477" t="s">
        <v>681</v>
      </c>
      <c r="C42" s="548"/>
      <c r="D42" s="490">
        <v>100</v>
      </c>
      <c r="E42" s="803"/>
      <c r="F42" s="525">
        <f>SUMIF(122:122,E42,123:123)-SUMIF(122:122,C42,123:123)+100</f>
        <v>100</v>
      </c>
      <c r="G42" s="548"/>
      <c r="H42" s="490">
        <f>SUMIF(122:122,G42,123:123)-SUMIF(122:122,C42,123:123)+100</f>
        <v>100</v>
      </c>
      <c r="I42" s="803"/>
      <c r="J42" s="490">
        <f>SUMIF(122:122,I42,123:123)-SUMIF(122:122,C42,123:123)+100</f>
        <v>100</v>
      </c>
      <c r="K42" s="794"/>
      <c r="L42" s="1749"/>
      <c r="M42" s="1742"/>
      <c r="N42" s="1742"/>
      <c r="O42" s="1748"/>
      <c r="P42" s="3628"/>
      <c r="Q42" s="1306" t="str">
        <f t="shared" si="8"/>
        <v>内部装修</v>
      </c>
      <c r="R42" s="1307" t="s">
        <v>8</v>
      </c>
      <c r="S42" s="1308">
        <f t="shared" si="9"/>
        <v>100</v>
      </c>
      <c r="T42" s="1307" t="s">
        <v>8</v>
      </c>
      <c r="U42" s="1308">
        <f t="shared" si="10"/>
        <v>100</v>
      </c>
      <c r="V42" s="1307" t="s">
        <v>8</v>
      </c>
      <c r="W42" s="1308">
        <f t="shared" si="11"/>
        <v>100</v>
      </c>
      <c r="X42" s="1302"/>
      <c r="Y42" s="3628"/>
      <c r="Z42" s="1309" t="str">
        <f t="shared" si="12"/>
        <v>内部装修</v>
      </c>
      <c r="AA42" s="1309">
        <f t="shared" si="3"/>
        <v>1</v>
      </c>
      <c r="AB42" s="1309">
        <f t="shared" si="4"/>
        <v>1</v>
      </c>
      <c r="AC42" s="1309">
        <f t="shared" si="5"/>
        <v>1</v>
      </c>
    </row>
    <row r="43" spans="1:29" ht="27">
      <c r="A43" s="543"/>
      <c r="B43" s="477" t="s">
        <v>682</v>
      </c>
      <c r="C43" s="548"/>
      <c r="D43" s="490">
        <v>100</v>
      </c>
      <c r="E43" s="803"/>
      <c r="F43" s="525">
        <f>SUMIF(124:124,E43,125:125)-SUMIF(124:124,C43,125:125)+100</f>
        <v>100</v>
      </c>
      <c r="G43" s="548"/>
      <c r="H43" s="490">
        <f>SUMIF(124:124,G43,125:125)-SUMIF(124:124,C43,125:125)+100</f>
        <v>100</v>
      </c>
      <c r="I43" s="803"/>
      <c r="J43" s="490">
        <f>SUMIF(124:124,I43,125:125)-SUMIF(124:124,C43,125:125)+100</f>
        <v>100</v>
      </c>
      <c r="K43" s="794"/>
      <c r="L43" s="1749"/>
      <c r="M43" s="1742"/>
      <c r="N43" s="1742"/>
      <c r="O43" s="1748"/>
      <c r="P43" s="3628"/>
      <c r="Q43" s="1306" t="str">
        <f t="shared" si="8"/>
        <v>内部装修维护情况</v>
      </c>
      <c r="R43" s="1307" t="s">
        <v>8</v>
      </c>
      <c r="S43" s="1308">
        <f t="shared" si="9"/>
        <v>100</v>
      </c>
      <c r="T43" s="1307" t="s">
        <v>8</v>
      </c>
      <c r="U43" s="1308">
        <f t="shared" si="10"/>
        <v>100</v>
      </c>
      <c r="V43" s="1307" t="s">
        <v>8</v>
      </c>
      <c r="W43" s="1308">
        <f t="shared" si="11"/>
        <v>100</v>
      </c>
      <c r="X43" s="1302"/>
      <c r="Y43" s="3628"/>
      <c r="Z43" s="1309" t="str">
        <f t="shared" si="12"/>
        <v>内部装修维护情况</v>
      </c>
      <c r="AA43" s="1309">
        <f t="shared" si="3"/>
        <v>1</v>
      </c>
      <c r="AB43" s="1309">
        <f t="shared" si="4"/>
        <v>1</v>
      </c>
      <c r="AC43" s="1309">
        <f t="shared" si="5"/>
        <v>1</v>
      </c>
    </row>
    <row r="44" spans="1:29" s="1060" customFormat="1" ht="15">
      <c r="A44" s="549"/>
      <c r="B44" s="91">
        <v>111</v>
      </c>
      <c r="C44" s="806"/>
      <c r="D44" s="235">
        <v>100</v>
      </c>
      <c r="E44" s="806"/>
      <c r="F44" s="477">
        <f>SUMIF(126:126,E44,127:127)-SUMIF(126:126,C44,127:127)+100</f>
        <v>100</v>
      </c>
      <c r="G44" s="806"/>
      <c r="H44" s="235">
        <f>SUMIF(126:126,G44,127:127)-SUMIF(126:126,C44,127:127)+100</f>
        <v>100</v>
      </c>
      <c r="I44" s="806"/>
      <c r="J44" s="235">
        <f>SUMIF(126:126,I44,127:127)-SUMIF(126:126,C44,127:127)+100</f>
        <v>100</v>
      </c>
      <c r="K44" s="795"/>
      <c r="L44" s="1743"/>
      <c r="M44" s="1640"/>
      <c r="N44" s="1640"/>
      <c r="O44" s="1744"/>
      <c r="P44" s="3628"/>
      <c r="Q44" s="818">
        <f t="shared" si="8"/>
        <v>111</v>
      </c>
      <c r="R44" s="1303" t="s">
        <v>8</v>
      </c>
      <c r="S44" s="1304">
        <f t="shared" si="9"/>
        <v>100</v>
      </c>
      <c r="T44" s="1303" t="s">
        <v>8</v>
      </c>
      <c r="U44" s="1304">
        <f t="shared" si="10"/>
        <v>100</v>
      </c>
      <c r="V44" s="1303" t="s">
        <v>8</v>
      </c>
      <c r="W44" s="1304">
        <f t="shared" si="11"/>
        <v>100</v>
      </c>
      <c r="X44" s="1305"/>
      <c r="Y44" s="3628"/>
      <c r="Z44" s="997">
        <f t="shared" si="12"/>
        <v>111</v>
      </c>
      <c r="AA44" s="997">
        <f t="shared" si="3"/>
        <v>1</v>
      </c>
      <c r="AB44" s="997">
        <f t="shared" si="4"/>
        <v>1</v>
      </c>
      <c r="AC44" s="997">
        <f t="shared" si="5"/>
        <v>1</v>
      </c>
    </row>
    <row r="45" spans="1:29" ht="15">
      <c r="A45" s="543"/>
      <c r="B45" s="91">
        <v>111</v>
      </c>
      <c r="C45" s="489"/>
      <c r="D45" s="490">
        <v>100</v>
      </c>
      <c r="E45" s="489"/>
      <c r="F45" s="525">
        <f>SUMIF(128:128,E45,129:129)-SUMIF(128:128,C45,129:129)+100</f>
        <v>100</v>
      </c>
      <c r="G45" s="489"/>
      <c r="H45" s="490">
        <f>SUMIF(128:128,G45,129:129)-SUMIF(128:128,C45,129:129)+100</f>
        <v>100</v>
      </c>
      <c r="I45" s="489"/>
      <c r="J45" s="490">
        <f>SUMIF(128:128,I45,129:129)-SUMIF(128:128,C45,129:129)+100</f>
        <v>100</v>
      </c>
      <c r="K45" s="795"/>
      <c r="L45" s="1749"/>
      <c r="M45" s="1742"/>
      <c r="N45" s="1742"/>
      <c r="O45" s="1748"/>
      <c r="P45" s="3628"/>
      <c r="Q45" s="1306">
        <f t="shared" si="8"/>
        <v>111</v>
      </c>
      <c r="R45" s="1307" t="s">
        <v>8</v>
      </c>
      <c r="S45" s="1308">
        <f t="shared" si="9"/>
        <v>100</v>
      </c>
      <c r="T45" s="1307" t="s">
        <v>8</v>
      </c>
      <c r="U45" s="1308">
        <f t="shared" si="10"/>
        <v>100</v>
      </c>
      <c r="V45" s="1307" t="s">
        <v>8</v>
      </c>
      <c r="W45" s="1308">
        <f t="shared" si="11"/>
        <v>100</v>
      </c>
      <c r="X45" s="1302"/>
      <c r="Y45" s="3628"/>
      <c r="Z45" s="1309">
        <f t="shared" si="12"/>
        <v>111</v>
      </c>
      <c r="AA45" s="1309">
        <f t="shared" si="3"/>
        <v>1</v>
      </c>
      <c r="AB45" s="1309">
        <f t="shared" si="4"/>
        <v>1</v>
      </c>
      <c r="AC45" s="1309">
        <f t="shared" si="5"/>
        <v>1</v>
      </c>
    </row>
    <row r="46" spans="1:29" ht="15.75" thickBot="1">
      <c r="A46" s="811"/>
      <c r="B46" s="494">
        <v>111</v>
      </c>
      <c r="C46" s="495"/>
      <c r="D46" s="496">
        <v>100</v>
      </c>
      <c r="E46" s="495"/>
      <c r="F46" s="796">
        <f>SUMIF(130:130,E46,131:131)-SUMIF(130:130,C46,131:131)+100</f>
        <v>100</v>
      </c>
      <c r="G46" s="495"/>
      <c r="H46" s="496">
        <f>SUMIF(130:130,G46,131:131)-SUMIF(130:130,C46,131:131)+100</f>
        <v>100</v>
      </c>
      <c r="I46" s="495"/>
      <c r="J46" s="496">
        <f>SUMIF(130:130,I46,131:131)-SUMIF(130:130,C46,131:131)+100</f>
        <v>100</v>
      </c>
      <c r="K46" s="795"/>
      <c r="L46" s="1749"/>
      <c r="M46" s="1742"/>
      <c r="N46" s="1742"/>
      <c r="O46" s="1748"/>
      <c r="P46" s="3740"/>
      <c r="Q46" s="1306">
        <f t="shared" si="8"/>
        <v>111</v>
      </c>
      <c r="R46" s="1307" t="s">
        <v>7</v>
      </c>
      <c r="S46" s="1308">
        <f t="shared" si="9"/>
        <v>100</v>
      </c>
      <c r="T46" s="1307" t="s">
        <v>7</v>
      </c>
      <c r="U46" s="1308">
        <f t="shared" si="10"/>
        <v>100</v>
      </c>
      <c r="V46" s="1307" t="s">
        <v>7</v>
      </c>
      <c r="W46" s="1308">
        <f t="shared" si="11"/>
        <v>100</v>
      </c>
      <c r="X46" s="1302"/>
      <c r="Y46" s="3740"/>
      <c r="Z46" s="1309">
        <f t="shared" si="12"/>
        <v>111</v>
      </c>
      <c r="AA46" s="1309">
        <f t="shared" si="3"/>
        <v>1</v>
      </c>
      <c r="AB46" s="1309">
        <f t="shared" si="4"/>
        <v>1</v>
      </c>
      <c r="AC46" s="1309">
        <f t="shared" si="5"/>
        <v>1</v>
      </c>
    </row>
    <row r="47" spans="1:29" ht="15">
      <c r="A47" s="556" t="s">
        <v>683</v>
      </c>
      <c r="B47" s="812"/>
      <c r="C47" s="2081" t="s">
        <v>6</v>
      </c>
      <c r="D47" s="559"/>
      <c r="E47" s="560"/>
      <c r="F47" s="561"/>
      <c r="G47" s="562"/>
      <c r="H47" s="563"/>
      <c r="I47" s="560"/>
      <c r="J47" s="563"/>
      <c r="K47" s="1331"/>
      <c r="L47" s="1751"/>
      <c r="M47" s="1742"/>
      <c r="N47" s="1742"/>
      <c r="O47" s="1742"/>
      <c r="P47" s="3623" t="str">
        <f>A47</f>
        <v>成交单价（元/平方米）</v>
      </c>
      <c r="Q47" s="3623"/>
      <c r="R47" s="3639">
        <f>E47</f>
        <v>0</v>
      </c>
      <c r="S47" s="3639"/>
      <c r="T47" s="3639">
        <f>G47</f>
        <v>0</v>
      </c>
      <c r="U47" s="3639"/>
      <c r="V47" s="3639">
        <f>I47</f>
        <v>0</v>
      </c>
      <c r="W47" s="3639"/>
      <c r="X47" s="799"/>
      <c r="Y47" s="1314"/>
      <c r="Z47" s="799"/>
      <c r="AA47" s="799"/>
      <c r="AB47" s="799"/>
      <c r="AC47" s="799"/>
    </row>
    <row r="48" spans="1:29" ht="15.75" thickBot="1">
      <c r="A48" s="564" t="s">
        <v>2042</v>
      </c>
      <c r="B48" s="813"/>
      <c r="C48" s="2082" t="e">
        <f>R49</f>
        <v>#DIV/0!</v>
      </c>
      <c r="D48" s="2550" t="s">
        <v>2261</v>
      </c>
      <c r="E48" s="2083" t="e">
        <f>R48</f>
        <v>#DIV/0!</v>
      </c>
      <c r="F48" s="2551"/>
      <c r="G48" s="2082" t="e">
        <f>T48</f>
        <v>#DIV/0!</v>
      </c>
      <c r="H48" s="2551"/>
      <c r="I48" s="2083" t="e">
        <f>V48</f>
        <v>#DIV/0!</v>
      </c>
      <c r="J48" s="2551"/>
      <c r="K48" s="2558">
        <f>F48+H48+J48</f>
        <v>0</v>
      </c>
      <c r="L48" s="1751"/>
      <c r="M48" s="1742"/>
      <c r="N48" s="1742"/>
      <c r="O48" s="1742"/>
      <c r="P48" s="3623" t="str">
        <f>A48</f>
        <v>比较价格（元/平方米）</v>
      </c>
      <c r="Q48" s="3623"/>
      <c r="R48" s="3639" t="e">
        <f>IF(F1="售价",ROUND(PRODUCT(R47,AA7:AA46),0),ROUND(PRODUCT(R47,AA7:AA46),1))</f>
        <v>#DIV/0!</v>
      </c>
      <c r="S48" s="3639"/>
      <c r="T48" s="3639" t="e">
        <f>IF(F1="售价",ROUND(PRODUCT(T47,AB7:AB46),0),ROUND(PRODUCT(T47,AB7:AB46),1))</f>
        <v>#DIV/0!</v>
      </c>
      <c r="U48" s="3639"/>
      <c r="V48" s="3639" t="e">
        <f>IF(F1="售价",ROUND(PRODUCT(V47,AC7:AC46),0),ROUND(PRODUCT(V47,AC7:AC46),1))</f>
        <v>#DIV/0!</v>
      </c>
      <c r="W48" s="3639"/>
      <c r="X48" s="799"/>
      <c r="Y48" s="799"/>
      <c r="Z48" s="799"/>
      <c r="AA48" s="799"/>
      <c r="AB48" s="799"/>
      <c r="AC48" s="799"/>
    </row>
    <row r="49" spans="1:29" ht="15.75" thickBot="1">
      <c r="A49" s="568" t="s">
        <v>2198</v>
      </c>
      <c r="B49" s="569"/>
      <c r="C49" s="469" t="e">
        <f>R49</f>
        <v>#DIV/0!</v>
      </c>
      <c r="D49" s="469"/>
      <c r="E49" s="469"/>
      <c r="F49" s="469"/>
      <c r="G49" s="469"/>
      <c r="H49" s="469"/>
      <c r="I49" s="469"/>
      <c r="J49" s="469"/>
      <c r="K49" s="1332"/>
      <c r="L49" s="1751"/>
      <c r="M49" s="1742"/>
      <c r="N49" s="1742"/>
      <c r="O49" s="1742"/>
      <c r="P49" s="3629" t="str">
        <f>A49</f>
        <v>估价对象XX用房的比较价格（楼面单价，元/平方米）</v>
      </c>
      <c r="Q49" s="3630"/>
      <c r="R49" s="3739" t="e">
        <f>IF(F1="售价",ROUND(IF(D48="简单平均",AVERAGE(R48:V48),R48*F48+T48*H48+V48*J48),0),ROUND(IF(D48="简单平均",AVERAGE(R48:V48),R48*F48+T48*H48+V48*J48),1))</f>
        <v>#DIV/0!</v>
      </c>
      <c r="S49" s="3739"/>
      <c r="T49" s="3739"/>
      <c r="U49" s="3739"/>
      <c r="V49" s="3739"/>
      <c r="W49" s="3739"/>
      <c r="X49" s="799"/>
      <c r="Y49" s="799"/>
      <c r="Z49" s="799"/>
      <c r="AA49" s="799"/>
      <c r="AB49" s="799"/>
      <c r="AC49" s="799"/>
    </row>
    <row r="50" spans="1:29">
      <c r="A50" s="2720"/>
      <c r="B50" s="2720"/>
      <c r="C50" s="2720"/>
      <c r="D50" s="2720"/>
      <c r="E50" s="2720"/>
      <c r="F50" s="2720"/>
      <c r="G50" s="2722"/>
      <c r="H50" s="2720"/>
      <c r="I50" s="2720"/>
      <c r="J50" s="2720"/>
      <c r="K50" s="2723"/>
      <c r="L50" s="1755"/>
      <c r="M50" s="1742"/>
      <c r="N50" s="1742"/>
      <c r="O50" s="1742"/>
      <c r="P50" s="1742"/>
      <c r="Q50" s="1742"/>
      <c r="R50" s="1742"/>
      <c r="S50" s="1742"/>
      <c r="T50" s="1742"/>
      <c r="U50" s="1742"/>
      <c r="V50" s="1742"/>
      <c r="W50" s="1742"/>
      <c r="X50" s="1742"/>
      <c r="Y50" s="1742"/>
      <c r="Z50" s="1742"/>
      <c r="AA50" s="1742"/>
      <c r="AB50" s="1742"/>
      <c r="AC50" s="1742"/>
    </row>
    <row r="51" spans="1:29">
      <c r="A51" s="2720"/>
      <c r="B51" s="2720"/>
      <c r="C51" s="2720"/>
      <c r="D51" s="2720"/>
      <c r="E51" s="2720"/>
      <c r="F51" s="2720"/>
      <c r="G51" s="2720"/>
      <c r="H51" s="2720"/>
      <c r="I51" s="2720"/>
      <c r="J51" s="2720"/>
      <c r="K51" s="2723"/>
      <c r="L51" s="1755"/>
      <c r="M51" s="1742"/>
      <c r="N51" s="1742"/>
      <c r="O51" s="1742"/>
      <c r="P51" s="1742"/>
      <c r="Q51" s="1742"/>
      <c r="R51" s="1742"/>
      <c r="S51" s="1742"/>
      <c r="T51" s="1742"/>
      <c r="U51" s="1742"/>
      <c r="V51" s="1742"/>
      <c r="W51" s="1742"/>
      <c r="X51" s="1742"/>
      <c r="Y51" s="1742"/>
      <c r="Z51" s="1742"/>
      <c r="AA51" s="1742"/>
      <c r="AB51" s="1742"/>
      <c r="AC51" s="1742"/>
    </row>
    <row r="52" spans="1:29" ht="13.5" customHeight="1">
      <c r="A52" s="2720"/>
      <c r="B52" s="2720"/>
      <c r="C52" s="571" t="s">
        <v>506</v>
      </c>
      <c r="D52" s="572"/>
      <c r="E52" s="573" t="e">
        <f>IF(E47&lt;E48,E48/E47-1,E47/E48-1)</f>
        <v>#DIV/0!</v>
      </c>
      <c r="F52" s="574" t="e">
        <f>IF(OR(E52&gt;=0.3,E52&lt;=-0.3),"超过30%","")</f>
        <v>#DIV/0!</v>
      </c>
      <c r="G52" s="573" t="e">
        <f>IF(G47&lt;G48,G48/G47-1,G47/G48-1)</f>
        <v>#DIV/0!</v>
      </c>
      <c r="H52" s="574" t="e">
        <f>IF(OR(G52&gt;=0.3,G52&lt;=-0.3),"超过30%","")</f>
        <v>#DIV/0!</v>
      </c>
      <c r="I52" s="573" t="e">
        <f>IF(I47&lt;I48,I48/I47-1,I47/I48-1)</f>
        <v>#DIV/0!</v>
      </c>
      <c r="J52" s="574" t="e">
        <f>IF(OR(I52&gt;=0.3,I52&lt;=-0.3),"超过30%","")</f>
        <v>#DIV/0!</v>
      </c>
      <c r="K52" s="2723"/>
      <c r="L52" s="1755"/>
      <c r="M52" s="1742"/>
      <c r="N52" s="1742"/>
      <c r="O52" s="1742"/>
      <c r="P52" s="1742"/>
      <c r="Q52" s="1742"/>
      <c r="R52" s="1742"/>
      <c r="S52" s="1742"/>
      <c r="T52" s="1742"/>
      <c r="U52" s="1742"/>
      <c r="V52" s="1742"/>
      <c r="W52" s="1742"/>
      <c r="X52" s="1742"/>
      <c r="Y52" s="1742"/>
      <c r="Z52" s="1742"/>
      <c r="AA52" s="1742"/>
      <c r="AB52" s="1742"/>
      <c r="AC52" s="1742"/>
    </row>
    <row r="53" spans="1:29" ht="13.5" customHeight="1">
      <c r="A53" s="2720"/>
      <c r="B53" s="2720"/>
      <c r="C53" s="571" t="s">
        <v>507</v>
      </c>
      <c r="D53" s="575"/>
      <c r="E53" s="573" t="e">
        <f>IF(E48&lt;G48,G48/E48-1,E48/G48-1)</f>
        <v>#DIV/0!</v>
      </c>
      <c r="F53" s="574" t="e">
        <f>IF(OR(E53&gt;=0.2,E53&lt;=-0.2),"超过20%","")</f>
        <v>#DIV/0!</v>
      </c>
      <c r="G53" s="573" t="e">
        <f>IF(G48&lt;I48,I48/G48-1,G48/I48-1)</f>
        <v>#DIV/0!</v>
      </c>
      <c r="H53" s="574" t="e">
        <f>IF(OR(G53&gt;=0.2,G53&lt;=-0.2),"超过20%","")</f>
        <v>#DIV/0!</v>
      </c>
      <c r="I53" s="573" t="e">
        <f>IF(I48&lt;E48,E48/I48-1,I48/E48-1)</f>
        <v>#DIV/0!</v>
      </c>
      <c r="J53" s="574" t="e">
        <f>IF(OR(I53&gt;=0.2,I53&lt;=-0.2),"超过20%","")</f>
        <v>#DIV/0!</v>
      </c>
      <c r="K53" s="2723"/>
      <c r="L53" s="1755"/>
      <c r="M53" s="1742"/>
      <c r="N53" s="1742"/>
      <c r="O53" s="1742"/>
      <c r="P53" s="1742"/>
      <c r="Q53" s="1742"/>
      <c r="R53" s="1742"/>
      <c r="S53" s="1742"/>
      <c r="T53" s="1742"/>
      <c r="U53" s="1742"/>
      <c r="V53" s="1742"/>
      <c r="W53" s="1742"/>
      <c r="X53" s="1742"/>
      <c r="Y53" s="1742"/>
      <c r="Z53" s="1742"/>
      <c r="AA53" s="1742"/>
      <c r="AB53" s="1742"/>
      <c r="AC53" s="1742"/>
    </row>
    <row r="54" spans="1:29" s="1139" customFormat="1" ht="13.5" customHeight="1">
      <c r="A54" s="2721"/>
      <c r="B54" s="2721"/>
      <c r="C54" s="571" t="s">
        <v>508</v>
      </c>
      <c r="D54" s="575"/>
      <c r="E54" s="573" t="e">
        <f>IF(E47&lt;G47,G47/E47-1,E47/G47-1)</f>
        <v>#DIV/0!</v>
      </c>
      <c r="F54" s="574" t="e">
        <f>IF(OR(E54&gt;=0.3,E54&lt;=-0.3),"超过30%","")</f>
        <v>#DIV/0!</v>
      </c>
      <c r="G54" s="573" t="e">
        <f>IF(G47&lt;I47,I47/G47-1,G47/I47-1)</f>
        <v>#DIV/0!</v>
      </c>
      <c r="H54" s="574" t="e">
        <f>IF(OR(G54&gt;=0.3,G54&lt;=-0.3),"超过30%","")</f>
        <v>#DIV/0!</v>
      </c>
      <c r="I54" s="573" t="e">
        <f>IF(I47&lt;E47,E47/I47-1,I47/E47-1)</f>
        <v>#DIV/0!</v>
      </c>
      <c r="J54" s="574" t="e">
        <f>IF(OR(I54&gt;=0.3,I54&lt;=-0.3),"超过30%","")</f>
        <v>#DIV/0!</v>
      </c>
      <c r="K54" s="2724"/>
      <c r="L54" s="1758"/>
      <c r="M54" s="1752"/>
      <c r="N54" s="1752"/>
      <c r="O54" s="1752"/>
      <c r="P54" s="1752"/>
      <c r="Q54" s="1752"/>
      <c r="R54" s="1752"/>
      <c r="S54" s="1752"/>
      <c r="T54" s="1752"/>
      <c r="U54" s="1752"/>
      <c r="V54" s="1752"/>
      <c r="W54" s="1752"/>
      <c r="X54" s="1752"/>
      <c r="Y54" s="1752"/>
      <c r="Z54" s="1752"/>
      <c r="AA54" s="1752"/>
      <c r="AB54" s="1752"/>
      <c r="AC54" s="1752"/>
    </row>
    <row r="55" spans="1:29" s="1139" customFormat="1">
      <c r="A55" s="1752"/>
      <c r="B55" s="1753"/>
      <c r="C55" s="1756"/>
      <c r="D55" s="1752"/>
      <c r="E55" s="1752"/>
      <c r="F55" s="1752"/>
      <c r="G55" s="1752"/>
      <c r="H55" s="1752"/>
      <c r="I55" s="1752"/>
      <c r="J55" s="1752"/>
      <c r="K55" s="1757"/>
      <c r="L55" s="1758"/>
      <c r="M55" s="1752"/>
      <c r="N55" s="1752"/>
      <c r="O55" s="1752"/>
      <c r="P55" s="1752"/>
      <c r="Q55" s="1752"/>
      <c r="R55" s="1752"/>
      <c r="S55" s="1752"/>
      <c r="T55" s="1752"/>
      <c r="U55" s="1752"/>
      <c r="V55" s="1752"/>
      <c r="W55" s="1752"/>
      <c r="X55" s="1752"/>
      <c r="Y55" s="1752"/>
      <c r="Z55" s="1752"/>
      <c r="AA55" s="1752"/>
      <c r="AB55" s="1752"/>
      <c r="AC55" s="1752"/>
    </row>
    <row r="56" spans="1:29">
      <c r="A56" s="1742"/>
      <c r="B56" s="1753"/>
      <c r="C56" s="1756"/>
      <c r="D56" s="1753"/>
      <c r="E56" s="1753"/>
      <c r="F56" s="1753"/>
      <c r="G56" s="1753"/>
      <c r="H56" s="1753"/>
      <c r="I56" s="1753"/>
      <c r="J56" s="1753"/>
      <c r="K56" s="1753"/>
      <c r="L56" s="1753"/>
      <c r="M56" s="1753"/>
      <c r="N56" s="1753"/>
      <c r="O56" s="1753"/>
      <c r="P56" s="1742"/>
      <c r="Q56" s="1742"/>
      <c r="R56" s="1742"/>
      <c r="S56" s="1742"/>
      <c r="T56" s="1742"/>
      <c r="U56" s="1742"/>
      <c r="V56" s="1742"/>
      <c r="W56" s="1742"/>
      <c r="X56" s="1742"/>
      <c r="Y56" s="1742"/>
      <c r="Z56" s="1742"/>
      <c r="AA56" s="1742"/>
      <c r="AB56" s="1742"/>
      <c r="AC56" s="1742"/>
    </row>
    <row r="57" spans="1:29" ht="21.75" thickBot="1">
      <c r="A57" s="1317" t="s">
        <v>522</v>
      </c>
      <c r="B57" s="799"/>
      <c r="C57" s="1316"/>
      <c r="D57" s="1316"/>
      <c r="E57" s="1316"/>
      <c r="F57" s="1318"/>
      <c r="G57" s="1318"/>
      <c r="H57" s="1316"/>
      <c r="I57" s="1316"/>
      <c r="J57" s="1316"/>
      <c r="K57" s="1319"/>
      <c r="L57" s="1315"/>
      <c r="M57" s="1316"/>
      <c r="N57" s="1762"/>
      <c r="O57" s="1762"/>
      <c r="P57" s="1762"/>
      <c r="Q57" s="1763"/>
      <c r="R57" s="1742"/>
      <c r="S57" s="1742"/>
      <c r="T57" s="1742"/>
      <c r="U57" s="1742"/>
      <c r="V57" s="1742"/>
      <c r="W57" s="1742"/>
      <c r="X57" s="1742"/>
      <c r="Y57" s="1742"/>
      <c r="Z57" s="1742"/>
      <c r="AA57" s="1742"/>
      <c r="AB57" s="1742"/>
      <c r="AC57" s="1742"/>
    </row>
    <row r="58" spans="1:29" s="1141" customFormat="1" ht="15">
      <c r="A58" s="592" t="s">
        <v>478</v>
      </c>
      <c r="B58" s="593"/>
      <c r="C58" s="2115" t="str">
        <f>YEAR(C7)&amp;"-"&amp;MONTH(C7)</f>
        <v>2024-7</v>
      </c>
      <c r="D58" s="2115">
        <f>EDATE(C58,-1)</f>
        <v>45444</v>
      </c>
      <c r="E58" s="2115">
        <f t="shared" ref="E58:O58" si="13">EDATE(D58,-1)</f>
        <v>45413</v>
      </c>
      <c r="F58" s="2115">
        <f t="shared" si="13"/>
        <v>45383</v>
      </c>
      <c r="G58" s="2115">
        <f t="shared" si="13"/>
        <v>45352</v>
      </c>
      <c r="H58" s="2115">
        <f t="shared" si="13"/>
        <v>45323</v>
      </c>
      <c r="I58" s="2115">
        <f t="shared" si="13"/>
        <v>45292</v>
      </c>
      <c r="J58" s="2115">
        <f t="shared" si="13"/>
        <v>45261</v>
      </c>
      <c r="K58" s="2115">
        <f t="shared" si="13"/>
        <v>45231</v>
      </c>
      <c r="L58" s="2115">
        <f t="shared" si="13"/>
        <v>45200</v>
      </c>
      <c r="M58" s="2115">
        <f t="shared" si="13"/>
        <v>45170</v>
      </c>
      <c r="N58" s="2115">
        <f t="shared" si="13"/>
        <v>45139</v>
      </c>
      <c r="O58" s="2115">
        <f t="shared" si="13"/>
        <v>45108</v>
      </c>
      <c r="P58" s="1765"/>
      <c r="Q58" s="1765"/>
      <c r="R58" s="1765"/>
      <c r="S58" s="1765"/>
      <c r="T58" s="1765"/>
      <c r="U58" s="1765"/>
      <c r="V58" s="1765"/>
      <c r="W58" s="1765"/>
      <c r="X58" s="1765"/>
      <c r="Y58" s="1765"/>
      <c r="Z58" s="1765"/>
      <c r="AA58" s="1765"/>
      <c r="AB58" s="1765"/>
      <c r="AC58" s="1765"/>
    </row>
    <row r="59" spans="1:29" s="1060" customFormat="1" ht="15">
      <c r="A59" s="527"/>
      <c r="B59" s="594"/>
      <c r="C59" s="595">
        <v>100</v>
      </c>
      <c r="D59" s="596"/>
      <c r="E59" s="596"/>
      <c r="F59" s="596"/>
      <c r="G59" s="596"/>
      <c r="H59" s="596"/>
      <c r="I59" s="596"/>
      <c r="J59" s="596"/>
      <c r="K59" s="596"/>
      <c r="L59" s="596"/>
      <c r="M59" s="596"/>
      <c r="N59" s="596"/>
      <c r="O59" s="596"/>
      <c r="P59" s="1763"/>
      <c r="Q59" s="1640"/>
      <c r="R59" s="1640"/>
      <c r="S59" s="1640"/>
      <c r="T59" s="1640"/>
      <c r="U59" s="1640"/>
      <c r="V59" s="1640"/>
      <c r="W59" s="1640"/>
      <c r="X59" s="1640"/>
      <c r="Y59" s="1640"/>
      <c r="Z59" s="1640"/>
      <c r="AA59" s="1640"/>
      <c r="AB59" s="1640"/>
      <c r="AC59" s="1640"/>
    </row>
    <row r="60" spans="1:29" s="1060" customFormat="1" ht="15.75" thickBot="1">
      <c r="A60" s="262" t="s">
        <v>523</v>
      </c>
      <c r="B60" s="598"/>
      <c r="C60" s="599"/>
      <c r="D60" s="600"/>
      <c r="E60" s="600"/>
      <c r="F60" s="600"/>
      <c r="G60" s="600"/>
      <c r="H60" s="600"/>
      <c r="I60" s="600"/>
      <c r="J60" s="600"/>
      <c r="K60" s="600"/>
      <c r="L60" s="600"/>
      <c r="M60" s="601"/>
      <c r="N60" s="600"/>
      <c r="O60" s="602"/>
      <c r="P60" s="1763"/>
      <c r="Q60" s="1763"/>
      <c r="R60" s="1640"/>
      <c r="S60" s="1640"/>
      <c r="T60" s="1640"/>
      <c r="U60" s="1640"/>
      <c r="V60" s="1640"/>
      <c r="W60" s="1640"/>
      <c r="X60" s="1640"/>
      <c r="Y60" s="1640"/>
      <c r="Z60" s="1640"/>
      <c r="AA60" s="1640"/>
      <c r="AB60" s="1640"/>
      <c r="AC60" s="1640"/>
    </row>
    <row r="61" spans="1:29" s="1060" customFormat="1" ht="15">
      <c r="A61" s="603" t="s">
        <v>480</v>
      </c>
      <c r="B61" s="594"/>
      <c r="C61" s="604" t="s">
        <v>524</v>
      </c>
      <c r="D61" s="80"/>
      <c r="E61" s="80"/>
      <c r="F61" s="80"/>
      <c r="G61" s="80"/>
      <c r="H61" s="80"/>
      <c r="I61" s="80"/>
      <c r="J61" s="80"/>
      <c r="K61" s="80"/>
      <c r="L61" s="605"/>
      <c r="M61" s="606"/>
      <c r="N61" s="1766"/>
      <c r="O61" s="1766"/>
      <c r="P61" s="1647"/>
      <c r="Q61" s="1763"/>
      <c r="R61" s="1640"/>
      <c r="S61" s="1640"/>
      <c r="T61" s="1640"/>
      <c r="U61" s="1640"/>
      <c r="V61" s="1640"/>
      <c r="W61" s="1640"/>
      <c r="X61" s="1640"/>
      <c r="Y61" s="1640"/>
      <c r="Z61" s="1640"/>
      <c r="AA61" s="1640"/>
      <c r="AB61" s="1640"/>
      <c r="AC61" s="1640"/>
    </row>
    <row r="62" spans="1:29" s="1060" customFormat="1" ht="15.75" thickBot="1">
      <c r="A62" s="603"/>
      <c r="B62" s="594"/>
      <c r="C62" s="814">
        <v>100</v>
      </c>
      <c r="D62" s="596"/>
      <c r="E62" s="596"/>
      <c r="F62" s="596"/>
      <c r="G62" s="596"/>
      <c r="H62" s="596"/>
      <c r="I62" s="596"/>
      <c r="J62" s="596"/>
      <c r="K62" s="596"/>
      <c r="L62" s="596"/>
      <c r="M62" s="597"/>
      <c r="N62" s="1766"/>
      <c r="O62" s="1766"/>
      <c r="P62" s="1763"/>
      <c r="Q62" s="1763"/>
      <c r="R62" s="1640"/>
      <c r="S62" s="1640"/>
      <c r="T62" s="1640"/>
      <c r="U62" s="1640"/>
      <c r="V62" s="1640"/>
      <c r="W62" s="1640"/>
      <c r="X62" s="1640"/>
      <c r="Y62" s="1640"/>
      <c r="Z62" s="1640"/>
      <c r="AA62" s="1640"/>
      <c r="AB62" s="1640"/>
      <c r="AC62" s="1640"/>
    </row>
    <row r="63" spans="1:29">
      <c r="A63" s="607" t="s">
        <v>525</v>
      </c>
      <c r="B63" s="608" t="s">
        <v>483</v>
      </c>
      <c r="C63" s="645">
        <f>C9</f>
        <v>0</v>
      </c>
      <c r="D63" s="547"/>
      <c r="E63" s="547"/>
      <c r="F63" s="547"/>
      <c r="G63" s="547"/>
      <c r="H63" s="547"/>
      <c r="I63" s="547"/>
      <c r="J63" s="547"/>
      <c r="K63" s="609"/>
      <c r="L63" s="610"/>
      <c r="M63" s="611"/>
      <c r="N63" s="1767"/>
      <c r="O63" s="1767"/>
      <c r="P63" s="1766"/>
      <c r="Q63" s="1763"/>
      <c r="R63" s="1742"/>
      <c r="S63" s="1742"/>
      <c r="T63" s="1742"/>
      <c r="U63" s="1742"/>
      <c r="V63" s="1742"/>
      <c r="W63" s="1742"/>
      <c r="X63" s="1742"/>
      <c r="Y63" s="1742"/>
      <c r="Z63" s="1742"/>
      <c r="AA63" s="1742"/>
      <c r="AB63" s="1742"/>
      <c r="AC63" s="1742"/>
    </row>
    <row r="64" spans="1:29" ht="15.75" thickBot="1">
      <c r="A64" s="482"/>
      <c r="B64" s="612"/>
      <c r="C64" s="613"/>
      <c r="D64" s="613"/>
      <c r="E64" s="1333"/>
      <c r="F64" s="1333"/>
      <c r="G64" s="1333"/>
      <c r="H64" s="1333"/>
      <c r="I64" s="1333"/>
      <c r="J64" s="1333"/>
      <c r="K64" s="1333"/>
      <c r="L64" s="1333"/>
      <c r="M64" s="1334"/>
      <c r="N64" s="1768"/>
      <c r="O64" s="1768"/>
      <c r="P64" s="1766"/>
      <c r="Q64" s="1763"/>
      <c r="R64" s="1742"/>
      <c r="S64" s="1742"/>
      <c r="T64" s="1742"/>
      <c r="U64" s="1742"/>
      <c r="V64" s="1742"/>
      <c r="W64" s="1742"/>
      <c r="X64" s="1742"/>
      <c r="Y64" s="1742"/>
      <c r="Z64" s="1742"/>
      <c r="AA64" s="1742"/>
      <c r="AB64" s="1742"/>
      <c r="AC64" s="1742"/>
    </row>
    <row r="65" spans="1:29" ht="27.75" thickTop="1">
      <c r="A65" s="482"/>
      <c r="B65" s="615" t="s">
        <v>486</v>
      </c>
      <c r="C65" s="658"/>
      <c r="D65" s="658"/>
      <c r="E65" s="658"/>
      <c r="F65" s="658"/>
      <c r="G65" s="658"/>
      <c r="H65" s="658"/>
      <c r="I65" s="658"/>
      <c r="J65" s="658"/>
      <c r="K65" s="659"/>
      <c r="L65" s="660"/>
      <c r="M65" s="661"/>
      <c r="N65" s="1767"/>
      <c r="O65" s="1767"/>
      <c r="P65" s="1766"/>
      <c r="Q65" s="1763"/>
      <c r="R65" s="1742"/>
      <c r="S65" s="1742"/>
      <c r="T65" s="1742"/>
      <c r="U65" s="1742"/>
      <c r="V65" s="1742"/>
      <c r="W65" s="1742"/>
      <c r="X65" s="1742"/>
      <c r="Y65" s="1742"/>
      <c r="Z65" s="1742"/>
      <c r="AA65" s="1742"/>
      <c r="AB65" s="1742"/>
      <c r="AC65" s="1742"/>
    </row>
    <row r="66" spans="1:29" ht="15.75" thickBot="1">
      <c r="A66" s="482"/>
      <c r="B66" s="620"/>
      <c r="C66" s="613"/>
      <c r="D66" s="613"/>
      <c r="E66" s="613"/>
      <c r="F66" s="613"/>
      <c r="G66" s="613"/>
      <c r="H66" s="613"/>
      <c r="I66" s="613"/>
      <c r="J66" s="613"/>
      <c r="K66" s="613"/>
      <c r="L66" s="613"/>
      <c r="M66" s="614"/>
      <c r="N66" s="1768"/>
      <c r="O66" s="1768"/>
      <c r="P66" s="1766"/>
      <c r="Q66" s="1763"/>
      <c r="R66" s="1742"/>
      <c r="S66" s="1742"/>
      <c r="T66" s="1742"/>
      <c r="U66" s="1742"/>
      <c r="V66" s="1742"/>
      <c r="W66" s="1742"/>
      <c r="X66" s="1742"/>
      <c r="Y66" s="1742"/>
      <c r="Z66" s="1742"/>
      <c r="AA66" s="1742"/>
      <c r="AB66" s="1742"/>
      <c r="AC66" s="1742"/>
    </row>
    <row r="67" spans="1:29" ht="15.75" thickTop="1">
      <c r="A67" s="482"/>
      <c r="B67" s="623" t="s">
        <v>487</v>
      </c>
      <c r="C67" s="624" t="str">
        <f>C68&amp;"（含）"&amp;"-"&amp;D68</f>
        <v>（含）-</v>
      </c>
      <c r="D67" s="624" t="str">
        <f t="shared" ref="D67:L67" si="14">D68&amp;"（含）"&amp;"-"&amp;E68</f>
        <v>（含）-</v>
      </c>
      <c r="E67" s="624" t="str">
        <f t="shared" si="14"/>
        <v>（含）-</v>
      </c>
      <c r="F67" s="624" t="str">
        <f t="shared" si="14"/>
        <v>（含）-</v>
      </c>
      <c r="G67" s="624" t="str">
        <f t="shared" si="14"/>
        <v>（含）-</v>
      </c>
      <c r="H67" s="624" t="str">
        <f t="shared" si="14"/>
        <v>（含）-</v>
      </c>
      <c r="I67" s="624" t="str">
        <f t="shared" si="14"/>
        <v>（含）-</v>
      </c>
      <c r="J67" s="624" t="str">
        <f t="shared" si="14"/>
        <v>（含）-</v>
      </c>
      <c r="K67" s="624" t="str">
        <f t="shared" si="14"/>
        <v>（含）-</v>
      </c>
      <c r="L67" s="624" t="str">
        <f t="shared" si="14"/>
        <v>（含）-</v>
      </c>
      <c r="M67" s="505" t="str">
        <f>M68&amp;"（含）"&amp;"-"&amp;P68</f>
        <v>（含）-</v>
      </c>
      <c r="N67" s="1768"/>
      <c r="O67" s="1768"/>
      <c r="P67" s="1766"/>
      <c r="Q67" s="1763"/>
      <c r="R67" s="1742"/>
      <c r="S67" s="1742"/>
      <c r="T67" s="1742"/>
      <c r="U67" s="1742"/>
      <c r="V67" s="1742"/>
      <c r="W67" s="1742"/>
      <c r="X67" s="1742"/>
      <c r="Y67" s="1742"/>
      <c r="Z67" s="1742"/>
      <c r="AA67" s="1742"/>
      <c r="AB67" s="1742"/>
      <c r="AC67" s="1742"/>
    </row>
    <row r="68" spans="1:29" ht="15">
      <c r="A68" s="482"/>
      <c r="B68" s="625"/>
      <c r="C68" s="491"/>
      <c r="D68" s="491"/>
      <c r="E68" s="491"/>
      <c r="F68" s="491"/>
      <c r="G68" s="491"/>
      <c r="H68" s="491"/>
      <c r="I68" s="491"/>
      <c r="J68" s="491"/>
      <c r="K68" s="626"/>
      <c r="L68" s="627"/>
      <c r="M68" s="628"/>
      <c r="N68" s="1767"/>
      <c r="O68" s="1767"/>
      <c r="P68" s="1766"/>
      <c r="Q68" s="1763"/>
      <c r="R68" s="1742"/>
      <c r="S68" s="1742"/>
      <c r="T68" s="1742"/>
      <c r="U68" s="1742"/>
      <c r="V68" s="1742"/>
      <c r="W68" s="1742"/>
      <c r="X68" s="1742"/>
      <c r="Y68" s="1742"/>
      <c r="Z68" s="1742"/>
      <c r="AA68" s="1742"/>
      <c r="AB68" s="1742"/>
      <c r="AC68" s="1742"/>
    </row>
    <row r="69" spans="1:29" ht="15.75" thickBot="1">
      <c r="A69" s="482"/>
      <c r="B69" s="612"/>
      <c r="C69" s="621">
        <v>100</v>
      </c>
      <c r="D69" s="621">
        <f t="shared" ref="D69:M69" si="15">C69-$K11</f>
        <v>100</v>
      </c>
      <c r="E69" s="621">
        <f t="shared" si="15"/>
        <v>100</v>
      </c>
      <c r="F69" s="621">
        <f t="shared" si="15"/>
        <v>100</v>
      </c>
      <c r="G69" s="621">
        <f t="shared" si="15"/>
        <v>100</v>
      </c>
      <c r="H69" s="621">
        <f t="shared" si="15"/>
        <v>100</v>
      </c>
      <c r="I69" s="621">
        <f t="shared" si="15"/>
        <v>100</v>
      </c>
      <c r="J69" s="621">
        <f t="shared" si="15"/>
        <v>100</v>
      </c>
      <c r="K69" s="621">
        <f t="shared" si="15"/>
        <v>100</v>
      </c>
      <c r="L69" s="621">
        <f t="shared" si="15"/>
        <v>100</v>
      </c>
      <c r="M69" s="622">
        <f t="shared" si="15"/>
        <v>100</v>
      </c>
      <c r="N69" s="1768"/>
      <c r="O69" s="1768"/>
      <c r="P69" s="1766"/>
      <c r="Q69" s="1763"/>
      <c r="R69" s="1742"/>
      <c r="S69" s="1742"/>
      <c r="T69" s="1742"/>
      <c r="U69" s="1742"/>
      <c r="V69" s="1742"/>
      <c r="W69" s="1742"/>
      <c r="X69" s="1742"/>
      <c r="Y69" s="1742"/>
      <c r="Z69" s="1742"/>
      <c r="AA69" s="1742"/>
      <c r="AB69" s="1742"/>
      <c r="AC69" s="1742"/>
    </row>
    <row r="70" spans="1:29" s="1134" customFormat="1" ht="15.75" thickTop="1">
      <c r="A70" s="629"/>
      <c r="B70" s="615">
        <f>B12</f>
        <v>111</v>
      </c>
      <c r="C70" s="630"/>
      <c r="D70" s="630"/>
      <c r="E70" s="630"/>
      <c r="F70" s="630"/>
      <c r="G70" s="630"/>
      <c r="H70" s="631"/>
      <c r="I70" s="631"/>
      <c r="J70" s="631"/>
      <c r="K70" s="631"/>
      <c r="L70" s="632"/>
      <c r="M70" s="633"/>
      <c r="N70" s="1769"/>
      <c r="O70" s="1769"/>
      <c r="P70" s="1769"/>
      <c r="Q70" s="1770"/>
      <c r="R70" s="1771"/>
      <c r="S70" s="1771"/>
      <c r="T70" s="1771"/>
      <c r="U70" s="1771"/>
      <c r="V70" s="1771"/>
      <c r="W70" s="1771"/>
      <c r="X70" s="1771"/>
      <c r="Y70" s="1771"/>
      <c r="Z70" s="1771"/>
      <c r="AA70" s="1771"/>
      <c r="AB70" s="1771"/>
      <c r="AC70" s="1771"/>
    </row>
    <row r="71" spans="1:29" s="1134" customFormat="1" ht="15.75" thickBot="1">
      <c r="A71" s="629"/>
      <c r="B71" s="620"/>
      <c r="C71" s="634"/>
      <c r="D71" s="613"/>
      <c r="E71" s="613"/>
      <c r="F71" s="613"/>
      <c r="G71" s="613"/>
      <c r="H71" s="613"/>
      <c r="I71" s="613"/>
      <c r="J71" s="613"/>
      <c r="K71" s="613"/>
      <c r="L71" s="613"/>
      <c r="M71" s="614"/>
      <c r="N71" s="1768"/>
      <c r="O71" s="1768"/>
      <c r="P71" s="1769"/>
      <c r="Q71" s="1770"/>
      <c r="R71" s="1771"/>
      <c r="S71" s="1771"/>
      <c r="T71" s="1771"/>
      <c r="U71" s="1771"/>
      <c r="V71" s="1771"/>
      <c r="W71" s="1771"/>
      <c r="X71" s="1771"/>
      <c r="Y71" s="1771"/>
      <c r="Z71" s="1771"/>
      <c r="AA71" s="1771"/>
      <c r="AB71" s="1771"/>
      <c r="AC71" s="1771"/>
    </row>
    <row r="72" spans="1:29" s="1134" customFormat="1" ht="15.75" thickTop="1">
      <c r="A72" s="629"/>
      <c r="B72" s="615">
        <f>B13</f>
        <v>111</v>
      </c>
      <c r="C72" s="630"/>
      <c r="D72" s="630"/>
      <c r="E72" s="630"/>
      <c r="F72" s="630"/>
      <c r="G72" s="630"/>
      <c r="H72" s="631"/>
      <c r="I72" s="631"/>
      <c r="J72" s="631"/>
      <c r="K72" s="631"/>
      <c r="L72" s="632"/>
      <c r="M72" s="633"/>
      <c r="N72" s="1769"/>
      <c r="O72" s="1769"/>
      <c r="P72" s="1771"/>
      <c r="Q72" s="1772"/>
      <c r="R72" s="1771"/>
      <c r="S72" s="1771"/>
      <c r="T72" s="1771"/>
      <c r="U72" s="1771"/>
      <c r="V72" s="1771"/>
      <c r="W72" s="1771"/>
      <c r="X72" s="1771"/>
      <c r="Y72" s="1771"/>
      <c r="Z72" s="1771"/>
      <c r="AA72" s="1771"/>
      <c r="AB72" s="1771"/>
      <c r="AC72" s="1771"/>
    </row>
    <row r="73" spans="1:29" s="1134" customFormat="1" ht="15.75" thickBot="1">
      <c r="A73" s="629"/>
      <c r="B73" s="620"/>
      <c r="C73" s="634"/>
      <c r="D73" s="634"/>
      <c r="E73" s="634"/>
      <c r="F73" s="634"/>
      <c r="G73" s="634"/>
      <c r="H73" s="635"/>
      <c r="I73" s="635"/>
      <c r="J73" s="635"/>
      <c r="K73" s="635"/>
      <c r="L73" s="635"/>
      <c r="M73" s="636"/>
      <c r="N73" s="1769"/>
      <c r="O73" s="1769"/>
      <c r="P73" s="1769"/>
      <c r="Q73" s="1770"/>
      <c r="R73" s="1771"/>
      <c r="S73" s="1771"/>
      <c r="T73" s="1771"/>
      <c r="U73" s="1771"/>
      <c r="V73" s="1771"/>
      <c r="W73" s="1771"/>
      <c r="X73" s="1771"/>
      <c r="Y73" s="1771"/>
      <c r="Z73" s="1771"/>
      <c r="AA73" s="1771"/>
      <c r="AB73" s="1771"/>
      <c r="AC73" s="1771"/>
    </row>
    <row r="74" spans="1:29" s="1134" customFormat="1" ht="15.75" thickTop="1">
      <c r="A74" s="629"/>
      <c r="B74" s="623">
        <f>B14</f>
        <v>111</v>
      </c>
      <c r="C74" s="630"/>
      <c r="D74" s="630"/>
      <c r="E74" s="630"/>
      <c r="F74" s="630"/>
      <c r="G74" s="80"/>
      <c r="H74" s="637"/>
      <c r="I74" s="637"/>
      <c r="J74" s="637"/>
      <c r="K74" s="637"/>
      <c r="L74" s="638"/>
      <c r="M74" s="639"/>
      <c r="N74" s="1769"/>
      <c r="O74" s="1769"/>
      <c r="P74" s="1773"/>
      <c r="Q74" s="1770"/>
      <c r="R74" s="1771"/>
      <c r="S74" s="1771"/>
      <c r="T74" s="1771"/>
      <c r="U74" s="1771"/>
      <c r="V74" s="1771"/>
      <c r="W74" s="1771"/>
      <c r="X74" s="1771"/>
      <c r="Y74" s="1771"/>
      <c r="Z74" s="1771"/>
      <c r="AA74" s="1771"/>
      <c r="AB74" s="1771"/>
      <c r="AC74" s="1771"/>
    </row>
    <row r="75" spans="1:29" s="1134" customFormat="1" ht="15.75" thickBot="1">
      <c r="A75" s="640"/>
      <c r="B75" s="641"/>
      <c r="C75" s="642"/>
      <c r="D75" s="642"/>
      <c r="E75" s="642"/>
      <c r="F75" s="642"/>
      <c r="G75" s="642"/>
      <c r="H75" s="643"/>
      <c r="I75" s="643"/>
      <c r="J75" s="643"/>
      <c r="K75" s="643"/>
      <c r="L75" s="643"/>
      <c r="M75" s="644"/>
      <c r="N75" s="1769"/>
      <c r="O75" s="1769"/>
      <c r="P75" s="1769"/>
      <c r="Q75" s="1770"/>
      <c r="R75" s="1771"/>
      <c r="S75" s="1771"/>
      <c r="T75" s="1771"/>
      <c r="U75" s="1771"/>
      <c r="V75" s="1771"/>
      <c r="W75" s="1771"/>
      <c r="X75" s="1771"/>
      <c r="Y75" s="1771"/>
      <c r="Z75" s="1771"/>
      <c r="AA75" s="1771"/>
      <c r="AB75" s="1771"/>
      <c r="AC75" s="1771"/>
    </row>
    <row r="76" spans="1:29">
      <c r="A76" s="607" t="s">
        <v>488</v>
      </c>
      <c r="B76" s="608" t="s">
        <v>526</v>
      </c>
      <c r="C76" s="143" t="s">
        <v>527</v>
      </c>
      <c r="D76" s="143" t="s">
        <v>528</v>
      </c>
      <c r="E76" s="143" t="s">
        <v>529</v>
      </c>
      <c r="F76" s="143" t="s">
        <v>530</v>
      </c>
      <c r="G76" s="143" t="s">
        <v>531</v>
      </c>
      <c r="H76" s="645"/>
      <c r="I76" s="645"/>
      <c r="J76" s="645"/>
      <c r="K76" s="646"/>
      <c r="L76" s="647"/>
      <c r="M76" s="648"/>
      <c r="N76" s="1767"/>
      <c r="O76" s="1767"/>
      <c r="P76" s="1774"/>
      <c r="Q76" s="1763"/>
      <c r="R76" s="1742"/>
      <c r="S76" s="1742"/>
      <c r="T76" s="1742"/>
      <c r="U76" s="1742"/>
      <c r="V76" s="1742"/>
      <c r="W76" s="1742"/>
      <c r="X76" s="1742"/>
      <c r="Y76" s="1742"/>
      <c r="Z76" s="1742"/>
      <c r="AA76" s="1742"/>
      <c r="AB76" s="1742"/>
      <c r="AC76" s="1742"/>
    </row>
    <row r="77" spans="1:29" ht="15.75" thickBot="1">
      <c r="A77" s="482"/>
      <c r="B77" s="620"/>
      <c r="C77" s="621">
        <v>100</v>
      </c>
      <c r="D77" s="621">
        <f>C77-$K15</f>
        <v>100</v>
      </c>
      <c r="E77" s="621">
        <f>D77-$K15</f>
        <v>100</v>
      </c>
      <c r="F77" s="621">
        <f>E77-$K15</f>
        <v>100</v>
      </c>
      <c r="G77" s="621">
        <f>F77-$K15</f>
        <v>100</v>
      </c>
      <c r="H77" s="621"/>
      <c r="I77" s="621"/>
      <c r="J77" s="621"/>
      <c r="K77" s="621"/>
      <c r="L77" s="621"/>
      <c r="M77" s="622"/>
      <c r="N77" s="1768"/>
      <c r="O77" s="1768"/>
      <c r="P77" s="1766"/>
      <c r="Q77" s="1763"/>
      <c r="R77" s="1742"/>
      <c r="S77" s="1742"/>
      <c r="T77" s="1742"/>
      <c r="U77" s="1742"/>
      <c r="V77" s="1742"/>
      <c r="W77" s="1742"/>
      <c r="X77" s="1742"/>
      <c r="Y77" s="1742"/>
      <c r="Z77" s="1742"/>
      <c r="AA77" s="1742"/>
      <c r="AB77" s="1742"/>
      <c r="AC77" s="1742"/>
    </row>
    <row r="78" spans="1:29" ht="15.75" thickTop="1">
      <c r="A78" s="482"/>
      <c r="B78" s="615" t="s">
        <v>534</v>
      </c>
      <c r="C78" s="649" t="s">
        <v>527</v>
      </c>
      <c r="D78" s="649" t="s">
        <v>528</v>
      </c>
      <c r="E78" s="649" t="s">
        <v>529</v>
      </c>
      <c r="F78" s="649" t="s">
        <v>530</v>
      </c>
      <c r="G78" s="649" t="s">
        <v>531</v>
      </c>
      <c r="H78" s="616"/>
      <c r="I78" s="616"/>
      <c r="J78" s="616"/>
      <c r="K78" s="617"/>
      <c r="L78" s="618"/>
      <c r="M78" s="619"/>
      <c r="N78" s="1767"/>
      <c r="O78" s="1767"/>
      <c r="P78" s="1766"/>
      <c r="Q78" s="1763"/>
      <c r="R78" s="1742"/>
      <c r="S78" s="1742"/>
      <c r="T78" s="1742"/>
      <c r="U78" s="1742"/>
      <c r="V78" s="1742"/>
      <c r="W78" s="1742"/>
      <c r="X78" s="1742"/>
      <c r="Y78" s="1742"/>
      <c r="Z78" s="1742"/>
      <c r="AA78" s="1742"/>
      <c r="AB78" s="1742"/>
      <c r="AC78" s="1742"/>
    </row>
    <row r="79" spans="1:29" ht="15.75" thickBot="1">
      <c r="A79" s="482"/>
      <c r="B79" s="620"/>
      <c r="C79" s="621">
        <v>100</v>
      </c>
      <c r="D79" s="621">
        <f>C79-$K17</f>
        <v>100</v>
      </c>
      <c r="E79" s="621">
        <f>D79-$K17</f>
        <v>100</v>
      </c>
      <c r="F79" s="621">
        <f>E79-$K17</f>
        <v>100</v>
      </c>
      <c r="G79" s="621">
        <f>F79-$K17</f>
        <v>100</v>
      </c>
      <c r="H79" s="621"/>
      <c r="I79" s="621"/>
      <c r="J79" s="621"/>
      <c r="K79" s="621"/>
      <c r="L79" s="621"/>
      <c r="M79" s="622"/>
      <c r="N79" s="1768"/>
      <c r="O79" s="1768"/>
      <c r="P79" s="1766"/>
      <c r="Q79" s="1763"/>
      <c r="R79" s="1742"/>
      <c r="S79" s="1742"/>
      <c r="T79" s="1742"/>
      <c r="U79" s="1742"/>
      <c r="V79" s="1742"/>
      <c r="W79" s="1742"/>
      <c r="X79" s="1742"/>
      <c r="Y79" s="1742"/>
      <c r="Z79" s="1742"/>
      <c r="AA79" s="1742"/>
      <c r="AB79" s="1742"/>
      <c r="AC79" s="1742"/>
    </row>
    <row r="80" spans="1:29" ht="15.75" thickTop="1">
      <c r="A80" s="482"/>
      <c r="B80" s="1555" t="s">
        <v>1840</v>
      </c>
      <c r="C80" s="649" t="s">
        <v>527</v>
      </c>
      <c r="D80" s="649" t="s">
        <v>528</v>
      </c>
      <c r="E80" s="649" t="s">
        <v>529</v>
      </c>
      <c r="F80" s="649" t="s">
        <v>530</v>
      </c>
      <c r="G80" s="649" t="s">
        <v>531</v>
      </c>
      <c r="H80" s="616"/>
      <c r="I80" s="616"/>
      <c r="J80" s="616"/>
      <c r="K80" s="617"/>
      <c r="L80" s="618"/>
      <c r="M80" s="619"/>
      <c r="N80" s="1767"/>
      <c r="O80" s="1767"/>
      <c r="P80" s="1766"/>
      <c r="Q80" s="1763"/>
      <c r="R80" s="1742"/>
      <c r="S80" s="1742"/>
      <c r="T80" s="1742"/>
      <c r="U80" s="1742"/>
      <c r="V80" s="1742"/>
      <c r="W80" s="1742"/>
      <c r="X80" s="1742"/>
      <c r="Y80" s="1742"/>
      <c r="Z80" s="1742"/>
      <c r="AA80" s="1742"/>
      <c r="AB80" s="1742"/>
      <c r="AC80" s="1742"/>
    </row>
    <row r="81" spans="1:29" ht="15.75" thickBot="1">
      <c r="A81" s="482"/>
      <c r="B81" s="620"/>
      <c r="C81" s="621">
        <v>100</v>
      </c>
      <c r="D81" s="621">
        <f>C81-$K19</f>
        <v>100</v>
      </c>
      <c r="E81" s="621">
        <f>D81-$K19</f>
        <v>100</v>
      </c>
      <c r="F81" s="621">
        <f>E81-$K19</f>
        <v>100</v>
      </c>
      <c r="G81" s="621">
        <f>F81-$K19</f>
        <v>100</v>
      </c>
      <c r="H81" s="621"/>
      <c r="I81" s="621"/>
      <c r="J81" s="621"/>
      <c r="K81" s="621"/>
      <c r="L81" s="621"/>
      <c r="M81" s="622"/>
      <c r="N81" s="1768"/>
      <c r="O81" s="1768"/>
      <c r="P81" s="1766"/>
      <c r="Q81" s="1763"/>
      <c r="R81" s="1742"/>
      <c r="S81" s="1742"/>
      <c r="T81" s="1742"/>
      <c r="U81" s="1742"/>
      <c r="V81" s="1742"/>
      <c r="W81" s="1742"/>
      <c r="X81" s="1742"/>
      <c r="Y81" s="1742"/>
      <c r="Z81" s="1742"/>
      <c r="AA81" s="1742"/>
      <c r="AB81" s="1742"/>
      <c r="AC81" s="1742"/>
    </row>
    <row r="82" spans="1:29" ht="15.75" thickTop="1">
      <c r="A82" s="482"/>
      <c r="B82" s="2056" t="s">
        <v>1841</v>
      </c>
      <c r="C82" s="2057" t="s">
        <v>1842</v>
      </c>
      <c r="D82" s="2057" t="s">
        <v>1843</v>
      </c>
      <c r="E82" s="2057" t="s">
        <v>1844</v>
      </c>
      <c r="F82" s="2057" t="s">
        <v>1845</v>
      </c>
      <c r="G82" s="2057" t="s">
        <v>1846</v>
      </c>
      <c r="H82" s="616"/>
      <c r="I82" s="616"/>
      <c r="J82" s="616"/>
      <c r="K82" s="616"/>
      <c r="L82" s="616"/>
      <c r="M82" s="2060"/>
      <c r="N82" s="1768"/>
      <c r="O82" s="1768"/>
      <c r="P82" s="1766"/>
      <c r="Q82" s="1763"/>
      <c r="R82" s="1742"/>
      <c r="S82" s="1742"/>
      <c r="T82" s="1742"/>
      <c r="U82" s="1742"/>
      <c r="V82" s="1742"/>
      <c r="W82" s="1742"/>
      <c r="X82" s="1742"/>
      <c r="Y82" s="1742"/>
      <c r="Z82" s="1742"/>
      <c r="AA82" s="1742"/>
      <c r="AB82" s="1742"/>
      <c r="AC82" s="1742"/>
    </row>
    <row r="83" spans="1:29" ht="15.75" thickBot="1">
      <c r="A83" s="482"/>
      <c r="B83" s="623"/>
      <c r="C83" s="621">
        <v>100</v>
      </c>
      <c r="D83" s="621">
        <f>C83-$K21</f>
        <v>100</v>
      </c>
      <c r="E83" s="621">
        <f>D83-$K21</f>
        <v>100</v>
      </c>
      <c r="F83" s="621">
        <f>E83-$K21</f>
        <v>100</v>
      </c>
      <c r="G83" s="621">
        <f>F83-$K21</f>
        <v>100</v>
      </c>
      <c r="H83" s="856"/>
      <c r="I83" s="856"/>
      <c r="J83" s="856"/>
      <c r="K83" s="856"/>
      <c r="L83" s="856"/>
      <c r="M83" s="509"/>
      <c r="N83" s="1768"/>
      <c r="O83" s="1768"/>
      <c r="P83" s="1766"/>
      <c r="Q83" s="1763"/>
      <c r="R83" s="1742"/>
      <c r="S83" s="1742"/>
      <c r="T83" s="1742"/>
      <c r="U83" s="1742"/>
      <c r="V83" s="1742"/>
      <c r="W83" s="1742"/>
      <c r="X83" s="1742"/>
      <c r="Y83" s="1742"/>
      <c r="Z83" s="1742"/>
      <c r="AA83" s="1742"/>
      <c r="AB83" s="1742"/>
      <c r="AC83" s="1742"/>
    </row>
    <row r="84" spans="1:29" ht="15.75" thickTop="1">
      <c r="A84" s="482"/>
      <c r="B84" s="615" t="s">
        <v>684</v>
      </c>
      <c r="C84" s="649" t="s">
        <v>527</v>
      </c>
      <c r="D84" s="649" t="s">
        <v>528</v>
      </c>
      <c r="E84" s="649" t="s">
        <v>529</v>
      </c>
      <c r="F84" s="649" t="s">
        <v>530</v>
      </c>
      <c r="G84" s="649" t="s">
        <v>531</v>
      </c>
      <c r="H84" s="616"/>
      <c r="I84" s="616"/>
      <c r="J84" s="616"/>
      <c r="K84" s="617"/>
      <c r="L84" s="618"/>
      <c r="M84" s="619"/>
      <c r="N84" s="1767"/>
      <c r="O84" s="1767"/>
      <c r="P84" s="1766"/>
      <c r="Q84" s="1763"/>
      <c r="R84" s="1742"/>
      <c r="S84" s="1742"/>
      <c r="T84" s="1742"/>
      <c r="U84" s="1742"/>
      <c r="V84" s="1742"/>
      <c r="W84" s="1742"/>
      <c r="X84" s="1742"/>
      <c r="Y84" s="1742"/>
      <c r="Z84" s="1742"/>
      <c r="AA84" s="1742"/>
      <c r="AB84" s="1742"/>
      <c r="AC84" s="1742"/>
    </row>
    <row r="85" spans="1:29" ht="15.75" thickBot="1">
      <c r="A85" s="482"/>
      <c r="B85" s="620"/>
      <c r="C85" s="621">
        <v>100</v>
      </c>
      <c r="D85" s="621">
        <f>C85-$K23</f>
        <v>100</v>
      </c>
      <c r="E85" s="621">
        <f>D85-$K23</f>
        <v>100</v>
      </c>
      <c r="F85" s="621">
        <f>E85-$K23</f>
        <v>100</v>
      </c>
      <c r="G85" s="621">
        <f>F85-$K23</f>
        <v>100</v>
      </c>
      <c r="H85" s="621"/>
      <c r="I85" s="621"/>
      <c r="J85" s="621"/>
      <c r="K85" s="621"/>
      <c r="L85" s="621"/>
      <c r="M85" s="622"/>
      <c r="N85" s="1768"/>
      <c r="O85" s="1768"/>
      <c r="P85" s="1766"/>
      <c r="Q85" s="1763"/>
      <c r="R85" s="1742"/>
      <c r="S85" s="1742"/>
      <c r="T85" s="1742"/>
      <c r="U85" s="1742"/>
      <c r="V85" s="1742"/>
      <c r="W85" s="1742"/>
      <c r="X85" s="1742"/>
      <c r="Y85" s="1742"/>
      <c r="Z85" s="1742"/>
      <c r="AA85" s="1742"/>
      <c r="AB85" s="1742"/>
      <c r="AC85" s="1742"/>
    </row>
    <row r="86" spans="1:29" s="1060" customFormat="1" ht="15.75" thickTop="1">
      <c r="A86" s="486"/>
      <c r="B86" s="1555" t="s">
        <v>1616</v>
      </c>
      <c r="C86" s="630"/>
      <c r="D86" s="630"/>
      <c r="E86" s="630"/>
      <c r="F86" s="630"/>
      <c r="G86" s="630"/>
      <c r="H86" s="630"/>
      <c r="I86" s="630"/>
      <c r="J86" s="630"/>
      <c r="K86" s="630"/>
      <c r="L86" s="815"/>
      <c r="M86" s="816"/>
      <c r="N86" s="1766"/>
      <c r="O86" s="1766"/>
      <c r="P86" s="1766"/>
      <c r="Q86" s="1763"/>
      <c r="R86" s="1640"/>
      <c r="S86" s="1640"/>
      <c r="T86" s="1640"/>
      <c r="U86" s="1640"/>
      <c r="V86" s="1640"/>
      <c r="W86" s="1640"/>
      <c r="X86" s="1640"/>
      <c r="Y86" s="1640"/>
      <c r="Z86" s="1640"/>
      <c r="AA86" s="1640"/>
      <c r="AB86" s="1640"/>
      <c r="AC86" s="1640"/>
    </row>
    <row r="87" spans="1:29" s="1060" customFormat="1" ht="15.75" thickBot="1">
      <c r="A87" s="486"/>
      <c r="B87" s="620"/>
      <c r="C87" s="652">
        <v>100</v>
      </c>
      <c r="D87" s="621">
        <f>$C$87-($C$86-D86)*$K$25</f>
        <v>100</v>
      </c>
      <c r="E87" s="621">
        <f t="shared" ref="E87:M87" si="16">$C$87-($C$86-E86)*$K$25</f>
        <v>100</v>
      </c>
      <c r="F87" s="621">
        <f t="shared" si="16"/>
        <v>100</v>
      </c>
      <c r="G87" s="621">
        <f t="shared" si="16"/>
        <v>100</v>
      </c>
      <c r="H87" s="621">
        <f t="shared" si="16"/>
        <v>100</v>
      </c>
      <c r="I87" s="621">
        <f t="shared" si="16"/>
        <v>100</v>
      </c>
      <c r="J87" s="621">
        <f t="shared" si="16"/>
        <v>100</v>
      </c>
      <c r="K87" s="621">
        <f t="shared" si="16"/>
        <v>100</v>
      </c>
      <c r="L87" s="621">
        <f t="shared" si="16"/>
        <v>100</v>
      </c>
      <c r="M87" s="621">
        <f t="shared" si="16"/>
        <v>100</v>
      </c>
      <c r="N87" s="1768"/>
      <c r="O87" s="1768"/>
      <c r="P87" s="1766"/>
      <c r="Q87" s="1763"/>
      <c r="R87" s="1640"/>
      <c r="S87" s="1640"/>
      <c r="T87" s="1640"/>
      <c r="U87" s="1640"/>
      <c r="V87" s="1640"/>
      <c r="W87" s="1640"/>
      <c r="X87" s="1640"/>
      <c r="Y87" s="1640"/>
      <c r="Z87" s="1640"/>
      <c r="AA87" s="1640"/>
      <c r="AB87" s="1640"/>
      <c r="AC87" s="1640"/>
    </row>
    <row r="88" spans="1:29" s="1060" customFormat="1" ht="15.75" thickTop="1">
      <c r="A88" s="486"/>
      <c r="B88" s="615" t="s">
        <v>686</v>
      </c>
      <c r="C88" s="630"/>
      <c r="D88" s="630"/>
      <c r="E88" s="630"/>
      <c r="F88" s="817"/>
      <c r="G88" s="630"/>
      <c r="H88" s="630"/>
      <c r="I88" s="630"/>
      <c r="J88" s="630"/>
      <c r="K88" s="630"/>
      <c r="L88" s="630"/>
      <c r="M88" s="816"/>
      <c r="N88" s="1766"/>
      <c r="O88" s="1766"/>
      <c r="P88" s="1766"/>
      <c r="Q88" s="1763"/>
      <c r="R88" s="1640"/>
      <c r="S88" s="1640"/>
      <c r="T88" s="1640"/>
      <c r="U88" s="1640"/>
      <c r="V88" s="1640"/>
      <c r="W88" s="1640"/>
      <c r="X88" s="1640"/>
      <c r="Y88" s="1640"/>
      <c r="Z88" s="1640"/>
      <c r="AA88" s="1640"/>
      <c r="AB88" s="1640"/>
      <c r="AC88" s="1640"/>
    </row>
    <row r="89" spans="1:29" s="1060" customFormat="1" ht="15.75" thickBot="1">
      <c r="A89" s="486"/>
      <c r="B89" s="620"/>
      <c r="C89" s="652">
        <v>100</v>
      </c>
      <c r="D89" s="621">
        <f t="shared" ref="D89:M89" si="17">C89-$K26</f>
        <v>100</v>
      </c>
      <c r="E89" s="621">
        <f t="shared" si="17"/>
        <v>100</v>
      </c>
      <c r="F89" s="621">
        <f t="shared" si="17"/>
        <v>100</v>
      </c>
      <c r="G89" s="621">
        <f t="shared" si="17"/>
        <v>100</v>
      </c>
      <c r="H89" s="621">
        <f t="shared" si="17"/>
        <v>100</v>
      </c>
      <c r="I89" s="621">
        <f t="shared" si="17"/>
        <v>100</v>
      </c>
      <c r="J89" s="621">
        <f t="shared" si="17"/>
        <v>100</v>
      </c>
      <c r="K89" s="621">
        <f t="shared" si="17"/>
        <v>100</v>
      </c>
      <c r="L89" s="621">
        <f t="shared" si="17"/>
        <v>100</v>
      </c>
      <c r="M89" s="621">
        <f t="shared" si="17"/>
        <v>100</v>
      </c>
      <c r="N89" s="1768"/>
      <c r="O89" s="1768"/>
      <c r="P89" s="1766"/>
      <c r="Q89" s="1763"/>
      <c r="R89" s="1640"/>
      <c r="S89" s="1640"/>
      <c r="T89" s="1640"/>
      <c r="U89" s="1640"/>
      <c r="V89" s="1640"/>
      <c r="W89" s="1640"/>
      <c r="X89" s="1640"/>
      <c r="Y89" s="1640"/>
      <c r="Z89" s="1640"/>
      <c r="AA89" s="1640"/>
      <c r="AB89" s="1640"/>
      <c r="AC89" s="1640"/>
    </row>
    <row r="90" spans="1:29" s="1134" customFormat="1" ht="15.75" thickTop="1">
      <c r="A90" s="629"/>
      <c r="B90" s="615" t="str">
        <f>B27</f>
        <v>道路级别</v>
      </c>
      <c r="C90" s="630"/>
      <c r="D90" s="630"/>
      <c r="E90" s="630"/>
      <c r="F90" s="630"/>
      <c r="G90" s="630"/>
      <c r="H90" s="631"/>
      <c r="I90" s="631"/>
      <c r="J90" s="631"/>
      <c r="K90" s="631"/>
      <c r="L90" s="632"/>
      <c r="M90" s="633"/>
      <c r="N90" s="1769"/>
      <c r="O90" s="1769"/>
      <c r="P90" s="1769"/>
      <c r="Q90" s="1770"/>
      <c r="R90" s="1771"/>
      <c r="S90" s="1771"/>
      <c r="T90" s="1771"/>
      <c r="U90" s="1771"/>
      <c r="V90" s="1771"/>
      <c r="W90" s="1771"/>
      <c r="X90" s="1771"/>
      <c r="Y90" s="1771"/>
      <c r="Z90" s="1771"/>
      <c r="AA90" s="1771"/>
      <c r="AB90" s="1771"/>
      <c r="AC90" s="1771"/>
    </row>
    <row r="91" spans="1:29" s="1134" customFormat="1" ht="15.75" thickBot="1">
      <c r="A91" s="629"/>
      <c r="B91" s="620"/>
      <c r="C91" s="634"/>
      <c r="D91" s="634"/>
      <c r="E91" s="634"/>
      <c r="F91" s="634"/>
      <c r="G91" s="634"/>
      <c r="H91" s="635"/>
      <c r="I91" s="635"/>
      <c r="J91" s="635"/>
      <c r="K91" s="635"/>
      <c r="L91" s="635"/>
      <c r="M91" s="636"/>
      <c r="N91" s="1769"/>
      <c r="O91" s="1769"/>
      <c r="P91" s="1769"/>
      <c r="Q91" s="1770"/>
      <c r="R91" s="1771"/>
      <c r="S91" s="1771"/>
      <c r="T91" s="1771"/>
      <c r="U91" s="1771"/>
      <c r="V91" s="1771"/>
      <c r="W91" s="1771"/>
      <c r="X91" s="1771"/>
      <c r="Y91" s="1771"/>
      <c r="Z91" s="1771"/>
      <c r="AA91" s="1771"/>
      <c r="AB91" s="1771"/>
      <c r="AC91" s="1771"/>
    </row>
    <row r="92" spans="1:29" ht="15.75" thickTop="1">
      <c r="A92" s="482"/>
      <c r="B92" s="615">
        <f>B28</f>
        <v>111</v>
      </c>
      <c r="C92" s="630"/>
      <c r="D92" s="630"/>
      <c r="E92" s="630"/>
      <c r="F92" s="630"/>
      <c r="G92" s="658"/>
      <c r="H92" s="658"/>
      <c r="I92" s="658"/>
      <c r="J92" s="658"/>
      <c r="K92" s="659"/>
      <c r="L92" s="660"/>
      <c r="M92" s="661"/>
      <c r="N92" s="1767"/>
      <c r="O92" s="1767"/>
      <c r="P92" s="1766"/>
      <c r="Q92" s="1763"/>
      <c r="R92" s="1742"/>
      <c r="S92" s="1742"/>
      <c r="T92" s="1742"/>
      <c r="U92" s="1742"/>
      <c r="V92" s="1742"/>
      <c r="W92" s="1742"/>
      <c r="X92" s="1742"/>
      <c r="Y92" s="1742"/>
      <c r="Z92" s="1742"/>
      <c r="AA92" s="1742"/>
      <c r="AB92" s="1742"/>
      <c r="AC92" s="1742"/>
    </row>
    <row r="93" spans="1:29" ht="15.75" thickBot="1">
      <c r="A93" s="482"/>
      <c r="B93" s="620"/>
      <c r="C93" s="634"/>
      <c r="D93" s="613"/>
      <c r="E93" s="613"/>
      <c r="F93" s="613"/>
      <c r="G93" s="613"/>
      <c r="H93" s="613"/>
      <c r="I93" s="613"/>
      <c r="J93" s="613"/>
      <c r="K93" s="613"/>
      <c r="L93" s="613"/>
      <c r="M93" s="614"/>
      <c r="N93" s="1768"/>
      <c r="O93" s="1768"/>
      <c r="P93" s="1766"/>
      <c r="Q93" s="1763"/>
      <c r="R93" s="1742"/>
      <c r="S93" s="1742"/>
      <c r="T93" s="1742"/>
      <c r="U93" s="1742"/>
      <c r="V93" s="1742"/>
      <c r="W93" s="1742"/>
      <c r="X93" s="1742"/>
      <c r="Y93" s="1742"/>
      <c r="Z93" s="1742"/>
      <c r="AA93" s="1742"/>
      <c r="AB93" s="1742"/>
      <c r="AC93" s="1742"/>
    </row>
    <row r="94" spans="1:29" ht="15.75" thickTop="1">
      <c r="A94" s="482"/>
      <c r="B94" s="615">
        <f>B29</f>
        <v>111</v>
      </c>
      <c r="C94" s="630"/>
      <c r="D94" s="630"/>
      <c r="E94" s="630"/>
      <c r="F94" s="630"/>
      <c r="G94" s="658"/>
      <c r="H94" s="658"/>
      <c r="I94" s="658"/>
      <c r="J94" s="658"/>
      <c r="K94" s="659"/>
      <c r="L94" s="660"/>
      <c r="M94" s="661"/>
      <c r="N94" s="1767"/>
      <c r="O94" s="1767"/>
      <c r="P94" s="1766"/>
      <c r="Q94" s="1763"/>
      <c r="R94" s="1742"/>
      <c r="S94" s="1742"/>
      <c r="T94" s="1742"/>
      <c r="U94" s="1742"/>
      <c r="V94" s="1742"/>
      <c r="W94" s="1742"/>
      <c r="X94" s="1742"/>
      <c r="Y94" s="1742"/>
      <c r="Z94" s="1742"/>
      <c r="AA94" s="1742"/>
      <c r="AB94" s="1742"/>
      <c r="AC94" s="1742"/>
    </row>
    <row r="95" spans="1:29" ht="15.75" thickBot="1">
      <c r="A95" s="482"/>
      <c r="B95" s="620"/>
      <c r="C95" s="634"/>
      <c r="D95" s="634"/>
      <c r="E95" s="634"/>
      <c r="F95" s="634"/>
      <c r="G95" s="613"/>
      <c r="H95" s="613"/>
      <c r="I95" s="613"/>
      <c r="J95" s="613"/>
      <c r="K95" s="613"/>
      <c r="L95" s="613"/>
      <c r="M95" s="614"/>
      <c r="N95" s="1768"/>
      <c r="O95" s="1768"/>
      <c r="P95" s="1766"/>
      <c r="Q95" s="1763"/>
      <c r="R95" s="1742"/>
      <c r="S95" s="1742"/>
      <c r="T95" s="1742"/>
      <c r="U95" s="1742"/>
      <c r="V95" s="1742"/>
      <c r="W95" s="1742"/>
      <c r="X95" s="1742"/>
      <c r="Y95" s="1742"/>
      <c r="Z95" s="1742"/>
      <c r="AA95" s="1742"/>
      <c r="AB95" s="1742"/>
      <c r="AC95" s="1742"/>
    </row>
    <row r="96" spans="1:29" ht="15.75" thickTop="1">
      <c r="A96" s="482"/>
      <c r="B96" s="615">
        <f>B30</f>
        <v>111</v>
      </c>
      <c r="C96" s="630"/>
      <c r="D96" s="630"/>
      <c r="E96" s="630"/>
      <c r="F96" s="630"/>
      <c r="G96" s="658"/>
      <c r="H96" s="658"/>
      <c r="I96" s="658"/>
      <c r="J96" s="658"/>
      <c r="K96" s="659"/>
      <c r="L96" s="660"/>
      <c r="M96" s="661"/>
      <c r="N96" s="1767"/>
      <c r="O96" s="1767"/>
      <c r="P96" s="1766"/>
      <c r="Q96" s="1763"/>
      <c r="R96" s="1742"/>
      <c r="S96" s="1742"/>
      <c r="T96" s="1742"/>
      <c r="U96" s="1742"/>
      <c r="V96" s="1742"/>
      <c r="W96" s="1742"/>
      <c r="X96" s="1742"/>
      <c r="Y96" s="1742"/>
      <c r="Z96" s="1742"/>
      <c r="AA96" s="1742"/>
      <c r="AB96" s="1742"/>
      <c r="AC96" s="1742"/>
    </row>
    <row r="97" spans="1:29" ht="15.75" thickBot="1">
      <c r="A97" s="482"/>
      <c r="B97" s="620"/>
      <c r="C97" s="642"/>
      <c r="D97" s="642"/>
      <c r="E97" s="642"/>
      <c r="F97" s="642"/>
      <c r="G97" s="613"/>
      <c r="H97" s="613"/>
      <c r="I97" s="613"/>
      <c r="J97" s="613"/>
      <c r="K97" s="613"/>
      <c r="L97" s="613"/>
      <c r="M97" s="614"/>
      <c r="N97" s="1768"/>
      <c r="O97" s="1768"/>
      <c r="P97" s="1766"/>
      <c r="Q97" s="1763"/>
      <c r="R97" s="1742"/>
      <c r="S97" s="1742"/>
      <c r="T97" s="1742"/>
      <c r="U97" s="1742"/>
      <c r="V97" s="1742"/>
      <c r="W97" s="1742"/>
      <c r="X97" s="1742"/>
      <c r="Y97" s="1742"/>
      <c r="Z97" s="1742"/>
      <c r="AA97" s="1742"/>
      <c r="AB97" s="1742"/>
      <c r="AC97" s="1742"/>
    </row>
    <row r="98" spans="1:29" ht="15.75" thickTop="1">
      <c r="A98" s="482"/>
      <c r="B98" s="623">
        <f>B31</f>
        <v>111</v>
      </c>
      <c r="C98" s="662"/>
      <c r="D98" s="662"/>
      <c r="E98" s="662"/>
      <c r="F98" s="662"/>
      <c r="G98" s="662"/>
      <c r="H98" s="662"/>
      <c r="I98" s="662"/>
      <c r="J98" s="662"/>
      <c r="K98" s="663"/>
      <c r="L98" s="664"/>
      <c r="M98" s="665"/>
      <c r="N98" s="1767"/>
      <c r="O98" s="1767"/>
      <c r="P98" s="1766"/>
      <c r="Q98" s="1763"/>
      <c r="R98" s="1742"/>
      <c r="S98" s="1742"/>
      <c r="T98" s="1742"/>
      <c r="U98" s="1742"/>
      <c r="V98" s="1742"/>
      <c r="W98" s="1742"/>
      <c r="X98" s="1742"/>
      <c r="Y98" s="1742"/>
      <c r="Z98" s="1742"/>
      <c r="AA98" s="1742"/>
      <c r="AB98" s="1742"/>
      <c r="AC98" s="1742"/>
    </row>
    <row r="99" spans="1:29" ht="15.75" thickBot="1">
      <c r="A99" s="493"/>
      <c r="B99" s="641"/>
      <c r="C99" s="666"/>
      <c r="D99" s="666"/>
      <c r="E99" s="666"/>
      <c r="F99" s="666"/>
      <c r="G99" s="666"/>
      <c r="H99" s="666"/>
      <c r="I99" s="666"/>
      <c r="J99" s="666"/>
      <c r="K99" s="666"/>
      <c r="L99" s="666"/>
      <c r="M99" s="667"/>
      <c r="N99" s="1768"/>
      <c r="O99" s="1768"/>
      <c r="P99" s="1766"/>
      <c r="Q99" s="1763"/>
      <c r="R99" s="1742"/>
      <c r="S99" s="1742"/>
      <c r="T99" s="1742"/>
      <c r="U99" s="1742"/>
      <c r="V99" s="1742"/>
      <c r="W99" s="1742"/>
      <c r="X99" s="1742"/>
      <c r="Y99" s="1742"/>
      <c r="Z99" s="1742"/>
      <c r="AA99" s="1742"/>
      <c r="AB99" s="1742"/>
      <c r="AC99" s="1742"/>
    </row>
    <row r="100" spans="1:29">
      <c r="A100" s="607" t="s">
        <v>500</v>
      </c>
      <c r="B100" s="608" t="s">
        <v>687</v>
      </c>
      <c r="C100" s="547"/>
      <c r="D100" s="547"/>
      <c r="E100" s="547"/>
      <c r="F100" s="547"/>
      <c r="G100" s="547"/>
      <c r="H100" s="547"/>
      <c r="I100" s="547"/>
      <c r="J100" s="547"/>
      <c r="K100" s="609"/>
      <c r="L100" s="610"/>
      <c r="M100" s="611"/>
      <c r="N100" s="1767"/>
      <c r="O100" s="1767"/>
      <c r="P100" s="1766"/>
      <c r="Q100" s="1763"/>
      <c r="R100" s="1742"/>
      <c r="S100" s="1742"/>
      <c r="T100" s="1742"/>
      <c r="U100" s="1742"/>
      <c r="V100" s="1742"/>
      <c r="W100" s="1742"/>
      <c r="X100" s="1742"/>
      <c r="Y100" s="1742"/>
      <c r="Z100" s="1742"/>
      <c r="AA100" s="1742"/>
      <c r="AB100" s="1742"/>
      <c r="AC100" s="1742"/>
    </row>
    <row r="101" spans="1:29" ht="15.75" thickBot="1">
      <c r="A101" s="482"/>
      <c r="B101" s="620"/>
      <c r="C101" s="621">
        <v>100</v>
      </c>
      <c r="D101" s="621">
        <f t="shared" ref="D101:M101" si="18">C101-$K32</f>
        <v>100</v>
      </c>
      <c r="E101" s="621">
        <f t="shared" si="18"/>
        <v>100</v>
      </c>
      <c r="F101" s="621">
        <f t="shared" si="18"/>
        <v>100</v>
      </c>
      <c r="G101" s="621">
        <f t="shared" si="18"/>
        <v>100</v>
      </c>
      <c r="H101" s="621">
        <f t="shared" si="18"/>
        <v>100</v>
      </c>
      <c r="I101" s="621">
        <f t="shared" si="18"/>
        <v>100</v>
      </c>
      <c r="J101" s="621">
        <f t="shared" si="18"/>
        <v>100</v>
      </c>
      <c r="K101" s="621">
        <f t="shared" si="18"/>
        <v>100</v>
      </c>
      <c r="L101" s="621">
        <f t="shared" si="18"/>
        <v>100</v>
      </c>
      <c r="M101" s="621">
        <f t="shared" si="18"/>
        <v>100</v>
      </c>
      <c r="N101" s="1768"/>
      <c r="O101" s="1768"/>
      <c r="P101" s="1766"/>
      <c r="Q101" s="1763"/>
      <c r="R101" s="1742"/>
      <c r="S101" s="1742"/>
      <c r="T101" s="1742"/>
      <c r="U101" s="1742"/>
      <c r="V101" s="1742"/>
      <c r="W101" s="1742"/>
      <c r="X101" s="1742"/>
      <c r="Y101" s="1742"/>
      <c r="Z101" s="1742"/>
      <c r="AA101" s="1742"/>
      <c r="AB101" s="1742"/>
      <c r="AC101" s="1742"/>
    </row>
    <row r="102" spans="1:29" ht="15.75" thickTop="1">
      <c r="A102" s="482"/>
      <c r="B102" s="615" t="s">
        <v>688</v>
      </c>
      <c r="C102" s="649" t="str">
        <f>C103&amp;"(含)"&amp;"-"&amp;D103</f>
        <v>(含)-</v>
      </c>
      <c r="D102" s="649" t="str">
        <f t="shared" ref="D102:L102" si="19">D103&amp;"(含)"&amp;"-"&amp;E103</f>
        <v>(含)-</v>
      </c>
      <c r="E102" s="649" t="str">
        <f t="shared" si="19"/>
        <v>(含)-</v>
      </c>
      <c r="F102" s="649" t="str">
        <f t="shared" si="19"/>
        <v>(含)-</v>
      </c>
      <c r="G102" s="649" t="str">
        <f t="shared" si="19"/>
        <v>(含)-</v>
      </c>
      <c r="H102" s="649" t="str">
        <f t="shared" si="19"/>
        <v>(含)-</v>
      </c>
      <c r="I102" s="649" t="str">
        <f t="shared" si="19"/>
        <v>(含)-</v>
      </c>
      <c r="J102" s="649" t="str">
        <f t="shared" si="19"/>
        <v>(含)-</v>
      </c>
      <c r="K102" s="649" t="str">
        <f t="shared" si="19"/>
        <v>(含)-</v>
      </c>
      <c r="L102" s="649" t="str">
        <f t="shared" si="19"/>
        <v>(含)-</v>
      </c>
      <c r="M102" s="649" t="str">
        <f>M103&amp;"(含)"&amp;"-"&amp;P103</f>
        <v>(含)-</v>
      </c>
      <c r="N102" s="1766"/>
      <c r="O102" s="1766"/>
      <c r="P102" s="1766"/>
      <c r="Q102" s="1763"/>
      <c r="R102" s="1742"/>
      <c r="S102" s="1742"/>
      <c r="T102" s="1742"/>
      <c r="U102" s="1742"/>
      <c r="V102" s="1742"/>
      <c r="W102" s="1742"/>
      <c r="X102" s="1742"/>
      <c r="Y102" s="1742"/>
      <c r="Z102" s="1742"/>
      <c r="AA102" s="1742"/>
      <c r="AB102" s="1742"/>
      <c r="AC102" s="1742"/>
    </row>
    <row r="103" spans="1:29" s="1134" customFormat="1">
      <c r="A103" s="552"/>
      <c r="B103" s="668"/>
      <c r="C103" s="79"/>
      <c r="D103" s="79"/>
      <c r="E103" s="79"/>
      <c r="F103" s="79"/>
      <c r="G103" s="79"/>
      <c r="H103" s="79"/>
      <c r="I103" s="79"/>
      <c r="J103" s="669"/>
      <c r="K103" s="669"/>
      <c r="L103" s="670"/>
      <c r="M103" s="671"/>
      <c r="N103" s="1769"/>
      <c r="O103" s="1769"/>
      <c r="P103" s="1769"/>
      <c r="Q103" s="1770"/>
      <c r="R103" s="1771"/>
      <c r="S103" s="1771"/>
      <c r="T103" s="1771"/>
      <c r="U103" s="1771"/>
      <c r="V103" s="1771"/>
      <c r="W103" s="1771"/>
      <c r="X103" s="1771"/>
      <c r="Y103" s="1771"/>
      <c r="Z103" s="1771"/>
      <c r="AA103" s="1771"/>
      <c r="AB103" s="1771"/>
      <c r="AC103" s="1771"/>
    </row>
    <row r="104" spans="1:29" s="1134" customFormat="1" ht="15.75" thickBot="1">
      <c r="A104" s="629"/>
      <c r="B104" s="620"/>
      <c r="C104" s="634"/>
      <c r="D104" s="613"/>
      <c r="E104" s="613"/>
      <c r="F104" s="613"/>
      <c r="G104" s="613"/>
      <c r="H104" s="613"/>
      <c r="I104" s="613"/>
      <c r="J104" s="613"/>
      <c r="K104" s="613"/>
      <c r="L104" s="613"/>
      <c r="M104" s="613"/>
      <c r="N104" s="1768"/>
      <c r="O104" s="1768"/>
      <c r="P104" s="1769"/>
      <c r="Q104" s="1770"/>
      <c r="R104" s="1771"/>
      <c r="S104" s="1771"/>
      <c r="T104" s="1771"/>
      <c r="U104" s="1771"/>
      <c r="V104" s="1771"/>
      <c r="W104" s="1771"/>
      <c r="X104" s="1771"/>
      <c r="Y104" s="1771"/>
      <c r="Z104" s="1771"/>
      <c r="AA104" s="1771"/>
      <c r="AB104" s="1771"/>
      <c r="AC104" s="1771"/>
    </row>
    <row r="105" spans="1:29" ht="15" thickTop="1">
      <c r="A105" s="543"/>
      <c r="B105" s="615" t="s">
        <v>689</v>
      </c>
      <c r="C105" s="630"/>
      <c r="D105" s="630"/>
      <c r="E105" s="658"/>
      <c r="F105" s="658"/>
      <c r="G105" s="658"/>
      <c r="H105" s="658"/>
      <c r="I105" s="658"/>
      <c r="J105" s="658"/>
      <c r="K105" s="659"/>
      <c r="L105" s="660"/>
      <c r="M105" s="661"/>
      <c r="N105" s="1767"/>
      <c r="O105" s="1767"/>
      <c r="P105" s="1766"/>
      <c r="Q105" s="1763"/>
      <c r="R105" s="1742"/>
      <c r="S105" s="1742"/>
      <c r="T105" s="1742"/>
      <c r="U105" s="1742"/>
      <c r="V105" s="1742"/>
      <c r="W105" s="1742"/>
      <c r="X105" s="1742"/>
      <c r="Y105" s="1742"/>
      <c r="Z105" s="1742"/>
      <c r="AA105" s="1742"/>
      <c r="AB105" s="1742"/>
      <c r="AC105" s="1742"/>
    </row>
    <row r="106" spans="1:29" ht="15.75" thickBot="1">
      <c r="A106" s="482"/>
      <c r="B106" s="620"/>
      <c r="C106" s="621">
        <v>100</v>
      </c>
      <c r="D106" s="621">
        <f t="shared" ref="D106:M106" si="20">C106-$K34</f>
        <v>100</v>
      </c>
      <c r="E106" s="621">
        <f t="shared" si="20"/>
        <v>100</v>
      </c>
      <c r="F106" s="621">
        <f t="shared" si="20"/>
        <v>100</v>
      </c>
      <c r="G106" s="621">
        <f t="shared" si="20"/>
        <v>100</v>
      </c>
      <c r="H106" s="621">
        <f t="shared" si="20"/>
        <v>100</v>
      </c>
      <c r="I106" s="621">
        <f t="shared" si="20"/>
        <v>100</v>
      </c>
      <c r="J106" s="621">
        <f t="shared" si="20"/>
        <v>100</v>
      </c>
      <c r="K106" s="621">
        <f t="shared" si="20"/>
        <v>100</v>
      </c>
      <c r="L106" s="621">
        <f t="shared" si="20"/>
        <v>100</v>
      </c>
      <c r="M106" s="621">
        <f t="shared" si="20"/>
        <v>100</v>
      </c>
      <c r="N106" s="1768"/>
      <c r="O106" s="1768"/>
      <c r="P106" s="1766"/>
      <c r="Q106" s="1763"/>
      <c r="R106" s="1742"/>
      <c r="S106" s="1742"/>
      <c r="T106" s="1742"/>
      <c r="U106" s="1742"/>
      <c r="V106" s="1742"/>
      <c r="W106" s="1742"/>
      <c r="X106" s="1742"/>
      <c r="Y106" s="1742"/>
      <c r="Z106" s="1742"/>
      <c r="AA106" s="1742"/>
      <c r="AB106" s="1742"/>
      <c r="AC106" s="1742"/>
    </row>
    <row r="107" spans="1:29" ht="15" thickTop="1">
      <c r="A107" s="543"/>
      <c r="B107" s="615" t="s">
        <v>690</v>
      </c>
      <c r="C107" s="658"/>
      <c r="D107" s="658"/>
      <c r="E107" s="658"/>
      <c r="F107" s="658"/>
      <c r="G107" s="658"/>
      <c r="H107" s="658"/>
      <c r="I107" s="658"/>
      <c r="J107" s="658"/>
      <c r="K107" s="659"/>
      <c r="L107" s="660"/>
      <c r="M107" s="661"/>
      <c r="N107" s="1767"/>
      <c r="O107" s="1767"/>
      <c r="P107" s="1766"/>
      <c r="Q107" s="1763"/>
      <c r="R107" s="1742"/>
      <c r="S107" s="1742"/>
      <c r="T107" s="1742"/>
      <c r="U107" s="1742"/>
      <c r="V107" s="1742"/>
      <c r="W107" s="1742"/>
      <c r="X107" s="1742"/>
      <c r="Y107" s="1742"/>
      <c r="Z107" s="1742"/>
      <c r="AA107" s="1742"/>
      <c r="AB107" s="1742"/>
      <c r="AC107" s="1742"/>
    </row>
    <row r="108" spans="1:29" ht="15.75" thickBot="1">
      <c r="A108" s="482"/>
      <c r="B108" s="620"/>
      <c r="C108" s="621">
        <v>100</v>
      </c>
      <c r="D108" s="621">
        <f t="shared" ref="D108:M108" si="21">C108-$K35</f>
        <v>100</v>
      </c>
      <c r="E108" s="621">
        <f t="shared" si="21"/>
        <v>100</v>
      </c>
      <c r="F108" s="621">
        <f t="shared" si="21"/>
        <v>100</v>
      </c>
      <c r="G108" s="621">
        <f t="shared" si="21"/>
        <v>100</v>
      </c>
      <c r="H108" s="621">
        <f t="shared" si="21"/>
        <v>100</v>
      </c>
      <c r="I108" s="621">
        <f t="shared" si="21"/>
        <v>100</v>
      </c>
      <c r="J108" s="621">
        <f t="shared" si="21"/>
        <v>100</v>
      </c>
      <c r="K108" s="621">
        <f t="shared" si="21"/>
        <v>100</v>
      </c>
      <c r="L108" s="621">
        <f t="shared" si="21"/>
        <v>100</v>
      </c>
      <c r="M108" s="621">
        <f t="shared" si="21"/>
        <v>100</v>
      </c>
      <c r="N108" s="1768"/>
      <c r="O108" s="1768"/>
      <c r="P108" s="1766"/>
      <c r="Q108" s="1763"/>
      <c r="R108" s="1742"/>
      <c r="S108" s="1742"/>
      <c r="T108" s="1742"/>
      <c r="U108" s="1742"/>
      <c r="V108" s="1742"/>
      <c r="W108" s="1742"/>
      <c r="X108" s="1742"/>
      <c r="Y108" s="1742"/>
      <c r="Z108" s="1742"/>
      <c r="AA108" s="1742"/>
      <c r="AB108" s="1742"/>
      <c r="AC108" s="1742"/>
    </row>
    <row r="109" spans="1:29" ht="15" thickTop="1">
      <c r="A109" s="543"/>
      <c r="B109" s="615" t="s">
        <v>691</v>
      </c>
      <c r="C109" s="630"/>
      <c r="D109" s="630"/>
      <c r="E109" s="630"/>
      <c r="F109" s="658"/>
      <c r="G109" s="658"/>
      <c r="H109" s="658"/>
      <c r="I109" s="658"/>
      <c r="J109" s="658"/>
      <c r="K109" s="659"/>
      <c r="L109" s="660"/>
      <c r="M109" s="661"/>
      <c r="N109" s="1767"/>
      <c r="O109" s="1767"/>
      <c r="P109" s="1766"/>
      <c r="Q109" s="1763"/>
      <c r="R109" s="1742"/>
      <c r="S109" s="1742"/>
      <c r="T109" s="1742"/>
      <c r="U109" s="1742"/>
      <c r="V109" s="1742"/>
      <c r="W109" s="1742"/>
      <c r="X109" s="1742"/>
      <c r="Y109" s="1742"/>
      <c r="Z109" s="1742"/>
      <c r="AA109" s="1742"/>
      <c r="AB109" s="1742"/>
      <c r="AC109" s="1742"/>
    </row>
    <row r="110" spans="1:29" ht="15.75" thickBot="1">
      <c r="A110" s="482"/>
      <c r="B110" s="620"/>
      <c r="C110" s="621">
        <v>100</v>
      </c>
      <c r="D110" s="621">
        <f t="shared" ref="D110:M110" si="22">C110-$K36</f>
        <v>100</v>
      </c>
      <c r="E110" s="621">
        <f t="shared" si="22"/>
        <v>100</v>
      </c>
      <c r="F110" s="621">
        <f t="shared" si="22"/>
        <v>100</v>
      </c>
      <c r="G110" s="621">
        <f t="shared" si="22"/>
        <v>100</v>
      </c>
      <c r="H110" s="621">
        <f t="shared" si="22"/>
        <v>100</v>
      </c>
      <c r="I110" s="621">
        <f t="shared" si="22"/>
        <v>100</v>
      </c>
      <c r="J110" s="621">
        <f t="shared" si="22"/>
        <v>100</v>
      </c>
      <c r="K110" s="621">
        <f t="shared" si="22"/>
        <v>100</v>
      </c>
      <c r="L110" s="621">
        <f t="shared" si="22"/>
        <v>100</v>
      </c>
      <c r="M110" s="621">
        <f t="shared" si="22"/>
        <v>100</v>
      </c>
      <c r="N110" s="1768"/>
      <c r="O110" s="1768"/>
      <c r="P110" s="1766"/>
      <c r="Q110" s="1763"/>
      <c r="R110" s="1742"/>
      <c r="S110" s="1742"/>
      <c r="T110" s="1742"/>
      <c r="U110" s="1742"/>
      <c r="V110" s="1742"/>
      <c r="W110" s="1742"/>
      <c r="X110" s="1742"/>
      <c r="Y110" s="1742"/>
      <c r="Z110" s="1742"/>
      <c r="AA110" s="1742"/>
      <c r="AB110" s="1742"/>
      <c r="AC110" s="1742"/>
    </row>
    <row r="111" spans="1:29" s="1134" customFormat="1" ht="15" thickTop="1">
      <c r="A111" s="552"/>
      <c r="B111" s="615" t="s">
        <v>692</v>
      </c>
      <c r="C111" s="649" t="str">
        <f>C112&amp;"(含)"&amp;"-"&amp;D112</f>
        <v>0.5(含)-0.6</v>
      </c>
      <c r="D111" s="649" t="str">
        <f>D112&amp;"(含)"&amp;"-"&amp;E112</f>
        <v>0.6(含)-0.7</v>
      </c>
      <c r="E111" s="649" t="str">
        <f>E112&amp;"(含)"&amp;"-"&amp;F112</f>
        <v>0.7(含)-0.8</v>
      </c>
      <c r="F111" s="649" t="str">
        <f>F112&amp;"(含)"&amp;"-"&amp;G112</f>
        <v>0.8(含)-0.9</v>
      </c>
      <c r="G111" s="649" t="str">
        <f>G112&amp;"(含)"&amp;"-"&amp;ROUND(H112,0)</f>
        <v>0.9(含)-1</v>
      </c>
      <c r="H111" s="649" t="str">
        <f>ROUND(H112,0)&amp;"(含)"&amp;"-"&amp;I112</f>
        <v>1(含)-</v>
      </c>
      <c r="I111" s="649"/>
      <c r="J111" s="653"/>
      <c r="K111" s="653"/>
      <c r="L111" s="654"/>
      <c r="M111" s="655"/>
      <c r="N111" s="1769"/>
      <c r="O111" s="1769"/>
      <c r="P111" s="1769"/>
      <c r="Q111" s="1770"/>
      <c r="R111" s="1771"/>
      <c r="S111" s="1771"/>
      <c r="T111" s="1771"/>
      <c r="U111" s="1771"/>
      <c r="V111" s="1771"/>
      <c r="W111" s="1771"/>
      <c r="X111" s="1771"/>
      <c r="Y111" s="1771"/>
      <c r="Z111" s="1771"/>
      <c r="AA111" s="1771"/>
      <c r="AB111" s="1771"/>
      <c r="AC111" s="1771"/>
    </row>
    <row r="112" spans="1:29" s="1134" customFormat="1">
      <c r="A112" s="552"/>
      <c r="B112" s="623"/>
      <c r="C112" s="818">
        <v>0.5</v>
      </c>
      <c r="D112" s="818">
        <v>0.6</v>
      </c>
      <c r="E112" s="818">
        <v>0.7</v>
      </c>
      <c r="F112" s="818">
        <v>0.8</v>
      </c>
      <c r="G112" s="818">
        <v>0.9</v>
      </c>
      <c r="H112" s="818">
        <v>1.0001</v>
      </c>
      <c r="I112" s="818"/>
      <c r="J112" s="819"/>
      <c r="K112" s="819"/>
      <c r="L112" s="820"/>
      <c r="M112" s="821"/>
      <c r="N112" s="1769"/>
      <c r="O112" s="1769"/>
      <c r="P112" s="1769"/>
      <c r="Q112" s="1770"/>
      <c r="R112" s="1771"/>
      <c r="S112" s="1771"/>
      <c r="T112" s="1771"/>
      <c r="U112" s="1771"/>
      <c r="V112" s="1771"/>
      <c r="W112" s="1771"/>
      <c r="X112" s="1771"/>
      <c r="Y112" s="1771"/>
      <c r="Z112" s="1771"/>
      <c r="AA112" s="1771"/>
      <c r="AB112" s="1771"/>
      <c r="AC112" s="1771"/>
    </row>
    <row r="113" spans="1:29" s="1134" customFormat="1" ht="15.75" thickBot="1">
      <c r="A113" s="629"/>
      <c r="B113" s="620"/>
      <c r="C113" s="652">
        <v>100</v>
      </c>
      <c r="D113" s="621">
        <f>C113+$K37</f>
        <v>100</v>
      </c>
      <c r="E113" s="621">
        <f>D113+$K37</f>
        <v>100</v>
      </c>
      <c r="F113" s="621">
        <f>E113+$K37</f>
        <v>100</v>
      </c>
      <c r="G113" s="621">
        <f>F113+$K37</f>
        <v>100</v>
      </c>
      <c r="H113" s="621">
        <f>G113+$K37</f>
        <v>100</v>
      </c>
      <c r="I113" s="652"/>
      <c r="J113" s="656"/>
      <c r="K113" s="656"/>
      <c r="L113" s="656"/>
      <c r="M113" s="657"/>
      <c r="N113" s="1769"/>
      <c r="O113" s="1769"/>
      <c r="P113" s="1769"/>
      <c r="Q113" s="1770"/>
      <c r="R113" s="1771"/>
      <c r="S113" s="1771"/>
      <c r="T113" s="1771"/>
      <c r="U113" s="1771"/>
      <c r="V113" s="1771"/>
      <c r="W113" s="1771"/>
      <c r="X113" s="1771"/>
      <c r="Y113" s="1771"/>
      <c r="Z113" s="1771"/>
      <c r="AA113" s="1771"/>
      <c r="AB113" s="1771"/>
      <c r="AC113" s="1771"/>
    </row>
    <row r="114" spans="1:29" ht="15" thickTop="1">
      <c r="A114" s="543"/>
      <c r="B114" s="615" t="s">
        <v>693</v>
      </c>
      <c r="C114" s="630"/>
      <c r="D114" s="630"/>
      <c r="E114" s="658"/>
      <c r="F114" s="658"/>
      <c r="G114" s="658"/>
      <c r="H114" s="658"/>
      <c r="I114" s="658"/>
      <c r="J114" s="658"/>
      <c r="K114" s="659"/>
      <c r="L114" s="660"/>
      <c r="M114" s="661"/>
      <c r="N114" s="1767"/>
      <c r="O114" s="1767"/>
      <c r="P114" s="1766"/>
      <c r="Q114" s="1763"/>
      <c r="R114" s="1742"/>
      <c r="S114" s="1742"/>
      <c r="T114" s="1742"/>
      <c r="U114" s="1742"/>
      <c r="V114" s="1742"/>
      <c r="W114" s="1742"/>
      <c r="X114" s="1742"/>
      <c r="Y114" s="1742"/>
      <c r="Z114" s="1742"/>
      <c r="AA114" s="1742"/>
      <c r="AB114" s="1742"/>
      <c r="AC114" s="1742"/>
    </row>
    <row r="115" spans="1:29" ht="15.75" thickBot="1">
      <c r="A115" s="482"/>
      <c r="B115" s="620"/>
      <c r="C115" s="621">
        <v>100</v>
      </c>
      <c r="D115" s="621">
        <f t="shared" ref="D115:M115" si="23">C115-$K38</f>
        <v>100</v>
      </c>
      <c r="E115" s="621">
        <f t="shared" si="23"/>
        <v>100</v>
      </c>
      <c r="F115" s="621">
        <f t="shared" si="23"/>
        <v>100</v>
      </c>
      <c r="G115" s="621">
        <f t="shared" si="23"/>
        <v>100</v>
      </c>
      <c r="H115" s="621">
        <f t="shared" si="23"/>
        <v>100</v>
      </c>
      <c r="I115" s="621">
        <f t="shared" si="23"/>
        <v>100</v>
      </c>
      <c r="J115" s="621">
        <f t="shared" si="23"/>
        <v>100</v>
      </c>
      <c r="K115" s="621">
        <f t="shared" si="23"/>
        <v>100</v>
      </c>
      <c r="L115" s="621">
        <f t="shared" si="23"/>
        <v>100</v>
      </c>
      <c r="M115" s="621">
        <f t="shared" si="23"/>
        <v>100</v>
      </c>
      <c r="N115" s="1768"/>
      <c r="O115" s="1768"/>
      <c r="P115" s="1766"/>
      <c r="Q115" s="1763"/>
      <c r="R115" s="1742"/>
      <c r="S115" s="1742"/>
      <c r="T115" s="1742"/>
      <c r="U115" s="1742"/>
      <c r="V115" s="1742"/>
      <c r="W115" s="1742"/>
      <c r="X115" s="1742"/>
      <c r="Y115" s="1742"/>
      <c r="Z115" s="1742"/>
      <c r="AA115" s="1742"/>
      <c r="AB115" s="1742"/>
      <c r="AC115" s="1742"/>
    </row>
    <row r="116" spans="1:29" ht="15" thickTop="1">
      <c r="A116" s="543"/>
      <c r="B116" s="1555" t="s">
        <v>1839</v>
      </c>
      <c r="C116" s="630"/>
      <c r="D116" s="630"/>
      <c r="E116" s="630"/>
      <c r="F116" s="630"/>
      <c r="G116" s="630"/>
      <c r="H116" s="658"/>
      <c r="I116" s="658"/>
      <c r="J116" s="658"/>
      <c r="K116" s="659"/>
      <c r="L116" s="660"/>
      <c r="M116" s="661"/>
      <c r="N116" s="1767"/>
      <c r="O116" s="1767"/>
      <c r="P116" s="1766"/>
      <c r="Q116" s="1763"/>
      <c r="R116" s="1742"/>
      <c r="S116" s="1742"/>
      <c r="T116" s="1742"/>
      <c r="U116" s="1742"/>
      <c r="V116" s="1742"/>
      <c r="W116" s="1742"/>
      <c r="X116" s="1742"/>
      <c r="Y116" s="1742"/>
      <c r="Z116" s="1742"/>
      <c r="AA116" s="1742"/>
      <c r="AB116" s="1742"/>
      <c r="AC116" s="1742"/>
    </row>
    <row r="117" spans="1:29" ht="15.75" thickBot="1">
      <c r="A117" s="482"/>
      <c r="B117" s="620"/>
      <c r="C117" s="621">
        <v>100</v>
      </c>
      <c r="D117" s="621">
        <f>C117-$K39</f>
        <v>100</v>
      </c>
      <c r="E117" s="621">
        <f>D117-$K39</f>
        <v>100</v>
      </c>
      <c r="F117" s="621">
        <f>E117-$K39</f>
        <v>100</v>
      </c>
      <c r="G117" s="621">
        <f>F117-$K39</f>
        <v>100</v>
      </c>
      <c r="H117" s="621"/>
      <c r="I117" s="621"/>
      <c r="J117" s="621"/>
      <c r="K117" s="621"/>
      <c r="L117" s="621"/>
      <c r="M117" s="622"/>
      <c r="N117" s="1768"/>
      <c r="O117" s="1768"/>
      <c r="P117" s="1766"/>
      <c r="Q117" s="1763"/>
      <c r="R117" s="1742"/>
      <c r="S117" s="1742"/>
      <c r="T117" s="1742"/>
      <c r="U117" s="1742"/>
      <c r="V117" s="1742"/>
      <c r="W117" s="1742"/>
      <c r="X117" s="1742"/>
      <c r="Y117" s="1742"/>
      <c r="Z117" s="1742"/>
      <c r="AA117" s="1742"/>
      <c r="AB117" s="1742"/>
      <c r="AC117" s="1742"/>
    </row>
    <row r="118" spans="1:29" ht="15" thickTop="1">
      <c r="A118" s="543"/>
      <c r="B118" s="615" t="s">
        <v>694</v>
      </c>
      <c r="C118" s="658"/>
      <c r="D118" s="658"/>
      <c r="E118" s="658"/>
      <c r="F118" s="658"/>
      <c r="G118" s="658"/>
      <c r="H118" s="658"/>
      <c r="I118" s="658"/>
      <c r="J118" s="658"/>
      <c r="K118" s="659"/>
      <c r="L118" s="660"/>
      <c r="M118" s="661"/>
      <c r="N118" s="1767"/>
      <c r="O118" s="1767"/>
      <c r="P118" s="1766"/>
      <c r="Q118" s="1763"/>
      <c r="R118" s="1742"/>
      <c r="S118" s="1742"/>
      <c r="T118" s="1742"/>
      <c r="U118" s="1742"/>
      <c r="V118" s="1742"/>
      <c r="W118" s="1742"/>
      <c r="X118" s="1742"/>
      <c r="Y118" s="1742"/>
      <c r="Z118" s="1742"/>
      <c r="AA118" s="1742"/>
      <c r="AB118" s="1742"/>
      <c r="AC118" s="1742"/>
    </row>
    <row r="119" spans="1:29" ht="15.75" thickBot="1">
      <c r="A119" s="482"/>
      <c r="B119" s="620"/>
      <c r="C119" s="621">
        <v>100</v>
      </c>
      <c r="D119" s="621">
        <f t="shared" ref="D119:M119" si="24">C119-$K40</f>
        <v>100</v>
      </c>
      <c r="E119" s="621">
        <f t="shared" si="24"/>
        <v>100</v>
      </c>
      <c r="F119" s="621">
        <f t="shared" si="24"/>
        <v>100</v>
      </c>
      <c r="G119" s="621">
        <f t="shared" si="24"/>
        <v>100</v>
      </c>
      <c r="H119" s="621">
        <f t="shared" si="24"/>
        <v>100</v>
      </c>
      <c r="I119" s="621">
        <f t="shared" si="24"/>
        <v>100</v>
      </c>
      <c r="J119" s="621">
        <f t="shared" si="24"/>
        <v>100</v>
      </c>
      <c r="K119" s="621">
        <f t="shared" si="24"/>
        <v>100</v>
      </c>
      <c r="L119" s="621">
        <f t="shared" si="24"/>
        <v>100</v>
      </c>
      <c r="M119" s="621">
        <f t="shared" si="24"/>
        <v>100</v>
      </c>
      <c r="N119" s="1768"/>
      <c r="O119" s="1768"/>
      <c r="P119" s="1766"/>
      <c r="Q119" s="1763"/>
      <c r="R119" s="1742"/>
      <c r="S119" s="1742"/>
      <c r="T119" s="1742"/>
      <c r="U119" s="1742"/>
      <c r="V119" s="1742"/>
      <c r="W119" s="1742"/>
      <c r="X119" s="1742"/>
      <c r="Y119" s="1742"/>
      <c r="Z119" s="1742"/>
      <c r="AA119" s="1742"/>
      <c r="AB119" s="1742"/>
      <c r="AC119" s="1742"/>
    </row>
    <row r="120" spans="1:29" s="1134" customFormat="1" ht="28.5" thickTop="1">
      <c r="A120" s="552"/>
      <c r="B120" s="615" t="s">
        <v>680</v>
      </c>
      <c r="C120" s="630"/>
      <c r="D120" s="630"/>
      <c r="E120" s="630"/>
      <c r="F120" s="630"/>
      <c r="G120" s="630"/>
      <c r="H120" s="630"/>
      <c r="I120" s="630"/>
      <c r="J120" s="630"/>
      <c r="K120" s="630"/>
      <c r="L120" s="815"/>
      <c r="M120" s="816"/>
      <c r="N120" s="1769"/>
      <c r="O120" s="1769"/>
      <c r="P120" s="1769"/>
      <c r="Q120" s="1770"/>
      <c r="R120" s="1771"/>
      <c r="S120" s="1771"/>
      <c r="T120" s="1771"/>
      <c r="U120" s="1771"/>
      <c r="V120" s="1771"/>
      <c r="W120" s="1771"/>
      <c r="X120" s="1771"/>
      <c r="Y120" s="1771"/>
      <c r="Z120" s="1771"/>
      <c r="AA120" s="1771"/>
      <c r="AB120" s="1771"/>
      <c r="AC120" s="1771"/>
    </row>
    <row r="121" spans="1:29" s="1134" customFormat="1" ht="15.75" thickBot="1">
      <c r="A121" s="629"/>
      <c r="B121" s="612"/>
      <c r="C121" s="634"/>
      <c r="D121" s="613"/>
      <c r="E121" s="613"/>
      <c r="F121" s="613"/>
      <c r="G121" s="613"/>
      <c r="H121" s="613"/>
      <c r="I121" s="613"/>
      <c r="J121" s="613"/>
      <c r="K121" s="613"/>
      <c r="L121" s="613"/>
      <c r="M121" s="613"/>
      <c r="N121" s="1769"/>
      <c r="O121" s="1769"/>
      <c r="P121" s="1769"/>
      <c r="Q121" s="1770"/>
      <c r="R121" s="1771"/>
      <c r="S121" s="1771"/>
      <c r="T121" s="1771"/>
      <c r="U121" s="1771"/>
      <c r="V121" s="1771"/>
      <c r="W121" s="1771"/>
      <c r="X121" s="1771"/>
      <c r="Y121" s="1771"/>
      <c r="Z121" s="1771"/>
      <c r="AA121" s="1771"/>
      <c r="AB121" s="1771"/>
      <c r="AC121" s="1771"/>
    </row>
    <row r="122" spans="1:29" ht="15" thickTop="1">
      <c r="A122" s="543"/>
      <c r="B122" s="615" t="s">
        <v>695</v>
      </c>
      <c r="C122" s="630"/>
      <c r="D122" s="630"/>
      <c r="E122" s="630"/>
      <c r="F122" s="658"/>
      <c r="G122" s="658"/>
      <c r="H122" s="658"/>
      <c r="I122" s="658"/>
      <c r="J122" s="658"/>
      <c r="K122" s="659"/>
      <c r="L122" s="660"/>
      <c r="M122" s="661"/>
      <c r="N122" s="1767"/>
      <c r="O122" s="1767"/>
      <c r="P122" s="1766"/>
      <c r="Q122" s="1763"/>
      <c r="R122" s="1742"/>
      <c r="S122" s="1742"/>
      <c r="T122" s="1742"/>
      <c r="U122" s="1742"/>
      <c r="V122" s="1742"/>
      <c r="W122" s="1742"/>
      <c r="X122" s="1742"/>
      <c r="Y122" s="1742"/>
      <c r="Z122" s="1742"/>
      <c r="AA122" s="1742"/>
      <c r="AB122" s="1742"/>
      <c r="AC122" s="1742"/>
    </row>
    <row r="123" spans="1:29" ht="15.75" thickBot="1">
      <c r="A123" s="482"/>
      <c r="B123" s="620"/>
      <c r="C123" s="621">
        <v>100</v>
      </c>
      <c r="D123" s="621">
        <f t="shared" ref="D123:M123" si="25">C123-$K42</f>
        <v>100</v>
      </c>
      <c r="E123" s="621">
        <f t="shared" si="25"/>
        <v>100</v>
      </c>
      <c r="F123" s="621">
        <f t="shared" si="25"/>
        <v>100</v>
      </c>
      <c r="G123" s="621">
        <f t="shared" si="25"/>
        <v>100</v>
      </c>
      <c r="H123" s="621">
        <f t="shared" si="25"/>
        <v>100</v>
      </c>
      <c r="I123" s="621">
        <f t="shared" si="25"/>
        <v>100</v>
      </c>
      <c r="J123" s="621">
        <f t="shared" si="25"/>
        <v>100</v>
      </c>
      <c r="K123" s="621">
        <f t="shared" si="25"/>
        <v>100</v>
      </c>
      <c r="L123" s="621">
        <f t="shared" si="25"/>
        <v>100</v>
      </c>
      <c r="M123" s="621">
        <f t="shared" si="25"/>
        <v>100</v>
      </c>
      <c r="N123" s="1768"/>
      <c r="O123" s="1768"/>
      <c r="P123" s="1766"/>
      <c r="Q123" s="1763"/>
      <c r="R123" s="1742"/>
      <c r="S123" s="1742"/>
      <c r="T123" s="1742"/>
      <c r="U123" s="1742"/>
      <c r="V123" s="1742"/>
      <c r="W123" s="1742"/>
      <c r="X123" s="1742"/>
      <c r="Y123" s="1742"/>
      <c r="Z123" s="1742"/>
      <c r="AA123" s="1742"/>
      <c r="AB123" s="1742"/>
      <c r="AC123" s="1742"/>
    </row>
    <row r="124" spans="1:29" ht="27.75" thickTop="1">
      <c r="A124" s="543"/>
      <c r="B124" s="615" t="s">
        <v>696</v>
      </c>
      <c r="C124" s="649" t="s">
        <v>527</v>
      </c>
      <c r="D124" s="649" t="s">
        <v>528</v>
      </c>
      <c r="E124" s="649" t="s">
        <v>529</v>
      </c>
      <c r="F124" s="649" t="s">
        <v>530</v>
      </c>
      <c r="G124" s="649" t="s">
        <v>531</v>
      </c>
      <c r="H124" s="616"/>
      <c r="I124" s="616"/>
      <c r="J124" s="616"/>
      <c r="K124" s="617"/>
      <c r="L124" s="618"/>
      <c r="M124" s="619"/>
      <c r="N124" s="1767"/>
      <c r="O124" s="1767"/>
      <c r="P124" s="1769"/>
      <c r="Q124" s="1763"/>
      <c r="R124" s="1742"/>
      <c r="S124" s="1742"/>
      <c r="T124" s="1742"/>
      <c r="U124" s="1742"/>
      <c r="V124" s="1742"/>
      <c r="W124" s="1742"/>
      <c r="X124" s="1742"/>
      <c r="Y124" s="1742"/>
      <c r="Z124" s="1742"/>
      <c r="AA124" s="1742"/>
      <c r="AB124" s="1742"/>
      <c r="AC124" s="1742"/>
    </row>
    <row r="125" spans="1:29" ht="15.75" thickBot="1">
      <c r="A125" s="482"/>
      <c r="B125" s="620"/>
      <c r="C125" s="621">
        <v>100</v>
      </c>
      <c r="D125" s="621">
        <f>C125-$K43</f>
        <v>100</v>
      </c>
      <c r="E125" s="621">
        <f>D125-$K43</f>
        <v>100</v>
      </c>
      <c r="F125" s="621">
        <f>E125-$K43</f>
        <v>100</v>
      </c>
      <c r="G125" s="621">
        <f>F125-$K43</f>
        <v>100</v>
      </c>
      <c r="H125" s="621"/>
      <c r="I125" s="621"/>
      <c r="J125" s="621"/>
      <c r="K125" s="621"/>
      <c r="L125" s="621"/>
      <c r="M125" s="622"/>
      <c r="N125" s="1768"/>
      <c r="O125" s="1768"/>
      <c r="P125" s="1766"/>
      <c r="Q125" s="1763"/>
      <c r="R125" s="1742"/>
      <c r="S125" s="1742"/>
      <c r="T125" s="1742"/>
      <c r="U125" s="1742"/>
      <c r="V125" s="1742"/>
      <c r="W125" s="1742"/>
      <c r="X125" s="1742"/>
      <c r="Y125" s="1742"/>
      <c r="Z125" s="1742"/>
      <c r="AA125" s="1742"/>
      <c r="AB125" s="1742"/>
      <c r="AC125" s="1742"/>
    </row>
    <row r="126" spans="1:29" s="1134" customFormat="1" ht="15" thickTop="1">
      <c r="A126" s="552"/>
      <c r="B126" s="615">
        <f>B44</f>
        <v>111</v>
      </c>
      <c r="C126" s="630"/>
      <c r="D126" s="630"/>
      <c r="E126" s="630"/>
      <c r="F126" s="630"/>
      <c r="G126" s="630"/>
      <c r="H126" s="631"/>
      <c r="I126" s="631"/>
      <c r="J126" s="631"/>
      <c r="K126" s="631"/>
      <c r="L126" s="632"/>
      <c r="M126" s="633"/>
      <c r="N126" s="1769"/>
      <c r="O126" s="1769"/>
      <c r="P126" s="1769"/>
      <c r="Q126" s="1770"/>
      <c r="R126" s="1771"/>
      <c r="S126" s="1771"/>
      <c r="T126" s="1771"/>
      <c r="U126" s="1771"/>
      <c r="V126" s="1771"/>
      <c r="W126" s="1771"/>
      <c r="X126" s="1771"/>
      <c r="Y126" s="1771"/>
      <c r="Z126" s="1771"/>
      <c r="AA126" s="1771"/>
      <c r="AB126" s="1771"/>
      <c r="AC126" s="1771"/>
    </row>
    <row r="127" spans="1:29" s="1134" customFormat="1" ht="15.75" thickBot="1">
      <c r="A127" s="629"/>
      <c r="B127" s="620"/>
      <c r="C127" s="634"/>
      <c r="D127" s="613"/>
      <c r="E127" s="613"/>
      <c r="F127" s="613"/>
      <c r="G127" s="634"/>
      <c r="H127" s="635"/>
      <c r="I127" s="635"/>
      <c r="J127" s="635"/>
      <c r="K127" s="635"/>
      <c r="L127" s="635"/>
      <c r="M127" s="636"/>
      <c r="N127" s="1769"/>
      <c r="O127" s="1769"/>
      <c r="P127" s="1769"/>
      <c r="Q127" s="1770"/>
      <c r="R127" s="1771"/>
      <c r="S127" s="1771"/>
      <c r="T127" s="1771"/>
      <c r="U127" s="1771"/>
      <c r="V127" s="1771"/>
      <c r="W127" s="1771"/>
      <c r="X127" s="1771"/>
      <c r="Y127" s="1771"/>
      <c r="Z127" s="1771"/>
      <c r="AA127" s="1771"/>
      <c r="AB127" s="1771"/>
      <c r="AC127" s="1771"/>
    </row>
    <row r="128" spans="1:29" ht="15" thickTop="1">
      <c r="A128" s="543"/>
      <c r="B128" s="615">
        <f>B45</f>
        <v>111</v>
      </c>
      <c r="C128" s="630"/>
      <c r="D128" s="630"/>
      <c r="E128" s="630"/>
      <c r="F128" s="630"/>
      <c r="G128" s="658"/>
      <c r="H128" s="658"/>
      <c r="I128" s="658"/>
      <c r="J128" s="658"/>
      <c r="K128" s="659"/>
      <c r="L128" s="660"/>
      <c r="M128" s="661"/>
      <c r="N128" s="1767"/>
      <c r="O128" s="1767"/>
      <c r="P128" s="1766"/>
      <c r="Q128" s="1763"/>
      <c r="R128" s="1742"/>
      <c r="S128" s="1742"/>
      <c r="T128" s="1742"/>
      <c r="U128" s="1742"/>
      <c r="V128" s="1742"/>
      <c r="W128" s="1742"/>
      <c r="X128" s="1742"/>
      <c r="Y128" s="1742"/>
      <c r="Z128" s="1742"/>
      <c r="AA128" s="1742"/>
      <c r="AB128" s="1742"/>
      <c r="AC128" s="1742"/>
    </row>
    <row r="129" spans="1:29" ht="15.75" thickBot="1">
      <c r="A129" s="482"/>
      <c r="B129" s="620"/>
      <c r="C129" s="634"/>
      <c r="D129" s="634"/>
      <c r="E129" s="634"/>
      <c r="F129" s="634"/>
      <c r="G129" s="613"/>
      <c r="H129" s="613"/>
      <c r="I129" s="613"/>
      <c r="J129" s="613"/>
      <c r="K129" s="613"/>
      <c r="L129" s="613"/>
      <c r="M129" s="614"/>
      <c r="N129" s="1768"/>
      <c r="O129" s="1768"/>
      <c r="P129" s="1766"/>
      <c r="Q129" s="1763"/>
      <c r="R129" s="1742"/>
      <c r="S129" s="1742"/>
      <c r="T129" s="1742"/>
      <c r="U129" s="1742"/>
      <c r="V129" s="1742"/>
      <c r="W129" s="1742"/>
      <c r="X129" s="1742"/>
      <c r="Y129" s="1742"/>
      <c r="Z129" s="1742"/>
      <c r="AA129" s="1742"/>
      <c r="AB129" s="1742"/>
      <c r="AC129" s="1742"/>
    </row>
    <row r="130" spans="1:29" ht="15" thickTop="1">
      <c r="A130" s="543"/>
      <c r="B130" s="623">
        <f>B46</f>
        <v>111</v>
      </c>
      <c r="C130" s="630"/>
      <c r="D130" s="630"/>
      <c r="E130" s="630"/>
      <c r="F130" s="630"/>
      <c r="G130" s="662"/>
      <c r="H130" s="662"/>
      <c r="I130" s="662"/>
      <c r="J130" s="662"/>
      <c r="K130" s="80"/>
      <c r="L130" s="605"/>
      <c r="M130" s="665"/>
      <c r="N130" s="1767"/>
      <c r="O130" s="1767"/>
      <c r="P130" s="1766"/>
      <c r="Q130" s="1763"/>
      <c r="R130" s="1742"/>
      <c r="S130" s="1742"/>
      <c r="T130" s="1742"/>
      <c r="U130" s="1742"/>
      <c r="V130" s="1742"/>
      <c r="W130" s="1742"/>
      <c r="X130" s="1742"/>
      <c r="Y130" s="1742"/>
      <c r="Z130" s="1742"/>
      <c r="AA130" s="1742"/>
      <c r="AB130" s="1742"/>
      <c r="AC130" s="1742"/>
    </row>
    <row r="131" spans="1:29" ht="15.75" thickBot="1">
      <c r="A131" s="493"/>
      <c r="B131" s="641"/>
      <c r="C131" s="642"/>
      <c r="D131" s="642"/>
      <c r="E131" s="642"/>
      <c r="F131" s="642"/>
      <c r="G131" s="666"/>
      <c r="H131" s="666"/>
      <c r="I131" s="666"/>
      <c r="J131" s="666"/>
      <c r="K131" s="666"/>
      <c r="L131" s="666"/>
      <c r="M131" s="667"/>
      <c r="N131" s="1768"/>
      <c r="O131" s="1768"/>
      <c r="P131" s="1766"/>
      <c r="Q131" s="1763"/>
      <c r="R131" s="1742"/>
      <c r="S131" s="1742"/>
      <c r="T131" s="1742"/>
      <c r="U131" s="1742"/>
      <c r="V131" s="1742"/>
      <c r="W131" s="1742"/>
      <c r="X131" s="1742"/>
      <c r="Y131" s="1742"/>
      <c r="Z131" s="1742"/>
      <c r="AA131" s="1742"/>
      <c r="AB131" s="1742"/>
      <c r="AC131" s="1742"/>
    </row>
    <row r="132" spans="1:29">
      <c r="A132" s="1779"/>
      <c r="B132" s="1779"/>
      <c r="C132" s="1779"/>
      <c r="D132" s="1779"/>
      <c r="E132" s="1779"/>
      <c r="F132" s="1779"/>
      <c r="G132" s="1779"/>
      <c r="H132" s="1779"/>
      <c r="I132" s="1779"/>
      <c r="J132" s="1779"/>
      <c r="K132" s="1780"/>
      <c r="L132" s="1781"/>
      <c r="M132" s="1779"/>
      <c r="N132" s="1779"/>
      <c r="O132" s="1779"/>
      <c r="P132" s="1779"/>
      <c r="Q132" s="1779"/>
      <c r="R132" s="1779"/>
      <c r="S132" s="1779"/>
      <c r="T132" s="1779"/>
      <c r="U132" s="1779"/>
      <c r="V132" s="1779"/>
      <c r="W132" s="1779"/>
      <c r="X132" s="1779"/>
      <c r="Y132" s="1779"/>
      <c r="Z132" s="1779"/>
      <c r="AA132" s="1779"/>
      <c r="AB132" s="1779"/>
      <c r="AC132" s="1779"/>
    </row>
    <row r="133" spans="1:29">
      <c r="A133" s="1779"/>
      <c r="B133" s="1779"/>
      <c r="C133" s="1779"/>
      <c r="D133" s="1779"/>
      <c r="E133" s="1779"/>
      <c r="F133" s="1779"/>
      <c r="G133" s="1779"/>
      <c r="H133" s="1779"/>
      <c r="I133" s="1779"/>
      <c r="J133" s="1779"/>
      <c r="K133" s="1780"/>
      <c r="L133" s="1781"/>
      <c r="M133" s="1779"/>
      <c r="N133" s="1779"/>
      <c r="O133" s="1779"/>
      <c r="P133" s="1779"/>
      <c r="Q133" s="1779"/>
      <c r="R133" s="1779"/>
      <c r="S133" s="1779"/>
      <c r="T133" s="1779"/>
      <c r="U133" s="1779"/>
      <c r="V133" s="1779"/>
      <c r="W133" s="1779"/>
      <c r="X133" s="1779"/>
      <c r="Y133" s="1779"/>
      <c r="Z133" s="1779"/>
      <c r="AA133" s="1779"/>
      <c r="AB133" s="1779"/>
      <c r="AC133" s="1779"/>
    </row>
    <row r="134" spans="1:29">
      <c r="A134" s="1779"/>
      <c r="B134" s="1779"/>
      <c r="C134" s="1779"/>
      <c r="D134" s="1779"/>
      <c r="E134" s="1779"/>
      <c r="F134" s="1779"/>
      <c r="G134" s="1779"/>
      <c r="H134" s="1779"/>
      <c r="I134" s="1779"/>
      <c r="J134" s="1779"/>
      <c r="K134" s="1780"/>
      <c r="L134" s="1781"/>
      <c r="M134" s="1779"/>
      <c r="N134" s="1779"/>
      <c r="O134" s="1779"/>
      <c r="P134" s="1779"/>
      <c r="Q134" s="1779"/>
      <c r="R134" s="1779"/>
      <c r="S134" s="1779"/>
      <c r="T134" s="1779"/>
      <c r="U134" s="1779"/>
      <c r="V134" s="1779"/>
      <c r="W134" s="1779"/>
      <c r="X134" s="1779"/>
      <c r="Y134" s="1779"/>
      <c r="Z134" s="1779"/>
      <c r="AA134" s="1779"/>
      <c r="AB134" s="1779"/>
      <c r="AC134" s="1779"/>
    </row>
    <row r="135" spans="1:29">
      <c r="A135" s="1779"/>
      <c r="B135" s="1779"/>
      <c r="C135" s="1779"/>
      <c r="D135" s="1779"/>
      <c r="E135" s="1779"/>
      <c r="F135" s="1779"/>
      <c r="G135" s="1779"/>
      <c r="H135" s="1779"/>
      <c r="I135" s="1779"/>
      <c r="J135" s="1779"/>
      <c r="K135" s="1780"/>
      <c r="L135" s="1781"/>
      <c r="M135" s="1779"/>
      <c r="N135" s="1779"/>
      <c r="O135" s="1779"/>
      <c r="P135" s="1779"/>
      <c r="Q135" s="1779"/>
      <c r="R135" s="1779"/>
      <c r="S135" s="1779"/>
      <c r="T135" s="1779"/>
      <c r="U135" s="1779"/>
      <c r="V135" s="1779"/>
      <c r="W135" s="1779"/>
      <c r="X135" s="1779"/>
      <c r="Y135" s="1779"/>
      <c r="Z135" s="1779"/>
      <c r="AA135" s="1779"/>
      <c r="AB135" s="1779"/>
      <c r="AC135" s="1779"/>
    </row>
    <row r="136" spans="1:29" ht="15" thickBot="1">
      <c r="A136" s="1779"/>
      <c r="B136" s="1574" t="s">
        <v>1617</v>
      </c>
      <c r="C136" s="1575"/>
      <c r="D136" s="1575"/>
      <c r="E136" s="1575"/>
      <c r="F136" s="1575"/>
      <c r="G136" s="1575"/>
      <c r="H136" s="1575"/>
      <c r="I136" s="1575"/>
      <c r="J136" s="1575"/>
      <c r="K136" s="1576"/>
      <c r="L136" s="1781"/>
      <c r="M136" s="1779"/>
      <c r="N136" s="1779"/>
      <c r="O136" s="1779"/>
      <c r="P136" s="1779"/>
      <c r="Q136" s="1779"/>
      <c r="R136" s="1779"/>
      <c r="S136" s="1779"/>
      <c r="T136" s="1779"/>
      <c r="U136" s="1779"/>
      <c r="V136" s="1779"/>
      <c r="W136" s="1779"/>
      <c r="X136" s="1779"/>
      <c r="Y136" s="1779"/>
      <c r="Z136" s="1779"/>
      <c r="AA136" s="1779"/>
      <c r="AB136" s="1779"/>
      <c r="AC136" s="1779"/>
    </row>
    <row r="137" spans="1:29">
      <c r="A137" s="1779"/>
      <c r="B137" s="1577" t="s">
        <v>1618</v>
      </c>
      <c r="C137" s="1578"/>
      <c r="D137" s="1578"/>
      <c r="E137" s="1578"/>
      <c r="F137" s="1578"/>
      <c r="G137" s="1579"/>
      <c r="H137" s="1580"/>
      <c r="I137" s="1581" t="s">
        <v>1619</v>
      </c>
      <c r="J137" s="1578"/>
      <c r="K137" s="1582"/>
      <c r="L137" s="1781"/>
      <c r="M137" s="1779"/>
      <c r="N137" s="1779"/>
      <c r="O137" s="1779"/>
      <c r="P137" s="1779"/>
      <c r="Q137" s="1779"/>
      <c r="R137" s="1779"/>
      <c r="S137" s="1779"/>
      <c r="T137" s="1779"/>
      <c r="U137" s="1779"/>
      <c r="V137" s="1779"/>
      <c r="W137" s="1779"/>
      <c r="X137" s="1779"/>
      <c r="Y137" s="1779"/>
      <c r="Z137" s="1779"/>
      <c r="AA137" s="1779"/>
      <c r="AB137" s="1779"/>
      <c r="AC137" s="1779"/>
    </row>
    <row r="138" spans="1:29">
      <c r="A138" s="1779"/>
      <c r="B138" s="1583"/>
      <c r="C138" s="1584" t="s">
        <v>1620</v>
      </c>
      <c r="D138" s="1584" t="s">
        <v>1621</v>
      </c>
      <c r="E138" s="1585" t="s">
        <v>1622</v>
      </c>
      <c r="F138" s="1586" t="s">
        <v>1623</v>
      </c>
      <c r="G138" s="1584" t="s">
        <v>1624</v>
      </c>
      <c r="H138" s="1587" t="s">
        <v>1625</v>
      </c>
      <c r="I138" s="1588"/>
      <c r="J138" s="1584" t="s">
        <v>1626</v>
      </c>
      <c r="K138" s="1587" t="s">
        <v>1627</v>
      </c>
      <c r="L138" s="1781"/>
      <c r="M138" s="1779"/>
      <c r="N138" s="1779"/>
      <c r="O138" s="1779"/>
      <c r="P138" s="1779"/>
      <c r="Q138" s="1779"/>
      <c r="R138" s="1779"/>
      <c r="S138" s="1779"/>
      <c r="T138" s="1779"/>
      <c r="U138" s="1779"/>
      <c r="V138" s="1779"/>
      <c r="W138" s="1779"/>
      <c r="X138" s="1779"/>
      <c r="Y138" s="1779"/>
      <c r="Z138" s="1779"/>
      <c r="AA138" s="1779"/>
      <c r="AB138" s="1779"/>
      <c r="AC138" s="1779"/>
    </row>
    <row r="139" spans="1:29" ht="15">
      <c r="A139" s="1779"/>
      <c r="B139" s="1556">
        <v>6</v>
      </c>
      <c r="C139" s="1557">
        <v>96</v>
      </c>
      <c r="D139" s="1589" t="s">
        <v>1628</v>
      </c>
      <c r="E139" s="1558">
        <v>100</v>
      </c>
      <c r="F139" s="1559">
        <v>102.5</v>
      </c>
      <c r="G139" s="1589" t="s">
        <v>1629</v>
      </c>
      <c r="H139" s="1560">
        <v>105</v>
      </c>
      <c r="I139" s="1590" t="s">
        <v>1630</v>
      </c>
      <c r="J139" s="1557">
        <v>20</v>
      </c>
      <c r="K139" s="1561">
        <f>C145/(J139-2)</f>
        <v>4.0555555555555553E-3</v>
      </c>
      <c r="L139" s="1781"/>
      <c r="M139" s="1779"/>
      <c r="N139" s="1779"/>
      <c r="O139" s="1779"/>
      <c r="P139" s="1779"/>
      <c r="Q139" s="1779"/>
      <c r="R139" s="1779"/>
      <c r="S139" s="1779"/>
      <c r="T139" s="1779"/>
      <c r="U139" s="1779"/>
      <c r="V139" s="1779"/>
      <c r="W139" s="1779"/>
      <c r="X139" s="1779"/>
      <c r="Y139" s="1779"/>
      <c r="Z139" s="1779"/>
      <c r="AA139" s="1779"/>
      <c r="AB139" s="1779"/>
      <c r="AC139" s="1779"/>
    </row>
    <row r="140" spans="1:29" ht="15">
      <c r="A140" s="1779"/>
      <c r="B140" s="1562">
        <v>5</v>
      </c>
      <c r="C140" s="1563">
        <v>100</v>
      </c>
      <c r="D140" s="1591"/>
      <c r="E140" s="1564"/>
      <c r="F140" s="1565">
        <v>102</v>
      </c>
      <c r="G140" s="1591"/>
      <c r="H140" s="1566"/>
      <c r="I140" s="1592" t="s">
        <v>1631</v>
      </c>
      <c r="J140" s="780">
        <f>ROUNDUP((J139-1)/2,0)</f>
        <v>10</v>
      </c>
      <c r="K140" s="1567">
        <v>100</v>
      </c>
      <c r="L140" s="1781"/>
      <c r="M140" s="1779"/>
      <c r="N140" s="1779"/>
      <c r="O140" s="1779"/>
      <c r="P140" s="1779"/>
      <c r="Q140" s="1779"/>
      <c r="R140" s="1779"/>
      <c r="S140" s="1779"/>
      <c r="T140" s="1779"/>
      <c r="U140" s="1779"/>
      <c r="V140" s="1779"/>
      <c r="W140" s="1779"/>
      <c r="X140" s="1779"/>
      <c r="Y140" s="1779"/>
      <c r="Z140" s="1779"/>
      <c r="AA140" s="1779"/>
      <c r="AB140" s="1779"/>
      <c r="AC140" s="1779"/>
    </row>
    <row r="141" spans="1:29" ht="15">
      <c r="A141" s="1779"/>
      <c r="B141" s="1562">
        <v>4</v>
      </c>
      <c r="C141" s="1563">
        <v>102</v>
      </c>
      <c r="D141" s="1591"/>
      <c r="E141" s="1564"/>
      <c r="F141" s="1565">
        <v>101.5</v>
      </c>
      <c r="G141" s="1591"/>
      <c r="H141" s="1566"/>
      <c r="I141" s="1592" t="s">
        <v>1632</v>
      </c>
      <c r="J141" s="780">
        <v>1</v>
      </c>
      <c r="K141" s="1568">
        <f>ROUND(100+(J141-J140)*K139*100,1)</f>
        <v>96.4</v>
      </c>
      <c r="L141" s="1781"/>
      <c r="M141" s="1779"/>
      <c r="N141" s="1779"/>
      <c r="O141" s="1779"/>
      <c r="P141" s="1779"/>
      <c r="Q141" s="1779"/>
      <c r="R141" s="1779"/>
      <c r="S141" s="1779"/>
      <c r="T141" s="1779"/>
      <c r="U141" s="1779"/>
      <c r="V141" s="1779"/>
      <c r="W141" s="1779"/>
      <c r="X141" s="1779"/>
      <c r="Y141" s="1779"/>
      <c r="Z141" s="1779"/>
      <c r="AA141" s="1779"/>
      <c r="AB141" s="1779"/>
      <c r="AC141" s="1779"/>
    </row>
    <row r="142" spans="1:29" ht="15">
      <c r="A142" s="1779"/>
      <c r="B142" s="1562">
        <v>3</v>
      </c>
      <c r="C142" s="1563">
        <v>103</v>
      </c>
      <c r="D142" s="1591"/>
      <c r="E142" s="1564"/>
      <c r="F142" s="1565">
        <v>101</v>
      </c>
      <c r="G142" s="1591"/>
      <c r="H142" s="1566"/>
      <c r="I142" s="1592" t="s">
        <v>1633</v>
      </c>
      <c r="J142" s="780">
        <f>J139</f>
        <v>20</v>
      </c>
      <c r="K142" s="1569">
        <v>95</v>
      </c>
      <c r="L142" s="1781"/>
      <c r="M142" s="1779"/>
      <c r="N142" s="1779"/>
      <c r="O142" s="1779"/>
      <c r="P142" s="1779"/>
      <c r="Q142" s="1779"/>
      <c r="R142" s="1779"/>
      <c r="S142" s="1779"/>
      <c r="T142" s="1779"/>
      <c r="U142" s="1779"/>
      <c r="V142" s="1779"/>
      <c r="W142" s="1779"/>
      <c r="X142" s="1779"/>
      <c r="Y142" s="1779"/>
      <c r="Z142" s="1779"/>
      <c r="AA142" s="1779"/>
      <c r="AB142" s="1779"/>
      <c r="AC142" s="1779"/>
    </row>
    <row r="143" spans="1:29" ht="15">
      <c r="A143" s="1779"/>
      <c r="B143" s="1562">
        <v>2</v>
      </c>
      <c r="C143" s="1563">
        <v>100</v>
      </c>
      <c r="D143" s="1591"/>
      <c r="E143" s="1564"/>
      <c r="F143" s="1565">
        <v>100.5</v>
      </c>
      <c r="G143" s="1591"/>
      <c r="H143" s="1566"/>
      <c r="I143" s="1592" t="s">
        <v>1634</v>
      </c>
      <c r="J143" s="1563">
        <v>15</v>
      </c>
      <c r="K143" s="1568">
        <f>ROUND(100+(J143-J140)*K139*100,1)</f>
        <v>102</v>
      </c>
      <c r="L143" s="1781"/>
      <c r="M143" s="1779"/>
      <c r="N143" s="1779"/>
      <c r="O143" s="1779"/>
      <c r="P143" s="1779"/>
      <c r="Q143" s="1779"/>
      <c r="R143" s="1779"/>
      <c r="S143" s="1779"/>
      <c r="T143" s="1779"/>
      <c r="U143" s="1779"/>
      <c r="V143" s="1779"/>
      <c r="W143" s="1779"/>
      <c r="X143" s="1779"/>
      <c r="Y143" s="1779"/>
      <c r="Z143" s="1779"/>
      <c r="AA143" s="1779"/>
      <c r="AB143" s="1779"/>
      <c r="AC143" s="1779"/>
    </row>
    <row r="144" spans="1:29" ht="15">
      <c r="A144" s="1779"/>
      <c r="B144" s="1562">
        <v>1</v>
      </c>
      <c r="C144" s="1563">
        <v>98</v>
      </c>
      <c r="D144" s="1593" t="s">
        <v>1635</v>
      </c>
      <c r="E144" s="1564">
        <v>102</v>
      </c>
      <c r="F144" s="1570">
        <v>100</v>
      </c>
      <c r="G144" s="1593" t="s">
        <v>1635</v>
      </c>
      <c r="H144" s="1566">
        <v>105</v>
      </c>
      <c r="I144" s="1592" t="s">
        <v>1634</v>
      </c>
      <c r="J144" s="1563">
        <v>18</v>
      </c>
      <c r="K144" s="1568">
        <f>ROUND(100+(J144-J140)*K139*100,1)</f>
        <v>103.2</v>
      </c>
      <c r="L144" s="1781"/>
      <c r="M144" s="1779"/>
      <c r="N144" s="1779"/>
      <c r="O144" s="1779"/>
      <c r="P144" s="1779"/>
      <c r="Q144" s="1779"/>
      <c r="R144" s="1779"/>
      <c r="S144" s="1779"/>
      <c r="T144" s="1779"/>
      <c r="U144" s="1779"/>
      <c r="V144" s="1779"/>
      <c r="W144" s="1779"/>
      <c r="X144" s="1779"/>
      <c r="Y144" s="1779"/>
      <c r="Z144" s="1779"/>
      <c r="AA144" s="1779"/>
      <c r="AB144" s="1779"/>
      <c r="AC144" s="1779"/>
    </row>
    <row r="145" spans="1:29" ht="15.75" thickBot="1">
      <c r="A145" s="1779"/>
      <c r="B145" s="1594" t="s">
        <v>1636</v>
      </c>
      <c r="C145" s="1571">
        <f>ROUND(MAX(C139:C144)/MIN(C139:C144)-1,3)</f>
        <v>7.2999999999999995E-2</v>
      </c>
      <c r="D145" s="1595"/>
      <c r="E145" s="1595"/>
      <c r="F145" s="1596" t="s">
        <v>1637</v>
      </c>
      <c r="G145" s="1597"/>
      <c r="H145" s="1598"/>
      <c r="I145" s="1599" t="s">
        <v>1634</v>
      </c>
      <c r="J145" s="1572">
        <v>8</v>
      </c>
      <c r="K145" s="1573">
        <f>ROUND(100+(J145-J140)*K139*100,1)</f>
        <v>99.2</v>
      </c>
      <c r="L145" s="1781"/>
      <c r="M145" s="1779"/>
      <c r="N145" s="1779"/>
      <c r="O145" s="1779"/>
      <c r="P145" s="1779"/>
      <c r="Q145" s="1779"/>
      <c r="R145" s="1779"/>
      <c r="S145" s="1779"/>
      <c r="T145" s="1779"/>
      <c r="U145" s="1779"/>
      <c r="V145" s="1779"/>
      <c r="W145" s="1779"/>
      <c r="X145" s="1779"/>
      <c r="Y145" s="1779"/>
      <c r="Z145" s="1779"/>
      <c r="AA145" s="1779"/>
      <c r="AB145" s="1779"/>
      <c r="AC145" s="1779"/>
    </row>
    <row r="146" spans="1:29">
      <c r="A146" s="1779"/>
      <c r="B146" s="1779"/>
      <c r="C146" s="1779"/>
      <c r="D146" s="1779"/>
      <c r="E146" s="1779"/>
      <c r="F146" s="1779"/>
      <c r="G146" s="1779"/>
      <c r="H146" s="1779"/>
      <c r="I146" s="1779"/>
      <c r="J146" s="1779"/>
      <c r="K146" s="1780"/>
      <c r="L146" s="1781"/>
      <c r="M146" s="1779"/>
      <c r="N146" s="1779"/>
      <c r="O146" s="1779"/>
      <c r="P146" s="1779"/>
      <c r="Q146" s="1779"/>
      <c r="R146" s="1779"/>
      <c r="S146" s="1779"/>
      <c r="T146" s="1779"/>
      <c r="U146" s="1779"/>
      <c r="V146" s="1779"/>
      <c r="W146" s="1779"/>
      <c r="X146" s="1779"/>
      <c r="Y146" s="1779"/>
      <c r="Z146" s="1779"/>
      <c r="AA146" s="1779"/>
      <c r="AB146" s="1779"/>
      <c r="AC146" s="1779"/>
    </row>
    <row r="147" spans="1:29">
      <c r="A147" s="1779"/>
      <c r="B147" s="1618" t="s">
        <v>1645</v>
      </c>
      <c r="L147" s="1781"/>
      <c r="M147" s="1779"/>
      <c r="N147" s="1779"/>
      <c r="O147" s="1779"/>
      <c r="P147" s="1779"/>
      <c r="Q147" s="1779"/>
      <c r="R147" s="1779"/>
      <c r="S147" s="1779"/>
      <c r="T147" s="1779"/>
      <c r="U147" s="1779"/>
      <c r="V147" s="1779"/>
      <c r="W147" s="1779"/>
      <c r="X147" s="1779"/>
      <c r="Y147" s="1779"/>
      <c r="Z147" s="1779"/>
      <c r="AA147" s="1779"/>
      <c r="AB147" s="1779"/>
      <c r="AC147" s="1779"/>
    </row>
    <row r="148" spans="1:29">
      <c r="A148" s="1779"/>
      <c r="B148" s="1618" t="s">
        <v>1646</v>
      </c>
      <c r="L148" s="1781"/>
      <c r="M148" s="1779"/>
      <c r="N148" s="1779"/>
      <c r="O148" s="1779"/>
      <c r="P148" s="1779"/>
      <c r="Q148" s="1779"/>
      <c r="R148" s="1779"/>
      <c r="S148" s="1779"/>
      <c r="T148" s="1779"/>
      <c r="U148" s="1779"/>
      <c r="V148" s="1779"/>
      <c r="W148" s="1779"/>
      <c r="X148" s="1779"/>
      <c r="Y148" s="1779"/>
      <c r="Z148" s="1779"/>
      <c r="AA148" s="1779"/>
      <c r="AB148" s="1779"/>
      <c r="AC148" s="1779"/>
    </row>
    <row r="149" spans="1:29">
      <c r="A149" s="1779"/>
      <c r="B149" s="1779"/>
      <c r="C149" s="1779"/>
      <c r="D149" s="1779"/>
      <c r="E149" s="1779"/>
      <c r="F149" s="1779"/>
      <c r="G149" s="1779"/>
      <c r="H149" s="1779"/>
      <c r="I149" s="1779"/>
      <c r="J149" s="1779"/>
      <c r="K149" s="1780"/>
      <c r="L149" s="1781"/>
      <c r="M149" s="1779"/>
      <c r="N149" s="1779"/>
      <c r="O149" s="1779"/>
      <c r="P149" s="1779"/>
      <c r="Q149" s="1779"/>
      <c r="R149" s="1779"/>
      <c r="S149" s="1779"/>
      <c r="T149" s="1779"/>
      <c r="U149" s="1779"/>
      <c r="V149" s="1779"/>
      <c r="W149" s="1779"/>
      <c r="X149" s="1779"/>
      <c r="Y149" s="1779"/>
      <c r="Z149" s="1779"/>
      <c r="AA149" s="1779"/>
      <c r="AB149" s="1779"/>
      <c r="AC149" s="1779"/>
    </row>
    <row r="150" spans="1:29">
      <c r="A150" s="1779"/>
      <c r="B150" s="1779"/>
      <c r="C150" s="1779"/>
      <c r="D150" s="1779"/>
      <c r="E150" s="1779"/>
      <c r="F150" s="1779"/>
      <c r="G150" s="1779"/>
      <c r="H150" s="1779"/>
      <c r="I150" s="1779"/>
      <c r="J150" s="1779"/>
      <c r="K150" s="1780"/>
      <c r="L150" s="1781"/>
      <c r="M150" s="1779"/>
      <c r="N150" s="1779"/>
      <c r="O150" s="1779"/>
      <c r="P150" s="1779"/>
      <c r="Q150" s="1779"/>
      <c r="R150" s="1779"/>
      <c r="S150" s="1779"/>
      <c r="T150" s="1779"/>
      <c r="U150" s="1779"/>
      <c r="V150" s="1779"/>
      <c r="W150" s="1779"/>
      <c r="X150" s="1779"/>
      <c r="Y150" s="1779"/>
      <c r="Z150" s="1779"/>
      <c r="AA150" s="1779"/>
      <c r="AB150" s="1779"/>
      <c r="AC150" s="1779"/>
    </row>
    <row r="151" spans="1:29">
      <c r="A151" s="1779"/>
      <c r="B151" s="1779"/>
      <c r="C151" s="1779"/>
      <c r="D151" s="1779"/>
      <c r="E151" s="1779"/>
      <c r="F151" s="1779"/>
      <c r="G151" s="1779"/>
      <c r="H151" s="1779"/>
      <c r="I151" s="1779"/>
      <c r="J151" s="1779"/>
      <c r="K151" s="1780"/>
      <c r="L151" s="1781"/>
      <c r="M151" s="1779"/>
      <c r="N151" s="1779"/>
      <c r="O151" s="1779"/>
      <c r="P151" s="1779"/>
      <c r="Q151" s="1779"/>
      <c r="R151" s="1779"/>
      <c r="S151" s="1779"/>
      <c r="T151" s="1779"/>
      <c r="U151" s="1779"/>
      <c r="V151" s="1779"/>
      <c r="W151" s="1779"/>
      <c r="X151" s="1779"/>
      <c r="Y151" s="1779"/>
      <c r="Z151" s="1779"/>
      <c r="AA151" s="1779"/>
      <c r="AB151" s="1779"/>
      <c r="AC151" s="1779"/>
    </row>
    <row r="152" spans="1:29">
      <c r="A152" s="1779"/>
      <c r="B152" s="1779"/>
      <c r="C152" s="1779"/>
      <c r="D152" s="1779"/>
      <c r="E152" s="1779"/>
      <c r="F152" s="1779"/>
      <c r="G152" s="1779"/>
      <c r="H152" s="1779"/>
      <c r="I152" s="1779"/>
      <c r="J152" s="1779"/>
      <c r="K152" s="1780"/>
      <c r="L152" s="1781"/>
      <c r="M152" s="1779"/>
      <c r="N152" s="1779"/>
      <c r="O152" s="1779"/>
      <c r="P152" s="1779"/>
      <c r="Q152" s="1779"/>
      <c r="R152" s="1779"/>
      <c r="S152" s="1779"/>
      <c r="T152" s="1779"/>
      <c r="U152" s="1779"/>
      <c r="V152" s="1779"/>
      <c r="W152" s="1779"/>
      <c r="X152" s="1779"/>
      <c r="Y152" s="1779"/>
      <c r="Z152" s="1779"/>
      <c r="AA152" s="1779"/>
      <c r="AB152" s="1779"/>
      <c r="AC152" s="1779"/>
    </row>
    <row r="153" spans="1:29">
      <c r="A153" s="1779"/>
      <c r="B153" s="1779"/>
      <c r="C153" s="1779"/>
      <c r="D153" s="1779"/>
      <c r="E153" s="1779"/>
      <c r="F153" s="1779"/>
      <c r="G153" s="1779"/>
      <c r="H153" s="1779"/>
      <c r="I153" s="1779"/>
      <c r="J153" s="1779"/>
      <c r="K153" s="1780"/>
      <c r="L153" s="1781"/>
      <c r="M153" s="1779"/>
      <c r="N153" s="1779"/>
      <c r="O153" s="1779"/>
      <c r="P153" s="1779"/>
      <c r="Q153" s="1779"/>
      <c r="R153" s="1779"/>
      <c r="S153" s="1779"/>
      <c r="T153" s="1779"/>
      <c r="U153" s="1779"/>
      <c r="V153" s="1779"/>
      <c r="W153" s="1779"/>
      <c r="X153" s="1779"/>
      <c r="Y153" s="1779"/>
      <c r="Z153" s="1779"/>
      <c r="AA153" s="1779"/>
      <c r="AB153" s="1779"/>
      <c r="AC153" s="1779"/>
    </row>
    <row r="154" spans="1:29">
      <c r="A154" s="1779"/>
      <c r="B154" s="1779"/>
      <c r="C154" s="1779"/>
      <c r="D154" s="1779"/>
      <c r="E154" s="1779"/>
      <c r="F154" s="1779"/>
      <c r="G154" s="1779"/>
      <c r="H154" s="1779"/>
      <c r="I154" s="1779"/>
      <c r="J154" s="1779"/>
      <c r="K154" s="1780"/>
      <c r="L154" s="1781"/>
      <c r="M154" s="1779"/>
      <c r="N154" s="1779"/>
      <c r="O154" s="1779"/>
      <c r="P154" s="1779"/>
      <c r="Q154" s="1779"/>
      <c r="R154" s="1779"/>
      <c r="S154" s="1779"/>
      <c r="T154" s="1779"/>
      <c r="U154" s="1779"/>
      <c r="V154" s="1779"/>
      <c r="W154" s="1779"/>
      <c r="X154" s="1779"/>
      <c r="Y154" s="1779"/>
      <c r="Z154" s="1779"/>
      <c r="AA154" s="1779"/>
      <c r="AB154" s="1779"/>
      <c r="AC154" s="1779"/>
    </row>
    <row r="155" spans="1:29">
      <c r="A155" s="1779"/>
      <c r="B155" s="1779"/>
      <c r="C155" s="1779"/>
      <c r="D155" s="1779"/>
      <c r="E155" s="1779"/>
      <c r="F155" s="1779"/>
      <c r="G155" s="1779"/>
      <c r="H155" s="1779"/>
      <c r="I155" s="1779"/>
      <c r="J155" s="1779"/>
      <c r="K155" s="1780"/>
      <c r="L155" s="1781"/>
      <c r="M155" s="1779"/>
      <c r="N155" s="1779"/>
      <c r="O155" s="1779"/>
      <c r="P155" s="1779"/>
      <c r="Q155" s="1779"/>
      <c r="R155" s="1779"/>
      <c r="S155" s="1779"/>
      <c r="T155" s="1779"/>
      <c r="U155" s="1779"/>
      <c r="V155" s="1779"/>
      <c r="W155" s="1779"/>
      <c r="X155" s="1779"/>
      <c r="Y155" s="1779"/>
      <c r="Z155" s="1779"/>
      <c r="AA155" s="1779"/>
      <c r="AB155" s="1779"/>
      <c r="AC155" s="1779"/>
    </row>
    <row r="156" spans="1:29">
      <c r="A156" s="1779"/>
      <c r="B156" s="1779"/>
      <c r="C156" s="1779"/>
      <c r="D156" s="1779"/>
      <c r="E156" s="1779"/>
      <c r="F156" s="1779"/>
      <c r="G156" s="1779"/>
      <c r="H156" s="1779"/>
      <c r="I156" s="1779"/>
      <c r="J156" s="1779"/>
      <c r="K156" s="1780"/>
      <c r="L156" s="1781"/>
      <c r="M156" s="1779"/>
      <c r="N156" s="1779"/>
      <c r="O156" s="1779"/>
      <c r="P156" s="1779"/>
      <c r="Q156" s="1779"/>
      <c r="R156" s="1779"/>
      <c r="S156" s="1779"/>
      <c r="T156" s="1779"/>
      <c r="U156" s="1779"/>
      <c r="V156" s="1779"/>
      <c r="W156" s="1779"/>
      <c r="X156" s="1779"/>
      <c r="Y156" s="1779"/>
      <c r="Z156" s="1779"/>
      <c r="AA156" s="1779"/>
      <c r="AB156" s="1779"/>
      <c r="AC156" s="1779"/>
    </row>
    <row r="157" spans="1:29">
      <c r="A157" s="1779"/>
      <c r="B157" s="1779"/>
      <c r="C157" s="1779"/>
      <c r="D157" s="1779"/>
      <c r="E157" s="1779"/>
      <c r="F157" s="1779"/>
      <c r="G157" s="1779"/>
      <c r="H157" s="1779"/>
      <c r="I157" s="1779"/>
      <c r="J157" s="1779"/>
      <c r="K157" s="1780"/>
      <c r="L157" s="1781"/>
      <c r="M157" s="1779"/>
      <c r="N157" s="1779"/>
      <c r="O157" s="1779"/>
      <c r="P157" s="1779"/>
      <c r="Q157" s="1779"/>
      <c r="R157" s="1779"/>
      <c r="S157" s="1779"/>
      <c r="T157" s="1779"/>
      <c r="U157" s="1779"/>
      <c r="V157" s="1779"/>
      <c r="W157" s="1779"/>
      <c r="X157" s="1779"/>
      <c r="Y157" s="1779"/>
      <c r="Z157" s="1779"/>
      <c r="AA157" s="1779"/>
      <c r="AB157" s="1779"/>
      <c r="AC157" s="1779"/>
    </row>
    <row r="158" spans="1:29">
      <c r="A158" s="1779"/>
      <c r="B158" s="1779"/>
      <c r="C158" s="1779"/>
      <c r="D158" s="1779"/>
      <c r="E158" s="1779"/>
      <c r="F158" s="1779"/>
      <c r="G158" s="1779"/>
      <c r="H158" s="1779"/>
      <c r="I158" s="1779"/>
      <c r="J158" s="1779"/>
      <c r="K158" s="1780"/>
      <c r="L158" s="1781"/>
      <c r="M158" s="1779"/>
      <c r="N158" s="1779"/>
      <c r="O158" s="1779"/>
      <c r="P158" s="1779"/>
      <c r="Q158" s="1779"/>
      <c r="R158" s="1779"/>
      <c r="S158" s="1779"/>
      <c r="T158" s="1779"/>
      <c r="U158" s="1779"/>
      <c r="V158" s="1779"/>
      <c r="W158" s="1779"/>
      <c r="X158" s="1779"/>
      <c r="Y158" s="1779"/>
      <c r="Z158" s="1779"/>
      <c r="AA158" s="1779"/>
      <c r="AB158" s="1779"/>
      <c r="AC158" s="1779"/>
    </row>
    <row r="159" spans="1:29">
      <c r="A159" s="1779"/>
      <c r="B159" s="1779"/>
      <c r="C159" s="1779"/>
      <c r="D159" s="1779"/>
      <c r="E159" s="1779"/>
      <c r="F159" s="1779"/>
      <c r="G159" s="1779"/>
      <c r="H159" s="1779"/>
      <c r="I159" s="1779"/>
      <c r="J159" s="1779"/>
      <c r="K159" s="1780"/>
      <c r="L159" s="1781"/>
      <c r="M159" s="1779"/>
      <c r="N159" s="1779"/>
      <c r="O159" s="1779"/>
      <c r="P159" s="1779"/>
      <c r="Q159" s="1779"/>
      <c r="R159" s="1779"/>
      <c r="S159" s="1779"/>
      <c r="T159" s="1779"/>
      <c r="U159" s="1779"/>
      <c r="V159" s="1779"/>
      <c r="W159" s="1779"/>
      <c r="X159" s="1779"/>
      <c r="Y159" s="1779"/>
      <c r="Z159" s="1779"/>
      <c r="AA159" s="1779"/>
      <c r="AB159" s="1779"/>
      <c r="AC159" s="1779"/>
    </row>
    <row r="160" spans="1:29">
      <c r="A160" s="1779"/>
      <c r="B160" s="1779"/>
      <c r="C160" s="1779"/>
      <c r="D160" s="1779"/>
      <c r="E160" s="1779"/>
      <c r="F160" s="1779"/>
      <c r="G160" s="1779"/>
      <c r="H160" s="1779"/>
      <c r="I160" s="1779"/>
      <c r="J160" s="1779"/>
      <c r="K160" s="1780"/>
      <c r="L160" s="1781"/>
      <c r="M160" s="1779"/>
      <c r="N160" s="1779"/>
      <c r="O160" s="1779"/>
      <c r="P160" s="1779"/>
      <c r="Q160" s="1779"/>
      <c r="R160" s="1779"/>
      <c r="S160" s="1779"/>
      <c r="T160" s="1779"/>
      <c r="U160" s="1779"/>
      <c r="V160" s="1779"/>
      <c r="W160" s="1779"/>
      <c r="X160" s="1779"/>
      <c r="Y160" s="1779"/>
      <c r="Z160" s="1779"/>
      <c r="AA160" s="1779"/>
      <c r="AB160" s="1779"/>
      <c r="AC160" s="1779"/>
    </row>
    <row r="161" spans="1:29">
      <c r="A161" s="1779"/>
      <c r="B161" s="1779"/>
      <c r="C161" s="1779"/>
      <c r="D161" s="1779"/>
      <c r="E161" s="1779"/>
      <c r="F161" s="1779"/>
      <c r="G161" s="1779"/>
      <c r="H161" s="1779"/>
      <c r="I161" s="1779"/>
      <c r="J161" s="1779"/>
      <c r="K161" s="1780"/>
      <c r="L161" s="1781"/>
      <c r="M161" s="1779"/>
      <c r="N161" s="1779"/>
      <c r="O161" s="1779"/>
      <c r="P161" s="1779"/>
      <c r="Q161" s="1779"/>
      <c r="R161" s="1779"/>
      <c r="S161" s="1779"/>
      <c r="T161" s="1779"/>
      <c r="U161" s="1779"/>
      <c r="V161" s="1779"/>
      <c r="W161" s="1779"/>
      <c r="X161" s="1779"/>
      <c r="Y161" s="1779"/>
      <c r="Z161" s="1779"/>
      <c r="AA161" s="1779"/>
      <c r="AB161" s="1779"/>
      <c r="AC161" s="1779"/>
    </row>
    <row r="162" spans="1:29">
      <c r="A162" s="1779"/>
      <c r="B162" s="1779"/>
      <c r="C162" s="1779"/>
      <c r="D162" s="1779"/>
      <c r="E162" s="1779"/>
      <c r="F162" s="1779"/>
      <c r="G162" s="1779"/>
      <c r="H162" s="1779"/>
      <c r="I162" s="1779"/>
      <c r="J162" s="1779"/>
      <c r="K162" s="1780"/>
      <c r="L162" s="1781"/>
      <c r="M162" s="1779"/>
      <c r="N162" s="1779"/>
      <c r="O162" s="1779"/>
      <c r="P162" s="1779"/>
      <c r="Q162" s="1779"/>
      <c r="R162" s="1779"/>
      <c r="S162" s="1779"/>
      <c r="T162" s="1779"/>
      <c r="U162" s="1779"/>
      <c r="V162" s="1779"/>
      <c r="W162" s="1779"/>
      <c r="X162" s="1779"/>
      <c r="Y162" s="1779"/>
      <c r="Z162" s="1779"/>
      <c r="AA162" s="1779"/>
      <c r="AB162" s="1779"/>
      <c r="AC162" s="1779"/>
    </row>
    <row r="163" spans="1:29">
      <c r="A163" s="1779"/>
      <c r="B163" s="1779"/>
      <c r="C163" s="1779"/>
      <c r="D163" s="1779"/>
      <c r="E163" s="1779"/>
      <c r="F163" s="1779"/>
      <c r="G163" s="1779"/>
      <c r="H163" s="1779"/>
      <c r="I163" s="1779"/>
      <c r="J163" s="1779"/>
      <c r="K163" s="1780"/>
      <c r="L163" s="1781"/>
      <c r="M163" s="1779"/>
      <c r="N163" s="1779"/>
      <c r="O163" s="1779"/>
      <c r="P163" s="1779"/>
      <c r="Q163" s="1779"/>
      <c r="R163" s="1779"/>
      <c r="S163" s="1779"/>
      <c r="T163" s="1779"/>
      <c r="U163" s="1779"/>
      <c r="V163" s="1779"/>
      <c r="W163" s="1779"/>
      <c r="X163" s="1779"/>
      <c r="Y163" s="1779"/>
      <c r="Z163" s="1779"/>
      <c r="AA163" s="1779"/>
      <c r="AB163" s="1779"/>
      <c r="AC163" s="1779"/>
    </row>
    <row r="164" spans="1:29">
      <c r="A164" s="1779"/>
      <c r="B164" s="1779"/>
      <c r="C164" s="1779"/>
      <c r="D164" s="1779"/>
      <c r="E164" s="1779"/>
      <c r="F164" s="1779"/>
      <c r="G164" s="1779"/>
      <c r="H164" s="1779"/>
      <c r="I164" s="1779"/>
      <c r="J164" s="1779"/>
      <c r="K164" s="1780"/>
      <c r="L164" s="1781"/>
      <c r="M164" s="1779"/>
      <c r="N164" s="1779"/>
      <c r="O164" s="1779"/>
      <c r="P164" s="1779"/>
      <c r="Q164" s="1779"/>
      <c r="R164" s="1779"/>
      <c r="S164" s="1779"/>
      <c r="T164" s="1779"/>
      <c r="U164" s="1779"/>
      <c r="V164" s="1779"/>
      <c r="W164" s="1779"/>
      <c r="X164" s="1779"/>
      <c r="Y164" s="1779"/>
      <c r="Z164" s="1779"/>
      <c r="AA164" s="1779"/>
      <c r="AB164" s="1779"/>
      <c r="AC164" s="1779"/>
    </row>
    <row r="165" spans="1:29">
      <c r="A165" s="1779"/>
      <c r="B165" s="1779"/>
      <c r="C165" s="1779"/>
      <c r="D165" s="1779"/>
      <c r="E165" s="1779"/>
      <c r="F165" s="1779"/>
      <c r="G165" s="1779"/>
      <c r="H165" s="1779"/>
      <c r="I165" s="1779"/>
      <c r="J165" s="1779"/>
      <c r="K165" s="1780"/>
      <c r="L165" s="1781"/>
      <c r="M165" s="1779"/>
      <c r="N165" s="1779"/>
      <c r="O165" s="1779"/>
      <c r="P165" s="1779"/>
      <c r="Q165" s="1779"/>
      <c r="R165" s="1779"/>
      <c r="S165" s="1779"/>
      <c r="T165" s="1779"/>
      <c r="U165" s="1779"/>
      <c r="V165" s="1779"/>
      <c r="W165" s="1779"/>
      <c r="X165" s="1779"/>
      <c r="Y165" s="1779"/>
      <c r="Z165" s="1779"/>
      <c r="AA165" s="1779"/>
      <c r="AB165" s="1779"/>
      <c r="AC165" s="1779"/>
    </row>
    <row r="166" spans="1:29">
      <c r="A166" s="1779"/>
      <c r="B166" s="1779"/>
      <c r="C166" s="1779"/>
      <c r="D166" s="1779"/>
      <c r="E166" s="1779"/>
      <c r="F166" s="1779"/>
      <c r="G166" s="1779"/>
      <c r="H166" s="1779"/>
      <c r="I166" s="1779"/>
      <c r="J166" s="1779"/>
      <c r="K166" s="1780"/>
      <c r="L166" s="1781"/>
      <c r="M166" s="1779"/>
      <c r="N166" s="1779"/>
      <c r="O166" s="1779"/>
      <c r="P166" s="1779"/>
      <c r="Q166" s="1779"/>
      <c r="R166" s="1779"/>
      <c r="S166" s="1779"/>
      <c r="T166" s="1779"/>
      <c r="U166" s="1779"/>
      <c r="V166" s="1779"/>
      <c r="W166" s="1779"/>
      <c r="X166" s="1779"/>
      <c r="Y166" s="1779"/>
      <c r="Z166" s="1779"/>
      <c r="AA166" s="1779"/>
      <c r="AB166" s="1779"/>
      <c r="AC166" s="1779"/>
    </row>
    <row r="167" spans="1:29">
      <c r="A167" s="1779"/>
      <c r="B167" s="1779"/>
      <c r="C167" s="1779"/>
      <c r="D167" s="1779"/>
      <c r="E167" s="1779"/>
      <c r="F167" s="1779"/>
      <c r="G167" s="1779"/>
      <c r="H167" s="1779"/>
      <c r="I167" s="1779"/>
      <c r="J167" s="1779"/>
      <c r="K167" s="1780"/>
      <c r="L167" s="1781"/>
      <c r="M167" s="1779"/>
      <c r="N167" s="1779"/>
      <c r="O167" s="1779"/>
      <c r="P167" s="1779"/>
      <c r="Q167" s="1779"/>
      <c r="R167" s="1779"/>
      <c r="S167" s="1779"/>
      <c r="T167" s="1779"/>
      <c r="U167" s="1779"/>
      <c r="V167" s="1779"/>
      <c r="W167" s="1779"/>
      <c r="X167" s="1779"/>
      <c r="Y167" s="1779"/>
      <c r="Z167" s="1779"/>
      <c r="AA167" s="1779"/>
      <c r="AB167" s="1779"/>
      <c r="AC167" s="1779"/>
    </row>
    <row r="168" spans="1:29">
      <c r="A168" s="1779"/>
      <c r="B168" s="1779"/>
      <c r="C168" s="1779"/>
      <c r="D168" s="1779"/>
      <c r="E168" s="1779"/>
      <c r="F168" s="1779"/>
      <c r="G168" s="1779"/>
      <c r="H168" s="1779"/>
      <c r="I168" s="1779"/>
      <c r="J168" s="1779"/>
      <c r="K168" s="1780"/>
      <c r="L168" s="1781"/>
      <c r="M168" s="1779"/>
      <c r="N168" s="1779"/>
      <c r="O168" s="1779"/>
      <c r="P168" s="1779"/>
      <c r="Q168" s="1779"/>
      <c r="R168" s="1779"/>
      <c r="S168" s="1779"/>
      <c r="T168" s="1779"/>
      <c r="U168" s="1779"/>
      <c r="V168" s="1779"/>
      <c r="W168" s="1779"/>
      <c r="X168" s="1779"/>
      <c r="Y168" s="1779"/>
      <c r="Z168" s="1779"/>
      <c r="AA168" s="1779"/>
      <c r="AB168" s="1779"/>
      <c r="AC168" s="1779"/>
    </row>
    <row r="169" spans="1:29">
      <c r="A169" s="1779"/>
      <c r="B169" s="1779"/>
      <c r="C169" s="1779"/>
      <c r="D169" s="1779"/>
      <c r="E169" s="1779"/>
      <c r="F169" s="1779"/>
      <c r="G169" s="1779"/>
      <c r="H169" s="1779"/>
      <c r="I169" s="1779"/>
      <c r="J169" s="1779"/>
      <c r="K169" s="1780"/>
      <c r="L169" s="1781"/>
      <c r="M169" s="1779"/>
      <c r="N169" s="1779"/>
      <c r="O169" s="1779"/>
      <c r="P169" s="1779"/>
      <c r="Q169" s="1779"/>
      <c r="R169" s="1779"/>
      <c r="S169" s="1779"/>
      <c r="T169" s="1779"/>
      <c r="U169" s="1779"/>
      <c r="V169" s="1779"/>
      <c r="W169" s="1779"/>
      <c r="X169" s="1779"/>
      <c r="Y169" s="1779"/>
      <c r="Z169" s="1779"/>
      <c r="AA169" s="1779"/>
      <c r="AB169" s="1779"/>
      <c r="AC169" s="1779"/>
    </row>
    <row r="170" spans="1:29">
      <c r="A170" s="1779"/>
      <c r="B170" s="1779"/>
      <c r="C170" s="1779"/>
      <c r="D170" s="1779"/>
      <c r="E170" s="1779"/>
      <c r="F170" s="1779"/>
      <c r="G170" s="1779"/>
      <c r="H170" s="1779"/>
      <c r="I170" s="1779"/>
      <c r="J170" s="1779"/>
      <c r="K170" s="1780"/>
      <c r="L170" s="1781"/>
      <c r="M170" s="1779"/>
      <c r="N170" s="1779"/>
      <c r="O170" s="1779"/>
      <c r="P170" s="1779"/>
      <c r="Q170" s="1779"/>
      <c r="R170" s="1779"/>
      <c r="S170" s="1779"/>
      <c r="T170" s="1779"/>
      <c r="U170" s="1779"/>
      <c r="V170" s="1779"/>
      <c r="W170" s="1779"/>
      <c r="X170" s="1779"/>
      <c r="Y170" s="1779"/>
      <c r="Z170" s="1779"/>
      <c r="AA170" s="1779"/>
      <c r="AB170" s="1779"/>
      <c r="AC170" s="1779"/>
    </row>
    <row r="171" spans="1:29">
      <c r="A171" s="1779"/>
      <c r="B171" s="1779"/>
      <c r="C171" s="1779"/>
      <c r="D171" s="1779"/>
      <c r="E171" s="1779"/>
      <c r="F171" s="1779"/>
      <c r="G171" s="1779"/>
      <c r="H171" s="1779"/>
      <c r="I171" s="1779"/>
      <c r="J171" s="1779"/>
      <c r="K171" s="1780"/>
      <c r="L171" s="1781"/>
      <c r="M171" s="1779"/>
      <c r="N171" s="1779"/>
      <c r="O171" s="1779"/>
      <c r="P171" s="1779"/>
      <c r="Q171" s="1779"/>
      <c r="R171" s="1779"/>
      <c r="S171" s="1779"/>
      <c r="T171" s="1779"/>
      <c r="U171" s="1779"/>
      <c r="V171" s="1779"/>
      <c r="W171" s="1779"/>
      <c r="X171" s="1779"/>
      <c r="Y171" s="1779"/>
      <c r="Z171" s="1779"/>
      <c r="AA171" s="1779"/>
      <c r="AB171" s="1779"/>
      <c r="AC171" s="1779"/>
    </row>
    <row r="172" spans="1:29">
      <c r="A172" s="1779"/>
      <c r="B172" s="1779"/>
      <c r="C172" s="1779"/>
      <c r="D172" s="1779"/>
      <c r="E172" s="1779"/>
      <c r="F172" s="1779"/>
      <c r="G172" s="1779"/>
      <c r="H172" s="1779"/>
      <c r="I172" s="1779"/>
      <c r="J172" s="1779"/>
      <c r="K172" s="1780"/>
      <c r="L172" s="1781"/>
      <c r="M172" s="1779"/>
      <c r="N172" s="1779"/>
      <c r="O172" s="1779"/>
      <c r="P172" s="1779"/>
      <c r="Q172" s="1779"/>
      <c r="R172" s="1779"/>
      <c r="S172" s="1779"/>
      <c r="T172" s="1779"/>
      <c r="U172" s="1779"/>
      <c r="V172" s="1779"/>
      <c r="W172" s="1779"/>
      <c r="X172" s="1779"/>
      <c r="Y172" s="1779"/>
      <c r="Z172" s="1779"/>
      <c r="AA172" s="1779"/>
      <c r="AB172" s="1779"/>
      <c r="AC172" s="1779"/>
    </row>
    <row r="173" spans="1:29">
      <c r="A173" s="1779"/>
      <c r="B173" s="1779"/>
      <c r="C173" s="1779"/>
      <c r="D173" s="1779"/>
      <c r="E173" s="1779"/>
      <c r="F173" s="1779"/>
      <c r="G173" s="1779"/>
      <c r="H173" s="1779"/>
      <c r="I173" s="1779"/>
      <c r="J173" s="1779"/>
      <c r="K173" s="1780"/>
      <c r="L173" s="1781"/>
      <c r="M173" s="1779"/>
      <c r="N173" s="1779"/>
      <c r="O173" s="1779"/>
      <c r="P173" s="1779"/>
      <c r="Q173" s="1779"/>
      <c r="R173" s="1779"/>
      <c r="S173" s="1779"/>
      <c r="T173" s="1779"/>
      <c r="U173" s="1779"/>
      <c r="V173" s="1779"/>
      <c r="W173" s="1779"/>
      <c r="X173" s="1779"/>
      <c r="Y173" s="1779"/>
      <c r="Z173" s="1779"/>
      <c r="AA173" s="1779"/>
      <c r="AB173" s="1779"/>
      <c r="AC173" s="1779"/>
    </row>
    <row r="174" spans="1:29">
      <c r="A174" s="1779"/>
      <c r="B174" s="1779"/>
      <c r="C174" s="1779"/>
      <c r="D174" s="1779"/>
      <c r="E174" s="1779"/>
      <c r="F174" s="1779"/>
      <c r="G174" s="1779"/>
      <c r="H174" s="1779"/>
      <c r="I174" s="1779"/>
      <c r="J174" s="1779"/>
      <c r="K174" s="1780"/>
      <c r="L174" s="1781"/>
      <c r="M174" s="1779"/>
      <c r="N174" s="1779"/>
      <c r="O174" s="1779"/>
      <c r="P174" s="1779"/>
      <c r="Q174" s="1779"/>
      <c r="R174" s="1779"/>
      <c r="S174" s="1779"/>
      <c r="T174" s="1779"/>
      <c r="U174" s="1779"/>
      <c r="V174" s="1779"/>
      <c r="W174" s="1779"/>
      <c r="X174" s="1779"/>
      <c r="Y174" s="1779"/>
      <c r="Z174" s="1779"/>
      <c r="AA174" s="1779"/>
      <c r="AB174" s="1779"/>
      <c r="AC174" s="1779"/>
    </row>
    <row r="175" spans="1:29">
      <c r="A175" s="1779"/>
      <c r="B175" s="1779"/>
      <c r="C175" s="1779"/>
      <c r="D175" s="1779"/>
      <c r="E175" s="1779"/>
      <c r="F175" s="1779"/>
      <c r="G175" s="1779"/>
      <c r="H175" s="1779"/>
      <c r="I175" s="1779"/>
      <c r="J175" s="1779"/>
      <c r="K175" s="1780"/>
      <c r="L175" s="1781"/>
      <c r="M175" s="1779"/>
      <c r="N175" s="1779"/>
      <c r="O175" s="1779"/>
      <c r="P175" s="1779"/>
      <c r="Q175" s="1779"/>
      <c r="R175" s="1779"/>
      <c r="S175" s="1779"/>
      <c r="T175" s="1779"/>
      <c r="U175" s="1779"/>
      <c r="V175" s="1779"/>
      <c r="W175" s="1779"/>
      <c r="X175" s="1779"/>
      <c r="Y175" s="1779"/>
      <c r="Z175" s="1779"/>
      <c r="AA175" s="1779"/>
      <c r="AB175" s="1779"/>
      <c r="AC175" s="1779"/>
    </row>
    <row r="176" spans="1:29">
      <c r="A176" s="1779"/>
      <c r="B176" s="1779"/>
      <c r="C176" s="1779"/>
      <c r="D176" s="1779"/>
      <c r="E176" s="1779"/>
      <c r="F176" s="1779"/>
      <c r="G176" s="1779"/>
      <c r="H176" s="1779"/>
      <c r="I176" s="1779"/>
      <c r="J176" s="1779"/>
      <c r="K176" s="1780"/>
      <c r="L176" s="1781"/>
      <c r="M176" s="1779"/>
      <c r="N176" s="1779"/>
      <c r="O176" s="1779"/>
      <c r="P176" s="1779"/>
      <c r="Q176" s="1779"/>
      <c r="R176" s="1779"/>
      <c r="S176" s="1779"/>
      <c r="T176" s="1779"/>
      <c r="U176" s="1779"/>
      <c r="V176" s="1779"/>
      <c r="W176" s="1779"/>
      <c r="X176" s="1779"/>
      <c r="Y176" s="1779"/>
      <c r="Z176" s="1779"/>
      <c r="AA176" s="1779"/>
      <c r="AB176" s="1779"/>
      <c r="AC176" s="1779"/>
    </row>
    <row r="177" spans="1:29">
      <c r="A177" s="1779"/>
      <c r="B177" s="1779"/>
      <c r="C177" s="1779"/>
      <c r="D177" s="1779"/>
      <c r="E177" s="1779"/>
      <c r="F177" s="1779"/>
      <c r="G177" s="1779"/>
      <c r="H177" s="1779"/>
      <c r="I177" s="1779"/>
      <c r="J177" s="1779"/>
      <c r="K177" s="1780"/>
      <c r="L177" s="1781"/>
      <c r="M177" s="1779"/>
      <c r="N177" s="1779"/>
      <c r="O177" s="1779"/>
      <c r="P177" s="1779"/>
      <c r="Q177" s="1779"/>
      <c r="R177" s="1779"/>
      <c r="S177" s="1779"/>
      <c r="T177" s="1779"/>
      <c r="U177" s="1779"/>
      <c r="V177" s="1779"/>
      <c r="W177" s="1779"/>
      <c r="X177" s="1779"/>
      <c r="Y177" s="1779"/>
      <c r="Z177" s="1779"/>
      <c r="AA177" s="1779"/>
      <c r="AB177" s="1779"/>
      <c r="AC177" s="1779"/>
    </row>
    <row r="178" spans="1:29">
      <c r="A178" s="1779"/>
      <c r="B178" s="1779"/>
      <c r="C178" s="1779"/>
      <c r="D178" s="1779"/>
      <c r="E178" s="1779"/>
      <c r="F178" s="1779"/>
      <c r="G178" s="1779"/>
      <c r="H178" s="1779"/>
      <c r="I178" s="1779"/>
      <c r="J178" s="1779"/>
      <c r="K178" s="1780"/>
      <c r="L178" s="1781"/>
      <c r="M178" s="1779"/>
      <c r="N178" s="1779"/>
      <c r="O178" s="1779"/>
      <c r="P178" s="1779"/>
      <c r="Q178" s="1779"/>
      <c r="R178" s="1779"/>
      <c r="S178" s="1779"/>
      <c r="T178" s="1779"/>
      <c r="U178" s="1779"/>
      <c r="V178" s="1779"/>
      <c r="W178" s="1779"/>
      <c r="X178" s="1779"/>
      <c r="Y178" s="1779"/>
      <c r="Z178" s="1779"/>
      <c r="AA178" s="1779"/>
      <c r="AB178" s="1779"/>
      <c r="AC178" s="1779"/>
    </row>
    <row r="179" spans="1:29">
      <c r="A179" s="1779"/>
      <c r="B179" s="1779"/>
      <c r="C179" s="1779"/>
      <c r="D179" s="1779"/>
      <c r="E179" s="1779"/>
      <c r="F179" s="1779"/>
      <c r="G179" s="1779"/>
      <c r="H179" s="1779"/>
      <c r="I179" s="1779"/>
      <c r="J179" s="1779"/>
      <c r="K179" s="1780"/>
      <c r="L179" s="1781"/>
      <c r="M179" s="1779"/>
      <c r="N179" s="1779"/>
      <c r="O179" s="1779"/>
      <c r="P179" s="1779"/>
      <c r="Q179" s="1779"/>
      <c r="R179" s="1779"/>
      <c r="S179" s="1779"/>
      <c r="T179" s="1779"/>
      <c r="U179" s="1779"/>
      <c r="V179" s="1779"/>
      <c r="W179" s="1779"/>
      <c r="X179" s="1779"/>
      <c r="Y179" s="1779"/>
      <c r="Z179" s="1779"/>
      <c r="AA179" s="1779"/>
      <c r="AB179" s="1779"/>
      <c r="AC179" s="1779"/>
    </row>
    <row r="180" spans="1:29">
      <c r="A180" s="1779"/>
      <c r="B180" s="1779"/>
      <c r="C180" s="1779"/>
      <c r="D180" s="1779"/>
      <c r="E180" s="1779"/>
      <c r="F180" s="1779"/>
      <c r="G180" s="1779"/>
      <c r="H180" s="1779"/>
      <c r="I180" s="1779"/>
      <c r="J180" s="1779"/>
      <c r="K180" s="1780"/>
      <c r="L180" s="1781"/>
      <c r="M180" s="1779"/>
      <c r="N180" s="1779"/>
      <c r="O180" s="1779"/>
      <c r="P180" s="1779"/>
      <c r="Q180" s="1779"/>
      <c r="R180" s="1779"/>
      <c r="S180" s="1779"/>
      <c r="T180" s="1779"/>
      <c r="U180" s="1779"/>
      <c r="V180" s="1779"/>
      <c r="W180" s="1779"/>
      <c r="X180" s="1779"/>
      <c r="Y180" s="1779"/>
      <c r="Z180" s="1779"/>
      <c r="AA180" s="1779"/>
      <c r="AB180" s="1779"/>
      <c r="AC180" s="1779"/>
    </row>
    <row r="181" spans="1:29">
      <c r="A181" s="1779"/>
      <c r="B181" s="1779"/>
      <c r="C181" s="1779"/>
      <c r="D181" s="1779"/>
      <c r="E181" s="1779"/>
      <c r="F181" s="1779"/>
      <c r="G181" s="1779"/>
      <c r="H181" s="1779"/>
      <c r="I181" s="1779"/>
      <c r="J181" s="1779"/>
      <c r="K181" s="1780"/>
      <c r="L181" s="1781"/>
      <c r="M181" s="1779"/>
      <c r="N181" s="1779"/>
      <c r="O181" s="1779"/>
      <c r="P181" s="1779"/>
      <c r="Q181" s="1779"/>
      <c r="R181" s="1779"/>
      <c r="S181" s="1779"/>
      <c r="T181" s="1779"/>
      <c r="U181" s="1779"/>
      <c r="V181" s="1779"/>
      <c r="W181" s="1779"/>
      <c r="X181" s="1779"/>
      <c r="Y181" s="1779"/>
      <c r="Z181" s="1779"/>
      <c r="AA181" s="1779"/>
      <c r="AB181" s="1779"/>
      <c r="AC181" s="1779"/>
    </row>
    <row r="182" spans="1:29">
      <c r="A182" s="1779"/>
      <c r="B182" s="1779"/>
      <c r="C182" s="1779"/>
      <c r="D182" s="1779"/>
      <c r="E182" s="1779"/>
      <c r="F182" s="1779"/>
      <c r="G182" s="1779"/>
      <c r="H182" s="1779"/>
      <c r="I182" s="1779"/>
      <c r="J182" s="1779"/>
      <c r="K182" s="1780"/>
      <c r="L182" s="1781"/>
      <c r="M182" s="1779"/>
      <c r="N182" s="1779"/>
      <c r="O182" s="1779"/>
      <c r="P182" s="1779"/>
      <c r="Q182" s="1779"/>
      <c r="R182" s="1779"/>
      <c r="S182" s="1779"/>
      <c r="T182" s="1779"/>
      <c r="U182" s="1779"/>
      <c r="V182" s="1779"/>
      <c r="W182" s="1779"/>
      <c r="X182" s="1779"/>
      <c r="Y182" s="1779"/>
      <c r="Z182" s="1779"/>
      <c r="AA182" s="1779"/>
      <c r="AB182" s="1779"/>
      <c r="AC182" s="1779"/>
    </row>
    <row r="183" spans="1:29">
      <c r="A183" s="1779"/>
      <c r="B183" s="1779"/>
      <c r="C183" s="1779"/>
      <c r="D183" s="1779"/>
      <c r="E183" s="1779"/>
      <c r="F183" s="1779"/>
      <c r="G183" s="1779"/>
      <c r="H183" s="1779"/>
      <c r="I183" s="1779"/>
      <c r="J183" s="1779"/>
      <c r="K183" s="1780"/>
      <c r="L183" s="1781"/>
      <c r="M183" s="1779"/>
      <c r="N183" s="1779"/>
      <c r="O183" s="1779"/>
      <c r="P183" s="1779"/>
      <c r="Q183" s="1779"/>
      <c r="R183" s="1779"/>
      <c r="S183" s="1779"/>
      <c r="T183" s="1779"/>
      <c r="U183" s="1779"/>
      <c r="V183" s="1779"/>
      <c r="W183" s="1779"/>
      <c r="X183" s="1779"/>
      <c r="Y183" s="1779"/>
      <c r="Z183" s="1779"/>
      <c r="AA183" s="1779"/>
      <c r="AB183" s="1779"/>
      <c r="AC183" s="1779"/>
    </row>
    <row r="184" spans="1:29">
      <c r="A184" s="1779"/>
      <c r="B184" s="1779"/>
      <c r="C184" s="1779"/>
      <c r="D184" s="1779"/>
      <c r="E184" s="1779"/>
      <c r="F184" s="1779"/>
      <c r="G184" s="1779"/>
      <c r="H184" s="1779"/>
      <c r="I184" s="1779"/>
      <c r="J184" s="1779"/>
      <c r="K184" s="1780"/>
      <c r="L184" s="1781"/>
      <c r="M184" s="1779"/>
      <c r="N184" s="1779"/>
      <c r="O184" s="1779"/>
      <c r="P184" s="1779"/>
      <c r="Q184" s="1779"/>
      <c r="R184" s="1779"/>
      <c r="S184" s="1779"/>
      <c r="T184" s="1779"/>
      <c r="U184" s="1779"/>
      <c r="V184" s="1779"/>
      <c r="W184" s="1779"/>
      <c r="X184" s="1779"/>
      <c r="Y184" s="1779"/>
      <c r="Z184" s="1779"/>
      <c r="AA184" s="1779"/>
      <c r="AB184" s="1779"/>
      <c r="AC184" s="1779"/>
    </row>
    <row r="185" spans="1:29">
      <c r="A185" s="1779"/>
      <c r="B185" s="1779"/>
      <c r="C185" s="1779"/>
      <c r="D185" s="1779"/>
      <c r="E185" s="1779"/>
      <c r="F185" s="1779"/>
      <c r="G185" s="1779"/>
      <c r="H185" s="1779"/>
      <c r="I185" s="1779"/>
      <c r="J185" s="1779"/>
      <c r="K185" s="1780"/>
      <c r="L185" s="1781"/>
      <c r="M185" s="1779"/>
      <c r="N185" s="1779"/>
      <c r="O185" s="1779"/>
      <c r="P185" s="1779"/>
      <c r="Q185" s="1779"/>
      <c r="R185" s="1779"/>
      <c r="S185" s="1779"/>
      <c r="T185" s="1779"/>
      <c r="U185" s="1779"/>
      <c r="V185" s="1779"/>
      <c r="W185" s="1779"/>
      <c r="X185" s="1779"/>
      <c r="Y185" s="1779"/>
      <c r="Z185" s="1779"/>
      <c r="AA185" s="1779"/>
      <c r="AB185" s="1779"/>
      <c r="AC185" s="1779"/>
    </row>
    <row r="186" spans="1:29">
      <c r="A186" s="1779"/>
      <c r="B186" s="1779"/>
      <c r="C186" s="1779"/>
      <c r="D186" s="1779"/>
      <c r="E186" s="1779"/>
      <c r="F186" s="1779"/>
      <c r="G186" s="1779"/>
      <c r="H186" s="1779"/>
      <c r="I186" s="1779"/>
      <c r="J186" s="1779"/>
      <c r="K186" s="1780"/>
      <c r="L186" s="1781"/>
      <c r="M186" s="1779"/>
      <c r="N186" s="1779"/>
      <c r="O186" s="1779"/>
      <c r="P186" s="1779"/>
      <c r="Q186" s="1779"/>
      <c r="R186" s="1779"/>
      <c r="S186" s="1779"/>
      <c r="T186" s="1779"/>
      <c r="U186" s="1779"/>
      <c r="V186" s="1779"/>
      <c r="W186" s="1779"/>
      <c r="X186" s="1779"/>
      <c r="Y186" s="1779"/>
      <c r="Z186" s="1779"/>
      <c r="AA186" s="1779"/>
      <c r="AB186" s="1779"/>
      <c r="AC186" s="1779"/>
    </row>
    <row r="187" spans="1:29">
      <c r="A187" s="1779"/>
      <c r="B187" s="1779"/>
      <c r="C187" s="1779"/>
      <c r="D187" s="1779"/>
      <c r="E187" s="1779"/>
      <c r="F187" s="1779"/>
      <c r="G187" s="1779"/>
      <c r="H187" s="1779"/>
      <c r="I187" s="1779"/>
      <c r="J187" s="1779"/>
      <c r="K187" s="1780"/>
      <c r="L187" s="1781"/>
      <c r="M187" s="1779"/>
      <c r="N187" s="1779"/>
      <c r="O187" s="1779"/>
      <c r="P187" s="1779"/>
      <c r="Q187" s="1779"/>
      <c r="R187" s="1779"/>
      <c r="S187" s="1779"/>
      <c r="T187" s="1779"/>
      <c r="U187" s="1779"/>
      <c r="V187" s="1779"/>
      <c r="W187" s="1779"/>
      <c r="X187" s="1779"/>
      <c r="Y187" s="1779"/>
      <c r="Z187" s="1779"/>
      <c r="AA187" s="1779"/>
      <c r="AB187" s="1779"/>
      <c r="AC187" s="1779"/>
    </row>
    <row r="188" spans="1:29">
      <c r="A188" s="1779"/>
      <c r="B188" s="1779"/>
      <c r="C188" s="1779"/>
      <c r="D188" s="1779"/>
      <c r="E188" s="1779"/>
      <c r="F188" s="1779"/>
      <c r="G188" s="1779"/>
      <c r="H188" s="1779"/>
      <c r="I188" s="1779"/>
      <c r="J188" s="1779"/>
      <c r="K188" s="1780"/>
      <c r="L188" s="1781"/>
      <c r="M188" s="1779"/>
      <c r="N188" s="1779"/>
      <c r="O188" s="1779"/>
      <c r="P188" s="1779"/>
      <c r="Q188" s="1779"/>
      <c r="R188" s="1779"/>
      <c r="S188" s="1779"/>
      <c r="T188" s="1779"/>
      <c r="U188" s="1779"/>
      <c r="V188" s="1779"/>
      <c r="W188" s="1779"/>
      <c r="X188" s="1779"/>
      <c r="Y188" s="1779"/>
      <c r="Z188" s="1779"/>
      <c r="AA188" s="1779"/>
      <c r="AB188" s="1779"/>
      <c r="AC188" s="1779"/>
    </row>
    <row r="189" spans="1:29">
      <c r="A189" s="1779"/>
      <c r="B189" s="1779"/>
      <c r="C189" s="1779"/>
      <c r="D189" s="1779"/>
      <c r="E189" s="1779"/>
      <c r="F189" s="1779"/>
      <c r="G189" s="1779"/>
      <c r="H189" s="1779"/>
      <c r="I189" s="1779"/>
      <c r="J189" s="1779"/>
      <c r="K189" s="1780"/>
      <c r="L189" s="1781"/>
      <c r="M189" s="1779"/>
      <c r="N189" s="1779"/>
      <c r="O189" s="1779"/>
      <c r="P189" s="1779"/>
      <c r="Q189" s="1779"/>
      <c r="R189" s="1779"/>
      <c r="S189" s="1779"/>
      <c r="T189" s="1779"/>
      <c r="U189" s="1779"/>
      <c r="V189" s="1779"/>
      <c r="W189" s="1779"/>
      <c r="X189" s="1779"/>
      <c r="Y189" s="1779"/>
      <c r="Z189" s="1779"/>
      <c r="AA189" s="1779"/>
      <c r="AB189" s="1779"/>
      <c r="AC189" s="1779"/>
    </row>
    <row r="190" spans="1:29">
      <c r="A190" s="1779"/>
      <c r="B190" s="1779"/>
      <c r="C190" s="1779"/>
      <c r="D190" s="1779"/>
      <c r="E190" s="1779"/>
      <c r="F190" s="1779"/>
      <c r="G190" s="1779"/>
      <c r="H190" s="1779"/>
      <c r="I190" s="1779"/>
      <c r="J190" s="1779"/>
      <c r="K190" s="1780"/>
      <c r="L190" s="1781"/>
      <c r="M190" s="1779"/>
      <c r="N190" s="1779"/>
      <c r="O190" s="1779"/>
      <c r="P190" s="1779"/>
      <c r="Q190" s="1779"/>
      <c r="R190" s="1779"/>
      <c r="S190" s="1779"/>
      <c r="T190" s="1779"/>
      <c r="U190" s="1779"/>
      <c r="V190" s="1779"/>
      <c r="W190" s="1779"/>
      <c r="X190" s="1779"/>
      <c r="Y190" s="1779"/>
      <c r="Z190" s="1779"/>
      <c r="AA190" s="1779"/>
      <c r="AB190" s="1779"/>
      <c r="AC190" s="1779"/>
    </row>
    <row r="191" spans="1:29">
      <c r="A191" s="1779"/>
      <c r="B191" s="1779"/>
      <c r="C191" s="1779"/>
      <c r="D191" s="1779"/>
      <c r="E191" s="1779"/>
      <c r="F191" s="1779"/>
      <c r="G191" s="1779"/>
      <c r="H191" s="1779"/>
      <c r="I191" s="1779"/>
      <c r="J191" s="1779"/>
      <c r="K191" s="1780"/>
      <c r="L191" s="1781"/>
      <c r="M191" s="1779"/>
      <c r="N191" s="1779"/>
      <c r="O191" s="1779"/>
      <c r="P191" s="1779"/>
      <c r="Q191" s="1779"/>
      <c r="R191" s="1779"/>
      <c r="S191" s="1779"/>
      <c r="T191" s="1779"/>
      <c r="U191" s="1779"/>
      <c r="V191" s="1779"/>
      <c r="W191" s="1779"/>
      <c r="X191" s="1779"/>
      <c r="Y191" s="1779"/>
      <c r="Z191" s="1779"/>
      <c r="AA191" s="1779"/>
      <c r="AB191" s="1779"/>
      <c r="AC191" s="1779"/>
    </row>
    <row r="192" spans="1:29">
      <c r="A192" s="1779"/>
      <c r="B192" s="1779"/>
      <c r="C192" s="1779"/>
      <c r="D192" s="1779"/>
      <c r="E192" s="1779"/>
      <c r="F192" s="1779"/>
      <c r="G192" s="1779"/>
      <c r="H192" s="1779"/>
      <c r="I192" s="1779"/>
      <c r="J192" s="1779"/>
      <c r="K192" s="1780"/>
      <c r="L192" s="1781"/>
      <c r="M192" s="1779"/>
      <c r="N192" s="1779"/>
      <c r="O192" s="1779"/>
      <c r="P192" s="1779"/>
      <c r="Q192" s="1779"/>
      <c r="R192" s="1779"/>
      <c r="S192" s="1779"/>
      <c r="T192" s="1779"/>
      <c r="U192" s="1779"/>
      <c r="V192" s="1779"/>
      <c r="W192" s="1779"/>
      <c r="X192" s="1779"/>
      <c r="Y192" s="1779"/>
      <c r="Z192" s="1779"/>
      <c r="AA192" s="1779"/>
      <c r="AB192" s="1779"/>
      <c r="AC192" s="1779"/>
    </row>
    <row r="193" spans="1:29">
      <c r="A193" s="1779"/>
      <c r="B193" s="1779"/>
      <c r="C193" s="1779"/>
      <c r="D193" s="1779"/>
      <c r="E193" s="1779"/>
      <c r="F193" s="1779"/>
      <c r="G193" s="1779"/>
      <c r="H193" s="1779"/>
      <c r="I193" s="1779"/>
      <c r="J193" s="1779"/>
      <c r="K193" s="1780"/>
      <c r="L193" s="1781"/>
      <c r="M193" s="1779"/>
      <c r="N193" s="1779"/>
      <c r="O193" s="1779"/>
      <c r="P193" s="1779"/>
      <c r="Q193" s="1779"/>
      <c r="R193" s="1779"/>
      <c r="S193" s="1779"/>
      <c r="T193" s="1779"/>
      <c r="U193" s="1779"/>
      <c r="V193" s="1779"/>
      <c r="W193" s="1779"/>
      <c r="X193" s="1779"/>
      <c r="Y193" s="1779"/>
      <c r="Z193" s="1779"/>
      <c r="AA193" s="1779"/>
      <c r="AB193" s="1779"/>
      <c r="AC193" s="1779"/>
    </row>
    <row r="194" spans="1:29">
      <c r="A194" s="1779"/>
      <c r="B194" s="1779"/>
      <c r="C194" s="1779"/>
      <c r="D194" s="1779"/>
      <c r="E194" s="1779"/>
      <c r="F194" s="1779"/>
      <c r="G194" s="1779"/>
      <c r="H194" s="1779"/>
      <c r="I194" s="1779"/>
      <c r="J194" s="1779"/>
      <c r="K194" s="1780"/>
      <c r="L194" s="1781"/>
      <c r="M194" s="1779"/>
      <c r="N194" s="1779"/>
      <c r="O194" s="1779"/>
      <c r="P194" s="1779"/>
      <c r="Q194" s="1779"/>
      <c r="R194" s="1779"/>
      <c r="S194" s="1779"/>
      <c r="T194" s="1779"/>
      <c r="U194" s="1779"/>
      <c r="V194" s="1779"/>
      <c r="W194" s="1779"/>
      <c r="X194" s="1779"/>
      <c r="Y194" s="1779"/>
      <c r="Z194" s="1779"/>
      <c r="AA194" s="1779"/>
      <c r="AB194" s="1779"/>
      <c r="AC194" s="1779"/>
    </row>
    <row r="195" spans="1:29">
      <c r="A195" s="1779"/>
      <c r="B195" s="1779"/>
      <c r="C195" s="1779"/>
      <c r="D195" s="1779"/>
      <c r="E195" s="1779"/>
      <c r="F195" s="1779"/>
      <c r="G195" s="1779"/>
      <c r="H195" s="1779"/>
      <c r="I195" s="1779"/>
      <c r="J195" s="1779"/>
      <c r="K195" s="1780"/>
      <c r="L195" s="1781"/>
      <c r="M195" s="1779"/>
      <c r="N195" s="1779"/>
      <c r="O195" s="1779"/>
      <c r="P195" s="1779"/>
      <c r="Q195" s="1779"/>
      <c r="R195" s="1779"/>
      <c r="S195" s="1779"/>
      <c r="T195" s="1779"/>
      <c r="U195" s="1779"/>
      <c r="V195" s="1779"/>
      <c r="W195" s="1779"/>
      <c r="X195" s="1779"/>
      <c r="Y195" s="1779"/>
      <c r="Z195" s="1779"/>
      <c r="AA195" s="1779"/>
      <c r="AB195" s="1779"/>
      <c r="AC195" s="1779"/>
    </row>
    <row r="196" spans="1:29">
      <c r="A196" s="1779"/>
      <c r="B196" s="1779"/>
      <c r="C196" s="1779"/>
      <c r="D196" s="1779"/>
      <c r="E196" s="1779"/>
      <c r="F196" s="1779"/>
      <c r="G196" s="1779"/>
      <c r="H196" s="1779"/>
      <c r="I196" s="1779"/>
      <c r="J196" s="1779"/>
      <c r="K196" s="1780"/>
      <c r="L196" s="1781"/>
      <c r="M196" s="1779"/>
      <c r="N196" s="1779"/>
      <c r="O196" s="1779"/>
      <c r="P196" s="1779"/>
      <c r="Q196" s="1779"/>
      <c r="R196" s="1779"/>
      <c r="S196" s="1779"/>
      <c r="T196" s="1779"/>
      <c r="U196" s="1779"/>
      <c r="V196" s="1779"/>
      <c r="W196" s="1779"/>
      <c r="X196" s="1779"/>
      <c r="Y196" s="1779"/>
      <c r="Z196" s="1779"/>
      <c r="AA196" s="1779"/>
      <c r="AB196" s="1779"/>
      <c r="AC196" s="1779"/>
    </row>
    <row r="197" spans="1:29">
      <c r="A197" s="1779"/>
      <c r="B197" s="1779"/>
      <c r="C197" s="1779"/>
      <c r="D197" s="1779"/>
      <c r="E197" s="1779"/>
      <c r="F197" s="1779"/>
      <c r="G197" s="1779"/>
      <c r="H197" s="1779"/>
      <c r="I197" s="1779"/>
      <c r="J197" s="1779"/>
      <c r="K197" s="1780"/>
      <c r="L197" s="1781"/>
      <c r="M197" s="1779"/>
      <c r="N197" s="1779"/>
      <c r="O197" s="1779"/>
      <c r="P197" s="1779"/>
      <c r="Q197" s="1779"/>
      <c r="R197" s="1779"/>
      <c r="S197" s="1779"/>
      <c r="T197" s="1779"/>
      <c r="U197" s="1779"/>
      <c r="V197" s="1779"/>
      <c r="W197" s="1779"/>
      <c r="X197" s="1779"/>
      <c r="Y197" s="1779"/>
      <c r="Z197" s="1779"/>
      <c r="AA197" s="1779"/>
      <c r="AB197" s="1779"/>
      <c r="AC197" s="1779"/>
    </row>
    <row r="198" spans="1:29">
      <c r="A198" s="1779"/>
      <c r="B198" s="1779"/>
      <c r="C198" s="1779"/>
      <c r="D198" s="1779"/>
      <c r="E198" s="1779"/>
      <c r="F198" s="1779"/>
      <c r="G198" s="1779"/>
      <c r="H198" s="1779"/>
      <c r="I198" s="1779"/>
      <c r="J198" s="1779"/>
      <c r="K198" s="1780"/>
      <c r="L198" s="1781"/>
      <c r="M198" s="1779"/>
      <c r="N198" s="1779"/>
      <c r="O198" s="1779"/>
      <c r="P198" s="1779"/>
      <c r="Q198" s="1779"/>
      <c r="R198" s="1779"/>
      <c r="S198" s="1779"/>
      <c r="T198" s="1779"/>
      <c r="U198" s="1779"/>
      <c r="V198" s="1779"/>
      <c r="W198" s="1779"/>
      <c r="X198" s="1779"/>
      <c r="Y198" s="1779"/>
      <c r="Z198" s="1779"/>
      <c r="AA198" s="1779"/>
      <c r="AB198" s="1779"/>
      <c r="AC198" s="1779"/>
    </row>
    <row r="199" spans="1:29">
      <c r="A199" s="1779"/>
      <c r="B199" s="1779"/>
      <c r="C199" s="1779"/>
      <c r="D199" s="1779"/>
      <c r="E199" s="1779"/>
      <c r="F199" s="1779"/>
      <c r="G199" s="1779"/>
      <c r="H199" s="1779"/>
      <c r="I199" s="1779"/>
      <c r="J199" s="1779"/>
      <c r="K199" s="1780"/>
      <c r="L199" s="1781"/>
      <c r="M199" s="1779"/>
      <c r="N199" s="1779"/>
      <c r="O199" s="1779"/>
      <c r="P199" s="1779"/>
      <c r="Q199" s="1779"/>
      <c r="R199" s="1779"/>
      <c r="S199" s="1779"/>
      <c r="T199" s="1779"/>
      <c r="U199" s="1779"/>
      <c r="V199" s="1779"/>
      <c r="W199" s="1779"/>
      <c r="X199" s="1779"/>
      <c r="Y199" s="1779"/>
      <c r="Z199" s="1779"/>
      <c r="AA199" s="1779"/>
      <c r="AB199" s="1779"/>
      <c r="AC199" s="1779"/>
    </row>
    <row r="200" spans="1:29">
      <c r="A200" s="1779"/>
      <c r="B200" s="1779"/>
      <c r="C200" s="1779"/>
      <c r="D200" s="1779"/>
      <c r="E200" s="1779"/>
      <c r="F200" s="1779"/>
      <c r="G200" s="1779"/>
      <c r="H200" s="1779"/>
      <c r="I200" s="1779"/>
      <c r="J200" s="1779"/>
      <c r="K200" s="1780"/>
      <c r="L200" s="1781"/>
      <c r="M200" s="1779"/>
      <c r="N200" s="1779"/>
      <c r="O200" s="1779"/>
      <c r="P200" s="1779"/>
      <c r="Q200" s="1779"/>
      <c r="R200" s="1779"/>
      <c r="S200" s="1779"/>
      <c r="T200" s="1779"/>
      <c r="U200" s="1779"/>
      <c r="V200" s="1779"/>
      <c r="W200" s="1779"/>
      <c r="X200" s="1779"/>
      <c r="Y200" s="1779"/>
      <c r="Z200" s="1779"/>
      <c r="AA200" s="1779"/>
      <c r="AB200" s="1779"/>
      <c r="AC200" s="1779"/>
    </row>
    <row r="201" spans="1:29">
      <c r="A201" s="1779"/>
      <c r="B201" s="1779"/>
      <c r="C201" s="1779"/>
      <c r="D201" s="1779"/>
      <c r="E201" s="1779"/>
      <c r="F201" s="1779"/>
      <c r="G201" s="1779"/>
      <c r="H201" s="1779"/>
      <c r="I201" s="1779"/>
      <c r="J201" s="1779"/>
      <c r="K201" s="1780"/>
      <c r="L201" s="1781"/>
      <c r="M201" s="1779"/>
      <c r="N201" s="1779"/>
      <c r="O201" s="1779"/>
      <c r="P201" s="1779"/>
      <c r="Q201" s="1779"/>
      <c r="R201" s="1779"/>
      <c r="S201" s="1779"/>
      <c r="T201" s="1779"/>
      <c r="U201" s="1779"/>
      <c r="V201" s="1779"/>
      <c r="W201" s="1779"/>
      <c r="X201" s="1779"/>
      <c r="Y201" s="1779"/>
      <c r="Z201" s="1779"/>
      <c r="AA201" s="1779"/>
      <c r="AB201" s="1779"/>
      <c r="AC201" s="1779"/>
    </row>
    <row r="202" spans="1:29">
      <c r="A202" s="1779"/>
      <c r="B202" s="1779"/>
      <c r="C202" s="1779"/>
      <c r="D202" s="1779"/>
      <c r="E202" s="1779"/>
      <c r="F202" s="1779"/>
      <c r="G202" s="1779"/>
      <c r="H202" s="1779"/>
      <c r="I202" s="1779"/>
      <c r="J202" s="1779"/>
      <c r="K202" s="1780"/>
      <c r="L202" s="1781"/>
      <c r="M202" s="1779"/>
      <c r="N202" s="1779"/>
      <c r="O202" s="1779"/>
      <c r="P202" s="1779"/>
      <c r="Q202" s="1779"/>
      <c r="R202" s="1779"/>
      <c r="S202" s="1779"/>
      <c r="T202" s="1779"/>
      <c r="U202" s="1779"/>
      <c r="V202" s="1779"/>
      <c r="W202" s="1779"/>
      <c r="X202" s="1779"/>
      <c r="Y202" s="1779"/>
      <c r="Z202" s="1779"/>
      <c r="AA202" s="1779"/>
      <c r="AB202" s="1779"/>
      <c r="AC202" s="1779"/>
    </row>
    <row r="203" spans="1:29">
      <c r="A203" s="1779"/>
      <c r="B203" s="1779"/>
      <c r="C203" s="1779"/>
      <c r="D203" s="1779"/>
      <c r="E203" s="1779"/>
      <c r="F203" s="1779"/>
      <c r="G203" s="1779"/>
      <c r="H203" s="1779"/>
      <c r="I203" s="1779"/>
      <c r="J203" s="1779"/>
      <c r="K203" s="1780"/>
      <c r="L203" s="1781"/>
      <c r="M203" s="1779"/>
      <c r="N203" s="1779"/>
      <c r="O203" s="1779"/>
      <c r="P203" s="1779"/>
      <c r="Q203" s="1779"/>
      <c r="R203" s="1779"/>
      <c r="S203" s="1779"/>
      <c r="T203" s="1779"/>
      <c r="U203" s="1779"/>
      <c r="V203" s="1779"/>
      <c r="W203" s="1779"/>
      <c r="X203" s="1779"/>
      <c r="Y203" s="1779"/>
      <c r="Z203" s="1779"/>
      <c r="AA203" s="1779"/>
      <c r="AB203" s="1779"/>
      <c r="AC203" s="1779"/>
    </row>
    <row r="204" spans="1:29">
      <c r="A204" s="1779"/>
      <c r="B204" s="1779"/>
      <c r="C204" s="1779"/>
      <c r="D204" s="1779"/>
      <c r="E204" s="1779"/>
      <c r="F204" s="1779"/>
      <c r="G204" s="1779"/>
      <c r="H204" s="1779"/>
      <c r="I204" s="1779"/>
      <c r="J204" s="1779"/>
      <c r="K204" s="1780"/>
      <c r="L204" s="1781"/>
      <c r="M204" s="1779"/>
      <c r="N204" s="1779"/>
      <c r="O204" s="1779"/>
      <c r="P204" s="1779"/>
      <c r="Q204" s="1779"/>
      <c r="R204" s="1779"/>
      <c r="S204" s="1779"/>
      <c r="T204" s="1779"/>
      <c r="U204" s="1779"/>
      <c r="V204" s="1779"/>
      <c r="W204" s="1779"/>
      <c r="X204" s="1779"/>
      <c r="Y204" s="1779"/>
      <c r="Z204" s="1779"/>
      <c r="AA204" s="1779"/>
      <c r="AB204" s="1779"/>
      <c r="AC204" s="1779"/>
    </row>
    <row r="205" spans="1:29">
      <c r="A205" s="1779"/>
      <c r="B205" s="1779"/>
      <c r="C205" s="1779"/>
      <c r="D205" s="1779"/>
      <c r="E205" s="1779"/>
      <c r="F205" s="1779"/>
      <c r="G205" s="1779"/>
      <c r="H205" s="1779"/>
      <c r="I205" s="1779"/>
      <c r="J205" s="1779"/>
      <c r="K205" s="1780"/>
      <c r="L205" s="1781"/>
      <c r="M205" s="1779"/>
      <c r="N205" s="1779"/>
      <c r="O205" s="1779"/>
      <c r="P205" s="1779"/>
      <c r="Q205" s="1779"/>
      <c r="R205" s="1779"/>
      <c r="S205" s="1779"/>
      <c r="T205" s="1779"/>
      <c r="U205" s="1779"/>
      <c r="V205" s="1779"/>
      <c r="W205" s="1779"/>
      <c r="X205" s="1779"/>
      <c r="Y205" s="1779"/>
      <c r="Z205" s="1779"/>
      <c r="AA205" s="1779"/>
      <c r="AB205" s="1779"/>
      <c r="AC205" s="1779"/>
    </row>
    <row r="206" spans="1:29">
      <c r="A206" s="1779"/>
      <c r="B206" s="1779"/>
      <c r="C206" s="1779"/>
      <c r="D206" s="1779"/>
      <c r="E206" s="1779"/>
      <c r="F206" s="1779"/>
      <c r="G206" s="1779"/>
      <c r="H206" s="1779"/>
      <c r="I206" s="1779"/>
      <c r="J206" s="1779"/>
      <c r="K206" s="1780"/>
      <c r="L206" s="1781"/>
      <c r="M206" s="1779"/>
      <c r="N206" s="1779"/>
      <c r="O206" s="1779"/>
      <c r="P206" s="1779"/>
      <c r="Q206" s="1779"/>
      <c r="R206" s="1779"/>
      <c r="S206" s="1779"/>
      <c r="T206" s="1779"/>
      <c r="U206" s="1779"/>
      <c r="V206" s="1779"/>
      <c r="W206" s="1779"/>
      <c r="X206" s="1779"/>
      <c r="Y206" s="1779"/>
      <c r="Z206" s="1779"/>
      <c r="AA206" s="1779"/>
      <c r="AB206" s="1779"/>
      <c r="AC206" s="1779"/>
    </row>
    <row r="207" spans="1:29">
      <c r="A207" s="1779"/>
      <c r="B207" s="1779"/>
      <c r="C207" s="1779"/>
      <c r="D207" s="1779"/>
      <c r="E207" s="1779"/>
      <c r="F207" s="1779"/>
      <c r="G207" s="1779"/>
      <c r="H207" s="1779"/>
      <c r="I207" s="1779"/>
      <c r="J207" s="1779"/>
      <c r="K207" s="1780"/>
      <c r="L207" s="1781"/>
      <c r="M207" s="1779"/>
      <c r="N207" s="1779"/>
      <c r="O207" s="1779"/>
      <c r="P207" s="1779"/>
      <c r="Q207" s="1779"/>
      <c r="R207" s="1779"/>
      <c r="S207" s="1779"/>
      <c r="T207" s="1779"/>
      <c r="U207" s="1779"/>
      <c r="V207" s="1779"/>
      <c r="W207" s="1779"/>
      <c r="X207" s="1779"/>
      <c r="Y207" s="1779"/>
      <c r="Z207" s="1779"/>
      <c r="AA207" s="1779"/>
      <c r="AB207" s="1779"/>
      <c r="AC207" s="1779"/>
    </row>
    <row r="208" spans="1:29">
      <c r="A208" s="1779"/>
      <c r="B208" s="1779"/>
      <c r="C208" s="1779"/>
      <c r="D208" s="1779"/>
      <c r="E208" s="1779"/>
      <c r="F208" s="1779"/>
      <c r="G208" s="1779"/>
      <c r="H208" s="1779"/>
      <c r="I208" s="1779"/>
      <c r="J208" s="1779"/>
      <c r="K208" s="1780"/>
      <c r="L208" s="1781"/>
      <c r="M208" s="1779"/>
      <c r="N208" s="1779"/>
      <c r="O208" s="1779"/>
      <c r="P208" s="1779"/>
      <c r="Q208" s="1779"/>
      <c r="R208" s="1779"/>
      <c r="S208" s="1779"/>
      <c r="T208" s="1779"/>
      <c r="U208" s="1779"/>
      <c r="V208" s="1779"/>
      <c r="W208" s="1779"/>
      <c r="X208" s="1779"/>
      <c r="Y208" s="1779"/>
      <c r="Z208" s="1779"/>
      <c r="AA208" s="1779"/>
      <c r="AB208" s="1779"/>
      <c r="AC208" s="1779"/>
    </row>
    <row r="209" spans="1:29">
      <c r="A209" s="1779"/>
      <c r="B209" s="1779"/>
      <c r="C209" s="1779"/>
      <c r="D209" s="1779"/>
      <c r="E209" s="1779"/>
      <c r="F209" s="1779"/>
      <c r="G209" s="1779"/>
      <c r="H209" s="1779"/>
      <c r="I209" s="1779"/>
      <c r="J209" s="1779"/>
      <c r="K209" s="1780"/>
      <c r="L209" s="1781"/>
      <c r="M209" s="1779"/>
      <c r="N209" s="1779"/>
      <c r="O209" s="1779"/>
      <c r="P209" s="1779"/>
      <c r="Q209" s="1779"/>
      <c r="R209" s="1779"/>
      <c r="S209" s="1779"/>
      <c r="T209" s="1779"/>
      <c r="U209" s="1779"/>
      <c r="V209" s="1779"/>
      <c r="W209" s="1779"/>
      <c r="X209" s="1779"/>
      <c r="Y209" s="1779"/>
      <c r="Z209" s="1779"/>
      <c r="AA209" s="1779"/>
      <c r="AB209" s="1779"/>
      <c r="AC209" s="1779"/>
    </row>
    <row r="210" spans="1:29">
      <c r="A210" s="1779"/>
      <c r="B210" s="1779"/>
      <c r="C210" s="1779"/>
      <c r="D210" s="1779"/>
      <c r="E210" s="1779"/>
      <c r="F210" s="1779"/>
      <c r="G210" s="1779"/>
      <c r="H210" s="1779"/>
      <c r="I210" s="1779"/>
      <c r="J210" s="1779"/>
      <c r="K210" s="1780"/>
      <c r="L210" s="1781"/>
      <c r="M210" s="1779"/>
      <c r="N210" s="1779"/>
      <c r="O210" s="1779"/>
      <c r="P210" s="1779"/>
      <c r="Q210" s="1779"/>
      <c r="R210" s="1779"/>
      <c r="S210" s="1779"/>
      <c r="T210" s="1779"/>
      <c r="U210" s="1779"/>
      <c r="V210" s="1779"/>
      <c r="W210" s="1779"/>
      <c r="X210" s="1779"/>
      <c r="Y210" s="1779"/>
      <c r="Z210" s="1779"/>
      <c r="AA210" s="1779"/>
      <c r="AB210" s="1779"/>
      <c r="AC210" s="1779"/>
    </row>
    <row r="211" spans="1:29">
      <c r="A211" s="1779"/>
      <c r="B211" s="1779"/>
      <c r="C211" s="1779"/>
      <c r="D211" s="1779"/>
      <c r="E211" s="1779"/>
      <c r="F211" s="1779"/>
      <c r="G211" s="1779"/>
      <c r="H211" s="1779"/>
      <c r="I211" s="1779"/>
      <c r="J211" s="1779"/>
      <c r="K211" s="1780"/>
      <c r="L211" s="1781"/>
      <c r="M211" s="1779"/>
      <c r="N211" s="1779"/>
      <c r="O211" s="1779"/>
      <c r="P211" s="1779"/>
      <c r="Q211" s="1779"/>
      <c r="R211" s="1779"/>
      <c r="S211" s="1779"/>
      <c r="T211" s="1779"/>
      <c r="U211" s="1779"/>
      <c r="V211" s="1779"/>
      <c r="W211" s="1779"/>
      <c r="X211" s="1779"/>
      <c r="Y211" s="1779"/>
      <c r="Z211" s="1779"/>
      <c r="AA211" s="1779"/>
      <c r="AB211" s="1779"/>
      <c r="AC211" s="1779"/>
    </row>
    <row r="212" spans="1:29">
      <c r="A212" s="1779"/>
      <c r="B212" s="1779"/>
      <c r="C212" s="1779"/>
      <c r="D212" s="1779"/>
      <c r="E212" s="1779"/>
      <c r="F212" s="1779"/>
      <c r="G212" s="1779"/>
      <c r="H212" s="1779"/>
      <c r="I212" s="1779"/>
      <c r="J212" s="1779"/>
      <c r="K212" s="1780"/>
      <c r="L212" s="1781"/>
      <c r="M212" s="1779"/>
      <c r="N212" s="1779"/>
      <c r="O212" s="1779"/>
      <c r="P212" s="1779"/>
      <c r="Q212" s="1779"/>
      <c r="R212" s="1779"/>
      <c r="S212" s="1779"/>
      <c r="T212" s="1779"/>
      <c r="U212" s="1779"/>
      <c r="V212" s="1779"/>
      <c r="W212" s="1779"/>
      <c r="X212" s="1779"/>
      <c r="Y212" s="1779"/>
      <c r="Z212" s="1779"/>
      <c r="AA212" s="1779"/>
      <c r="AB212" s="1779"/>
      <c r="AC212" s="1779"/>
    </row>
    <row r="213" spans="1:29">
      <c r="A213" s="1779"/>
      <c r="B213" s="1779"/>
      <c r="C213" s="1779"/>
      <c r="D213" s="1779"/>
      <c r="E213" s="1779"/>
      <c r="F213" s="1779"/>
      <c r="G213" s="1779"/>
      <c r="H213" s="1779"/>
      <c r="I213" s="1779"/>
      <c r="J213" s="1779"/>
      <c r="K213" s="1780"/>
      <c r="L213" s="1781"/>
      <c r="M213" s="1779"/>
      <c r="N213" s="1779"/>
      <c r="O213" s="1779"/>
      <c r="P213" s="1779"/>
      <c r="Q213" s="1779"/>
      <c r="R213" s="1779"/>
      <c r="S213" s="1779"/>
      <c r="T213" s="1779"/>
      <c r="U213" s="1779"/>
      <c r="V213" s="1779"/>
      <c r="W213" s="1779"/>
      <c r="X213" s="1779"/>
      <c r="Y213" s="1779"/>
      <c r="Z213" s="1779"/>
      <c r="AA213" s="1779"/>
      <c r="AB213" s="1779"/>
      <c r="AC213" s="1779"/>
    </row>
    <row r="214" spans="1:29">
      <c r="A214" s="1779"/>
      <c r="B214" s="1779"/>
      <c r="C214" s="1779"/>
      <c r="D214" s="1779"/>
      <c r="E214" s="1779"/>
      <c r="F214" s="1779"/>
      <c r="G214" s="1779"/>
      <c r="H214" s="1779"/>
      <c r="I214" s="1779"/>
      <c r="J214" s="1779"/>
      <c r="K214" s="1780"/>
      <c r="L214" s="1781"/>
      <c r="M214" s="1779"/>
      <c r="N214" s="1779"/>
      <c r="O214" s="1779"/>
      <c r="P214" s="1779"/>
      <c r="Q214" s="1779"/>
      <c r="R214" s="1779"/>
      <c r="S214" s="1779"/>
      <c r="T214" s="1779"/>
      <c r="U214" s="1779"/>
      <c r="V214" s="1779"/>
      <c r="W214" s="1779"/>
      <c r="X214" s="1779"/>
      <c r="Y214" s="1779"/>
      <c r="Z214" s="1779"/>
      <c r="AA214" s="1779"/>
      <c r="AB214" s="1779"/>
      <c r="AC214" s="1779"/>
    </row>
    <row r="215" spans="1:29">
      <c r="A215" s="1779"/>
      <c r="B215" s="1779"/>
      <c r="C215" s="1779"/>
      <c r="D215" s="1779"/>
      <c r="E215" s="1779"/>
      <c r="F215" s="1779"/>
      <c r="G215" s="1779"/>
      <c r="H215" s="1779"/>
      <c r="I215" s="1779"/>
      <c r="J215" s="1779"/>
      <c r="K215" s="1780"/>
      <c r="L215" s="1781"/>
      <c r="M215" s="1779"/>
      <c r="N215" s="1779"/>
      <c r="O215" s="1779"/>
      <c r="P215" s="1779"/>
      <c r="Q215" s="1779"/>
      <c r="R215" s="1779"/>
      <c r="S215" s="1779"/>
      <c r="T215" s="1779"/>
      <c r="U215" s="1779"/>
      <c r="V215" s="1779"/>
      <c r="W215" s="1779"/>
      <c r="X215" s="1779"/>
      <c r="Y215" s="1779"/>
      <c r="Z215" s="1779"/>
      <c r="AA215" s="1779"/>
      <c r="AB215" s="1779"/>
      <c r="AC215" s="1779"/>
    </row>
    <row r="216" spans="1:29">
      <c r="A216" s="1779"/>
      <c r="B216" s="1779"/>
      <c r="C216" s="1779"/>
      <c r="D216" s="1779"/>
      <c r="E216" s="1779"/>
      <c r="F216" s="1779"/>
      <c r="G216" s="1779"/>
      <c r="H216" s="1779"/>
      <c r="I216" s="1779"/>
      <c r="J216" s="1779"/>
      <c r="K216" s="1780"/>
      <c r="L216" s="1781"/>
      <c r="M216" s="1779"/>
      <c r="N216" s="1779"/>
      <c r="O216" s="1779"/>
      <c r="P216" s="1779"/>
      <c r="Q216" s="1779"/>
      <c r="R216" s="1779"/>
      <c r="S216" s="1779"/>
      <c r="T216" s="1779"/>
      <c r="U216" s="1779"/>
      <c r="V216" s="1779"/>
      <c r="W216" s="1779"/>
      <c r="X216" s="1779"/>
      <c r="Y216" s="1779"/>
      <c r="Z216" s="1779"/>
      <c r="AA216" s="1779"/>
      <c r="AB216" s="1779"/>
      <c r="AC216" s="1779"/>
    </row>
    <row r="217" spans="1:29">
      <c r="A217" s="1779"/>
      <c r="B217" s="1779"/>
      <c r="C217" s="1779"/>
      <c r="D217" s="1779"/>
      <c r="E217" s="1779"/>
      <c r="F217" s="1779"/>
      <c r="G217" s="1779"/>
      <c r="H217" s="1779"/>
      <c r="I217" s="1779"/>
      <c r="J217" s="1779"/>
      <c r="K217" s="1780"/>
      <c r="L217" s="1781"/>
      <c r="M217" s="1779"/>
      <c r="N217" s="1779"/>
      <c r="O217" s="1779"/>
      <c r="P217" s="1779"/>
      <c r="Q217" s="1779"/>
      <c r="R217" s="1779"/>
      <c r="S217" s="1779"/>
      <c r="T217" s="1779"/>
      <c r="U217" s="1779"/>
      <c r="V217" s="1779"/>
      <c r="W217" s="1779"/>
      <c r="X217" s="1779"/>
      <c r="Y217" s="1779"/>
      <c r="Z217" s="1779"/>
      <c r="AA217" s="1779"/>
      <c r="AB217" s="1779"/>
      <c r="AC217" s="1779"/>
    </row>
    <row r="218" spans="1:29">
      <c r="A218" s="1779"/>
      <c r="B218" s="1779"/>
      <c r="C218" s="1779"/>
      <c r="D218" s="1779"/>
      <c r="E218" s="1779"/>
      <c r="F218" s="1779"/>
      <c r="G218" s="1779"/>
      <c r="H218" s="1779"/>
      <c r="I218" s="1779"/>
      <c r="J218" s="1779"/>
      <c r="K218" s="1780"/>
      <c r="L218" s="1781"/>
      <c r="M218" s="1779"/>
      <c r="N218" s="1779"/>
      <c r="O218" s="1779"/>
      <c r="P218" s="1779"/>
      <c r="Q218" s="1779"/>
      <c r="R218" s="1779"/>
      <c r="S218" s="1779"/>
      <c r="T218" s="1779"/>
      <c r="U218" s="1779"/>
      <c r="V218" s="1779"/>
      <c r="W218" s="1779"/>
      <c r="X218" s="1779"/>
      <c r="Y218" s="1779"/>
      <c r="Z218" s="1779"/>
      <c r="AA218" s="1779"/>
      <c r="AB218" s="1779"/>
      <c r="AC218" s="1779"/>
    </row>
    <row r="219" spans="1:29">
      <c r="A219" s="1779"/>
      <c r="B219" s="1779"/>
      <c r="C219" s="1779"/>
      <c r="D219" s="1779"/>
      <c r="E219" s="1779"/>
      <c r="F219" s="1779"/>
      <c r="G219" s="1779"/>
      <c r="H219" s="1779"/>
      <c r="I219" s="1779"/>
      <c r="J219" s="1779"/>
      <c r="K219" s="1780"/>
      <c r="L219" s="1781"/>
      <c r="M219" s="1779"/>
      <c r="N219" s="1779"/>
      <c r="O219" s="1779"/>
      <c r="P219" s="1779"/>
      <c r="Q219" s="1779"/>
      <c r="R219" s="1779"/>
      <c r="S219" s="1779"/>
      <c r="T219" s="1779"/>
      <c r="U219" s="1779"/>
      <c r="V219" s="1779"/>
      <c r="W219" s="1779"/>
      <c r="X219" s="1779"/>
      <c r="Y219" s="1779"/>
      <c r="Z219" s="1779"/>
      <c r="AA219" s="1779"/>
      <c r="AB219" s="1779"/>
      <c r="AC219" s="1779"/>
    </row>
    <row r="220" spans="1:29">
      <c r="A220" s="1779"/>
      <c r="B220" s="1779"/>
      <c r="C220" s="1779"/>
      <c r="D220" s="1779"/>
      <c r="E220" s="1779"/>
      <c r="F220" s="1779"/>
      <c r="G220" s="1779"/>
      <c r="H220" s="1779"/>
      <c r="I220" s="1779"/>
      <c r="J220" s="1779"/>
      <c r="K220" s="1780"/>
      <c r="L220" s="1781"/>
      <c r="M220" s="1779"/>
      <c r="N220" s="1779"/>
      <c r="O220" s="1779"/>
      <c r="P220" s="1779"/>
      <c r="Q220" s="1779"/>
      <c r="R220" s="1779"/>
      <c r="S220" s="1779"/>
      <c r="T220" s="1779"/>
      <c r="U220" s="1779"/>
      <c r="V220" s="1779"/>
      <c r="W220" s="1779"/>
      <c r="X220" s="1779"/>
      <c r="Y220" s="1779"/>
      <c r="Z220" s="1779"/>
      <c r="AA220" s="1779"/>
      <c r="AB220" s="1779"/>
      <c r="AC220" s="1779"/>
    </row>
    <row r="221" spans="1:29">
      <c r="A221" s="1779"/>
      <c r="B221" s="1779"/>
      <c r="C221" s="1779"/>
      <c r="D221" s="1779"/>
      <c r="E221" s="1779"/>
      <c r="F221" s="1779"/>
      <c r="G221" s="1779"/>
      <c r="H221" s="1779"/>
      <c r="I221" s="1779"/>
      <c r="J221" s="1779"/>
      <c r="K221" s="1780"/>
      <c r="L221" s="1781"/>
      <c r="M221" s="1779"/>
      <c r="N221" s="1779"/>
      <c r="O221" s="1779"/>
      <c r="P221" s="1779"/>
      <c r="Q221" s="1779"/>
      <c r="R221" s="1779"/>
      <c r="S221" s="1779"/>
      <c r="T221" s="1779"/>
      <c r="U221" s="1779"/>
      <c r="V221" s="1779"/>
      <c r="W221" s="1779"/>
      <c r="X221" s="1779"/>
      <c r="Y221" s="1779"/>
      <c r="Z221" s="1779"/>
      <c r="AA221" s="1779"/>
      <c r="AB221" s="1779"/>
      <c r="AC221" s="1779"/>
    </row>
    <row r="222" spans="1:29">
      <c r="A222" s="1779"/>
      <c r="B222" s="1779"/>
      <c r="C222" s="1779"/>
      <c r="D222" s="1779"/>
      <c r="E222" s="1779"/>
      <c r="F222" s="1779"/>
      <c r="G222" s="1779"/>
      <c r="H222" s="1779"/>
      <c r="I222" s="1779"/>
      <c r="J222" s="1779"/>
      <c r="K222" s="1780"/>
      <c r="L222" s="1781"/>
      <c r="M222" s="1779"/>
      <c r="N222" s="1779"/>
      <c r="O222" s="1779"/>
      <c r="P222" s="1779"/>
      <c r="Q222" s="1779"/>
      <c r="R222" s="1779"/>
      <c r="S222" s="1779"/>
      <c r="T222" s="1779"/>
      <c r="U222" s="1779"/>
      <c r="V222" s="1779"/>
      <c r="W222" s="1779"/>
      <c r="X222" s="1779"/>
      <c r="Y222" s="1779"/>
      <c r="Z222" s="1779"/>
      <c r="AA222" s="1779"/>
      <c r="AB222" s="1779"/>
      <c r="AC222" s="1779"/>
    </row>
    <row r="223" spans="1:29">
      <c r="A223" s="1779"/>
      <c r="B223" s="1779"/>
      <c r="C223" s="1779"/>
      <c r="D223" s="1779"/>
      <c r="E223" s="1779"/>
      <c r="F223" s="1779"/>
      <c r="G223" s="1779"/>
      <c r="H223" s="1779"/>
      <c r="I223" s="1779"/>
      <c r="J223" s="1779"/>
      <c r="K223" s="1780"/>
      <c r="L223" s="1781"/>
      <c r="M223" s="1779"/>
      <c r="N223" s="1779"/>
      <c r="O223" s="1779"/>
      <c r="P223" s="1779"/>
      <c r="Q223" s="1779"/>
      <c r="R223" s="1779"/>
      <c r="S223" s="1779"/>
      <c r="T223" s="1779"/>
      <c r="U223" s="1779"/>
      <c r="V223" s="1779"/>
      <c r="W223" s="1779"/>
      <c r="X223" s="1779"/>
      <c r="Y223" s="1779"/>
      <c r="Z223" s="1779"/>
      <c r="AA223" s="1779"/>
      <c r="AB223" s="1779"/>
      <c r="AC223" s="1779"/>
    </row>
    <row r="224" spans="1:29">
      <c r="A224" s="1779"/>
      <c r="B224" s="1779"/>
      <c r="C224" s="1779"/>
      <c r="D224" s="1779"/>
      <c r="E224" s="1779"/>
      <c r="F224" s="1779"/>
      <c r="G224" s="1779"/>
      <c r="H224" s="1779"/>
      <c r="I224" s="1779"/>
      <c r="J224" s="1779"/>
      <c r="K224" s="1780"/>
      <c r="L224" s="1781"/>
      <c r="M224" s="1779"/>
      <c r="N224" s="1779"/>
      <c r="O224" s="1779"/>
      <c r="P224" s="1779"/>
      <c r="Q224" s="1779"/>
      <c r="R224" s="1779"/>
      <c r="S224" s="1779"/>
      <c r="T224" s="1779"/>
      <c r="U224" s="1779"/>
      <c r="V224" s="1779"/>
      <c r="W224" s="1779"/>
      <c r="X224" s="1779"/>
      <c r="Y224" s="1779"/>
      <c r="Z224" s="1779"/>
      <c r="AA224" s="1779"/>
      <c r="AB224" s="1779"/>
      <c r="AC224" s="1779"/>
    </row>
    <row r="225" spans="1:29">
      <c r="A225" s="1779"/>
      <c r="B225" s="1779"/>
      <c r="C225" s="1779"/>
      <c r="D225" s="1779"/>
      <c r="E225" s="1779"/>
      <c r="F225" s="1779"/>
      <c r="G225" s="1779"/>
      <c r="H225" s="1779"/>
      <c r="I225" s="1779"/>
      <c r="J225" s="1779"/>
      <c r="K225" s="1780"/>
      <c r="L225" s="1781"/>
      <c r="M225" s="1779"/>
      <c r="N225" s="1779"/>
      <c r="O225" s="1779"/>
      <c r="P225" s="1779"/>
      <c r="Q225" s="1779"/>
      <c r="R225" s="1779"/>
      <c r="S225" s="1779"/>
      <c r="T225" s="1779"/>
      <c r="U225" s="1779"/>
      <c r="V225" s="1779"/>
      <c r="W225" s="1779"/>
      <c r="X225" s="1779"/>
      <c r="Y225" s="1779"/>
      <c r="Z225" s="1779"/>
      <c r="AA225" s="1779"/>
      <c r="AB225" s="1779"/>
      <c r="AC225" s="1779"/>
    </row>
    <row r="226" spans="1:29">
      <c r="A226" s="1779"/>
      <c r="B226" s="1779"/>
      <c r="C226" s="1779"/>
      <c r="D226" s="1779"/>
      <c r="E226" s="1779"/>
      <c r="F226" s="1779"/>
      <c r="G226" s="1779"/>
      <c r="H226" s="1779"/>
      <c r="I226" s="1779"/>
      <c r="J226" s="1779"/>
      <c r="K226" s="1780"/>
      <c r="L226" s="1781"/>
      <c r="M226" s="1779"/>
      <c r="N226" s="1779"/>
      <c r="O226" s="1779"/>
      <c r="P226" s="1779"/>
      <c r="Q226" s="1779"/>
      <c r="R226" s="1779"/>
      <c r="S226" s="1779"/>
      <c r="T226" s="1779"/>
      <c r="U226" s="1779"/>
      <c r="V226" s="1779"/>
      <c r="W226" s="1779"/>
      <c r="X226" s="1779"/>
      <c r="Y226" s="1779"/>
      <c r="Z226" s="1779"/>
      <c r="AA226" s="1779"/>
      <c r="AB226" s="1779"/>
      <c r="AC226" s="1779"/>
    </row>
    <row r="227" spans="1:29">
      <c r="A227" s="1779"/>
      <c r="B227" s="1779"/>
      <c r="C227" s="1779"/>
      <c r="D227" s="1779"/>
      <c r="E227" s="1779"/>
      <c r="F227" s="1779"/>
      <c r="G227" s="1779"/>
      <c r="H227" s="1779"/>
      <c r="I227" s="1779"/>
      <c r="J227" s="1779"/>
      <c r="K227" s="1780"/>
      <c r="L227" s="1781"/>
      <c r="M227" s="1779"/>
      <c r="N227" s="1779"/>
      <c r="O227" s="1779"/>
      <c r="P227" s="1779"/>
      <c r="Q227" s="1779"/>
      <c r="R227" s="1779"/>
      <c r="S227" s="1779"/>
      <c r="T227" s="1779"/>
      <c r="U227" s="1779"/>
      <c r="V227" s="1779"/>
      <c r="W227" s="1779"/>
      <c r="X227" s="1779"/>
      <c r="Y227" s="1779"/>
      <c r="Z227" s="1779"/>
      <c r="AA227" s="1779"/>
      <c r="AB227" s="1779"/>
      <c r="AC227" s="1779"/>
    </row>
    <row r="228" spans="1:29">
      <c r="A228" s="1779"/>
      <c r="B228" s="1779"/>
      <c r="C228" s="1779"/>
      <c r="D228" s="1779"/>
      <c r="E228" s="1779"/>
      <c r="F228" s="1779"/>
      <c r="G228" s="1779"/>
      <c r="H228" s="1779"/>
      <c r="I228" s="1779"/>
      <c r="J228" s="1779"/>
      <c r="K228" s="1780"/>
      <c r="L228" s="1781"/>
      <c r="M228" s="1779"/>
      <c r="N228" s="1779"/>
      <c r="O228" s="1779"/>
      <c r="P228" s="1779"/>
      <c r="Q228" s="1779"/>
      <c r="R228" s="1779"/>
      <c r="S228" s="1779"/>
      <c r="T228" s="1779"/>
      <c r="U228" s="1779"/>
      <c r="V228" s="1779"/>
      <c r="W228" s="1779"/>
      <c r="X228" s="1779"/>
      <c r="Y228" s="1779"/>
      <c r="Z228" s="1779"/>
      <c r="AA228" s="1779"/>
      <c r="AB228" s="1779"/>
      <c r="AC228" s="1779"/>
    </row>
    <row r="229" spans="1:29">
      <c r="A229" s="1779"/>
      <c r="B229" s="1779"/>
      <c r="C229" s="1779"/>
      <c r="D229" s="1779"/>
      <c r="E229" s="1779"/>
      <c r="F229" s="1779"/>
      <c r="G229" s="1779"/>
      <c r="H229" s="1779"/>
      <c r="I229" s="1779"/>
      <c r="J229" s="1779"/>
      <c r="K229" s="1780"/>
      <c r="L229" s="1781"/>
      <c r="M229" s="1779"/>
      <c r="N229" s="1779"/>
      <c r="O229" s="1779"/>
      <c r="P229" s="1779"/>
      <c r="Q229" s="1779"/>
      <c r="R229" s="1779"/>
      <c r="S229" s="1779"/>
      <c r="T229" s="1779"/>
      <c r="U229" s="1779"/>
      <c r="V229" s="1779"/>
      <c r="W229" s="1779"/>
      <c r="X229" s="1779"/>
      <c r="Y229" s="1779"/>
      <c r="Z229" s="1779"/>
      <c r="AA229" s="1779"/>
      <c r="AB229" s="1779"/>
      <c r="AC229" s="1779"/>
    </row>
    <row r="230" spans="1:29">
      <c r="A230" s="1779"/>
      <c r="B230" s="1779"/>
      <c r="C230" s="1779"/>
      <c r="D230" s="1779"/>
      <c r="E230" s="1779"/>
      <c r="F230" s="1779"/>
      <c r="G230" s="1779"/>
      <c r="H230" s="1779"/>
      <c r="I230" s="1779"/>
      <c r="J230" s="1779"/>
      <c r="K230" s="1780"/>
      <c r="L230" s="1781"/>
      <c r="M230" s="1779"/>
      <c r="N230" s="1779"/>
      <c r="O230" s="1779"/>
      <c r="P230" s="1779"/>
      <c r="Q230" s="1779"/>
      <c r="R230" s="1779"/>
      <c r="S230" s="1779"/>
      <c r="T230" s="1779"/>
      <c r="U230" s="1779"/>
      <c r="V230" s="1779"/>
      <c r="W230" s="1779"/>
      <c r="X230" s="1779"/>
      <c r="Y230" s="1779"/>
      <c r="Z230" s="1779"/>
      <c r="AA230" s="1779"/>
      <c r="AB230" s="1779"/>
      <c r="AC230" s="1779"/>
    </row>
    <row r="231" spans="1:29">
      <c r="A231" s="1779"/>
      <c r="B231" s="1779"/>
      <c r="C231" s="1779"/>
      <c r="D231" s="1779"/>
      <c r="E231" s="1779"/>
      <c r="F231" s="1779"/>
      <c r="G231" s="1779"/>
      <c r="H231" s="1779"/>
      <c r="I231" s="1779"/>
      <c r="J231" s="1779"/>
      <c r="K231" s="1780"/>
      <c r="L231" s="1781"/>
      <c r="M231" s="1779"/>
      <c r="N231" s="1779"/>
      <c r="O231" s="1779"/>
      <c r="P231" s="1779"/>
      <c r="Q231" s="1779"/>
      <c r="R231" s="1779"/>
      <c r="S231" s="1779"/>
      <c r="T231" s="1779"/>
      <c r="U231" s="1779"/>
      <c r="V231" s="1779"/>
      <c r="W231" s="1779"/>
      <c r="X231" s="1779"/>
      <c r="Y231" s="1779"/>
      <c r="Z231" s="1779"/>
      <c r="AA231" s="1779"/>
      <c r="AB231" s="1779"/>
      <c r="AC231" s="1779"/>
    </row>
    <row r="232" spans="1:29">
      <c r="A232" s="1779"/>
      <c r="B232" s="1779"/>
      <c r="C232" s="1779"/>
      <c r="D232" s="1779"/>
      <c r="E232" s="1779"/>
      <c r="F232" s="1779"/>
      <c r="G232" s="1779"/>
      <c r="H232" s="1779"/>
      <c r="I232" s="1779"/>
      <c r="J232" s="1779"/>
      <c r="K232" s="1780"/>
      <c r="L232" s="1781"/>
      <c r="M232" s="1779"/>
      <c r="N232" s="1779"/>
      <c r="O232" s="1779"/>
      <c r="P232" s="1779"/>
      <c r="Q232" s="1779"/>
      <c r="R232" s="1779"/>
      <c r="S232" s="1779"/>
      <c r="T232" s="1779"/>
      <c r="U232" s="1779"/>
      <c r="V232" s="1779"/>
      <c r="W232" s="1779"/>
      <c r="X232" s="1779"/>
      <c r="Y232" s="1779"/>
      <c r="Z232" s="1779"/>
      <c r="AA232" s="1779"/>
      <c r="AB232" s="1779"/>
      <c r="AC232" s="1779"/>
    </row>
    <row r="233" spans="1:29">
      <c r="A233" s="1779"/>
      <c r="B233" s="1779"/>
      <c r="C233" s="1779"/>
      <c r="D233" s="1779"/>
      <c r="E233" s="1779"/>
      <c r="F233" s="1779"/>
      <c r="G233" s="1779"/>
      <c r="H233" s="1779"/>
      <c r="I233" s="1779"/>
      <c r="J233" s="1779"/>
      <c r="K233" s="1780"/>
      <c r="L233" s="1781"/>
      <c r="M233" s="1779"/>
      <c r="N233" s="1779"/>
      <c r="O233" s="1779"/>
      <c r="P233" s="1779"/>
      <c r="Q233" s="1779"/>
      <c r="R233" s="1779"/>
      <c r="S233" s="1779"/>
      <c r="T233" s="1779"/>
      <c r="U233" s="1779"/>
      <c r="V233" s="1779"/>
      <c r="W233" s="1779"/>
      <c r="X233" s="1779"/>
      <c r="Y233" s="1779"/>
      <c r="Z233" s="1779"/>
      <c r="AA233" s="1779"/>
      <c r="AB233" s="1779"/>
      <c r="AC233" s="1779"/>
    </row>
    <row r="234" spans="1:29">
      <c r="A234" s="1779"/>
      <c r="B234" s="1779"/>
      <c r="C234" s="1779"/>
      <c r="D234" s="1779"/>
      <c r="E234" s="1779"/>
      <c r="F234" s="1779"/>
      <c r="G234" s="1779"/>
      <c r="H234" s="1779"/>
      <c r="I234" s="1779"/>
      <c r="J234" s="1779"/>
      <c r="K234" s="1780"/>
      <c r="L234" s="1781"/>
      <c r="M234" s="1779"/>
      <c r="N234" s="1779"/>
      <c r="O234" s="1779"/>
      <c r="P234" s="1779"/>
      <c r="Q234" s="1779"/>
      <c r="R234" s="1779"/>
      <c r="S234" s="1779"/>
      <c r="T234" s="1779"/>
      <c r="U234" s="1779"/>
      <c r="V234" s="1779"/>
      <c r="W234" s="1779"/>
      <c r="X234" s="1779"/>
      <c r="Y234" s="1779"/>
      <c r="Z234" s="1779"/>
      <c r="AA234" s="1779"/>
      <c r="AB234" s="1779"/>
      <c r="AC234" s="1779"/>
    </row>
    <row r="235" spans="1:29">
      <c r="A235" s="1779"/>
      <c r="B235" s="1779"/>
      <c r="C235" s="1779"/>
      <c r="D235" s="1779"/>
      <c r="E235" s="1779"/>
      <c r="F235" s="1779"/>
      <c r="G235" s="1779"/>
      <c r="H235" s="1779"/>
      <c r="I235" s="1779"/>
      <c r="J235" s="1779"/>
      <c r="K235" s="1780"/>
      <c r="L235" s="1781"/>
      <c r="M235" s="1779"/>
      <c r="N235" s="1779"/>
      <c r="O235" s="1779"/>
      <c r="P235" s="1779"/>
      <c r="Q235" s="1779"/>
      <c r="R235" s="1779"/>
      <c r="S235" s="1779"/>
      <c r="T235" s="1779"/>
      <c r="U235" s="1779"/>
      <c r="V235" s="1779"/>
      <c r="W235" s="1779"/>
      <c r="X235" s="1779"/>
      <c r="Y235" s="1779"/>
      <c r="Z235" s="1779"/>
      <c r="AA235" s="1779"/>
      <c r="AB235" s="1779"/>
      <c r="AC235" s="1779"/>
    </row>
    <row r="236" spans="1:29">
      <c r="A236" s="1779"/>
      <c r="B236" s="1779"/>
      <c r="C236" s="1779"/>
      <c r="D236" s="1779"/>
      <c r="E236" s="1779"/>
      <c r="F236" s="1779"/>
      <c r="G236" s="1779"/>
      <c r="H236" s="1779"/>
      <c r="I236" s="1779"/>
      <c r="J236" s="1779"/>
      <c r="K236" s="1780"/>
      <c r="L236" s="1781"/>
      <c r="M236" s="1779"/>
      <c r="N236" s="1779"/>
      <c r="O236" s="1779"/>
      <c r="P236" s="1779"/>
      <c r="Q236" s="1779"/>
      <c r="R236" s="1779"/>
      <c r="S236" s="1779"/>
      <c r="T236" s="1779"/>
      <c r="U236" s="1779"/>
      <c r="V236" s="1779"/>
      <c r="W236" s="1779"/>
      <c r="X236" s="1779"/>
      <c r="Y236" s="1779"/>
      <c r="Z236" s="1779"/>
      <c r="AA236" s="1779"/>
      <c r="AB236" s="1779"/>
      <c r="AC236" s="1779"/>
    </row>
    <row r="237" spans="1:29">
      <c r="A237" s="1779"/>
      <c r="B237" s="1779"/>
      <c r="C237" s="1779"/>
      <c r="D237" s="1779"/>
      <c r="E237" s="1779"/>
      <c r="F237" s="1779"/>
      <c r="G237" s="1779"/>
      <c r="H237" s="1779"/>
      <c r="I237" s="1779"/>
      <c r="J237" s="1779"/>
      <c r="K237" s="1780"/>
      <c r="L237" s="1781"/>
      <c r="M237" s="1779"/>
      <c r="N237" s="1779"/>
      <c r="O237" s="1779"/>
      <c r="P237" s="1779"/>
      <c r="Q237" s="1779"/>
      <c r="R237" s="1779"/>
      <c r="S237" s="1779"/>
      <c r="T237" s="1779"/>
      <c r="U237" s="1779"/>
      <c r="V237" s="1779"/>
      <c r="W237" s="1779"/>
      <c r="X237" s="1779"/>
      <c r="Y237" s="1779"/>
      <c r="Z237" s="1779"/>
      <c r="AA237" s="1779"/>
      <c r="AB237" s="1779"/>
      <c r="AC237" s="1779"/>
    </row>
    <row r="238" spans="1:29">
      <c r="A238" s="1779"/>
      <c r="B238" s="1779"/>
      <c r="C238" s="1779"/>
      <c r="D238" s="1779"/>
      <c r="E238" s="1779"/>
      <c r="F238" s="1779"/>
      <c r="G238" s="1779"/>
      <c r="H238" s="1779"/>
      <c r="I238" s="1779"/>
      <c r="J238" s="1779"/>
      <c r="K238" s="1780"/>
      <c r="L238" s="1781"/>
      <c r="M238" s="1779"/>
      <c r="N238" s="1779"/>
      <c r="O238" s="1779"/>
      <c r="P238" s="1779"/>
      <c r="Q238" s="1779"/>
      <c r="R238" s="1779"/>
      <c r="S238" s="1779"/>
      <c r="T238" s="1779"/>
      <c r="U238" s="1779"/>
      <c r="V238" s="1779"/>
      <c r="W238" s="1779"/>
      <c r="X238" s="1779"/>
      <c r="Y238" s="1779"/>
      <c r="Z238" s="1779"/>
      <c r="AA238" s="1779"/>
      <c r="AB238" s="1779"/>
      <c r="AC238" s="1779"/>
    </row>
    <row r="239" spans="1:29">
      <c r="A239" s="1779"/>
      <c r="B239" s="1779"/>
      <c r="C239" s="1779"/>
      <c r="D239" s="1779"/>
      <c r="E239" s="1779"/>
      <c r="F239" s="1779"/>
      <c r="G239" s="1779"/>
      <c r="H239" s="1779"/>
      <c r="I239" s="1779"/>
      <c r="J239" s="1779"/>
      <c r="K239" s="1780"/>
      <c r="L239" s="1781"/>
      <c r="M239" s="1779"/>
      <c r="N239" s="1779"/>
      <c r="O239" s="1779"/>
      <c r="P239" s="1779"/>
      <c r="Q239" s="1779"/>
      <c r="R239" s="1779"/>
      <c r="S239" s="1779"/>
      <c r="T239" s="1779"/>
      <c r="U239" s="1779"/>
      <c r="V239" s="1779"/>
      <c r="W239" s="1779"/>
      <c r="X239" s="1779"/>
      <c r="Y239" s="1779"/>
      <c r="Z239" s="1779"/>
      <c r="AA239" s="1779"/>
      <c r="AB239" s="1779"/>
      <c r="AC239" s="1779"/>
    </row>
    <row r="240" spans="1:29">
      <c r="A240" s="1779"/>
      <c r="B240" s="1779"/>
      <c r="C240" s="1779"/>
      <c r="D240" s="1779"/>
      <c r="E240" s="1779"/>
      <c r="F240" s="1779"/>
      <c r="G240" s="1779"/>
      <c r="H240" s="1779"/>
      <c r="I240" s="1779"/>
      <c r="J240" s="1779"/>
      <c r="K240" s="1780"/>
      <c r="L240" s="1781"/>
      <c r="M240" s="1779"/>
      <c r="N240" s="1779"/>
      <c r="O240" s="1779"/>
      <c r="P240" s="1779"/>
      <c r="Q240" s="1779"/>
      <c r="R240" s="1779"/>
      <c r="S240" s="1779"/>
      <c r="T240" s="1779"/>
      <c r="U240" s="1779"/>
      <c r="V240" s="1779"/>
      <c r="W240" s="1779"/>
      <c r="X240" s="1779"/>
      <c r="Y240" s="1779"/>
      <c r="Z240" s="1779"/>
      <c r="AA240" s="1779"/>
      <c r="AB240" s="1779"/>
      <c r="AC240" s="1779"/>
    </row>
    <row r="241" spans="1:29">
      <c r="A241" s="1779"/>
      <c r="B241" s="1779"/>
      <c r="C241" s="1779"/>
      <c r="D241" s="1779"/>
      <c r="E241" s="1779"/>
      <c r="F241" s="1779"/>
      <c r="G241" s="1779"/>
      <c r="H241" s="1779"/>
      <c r="I241" s="1779"/>
      <c r="J241" s="1779"/>
      <c r="K241" s="1780"/>
      <c r="L241" s="1781"/>
      <c r="M241" s="1779"/>
      <c r="N241" s="1779"/>
      <c r="O241" s="1779"/>
      <c r="P241" s="1779"/>
      <c r="Q241" s="1779"/>
      <c r="R241" s="1779"/>
      <c r="S241" s="1779"/>
      <c r="T241" s="1779"/>
      <c r="U241" s="1779"/>
      <c r="V241" s="1779"/>
      <c r="W241" s="1779"/>
      <c r="X241" s="1779"/>
      <c r="Y241" s="1779"/>
      <c r="Z241" s="1779"/>
      <c r="AA241" s="1779"/>
      <c r="AB241" s="1779"/>
      <c r="AC241" s="1779"/>
    </row>
    <row r="242" spans="1:29">
      <c r="A242" s="1779"/>
      <c r="B242" s="1779"/>
      <c r="C242" s="1779"/>
      <c r="D242" s="1779"/>
      <c r="E242" s="1779"/>
      <c r="F242" s="1779"/>
      <c r="G242" s="1779"/>
      <c r="H242" s="1779"/>
      <c r="I242" s="1779"/>
      <c r="J242" s="1779"/>
      <c r="K242" s="1780"/>
      <c r="L242" s="1781"/>
      <c r="M242" s="1779"/>
      <c r="N242" s="1779"/>
      <c r="O242" s="1779"/>
      <c r="P242" s="1779"/>
      <c r="Q242" s="1779"/>
      <c r="R242" s="1779"/>
      <c r="S242" s="1779"/>
      <c r="T242" s="1779"/>
      <c r="U242" s="1779"/>
      <c r="V242" s="1779"/>
      <c r="W242" s="1779"/>
      <c r="X242" s="1779"/>
      <c r="Y242" s="1779"/>
      <c r="Z242" s="1779"/>
      <c r="AA242" s="1779"/>
      <c r="AB242" s="1779"/>
      <c r="AC242" s="1779"/>
    </row>
    <row r="243" spans="1:29">
      <c r="A243" s="1779"/>
      <c r="B243" s="1779"/>
      <c r="C243" s="1779"/>
      <c r="D243" s="1779"/>
      <c r="E243" s="1779"/>
      <c r="F243" s="1779"/>
      <c r="G243" s="1779"/>
      <c r="H243" s="1779"/>
      <c r="I243" s="1779"/>
      <c r="J243" s="1779"/>
      <c r="K243" s="1780"/>
      <c r="L243" s="1781"/>
      <c r="M243" s="1779"/>
      <c r="N243" s="1779"/>
      <c r="O243" s="1779"/>
      <c r="P243" s="1779"/>
      <c r="Q243" s="1779"/>
      <c r="R243" s="1779"/>
      <c r="S243" s="1779"/>
      <c r="T243" s="1779"/>
      <c r="U243" s="1779"/>
      <c r="V243" s="1779"/>
      <c r="W243" s="1779"/>
      <c r="X243" s="1779"/>
      <c r="Y243" s="1779"/>
      <c r="Z243" s="1779"/>
      <c r="AA243" s="1779"/>
      <c r="AB243" s="1779"/>
      <c r="AC243" s="1779"/>
    </row>
    <row r="244" spans="1:29">
      <c r="A244" s="1779"/>
      <c r="B244" s="1779"/>
      <c r="C244" s="1779"/>
      <c r="D244" s="1779"/>
      <c r="E244" s="1779"/>
      <c r="F244" s="1779"/>
      <c r="G244" s="1779"/>
      <c r="H244" s="1779"/>
      <c r="I244" s="1779"/>
      <c r="J244" s="1779"/>
      <c r="K244" s="1780"/>
      <c r="L244" s="1781"/>
      <c r="M244" s="1779"/>
      <c r="N244" s="1779"/>
      <c r="O244" s="1779"/>
      <c r="P244" s="1779"/>
      <c r="Q244" s="1779"/>
      <c r="R244" s="1779"/>
      <c r="S244" s="1779"/>
      <c r="T244" s="1779"/>
      <c r="U244" s="1779"/>
      <c r="V244" s="1779"/>
      <c r="W244" s="1779"/>
      <c r="X244" s="1779"/>
      <c r="Y244" s="1779"/>
      <c r="Z244" s="1779"/>
      <c r="AA244" s="1779"/>
      <c r="AB244" s="1779"/>
      <c r="AC244" s="1779"/>
    </row>
    <row r="245" spans="1:29">
      <c r="A245" s="1779"/>
      <c r="B245" s="1779"/>
      <c r="C245" s="1779"/>
      <c r="D245" s="1779"/>
      <c r="E245" s="1779"/>
      <c r="F245" s="1779"/>
      <c r="G245" s="1779"/>
      <c r="H245" s="1779"/>
      <c r="I245" s="1779"/>
      <c r="J245" s="1779"/>
      <c r="K245" s="1780"/>
      <c r="L245" s="1781"/>
      <c r="M245" s="1779"/>
      <c r="N245" s="1779"/>
      <c r="O245" s="1779"/>
      <c r="P245" s="1779"/>
      <c r="Q245" s="1779"/>
      <c r="R245" s="1779"/>
      <c r="S245" s="1779"/>
      <c r="T245" s="1779"/>
      <c r="U245" s="1779"/>
      <c r="V245" s="1779"/>
      <c r="W245" s="1779"/>
      <c r="X245" s="1779"/>
      <c r="Y245" s="1779"/>
      <c r="Z245" s="1779"/>
      <c r="AA245" s="1779"/>
      <c r="AB245" s="1779"/>
      <c r="AC245" s="1779"/>
    </row>
    <row r="246" spans="1:29">
      <c r="A246" s="1779"/>
      <c r="B246" s="1779"/>
      <c r="C246" s="1779"/>
      <c r="D246" s="1779"/>
      <c r="E246" s="1779"/>
      <c r="F246" s="1779"/>
      <c r="G246" s="1779"/>
      <c r="H246" s="1779"/>
      <c r="I246" s="1779"/>
      <c r="J246" s="1779"/>
      <c r="K246" s="1780"/>
      <c r="L246" s="1781"/>
      <c r="M246" s="1779"/>
      <c r="N246" s="1779"/>
      <c r="O246" s="1779"/>
      <c r="P246" s="1779"/>
      <c r="Q246" s="1779"/>
      <c r="R246" s="1779"/>
      <c r="S246" s="1779"/>
      <c r="T246" s="1779"/>
      <c r="U246" s="1779"/>
      <c r="V246" s="1779"/>
      <c r="W246" s="1779"/>
      <c r="X246" s="1779"/>
      <c r="Y246" s="1779"/>
      <c r="Z246" s="1779"/>
      <c r="AA246" s="1779"/>
      <c r="AB246" s="1779"/>
      <c r="AC246" s="1779"/>
    </row>
    <row r="247" spans="1:29">
      <c r="A247" s="1779"/>
      <c r="B247" s="1779"/>
      <c r="C247" s="1779"/>
      <c r="D247" s="1779"/>
      <c r="E247" s="1779"/>
      <c r="F247" s="1779"/>
      <c r="G247" s="1779"/>
      <c r="H247" s="1779"/>
      <c r="I247" s="1779"/>
      <c r="J247" s="1779"/>
      <c r="K247" s="1780"/>
      <c r="L247" s="1781"/>
      <c r="M247" s="1779"/>
      <c r="N247" s="1779"/>
      <c r="O247" s="1779"/>
      <c r="P247" s="1779"/>
      <c r="Q247" s="1779"/>
      <c r="R247" s="1779"/>
      <c r="S247" s="1779"/>
      <c r="T247" s="1779"/>
      <c r="U247" s="1779"/>
      <c r="V247" s="1779"/>
      <c r="W247" s="1779"/>
      <c r="X247" s="1779"/>
      <c r="Y247" s="1779"/>
      <c r="Z247" s="1779"/>
      <c r="AA247" s="1779"/>
      <c r="AB247" s="1779"/>
      <c r="AC247" s="1779"/>
    </row>
    <row r="248" spans="1:29">
      <c r="A248" s="1779"/>
      <c r="B248" s="1779"/>
      <c r="C248" s="1779"/>
      <c r="D248" s="1779"/>
      <c r="E248" s="1779"/>
      <c r="F248" s="1779"/>
      <c r="G248" s="1779"/>
      <c r="H248" s="1779"/>
      <c r="I248" s="1779"/>
      <c r="J248" s="1779"/>
      <c r="K248" s="1780"/>
      <c r="L248" s="1781"/>
      <c r="M248" s="1779"/>
      <c r="N248" s="1779"/>
      <c r="O248" s="1779"/>
      <c r="P248" s="1779"/>
      <c r="Q248" s="1779"/>
      <c r="R248" s="1779"/>
      <c r="S248" s="1779"/>
      <c r="T248" s="1779"/>
      <c r="U248" s="1779"/>
      <c r="V248" s="1779"/>
      <c r="W248" s="1779"/>
      <c r="X248" s="1779"/>
      <c r="Y248" s="1779"/>
      <c r="Z248" s="1779"/>
      <c r="AA248" s="1779"/>
      <c r="AB248" s="1779"/>
      <c r="AC248" s="1779"/>
    </row>
    <row r="249" spans="1:29">
      <c r="A249" s="1779"/>
      <c r="B249" s="1779"/>
      <c r="C249" s="1779"/>
      <c r="D249" s="1779"/>
      <c r="E249" s="1779"/>
      <c r="F249" s="1779"/>
      <c r="G249" s="1779"/>
      <c r="H249" s="1779"/>
      <c r="I249" s="1779"/>
      <c r="J249" s="1779"/>
      <c r="K249" s="1780"/>
      <c r="L249" s="1781"/>
      <c r="M249" s="1779"/>
      <c r="N249" s="1779"/>
      <c r="O249" s="1779"/>
      <c r="P249" s="1779"/>
      <c r="Q249" s="1779"/>
      <c r="R249" s="1779"/>
      <c r="S249" s="1779"/>
      <c r="T249" s="1779"/>
      <c r="U249" s="1779"/>
      <c r="V249" s="1779"/>
      <c r="W249" s="1779"/>
      <c r="X249" s="1779"/>
      <c r="Y249" s="1779"/>
      <c r="Z249" s="1779"/>
      <c r="AA249" s="1779"/>
      <c r="AB249" s="1779"/>
      <c r="AC249" s="1779"/>
    </row>
    <row r="250" spans="1:29">
      <c r="A250" s="1779"/>
      <c r="B250" s="1779"/>
      <c r="C250" s="1779"/>
      <c r="D250" s="1779"/>
      <c r="E250" s="1779"/>
      <c r="F250" s="1779"/>
      <c r="G250" s="1779"/>
      <c r="H250" s="1779"/>
      <c r="I250" s="1779"/>
      <c r="J250" s="1779"/>
      <c r="K250" s="1780"/>
      <c r="L250" s="1781"/>
      <c r="M250" s="1779"/>
      <c r="N250" s="1779"/>
      <c r="O250" s="1779"/>
      <c r="P250" s="1779"/>
      <c r="Q250" s="1779"/>
      <c r="R250" s="1779"/>
      <c r="S250" s="1779"/>
      <c r="T250" s="1779"/>
      <c r="U250" s="1779"/>
      <c r="V250" s="1779"/>
      <c r="W250" s="1779"/>
      <c r="X250" s="1779"/>
      <c r="Y250" s="1779"/>
      <c r="Z250" s="1779"/>
      <c r="AA250" s="1779"/>
      <c r="AB250" s="1779"/>
      <c r="AC250" s="1779"/>
    </row>
    <row r="251" spans="1:29">
      <c r="A251" s="1779"/>
      <c r="B251" s="1779"/>
      <c r="C251" s="1779"/>
      <c r="D251" s="1779"/>
      <c r="E251" s="1779"/>
      <c r="F251" s="1779"/>
      <c r="G251" s="1779"/>
      <c r="H251" s="1779"/>
      <c r="I251" s="1779"/>
      <c r="J251" s="1779"/>
      <c r="K251" s="1780"/>
      <c r="L251" s="1781"/>
      <c r="M251" s="1779"/>
      <c r="N251" s="1779"/>
      <c r="O251" s="1779"/>
      <c r="P251" s="1779"/>
      <c r="Q251" s="1779"/>
      <c r="R251" s="1779"/>
      <c r="S251" s="1779"/>
      <c r="T251" s="1779"/>
      <c r="U251" s="1779"/>
      <c r="V251" s="1779"/>
      <c r="W251" s="1779"/>
      <c r="X251" s="1779"/>
      <c r="Y251" s="1779"/>
      <c r="Z251" s="1779"/>
      <c r="AA251" s="1779"/>
      <c r="AB251" s="1779"/>
      <c r="AC251" s="1779"/>
    </row>
    <row r="252" spans="1:29">
      <c r="A252" s="1779"/>
      <c r="B252" s="1779"/>
      <c r="C252" s="1779"/>
      <c r="D252" s="1779"/>
      <c r="E252" s="1779"/>
      <c r="F252" s="1779"/>
      <c r="G252" s="1779"/>
      <c r="H252" s="1779"/>
      <c r="I252" s="1779"/>
      <c r="J252" s="1779"/>
      <c r="K252" s="1780"/>
      <c r="L252" s="1781"/>
      <c r="M252" s="1779"/>
      <c r="N252" s="1779"/>
      <c r="O252" s="1779"/>
      <c r="P252" s="1779"/>
      <c r="Q252" s="1779"/>
      <c r="R252" s="1779"/>
      <c r="S252" s="1779"/>
      <c r="T252" s="1779"/>
      <c r="U252" s="1779"/>
      <c r="V252" s="1779"/>
      <c r="W252" s="1779"/>
      <c r="X252" s="1779"/>
      <c r="Y252" s="1779"/>
      <c r="Z252" s="1779"/>
      <c r="AA252" s="1779"/>
      <c r="AB252" s="1779"/>
      <c r="AC252" s="1779"/>
    </row>
    <row r="253" spans="1:29">
      <c r="A253" s="1779"/>
      <c r="B253" s="1779"/>
      <c r="C253" s="1779"/>
      <c r="D253" s="1779"/>
      <c r="E253" s="1779"/>
      <c r="F253" s="1779"/>
      <c r="G253" s="1779"/>
      <c r="H253" s="1779"/>
      <c r="I253" s="1779"/>
      <c r="J253" s="1779"/>
      <c r="K253" s="1780"/>
      <c r="L253" s="1781"/>
      <c r="M253" s="1779"/>
      <c r="N253" s="1779"/>
      <c r="O253" s="1779"/>
      <c r="P253" s="1779"/>
      <c r="Q253" s="1779"/>
      <c r="R253" s="1779"/>
      <c r="S253" s="1779"/>
      <c r="T253" s="1779"/>
      <c r="U253" s="1779"/>
      <c r="V253" s="1779"/>
      <c r="W253" s="1779"/>
      <c r="X253" s="1779"/>
      <c r="Y253" s="1779"/>
      <c r="Z253" s="1779"/>
      <c r="AA253" s="1779"/>
      <c r="AB253" s="1779"/>
      <c r="AC253" s="1779"/>
    </row>
    <row r="254" spans="1:29">
      <c r="A254" s="1779"/>
      <c r="B254" s="1779"/>
      <c r="C254" s="1779"/>
      <c r="D254" s="1779"/>
      <c r="E254" s="1779"/>
      <c r="F254" s="1779"/>
      <c r="G254" s="1779"/>
      <c r="H254" s="1779"/>
      <c r="I254" s="1779"/>
      <c r="J254" s="1779"/>
      <c r="K254" s="1780"/>
      <c r="L254" s="1781"/>
      <c r="M254" s="1779"/>
      <c r="N254" s="1779"/>
      <c r="O254" s="1779"/>
      <c r="P254" s="1779"/>
      <c r="Q254" s="1779"/>
      <c r="R254" s="1779"/>
      <c r="S254" s="1779"/>
      <c r="T254" s="1779"/>
      <c r="U254" s="1779"/>
      <c r="V254" s="1779"/>
      <c r="W254" s="1779"/>
      <c r="X254" s="1779"/>
      <c r="Y254" s="1779"/>
      <c r="Z254" s="1779"/>
      <c r="AA254" s="1779"/>
      <c r="AB254" s="1779"/>
      <c r="AC254" s="1779"/>
    </row>
    <row r="255" spans="1:29">
      <c r="A255" s="1779"/>
      <c r="B255" s="1779"/>
      <c r="C255" s="1779"/>
      <c r="D255" s="1779"/>
      <c r="E255" s="1779"/>
      <c r="F255" s="1779"/>
      <c r="G255" s="1779"/>
      <c r="H255" s="1779"/>
      <c r="I255" s="1779"/>
      <c r="J255" s="1779"/>
      <c r="K255" s="1780"/>
      <c r="L255" s="1781"/>
      <c r="M255" s="1779"/>
      <c r="N255" s="1779"/>
      <c r="O255" s="1779"/>
      <c r="P255" s="1779"/>
      <c r="Q255" s="1779"/>
      <c r="R255" s="1779"/>
      <c r="S255" s="1779"/>
      <c r="T255" s="1779"/>
      <c r="U255" s="1779"/>
      <c r="V255" s="1779"/>
      <c r="W255" s="1779"/>
      <c r="X255" s="1779"/>
      <c r="Y255" s="1779"/>
      <c r="Z255" s="1779"/>
      <c r="AA255" s="1779"/>
      <c r="AB255" s="1779"/>
      <c r="AC255" s="1779"/>
    </row>
    <row r="256" spans="1:29">
      <c r="A256" s="1779"/>
      <c r="B256" s="1779"/>
      <c r="C256" s="1779"/>
      <c r="D256" s="1779"/>
      <c r="E256" s="1779"/>
      <c r="F256" s="1779"/>
      <c r="G256" s="1779"/>
      <c r="H256" s="1779"/>
      <c r="I256" s="1779"/>
      <c r="J256" s="1779"/>
      <c r="K256" s="1780"/>
      <c r="L256" s="1781"/>
      <c r="M256" s="1779"/>
      <c r="N256" s="1779"/>
      <c r="O256" s="1779"/>
      <c r="P256" s="1779"/>
      <c r="Q256" s="1779"/>
      <c r="R256" s="1779"/>
      <c r="S256" s="1779"/>
      <c r="T256" s="1779"/>
      <c r="U256" s="1779"/>
      <c r="V256" s="1779"/>
      <c r="W256" s="1779"/>
      <c r="X256" s="1779"/>
      <c r="Y256" s="1779"/>
      <c r="Z256" s="1779"/>
      <c r="AA256" s="1779"/>
      <c r="AB256" s="1779"/>
      <c r="AC256" s="1779"/>
    </row>
    <row r="257" spans="1:29">
      <c r="A257" s="1779"/>
      <c r="B257" s="1779"/>
      <c r="C257" s="1779"/>
      <c r="D257" s="1779"/>
      <c r="E257" s="1779"/>
      <c r="F257" s="1779"/>
      <c r="G257" s="1779"/>
      <c r="H257" s="1779"/>
      <c r="I257" s="1779"/>
      <c r="J257" s="1779"/>
      <c r="K257" s="1780"/>
      <c r="L257" s="1781"/>
      <c r="M257" s="1779"/>
      <c r="N257" s="1779"/>
      <c r="O257" s="1779"/>
      <c r="P257" s="1779"/>
      <c r="Q257" s="1779"/>
      <c r="R257" s="1779"/>
      <c r="S257" s="1779"/>
      <c r="T257" s="1779"/>
      <c r="U257" s="1779"/>
      <c r="V257" s="1779"/>
      <c r="W257" s="1779"/>
      <c r="X257" s="1779"/>
      <c r="Y257" s="1779"/>
      <c r="Z257" s="1779"/>
      <c r="AA257" s="1779"/>
      <c r="AB257" s="1779"/>
      <c r="AC257" s="1779"/>
    </row>
    <row r="258" spans="1:29">
      <c r="A258" s="1779"/>
      <c r="B258" s="1779"/>
      <c r="C258" s="1779"/>
      <c r="D258" s="1779"/>
      <c r="E258" s="1779"/>
      <c r="F258" s="1779"/>
      <c r="G258" s="1779"/>
      <c r="H258" s="1779"/>
      <c r="I258" s="1779"/>
      <c r="J258" s="1779"/>
      <c r="K258" s="1780"/>
      <c r="L258" s="1781"/>
      <c r="M258" s="1779"/>
      <c r="N258" s="1779"/>
      <c r="O258" s="1779"/>
      <c r="P258" s="1779"/>
      <c r="Q258" s="1779"/>
      <c r="R258" s="1779"/>
      <c r="S258" s="1779"/>
      <c r="T258" s="1779"/>
      <c r="U258" s="1779"/>
      <c r="V258" s="1779"/>
      <c r="W258" s="1779"/>
      <c r="X258" s="1779"/>
      <c r="Y258" s="1779"/>
      <c r="Z258" s="1779"/>
      <c r="AA258" s="1779"/>
      <c r="AB258" s="1779"/>
      <c r="AC258" s="1779"/>
    </row>
    <row r="259" spans="1:29">
      <c r="A259" s="1779"/>
      <c r="B259" s="1779"/>
      <c r="C259" s="1779"/>
      <c r="D259" s="1779"/>
      <c r="E259" s="1779"/>
      <c r="F259" s="1779"/>
      <c r="G259" s="1779"/>
      <c r="H259" s="1779"/>
      <c r="I259" s="1779"/>
      <c r="J259" s="1779"/>
      <c r="K259" s="1780"/>
      <c r="L259" s="1781"/>
      <c r="M259" s="1779"/>
      <c r="N259" s="1779"/>
      <c r="O259" s="1779"/>
      <c r="P259" s="1779"/>
      <c r="Q259" s="1779"/>
      <c r="R259" s="1779"/>
      <c r="S259" s="1779"/>
      <c r="T259" s="1779"/>
      <c r="U259" s="1779"/>
      <c r="V259" s="1779"/>
      <c r="W259" s="1779"/>
      <c r="X259" s="1779"/>
      <c r="Y259" s="1779"/>
      <c r="Z259" s="1779"/>
      <c r="AA259" s="1779"/>
      <c r="AB259" s="1779"/>
      <c r="AC259" s="1779"/>
    </row>
    <row r="260" spans="1:29">
      <c r="A260" s="1779"/>
      <c r="B260" s="1779"/>
      <c r="C260" s="1779"/>
      <c r="D260" s="1779"/>
      <c r="E260" s="1779"/>
      <c r="F260" s="1779"/>
      <c r="G260" s="1779"/>
      <c r="H260" s="1779"/>
      <c r="I260" s="1779"/>
      <c r="J260" s="1779"/>
      <c r="K260" s="1780"/>
      <c r="L260" s="1781"/>
      <c r="M260" s="1779"/>
      <c r="N260" s="1779"/>
      <c r="O260" s="1779"/>
      <c r="P260" s="1779"/>
      <c r="Q260" s="1779"/>
      <c r="R260" s="1779"/>
      <c r="S260" s="1779"/>
      <c r="T260" s="1779"/>
      <c r="U260" s="1779"/>
      <c r="V260" s="1779"/>
      <c r="W260" s="1779"/>
      <c r="X260" s="1779"/>
      <c r="Y260" s="1779"/>
      <c r="Z260" s="1779"/>
      <c r="AA260" s="1779"/>
      <c r="AB260" s="1779"/>
      <c r="AC260" s="1779"/>
    </row>
    <row r="261" spans="1:29">
      <c r="A261" s="1779"/>
      <c r="B261" s="1779"/>
      <c r="C261" s="1779"/>
      <c r="D261" s="1779"/>
      <c r="E261" s="1779"/>
      <c r="F261" s="1779"/>
      <c r="G261" s="1779"/>
      <c r="H261" s="1779"/>
      <c r="I261" s="1779"/>
      <c r="J261" s="1779"/>
      <c r="K261" s="1780"/>
      <c r="L261" s="1781"/>
      <c r="M261" s="1779"/>
      <c r="N261" s="1779"/>
      <c r="O261" s="1779"/>
      <c r="P261" s="1779"/>
      <c r="Q261" s="1779"/>
      <c r="R261" s="1779"/>
      <c r="S261" s="1779"/>
      <c r="T261" s="1779"/>
      <c r="U261" s="1779"/>
      <c r="V261" s="1779"/>
      <c r="W261" s="1779"/>
      <c r="X261" s="1779"/>
      <c r="Y261" s="1779"/>
      <c r="Z261" s="1779"/>
      <c r="AA261" s="1779"/>
      <c r="AB261" s="1779"/>
      <c r="AC261" s="1779"/>
    </row>
    <row r="262" spans="1:29">
      <c r="A262" s="1779"/>
      <c r="B262" s="1779"/>
      <c r="C262" s="1779"/>
      <c r="D262" s="1779"/>
      <c r="E262" s="1779"/>
      <c r="F262" s="1779"/>
      <c r="G262" s="1779"/>
      <c r="H262" s="1779"/>
      <c r="I262" s="1779"/>
      <c r="J262" s="1779"/>
      <c r="K262" s="1780"/>
      <c r="L262" s="1781"/>
      <c r="M262" s="1779"/>
      <c r="N262" s="1779"/>
      <c r="O262" s="1779"/>
      <c r="P262" s="1779"/>
      <c r="Q262" s="1779"/>
      <c r="R262" s="1779"/>
      <c r="S262" s="1779"/>
      <c r="T262" s="1779"/>
      <c r="U262" s="1779"/>
      <c r="V262" s="1779"/>
      <c r="W262" s="1779"/>
      <c r="X262" s="1779"/>
      <c r="Y262" s="1779"/>
      <c r="Z262" s="1779"/>
      <c r="AA262" s="1779"/>
      <c r="AB262" s="1779"/>
      <c r="AC262" s="1779"/>
    </row>
    <row r="263" spans="1:29">
      <c r="A263" s="1779"/>
      <c r="B263" s="1779"/>
      <c r="C263" s="1779"/>
      <c r="D263" s="1779"/>
      <c r="E263" s="1779"/>
      <c r="F263" s="1779"/>
      <c r="G263" s="1779"/>
      <c r="H263" s="1779"/>
      <c r="I263" s="1779"/>
      <c r="J263" s="1779"/>
      <c r="K263" s="1780"/>
      <c r="L263" s="1781"/>
      <c r="M263" s="1779"/>
      <c r="N263" s="1779"/>
      <c r="O263" s="1779"/>
      <c r="P263" s="1779"/>
      <c r="Q263" s="1779"/>
      <c r="R263" s="1779"/>
      <c r="S263" s="1779"/>
      <c r="T263" s="1779"/>
      <c r="U263" s="1779"/>
      <c r="V263" s="1779"/>
      <c r="W263" s="1779"/>
      <c r="X263" s="1779"/>
      <c r="Y263" s="1779"/>
      <c r="Z263" s="1779"/>
      <c r="AA263" s="1779"/>
      <c r="AB263" s="1779"/>
      <c r="AC263" s="1779"/>
    </row>
    <row r="264" spans="1:29">
      <c r="A264" s="1779"/>
      <c r="B264" s="1779"/>
      <c r="C264" s="1779"/>
      <c r="D264" s="1779"/>
      <c r="E264" s="1779"/>
      <c r="F264" s="1779"/>
      <c r="G264" s="1779"/>
      <c r="H264" s="1779"/>
      <c r="I264" s="1779"/>
      <c r="J264" s="1779"/>
      <c r="K264" s="1780"/>
      <c r="L264" s="1781"/>
      <c r="M264" s="1779"/>
      <c r="N264" s="1779"/>
      <c r="O264" s="1779"/>
      <c r="P264" s="1779"/>
      <c r="Q264" s="1779"/>
      <c r="R264" s="1779"/>
      <c r="S264" s="1779"/>
      <c r="T264" s="1779"/>
      <c r="U264" s="1779"/>
      <c r="V264" s="1779"/>
      <c r="W264" s="1779"/>
      <c r="X264" s="1779"/>
      <c r="Y264" s="1779"/>
      <c r="Z264" s="1779"/>
      <c r="AA264" s="1779"/>
      <c r="AB264" s="1779"/>
      <c r="AC264" s="1779"/>
    </row>
    <row r="265" spans="1:29">
      <c r="A265" s="1779"/>
      <c r="B265" s="1779"/>
      <c r="C265" s="1779"/>
      <c r="D265" s="1779"/>
      <c r="E265" s="1779"/>
      <c r="F265" s="1779"/>
      <c r="G265" s="1779"/>
      <c r="H265" s="1779"/>
      <c r="I265" s="1779"/>
      <c r="J265" s="1779"/>
      <c r="K265" s="1780"/>
      <c r="L265" s="1781"/>
      <c r="M265" s="1779"/>
      <c r="N265" s="1779"/>
      <c r="O265" s="1779"/>
      <c r="P265" s="1779"/>
      <c r="Q265" s="1779"/>
      <c r="R265" s="1779"/>
      <c r="S265" s="1779"/>
      <c r="T265" s="1779"/>
      <c r="U265" s="1779"/>
      <c r="V265" s="1779"/>
      <c r="W265" s="1779"/>
      <c r="X265" s="1779"/>
      <c r="Y265" s="1779"/>
      <c r="Z265" s="1779"/>
      <c r="AA265" s="1779"/>
      <c r="AB265" s="1779"/>
      <c r="AC265" s="1779"/>
    </row>
    <row r="266" spans="1:29">
      <c r="A266" s="1779"/>
      <c r="B266" s="1779"/>
      <c r="C266" s="1779"/>
      <c r="D266" s="1779"/>
      <c r="E266" s="1779"/>
      <c r="F266" s="1779"/>
      <c r="G266" s="1779"/>
      <c r="H266" s="1779"/>
      <c r="I266" s="1779"/>
      <c r="J266" s="1779"/>
      <c r="K266" s="1780"/>
      <c r="L266" s="1781"/>
      <c r="M266" s="1779"/>
      <c r="N266" s="1779"/>
      <c r="O266" s="1779"/>
      <c r="P266" s="1779"/>
      <c r="Q266" s="1779"/>
      <c r="R266" s="1779"/>
      <c r="S266" s="1779"/>
      <c r="T266" s="1779"/>
      <c r="U266" s="1779"/>
      <c r="V266" s="1779"/>
      <c r="W266" s="1779"/>
      <c r="X266" s="1779"/>
      <c r="Y266" s="1779"/>
      <c r="Z266" s="1779"/>
      <c r="AA266" s="1779"/>
      <c r="AB266" s="1779"/>
      <c r="AC266" s="1779"/>
    </row>
    <row r="267" spans="1:29">
      <c r="A267" s="1779"/>
      <c r="B267" s="1779"/>
      <c r="C267" s="1779"/>
      <c r="D267" s="1779"/>
      <c r="E267" s="1779"/>
      <c r="F267" s="1779"/>
      <c r="G267" s="1779"/>
      <c r="H267" s="1779"/>
      <c r="I267" s="1779"/>
      <c r="J267" s="1779"/>
      <c r="K267" s="1780"/>
      <c r="L267" s="1781"/>
      <c r="M267" s="1779"/>
      <c r="N267" s="1779"/>
      <c r="O267" s="1779"/>
      <c r="P267" s="1779"/>
      <c r="Q267" s="1779"/>
      <c r="R267" s="1779"/>
      <c r="S267" s="1779"/>
      <c r="T267" s="1779"/>
      <c r="U267" s="1779"/>
      <c r="V267" s="1779"/>
      <c r="W267" s="1779"/>
      <c r="X267" s="1779"/>
      <c r="Y267" s="1779"/>
      <c r="Z267" s="1779"/>
      <c r="AA267" s="1779"/>
      <c r="AB267" s="1779"/>
      <c r="AC267" s="1779"/>
    </row>
    <row r="268" spans="1:29">
      <c r="A268" s="1779"/>
      <c r="B268" s="1779"/>
      <c r="C268" s="1779"/>
      <c r="D268" s="1779"/>
      <c r="E268" s="1779"/>
      <c r="F268" s="1779"/>
      <c r="G268" s="1779"/>
      <c r="H268" s="1779"/>
      <c r="I268" s="1779"/>
      <c r="J268" s="1779"/>
      <c r="K268" s="1780"/>
      <c r="L268" s="1781"/>
      <c r="M268" s="1779"/>
      <c r="N268" s="1779"/>
      <c r="O268" s="1779"/>
      <c r="P268" s="1779"/>
      <c r="Q268" s="1779"/>
      <c r="R268" s="1779"/>
      <c r="S268" s="1779"/>
      <c r="T268" s="1779"/>
      <c r="U268" s="1779"/>
      <c r="V268" s="1779"/>
      <c r="W268" s="1779"/>
      <c r="X268" s="1779"/>
      <c r="Y268" s="1779"/>
      <c r="Z268" s="1779"/>
      <c r="AA268" s="1779"/>
      <c r="AB268" s="1779"/>
      <c r="AC268" s="1779"/>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E52">
    <cfRule type="expression" dxfId="94" priority="14" stopIfTrue="1">
      <formula>$F$52="超过30%"</formula>
    </cfRule>
  </conditionalFormatting>
  <conditionalFormatting sqref="E53">
    <cfRule type="expression" dxfId="93" priority="11" stopIfTrue="1">
      <formula>$F$53="超过20%"</formula>
    </cfRule>
  </conditionalFormatting>
  <conditionalFormatting sqref="E54">
    <cfRule type="expression" dxfId="92" priority="10" stopIfTrue="1">
      <formula>$F$54="超过30%"</formula>
    </cfRule>
  </conditionalFormatting>
  <conditionalFormatting sqref="F7:F46 H7:H46 J7:J46">
    <cfRule type="cellIs" dxfId="91" priority="1" operator="notEqual">
      <formula>100</formula>
    </cfRule>
  </conditionalFormatting>
  <conditionalFormatting sqref="F48">
    <cfRule type="expression" dxfId="90" priority="4">
      <formula>$D$48="简单平均"</formula>
    </cfRule>
  </conditionalFormatting>
  <conditionalFormatting sqref="F52:F54 H52:H54 J52:J54">
    <cfRule type="containsText" dxfId="89" priority="15" stopIfTrue="1" operator="containsText" text="超过">
      <formula>NOT(ISERROR(SEARCH("超过",F52)))</formula>
    </cfRule>
  </conditionalFormatting>
  <conditionalFormatting sqref="G52">
    <cfRule type="expression" dxfId="88" priority="9" stopIfTrue="1">
      <formula>$H$52="超过30%"</formula>
    </cfRule>
  </conditionalFormatting>
  <conditionalFormatting sqref="G53">
    <cfRule type="expression" dxfId="87" priority="8" stopIfTrue="1">
      <formula>$H$53="超过20%"</formula>
    </cfRule>
  </conditionalFormatting>
  <conditionalFormatting sqref="G54">
    <cfRule type="expression" dxfId="86" priority="12" stopIfTrue="1">
      <formula>$H$54="超过30%"</formula>
    </cfRule>
  </conditionalFormatting>
  <conditionalFormatting sqref="H48">
    <cfRule type="expression" dxfId="85" priority="3">
      <formula>$D$48="简单平均"</formula>
    </cfRule>
  </conditionalFormatting>
  <conditionalFormatting sqref="I52">
    <cfRule type="expression" dxfId="84" priority="7" stopIfTrue="1">
      <formula>$J$52="超过30%"</formula>
    </cfRule>
  </conditionalFormatting>
  <conditionalFormatting sqref="I53">
    <cfRule type="expression" dxfId="83" priority="6" stopIfTrue="1">
      <formula>$J$53="超过20%"</formula>
    </cfRule>
  </conditionalFormatting>
  <conditionalFormatting sqref="I54">
    <cfRule type="expression" dxfId="82" priority="5" stopIfTrue="1">
      <formula>$J$54="超过30%"</formula>
    </cfRule>
  </conditionalFormatting>
  <conditionalFormatting sqref="J48">
    <cfRule type="expression" dxfId="81" priority="2">
      <formula>$D$48="简单平均"</formula>
    </cfRule>
  </conditionalFormatting>
  <dataValidations count="21">
    <dataValidation type="list" allowBlank="1" showInputMessage="1" showErrorMessage="1" sqref="E24 G24 I24 C24" xr:uid="{00000000-0002-0000-2200-000000000000}">
      <formula1>环境</formula1>
    </dataValidation>
    <dataValidation type="list" allowBlank="1" showInputMessage="1" showErrorMessage="1" sqref="E16 G16 I16 C16" xr:uid="{00000000-0002-0000-2200-000001000000}">
      <formula1>居住社区成熟度</formula1>
    </dataValidation>
    <dataValidation type="list" allowBlank="1" showInputMessage="1" showErrorMessage="1" sqref="E18 G18 I18 C18" xr:uid="{00000000-0002-0000-2200-000002000000}">
      <formula1>交通便捷度</formula1>
    </dataValidation>
    <dataValidation type="list" allowBlank="1" showInputMessage="1" showErrorMessage="1" sqref="C20 G20 I20 E20" xr:uid="{00000000-0002-0000-2200-000003000000}">
      <formula1>公共配套设施</formula1>
    </dataValidation>
    <dataValidation type="list" allowBlank="1" showInputMessage="1" showErrorMessage="1" sqref="E25 G25 I25 C25" xr:uid="{00000000-0002-0000-2200-000004000000}">
      <formula1>住宅楼层</formula1>
    </dataValidation>
    <dataValidation type="list" allowBlank="1" showInputMessage="1" showErrorMessage="1" sqref="E26 G26 I26 C26" xr:uid="{00000000-0002-0000-2200-000005000000}">
      <formula1>住宅朝向</formula1>
    </dataValidation>
    <dataValidation type="list" allowBlank="1" showInputMessage="1" showErrorMessage="1" sqref="E32 G32 I32 C32" xr:uid="{00000000-0002-0000-2200-000006000000}">
      <formula1>住宅建筑类型</formula1>
    </dataValidation>
    <dataValidation type="list" allowBlank="1" showInputMessage="1" showErrorMessage="1" sqref="E34 G34 I34 C34" xr:uid="{00000000-0002-0000-2200-000007000000}">
      <formula1>住宅建筑结构</formula1>
    </dataValidation>
    <dataValidation type="list" allowBlank="1" showInputMessage="1" showErrorMessage="1" sqref="E35 G35 I35 C35" xr:uid="{00000000-0002-0000-2200-000008000000}">
      <formula1>住宅建筑品质</formula1>
    </dataValidation>
    <dataValidation type="list" allowBlank="1" showInputMessage="1" showErrorMessage="1" sqref="E36 G36 I36 C36" xr:uid="{00000000-0002-0000-2200-000009000000}">
      <formula1>住宅公共部分装修</formula1>
    </dataValidation>
    <dataValidation type="list" allowBlank="1" showInputMessage="1" showErrorMessage="1" sqref="E38 G38 I38 C38" xr:uid="{00000000-0002-0000-2200-00000A000000}">
      <formula1>住宅物业管理</formula1>
    </dataValidation>
    <dataValidation type="list" allowBlank="1" showInputMessage="1" showErrorMessage="1" sqref="E39 G39 I39 C39" xr:uid="{00000000-0002-0000-2200-00000B000000}">
      <formula1>住宅基础设施水平</formula1>
    </dataValidation>
    <dataValidation type="list" allowBlank="1" showInputMessage="1" showErrorMessage="1" sqref="E40 G40 I40 C40" xr:uid="{00000000-0002-0000-2200-00000C000000}">
      <formula1>住宅房型</formula1>
    </dataValidation>
    <dataValidation type="list" allowBlank="1" showInputMessage="1" showErrorMessage="1" sqref="E42 G42 I42 C42" xr:uid="{00000000-0002-0000-2200-00000D000000}">
      <formula1>住宅内部装修</formula1>
    </dataValidation>
    <dataValidation type="list" allowBlank="1" showInputMessage="1" showErrorMessage="1" sqref="E43 G43 I43 C43" xr:uid="{00000000-0002-0000-2200-00000E000000}">
      <formula1>内部装修维护情况</formula1>
    </dataValidation>
    <dataValidation type="list" allowBlank="1" showInputMessage="1" showErrorMessage="1" sqref="E8 G8 I8 C8" xr:uid="{00000000-0002-0000-2200-00000F000000}">
      <formula1>住宅交易情况</formula1>
    </dataValidation>
    <dataValidation type="list" allowBlank="1" showInputMessage="1" showErrorMessage="1" sqref="D1" xr:uid="{00000000-0002-0000-2200-000010000000}">
      <formula1>项目类型</formula1>
    </dataValidation>
    <dataValidation type="list" allowBlank="1" showInputMessage="1" showErrorMessage="1" sqref="E9 G9 I9" xr:uid="{00000000-0002-0000-2200-000011000000}">
      <formula1>住宅用途</formula1>
    </dataValidation>
    <dataValidation type="list" allowBlank="1" showInputMessage="1" showErrorMessage="1" sqref="C22 E22 G22 I22" xr:uid="{00000000-0002-0000-2200-000012000000}">
      <formula1>基础设施水平</formula1>
    </dataValidation>
    <dataValidation type="list" allowBlank="1" showInputMessage="1" showErrorMessage="1" sqref="F1" xr:uid="{00000000-0002-0000-2200-000013000000}">
      <formula1>"售价,租金"</formula1>
    </dataValidation>
    <dataValidation type="list" allowBlank="1" showInputMessage="1" showErrorMessage="1" sqref="D48" xr:uid="{00000000-0002-0000-2200-000014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4">
    <tabColor rgb="FF92D050"/>
    <pageSetUpPr fitToPage="1"/>
  </sheetPr>
  <dimension ref="A1:AC794"/>
  <sheetViews>
    <sheetView view="pageBreakPreview" topLeftCell="A28" zoomScale="60" zoomScaleNormal="60" workbookViewId="0">
      <selection activeCell="F10" sqref="F10"/>
    </sheetView>
  </sheetViews>
  <sheetFormatPr defaultColWidth="9" defaultRowHeight="14.25"/>
  <cols>
    <col min="1" max="1" width="10.5" style="1132" customWidth="1"/>
    <col min="2" max="2" width="15.75" style="1132" customWidth="1"/>
    <col min="3" max="3" width="14.375" style="1132" customWidth="1"/>
    <col min="4" max="4" width="12.25" style="1132" customWidth="1"/>
    <col min="5" max="5" width="14.375" style="1132" customWidth="1"/>
    <col min="6" max="6" width="12.25" style="1132" customWidth="1"/>
    <col min="7" max="7" width="14.5" style="1132" customWidth="1"/>
    <col min="8" max="8" width="12.25" style="1132" customWidth="1"/>
    <col min="9" max="9" width="14.5" style="1132" customWidth="1"/>
    <col min="10" max="10" width="12.25" style="1132" customWidth="1"/>
    <col min="11" max="11" width="12.25" style="1137" customWidth="1"/>
    <col min="12" max="12" width="12.25" style="1138" customWidth="1"/>
    <col min="13" max="15" width="12.25" style="1132" customWidth="1"/>
    <col min="16" max="16" width="4.75" style="1132" customWidth="1"/>
    <col min="17" max="17" width="19.5" style="1132" customWidth="1"/>
    <col min="18" max="22" width="6.125" style="1132" customWidth="1"/>
    <col min="23" max="23" width="5.75" style="1132" customWidth="1"/>
    <col min="24" max="24" width="4.25" style="1132" customWidth="1"/>
    <col min="25" max="25" width="3.5" style="1132" customWidth="1"/>
    <col min="26" max="26" width="19.75" style="1132" customWidth="1"/>
    <col min="27" max="28" width="9.375" style="1132" customWidth="1"/>
    <col min="29" max="16384" width="9" style="1132"/>
  </cols>
  <sheetData>
    <row r="1" spans="1:29" s="1131" customFormat="1" ht="28.5" customHeight="1">
      <c r="A1" s="453" t="s">
        <v>665</v>
      </c>
      <c r="B1" s="454" t="s">
        <v>697</v>
      </c>
      <c r="C1" s="455" t="s">
        <v>667</v>
      </c>
      <c r="D1" s="1933"/>
      <c r="E1" s="457"/>
      <c r="F1" s="2118"/>
      <c r="G1" s="1328" t="s">
        <v>668</v>
      </c>
      <c r="H1" s="457"/>
      <c r="I1" s="457"/>
      <c r="J1" s="457"/>
      <c r="K1" s="458"/>
      <c r="L1" s="2717"/>
      <c r="M1" s="2718"/>
      <c r="N1" s="2718"/>
      <c r="O1" s="2718"/>
      <c r="P1" s="1740"/>
      <c r="Q1" s="1740"/>
      <c r="R1" s="1740"/>
      <c r="S1" s="1740"/>
      <c r="T1" s="1740"/>
      <c r="U1" s="1740"/>
      <c r="V1" s="1740"/>
      <c r="W1" s="1740"/>
      <c r="X1" s="1740"/>
      <c r="Y1" s="1740"/>
      <c r="Z1" s="1740"/>
      <c r="AA1" s="1740"/>
      <c r="AB1" s="1740"/>
      <c r="AC1" s="1674"/>
    </row>
    <row r="2" spans="1:29" s="1131" customFormat="1" ht="28.5" customHeight="1">
      <c r="A2" s="393" t="s">
        <v>427</v>
      </c>
      <c r="B2" s="784" t="e">
        <f>ROUND(B3*D3/10000,0)</f>
        <v>#DIV/0!</v>
      </c>
      <c r="C2" s="1735"/>
      <c r="D2" s="1735"/>
      <c r="E2" s="1674"/>
      <c r="F2" s="1737"/>
      <c r="G2" s="1736"/>
      <c r="H2" s="1736"/>
      <c r="I2" s="1736"/>
      <c r="J2" s="1736"/>
      <c r="K2" s="1736"/>
      <c r="L2" s="1739"/>
      <c r="M2" s="1740"/>
      <c r="N2" s="1740"/>
      <c r="O2" s="1740"/>
      <c r="P2" s="1740"/>
      <c r="Q2" s="1740"/>
      <c r="R2" s="1740"/>
      <c r="S2" s="1740"/>
      <c r="T2" s="1740"/>
      <c r="U2" s="1740"/>
      <c r="V2" s="1740"/>
      <c r="W2" s="1740"/>
      <c r="X2" s="1740"/>
      <c r="Y2" s="1740"/>
      <c r="Z2" s="1740"/>
      <c r="AA2" s="1740"/>
      <c r="AB2" s="1740"/>
      <c r="AC2" s="1674"/>
    </row>
    <row r="3" spans="1:29" s="1131" customFormat="1" ht="28.5" customHeight="1" thickBot="1">
      <c r="A3" s="460" t="s">
        <v>468</v>
      </c>
      <c r="B3" s="461" t="e">
        <f>C49</f>
        <v>#DIV/0!</v>
      </c>
      <c r="C3" s="786" t="s">
        <v>669</v>
      </c>
      <c r="D3" s="785">
        <f>SUMIF('数据-汇总表'!$C19:$C33,D1,'数据-汇总表'!$E19:$E33)</f>
        <v>0</v>
      </c>
      <c r="E3" s="1674"/>
      <c r="F3" s="1737"/>
      <c r="G3" s="1736"/>
      <c r="H3" s="1736"/>
      <c r="I3" s="1736"/>
      <c r="J3" s="1736"/>
      <c r="K3" s="1738"/>
      <c r="L3" s="1739"/>
      <c r="M3" s="1740"/>
      <c r="N3" s="1740"/>
      <c r="O3" s="1740"/>
      <c r="P3" s="1740"/>
      <c r="Q3" s="1740"/>
      <c r="R3" s="1740"/>
      <c r="S3" s="1740"/>
      <c r="T3" s="1740"/>
      <c r="U3" s="1740"/>
      <c r="V3" s="1740"/>
      <c r="W3" s="1740"/>
      <c r="X3" s="1740"/>
      <c r="Y3" s="1740"/>
      <c r="Z3" s="1740"/>
      <c r="AA3" s="1740"/>
      <c r="AB3" s="1740"/>
      <c r="AC3" s="1674"/>
    </row>
    <row r="4" spans="1:29" ht="15">
      <c r="A4" s="463" t="s">
        <v>470</v>
      </c>
      <c r="B4" s="464"/>
      <c r="C4" s="3631" t="s">
        <v>471</v>
      </c>
      <c r="D4" s="3632"/>
      <c r="E4" s="3707" t="s">
        <v>472</v>
      </c>
      <c r="F4" s="3708"/>
      <c r="G4" s="3631" t="s">
        <v>473</v>
      </c>
      <c r="H4" s="3632"/>
      <c r="I4" s="3631" t="s">
        <v>474</v>
      </c>
      <c r="J4" s="3632"/>
      <c r="K4" s="465" t="s">
        <v>475</v>
      </c>
      <c r="L4" s="1741"/>
      <c r="M4" s="1742"/>
      <c r="N4" s="1742"/>
      <c r="O4" s="1742"/>
      <c r="P4" s="3633" t="s">
        <v>476</v>
      </c>
      <c r="Q4" s="3634"/>
      <c r="R4" s="3617" t="s">
        <v>472</v>
      </c>
      <c r="S4" s="3618"/>
      <c r="T4" s="3617" t="s">
        <v>473</v>
      </c>
      <c r="U4" s="3618"/>
      <c r="V4" s="3639" t="s">
        <v>474</v>
      </c>
      <c r="W4" s="3639"/>
      <c r="X4" s="1302"/>
      <c r="Y4" s="3617" t="s">
        <v>476</v>
      </c>
      <c r="Z4" s="3618"/>
      <c r="AA4" s="3612" t="s">
        <v>472</v>
      </c>
      <c r="AB4" s="3639" t="s">
        <v>473</v>
      </c>
      <c r="AC4" s="3612" t="s">
        <v>474</v>
      </c>
    </row>
    <row r="5" spans="1:29" ht="15">
      <c r="A5" s="466"/>
      <c r="B5" s="467"/>
      <c r="C5" s="3642" t="s">
        <v>2192</v>
      </c>
      <c r="D5" s="3643"/>
      <c r="E5" s="3709" t="s">
        <v>2193</v>
      </c>
      <c r="F5" s="3710"/>
      <c r="G5" s="3642" t="s">
        <v>2194</v>
      </c>
      <c r="H5" s="3643"/>
      <c r="I5" s="3642" t="s">
        <v>2195</v>
      </c>
      <c r="J5" s="3643"/>
      <c r="K5" s="465"/>
      <c r="L5" s="1741"/>
      <c r="M5" s="1742"/>
      <c r="N5" s="1742"/>
      <c r="O5" s="1742"/>
      <c r="P5" s="3635"/>
      <c r="Q5" s="3636"/>
      <c r="R5" s="3619"/>
      <c r="S5" s="3620"/>
      <c r="T5" s="3619"/>
      <c r="U5" s="3620"/>
      <c r="V5" s="3639"/>
      <c r="W5" s="3639"/>
      <c r="X5" s="1302"/>
      <c r="Y5" s="3619"/>
      <c r="Z5" s="3620"/>
      <c r="AA5" s="3613"/>
      <c r="AB5" s="3639"/>
      <c r="AC5" s="3613"/>
    </row>
    <row r="6" spans="1:29" ht="15.75" thickBot="1">
      <c r="A6" s="468"/>
      <c r="B6" s="469"/>
      <c r="C6" s="3640" t="s">
        <v>2196</v>
      </c>
      <c r="D6" s="3641"/>
      <c r="E6" s="3711" t="s">
        <v>2196</v>
      </c>
      <c r="F6" s="3712"/>
      <c r="G6" s="3640" t="s">
        <v>2196</v>
      </c>
      <c r="H6" s="3641"/>
      <c r="I6" s="3640" t="s">
        <v>2196</v>
      </c>
      <c r="J6" s="3641"/>
      <c r="K6" s="465" t="s">
        <v>477</v>
      </c>
      <c r="L6" s="1741"/>
      <c r="M6" s="1742"/>
      <c r="N6" s="1742"/>
      <c r="O6" s="1742"/>
      <c r="P6" s="3637"/>
      <c r="Q6" s="3638"/>
      <c r="R6" s="3619"/>
      <c r="S6" s="3620"/>
      <c r="T6" s="3621"/>
      <c r="U6" s="3622"/>
      <c r="V6" s="3639"/>
      <c r="W6" s="3639"/>
      <c r="X6" s="1302"/>
      <c r="Y6" s="3621"/>
      <c r="Z6" s="3622"/>
      <c r="AA6" s="3614"/>
      <c r="AB6" s="3639"/>
      <c r="AC6" s="3614"/>
    </row>
    <row r="7" spans="1:29" s="1060" customFormat="1" ht="15.75" thickBot="1">
      <c r="A7" s="2209"/>
      <c r="B7" s="2216" t="s">
        <v>478</v>
      </c>
      <c r="C7" s="470">
        <f>'数据-取费表'!B2</f>
        <v>45483</v>
      </c>
      <c r="D7" s="471">
        <v>100</v>
      </c>
      <c r="E7" s="472"/>
      <c r="F7" s="473">
        <f>SUMIF(58:58,YEAR(E7)&amp;"-"&amp;MONTH(E7),59:59)</f>
        <v>0</v>
      </c>
      <c r="G7" s="472"/>
      <c r="H7" s="471">
        <f>SUMIF(58:58,YEAR(G7)&amp;"-"&amp;MONTH(G7),59:59)</f>
        <v>0</v>
      </c>
      <c r="I7" s="472"/>
      <c r="J7" s="471">
        <f>SUMIF(58:58,YEAR(I7)&amp;"-"&amp;MONTH(I7),59:59)</f>
        <v>0</v>
      </c>
      <c r="K7" s="88"/>
      <c r="L7" s="1743"/>
      <c r="M7" s="1640"/>
      <c r="N7" s="1640"/>
      <c r="O7" s="1640"/>
      <c r="P7" s="3615" t="s">
        <v>479</v>
      </c>
      <c r="Q7" s="3624"/>
      <c r="R7" s="1303" t="s">
        <v>5</v>
      </c>
      <c r="S7" s="1304">
        <f t="shared" ref="S7:S15" si="0">F7</f>
        <v>0</v>
      </c>
      <c r="T7" s="1303" t="s">
        <v>5</v>
      </c>
      <c r="U7" s="1304">
        <f t="shared" ref="U7:U15" si="1">H7</f>
        <v>0</v>
      </c>
      <c r="V7" s="1303" t="s">
        <v>5</v>
      </c>
      <c r="W7" s="1304">
        <f t="shared" ref="W7:W15" si="2">J7</f>
        <v>0</v>
      </c>
      <c r="X7" s="1305"/>
      <c r="Y7" s="3615" t="s">
        <v>479</v>
      </c>
      <c r="Z7" s="3616"/>
      <c r="AA7" s="997" t="e">
        <f>D7/F7</f>
        <v>#DIV/0!</v>
      </c>
      <c r="AB7" s="997" t="e">
        <f>D7/H7</f>
        <v>#DIV/0!</v>
      </c>
      <c r="AC7" s="997" t="e">
        <f>D7/J7</f>
        <v>#DIV/0!</v>
      </c>
    </row>
    <row r="8" spans="1:29" s="1060" customFormat="1" ht="15.75" thickBot="1">
      <c r="A8" s="2210"/>
      <c r="B8" s="2217" t="s">
        <v>480</v>
      </c>
      <c r="C8" s="475" t="s">
        <v>524</v>
      </c>
      <c r="D8" s="471">
        <v>100</v>
      </c>
      <c r="E8" s="475"/>
      <c r="F8" s="473">
        <f>SUMIF(61:61,E8,62:62)-SUMIF(61:61,C8,62:62)+100</f>
        <v>0</v>
      </c>
      <c r="G8" s="475"/>
      <c r="H8" s="471">
        <f>SUMIF(61:61,G8,62:62)-SUMIF(61:61,C8,62:62)+100</f>
        <v>0</v>
      </c>
      <c r="I8" s="475"/>
      <c r="J8" s="471">
        <f>SUMIF(61:61,I8,62:62)-SUMIF(61:61,C8,62:62)+100</f>
        <v>0</v>
      </c>
      <c r="K8" s="88"/>
      <c r="L8" s="1743"/>
      <c r="M8" s="1640"/>
      <c r="N8" s="1640"/>
      <c r="O8" s="1640"/>
      <c r="P8" s="3615" t="s">
        <v>482</v>
      </c>
      <c r="Q8" s="3616"/>
      <c r="R8" s="1303" t="s">
        <v>5</v>
      </c>
      <c r="S8" s="1304">
        <f t="shared" si="0"/>
        <v>0</v>
      </c>
      <c r="T8" s="1303" t="s">
        <v>5</v>
      </c>
      <c r="U8" s="1304">
        <f t="shared" si="1"/>
        <v>0</v>
      </c>
      <c r="V8" s="1303" t="s">
        <v>5</v>
      </c>
      <c r="W8" s="1304">
        <f t="shared" si="2"/>
        <v>0</v>
      </c>
      <c r="X8" s="1305"/>
      <c r="Y8" s="3615" t="s">
        <v>482</v>
      </c>
      <c r="Z8" s="3616"/>
      <c r="AA8" s="997" t="e">
        <f t="shared" ref="AA8:AA46" si="3">D8/F8</f>
        <v>#DIV/0!</v>
      </c>
      <c r="AB8" s="997" t="e">
        <f t="shared" ref="AB8:AB46" si="4">D8/H8</f>
        <v>#DIV/0!</v>
      </c>
      <c r="AC8" s="997" t="e">
        <f t="shared" ref="AC8:AC46" si="5">D8/J8</f>
        <v>#DIV/0!</v>
      </c>
    </row>
    <row r="9" spans="1:29" s="1060" customFormat="1" ht="15">
      <c r="A9" s="2211"/>
      <c r="B9" s="2218" t="s">
        <v>2038</v>
      </c>
      <c r="C9" s="791"/>
      <c r="D9" s="154">
        <v>100</v>
      </c>
      <c r="E9" s="793"/>
      <c r="F9" s="154">
        <f>SUMIF(63:63,E9,64:64)-SUMIF(63:63,C9,64:64)+100</f>
        <v>100</v>
      </c>
      <c r="G9" s="792"/>
      <c r="H9" s="154">
        <f>SUMIF(63:63,G9,64:64)-SUMIF(63:63,C9,64:64)+100</f>
        <v>100</v>
      </c>
      <c r="I9" s="792"/>
      <c r="J9" s="154">
        <f>SUMIF(63:63,I9,64:64)-SUMIF(63:63,C9,64:64)+100</f>
        <v>100</v>
      </c>
      <c r="K9" s="88"/>
      <c r="L9" s="1743"/>
      <c r="M9" s="1640"/>
      <c r="N9" s="1640"/>
      <c r="O9" s="1744"/>
      <c r="P9" s="3623" t="s">
        <v>484</v>
      </c>
      <c r="Q9" s="818" t="str">
        <f t="shared" ref="Q9:Q15" si="6">B9</f>
        <v>用途</v>
      </c>
      <c r="R9" s="1303" t="s">
        <v>5</v>
      </c>
      <c r="S9" s="1304">
        <f t="shared" si="0"/>
        <v>100</v>
      </c>
      <c r="T9" s="1303" t="s">
        <v>5</v>
      </c>
      <c r="U9" s="1304">
        <f t="shared" si="1"/>
        <v>100</v>
      </c>
      <c r="V9" s="1303" t="s">
        <v>5</v>
      </c>
      <c r="W9" s="1304">
        <f t="shared" si="2"/>
        <v>100</v>
      </c>
      <c r="X9" s="1305"/>
      <c r="Y9" s="3575" t="s">
        <v>485</v>
      </c>
      <c r="Z9" s="997" t="str">
        <f t="shared" ref="Z9:Z15" si="7">Q9</f>
        <v>用途</v>
      </c>
      <c r="AA9" s="997">
        <f t="shared" si="3"/>
        <v>1</v>
      </c>
      <c r="AB9" s="997">
        <f t="shared" si="4"/>
        <v>1</v>
      </c>
      <c r="AC9" s="997">
        <f t="shared" si="5"/>
        <v>1</v>
      </c>
    </row>
    <row r="10" spans="1:29" s="1133" customFormat="1" ht="27">
      <c r="A10" s="2212"/>
      <c r="B10" s="2217" t="s">
        <v>2039</v>
      </c>
      <c r="C10" s="3386"/>
      <c r="D10" s="235">
        <v>100</v>
      </c>
      <c r="E10" s="3386"/>
      <c r="F10" s="235">
        <f>SUMIF(65:65,E10,66:66)-SUMIF(65:65,C10,66:66)+100</f>
        <v>100</v>
      </c>
      <c r="G10" s="3387"/>
      <c r="H10" s="235">
        <f>SUMIF(65:65,G10,66:66)-SUMIF(65:65,C10,66:66)+100</f>
        <v>100</v>
      </c>
      <c r="I10" s="3386"/>
      <c r="J10" s="235">
        <f>SUMIF(65:65,I10,66:66)-SUMIF(65:65,C10,66:66)+100</f>
        <v>100</v>
      </c>
      <c r="K10" s="88"/>
      <c r="L10" s="1745"/>
      <c r="M10" s="1778"/>
      <c r="N10" s="1778"/>
      <c r="O10" s="1746"/>
      <c r="P10" s="3623"/>
      <c r="Q10" s="818" t="str">
        <f t="shared" si="6"/>
        <v>土地使用年限（年）</v>
      </c>
      <c r="R10" s="1303" t="s">
        <v>5</v>
      </c>
      <c r="S10" s="1304">
        <f t="shared" si="0"/>
        <v>100</v>
      </c>
      <c r="T10" s="1303" t="s">
        <v>5</v>
      </c>
      <c r="U10" s="1304">
        <f t="shared" si="1"/>
        <v>100</v>
      </c>
      <c r="V10" s="1303" t="s">
        <v>5</v>
      </c>
      <c r="W10" s="1304">
        <f t="shared" si="2"/>
        <v>100</v>
      </c>
      <c r="X10" s="1305"/>
      <c r="Y10" s="3575"/>
      <c r="Z10" s="997" t="str">
        <f t="shared" si="7"/>
        <v>土地使用年限（年）</v>
      </c>
      <c r="AA10" s="997">
        <f t="shared" si="3"/>
        <v>1</v>
      </c>
      <c r="AB10" s="997">
        <f t="shared" si="4"/>
        <v>1</v>
      </c>
      <c r="AC10" s="997">
        <f t="shared" si="5"/>
        <v>1</v>
      </c>
    </row>
    <row r="11" spans="1:29" ht="15">
      <c r="A11" s="2213"/>
      <c r="B11" s="2217" t="s">
        <v>2040</v>
      </c>
      <c r="C11" s="483"/>
      <c r="D11" s="235">
        <v>100</v>
      </c>
      <c r="E11" s="483"/>
      <c r="F11" s="235" t="e">
        <f>LOOKUP(E11,68:68,69:69)-LOOKUP(C11,68:68,69:69)+100</f>
        <v>#N/A</v>
      </c>
      <c r="G11" s="484"/>
      <c r="H11" s="235" t="e">
        <f>LOOKUP(G11,68:68,69:69)-LOOKUP(C11,68:68,69:69)+100</f>
        <v>#N/A</v>
      </c>
      <c r="I11" s="483"/>
      <c r="J11" s="235" t="e">
        <f>LOOKUP(I11,68:68,69:69)-LOOKUP(C11,68:68,69:69)+100</f>
        <v>#N/A</v>
      </c>
      <c r="K11" s="533"/>
      <c r="L11" s="1747"/>
      <c r="M11" s="1742"/>
      <c r="N11" s="1742"/>
      <c r="O11" s="1748"/>
      <c r="P11" s="3623"/>
      <c r="Q11" s="818" t="str">
        <f t="shared" si="6"/>
        <v>容积率</v>
      </c>
      <c r="R11" s="1303" t="s">
        <v>5</v>
      </c>
      <c r="S11" s="1304" t="e">
        <f t="shared" si="0"/>
        <v>#N/A</v>
      </c>
      <c r="T11" s="1303" t="s">
        <v>5</v>
      </c>
      <c r="U11" s="1304" t="e">
        <f t="shared" si="1"/>
        <v>#N/A</v>
      </c>
      <c r="V11" s="1303" t="s">
        <v>5</v>
      </c>
      <c r="W11" s="1304" t="e">
        <f t="shared" si="2"/>
        <v>#N/A</v>
      </c>
      <c r="X11" s="1305"/>
      <c r="Y11" s="3575"/>
      <c r="Z11" s="997" t="str">
        <f t="shared" si="7"/>
        <v>容积率</v>
      </c>
      <c r="AA11" s="997" t="e">
        <f t="shared" si="3"/>
        <v>#N/A</v>
      </c>
      <c r="AB11" s="997" t="e">
        <f t="shared" si="4"/>
        <v>#N/A</v>
      </c>
      <c r="AC11" s="997" t="e">
        <f t="shared" si="5"/>
        <v>#N/A</v>
      </c>
    </row>
    <row r="12" spans="1:29" s="1060" customFormat="1" ht="15">
      <c r="A12" s="2214"/>
      <c r="B12" s="2220">
        <v>111</v>
      </c>
      <c r="C12" s="478"/>
      <c r="D12" s="488">
        <v>100</v>
      </c>
      <c r="E12" s="489"/>
      <c r="F12" s="235">
        <f>SUMIF(70:70,E12,71:71)-SUMIF(70:70,C12,71:71)+100</f>
        <v>100</v>
      </c>
      <c r="G12" s="835"/>
      <c r="H12" s="235">
        <f>SUMIF(70:70,G12,71:71)-SUMIF(70:70,C12,71:71)+100</f>
        <v>100</v>
      </c>
      <c r="I12" s="489"/>
      <c r="J12" s="235">
        <f>SUMIF(70:70,I12,71:71)-SUMIF(70:70,C12,71:71)+100</f>
        <v>100</v>
      </c>
      <c r="K12" s="531"/>
      <c r="L12" s="1743"/>
      <c r="M12" s="1640"/>
      <c r="N12" s="1640"/>
      <c r="O12" s="1744"/>
      <c r="P12" s="3623"/>
      <c r="Q12" s="818">
        <f t="shared" si="6"/>
        <v>111</v>
      </c>
      <c r="R12" s="1303" t="s">
        <v>5</v>
      </c>
      <c r="S12" s="1304">
        <f t="shared" si="0"/>
        <v>100</v>
      </c>
      <c r="T12" s="1303" t="s">
        <v>5</v>
      </c>
      <c r="U12" s="1304">
        <f t="shared" si="1"/>
        <v>100</v>
      </c>
      <c r="V12" s="1303" t="s">
        <v>5</v>
      </c>
      <c r="W12" s="1304">
        <f t="shared" si="2"/>
        <v>100</v>
      </c>
      <c r="X12" s="1305"/>
      <c r="Y12" s="3575"/>
      <c r="Z12" s="997">
        <f t="shared" si="7"/>
        <v>111</v>
      </c>
      <c r="AA12" s="997">
        <f>D12/F12</f>
        <v>1</v>
      </c>
      <c r="AB12" s="997">
        <f>D12/H12</f>
        <v>1</v>
      </c>
      <c r="AC12" s="997">
        <f>D12/J12</f>
        <v>1</v>
      </c>
    </row>
    <row r="13" spans="1:29" ht="15">
      <c r="A13" s="2214"/>
      <c r="B13" s="2220">
        <v>111</v>
      </c>
      <c r="C13" s="489"/>
      <c r="D13" s="490">
        <v>100</v>
      </c>
      <c r="E13" s="489"/>
      <c r="F13" s="235">
        <f>SUMIF(72:72,E13,73:73)-SUMIF(72:72,C13,73:73)+100</f>
        <v>100</v>
      </c>
      <c r="G13" s="835"/>
      <c r="H13" s="490">
        <f>SUMIF(72:72,G13,73:73)-SUMIF(72:72,C13,73:73)+100</f>
        <v>100</v>
      </c>
      <c r="I13" s="489"/>
      <c r="J13" s="490">
        <f>SUMIF(72:72,I13,73:73)-SUMIF(72:72,C13,73:73)+100</f>
        <v>100</v>
      </c>
      <c r="K13" s="531"/>
      <c r="L13" s="1749"/>
      <c r="M13" s="1742"/>
      <c r="N13" s="1742"/>
      <c r="O13" s="1748"/>
      <c r="P13" s="3623"/>
      <c r="Q13" s="818">
        <f t="shared" si="6"/>
        <v>111</v>
      </c>
      <c r="R13" s="1303" t="s">
        <v>5</v>
      </c>
      <c r="S13" s="1304">
        <f t="shared" si="0"/>
        <v>100</v>
      </c>
      <c r="T13" s="1303" t="s">
        <v>5</v>
      </c>
      <c r="U13" s="1304">
        <f t="shared" si="1"/>
        <v>100</v>
      </c>
      <c r="V13" s="1303" t="s">
        <v>5</v>
      </c>
      <c r="W13" s="1304">
        <f t="shared" si="2"/>
        <v>100</v>
      </c>
      <c r="X13" s="1305"/>
      <c r="Y13" s="3575"/>
      <c r="Z13" s="997">
        <f t="shared" si="7"/>
        <v>111</v>
      </c>
      <c r="AA13" s="997">
        <f t="shared" si="3"/>
        <v>1</v>
      </c>
      <c r="AB13" s="997">
        <f t="shared" si="4"/>
        <v>1</v>
      </c>
      <c r="AC13" s="997">
        <f t="shared" si="5"/>
        <v>1</v>
      </c>
    </row>
    <row r="14" spans="1:29" ht="15.75" thickBot="1">
      <c r="A14" s="2215"/>
      <c r="B14" s="2221">
        <v>111</v>
      </c>
      <c r="C14" s="495"/>
      <c r="D14" s="496">
        <v>100</v>
      </c>
      <c r="E14" s="495"/>
      <c r="F14" s="496">
        <f>SUMIF(74:74,E14,75:75)-SUMIF(74:74,C14,75:75)+100</f>
        <v>100</v>
      </c>
      <c r="G14" s="835"/>
      <c r="H14" s="496">
        <f>SUMIF(74:74,G14,75:75)-SUMIF(74:74,C14,75:75)+100</f>
        <v>100</v>
      </c>
      <c r="I14" s="489"/>
      <c r="J14" s="496">
        <f>SUMIF(74:74,I14,75:75)-SUMIF(74:74,C14,75:75)+100</f>
        <v>100</v>
      </c>
      <c r="K14" s="531"/>
      <c r="L14" s="1749"/>
      <c r="M14" s="1742"/>
      <c r="N14" s="1742"/>
      <c r="O14" s="1748"/>
      <c r="P14" s="3623"/>
      <c r="Q14" s="818">
        <f t="shared" si="6"/>
        <v>111</v>
      </c>
      <c r="R14" s="1303" t="s">
        <v>5</v>
      </c>
      <c r="S14" s="1304">
        <f t="shared" si="0"/>
        <v>100</v>
      </c>
      <c r="T14" s="1303" t="s">
        <v>5</v>
      </c>
      <c r="U14" s="1304">
        <f t="shared" si="1"/>
        <v>100</v>
      </c>
      <c r="V14" s="1303" t="s">
        <v>5</v>
      </c>
      <c r="W14" s="1304">
        <f t="shared" si="2"/>
        <v>100</v>
      </c>
      <c r="X14" s="1305"/>
      <c r="Y14" s="3575"/>
      <c r="Z14" s="997">
        <f t="shared" si="7"/>
        <v>111</v>
      </c>
      <c r="AA14" s="997">
        <f t="shared" si="3"/>
        <v>1</v>
      </c>
      <c r="AB14" s="997">
        <f t="shared" si="4"/>
        <v>1</v>
      </c>
      <c r="AC14" s="997">
        <f t="shared" si="5"/>
        <v>1</v>
      </c>
    </row>
    <row r="15" spans="1:29" ht="71.25">
      <c r="A15" s="2207" t="s">
        <v>2036</v>
      </c>
      <c r="B15" s="150" t="s">
        <v>490</v>
      </c>
      <c r="C15" s="797" t="str">
        <f>估价对象房地状况!C4</f>
        <v>估价对象位于XX商圈，周边商业氛围成熟，人流量大，商业繁华度好</v>
      </c>
      <c r="D15" s="499">
        <v>100</v>
      </c>
      <c r="E15" s="500"/>
      <c r="F15" s="501">
        <f>SUMIF(76:76,E16,77:77)-SUMIF(76:76,C16,77:77)+100</f>
        <v>100</v>
      </c>
      <c r="G15" s="502"/>
      <c r="H15" s="499">
        <f>SUMIF(76:76,G16,77:77)-SUMIF(76:76,C16,77:77)+100</f>
        <v>100</v>
      </c>
      <c r="I15" s="500"/>
      <c r="J15" s="499">
        <f>SUMIF(76:76,I16,77:77)-SUMIF(76:76,C16,77:77)+100</f>
        <v>100</v>
      </c>
      <c r="K15" s="822"/>
      <c r="L15" s="1749"/>
      <c r="M15" s="1742"/>
      <c r="N15" s="1742"/>
      <c r="O15" s="1748"/>
      <c r="P15" s="3625" t="s">
        <v>489</v>
      </c>
      <c r="Q15" s="1306" t="str">
        <f t="shared" si="6"/>
        <v>商业繁华度</v>
      </c>
      <c r="R15" s="1307" t="s">
        <v>5</v>
      </c>
      <c r="S15" s="1308">
        <f t="shared" si="0"/>
        <v>100</v>
      </c>
      <c r="T15" s="1307" t="s">
        <v>5</v>
      </c>
      <c r="U15" s="1308">
        <f t="shared" si="1"/>
        <v>100</v>
      </c>
      <c r="V15" s="1307" t="s">
        <v>5</v>
      </c>
      <c r="W15" s="1308">
        <f t="shared" si="2"/>
        <v>100</v>
      </c>
      <c r="X15" s="1302"/>
      <c r="Y15" s="3625" t="s">
        <v>489</v>
      </c>
      <c r="Z15" s="1309" t="str">
        <f t="shared" si="7"/>
        <v>商业繁华度</v>
      </c>
      <c r="AA15" s="1309">
        <f t="shared" si="3"/>
        <v>1</v>
      </c>
      <c r="AB15" s="1309">
        <f t="shared" si="4"/>
        <v>1</v>
      </c>
      <c r="AC15" s="1309">
        <f t="shared" si="5"/>
        <v>1</v>
      </c>
    </row>
    <row r="16" spans="1:29" ht="15">
      <c r="A16" s="482"/>
      <c r="B16" s="799"/>
      <c r="C16" s="526"/>
      <c r="D16" s="505"/>
      <c r="E16" s="526"/>
      <c r="F16" s="507"/>
      <c r="G16" s="526"/>
      <c r="H16" s="509"/>
      <c r="I16" s="526"/>
      <c r="J16" s="505"/>
      <c r="K16" s="823"/>
      <c r="L16" s="1749"/>
      <c r="M16" s="1742"/>
      <c r="N16" s="1742"/>
      <c r="O16" s="1748"/>
      <c r="P16" s="3626"/>
      <c r="Q16" s="1306"/>
      <c r="R16" s="1307"/>
      <c r="S16" s="1308"/>
      <c r="T16" s="1307"/>
      <c r="U16" s="1308"/>
      <c r="V16" s="1307"/>
      <c r="W16" s="1308"/>
      <c r="X16" s="1302"/>
      <c r="Y16" s="3626"/>
      <c r="Z16" s="1309"/>
      <c r="AA16" s="1309">
        <v>1</v>
      </c>
      <c r="AB16" s="1309">
        <v>1</v>
      </c>
      <c r="AC16" s="1309">
        <v>1</v>
      </c>
    </row>
    <row r="17" spans="1:29" ht="85.5">
      <c r="A17" s="482"/>
      <c r="B17" s="677" t="s">
        <v>262</v>
      </c>
      <c r="C17" s="801" t="str">
        <f>估价对象房地状况!C6</f>
        <v>估价对象周边道路状况、公共交通通达情况、停车便捷程度，综合评价交通便捷度较好</v>
      </c>
      <c r="D17" s="509">
        <v>100</v>
      </c>
      <c r="E17" s="512"/>
      <c r="F17" s="513">
        <f>SUMIF(78:78,E18,79:79)-SUMIF(78:78,C18,79:79)+100</f>
        <v>100</v>
      </c>
      <c r="G17" s="514"/>
      <c r="H17" s="515">
        <f>SUMIF(78:78,G18,79:79)-SUMIF(78:78,C18,79:79)+100</f>
        <v>100</v>
      </c>
      <c r="I17" s="512"/>
      <c r="J17" s="515">
        <f>SUMIF(78:78,I18,79:79)-SUMIF(78:78,C18,79:79)+100</f>
        <v>100</v>
      </c>
      <c r="K17" s="822"/>
      <c r="L17" s="1749"/>
      <c r="M17" s="1742"/>
      <c r="N17" s="1742"/>
      <c r="O17" s="1748"/>
      <c r="P17" s="3626"/>
      <c r="Q17" s="1306" t="str">
        <f>B17</f>
        <v>交通便捷度</v>
      </c>
      <c r="R17" s="1307" t="s">
        <v>5</v>
      </c>
      <c r="S17" s="1308">
        <f>F17</f>
        <v>100</v>
      </c>
      <c r="T17" s="1307" t="s">
        <v>5</v>
      </c>
      <c r="U17" s="1308">
        <f>H17</f>
        <v>100</v>
      </c>
      <c r="V17" s="1307" t="s">
        <v>5</v>
      </c>
      <c r="W17" s="1308">
        <f>J17</f>
        <v>100</v>
      </c>
      <c r="X17" s="1302"/>
      <c r="Y17" s="3626"/>
      <c r="Z17" s="1309" t="str">
        <f>Q17</f>
        <v>交通便捷度</v>
      </c>
      <c r="AA17" s="1309">
        <f t="shared" si="3"/>
        <v>1</v>
      </c>
      <c r="AB17" s="1309">
        <f t="shared" si="4"/>
        <v>1</v>
      </c>
      <c r="AC17" s="1309">
        <f t="shared" si="5"/>
        <v>1</v>
      </c>
    </row>
    <row r="18" spans="1:29" ht="15">
      <c r="A18" s="482"/>
      <c r="B18" s="544"/>
      <c r="C18" s="802"/>
      <c r="D18" s="509"/>
      <c r="E18" s="518"/>
      <c r="F18" s="513"/>
      <c r="G18" s="519"/>
      <c r="H18" s="505"/>
      <c r="I18" s="518"/>
      <c r="J18" s="505"/>
      <c r="K18" s="823"/>
      <c r="L18" s="1749"/>
      <c r="M18" s="1742"/>
      <c r="N18" s="1742"/>
      <c r="O18" s="1748"/>
      <c r="P18" s="3626"/>
      <c r="Q18" s="1306"/>
      <c r="R18" s="1307"/>
      <c r="S18" s="1308"/>
      <c r="T18" s="1307"/>
      <c r="U18" s="1308"/>
      <c r="V18" s="1307"/>
      <c r="W18" s="1308"/>
      <c r="X18" s="1302"/>
      <c r="Y18" s="3626"/>
      <c r="Z18" s="1309"/>
      <c r="AA18" s="1309">
        <v>1</v>
      </c>
      <c r="AB18" s="1309">
        <v>1</v>
      </c>
      <c r="AC18" s="1309">
        <v>1</v>
      </c>
    </row>
    <row r="19" spans="1:29" ht="42.75">
      <c r="A19" s="482"/>
      <c r="B19" s="2059" t="s">
        <v>1829</v>
      </c>
      <c r="C19" s="801" t="str">
        <f>估价对象房地状况!C7</f>
        <v>估价对象所在区域公共配套设施齐备情况</v>
      </c>
      <c r="D19" s="515">
        <v>100</v>
      </c>
      <c r="E19" s="520"/>
      <c r="F19" s="521">
        <f>SUMIF(80:80,E20,81:81)-SUMIF(80:80,C20,81:81)+100</f>
        <v>100</v>
      </c>
      <c r="G19" s="522"/>
      <c r="H19" s="509">
        <f>SUMIF(80:80,G20,81:81)-SUMIF(80:80,C20,81:81)+100</f>
        <v>100</v>
      </c>
      <c r="I19" s="520"/>
      <c r="J19" s="509">
        <f>SUMIF(80:80,I20,81:81)-SUMIF(80:80,C20,81:81)+100</f>
        <v>100</v>
      </c>
      <c r="K19" s="822"/>
      <c r="L19" s="1749"/>
      <c r="M19" s="1742"/>
      <c r="N19" s="1742"/>
      <c r="O19" s="1748"/>
      <c r="P19" s="3626"/>
      <c r="Q19" s="1306" t="str">
        <f>B19</f>
        <v>公共配套设施</v>
      </c>
      <c r="R19" s="1307" t="s">
        <v>5</v>
      </c>
      <c r="S19" s="1308">
        <f>F19</f>
        <v>100</v>
      </c>
      <c r="T19" s="1307" t="s">
        <v>5</v>
      </c>
      <c r="U19" s="1308">
        <f>H19</f>
        <v>100</v>
      </c>
      <c r="V19" s="1307" t="s">
        <v>5</v>
      </c>
      <c r="W19" s="1308">
        <f>J19</f>
        <v>100</v>
      </c>
      <c r="X19" s="1302"/>
      <c r="Y19" s="3626"/>
      <c r="Z19" s="1309" t="str">
        <f>Q19</f>
        <v>公共配套设施</v>
      </c>
      <c r="AA19" s="1309">
        <f t="shared" si="3"/>
        <v>1</v>
      </c>
      <c r="AB19" s="1309">
        <f t="shared" si="4"/>
        <v>1</v>
      </c>
      <c r="AC19" s="1309">
        <f t="shared" si="5"/>
        <v>1</v>
      </c>
    </row>
    <row r="20" spans="1:29" ht="15">
      <c r="A20" s="482"/>
      <c r="B20" s="544"/>
      <c r="C20" s="526"/>
      <c r="D20" s="505"/>
      <c r="E20" s="506"/>
      <c r="F20" s="507"/>
      <c r="G20" s="508"/>
      <c r="H20" s="505"/>
      <c r="I20" s="506"/>
      <c r="J20" s="505"/>
      <c r="K20" s="823"/>
      <c r="L20" s="1749"/>
      <c r="M20" s="1742"/>
      <c r="N20" s="1742"/>
      <c r="O20" s="1748"/>
      <c r="P20" s="3626"/>
      <c r="Q20" s="1306"/>
      <c r="R20" s="1307"/>
      <c r="S20" s="1308"/>
      <c r="T20" s="1307"/>
      <c r="U20" s="1308"/>
      <c r="V20" s="1307"/>
      <c r="W20" s="1308"/>
      <c r="X20" s="1302"/>
      <c r="Y20" s="3626"/>
      <c r="Z20" s="1309"/>
      <c r="AA20" s="1309">
        <v>1</v>
      </c>
      <c r="AB20" s="1309">
        <v>1</v>
      </c>
      <c r="AC20" s="1309">
        <v>1</v>
      </c>
    </row>
    <row r="21" spans="1:29" ht="28.5">
      <c r="A21" s="482"/>
      <c r="B21" s="2052" t="s">
        <v>1841</v>
      </c>
      <c r="C21" s="801" t="str">
        <f>估价对象房地状况!C8</f>
        <v>估价对象所在区域基础设施水平</v>
      </c>
      <c r="D21" s="515">
        <v>100</v>
      </c>
      <c r="E21" s="522"/>
      <c r="F21" s="521">
        <f>SUMIF(82:82,E22,83:83)-SUMIF(82:82,C22,83:83)+100</f>
        <v>100</v>
      </c>
      <c r="G21" s="522"/>
      <c r="H21" s="515">
        <f>SUMIF(82:82,G22,83:83)-SUMIF(82:82,C22,83:83)+100</f>
        <v>100</v>
      </c>
      <c r="I21" s="520"/>
      <c r="J21" s="515">
        <f>SUMIF(82:82,I22,83:83)-SUMIF(82:82,C22,83:83)+100</f>
        <v>100</v>
      </c>
      <c r="K21" s="822"/>
      <c r="L21" s="1749"/>
      <c r="M21" s="1742"/>
      <c r="N21" s="1742"/>
      <c r="O21" s="1748"/>
      <c r="P21" s="3626"/>
      <c r="Q21" s="1306" t="str">
        <f>B21</f>
        <v>基础设施水平</v>
      </c>
      <c r="R21" s="1307" t="s">
        <v>5</v>
      </c>
      <c r="S21" s="1308">
        <f>F21</f>
        <v>100</v>
      </c>
      <c r="T21" s="1307" t="s">
        <v>5</v>
      </c>
      <c r="U21" s="1308">
        <f>H21</f>
        <v>100</v>
      </c>
      <c r="V21" s="1307" t="s">
        <v>5</v>
      </c>
      <c r="W21" s="1308">
        <f>J21</f>
        <v>100</v>
      </c>
      <c r="X21" s="1302"/>
      <c r="Y21" s="3626"/>
      <c r="Z21" s="1309" t="str">
        <f>Q21</f>
        <v>基础设施水平</v>
      </c>
      <c r="AA21" s="1309">
        <f>D21/F21</f>
        <v>1</v>
      </c>
      <c r="AB21" s="1309">
        <f>D21/H21</f>
        <v>1</v>
      </c>
      <c r="AC21" s="1309">
        <f>D21/J21</f>
        <v>1</v>
      </c>
    </row>
    <row r="22" spans="1:29" ht="15">
      <c r="A22" s="482"/>
      <c r="B22" s="844"/>
      <c r="C22" s="802"/>
      <c r="D22" s="505"/>
      <c r="E22" s="526"/>
      <c r="F22" s="507"/>
      <c r="G22" s="526"/>
      <c r="H22" s="505"/>
      <c r="I22" s="526"/>
      <c r="J22" s="505"/>
      <c r="K22" s="2061"/>
      <c r="L22" s="1749"/>
      <c r="M22" s="1742"/>
      <c r="N22" s="1742"/>
      <c r="O22" s="1748"/>
      <c r="P22" s="3626"/>
      <c r="Q22" s="1306"/>
      <c r="R22" s="1307"/>
      <c r="S22" s="1308"/>
      <c r="T22" s="1307"/>
      <c r="U22" s="1308"/>
      <c r="V22" s="1307"/>
      <c r="W22" s="1308"/>
      <c r="X22" s="1302"/>
      <c r="Y22" s="3626"/>
      <c r="Z22" s="1309"/>
      <c r="AA22" s="1309">
        <v>1</v>
      </c>
      <c r="AB22" s="1309">
        <v>1</v>
      </c>
      <c r="AC22" s="1309">
        <v>1</v>
      </c>
    </row>
    <row r="23" spans="1:29" ht="57">
      <c r="A23" s="482"/>
      <c r="B23" s="677" t="s">
        <v>263</v>
      </c>
      <c r="C23" s="824" t="str">
        <f>估价对象房地状况!C9</f>
        <v>区域自然环境：；人文环境；综合评价环境状况一般</v>
      </c>
      <c r="D23" s="509">
        <v>100</v>
      </c>
      <c r="E23" s="512"/>
      <c r="F23" s="513">
        <f>SUMIF(84:84,E24,85:85)-SUMIF(84:84,C24,85:85)+100</f>
        <v>100</v>
      </c>
      <c r="G23" s="514"/>
      <c r="H23" s="509">
        <f>SUMIF(84:84,G24,85:85)-SUMIF(84:84,C24,85:85)+100</f>
        <v>100</v>
      </c>
      <c r="I23" s="512"/>
      <c r="J23" s="509">
        <f>SUMIF(84:84,I24,85:85)-SUMIF(84:84,C24,85:85)+100</f>
        <v>100</v>
      </c>
      <c r="K23" s="822"/>
      <c r="L23" s="1749"/>
      <c r="M23" s="1742"/>
      <c r="N23" s="1742"/>
      <c r="O23" s="1748"/>
      <c r="P23" s="3626"/>
      <c r="Q23" s="1306" t="str">
        <f>B23</f>
        <v>自然及人文环境</v>
      </c>
      <c r="R23" s="1307" t="s">
        <v>5</v>
      </c>
      <c r="S23" s="1308">
        <f>F23</f>
        <v>100</v>
      </c>
      <c r="T23" s="1307" t="s">
        <v>5</v>
      </c>
      <c r="U23" s="1308">
        <f>H23</f>
        <v>100</v>
      </c>
      <c r="V23" s="1307" t="s">
        <v>5</v>
      </c>
      <c r="W23" s="1308">
        <f>J23</f>
        <v>100</v>
      </c>
      <c r="X23" s="1302"/>
      <c r="Y23" s="3626"/>
      <c r="Z23" s="1309" t="str">
        <f>Q23</f>
        <v>自然及人文环境</v>
      </c>
      <c r="AA23" s="1309">
        <f t="shared" si="3"/>
        <v>1</v>
      </c>
      <c r="AB23" s="1309">
        <f t="shared" si="4"/>
        <v>1</v>
      </c>
      <c r="AC23" s="1309">
        <f t="shared" si="5"/>
        <v>1</v>
      </c>
    </row>
    <row r="24" spans="1:29" ht="15">
      <c r="A24" s="482"/>
      <c r="B24" s="544"/>
      <c r="C24" s="526"/>
      <c r="D24" s="505"/>
      <c r="E24" s="506"/>
      <c r="F24" s="507"/>
      <c r="G24" s="508"/>
      <c r="H24" s="505"/>
      <c r="I24" s="506"/>
      <c r="J24" s="505"/>
      <c r="K24" s="823"/>
      <c r="L24" s="1749"/>
      <c r="M24" s="1742"/>
      <c r="N24" s="1742"/>
      <c r="O24" s="1748"/>
      <c r="P24" s="3626"/>
      <c r="Q24" s="1306"/>
      <c r="R24" s="1307"/>
      <c r="S24" s="1308"/>
      <c r="T24" s="1307"/>
      <c r="U24" s="1308"/>
      <c r="V24" s="1307"/>
      <c r="W24" s="1308"/>
      <c r="X24" s="1302"/>
      <c r="Y24" s="3626"/>
      <c r="Z24" s="1309"/>
      <c r="AA24" s="1309">
        <v>1</v>
      </c>
      <c r="AB24" s="1309">
        <v>1</v>
      </c>
      <c r="AC24" s="1309">
        <v>1</v>
      </c>
    </row>
    <row r="25" spans="1:29" ht="15">
      <c r="A25" s="482"/>
      <c r="B25" s="477" t="s">
        <v>496</v>
      </c>
      <c r="C25" s="532"/>
      <c r="D25" s="490">
        <v>100</v>
      </c>
      <c r="E25" s="532"/>
      <c r="F25" s="525">
        <f>SUMIF(86:86,E25,87:87)-SUMIF(86:86,C25,87:87)+100</f>
        <v>100</v>
      </c>
      <c r="G25" s="532"/>
      <c r="H25" s="490">
        <f>SUMIF(86:86,G25,87:87)-SUMIF(86:86,C25,87:87)+100</f>
        <v>100</v>
      </c>
      <c r="I25" s="532"/>
      <c r="J25" s="490">
        <f>SUMIF(86:86,I25,87:87)-SUMIF(86:86,C25,87:87)+100</f>
        <v>100</v>
      </c>
      <c r="K25" s="533"/>
      <c r="L25" s="1749"/>
      <c r="M25" s="1742"/>
      <c r="N25" s="1742"/>
      <c r="O25" s="1748"/>
      <c r="P25" s="3626"/>
      <c r="Q25" s="1306" t="str">
        <f t="shared" ref="Q25:Q46" si="8">B25</f>
        <v>临街状况</v>
      </c>
      <c r="R25" s="1307" t="s">
        <v>5</v>
      </c>
      <c r="S25" s="1308">
        <f>F25</f>
        <v>100</v>
      </c>
      <c r="T25" s="1307" t="s">
        <v>5</v>
      </c>
      <c r="U25" s="1308">
        <f>H25</f>
        <v>100</v>
      </c>
      <c r="V25" s="1307" t="s">
        <v>5</v>
      </c>
      <c r="W25" s="1308">
        <f>J25</f>
        <v>100</v>
      </c>
      <c r="X25" s="1302"/>
      <c r="Y25" s="3626"/>
      <c r="Z25" s="1309" t="str">
        <f>Q25</f>
        <v>临街状况</v>
      </c>
      <c r="AA25" s="1309">
        <f t="shared" si="3"/>
        <v>1</v>
      </c>
      <c r="AB25" s="1309">
        <f t="shared" si="4"/>
        <v>1</v>
      </c>
      <c r="AC25" s="1309">
        <f t="shared" si="5"/>
        <v>1</v>
      </c>
    </row>
    <row r="26" spans="1:29" ht="15">
      <c r="A26" s="482"/>
      <c r="B26" s="91" t="s">
        <v>698</v>
      </c>
      <c r="C26" s="489"/>
      <c r="D26" s="490">
        <v>100</v>
      </c>
      <c r="E26" s="489"/>
      <c r="F26" s="525">
        <f>SUMIF(88:88,E26,89:89)-SUMIF(88:88,C26,89:89)+100</f>
        <v>100</v>
      </c>
      <c r="G26" s="489"/>
      <c r="H26" s="490">
        <f>SUMIF(88:88,G26,89:89)-SUMIF(88:88,C26,89:89)+100</f>
        <v>100</v>
      </c>
      <c r="I26" s="489"/>
      <c r="J26" s="490">
        <f>SUMIF(88:88,I26,89:89)-SUMIF(88:88,C26,89:89)+100</f>
        <v>100</v>
      </c>
      <c r="K26" s="531"/>
      <c r="L26" s="1749"/>
      <c r="M26" s="1742"/>
      <c r="N26" s="1742"/>
      <c r="O26" s="1748"/>
      <c r="P26" s="3626"/>
      <c r="Q26" s="1306" t="str">
        <f t="shared" si="8"/>
        <v>平面位置/可视性</v>
      </c>
      <c r="R26" s="1307" t="s">
        <v>5</v>
      </c>
      <c r="S26" s="1308">
        <f>F26</f>
        <v>100</v>
      </c>
      <c r="T26" s="1307" t="s">
        <v>5</v>
      </c>
      <c r="U26" s="1308">
        <f>H26</f>
        <v>100</v>
      </c>
      <c r="V26" s="1307" t="s">
        <v>5</v>
      </c>
      <c r="W26" s="1308">
        <f>J26</f>
        <v>100</v>
      </c>
      <c r="X26" s="1302"/>
      <c r="Y26" s="3626"/>
      <c r="Z26" s="1309" t="str">
        <f>Q26</f>
        <v>平面位置/可视性</v>
      </c>
      <c r="AA26" s="1309">
        <f t="shared" si="3"/>
        <v>1</v>
      </c>
      <c r="AB26" s="1309">
        <f t="shared" si="4"/>
        <v>1</v>
      </c>
      <c r="AC26" s="1309">
        <f t="shared" si="5"/>
        <v>1</v>
      </c>
    </row>
    <row r="27" spans="1:29" s="1060" customFormat="1" ht="15">
      <c r="A27" s="486"/>
      <c r="B27" s="677" t="s">
        <v>699</v>
      </c>
      <c r="C27" s="825"/>
      <c r="D27" s="516">
        <v>100</v>
      </c>
      <c r="E27" s="825"/>
      <c r="F27" s="544">
        <f>SUMIF(90:90,E27,91:91)-SUMIF(90:90,C27,91:91)+100</f>
        <v>100</v>
      </c>
      <c r="G27" s="825"/>
      <c r="H27" s="516">
        <f>SUMIF(90:90,G27,91:91)-SUMIF(90:90,C27,91:91)+100</f>
        <v>100</v>
      </c>
      <c r="I27" s="825"/>
      <c r="J27" s="516">
        <f>SUMIF(90:90,I27,91:91)-SUMIF(90:90,C27,91:91)+100</f>
        <v>100</v>
      </c>
      <c r="K27" s="533"/>
      <c r="L27" s="1743"/>
      <c r="M27" s="1640"/>
      <c r="N27" s="1640"/>
      <c r="O27" s="1744"/>
      <c r="P27" s="3626"/>
      <c r="Q27" s="818" t="str">
        <f t="shared" si="8"/>
        <v>人流量</v>
      </c>
      <c r="R27" s="1303" t="s">
        <v>5</v>
      </c>
      <c r="S27" s="1304">
        <f>F27</f>
        <v>100</v>
      </c>
      <c r="T27" s="1303" t="s">
        <v>5</v>
      </c>
      <c r="U27" s="1304">
        <f>H27</f>
        <v>100</v>
      </c>
      <c r="V27" s="1303" t="s">
        <v>5</v>
      </c>
      <c r="W27" s="1304">
        <f>J27</f>
        <v>100</v>
      </c>
      <c r="X27" s="1305"/>
      <c r="Y27" s="3626"/>
      <c r="Z27" s="997" t="str">
        <f>Q27</f>
        <v>人流量</v>
      </c>
      <c r="AA27" s="1309">
        <f>D27/F27</f>
        <v>1</v>
      </c>
      <c r="AB27" s="1309">
        <f>D27/H27</f>
        <v>1</v>
      </c>
      <c r="AC27" s="1309">
        <f>D27/J27</f>
        <v>1</v>
      </c>
    </row>
    <row r="28" spans="1:29" ht="15">
      <c r="A28" s="482"/>
      <c r="B28" s="477" t="s">
        <v>701</v>
      </c>
      <c r="C28" s="532"/>
      <c r="D28" s="490">
        <v>100</v>
      </c>
      <c r="E28" s="532"/>
      <c r="F28" s="525">
        <f>SUMIF(92:92,E28,93:93)-SUMIF(92:92,C28,93:93)+100</f>
        <v>100</v>
      </c>
      <c r="G28" s="532"/>
      <c r="H28" s="490">
        <f>SUMIF(92:92,G28,93:93)-SUMIF(92:92,C28,93:93)+100</f>
        <v>100</v>
      </c>
      <c r="I28" s="532"/>
      <c r="J28" s="490">
        <f>SUMIF(92:92,I28,93:93)-SUMIF(92:92,C28,93:93)+100</f>
        <v>100</v>
      </c>
      <c r="K28" s="531"/>
      <c r="L28" s="1749"/>
      <c r="M28" s="1742"/>
      <c r="N28" s="1742"/>
      <c r="O28" s="1748"/>
      <c r="P28" s="3626"/>
      <c r="Q28" s="1306" t="str">
        <f t="shared" si="8"/>
        <v>楼层</v>
      </c>
      <c r="R28" s="1307" t="s">
        <v>5</v>
      </c>
      <c r="S28" s="1308">
        <f t="shared" ref="S28:S46" si="9">F28</f>
        <v>100</v>
      </c>
      <c r="T28" s="1307" t="s">
        <v>5</v>
      </c>
      <c r="U28" s="1308">
        <f t="shared" ref="U28:U46" si="10">H28</f>
        <v>100</v>
      </c>
      <c r="V28" s="1307" t="s">
        <v>5</v>
      </c>
      <c r="W28" s="1308">
        <f t="shared" ref="W28:W46" si="11">J28</f>
        <v>100</v>
      </c>
      <c r="X28" s="1302"/>
      <c r="Y28" s="3626"/>
      <c r="Z28" s="1309" t="str">
        <f t="shared" ref="Z28:Z46" si="12">Q28</f>
        <v>楼层</v>
      </c>
      <c r="AA28" s="1309">
        <f t="shared" si="3"/>
        <v>1</v>
      </c>
      <c r="AB28" s="1309">
        <f t="shared" si="4"/>
        <v>1</v>
      </c>
      <c r="AC28" s="1309">
        <f t="shared" si="5"/>
        <v>1</v>
      </c>
    </row>
    <row r="29" spans="1:29" ht="15">
      <c r="A29" s="482"/>
      <c r="B29" s="91">
        <v>111</v>
      </c>
      <c r="C29" s="489"/>
      <c r="D29" s="490">
        <v>100</v>
      </c>
      <c r="E29" s="489"/>
      <c r="F29" s="525">
        <f>SUMIF(94:94,E29,95:95)-SUMIF(94:94,C29,95:95)+100</f>
        <v>100</v>
      </c>
      <c r="G29" s="489"/>
      <c r="H29" s="490">
        <f>SUMIF(94:94,G29,95:95)-SUMIF(94:94,C29,95:95)+100</f>
        <v>100</v>
      </c>
      <c r="I29" s="489"/>
      <c r="J29" s="490">
        <f>SUMIF(94:94,I29,95:95)-SUMIF(94:94,C29,95:95)+100</f>
        <v>100</v>
      </c>
      <c r="K29" s="531"/>
      <c r="L29" s="1749"/>
      <c r="M29" s="1742"/>
      <c r="N29" s="1742"/>
      <c r="O29" s="1748"/>
      <c r="P29" s="3626"/>
      <c r="Q29" s="1306">
        <f t="shared" si="8"/>
        <v>111</v>
      </c>
      <c r="R29" s="1307" t="s">
        <v>5</v>
      </c>
      <c r="S29" s="1308">
        <f t="shared" si="9"/>
        <v>100</v>
      </c>
      <c r="T29" s="1307" t="s">
        <v>5</v>
      </c>
      <c r="U29" s="1308">
        <f t="shared" si="10"/>
        <v>100</v>
      </c>
      <c r="V29" s="1307" t="s">
        <v>5</v>
      </c>
      <c r="W29" s="1308">
        <f t="shared" si="11"/>
        <v>100</v>
      </c>
      <c r="X29" s="1302"/>
      <c r="Y29" s="3626"/>
      <c r="Z29" s="1309">
        <f t="shared" si="12"/>
        <v>111</v>
      </c>
      <c r="AA29" s="1309">
        <f t="shared" si="3"/>
        <v>1</v>
      </c>
      <c r="AB29" s="1309">
        <f t="shared" si="4"/>
        <v>1</v>
      </c>
      <c r="AC29" s="1309">
        <f t="shared" si="5"/>
        <v>1</v>
      </c>
    </row>
    <row r="30" spans="1:29" ht="15">
      <c r="A30" s="482"/>
      <c r="B30" s="91">
        <v>111</v>
      </c>
      <c r="C30" s="489"/>
      <c r="D30" s="490">
        <v>100</v>
      </c>
      <c r="E30" s="489"/>
      <c r="F30" s="525">
        <f>SUMIF(96:96,E30,97:97)-SUMIF(96:96,C30,97:97)+100</f>
        <v>100</v>
      </c>
      <c r="G30" s="489"/>
      <c r="H30" s="490">
        <f>SUMIF(96:96,G30,97:97)-SUMIF(96:96,C30,97:97)+100</f>
        <v>100</v>
      </c>
      <c r="I30" s="489"/>
      <c r="J30" s="490">
        <f>SUMIF(96:96,I30,97:97)-SUMIF(96:96,C30,97:97)+100</f>
        <v>100</v>
      </c>
      <c r="K30" s="531"/>
      <c r="L30" s="1749"/>
      <c r="M30" s="1742"/>
      <c r="N30" s="1742"/>
      <c r="O30" s="1748"/>
      <c r="P30" s="3626"/>
      <c r="Q30" s="1306">
        <f t="shared" si="8"/>
        <v>111</v>
      </c>
      <c r="R30" s="1307" t="s">
        <v>5</v>
      </c>
      <c r="S30" s="1308">
        <f t="shared" si="9"/>
        <v>100</v>
      </c>
      <c r="T30" s="1307" t="s">
        <v>5</v>
      </c>
      <c r="U30" s="1308">
        <f t="shared" si="10"/>
        <v>100</v>
      </c>
      <c r="V30" s="1307" t="s">
        <v>5</v>
      </c>
      <c r="W30" s="1308">
        <f t="shared" si="11"/>
        <v>100</v>
      </c>
      <c r="X30" s="1302"/>
      <c r="Y30" s="3626"/>
      <c r="Z30" s="1309">
        <f t="shared" si="12"/>
        <v>111</v>
      </c>
      <c r="AA30" s="1309">
        <f t="shared" si="3"/>
        <v>1</v>
      </c>
      <c r="AB30" s="1309">
        <f t="shared" si="4"/>
        <v>1</v>
      </c>
      <c r="AC30" s="1309">
        <f t="shared" si="5"/>
        <v>1</v>
      </c>
    </row>
    <row r="31" spans="1:29" ht="15.75" thickBot="1">
      <c r="A31" s="493"/>
      <c r="B31" s="91">
        <v>111</v>
      </c>
      <c r="C31" s="495"/>
      <c r="D31" s="496">
        <v>100</v>
      </c>
      <c r="E31" s="489"/>
      <c r="F31" s="796">
        <f>SUMIF(98:98,E31,99:99)-SUMIF(98:98,C31,99:99)+100</f>
        <v>100</v>
      </c>
      <c r="G31" s="489"/>
      <c r="H31" s="496">
        <f>SUMIF(98:98,G31,99:99)-SUMIF(98:98,C31,99:99)+100</f>
        <v>100</v>
      </c>
      <c r="I31" s="489"/>
      <c r="J31" s="496">
        <f>SUMIF(98:98,I31,99:99)-SUMIF(98:98,C31,99:99)+100</f>
        <v>100</v>
      </c>
      <c r="K31" s="531"/>
      <c r="L31" s="1749"/>
      <c r="M31" s="1742"/>
      <c r="N31" s="1742"/>
      <c r="O31" s="1748"/>
      <c r="P31" s="3626"/>
      <c r="Q31" s="1306">
        <f t="shared" si="8"/>
        <v>111</v>
      </c>
      <c r="R31" s="1307" t="s">
        <v>5</v>
      </c>
      <c r="S31" s="1308">
        <f t="shared" si="9"/>
        <v>100</v>
      </c>
      <c r="T31" s="1307" t="s">
        <v>5</v>
      </c>
      <c r="U31" s="1308">
        <f t="shared" si="10"/>
        <v>100</v>
      </c>
      <c r="V31" s="1307" t="s">
        <v>5</v>
      </c>
      <c r="W31" s="1308">
        <f t="shared" si="11"/>
        <v>100</v>
      </c>
      <c r="X31" s="1302"/>
      <c r="Y31" s="3626"/>
      <c r="Z31" s="1309">
        <f t="shared" si="12"/>
        <v>111</v>
      </c>
      <c r="AA31" s="1309">
        <f t="shared" si="3"/>
        <v>1</v>
      </c>
      <c r="AB31" s="1309">
        <f t="shared" si="4"/>
        <v>1</v>
      </c>
      <c r="AC31" s="1309">
        <f t="shared" si="5"/>
        <v>1</v>
      </c>
    </row>
    <row r="32" spans="1:29" ht="15">
      <c r="A32" s="2204" t="s">
        <v>2037</v>
      </c>
      <c r="B32" s="156" t="s">
        <v>702</v>
      </c>
      <c r="C32" s="804"/>
      <c r="D32" s="546">
        <v>100</v>
      </c>
      <c r="E32" s="804"/>
      <c r="F32" s="525">
        <f>SUMIF(100:100,E32,101:101)-SUMIF(100:100,C32,101:101)+100</f>
        <v>100</v>
      </c>
      <c r="G32" s="804"/>
      <c r="H32" s="490">
        <f>SUMIF(100:100,G32,101:101)-SUMIF(100:100,C32,101:101)+100</f>
        <v>100</v>
      </c>
      <c r="I32" s="804"/>
      <c r="J32" s="546">
        <f>SUMIF(100:100,I32,101:101)-SUMIF(100:100,C32,101:101)+100</f>
        <v>100</v>
      </c>
      <c r="K32" s="533"/>
      <c r="L32" s="1749"/>
      <c r="M32" s="1742"/>
      <c r="N32" s="1742"/>
      <c r="O32" s="1748"/>
      <c r="P32" s="3627" t="s">
        <v>499</v>
      </c>
      <c r="Q32" s="1306" t="str">
        <f t="shared" si="8"/>
        <v>商业类型</v>
      </c>
      <c r="R32" s="1307" t="s">
        <v>5</v>
      </c>
      <c r="S32" s="1308">
        <f t="shared" si="9"/>
        <v>100</v>
      </c>
      <c r="T32" s="1307" t="s">
        <v>5</v>
      </c>
      <c r="U32" s="1308">
        <f t="shared" si="10"/>
        <v>100</v>
      </c>
      <c r="V32" s="1307" t="s">
        <v>5</v>
      </c>
      <c r="W32" s="1308">
        <f t="shared" si="11"/>
        <v>100</v>
      </c>
      <c r="X32" s="1302"/>
      <c r="Y32" s="3628" t="s">
        <v>499</v>
      </c>
      <c r="Z32" s="1309" t="str">
        <f t="shared" si="12"/>
        <v>商业类型</v>
      </c>
      <c r="AA32" s="1309">
        <f t="shared" si="3"/>
        <v>1</v>
      </c>
      <c r="AB32" s="1309">
        <f t="shared" si="4"/>
        <v>1</v>
      </c>
      <c r="AC32" s="1309">
        <f t="shared" si="5"/>
        <v>1</v>
      </c>
    </row>
    <row r="33" spans="1:29" s="1134" customFormat="1" ht="15">
      <c r="A33" s="552"/>
      <c r="B33" s="477" t="s">
        <v>673</v>
      </c>
      <c r="C33" s="806"/>
      <c r="D33" s="235">
        <v>100</v>
      </c>
      <c r="E33" s="484"/>
      <c r="F33" s="477" t="e">
        <f>LOOKUP(E33,103:103,104:104)-LOOKUP(C33,103:103,104:104)+100</f>
        <v>#N/A</v>
      </c>
      <c r="G33" s="483"/>
      <c r="H33" s="235" t="e">
        <f>LOOKUP(G33,103:103,104:104)-LOOKUP(C33,103:103,104:104)+100</f>
        <v>#N/A</v>
      </c>
      <c r="I33" s="483"/>
      <c r="J33" s="235" t="e">
        <f>LOOKUP(I33,103:103,104:104)-LOOKUP(C33,103:103,104:104)+100</f>
        <v>#N/A</v>
      </c>
      <c r="K33" s="531"/>
      <c r="L33" s="1747"/>
      <c r="M33" s="1771"/>
      <c r="N33" s="1771"/>
      <c r="O33" s="1750"/>
      <c r="P33" s="3628"/>
      <c r="Q33" s="819" t="str">
        <f t="shared" si="8"/>
        <v>项目建筑规模</v>
      </c>
      <c r="R33" s="1310" t="s">
        <v>5</v>
      </c>
      <c r="S33" s="1311" t="e">
        <f t="shared" si="9"/>
        <v>#N/A</v>
      </c>
      <c r="T33" s="1310" t="s">
        <v>5</v>
      </c>
      <c r="U33" s="1311" t="e">
        <f t="shared" si="10"/>
        <v>#N/A</v>
      </c>
      <c r="V33" s="1310" t="s">
        <v>5</v>
      </c>
      <c r="W33" s="1311" t="e">
        <f t="shared" si="11"/>
        <v>#N/A</v>
      </c>
      <c r="X33" s="1312"/>
      <c r="Y33" s="3628"/>
      <c r="Z33" s="1313" t="str">
        <f t="shared" si="12"/>
        <v>项目建筑规模</v>
      </c>
      <c r="AA33" s="1309" t="e">
        <f t="shared" si="3"/>
        <v>#N/A</v>
      </c>
      <c r="AB33" s="1309" t="e">
        <f t="shared" si="4"/>
        <v>#N/A</v>
      </c>
      <c r="AC33" s="1309" t="e">
        <f t="shared" si="5"/>
        <v>#N/A</v>
      </c>
    </row>
    <row r="34" spans="1:29" ht="15">
      <c r="A34" s="543"/>
      <c r="B34" s="477" t="s">
        <v>674</v>
      </c>
      <c r="C34" s="524"/>
      <c r="D34" s="490">
        <v>100</v>
      </c>
      <c r="E34" s="807"/>
      <c r="F34" s="525">
        <f>SUMIF(105:105,E34,106:106)-SUMIF(105:105,C34,106:106)+100</f>
        <v>100</v>
      </c>
      <c r="G34" s="524"/>
      <c r="H34" s="490">
        <f>SUMIF(105:105,G34,106:106)-SUMIF(105:105,C34,106:106)+100</f>
        <v>100</v>
      </c>
      <c r="I34" s="524"/>
      <c r="J34" s="490">
        <f>SUMIF(105:105,I34,106:106)-SUMIF(105:105,C34,106:106)+100</f>
        <v>100</v>
      </c>
      <c r="K34" s="533"/>
      <c r="L34" s="1749"/>
      <c r="M34" s="1742"/>
      <c r="N34" s="1742"/>
      <c r="O34" s="1748"/>
      <c r="P34" s="3628"/>
      <c r="Q34" s="1306" t="str">
        <f t="shared" si="8"/>
        <v>建筑结构</v>
      </c>
      <c r="R34" s="1307" t="s">
        <v>5</v>
      </c>
      <c r="S34" s="1308">
        <f t="shared" si="9"/>
        <v>100</v>
      </c>
      <c r="T34" s="1307" t="s">
        <v>5</v>
      </c>
      <c r="U34" s="1308">
        <f t="shared" si="10"/>
        <v>100</v>
      </c>
      <c r="V34" s="1307" t="s">
        <v>5</v>
      </c>
      <c r="W34" s="1308">
        <f t="shared" si="11"/>
        <v>100</v>
      </c>
      <c r="X34" s="1302"/>
      <c r="Y34" s="3628"/>
      <c r="Z34" s="1309" t="str">
        <f t="shared" si="12"/>
        <v>建筑结构</v>
      </c>
      <c r="AA34" s="1309">
        <f t="shared" si="3"/>
        <v>1</v>
      </c>
      <c r="AB34" s="1309">
        <f t="shared" si="4"/>
        <v>1</v>
      </c>
      <c r="AC34" s="1309">
        <f t="shared" si="5"/>
        <v>1</v>
      </c>
    </row>
    <row r="35" spans="1:29" ht="15">
      <c r="A35" s="543"/>
      <c r="B35" s="477" t="s">
        <v>703</v>
      </c>
      <c r="C35" s="548"/>
      <c r="D35" s="490">
        <v>100</v>
      </c>
      <c r="E35" s="548"/>
      <c r="F35" s="525">
        <f>SUMIF(107:107,E35,108:108)-SUMIF(107:107,C35,108:108)+100</f>
        <v>100</v>
      </c>
      <c r="G35" s="548"/>
      <c r="H35" s="490">
        <f>SUMIF(107:107,G35,108:108)-SUMIF(107:107,C35,108:108)+100</f>
        <v>100</v>
      </c>
      <c r="I35" s="548"/>
      <c r="J35" s="490">
        <f>SUMIF(107:107,I35,108:108)-SUMIF(107:107,C35,108:108)+100</f>
        <v>100</v>
      </c>
      <c r="K35" s="533"/>
      <c r="L35" s="1749"/>
      <c r="M35" s="1742"/>
      <c r="N35" s="1742"/>
      <c r="O35" s="1748"/>
      <c r="P35" s="3628"/>
      <c r="Q35" s="1306" t="str">
        <f t="shared" si="8"/>
        <v>公共部分装修</v>
      </c>
      <c r="R35" s="1307" t="s">
        <v>5</v>
      </c>
      <c r="S35" s="1308">
        <f t="shared" si="9"/>
        <v>100</v>
      </c>
      <c r="T35" s="1307" t="s">
        <v>5</v>
      </c>
      <c r="U35" s="1308">
        <f t="shared" si="10"/>
        <v>100</v>
      </c>
      <c r="V35" s="1307" t="s">
        <v>5</v>
      </c>
      <c r="W35" s="1308">
        <f t="shared" si="11"/>
        <v>100</v>
      </c>
      <c r="X35" s="1302"/>
      <c r="Y35" s="3628"/>
      <c r="Z35" s="1309" t="str">
        <f t="shared" si="12"/>
        <v>公共部分装修</v>
      </c>
      <c r="AA35" s="1309">
        <f t="shared" si="3"/>
        <v>1</v>
      </c>
      <c r="AB35" s="1309">
        <f t="shared" si="4"/>
        <v>1</v>
      </c>
      <c r="AC35" s="1309">
        <f t="shared" si="5"/>
        <v>1</v>
      </c>
    </row>
    <row r="36" spans="1:29" ht="15">
      <c r="A36" s="543"/>
      <c r="B36" s="477" t="s">
        <v>704</v>
      </c>
      <c r="C36" s="808"/>
      <c r="D36" s="490">
        <v>100</v>
      </c>
      <c r="E36" s="808"/>
      <c r="F36" s="525" t="e">
        <f>LOOKUP(E36,110:110,111:111)-LOOKUP(C36,110:110,111:111)+100</f>
        <v>#N/A</v>
      </c>
      <c r="G36" s="808"/>
      <c r="H36" s="525" t="e">
        <f>LOOKUP(G36,110:110,111:111)-LOOKUP(C36,110:110,111:111)+100</f>
        <v>#N/A</v>
      </c>
      <c r="I36" s="808"/>
      <c r="J36" s="490" t="e">
        <f>LOOKUP(I36,110:110,111:111)-LOOKUP(C36,110:110,111:111)+100</f>
        <v>#N/A</v>
      </c>
      <c r="K36" s="533"/>
      <c r="L36" s="1749"/>
      <c r="M36" s="1742"/>
      <c r="N36" s="1742"/>
      <c r="O36" s="1748"/>
      <c r="P36" s="3628"/>
      <c r="Q36" s="1306" t="str">
        <f t="shared" si="8"/>
        <v>成新度</v>
      </c>
      <c r="R36" s="1307" t="s">
        <v>5</v>
      </c>
      <c r="S36" s="1308" t="e">
        <f t="shared" si="9"/>
        <v>#N/A</v>
      </c>
      <c r="T36" s="1307" t="s">
        <v>5</v>
      </c>
      <c r="U36" s="1308" t="e">
        <f t="shared" si="10"/>
        <v>#N/A</v>
      </c>
      <c r="V36" s="1307" t="s">
        <v>5</v>
      </c>
      <c r="W36" s="1308" t="e">
        <f t="shared" si="11"/>
        <v>#N/A</v>
      </c>
      <c r="X36" s="1302"/>
      <c r="Y36" s="3628"/>
      <c r="Z36" s="1309" t="str">
        <f t="shared" si="12"/>
        <v>成新度</v>
      </c>
      <c r="AA36" s="1309" t="e">
        <f t="shared" si="3"/>
        <v>#N/A</v>
      </c>
      <c r="AB36" s="1309" t="e">
        <f t="shared" si="4"/>
        <v>#N/A</v>
      </c>
      <c r="AC36" s="1309" t="e">
        <f t="shared" si="5"/>
        <v>#N/A</v>
      </c>
    </row>
    <row r="37" spans="1:29" s="1060" customFormat="1" ht="15">
      <c r="A37" s="549"/>
      <c r="B37" s="1554" t="s">
        <v>1848</v>
      </c>
      <c r="C37" s="548"/>
      <c r="D37" s="235">
        <v>100</v>
      </c>
      <c r="E37" s="548"/>
      <c r="F37" s="525">
        <f>SUMIF(112:112,E37,113:113)-SUMIF(112:112,C37,113:113)+100</f>
        <v>100</v>
      </c>
      <c r="G37" s="548"/>
      <c r="H37" s="490">
        <f>SUMIF(112:112,G37,113:113)-SUMIF(112:112,C37,113:113)+100</f>
        <v>100</v>
      </c>
      <c r="I37" s="548"/>
      <c r="J37" s="490">
        <f>SUMIF(112:112,I37,113:113)-SUMIF(112:112,C37,113:113)+100</f>
        <v>100</v>
      </c>
      <c r="K37" s="533"/>
      <c r="L37" s="1743"/>
      <c r="M37" s="1640"/>
      <c r="N37" s="1640"/>
      <c r="O37" s="1744"/>
      <c r="P37" s="3628"/>
      <c r="Q37" s="818" t="str">
        <f t="shared" si="8"/>
        <v>市政基础设施</v>
      </c>
      <c r="R37" s="1303" t="s">
        <v>5</v>
      </c>
      <c r="S37" s="1304">
        <f t="shared" si="9"/>
        <v>100</v>
      </c>
      <c r="T37" s="1303" t="s">
        <v>5</v>
      </c>
      <c r="U37" s="1304">
        <f t="shared" si="10"/>
        <v>100</v>
      </c>
      <c r="V37" s="1303" t="s">
        <v>5</v>
      </c>
      <c r="W37" s="1304">
        <f t="shared" si="11"/>
        <v>100</v>
      </c>
      <c r="X37" s="1305"/>
      <c r="Y37" s="3628"/>
      <c r="Z37" s="997" t="str">
        <f t="shared" si="12"/>
        <v>市政基础设施</v>
      </c>
      <c r="AA37" s="997">
        <f t="shared" si="3"/>
        <v>1</v>
      </c>
      <c r="AB37" s="997">
        <f t="shared" si="4"/>
        <v>1</v>
      </c>
      <c r="AC37" s="997">
        <f t="shared" si="5"/>
        <v>1</v>
      </c>
    </row>
    <row r="38" spans="1:29" ht="15">
      <c r="A38" s="543"/>
      <c r="B38" s="477" t="s">
        <v>705</v>
      </c>
      <c r="C38" s="548"/>
      <c r="D38" s="490">
        <v>100</v>
      </c>
      <c r="E38" s="548"/>
      <c r="F38" s="525">
        <f>SUMIF(114:114,E38,115:115)-SUMIF(114:114,C38,115:115)+100</f>
        <v>100</v>
      </c>
      <c r="G38" s="548"/>
      <c r="H38" s="490">
        <f>SUMIF(114:114,G38,115:115)-SUMIF(114:114,C38,115:115)+100</f>
        <v>100</v>
      </c>
      <c r="I38" s="548"/>
      <c r="J38" s="490">
        <f>SUMIF(114:114,I38,115:115)-SUMIF(114:114,C38,115:115)+100</f>
        <v>100</v>
      </c>
      <c r="K38" s="533"/>
      <c r="L38" s="1749"/>
      <c r="M38" s="1742"/>
      <c r="N38" s="1742"/>
      <c r="O38" s="1748"/>
      <c r="P38" s="3628" t="s">
        <v>706</v>
      </c>
      <c r="Q38" s="1306" t="str">
        <f t="shared" si="8"/>
        <v>业态</v>
      </c>
      <c r="R38" s="1307" t="s">
        <v>5</v>
      </c>
      <c r="S38" s="1308">
        <f t="shared" si="9"/>
        <v>100</v>
      </c>
      <c r="T38" s="1307" t="s">
        <v>5</v>
      </c>
      <c r="U38" s="1308">
        <f t="shared" si="10"/>
        <v>100</v>
      </c>
      <c r="V38" s="1307" t="s">
        <v>5</v>
      </c>
      <c r="W38" s="1308">
        <f t="shared" si="11"/>
        <v>100</v>
      </c>
      <c r="X38" s="1302"/>
      <c r="Y38" s="3628" t="s">
        <v>706</v>
      </c>
      <c r="Z38" s="1309" t="str">
        <f t="shared" si="12"/>
        <v>业态</v>
      </c>
      <c r="AA38" s="1309">
        <f t="shared" si="3"/>
        <v>1</v>
      </c>
      <c r="AB38" s="1309">
        <f t="shared" si="4"/>
        <v>1</v>
      </c>
      <c r="AC38" s="1309">
        <f t="shared" si="5"/>
        <v>1</v>
      </c>
    </row>
    <row r="39" spans="1:29" ht="15">
      <c r="A39" s="543"/>
      <c r="B39" s="477" t="s">
        <v>707</v>
      </c>
      <c r="C39" s="548"/>
      <c r="D39" s="490">
        <v>100</v>
      </c>
      <c r="E39" s="548"/>
      <c r="F39" s="525">
        <f>SUMIF(116:116,E39,117:117)-SUMIF(116:116,C39,117:117)+100</f>
        <v>100</v>
      </c>
      <c r="G39" s="548"/>
      <c r="H39" s="490">
        <f>SUMIF(116:116,G39,117:117)-SUMIF(116:116,C39,117:117)+100</f>
        <v>100</v>
      </c>
      <c r="I39" s="548"/>
      <c r="J39" s="490">
        <f>SUMIF(116:116,I39,117:117)-SUMIF(116:116,C39,117:117)+100</f>
        <v>100</v>
      </c>
      <c r="K39" s="533"/>
      <c r="L39" s="1749"/>
      <c r="M39" s="1742"/>
      <c r="N39" s="1742"/>
      <c r="O39" s="1748"/>
      <c r="P39" s="3628"/>
      <c r="Q39" s="1306" t="str">
        <f t="shared" si="8"/>
        <v>层高</v>
      </c>
      <c r="R39" s="1307" t="s">
        <v>5</v>
      </c>
      <c r="S39" s="1308">
        <f t="shared" si="9"/>
        <v>100</v>
      </c>
      <c r="T39" s="1307" t="s">
        <v>5</v>
      </c>
      <c r="U39" s="1308">
        <f t="shared" si="10"/>
        <v>100</v>
      </c>
      <c r="V39" s="1307" t="s">
        <v>5</v>
      </c>
      <c r="W39" s="1308">
        <f t="shared" si="11"/>
        <v>100</v>
      </c>
      <c r="X39" s="1302"/>
      <c r="Y39" s="3628"/>
      <c r="Z39" s="1309" t="str">
        <f t="shared" si="12"/>
        <v>层高</v>
      </c>
      <c r="AA39" s="1309">
        <f t="shared" si="3"/>
        <v>1</v>
      </c>
      <c r="AB39" s="1309">
        <f t="shared" si="4"/>
        <v>1</v>
      </c>
      <c r="AC39" s="1309">
        <f t="shared" si="5"/>
        <v>1</v>
      </c>
    </row>
    <row r="40" spans="1:29" ht="15">
      <c r="A40" s="543"/>
      <c r="B40" s="477" t="s">
        <v>708</v>
      </c>
      <c r="C40" s="826"/>
      <c r="D40" s="490">
        <v>100</v>
      </c>
      <c r="E40" s="827"/>
      <c r="F40" s="525">
        <f>SUMIF(118:118,E40,119:119)-SUMIF(118:118,C40,119:119)+100</f>
        <v>100</v>
      </c>
      <c r="G40" s="827"/>
      <c r="H40" s="490">
        <f>SUMIF(118:118,G40,119:119)-SUMIF(118:118,C40,119:119)+100</f>
        <v>100</v>
      </c>
      <c r="I40" s="827"/>
      <c r="J40" s="490">
        <f>SUMIF(118:118,I40,119:119)-SUMIF(118:118,C40,119:119)+100</f>
        <v>100</v>
      </c>
      <c r="K40" s="531"/>
      <c r="L40" s="1749"/>
      <c r="M40" s="1742"/>
      <c r="N40" s="1742"/>
      <c r="O40" s="1748"/>
      <c r="P40" s="3628"/>
      <c r="Q40" s="1306" t="str">
        <f t="shared" si="8"/>
        <v>单套建筑面积</v>
      </c>
      <c r="R40" s="1307" t="s">
        <v>5</v>
      </c>
      <c r="S40" s="1308">
        <f t="shared" si="9"/>
        <v>100</v>
      </c>
      <c r="T40" s="1307" t="s">
        <v>5</v>
      </c>
      <c r="U40" s="1308">
        <f t="shared" si="10"/>
        <v>100</v>
      </c>
      <c r="V40" s="1307" t="s">
        <v>5</v>
      </c>
      <c r="W40" s="1308">
        <f t="shared" si="11"/>
        <v>100</v>
      </c>
      <c r="X40" s="1302"/>
      <c r="Y40" s="3628"/>
      <c r="Z40" s="1309" t="str">
        <f t="shared" si="12"/>
        <v>单套建筑面积</v>
      </c>
      <c r="AA40" s="1309">
        <f t="shared" si="3"/>
        <v>1</v>
      </c>
      <c r="AB40" s="1309">
        <f t="shared" si="4"/>
        <v>1</v>
      </c>
      <c r="AC40" s="1309">
        <f t="shared" si="5"/>
        <v>1</v>
      </c>
    </row>
    <row r="41" spans="1:29" s="1134" customFormat="1" ht="15">
      <c r="A41" s="552"/>
      <c r="B41" s="525" t="s">
        <v>709</v>
      </c>
      <c r="C41" s="532"/>
      <c r="D41" s="490">
        <v>100</v>
      </c>
      <c r="E41" s="532"/>
      <c r="F41" s="525">
        <f>SUMIF(120:120,E41,121:121)-SUMIF(120:120,C41,121:121)+100</f>
        <v>100</v>
      </c>
      <c r="G41" s="532"/>
      <c r="H41" s="490">
        <f>SUMIF(120:120,G41,121:121)-SUMIF(120:120,C41,121:121)+100</f>
        <v>100</v>
      </c>
      <c r="I41" s="532"/>
      <c r="J41" s="490">
        <f>SUMIF(120:120,I41,121:121)-SUMIF(120:120,C41,121:121)+100</f>
        <v>100</v>
      </c>
      <c r="K41" s="533"/>
      <c r="L41" s="1747"/>
      <c r="M41" s="1771"/>
      <c r="N41" s="1771"/>
      <c r="O41" s="1750"/>
      <c r="P41" s="3628"/>
      <c r="Q41" s="819" t="str">
        <f t="shared" si="8"/>
        <v>进深比</v>
      </c>
      <c r="R41" s="1310" t="s">
        <v>5</v>
      </c>
      <c r="S41" s="1311">
        <f t="shared" si="9"/>
        <v>100</v>
      </c>
      <c r="T41" s="1310" t="s">
        <v>5</v>
      </c>
      <c r="U41" s="1311">
        <f t="shared" si="10"/>
        <v>100</v>
      </c>
      <c r="V41" s="1310" t="s">
        <v>5</v>
      </c>
      <c r="W41" s="1311">
        <f t="shared" si="11"/>
        <v>100</v>
      </c>
      <c r="X41" s="1312"/>
      <c r="Y41" s="3628"/>
      <c r="Z41" s="1313" t="str">
        <f t="shared" si="12"/>
        <v>进深比</v>
      </c>
      <c r="AA41" s="1309">
        <f t="shared" si="3"/>
        <v>1</v>
      </c>
      <c r="AB41" s="1309">
        <f t="shared" si="4"/>
        <v>1</v>
      </c>
      <c r="AC41" s="1309">
        <f t="shared" si="5"/>
        <v>1</v>
      </c>
    </row>
    <row r="42" spans="1:29" ht="15">
      <c r="A42" s="543"/>
      <c r="B42" s="477" t="s">
        <v>710</v>
      </c>
      <c r="C42" s="548"/>
      <c r="D42" s="490">
        <v>100</v>
      </c>
      <c r="E42" s="548"/>
      <c r="F42" s="525">
        <f>SUMIF(122:122,E42,123:123)-SUMIF(122:122,C42,123:123)+100</f>
        <v>100</v>
      </c>
      <c r="G42" s="548"/>
      <c r="H42" s="490">
        <f>SUMIF(122:122,G42,123:123)-SUMIF(122:122,C42,123:123)+100</f>
        <v>100</v>
      </c>
      <c r="I42" s="548"/>
      <c r="J42" s="490">
        <f>SUMIF(122:122,I42,123:123)-SUMIF(122:122,C42,123:123)+100</f>
        <v>100</v>
      </c>
      <c r="K42" s="533"/>
      <c r="L42" s="1749"/>
      <c r="M42" s="1742"/>
      <c r="N42" s="1742"/>
      <c r="O42" s="1748"/>
      <c r="P42" s="3628"/>
      <c r="Q42" s="1306" t="str">
        <f t="shared" si="8"/>
        <v>内部装修</v>
      </c>
      <c r="R42" s="1307" t="s">
        <v>5</v>
      </c>
      <c r="S42" s="1308">
        <f t="shared" si="9"/>
        <v>100</v>
      </c>
      <c r="T42" s="1307" t="s">
        <v>5</v>
      </c>
      <c r="U42" s="1308">
        <f t="shared" si="10"/>
        <v>100</v>
      </c>
      <c r="V42" s="1307" t="s">
        <v>5</v>
      </c>
      <c r="W42" s="1308">
        <f t="shared" si="11"/>
        <v>100</v>
      </c>
      <c r="X42" s="1302"/>
      <c r="Y42" s="3628"/>
      <c r="Z42" s="1309" t="str">
        <f t="shared" si="12"/>
        <v>内部装修</v>
      </c>
      <c r="AA42" s="1309">
        <f t="shared" si="3"/>
        <v>1</v>
      </c>
      <c r="AB42" s="1309">
        <f t="shared" si="4"/>
        <v>1</v>
      </c>
      <c r="AC42" s="1309">
        <f t="shared" si="5"/>
        <v>1</v>
      </c>
    </row>
    <row r="43" spans="1:29" ht="27">
      <c r="A43" s="543"/>
      <c r="B43" s="477" t="s">
        <v>682</v>
      </c>
      <c r="C43" s="548"/>
      <c r="D43" s="490">
        <v>100</v>
      </c>
      <c r="E43" s="548"/>
      <c r="F43" s="525">
        <f>SUMIF(124:124,E43,125:125)-SUMIF(124:124,C43,125:125)+100</f>
        <v>100</v>
      </c>
      <c r="G43" s="548"/>
      <c r="H43" s="490">
        <f>SUMIF(124:124,G43,125:125)-SUMIF(124:124,C43,125:125)+100</f>
        <v>100</v>
      </c>
      <c r="I43" s="548"/>
      <c r="J43" s="490">
        <f>SUMIF(124:124,I43,125:125)-SUMIF(124:124,C43,125:125)+100</f>
        <v>100</v>
      </c>
      <c r="K43" s="533"/>
      <c r="L43" s="1749"/>
      <c r="M43" s="1742"/>
      <c r="N43" s="1742"/>
      <c r="O43" s="1748"/>
      <c r="P43" s="3628"/>
      <c r="Q43" s="1306" t="str">
        <f t="shared" si="8"/>
        <v>内部装修维护情况</v>
      </c>
      <c r="R43" s="1307" t="s">
        <v>5</v>
      </c>
      <c r="S43" s="1308">
        <f t="shared" si="9"/>
        <v>100</v>
      </c>
      <c r="T43" s="1307" t="s">
        <v>5</v>
      </c>
      <c r="U43" s="1308">
        <f t="shared" si="10"/>
        <v>100</v>
      </c>
      <c r="V43" s="1307" t="s">
        <v>5</v>
      </c>
      <c r="W43" s="1308">
        <f t="shared" si="11"/>
        <v>100</v>
      </c>
      <c r="X43" s="1302"/>
      <c r="Y43" s="3628"/>
      <c r="Z43" s="1309" t="str">
        <f t="shared" si="12"/>
        <v>内部装修维护情况</v>
      </c>
      <c r="AA43" s="1309">
        <f t="shared" si="3"/>
        <v>1</v>
      </c>
      <c r="AB43" s="1309">
        <f t="shared" si="4"/>
        <v>1</v>
      </c>
      <c r="AC43" s="1309">
        <f t="shared" si="5"/>
        <v>1</v>
      </c>
    </row>
    <row r="44" spans="1:29" s="1060" customFormat="1" ht="15">
      <c r="A44" s="549"/>
      <c r="B44" s="91">
        <v>111</v>
      </c>
      <c r="C44" s="806"/>
      <c r="D44" s="235">
        <v>100</v>
      </c>
      <c r="E44" s="489"/>
      <c r="F44" s="477">
        <f>SUMIF(126:126,E44,127:127)-SUMIF(126:126,C44,127:127)+100</f>
        <v>100</v>
      </c>
      <c r="G44" s="489"/>
      <c r="H44" s="235">
        <f>SUMIF(126:126,G44,127:127)-SUMIF(126:126,C44,127:127)+100</f>
        <v>100</v>
      </c>
      <c r="I44" s="489"/>
      <c r="J44" s="235">
        <f>SUMIF(126:126,I44,127:127)-SUMIF(126:126,C44,127:127)+100</f>
        <v>100</v>
      </c>
      <c r="K44" s="531"/>
      <c r="L44" s="1743"/>
      <c r="M44" s="1640"/>
      <c r="N44" s="1640"/>
      <c r="O44" s="1744"/>
      <c r="P44" s="3628"/>
      <c r="Q44" s="818">
        <f t="shared" si="8"/>
        <v>111</v>
      </c>
      <c r="R44" s="1303" t="s">
        <v>5</v>
      </c>
      <c r="S44" s="1304">
        <f t="shared" si="9"/>
        <v>100</v>
      </c>
      <c r="T44" s="1303" t="s">
        <v>5</v>
      </c>
      <c r="U44" s="1304">
        <f t="shared" si="10"/>
        <v>100</v>
      </c>
      <c r="V44" s="1303" t="s">
        <v>5</v>
      </c>
      <c r="W44" s="1304">
        <f t="shared" si="11"/>
        <v>100</v>
      </c>
      <c r="X44" s="1305"/>
      <c r="Y44" s="3628"/>
      <c r="Z44" s="997">
        <f t="shared" si="12"/>
        <v>111</v>
      </c>
      <c r="AA44" s="997">
        <f t="shared" si="3"/>
        <v>1</v>
      </c>
      <c r="AB44" s="997">
        <f t="shared" si="4"/>
        <v>1</v>
      </c>
      <c r="AC44" s="997">
        <f t="shared" si="5"/>
        <v>1</v>
      </c>
    </row>
    <row r="45" spans="1:29" ht="15">
      <c r="A45" s="543"/>
      <c r="B45" s="91">
        <v>111</v>
      </c>
      <c r="C45" s="489"/>
      <c r="D45" s="490">
        <v>100</v>
      </c>
      <c r="E45" s="489"/>
      <c r="F45" s="525">
        <f>SUMIF(128:128,E45,129:129)-SUMIF(128:128,C45,129:129)+100</f>
        <v>100</v>
      </c>
      <c r="G45" s="489"/>
      <c r="H45" s="490">
        <f>SUMIF(128:128,G45,129:129)-SUMIF(128:128,C45,129:129)+100</f>
        <v>100</v>
      </c>
      <c r="I45" s="489"/>
      <c r="J45" s="490">
        <f>SUMIF(128:128,I45,129:129)-SUMIF(128:128,C45,129:129)+100</f>
        <v>100</v>
      </c>
      <c r="K45" s="531"/>
      <c r="L45" s="1749"/>
      <c r="M45" s="1742"/>
      <c r="N45" s="1742"/>
      <c r="O45" s="1748"/>
      <c r="P45" s="3628"/>
      <c r="Q45" s="1306">
        <f t="shared" si="8"/>
        <v>111</v>
      </c>
      <c r="R45" s="1307" t="s">
        <v>5</v>
      </c>
      <c r="S45" s="1308">
        <f t="shared" si="9"/>
        <v>100</v>
      </c>
      <c r="T45" s="1307" t="s">
        <v>5</v>
      </c>
      <c r="U45" s="1308">
        <f t="shared" si="10"/>
        <v>100</v>
      </c>
      <c r="V45" s="1307" t="s">
        <v>5</v>
      </c>
      <c r="W45" s="1308">
        <f t="shared" si="11"/>
        <v>100</v>
      </c>
      <c r="X45" s="1302"/>
      <c r="Y45" s="3628"/>
      <c r="Z45" s="1309">
        <f t="shared" si="12"/>
        <v>111</v>
      </c>
      <c r="AA45" s="1309">
        <f t="shared" si="3"/>
        <v>1</v>
      </c>
      <c r="AB45" s="1309">
        <f t="shared" si="4"/>
        <v>1</v>
      </c>
      <c r="AC45" s="1309">
        <f t="shared" si="5"/>
        <v>1</v>
      </c>
    </row>
    <row r="46" spans="1:29" ht="15.75" thickBot="1">
      <c r="A46" s="811"/>
      <c r="B46" s="494">
        <v>111</v>
      </c>
      <c r="C46" s="495"/>
      <c r="D46" s="496">
        <v>100</v>
      </c>
      <c r="E46" s="489"/>
      <c r="F46" s="796">
        <f>SUMIF(130:130,E46,131:131)-SUMIF(130:130,C46,131:131)+100</f>
        <v>100</v>
      </c>
      <c r="G46" s="489"/>
      <c r="H46" s="496">
        <f>SUMIF(130:130,G46,131:131)-SUMIF(130:130,C46,131:131)+100</f>
        <v>100</v>
      </c>
      <c r="I46" s="489"/>
      <c r="J46" s="496">
        <f>SUMIF(130:130,I46,131:131)-SUMIF(130:130,C46,131:131)+100</f>
        <v>100</v>
      </c>
      <c r="K46" s="531"/>
      <c r="L46" s="1749"/>
      <c r="M46" s="1742"/>
      <c r="N46" s="1742"/>
      <c r="O46" s="1748"/>
      <c r="P46" s="3740"/>
      <c r="Q46" s="1306">
        <f t="shared" si="8"/>
        <v>111</v>
      </c>
      <c r="R46" s="1307" t="s">
        <v>5</v>
      </c>
      <c r="S46" s="1308">
        <f t="shared" si="9"/>
        <v>100</v>
      </c>
      <c r="T46" s="1307" t="s">
        <v>5</v>
      </c>
      <c r="U46" s="1308">
        <f t="shared" si="10"/>
        <v>100</v>
      </c>
      <c r="V46" s="1307" t="s">
        <v>5</v>
      </c>
      <c r="W46" s="1308">
        <f t="shared" si="11"/>
        <v>100</v>
      </c>
      <c r="X46" s="1302"/>
      <c r="Y46" s="3740"/>
      <c r="Z46" s="1309">
        <f t="shared" si="12"/>
        <v>111</v>
      </c>
      <c r="AA46" s="1309">
        <f t="shared" si="3"/>
        <v>1</v>
      </c>
      <c r="AB46" s="1309">
        <f t="shared" si="4"/>
        <v>1</v>
      </c>
      <c r="AC46" s="1309">
        <f t="shared" si="5"/>
        <v>1</v>
      </c>
    </row>
    <row r="47" spans="1:29" ht="15">
      <c r="A47" s="556" t="s">
        <v>683</v>
      </c>
      <c r="B47" s="812"/>
      <c r="C47" s="2081" t="s">
        <v>0</v>
      </c>
      <c r="D47" s="559"/>
      <c r="E47" s="560"/>
      <c r="F47" s="561"/>
      <c r="G47" s="562"/>
      <c r="H47" s="563"/>
      <c r="I47" s="560"/>
      <c r="J47" s="563"/>
      <c r="K47" s="1335"/>
      <c r="L47" s="1751"/>
      <c r="M47" s="1742"/>
      <c r="N47" s="1742"/>
      <c r="O47" s="1742"/>
      <c r="P47" s="3623" t="str">
        <f>A47</f>
        <v>成交单价（元/平方米）</v>
      </c>
      <c r="Q47" s="3623"/>
      <c r="R47" s="3639">
        <f>E47</f>
        <v>0</v>
      </c>
      <c r="S47" s="3639"/>
      <c r="T47" s="3639">
        <f>G47</f>
        <v>0</v>
      </c>
      <c r="U47" s="3639"/>
      <c r="V47" s="3639">
        <f>I47</f>
        <v>0</v>
      </c>
      <c r="W47" s="3639"/>
      <c r="X47" s="799"/>
      <c r="Y47" s="1314"/>
      <c r="Z47" s="799"/>
      <c r="AA47" s="799"/>
      <c r="AB47" s="799"/>
      <c r="AC47" s="799"/>
    </row>
    <row r="48" spans="1:29" ht="15.75" thickBot="1">
      <c r="A48" s="564" t="s">
        <v>2042</v>
      </c>
      <c r="B48" s="813"/>
      <c r="C48" s="2082" t="e">
        <f>R49</f>
        <v>#DIV/0!</v>
      </c>
      <c r="D48" s="2550" t="s">
        <v>2261</v>
      </c>
      <c r="E48" s="2083" t="e">
        <f>R48</f>
        <v>#DIV/0!</v>
      </c>
      <c r="F48" s="2551"/>
      <c r="G48" s="2082" t="e">
        <f>T48</f>
        <v>#DIV/0!</v>
      </c>
      <c r="H48" s="2551"/>
      <c r="I48" s="2083" t="e">
        <f>V48</f>
        <v>#DIV/0!</v>
      </c>
      <c r="J48" s="2551"/>
      <c r="K48" s="2558">
        <f>F48+H48+J48</f>
        <v>0</v>
      </c>
      <c r="L48" s="1751"/>
      <c r="M48" s="1742"/>
      <c r="N48" s="1742"/>
      <c r="O48" s="1742"/>
      <c r="P48" s="3623" t="str">
        <f>A48</f>
        <v>比较价格（元/平方米）</v>
      </c>
      <c r="Q48" s="3623"/>
      <c r="R48" s="3639" t="e">
        <f>IF(F1="售价",ROUND(PRODUCT(R47,AA7:AA46),0),ROUND(PRODUCT(R47,AA7:AA46),1))</f>
        <v>#DIV/0!</v>
      </c>
      <c r="S48" s="3639"/>
      <c r="T48" s="3639" t="e">
        <f>IF(F1="售价",ROUND(PRODUCT(T47,AB7:AB46),0),ROUND(PRODUCT(T47,AB7:AB46),1))</f>
        <v>#DIV/0!</v>
      </c>
      <c r="U48" s="3639"/>
      <c r="V48" s="3639" t="e">
        <f>IF(F1="售价",ROUND(PRODUCT(V47,AC7:AC46),0),ROUND(PRODUCT(V47,AC7:AC46),1))</f>
        <v>#DIV/0!</v>
      </c>
      <c r="W48" s="3639"/>
      <c r="X48" s="799"/>
      <c r="Y48" s="799"/>
      <c r="Z48" s="799"/>
      <c r="AA48" s="799"/>
      <c r="AB48" s="799"/>
      <c r="AC48" s="799"/>
    </row>
    <row r="49" spans="1:29" ht="15.75" thickBot="1">
      <c r="A49" s="568" t="s">
        <v>2198</v>
      </c>
      <c r="B49" s="569"/>
      <c r="C49" s="469" t="e">
        <f>R49</f>
        <v>#DIV/0!</v>
      </c>
      <c r="D49" s="469"/>
      <c r="E49" s="469"/>
      <c r="F49" s="469"/>
      <c r="G49" s="469"/>
      <c r="H49" s="469"/>
      <c r="I49" s="469"/>
      <c r="J49" s="469"/>
      <c r="K49" s="1336"/>
      <c r="L49" s="1751"/>
      <c r="M49" s="1742"/>
      <c r="N49" s="1742"/>
      <c r="O49" s="1742"/>
      <c r="P49" s="3629" t="str">
        <f>A49</f>
        <v>估价对象XX用房的比较价格（楼面单价，元/平方米）</v>
      </c>
      <c r="Q49" s="3630"/>
      <c r="R49" s="3739" t="e">
        <f>IF(F1="售价",ROUND(IF(D48="简单平均",AVERAGE(R48:V48),R48*F48+T48*H48+V48*J48),0),ROUND(IF(D48="简单平均",AVERAGE(R48:V48),R48*F48+T48*H48+V48*J48),1))</f>
        <v>#DIV/0!</v>
      </c>
      <c r="S49" s="3739"/>
      <c r="T49" s="3739"/>
      <c r="U49" s="3739"/>
      <c r="V49" s="3739"/>
      <c r="W49" s="3739"/>
      <c r="X49" s="799"/>
      <c r="Y49" s="799"/>
      <c r="Z49" s="799"/>
      <c r="AA49" s="799"/>
      <c r="AB49" s="799"/>
      <c r="AC49" s="799"/>
    </row>
    <row r="50" spans="1:29">
      <c r="A50" s="2720"/>
      <c r="B50" s="2720"/>
      <c r="C50" s="2720"/>
      <c r="D50" s="2720"/>
      <c r="E50" s="2720"/>
      <c r="F50" s="2720"/>
      <c r="G50" s="2722"/>
      <c r="H50" s="2720"/>
      <c r="I50" s="2720"/>
      <c r="J50" s="2720"/>
      <c r="K50" s="2723"/>
      <c r="L50" s="1755"/>
      <c r="M50" s="1742"/>
      <c r="N50" s="1742"/>
      <c r="O50" s="1742"/>
      <c r="P50" s="1742"/>
      <c r="Q50" s="1742"/>
      <c r="R50" s="1742"/>
      <c r="S50" s="1742"/>
      <c r="T50" s="1742"/>
      <c r="U50" s="1742"/>
      <c r="V50" s="1742"/>
      <c r="W50" s="1742"/>
      <c r="X50" s="1742"/>
      <c r="Y50" s="1742"/>
      <c r="Z50" s="1742"/>
      <c r="AA50" s="1742"/>
      <c r="AB50" s="1742"/>
      <c r="AC50" s="1742"/>
    </row>
    <row r="51" spans="1:29">
      <c r="A51" s="2720"/>
      <c r="B51" s="2720"/>
      <c r="C51" s="2720"/>
      <c r="D51" s="2720"/>
      <c r="E51" s="2720"/>
      <c r="F51" s="2720"/>
      <c r="G51" s="2720"/>
      <c r="H51" s="2720"/>
      <c r="I51" s="2720"/>
      <c r="J51" s="2720"/>
      <c r="K51" s="2723"/>
      <c r="L51" s="1755"/>
      <c r="M51" s="1742"/>
      <c r="N51" s="1742"/>
      <c r="O51" s="1742"/>
      <c r="P51" s="1742"/>
      <c r="Q51" s="1742"/>
      <c r="R51" s="1742"/>
      <c r="S51" s="1742"/>
      <c r="T51" s="1742"/>
      <c r="U51" s="1742"/>
      <c r="V51" s="1742"/>
      <c r="W51" s="1742"/>
      <c r="X51" s="1742"/>
      <c r="Y51" s="1742"/>
      <c r="Z51" s="1742"/>
      <c r="AA51" s="1742"/>
      <c r="AB51" s="1742"/>
      <c r="AC51" s="1742"/>
    </row>
    <row r="52" spans="1:29" ht="13.5" customHeight="1">
      <c r="A52" s="2720"/>
      <c r="B52" s="2720"/>
      <c r="C52" s="571" t="s">
        <v>506</v>
      </c>
      <c r="D52" s="572"/>
      <c r="E52" s="573" t="e">
        <f>IF(E47&lt;E48,E48/E47-1,E47/E48-1)</f>
        <v>#DIV/0!</v>
      </c>
      <c r="F52" s="574" t="e">
        <f>IF(OR(E52&gt;=0.3,E52&lt;=-0.3),"超过30%","")</f>
        <v>#DIV/0!</v>
      </c>
      <c r="G52" s="573" t="e">
        <f>IF(G47&lt;G48,G48/G47-1,G47/G48-1)</f>
        <v>#DIV/0!</v>
      </c>
      <c r="H52" s="574" t="e">
        <f>IF(OR(G52&gt;=0.3,G52&lt;=-0.3),"超过30%","")</f>
        <v>#DIV/0!</v>
      </c>
      <c r="I52" s="573" t="e">
        <f>IF(I47&lt;I48,I48/I47-1,I47/I48-1)</f>
        <v>#DIV/0!</v>
      </c>
      <c r="J52" s="574" t="e">
        <f>IF(OR(I52&gt;=0.3,I52&lt;=-0.3),"超过30%","")</f>
        <v>#DIV/0!</v>
      </c>
      <c r="K52" s="2723"/>
      <c r="L52" s="1755"/>
      <c r="M52" s="1742"/>
      <c r="N52" s="1742"/>
      <c r="O52" s="1742"/>
      <c r="P52" s="1742"/>
      <c r="Q52" s="1742"/>
      <c r="R52" s="1742"/>
      <c r="S52" s="1742"/>
      <c r="T52" s="1742"/>
      <c r="U52" s="1742"/>
      <c r="V52" s="1742"/>
      <c r="W52" s="1742"/>
      <c r="X52" s="1742"/>
      <c r="Y52" s="1742"/>
      <c r="Z52" s="1742"/>
      <c r="AA52" s="1742"/>
      <c r="AB52" s="1742"/>
      <c r="AC52" s="1742"/>
    </row>
    <row r="53" spans="1:29" ht="13.5" customHeight="1">
      <c r="A53" s="2720"/>
      <c r="B53" s="2720"/>
      <c r="C53" s="571" t="s">
        <v>507</v>
      </c>
      <c r="D53" s="575"/>
      <c r="E53" s="573" t="e">
        <f>IF(E48&lt;G48,G48/E48-1,E48/G48-1)</f>
        <v>#DIV/0!</v>
      </c>
      <c r="F53" s="574" t="e">
        <f>IF(OR(E53&gt;=0.2,E53&lt;=-0.2),"超过20%","")</f>
        <v>#DIV/0!</v>
      </c>
      <c r="G53" s="573" t="e">
        <f>IF(G48&lt;I48,I48/G48-1,G48/I48-1)</f>
        <v>#DIV/0!</v>
      </c>
      <c r="H53" s="574" t="e">
        <f>IF(OR(G53&gt;=0.2,G53&lt;=-0.2),"超过20%","")</f>
        <v>#DIV/0!</v>
      </c>
      <c r="I53" s="573" t="e">
        <f>IF(I48&lt;E48,E48/I48-1,I48/E48-1)</f>
        <v>#DIV/0!</v>
      </c>
      <c r="J53" s="574" t="e">
        <f>IF(OR(I53&gt;=0.2,I53&lt;=-0.2),"超过20%","")</f>
        <v>#DIV/0!</v>
      </c>
      <c r="K53" s="2723"/>
      <c r="L53" s="1755"/>
      <c r="M53" s="1742"/>
      <c r="N53" s="1742"/>
      <c r="O53" s="1742"/>
      <c r="P53" s="1742"/>
      <c r="Q53" s="1742"/>
      <c r="R53" s="1742"/>
      <c r="S53" s="1742"/>
      <c r="T53" s="1742"/>
      <c r="U53" s="1742"/>
      <c r="V53" s="1742"/>
      <c r="W53" s="1742"/>
      <c r="X53" s="1742"/>
      <c r="Y53" s="1742"/>
      <c r="Z53" s="1742"/>
      <c r="AA53" s="1742"/>
      <c r="AB53" s="1742"/>
      <c r="AC53" s="1742"/>
    </row>
    <row r="54" spans="1:29" s="1139" customFormat="1" ht="13.5" customHeight="1">
      <c r="A54" s="2721"/>
      <c r="B54" s="2721"/>
      <c r="C54" s="571" t="s">
        <v>508</v>
      </c>
      <c r="D54" s="575"/>
      <c r="E54" s="573" t="e">
        <f>IF(E47&lt;G47,G47/E47-1,E47/G47-1)</f>
        <v>#DIV/0!</v>
      </c>
      <c r="F54" s="574" t="e">
        <f>IF(OR(E54&gt;=0.3,E54&lt;=-0.3),"超过30%","")</f>
        <v>#DIV/0!</v>
      </c>
      <c r="G54" s="573" t="e">
        <f>IF(G47&lt;I47,I47/G47-1,G47/I47-1)</f>
        <v>#DIV/0!</v>
      </c>
      <c r="H54" s="574" t="e">
        <f>IF(OR(G54&gt;=0.3,G54&lt;=-0.3),"超过30%","")</f>
        <v>#DIV/0!</v>
      </c>
      <c r="I54" s="573" t="e">
        <f>IF(I47&lt;E47,E47/I47-1,I47/E47-1)</f>
        <v>#DIV/0!</v>
      </c>
      <c r="J54" s="574" t="e">
        <f>IF(OR(I54&gt;=0.3,I54&lt;=-0.3),"超过30%","")</f>
        <v>#DIV/0!</v>
      </c>
      <c r="K54" s="2724"/>
      <c r="L54" s="1758"/>
      <c r="M54" s="1752"/>
      <c r="N54" s="1752"/>
      <c r="O54" s="1752"/>
      <c r="P54" s="1752"/>
      <c r="Q54" s="1752"/>
      <c r="R54" s="1752"/>
      <c r="S54" s="1752"/>
      <c r="T54" s="1752"/>
      <c r="U54" s="1752"/>
      <c r="V54" s="1752"/>
      <c r="W54" s="1752"/>
      <c r="X54" s="1752"/>
      <c r="Y54" s="1752"/>
      <c r="Z54" s="1752"/>
      <c r="AA54" s="1752"/>
      <c r="AB54" s="1752"/>
      <c r="AC54" s="1752"/>
    </row>
    <row r="55" spans="1:29" s="1139" customFormat="1">
      <c r="A55" s="1752"/>
      <c r="B55" s="1753"/>
      <c r="C55" s="1756"/>
      <c r="D55" s="1752"/>
      <c r="E55" s="1752"/>
      <c r="F55" s="1752"/>
      <c r="G55" s="1752"/>
      <c r="H55" s="1752"/>
      <c r="I55" s="1752"/>
      <c r="J55" s="1752"/>
      <c r="K55" s="1757"/>
      <c r="L55" s="1758"/>
      <c r="M55" s="1752"/>
      <c r="N55" s="1752"/>
      <c r="O55" s="1752"/>
      <c r="P55" s="1752"/>
      <c r="Q55" s="1752"/>
      <c r="R55" s="1752"/>
      <c r="S55" s="1752"/>
      <c r="T55" s="1752"/>
      <c r="U55" s="1752"/>
      <c r="V55" s="1752"/>
      <c r="W55" s="1752"/>
      <c r="X55" s="1752"/>
      <c r="Y55" s="1752"/>
      <c r="Z55" s="1752"/>
      <c r="AA55" s="1752"/>
      <c r="AB55" s="1752"/>
      <c r="AC55" s="1752"/>
    </row>
    <row r="56" spans="1:29">
      <c r="A56" s="1742"/>
      <c r="B56" s="1753"/>
      <c r="C56" s="1756"/>
      <c r="D56" s="1742"/>
      <c r="E56" s="1742"/>
      <c r="F56" s="1742"/>
      <c r="G56" s="1742"/>
      <c r="H56" s="1742"/>
      <c r="I56" s="1742"/>
      <c r="J56" s="1742"/>
      <c r="K56" s="1754"/>
      <c r="L56" s="1755"/>
      <c r="M56" s="1742"/>
      <c r="N56" s="1742"/>
      <c r="O56" s="1742"/>
      <c r="P56" s="1742"/>
      <c r="Q56" s="1742"/>
      <c r="R56" s="1742"/>
      <c r="S56" s="1742"/>
      <c r="T56" s="1742"/>
      <c r="U56" s="1742"/>
      <c r="V56" s="1742"/>
      <c r="W56" s="1742"/>
      <c r="X56" s="1742"/>
      <c r="Y56" s="1742"/>
      <c r="Z56" s="1742"/>
      <c r="AA56" s="1742"/>
      <c r="AB56" s="1742"/>
      <c r="AC56" s="1742"/>
    </row>
    <row r="57" spans="1:29" ht="21.75" thickBot="1">
      <c r="A57" s="1317" t="s">
        <v>522</v>
      </c>
      <c r="B57" s="799"/>
      <c r="C57" s="1316"/>
      <c r="D57" s="1316"/>
      <c r="E57" s="1316"/>
      <c r="F57" s="1318"/>
      <c r="G57" s="1318"/>
      <c r="H57" s="1316"/>
      <c r="I57" s="1316"/>
      <c r="J57" s="1316"/>
      <c r="K57" s="1319"/>
      <c r="L57" s="1315"/>
      <c r="M57" s="1316"/>
      <c r="N57" s="1762"/>
      <c r="O57" s="1762"/>
      <c r="P57" s="1762"/>
      <c r="Q57" s="1763"/>
      <c r="R57" s="1742"/>
      <c r="S57" s="1742"/>
      <c r="T57" s="1742"/>
      <c r="U57" s="1742"/>
      <c r="V57" s="1742"/>
      <c r="W57" s="1742"/>
      <c r="X57" s="1742"/>
      <c r="Y57" s="1742"/>
      <c r="Z57" s="1742"/>
      <c r="AA57" s="1742"/>
      <c r="AB57" s="1742"/>
      <c r="AC57" s="1742"/>
    </row>
    <row r="58" spans="1:29" s="1141" customFormat="1" ht="15">
      <c r="A58" s="592" t="s">
        <v>478</v>
      </c>
      <c r="B58" s="593"/>
      <c r="C58" s="2113" t="str">
        <f>YEAR(C7)&amp;"-"&amp;MONTH(C7)</f>
        <v>2024-7</v>
      </c>
      <c r="D58" s="2115">
        <f>EDATE(C58,-1)</f>
        <v>45444</v>
      </c>
      <c r="E58" s="2115">
        <f t="shared" ref="E58:O58" si="13">EDATE(D58,-1)</f>
        <v>45413</v>
      </c>
      <c r="F58" s="2115">
        <f t="shared" si="13"/>
        <v>45383</v>
      </c>
      <c r="G58" s="2115">
        <f t="shared" si="13"/>
        <v>45352</v>
      </c>
      <c r="H58" s="2115">
        <f t="shared" si="13"/>
        <v>45323</v>
      </c>
      <c r="I58" s="2115">
        <f t="shared" si="13"/>
        <v>45292</v>
      </c>
      <c r="J58" s="2115">
        <f t="shared" si="13"/>
        <v>45261</v>
      </c>
      <c r="K58" s="2115">
        <f t="shared" si="13"/>
        <v>45231</v>
      </c>
      <c r="L58" s="2115">
        <f t="shared" si="13"/>
        <v>45200</v>
      </c>
      <c r="M58" s="2115">
        <f t="shared" si="13"/>
        <v>45170</v>
      </c>
      <c r="N58" s="2115">
        <f t="shared" si="13"/>
        <v>45139</v>
      </c>
      <c r="O58" s="2115">
        <f t="shared" si="13"/>
        <v>45108</v>
      </c>
      <c r="P58" s="1765"/>
      <c r="Q58" s="1765"/>
      <c r="R58" s="1765"/>
      <c r="S58" s="1765"/>
      <c r="T58" s="1765"/>
      <c r="U58" s="1765"/>
      <c r="V58" s="1765"/>
      <c r="W58" s="1765"/>
      <c r="X58" s="1765"/>
      <c r="Y58" s="1765"/>
      <c r="Z58" s="1765"/>
      <c r="AA58" s="1765"/>
      <c r="AB58" s="1765"/>
      <c r="AC58" s="1765"/>
    </row>
    <row r="59" spans="1:29" s="1060" customFormat="1" ht="15">
      <c r="A59" s="527"/>
      <c r="B59" s="594"/>
      <c r="C59" s="595">
        <v>100</v>
      </c>
      <c r="D59" s="596"/>
      <c r="E59" s="596"/>
      <c r="F59" s="596"/>
      <c r="G59" s="596"/>
      <c r="H59" s="596"/>
      <c r="I59" s="596"/>
      <c r="J59" s="596"/>
      <c r="K59" s="596"/>
      <c r="L59" s="596"/>
      <c r="M59" s="487"/>
      <c r="N59" s="596"/>
      <c r="O59" s="597"/>
      <c r="P59" s="1763"/>
      <c r="Q59" s="1640"/>
      <c r="R59" s="1640"/>
      <c r="S59" s="1640"/>
      <c r="T59" s="1640"/>
      <c r="U59" s="1640"/>
      <c r="V59" s="1640"/>
      <c r="W59" s="1640"/>
      <c r="X59" s="1640"/>
      <c r="Y59" s="1640"/>
      <c r="Z59" s="1640"/>
      <c r="AA59" s="1640"/>
      <c r="AB59" s="1640"/>
      <c r="AC59" s="1640"/>
    </row>
    <row r="60" spans="1:29" s="1060" customFormat="1" ht="15.75" thickBot="1">
      <c r="A60" s="262" t="s">
        <v>523</v>
      </c>
      <c r="B60" s="598"/>
      <c r="C60" s="599"/>
      <c r="D60" s="600"/>
      <c r="E60" s="600"/>
      <c r="F60" s="600"/>
      <c r="G60" s="600"/>
      <c r="H60" s="600"/>
      <c r="I60" s="600"/>
      <c r="J60" s="600"/>
      <c r="K60" s="600"/>
      <c r="L60" s="600"/>
      <c r="M60" s="601"/>
      <c r="N60" s="600"/>
      <c r="O60" s="602"/>
      <c r="P60" s="1763"/>
      <c r="Q60" s="1763"/>
      <c r="R60" s="1640"/>
      <c r="S60" s="1640"/>
      <c r="T60" s="1640"/>
      <c r="U60" s="1640"/>
      <c r="V60" s="1640"/>
      <c r="W60" s="1640"/>
      <c r="X60" s="1640"/>
      <c r="Y60" s="1640"/>
      <c r="Z60" s="1640"/>
      <c r="AA60" s="1640"/>
      <c r="AB60" s="1640"/>
      <c r="AC60" s="1640"/>
    </row>
    <row r="61" spans="1:29" s="1060" customFormat="1" ht="15">
      <c r="A61" s="603" t="s">
        <v>480</v>
      </c>
      <c r="B61" s="594"/>
      <c r="C61" s="604" t="s">
        <v>524</v>
      </c>
      <c r="D61" s="80"/>
      <c r="E61" s="80"/>
      <c r="F61" s="80"/>
      <c r="G61" s="80"/>
      <c r="H61" s="80"/>
      <c r="I61" s="80"/>
      <c r="J61" s="80"/>
      <c r="K61" s="80"/>
      <c r="L61" s="605"/>
      <c r="M61" s="606"/>
      <c r="N61" s="1766"/>
      <c r="O61" s="1766"/>
      <c r="P61" s="1647"/>
      <c r="Q61" s="1763"/>
      <c r="R61" s="1640"/>
      <c r="S61" s="1640"/>
      <c r="T61" s="1640"/>
      <c r="U61" s="1640"/>
      <c r="V61" s="1640"/>
      <c r="W61" s="1640"/>
      <c r="X61" s="1640"/>
      <c r="Y61" s="1640"/>
      <c r="Z61" s="1640"/>
      <c r="AA61" s="1640"/>
      <c r="AB61" s="1640"/>
      <c r="AC61" s="1640"/>
    </row>
    <row r="62" spans="1:29" s="1060" customFormat="1" ht="15.75" thickBot="1">
      <c r="A62" s="603"/>
      <c r="B62" s="594"/>
      <c r="C62" s="814">
        <v>100</v>
      </c>
      <c r="D62" s="596"/>
      <c r="E62" s="596"/>
      <c r="F62" s="596"/>
      <c r="G62" s="596"/>
      <c r="H62" s="596"/>
      <c r="I62" s="596"/>
      <c r="J62" s="596"/>
      <c r="K62" s="596"/>
      <c r="L62" s="596"/>
      <c r="M62" s="597"/>
      <c r="N62" s="1766"/>
      <c r="O62" s="1766"/>
      <c r="P62" s="1763"/>
      <c r="Q62" s="1763"/>
      <c r="R62" s="1640"/>
      <c r="S62" s="1640"/>
      <c r="T62" s="1640"/>
      <c r="U62" s="1640"/>
      <c r="V62" s="1640"/>
      <c r="W62" s="1640"/>
      <c r="X62" s="1640"/>
      <c r="Y62" s="1640"/>
      <c r="Z62" s="1640"/>
      <c r="AA62" s="1640"/>
      <c r="AB62" s="1640"/>
      <c r="AC62" s="1046"/>
    </row>
    <row r="63" spans="1:29">
      <c r="A63" s="607" t="s">
        <v>525</v>
      </c>
      <c r="B63" s="608" t="s">
        <v>483</v>
      </c>
      <c r="C63" s="645">
        <f>C9</f>
        <v>0</v>
      </c>
      <c r="D63" s="547"/>
      <c r="E63" s="547"/>
      <c r="F63" s="547"/>
      <c r="G63" s="547"/>
      <c r="H63" s="547"/>
      <c r="I63" s="547"/>
      <c r="J63" s="547"/>
      <c r="K63" s="609"/>
      <c r="L63" s="610"/>
      <c r="M63" s="611"/>
      <c r="N63" s="1767"/>
      <c r="O63" s="1767"/>
      <c r="P63" s="1766"/>
      <c r="Q63" s="1763"/>
      <c r="R63" s="1742"/>
      <c r="S63" s="1742"/>
      <c r="T63" s="1742"/>
      <c r="U63" s="1742"/>
      <c r="V63" s="1742"/>
      <c r="W63" s="1742"/>
      <c r="X63" s="1742"/>
      <c r="Y63" s="1742"/>
      <c r="Z63" s="1742"/>
      <c r="AA63" s="1742"/>
      <c r="AB63" s="1742"/>
      <c r="AC63" s="1742"/>
    </row>
    <row r="64" spans="1:29" ht="15.75" thickBot="1">
      <c r="A64" s="482"/>
      <c r="B64" s="612"/>
      <c r="C64" s="613"/>
      <c r="D64" s="613"/>
      <c r="E64" s="613"/>
      <c r="F64" s="613"/>
      <c r="G64" s="613"/>
      <c r="H64" s="613"/>
      <c r="I64" s="613"/>
      <c r="J64" s="613"/>
      <c r="K64" s="613"/>
      <c r="L64" s="613"/>
      <c r="M64" s="614"/>
      <c r="N64" s="1768"/>
      <c r="O64" s="1768"/>
      <c r="P64" s="1766"/>
      <c r="Q64" s="1763"/>
      <c r="R64" s="1742"/>
      <c r="S64" s="1742"/>
      <c r="T64" s="1742"/>
      <c r="U64" s="1742"/>
      <c r="V64" s="1742"/>
      <c r="W64" s="1742"/>
      <c r="X64" s="1742"/>
      <c r="Y64" s="1742"/>
      <c r="Z64" s="1742"/>
      <c r="AA64" s="1742"/>
      <c r="AB64" s="1742"/>
      <c r="AC64" s="1742"/>
    </row>
    <row r="65" spans="1:29" ht="27.75" thickTop="1">
      <c r="A65" s="482"/>
      <c r="B65" s="615" t="s">
        <v>486</v>
      </c>
      <c r="C65" s="658"/>
      <c r="D65" s="658"/>
      <c r="E65" s="658"/>
      <c r="F65" s="658"/>
      <c r="G65" s="658"/>
      <c r="H65" s="658"/>
      <c r="I65" s="658"/>
      <c r="J65" s="658"/>
      <c r="K65" s="659"/>
      <c r="L65" s="660"/>
      <c r="M65" s="661"/>
      <c r="N65" s="1767"/>
      <c r="O65" s="1767"/>
      <c r="P65" s="1766"/>
      <c r="Q65" s="1763"/>
      <c r="R65" s="1742"/>
      <c r="S65" s="1742"/>
      <c r="T65" s="1742"/>
      <c r="U65" s="1742"/>
      <c r="V65" s="1742"/>
      <c r="W65" s="1742"/>
      <c r="X65" s="1742"/>
      <c r="Y65" s="1742"/>
      <c r="Z65" s="1742"/>
      <c r="AA65" s="1742"/>
      <c r="AB65" s="1742"/>
      <c r="AC65" s="1742"/>
    </row>
    <row r="66" spans="1:29" ht="15.75" thickBot="1">
      <c r="A66" s="482"/>
      <c r="B66" s="620"/>
      <c r="C66" s="613"/>
      <c r="D66" s="613"/>
      <c r="E66" s="613"/>
      <c r="F66" s="613"/>
      <c r="G66" s="613"/>
      <c r="H66" s="613"/>
      <c r="I66" s="613"/>
      <c r="J66" s="613"/>
      <c r="K66" s="613"/>
      <c r="L66" s="613"/>
      <c r="M66" s="614"/>
      <c r="N66" s="1768"/>
      <c r="O66" s="1768"/>
      <c r="P66" s="1766"/>
      <c r="Q66" s="1763"/>
      <c r="R66" s="1742"/>
      <c r="S66" s="1742"/>
      <c r="T66" s="1742"/>
      <c r="U66" s="1742"/>
      <c r="V66" s="1742"/>
      <c r="W66" s="1742"/>
      <c r="X66" s="1742"/>
      <c r="Y66" s="1742"/>
      <c r="Z66" s="1742"/>
      <c r="AA66" s="1742"/>
      <c r="AB66" s="1742"/>
      <c r="AC66" s="1742"/>
    </row>
    <row r="67" spans="1:29" ht="15.75" thickTop="1">
      <c r="A67" s="482"/>
      <c r="B67" s="623" t="s">
        <v>487</v>
      </c>
      <c r="C67" s="624" t="str">
        <f>C68&amp;"（含）"&amp;"-"&amp;D68</f>
        <v>（含）-</v>
      </c>
      <c r="D67" s="624" t="str">
        <f t="shared" ref="D67:L67" si="14">D68&amp;"（含）"&amp;"-"&amp;E68</f>
        <v>（含）-</v>
      </c>
      <c r="E67" s="624" t="str">
        <f t="shared" si="14"/>
        <v>（含）-</v>
      </c>
      <c r="F67" s="624" t="str">
        <f t="shared" si="14"/>
        <v>（含）-</v>
      </c>
      <c r="G67" s="624" t="str">
        <f t="shared" si="14"/>
        <v>（含）-</v>
      </c>
      <c r="H67" s="624" t="str">
        <f t="shared" si="14"/>
        <v>（含）-</v>
      </c>
      <c r="I67" s="624" t="str">
        <f t="shared" si="14"/>
        <v>（含）-</v>
      </c>
      <c r="J67" s="624" t="str">
        <f t="shared" si="14"/>
        <v>（含）-</v>
      </c>
      <c r="K67" s="624" t="str">
        <f t="shared" si="14"/>
        <v>（含）-</v>
      </c>
      <c r="L67" s="624" t="str">
        <f t="shared" si="14"/>
        <v>（含）-</v>
      </c>
      <c r="M67" s="505" t="str">
        <f>M68&amp;"（含）"&amp;"-"&amp;P68</f>
        <v>（含）-</v>
      </c>
      <c r="N67" s="1768"/>
      <c r="O67" s="1768"/>
      <c r="P67" s="1766"/>
      <c r="Q67" s="1763"/>
      <c r="R67" s="1742"/>
      <c r="S67" s="1742"/>
      <c r="T67" s="1742"/>
      <c r="U67" s="1742"/>
      <c r="V67" s="1742"/>
      <c r="W67" s="1742"/>
      <c r="X67" s="1742"/>
      <c r="Y67" s="1742"/>
      <c r="Z67" s="1742"/>
      <c r="AA67" s="1742"/>
      <c r="AB67" s="1742"/>
      <c r="AC67" s="1742"/>
    </row>
    <row r="68" spans="1:29" ht="15">
      <c r="A68" s="482"/>
      <c r="B68" s="625"/>
      <c r="C68" s="491"/>
      <c r="D68" s="491"/>
      <c r="E68" s="491"/>
      <c r="F68" s="491"/>
      <c r="G68" s="491"/>
      <c r="H68" s="491"/>
      <c r="I68" s="491"/>
      <c r="J68" s="491"/>
      <c r="K68" s="626"/>
      <c r="L68" s="627"/>
      <c r="M68" s="628"/>
      <c r="N68" s="1767"/>
      <c r="O68" s="1767"/>
      <c r="P68" s="1766"/>
      <c r="Q68" s="1763"/>
      <c r="R68" s="1742"/>
      <c r="S68" s="1742"/>
      <c r="T68" s="1742"/>
      <c r="U68" s="1742"/>
      <c r="V68" s="1742"/>
      <c r="W68" s="1742"/>
      <c r="X68" s="1742"/>
      <c r="Y68" s="1742"/>
      <c r="Z68" s="1742"/>
      <c r="AA68" s="1742"/>
      <c r="AB68" s="1742"/>
      <c r="AC68" s="1742"/>
    </row>
    <row r="69" spans="1:29" ht="15.75" thickBot="1">
      <c r="A69" s="482"/>
      <c r="B69" s="612"/>
      <c r="C69" s="621">
        <v>100</v>
      </c>
      <c r="D69" s="621">
        <f t="shared" ref="D69:M69" si="15">C69-$K11</f>
        <v>100</v>
      </c>
      <c r="E69" s="621">
        <f t="shared" si="15"/>
        <v>100</v>
      </c>
      <c r="F69" s="621">
        <f t="shared" si="15"/>
        <v>100</v>
      </c>
      <c r="G69" s="621">
        <f t="shared" si="15"/>
        <v>100</v>
      </c>
      <c r="H69" s="621">
        <f t="shared" si="15"/>
        <v>100</v>
      </c>
      <c r="I69" s="621">
        <f t="shared" si="15"/>
        <v>100</v>
      </c>
      <c r="J69" s="621">
        <f t="shared" si="15"/>
        <v>100</v>
      </c>
      <c r="K69" s="621">
        <f t="shared" si="15"/>
        <v>100</v>
      </c>
      <c r="L69" s="621">
        <f t="shared" si="15"/>
        <v>100</v>
      </c>
      <c r="M69" s="622">
        <f t="shared" si="15"/>
        <v>100</v>
      </c>
      <c r="N69" s="1768"/>
      <c r="O69" s="1768"/>
      <c r="P69" s="1766"/>
      <c r="Q69" s="1763"/>
      <c r="R69" s="1742"/>
      <c r="S69" s="1742"/>
      <c r="T69" s="1742"/>
      <c r="U69" s="1742"/>
      <c r="V69" s="1742"/>
      <c r="W69" s="1742"/>
      <c r="X69" s="1742"/>
      <c r="Y69" s="1742"/>
      <c r="Z69" s="1742"/>
      <c r="AA69" s="1742"/>
      <c r="AB69" s="1742"/>
      <c r="AC69" s="1742"/>
    </row>
    <row r="70" spans="1:29" s="1134" customFormat="1" ht="15.75" thickTop="1">
      <c r="A70" s="629"/>
      <c r="B70" s="615">
        <f>B12</f>
        <v>111</v>
      </c>
      <c r="C70" s="630"/>
      <c r="D70" s="630"/>
      <c r="E70" s="630"/>
      <c r="F70" s="630"/>
      <c r="G70" s="630"/>
      <c r="H70" s="631"/>
      <c r="I70" s="631"/>
      <c r="J70" s="631"/>
      <c r="K70" s="631"/>
      <c r="L70" s="632"/>
      <c r="M70" s="633"/>
      <c r="N70" s="1769"/>
      <c r="O70" s="1769"/>
      <c r="P70" s="1769"/>
      <c r="Q70" s="1770"/>
      <c r="R70" s="1771"/>
      <c r="S70" s="1771"/>
      <c r="T70" s="1771"/>
      <c r="U70" s="1771"/>
      <c r="V70" s="1771"/>
      <c r="W70" s="1771"/>
      <c r="X70" s="1771"/>
      <c r="Y70" s="1771"/>
      <c r="Z70" s="1771"/>
      <c r="AA70" s="1771"/>
      <c r="AB70" s="1771"/>
      <c r="AC70" s="1771"/>
    </row>
    <row r="71" spans="1:29" s="1134" customFormat="1" ht="15.75" thickBot="1">
      <c r="A71" s="629"/>
      <c r="B71" s="620"/>
      <c r="C71" s="634"/>
      <c r="D71" s="613"/>
      <c r="E71" s="613"/>
      <c r="F71" s="613"/>
      <c r="G71" s="613"/>
      <c r="H71" s="613"/>
      <c r="I71" s="613"/>
      <c r="J71" s="613"/>
      <c r="K71" s="613"/>
      <c r="L71" s="613"/>
      <c r="M71" s="614"/>
      <c r="N71" s="1768"/>
      <c r="O71" s="1768"/>
      <c r="P71" s="1769"/>
      <c r="Q71" s="1770"/>
      <c r="R71" s="1771"/>
      <c r="S71" s="1771"/>
      <c r="T71" s="1771"/>
      <c r="U71" s="1771"/>
      <c r="V71" s="1771"/>
      <c r="W71" s="1771"/>
      <c r="X71" s="1771"/>
      <c r="Y71" s="1771"/>
      <c r="Z71" s="1771"/>
      <c r="AA71" s="1771"/>
      <c r="AB71" s="1771"/>
      <c r="AC71" s="1771"/>
    </row>
    <row r="72" spans="1:29" s="1134" customFormat="1" ht="15.75" thickTop="1">
      <c r="A72" s="629"/>
      <c r="B72" s="615">
        <f>B13</f>
        <v>111</v>
      </c>
      <c r="C72" s="630"/>
      <c r="D72" s="630"/>
      <c r="E72" s="630"/>
      <c r="F72" s="630"/>
      <c r="G72" s="630"/>
      <c r="H72" s="631"/>
      <c r="I72" s="631"/>
      <c r="J72" s="631"/>
      <c r="K72" s="631"/>
      <c r="L72" s="632"/>
      <c r="M72" s="633"/>
      <c r="N72" s="1769"/>
      <c r="O72" s="1769"/>
      <c r="P72" s="1771"/>
      <c r="Q72" s="1772"/>
      <c r="R72" s="1771"/>
      <c r="S72" s="1771"/>
      <c r="T72" s="1771"/>
      <c r="U72" s="1771"/>
      <c r="V72" s="1771"/>
      <c r="W72" s="1771"/>
      <c r="X72" s="1771"/>
      <c r="Y72" s="1771"/>
      <c r="Z72" s="1771"/>
      <c r="AA72" s="1771"/>
      <c r="AB72" s="1771"/>
      <c r="AC72" s="1771"/>
    </row>
    <row r="73" spans="1:29" s="1134" customFormat="1" ht="15.75" thickBot="1">
      <c r="A73" s="629"/>
      <c r="B73" s="620"/>
      <c r="C73" s="634"/>
      <c r="D73" s="613"/>
      <c r="E73" s="613"/>
      <c r="F73" s="613"/>
      <c r="G73" s="634"/>
      <c r="H73" s="635"/>
      <c r="I73" s="635"/>
      <c r="J73" s="635"/>
      <c r="K73" s="635"/>
      <c r="L73" s="635"/>
      <c r="M73" s="636"/>
      <c r="N73" s="1769"/>
      <c r="O73" s="1769"/>
      <c r="P73" s="1769"/>
      <c r="Q73" s="1770"/>
      <c r="R73" s="1771"/>
      <c r="S73" s="1771"/>
      <c r="T73" s="1771"/>
      <c r="U73" s="1771"/>
      <c r="V73" s="1771"/>
      <c r="W73" s="1771"/>
      <c r="X73" s="1771"/>
      <c r="Y73" s="1771"/>
      <c r="Z73" s="1771"/>
      <c r="AA73" s="1771"/>
      <c r="AB73" s="1771"/>
      <c r="AC73" s="1771"/>
    </row>
    <row r="74" spans="1:29" s="1134" customFormat="1" ht="15.75" thickTop="1">
      <c r="A74" s="629"/>
      <c r="B74" s="623">
        <f>B14</f>
        <v>111</v>
      </c>
      <c r="C74" s="630"/>
      <c r="D74" s="630"/>
      <c r="E74" s="630"/>
      <c r="F74" s="630"/>
      <c r="G74" s="80"/>
      <c r="H74" s="637"/>
      <c r="I74" s="637"/>
      <c r="J74" s="637"/>
      <c r="K74" s="637"/>
      <c r="L74" s="638"/>
      <c r="M74" s="639"/>
      <c r="N74" s="1769"/>
      <c r="O74" s="1769"/>
      <c r="P74" s="1773"/>
      <c r="Q74" s="1770"/>
      <c r="R74" s="1771"/>
      <c r="S74" s="1771"/>
      <c r="T74" s="1771"/>
      <c r="U74" s="1771"/>
      <c r="V74" s="1771"/>
      <c r="W74" s="1771"/>
      <c r="X74" s="1771"/>
      <c r="Y74" s="1771"/>
      <c r="Z74" s="1771"/>
      <c r="AA74" s="1771"/>
      <c r="AB74" s="1771"/>
      <c r="AC74" s="1771"/>
    </row>
    <row r="75" spans="1:29" s="1134" customFormat="1" ht="15.75" thickBot="1">
      <c r="A75" s="640"/>
      <c r="B75" s="641"/>
      <c r="C75" s="642"/>
      <c r="D75" s="642"/>
      <c r="E75" s="642"/>
      <c r="F75" s="642"/>
      <c r="G75" s="642"/>
      <c r="H75" s="643"/>
      <c r="I75" s="643"/>
      <c r="J75" s="643"/>
      <c r="K75" s="643"/>
      <c r="L75" s="643"/>
      <c r="M75" s="644"/>
      <c r="N75" s="1769"/>
      <c r="O75" s="1769"/>
      <c r="P75" s="1769"/>
      <c r="Q75" s="1770"/>
      <c r="R75" s="1771"/>
      <c r="S75" s="1771"/>
      <c r="T75" s="1771"/>
      <c r="U75" s="1771"/>
      <c r="V75" s="1771"/>
      <c r="W75" s="1771"/>
      <c r="X75" s="1771"/>
      <c r="Y75" s="1771"/>
      <c r="Z75" s="1771"/>
      <c r="AA75" s="1771"/>
      <c r="AB75" s="1771"/>
      <c r="AC75" s="1771"/>
    </row>
    <row r="76" spans="1:29">
      <c r="A76" s="607" t="s">
        <v>488</v>
      </c>
      <c r="B76" s="608" t="s">
        <v>526</v>
      </c>
      <c r="C76" s="143" t="s">
        <v>527</v>
      </c>
      <c r="D76" s="143" t="s">
        <v>528</v>
      </c>
      <c r="E76" s="143" t="s">
        <v>529</v>
      </c>
      <c r="F76" s="143" t="s">
        <v>530</v>
      </c>
      <c r="G76" s="143" t="s">
        <v>531</v>
      </c>
      <c r="H76" s="645"/>
      <c r="I76" s="645"/>
      <c r="J76" s="645"/>
      <c r="K76" s="646"/>
      <c r="L76" s="647"/>
      <c r="M76" s="648"/>
      <c r="N76" s="1767"/>
      <c r="O76" s="1767"/>
      <c r="P76" s="1774"/>
      <c r="Q76" s="1763"/>
      <c r="R76" s="1742"/>
      <c r="S76" s="1742"/>
      <c r="T76" s="1742"/>
      <c r="U76" s="1742"/>
      <c r="V76" s="1742"/>
      <c r="W76" s="1742"/>
      <c r="X76" s="1742"/>
      <c r="Y76" s="1742"/>
      <c r="Z76" s="1742"/>
      <c r="AA76" s="1742"/>
      <c r="AB76" s="1742"/>
      <c r="AC76" s="1742"/>
    </row>
    <row r="77" spans="1:29" ht="15.75" thickBot="1">
      <c r="A77" s="482"/>
      <c r="B77" s="620"/>
      <c r="C77" s="621">
        <v>100</v>
      </c>
      <c r="D77" s="621">
        <f>C77-$K15</f>
        <v>100</v>
      </c>
      <c r="E77" s="621">
        <f>D77-$K15</f>
        <v>100</v>
      </c>
      <c r="F77" s="621">
        <f>E77-$K15</f>
        <v>100</v>
      </c>
      <c r="G77" s="621">
        <f>F77-$K15</f>
        <v>100</v>
      </c>
      <c r="H77" s="621"/>
      <c r="I77" s="621"/>
      <c r="J77" s="621"/>
      <c r="K77" s="621"/>
      <c r="L77" s="621"/>
      <c r="M77" s="622"/>
      <c r="N77" s="1768"/>
      <c r="O77" s="1768"/>
      <c r="P77" s="1766"/>
      <c r="Q77" s="1763"/>
      <c r="R77" s="1742"/>
      <c r="S77" s="1742"/>
      <c r="T77" s="1742"/>
      <c r="U77" s="1742"/>
      <c r="V77" s="1742"/>
      <c r="W77" s="1742"/>
      <c r="X77" s="1742"/>
      <c r="Y77" s="1742"/>
      <c r="Z77" s="1742"/>
      <c r="AA77" s="1742"/>
      <c r="AB77" s="1742"/>
      <c r="AC77" s="1742"/>
    </row>
    <row r="78" spans="1:29" ht="15.75" thickTop="1">
      <c r="A78" s="482"/>
      <c r="B78" s="615" t="s">
        <v>534</v>
      </c>
      <c r="C78" s="649" t="s">
        <v>527</v>
      </c>
      <c r="D78" s="649" t="s">
        <v>528</v>
      </c>
      <c r="E78" s="649" t="s">
        <v>529</v>
      </c>
      <c r="F78" s="649" t="s">
        <v>530</v>
      </c>
      <c r="G78" s="649" t="s">
        <v>531</v>
      </c>
      <c r="H78" s="616"/>
      <c r="I78" s="616"/>
      <c r="J78" s="616"/>
      <c r="K78" s="617"/>
      <c r="L78" s="618"/>
      <c r="M78" s="619"/>
      <c r="N78" s="1767"/>
      <c r="O78" s="1767"/>
      <c r="P78" s="1766"/>
      <c r="Q78" s="1763"/>
      <c r="R78" s="1742"/>
      <c r="S78" s="1742"/>
      <c r="T78" s="1742"/>
      <c r="U78" s="1742"/>
      <c r="V78" s="1742"/>
      <c r="W78" s="1742"/>
      <c r="X78" s="1742"/>
      <c r="Y78" s="1742"/>
      <c r="Z78" s="1742"/>
      <c r="AA78" s="1742"/>
      <c r="AB78" s="1742"/>
      <c r="AC78" s="1742"/>
    </row>
    <row r="79" spans="1:29" ht="15.75" thickBot="1">
      <c r="A79" s="482"/>
      <c r="B79" s="620"/>
      <c r="C79" s="621">
        <v>100</v>
      </c>
      <c r="D79" s="621">
        <f>C79-$K17</f>
        <v>100</v>
      </c>
      <c r="E79" s="621">
        <f>D79-$K17</f>
        <v>100</v>
      </c>
      <c r="F79" s="621">
        <f>E79-$K17</f>
        <v>100</v>
      </c>
      <c r="G79" s="621">
        <f>F79-$K17</f>
        <v>100</v>
      </c>
      <c r="H79" s="621"/>
      <c r="I79" s="621"/>
      <c r="J79" s="621"/>
      <c r="K79" s="621"/>
      <c r="L79" s="621"/>
      <c r="M79" s="622"/>
      <c r="N79" s="1768"/>
      <c r="O79" s="1768"/>
      <c r="P79" s="1766"/>
      <c r="Q79" s="1763"/>
      <c r="R79" s="1742"/>
      <c r="S79" s="1742"/>
      <c r="T79" s="1742"/>
      <c r="U79" s="1742"/>
      <c r="V79" s="1742"/>
      <c r="W79" s="1742"/>
      <c r="X79" s="1742"/>
      <c r="Y79" s="1742"/>
      <c r="Z79" s="1742"/>
      <c r="AA79" s="1742"/>
      <c r="AB79" s="1742"/>
      <c r="AC79" s="1742"/>
    </row>
    <row r="80" spans="1:29" ht="15.75" thickTop="1">
      <c r="A80" s="482"/>
      <c r="B80" s="1555" t="s">
        <v>1840</v>
      </c>
      <c r="C80" s="649" t="s">
        <v>527</v>
      </c>
      <c r="D80" s="649" t="s">
        <v>528</v>
      </c>
      <c r="E80" s="649" t="s">
        <v>529</v>
      </c>
      <c r="F80" s="649" t="s">
        <v>530</v>
      </c>
      <c r="G80" s="649" t="s">
        <v>531</v>
      </c>
      <c r="H80" s="616"/>
      <c r="I80" s="616"/>
      <c r="J80" s="616"/>
      <c r="K80" s="617"/>
      <c r="L80" s="618"/>
      <c r="M80" s="619"/>
      <c r="N80" s="1767"/>
      <c r="O80" s="1767"/>
      <c r="P80" s="1766"/>
      <c r="Q80" s="1763"/>
      <c r="R80" s="1742"/>
      <c r="S80" s="1742"/>
      <c r="T80" s="1742"/>
      <c r="U80" s="1742"/>
      <c r="V80" s="1742"/>
      <c r="W80" s="1742"/>
      <c r="X80" s="1742"/>
      <c r="Y80" s="1742"/>
      <c r="Z80" s="1742"/>
      <c r="AA80" s="1742"/>
      <c r="AB80" s="1742"/>
      <c r="AC80" s="1742"/>
    </row>
    <row r="81" spans="1:29" ht="15.75" thickBot="1">
      <c r="A81" s="482"/>
      <c r="B81" s="620"/>
      <c r="C81" s="621">
        <v>100</v>
      </c>
      <c r="D81" s="621">
        <f>C81-$K19</f>
        <v>100</v>
      </c>
      <c r="E81" s="621">
        <f>D81-$K19</f>
        <v>100</v>
      </c>
      <c r="F81" s="621">
        <f>E81-$K19</f>
        <v>100</v>
      </c>
      <c r="G81" s="621">
        <f>F81-$K19</f>
        <v>100</v>
      </c>
      <c r="H81" s="621"/>
      <c r="I81" s="621"/>
      <c r="J81" s="621"/>
      <c r="K81" s="621"/>
      <c r="L81" s="621"/>
      <c r="M81" s="622"/>
      <c r="N81" s="1768"/>
      <c r="O81" s="1768"/>
      <c r="P81" s="1766"/>
      <c r="Q81" s="1763"/>
      <c r="R81" s="1742"/>
      <c r="S81" s="1742"/>
      <c r="T81" s="1742"/>
      <c r="U81" s="1742"/>
      <c r="V81" s="1742"/>
      <c r="W81" s="1742"/>
      <c r="X81" s="1742"/>
      <c r="Y81" s="1742"/>
      <c r="Z81" s="1742"/>
      <c r="AA81" s="1742"/>
      <c r="AB81" s="1742"/>
      <c r="AC81" s="1742"/>
    </row>
    <row r="82" spans="1:29" ht="15.75" thickTop="1">
      <c r="A82" s="482"/>
      <c r="B82" s="2056" t="s">
        <v>1841</v>
      </c>
      <c r="C82" s="2057" t="s">
        <v>1842</v>
      </c>
      <c r="D82" s="2057" t="s">
        <v>1843</v>
      </c>
      <c r="E82" s="2057" t="s">
        <v>1844</v>
      </c>
      <c r="F82" s="2057" t="s">
        <v>1845</v>
      </c>
      <c r="G82" s="2057" t="s">
        <v>1846</v>
      </c>
      <c r="H82" s="616"/>
      <c r="I82" s="616"/>
      <c r="J82" s="616"/>
      <c r="K82" s="616"/>
      <c r="L82" s="616"/>
      <c r="M82" s="2060"/>
      <c r="N82" s="1768"/>
      <c r="O82" s="1768"/>
      <c r="P82" s="1766"/>
      <c r="Q82" s="1763"/>
      <c r="R82" s="1742"/>
      <c r="S82" s="1742"/>
      <c r="T82" s="1742"/>
      <c r="U82" s="1742"/>
      <c r="V82" s="1742"/>
      <c r="W82" s="1742"/>
      <c r="X82" s="1742"/>
      <c r="Y82" s="1742"/>
      <c r="Z82" s="1742"/>
      <c r="AA82" s="1742"/>
      <c r="AB82" s="1742"/>
      <c r="AC82" s="1742"/>
    </row>
    <row r="83" spans="1:29" ht="15.75" thickBot="1">
      <c r="A83" s="482"/>
      <c r="B83" s="623"/>
      <c r="C83" s="621">
        <v>100</v>
      </c>
      <c r="D83" s="621">
        <f>C83-$K21</f>
        <v>100</v>
      </c>
      <c r="E83" s="621">
        <f>D83-$K21</f>
        <v>100</v>
      </c>
      <c r="F83" s="621">
        <f>E83-$K21</f>
        <v>100</v>
      </c>
      <c r="G83" s="621">
        <f>F83-$K21</f>
        <v>100</v>
      </c>
      <c r="H83" s="856"/>
      <c r="I83" s="856"/>
      <c r="J83" s="856"/>
      <c r="K83" s="856"/>
      <c r="L83" s="856"/>
      <c r="M83" s="509"/>
      <c r="N83" s="1768"/>
      <c r="O83" s="1768"/>
      <c r="P83" s="1766"/>
      <c r="Q83" s="1763"/>
      <c r="R83" s="1742"/>
      <c r="S83" s="1742"/>
      <c r="T83" s="1742"/>
      <c r="U83" s="1742"/>
      <c r="V83" s="1742"/>
      <c r="W83" s="1742"/>
      <c r="X83" s="1742"/>
      <c r="Y83" s="1742"/>
      <c r="Z83" s="1742"/>
      <c r="AA83" s="1742"/>
      <c r="AB83" s="1742"/>
      <c r="AC83" s="1742"/>
    </row>
    <row r="84" spans="1:29" ht="15.75" thickTop="1">
      <c r="A84" s="482"/>
      <c r="B84" s="615" t="s">
        <v>684</v>
      </c>
      <c r="C84" s="649" t="s">
        <v>527</v>
      </c>
      <c r="D84" s="649" t="s">
        <v>528</v>
      </c>
      <c r="E84" s="649" t="s">
        <v>529</v>
      </c>
      <c r="F84" s="649" t="s">
        <v>530</v>
      </c>
      <c r="G84" s="649" t="s">
        <v>531</v>
      </c>
      <c r="H84" s="616"/>
      <c r="I84" s="616"/>
      <c r="J84" s="616"/>
      <c r="K84" s="617"/>
      <c r="L84" s="618"/>
      <c r="M84" s="619"/>
      <c r="N84" s="1767"/>
      <c r="O84" s="1767"/>
      <c r="P84" s="1766"/>
      <c r="Q84" s="1763"/>
      <c r="R84" s="1742"/>
      <c r="S84" s="1742"/>
      <c r="T84" s="1742"/>
      <c r="U84" s="1742"/>
      <c r="V84" s="1742"/>
      <c r="W84" s="1742"/>
      <c r="X84" s="1742"/>
      <c r="Y84" s="1742"/>
      <c r="Z84" s="1742"/>
      <c r="AA84" s="1742"/>
      <c r="AB84" s="1742"/>
      <c r="AC84" s="1742"/>
    </row>
    <row r="85" spans="1:29" ht="15.75" thickBot="1">
      <c r="A85" s="482"/>
      <c r="B85" s="620"/>
      <c r="C85" s="621">
        <v>100</v>
      </c>
      <c r="D85" s="621">
        <f>C85-$K23</f>
        <v>100</v>
      </c>
      <c r="E85" s="621">
        <f>D85-$K23</f>
        <v>100</v>
      </c>
      <c r="F85" s="621">
        <f>E85-$K23</f>
        <v>100</v>
      </c>
      <c r="G85" s="621">
        <f>F85-$K23</f>
        <v>100</v>
      </c>
      <c r="H85" s="621"/>
      <c r="I85" s="621"/>
      <c r="J85" s="621"/>
      <c r="K85" s="621"/>
      <c r="L85" s="621"/>
      <c r="M85" s="622"/>
      <c r="N85" s="1768"/>
      <c r="O85" s="1768"/>
      <c r="P85" s="1766"/>
      <c r="Q85" s="1763"/>
      <c r="R85" s="1742"/>
      <c r="S85" s="1742"/>
      <c r="T85" s="1742"/>
      <c r="U85" s="1742"/>
      <c r="V85" s="1742"/>
      <c r="W85" s="1742"/>
      <c r="X85" s="1742"/>
      <c r="Y85" s="1742"/>
      <c r="Z85" s="1742"/>
      <c r="AA85" s="1742"/>
      <c r="AB85" s="1742"/>
      <c r="AC85" s="1742"/>
    </row>
    <row r="86" spans="1:29" s="1060" customFormat="1" ht="15.75" thickTop="1">
      <c r="A86" s="486"/>
      <c r="B86" s="615" t="s">
        <v>711</v>
      </c>
      <c r="C86" s="630"/>
      <c r="D86" s="630"/>
      <c r="E86" s="630"/>
      <c r="F86" s="630"/>
      <c r="G86" s="630"/>
      <c r="H86" s="630"/>
      <c r="I86" s="630"/>
      <c r="J86" s="630"/>
      <c r="K86" s="630"/>
      <c r="L86" s="815"/>
      <c r="M86" s="816"/>
      <c r="N86" s="1766"/>
      <c r="O86" s="1766"/>
      <c r="P86" s="1766"/>
      <c r="Q86" s="1763"/>
      <c r="R86" s="1640"/>
      <c r="S86" s="1640"/>
      <c r="T86" s="1640"/>
      <c r="U86" s="1640"/>
      <c r="V86" s="1640"/>
      <c r="W86" s="1640"/>
      <c r="X86" s="1640"/>
      <c r="Y86" s="1640"/>
      <c r="Z86" s="1640"/>
      <c r="AA86" s="1640"/>
      <c r="AB86" s="1640"/>
      <c r="AC86" s="1640"/>
    </row>
    <row r="87" spans="1:29" s="1060" customFormat="1" ht="15.75" thickBot="1">
      <c r="A87" s="486"/>
      <c r="B87" s="620"/>
      <c r="C87" s="652">
        <v>100</v>
      </c>
      <c r="D87" s="621">
        <f t="shared" ref="D87:M87" si="16">C87-$K25</f>
        <v>100</v>
      </c>
      <c r="E87" s="621">
        <f t="shared" si="16"/>
        <v>100</v>
      </c>
      <c r="F87" s="621">
        <f t="shared" si="16"/>
        <v>100</v>
      </c>
      <c r="G87" s="621">
        <f t="shared" si="16"/>
        <v>100</v>
      </c>
      <c r="H87" s="621">
        <f t="shared" si="16"/>
        <v>100</v>
      </c>
      <c r="I87" s="621">
        <f t="shared" si="16"/>
        <v>100</v>
      </c>
      <c r="J87" s="621">
        <f t="shared" si="16"/>
        <v>100</v>
      </c>
      <c r="K87" s="621">
        <f t="shared" si="16"/>
        <v>100</v>
      </c>
      <c r="L87" s="621">
        <f t="shared" si="16"/>
        <v>100</v>
      </c>
      <c r="M87" s="621">
        <f t="shared" si="16"/>
        <v>100</v>
      </c>
      <c r="N87" s="1768"/>
      <c r="O87" s="1768"/>
      <c r="P87" s="1766"/>
      <c r="Q87" s="1763"/>
      <c r="R87" s="1640"/>
      <c r="S87" s="1640"/>
      <c r="T87" s="1640"/>
      <c r="U87" s="1640"/>
      <c r="V87" s="1640"/>
      <c r="W87" s="1640"/>
      <c r="X87" s="1640"/>
      <c r="Y87" s="1640"/>
      <c r="Z87" s="1640"/>
      <c r="AA87" s="1640"/>
      <c r="AB87" s="1640"/>
      <c r="AC87" s="1640"/>
    </row>
    <row r="88" spans="1:29" s="1060" customFormat="1" ht="15.75" thickTop="1">
      <c r="A88" s="486"/>
      <c r="B88" s="615" t="str">
        <f>B26</f>
        <v>平面位置/可视性</v>
      </c>
      <c r="C88" s="630"/>
      <c r="D88" s="630"/>
      <c r="E88" s="630"/>
      <c r="F88" s="817"/>
      <c r="G88" s="630"/>
      <c r="H88" s="630"/>
      <c r="I88" s="630"/>
      <c r="J88" s="630"/>
      <c r="K88" s="630"/>
      <c r="L88" s="630"/>
      <c r="M88" s="816"/>
      <c r="N88" s="1766"/>
      <c r="O88" s="1766"/>
      <c r="P88" s="1766"/>
      <c r="Q88" s="1763"/>
      <c r="R88" s="1640"/>
      <c r="S88" s="1640"/>
      <c r="T88" s="1640"/>
      <c r="U88" s="1640"/>
      <c r="V88" s="1640"/>
      <c r="W88" s="1640"/>
      <c r="X88" s="1640"/>
      <c r="Y88" s="1640"/>
      <c r="Z88" s="1640"/>
      <c r="AA88" s="1640"/>
      <c r="AB88" s="1640"/>
      <c r="AC88" s="1640"/>
    </row>
    <row r="89" spans="1:29" s="1060" customFormat="1" ht="15.75" thickBot="1">
      <c r="A89" s="486"/>
      <c r="B89" s="620"/>
      <c r="C89" s="634"/>
      <c r="D89" s="613"/>
      <c r="E89" s="613"/>
      <c r="F89" s="613"/>
      <c r="G89" s="613"/>
      <c r="H89" s="613"/>
      <c r="I89" s="613"/>
      <c r="J89" s="613"/>
      <c r="K89" s="613"/>
      <c r="L89" s="613"/>
      <c r="M89" s="613"/>
      <c r="N89" s="1768"/>
      <c r="O89" s="1768"/>
      <c r="P89" s="1766"/>
      <c r="Q89" s="1763"/>
      <c r="R89" s="1640"/>
      <c r="S89" s="1640"/>
      <c r="T89" s="1640"/>
      <c r="U89" s="1640"/>
      <c r="V89" s="1640"/>
      <c r="W89" s="1640"/>
      <c r="X89" s="1640"/>
      <c r="Y89" s="1640"/>
      <c r="Z89" s="1640"/>
      <c r="AA89" s="1640"/>
      <c r="AB89" s="1640"/>
      <c r="AC89" s="1640"/>
    </row>
    <row r="90" spans="1:29" s="1134" customFormat="1" ht="15.75" thickTop="1">
      <c r="A90" s="629"/>
      <c r="B90" s="615" t="str">
        <f>B27</f>
        <v>人流量</v>
      </c>
      <c r="C90" s="630"/>
      <c r="D90" s="630"/>
      <c r="E90" s="630"/>
      <c r="F90" s="630"/>
      <c r="G90" s="630"/>
      <c r="H90" s="631"/>
      <c r="I90" s="631"/>
      <c r="J90" s="631"/>
      <c r="K90" s="631"/>
      <c r="L90" s="632"/>
      <c r="M90" s="633"/>
      <c r="N90" s="1769"/>
      <c r="O90" s="1769"/>
      <c r="P90" s="1769"/>
      <c r="Q90" s="1770"/>
      <c r="R90" s="1771"/>
      <c r="S90" s="1771"/>
      <c r="T90" s="1771"/>
      <c r="U90" s="1771"/>
      <c r="V90" s="1771"/>
      <c r="W90" s="1771"/>
      <c r="X90" s="1771"/>
      <c r="Y90" s="1771"/>
      <c r="Z90" s="1771"/>
      <c r="AA90" s="1771"/>
      <c r="AB90" s="1771"/>
      <c r="AC90" s="1771"/>
    </row>
    <row r="91" spans="1:29" s="1134" customFormat="1" ht="15.75" thickBot="1">
      <c r="A91" s="629"/>
      <c r="B91" s="620"/>
      <c r="C91" s="652">
        <v>100</v>
      </c>
      <c r="D91" s="621">
        <f>C91-$K27</f>
        <v>100</v>
      </c>
      <c r="E91" s="621">
        <f t="shared" ref="E91:M91" si="17">D91-$K27</f>
        <v>100</v>
      </c>
      <c r="F91" s="621">
        <f t="shared" si="17"/>
        <v>100</v>
      </c>
      <c r="G91" s="621">
        <f t="shared" si="17"/>
        <v>100</v>
      </c>
      <c r="H91" s="621">
        <f t="shared" si="17"/>
        <v>100</v>
      </c>
      <c r="I91" s="621">
        <f t="shared" si="17"/>
        <v>100</v>
      </c>
      <c r="J91" s="621">
        <f t="shared" si="17"/>
        <v>100</v>
      </c>
      <c r="K91" s="621">
        <f t="shared" si="17"/>
        <v>100</v>
      </c>
      <c r="L91" s="621">
        <f t="shared" si="17"/>
        <v>100</v>
      </c>
      <c r="M91" s="621">
        <f t="shared" si="17"/>
        <v>100</v>
      </c>
      <c r="N91" s="1769"/>
      <c r="O91" s="1769"/>
      <c r="P91" s="1769"/>
      <c r="Q91" s="1770"/>
      <c r="R91" s="1771"/>
      <c r="S91" s="1771"/>
      <c r="T91" s="1771"/>
      <c r="U91" s="1771"/>
      <c r="V91" s="1771"/>
      <c r="W91" s="1771"/>
      <c r="X91" s="1771"/>
      <c r="Y91" s="1771"/>
      <c r="Z91" s="1771"/>
      <c r="AA91" s="1771"/>
      <c r="AB91" s="1771"/>
      <c r="AC91" s="1771"/>
    </row>
    <row r="92" spans="1:29" ht="15.75" thickTop="1">
      <c r="A92" s="482"/>
      <c r="B92" s="615" t="str">
        <f>B28</f>
        <v>楼层</v>
      </c>
      <c r="C92" s="630"/>
      <c r="D92" s="630"/>
      <c r="E92" s="630"/>
      <c r="F92" s="630"/>
      <c r="G92" s="630"/>
      <c r="H92" s="630"/>
      <c r="I92" s="630"/>
      <c r="J92" s="630"/>
      <c r="K92" s="630"/>
      <c r="L92" s="815"/>
      <c r="M92" s="816"/>
      <c r="N92" s="1767"/>
      <c r="O92" s="1767"/>
      <c r="P92" s="1766"/>
      <c r="Q92" s="1763"/>
      <c r="R92" s="1742"/>
      <c r="S92" s="1742"/>
      <c r="T92" s="1742"/>
      <c r="U92" s="1742"/>
      <c r="V92" s="1742"/>
      <c r="W92" s="1742"/>
      <c r="X92" s="1742"/>
      <c r="Y92" s="1742"/>
      <c r="Z92" s="1742"/>
      <c r="AA92" s="1742"/>
      <c r="AB92" s="1742"/>
      <c r="AC92" s="1742"/>
    </row>
    <row r="93" spans="1:29" ht="15.75" thickBot="1">
      <c r="A93" s="482"/>
      <c r="B93" s="620"/>
      <c r="C93" s="613"/>
      <c r="D93" s="613"/>
      <c r="E93" s="613"/>
      <c r="F93" s="613"/>
      <c r="G93" s="613"/>
      <c r="H93" s="613"/>
      <c r="I93" s="613"/>
      <c r="J93" s="613"/>
      <c r="K93" s="613"/>
      <c r="L93" s="613"/>
      <c r="M93" s="614"/>
      <c r="N93" s="1768"/>
      <c r="O93" s="1768"/>
      <c r="P93" s="1766"/>
      <c r="Q93" s="1763"/>
      <c r="R93" s="1742"/>
      <c r="S93" s="1742"/>
      <c r="T93" s="1742"/>
      <c r="U93" s="1742"/>
      <c r="V93" s="1742"/>
      <c r="W93" s="1742"/>
      <c r="X93" s="1742"/>
      <c r="Y93" s="1742"/>
      <c r="Z93" s="1742"/>
      <c r="AA93" s="1742"/>
      <c r="AB93" s="1742"/>
      <c r="AC93" s="1742"/>
    </row>
    <row r="94" spans="1:29" ht="15.75" thickTop="1">
      <c r="A94" s="482"/>
      <c r="B94" s="615">
        <f>B29</f>
        <v>111</v>
      </c>
      <c r="C94" s="630"/>
      <c r="D94" s="630"/>
      <c r="E94" s="630"/>
      <c r="F94" s="630"/>
      <c r="G94" s="658"/>
      <c r="H94" s="658"/>
      <c r="I94" s="658"/>
      <c r="J94" s="658"/>
      <c r="K94" s="659"/>
      <c r="L94" s="660"/>
      <c r="M94" s="661"/>
      <c r="N94" s="1767"/>
      <c r="O94" s="1767"/>
      <c r="P94" s="1766"/>
      <c r="Q94" s="1763"/>
      <c r="R94" s="1742"/>
      <c r="S94" s="1742"/>
      <c r="T94" s="1742"/>
      <c r="U94" s="1742"/>
      <c r="V94" s="1742"/>
      <c r="W94" s="1742"/>
      <c r="X94" s="1742"/>
      <c r="Y94" s="1742"/>
      <c r="Z94" s="1742"/>
      <c r="AA94" s="1742"/>
      <c r="AB94" s="1742"/>
      <c r="AC94" s="1742"/>
    </row>
    <row r="95" spans="1:29" ht="15.75" thickBot="1">
      <c r="A95" s="482"/>
      <c r="B95" s="620"/>
      <c r="C95" s="634"/>
      <c r="D95" s="613"/>
      <c r="E95" s="613"/>
      <c r="F95" s="613"/>
      <c r="G95" s="613"/>
      <c r="H95" s="613"/>
      <c r="I95" s="613"/>
      <c r="J95" s="613"/>
      <c r="K95" s="613"/>
      <c r="L95" s="613"/>
      <c r="M95" s="614"/>
      <c r="N95" s="1768"/>
      <c r="O95" s="1768"/>
      <c r="P95" s="1766"/>
      <c r="Q95" s="1763"/>
      <c r="R95" s="1742"/>
      <c r="S95" s="1742"/>
      <c r="T95" s="1742"/>
      <c r="U95" s="1742"/>
      <c r="V95" s="1742"/>
      <c r="W95" s="1742"/>
      <c r="X95" s="1742"/>
      <c r="Y95" s="1742"/>
      <c r="Z95" s="1742"/>
      <c r="AA95" s="1742"/>
      <c r="AB95" s="1742"/>
      <c r="AC95" s="1742"/>
    </row>
    <row r="96" spans="1:29" ht="15.75" thickTop="1">
      <c r="A96" s="482"/>
      <c r="B96" s="615">
        <f>B30</f>
        <v>111</v>
      </c>
      <c r="C96" s="630"/>
      <c r="D96" s="630"/>
      <c r="E96" s="630"/>
      <c r="F96" s="630"/>
      <c r="G96" s="658"/>
      <c r="H96" s="658"/>
      <c r="I96" s="658"/>
      <c r="J96" s="658"/>
      <c r="K96" s="659"/>
      <c r="L96" s="660"/>
      <c r="M96" s="661"/>
      <c r="N96" s="1767"/>
      <c r="O96" s="1767"/>
      <c r="P96" s="1766"/>
      <c r="Q96" s="1763"/>
      <c r="R96" s="1742"/>
      <c r="S96" s="1742"/>
      <c r="T96" s="1742"/>
      <c r="U96" s="1742"/>
      <c r="V96" s="1742"/>
      <c r="W96" s="1742"/>
      <c r="X96" s="1742"/>
      <c r="Y96" s="1742"/>
      <c r="Z96" s="1742"/>
      <c r="AA96" s="1742"/>
      <c r="AB96" s="1742"/>
      <c r="AC96" s="1742"/>
    </row>
    <row r="97" spans="1:29" ht="15.75" thickBot="1">
      <c r="A97" s="482"/>
      <c r="B97" s="620"/>
      <c r="C97" s="634"/>
      <c r="D97" s="613"/>
      <c r="E97" s="613"/>
      <c r="F97" s="613"/>
      <c r="G97" s="613"/>
      <c r="H97" s="613"/>
      <c r="I97" s="613"/>
      <c r="J97" s="613"/>
      <c r="K97" s="613"/>
      <c r="L97" s="613"/>
      <c r="M97" s="614"/>
      <c r="N97" s="1768"/>
      <c r="O97" s="1768"/>
      <c r="P97" s="1766"/>
      <c r="Q97" s="1763"/>
      <c r="R97" s="1742"/>
      <c r="S97" s="1742"/>
      <c r="T97" s="1742"/>
      <c r="U97" s="1742"/>
      <c r="V97" s="1742"/>
      <c r="W97" s="1742"/>
      <c r="X97" s="1742"/>
      <c r="Y97" s="1742"/>
      <c r="Z97" s="1742"/>
      <c r="AA97" s="1742"/>
      <c r="AB97" s="1742"/>
      <c r="AC97" s="1742"/>
    </row>
    <row r="98" spans="1:29" ht="15.75" thickTop="1">
      <c r="A98" s="482"/>
      <c r="B98" s="623">
        <f>B31</f>
        <v>111</v>
      </c>
      <c r="C98" s="630"/>
      <c r="D98" s="630"/>
      <c r="E98" s="630"/>
      <c r="F98" s="630"/>
      <c r="G98" s="662"/>
      <c r="H98" s="662"/>
      <c r="I98" s="662"/>
      <c r="J98" s="662"/>
      <c r="K98" s="663"/>
      <c r="L98" s="664"/>
      <c r="M98" s="665"/>
      <c r="N98" s="1767"/>
      <c r="O98" s="1767"/>
      <c r="P98" s="1766"/>
      <c r="Q98" s="1763"/>
      <c r="R98" s="1742"/>
      <c r="S98" s="1742"/>
      <c r="T98" s="1742"/>
      <c r="U98" s="1742"/>
      <c r="V98" s="1742"/>
      <c r="W98" s="1742"/>
      <c r="X98" s="1742"/>
      <c r="Y98" s="1742"/>
      <c r="Z98" s="1742"/>
      <c r="AA98" s="1742"/>
      <c r="AB98" s="1742"/>
      <c r="AC98" s="1742"/>
    </row>
    <row r="99" spans="1:29" ht="15.75" thickBot="1">
      <c r="A99" s="493"/>
      <c r="B99" s="641"/>
      <c r="C99" s="642"/>
      <c r="D99" s="642"/>
      <c r="E99" s="642"/>
      <c r="F99" s="642"/>
      <c r="G99" s="666"/>
      <c r="H99" s="666"/>
      <c r="I99" s="666"/>
      <c r="J99" s="666"/>
      <c r="K99" s="666"/>
      <c r="L99" s="666"/>
      <c r="M99" s="667"/>
      <c r="N99" s="1768"/>
      <c r="O99" s="1768"/>
      <c r="P99" s="1766"/>
      <c r="Q99" s="1763"/>
      <c r="R99" s="1742"/>
      <c r="S99" s="1742"/>
      <c r="T99" s="1742"/>
      <c r="U99" s="1742"/>
      <c r="V99" s="1742"/>
      <c r="W99" s="1742"/>
      <c r="X99" s="1742"/>
      <c r="Y99" s="1742"/>
      <c r="Z99" s="1742"/>
      <c r="AA99" s="1742"/>
      <c r="AB99" s="1742"/>
      <c r="AC99" s="1742"/>
    </row>
    <row r="100" spans="1:29">
      <c r="A100" s="607" t="s">
        <v>500</v>
      </c>
      <c r="B100" s="608" t="s">
        <v>712</v>
      </c>
      <c r="C100" s="547"/>
      <c r="D100" s="547"/>
      <c r="E100" s="547"/>
      <c r="F100" s="547"/>
      <c r="G100" s="547"/>
      <c r="H100" s="547"/>
      <c r="I100" s="547"/>
      <c r="J100" s="547"/>
      <c r="K100" s="609"/>
      <c r="L100" s="610"/>
      <c r="M100" s="611"/>
      <c r="N100" s="1767"/>
      <c r="O100" s="1767"/>
      <c r="P100" s="1766"/>
      <c r="Q100" s="1763"/>
      <c r="R100" s="1742"/>
      <c r="S100" s="1742"/>
      <c r="T100" s="1742"/>
      <c r="U100" s="1742"/>
      <c r="V100" s="1742"/>
      <c r="W100" s="1742"/>
      <c r="X100" s="1742"/>
      <c r="Y100" s="1742"/>
      <c r="Z100" s="1742"/>
      <c r="AA100" s="1742"/>
      <c r="AB100" s="1742"/>
      <c r="AC100" s="1742"/>
    </row>
    <row r="101" spans="1:29" ht="15.75" thickBot="1">
      <c r="A101" s="482"/>
      <c r="B101" s="620"/>
      <c r="C101" s="621">
        <v>100</v>
      </c>
      <c r="D101" s="621">
        <f t="shared" ref="D101:M101" si="18">C101-$K32</f>
        <v>100</v>
      </c>
      <c r="E101" s="621">
        <f t="shared" si="18"/>
        <v>100</v>
      </c>
      <c r="F101" s="621">
        <f t="shared" si="18"/>
        <v>100</v>
      </c>
      <c r="G101" s="621">
        <f t="shared" si="18"/>
        <v>100</v>
      </c>
      <c r="H101" s="621">
        <f t="shared" si="18"/>
        <v>100</v>
      </c>
      <c r="I101" s="621">
        <f t="shared" si="18"/>
        <v>100</v>
      </c>
      <c r="J101" s="621">
        <f t="shared" si="18"/>
        <v>100</v>
      </c>
      <c r="K101" s="621">
        <f t="shared" si="18"/>
        <v>100</v>
      </c>
      <c r="L101" s="621">
        <f t="shared" si="18"/>
        <v>100</v>
      </c>
      <c r="M101" s="622">
        <f t="shared" si="18"/>
        <v>100</v>
      </c>
      <c r="N101" s="1768"/>
      <c r="O101" s="1768"/>
      <c r="P101" s="1766"/>
      <c r="Q101" s="1763"/>
      <c r="R101" s="1742"/>
      <c r="S101" s="1742"/>
      <c r="T101" s="1742"/>
      <c r="U101" s="1742"/>
      <c r="V101" s="1742"/>
      <c r="W101" s="1742"/>
      <c r="X101" s="1742"/>
      <c r="Y101" s="1742"/>
      <c r="Z101" s="1742"/>
      <c r="AA101" s="1742"/>
      <c r="AB101" s="1742"/>
      <c r="AC101" s="1742"/>
    </row>
    <row r="102" spans="1:29" ht="15.75" thickTop="1">
      <c r="A102" s="482"/>
      <c r="B102" s="615" t="s">
        <v>688</v>
      </c>
      <c r="C102" s="649" t="str">
        <f>C103&amp;"(含)"&amp;"-"&amp;D103</f>
        <v>(含)-</v>
      </c>
      <c r="D102" s="649" t="str">
        <f t="shared" ref="D102:L102" si="19">D103&amp;"(含)"&amp;"-"&amp;E103</f>
        <v>(含)-</v>
      </c>
      <c r="E102" s="649" t="str">
        <f t="shared" si="19"/>
        <v>(含)-</v>
      </c>
      <c r="F102" s="649" t="str">
        <f t="shared" si="19"/>
        <v>(含)-</v>
      </c>
      <c r="G102" s="649" t="str">
        <f t="shared" si="19"/>
        <v>(含)-</v>
      </c>
      <c r="H102" s="649" t="str">
        <f t="shared" si="19"/>
        <v>(含)-</v>
      </c>
      <c r="I102" s="649" t="str">
        <f t="shared" si="19"/>
        <v>(含)-</v>
      </c>
      <c r="J102" s="649" t="str">
        <f t="shared" si="19"/>
        <v>(含)-</v>
      </c>
      <c r="K102" s="649" t="str">
        <f t="shared" si="19"/>
        <v>(含)-</v>
      </c>
      <c r="L102" s="649" t="str">
        <f t="shared" si="19"/>
        <v>(含)-</v>
      </c>
      <c r="M102" s="651" t="str">
        <f>M103&amp;"(含)"&amp;"-"&amp;P103</f>
        <v>(含)-</v>
      </c>
      <c r="N102" s="1766"/>
      <c r="O102" s="1766"/>
      <c r="P102" s="1766"/>
      <c r="Q102" s="1763"/>
      <c r="R102" s="1742"/>
      <c r="S102" s="1742"/>
      <c r="T102" s="1742"/>
      <c r="U102" s="1742"/>
      <c r="V102" s="1742"/>
      <c r="W102" s="1742"/>
      <c r="X102" s="1742"/>
      <c r="Y102" s="1742"/>
      <c r="Z102" s="1742"/>
      <c r="AA102" s="1742"/>
      <c r="AB102" s="1742"/>
      <c r="AC102" s="1742"/>
    </row>
    <row r="103" spans="1:29" s="1134" customFormat="1">
      <c r="A103" s="552"/>
      <c r="B103" s="668"/>
      <c r="C103" s="79"/>
      <c r="D103" s="79"/>
      <c r="E103" s="79"/>
      <c r="F103" s="79"/>
      <c r="G103" s="79"/>
      <c r="H103" s="79"/>
      <c r="I103" s="79"/>
      <c r="J103" s="669"/>
      <c r="K103" s="669"/>
      <c r="L103" s="670"/>
      <c r="M103" s="671"/>
      <c r="N103" s="1769"/>
      <c r="O103" s="1769"/>
      <c r="P103" s="1769"/>
      <c r="Q103" s="1770"/>
      <c r="R103" s="1771"/>
      <c r="S103" s="1771"/>
      <c r="T103" s="1771"/>
      <c r="U103" s="1771"/>
      <c r="V103" s="1771"/>
      <c r="W103" s="1771"/>
      <c r="X103" s="1771"/>
      <c r="Y103" s="1771"/>
      <c r="Z103" s="1771"/>
      <c r="AA103" s="1771"/>
      <c r="AB103" s="1771"/>
      <c r="AC103" s="1771"/>
    </row>
    <row r="104" spans="1:29" s="1134" customFormat="1" ht="15.75" thickBot="1">
      <c r="A104" s="629"/>
      <c r="B104" s="620"/>
      <c r="C104" s="634"/>
      <c r="D104" s="613"/>
      <c r="E104" s="613"/>
      <c r="F104" s="613"/>
      <c r="G104" s="613"/>
      <c r="H104" s="613"/>
      <c r="I104" s="613"/>
      <c r="J104" s="613"/>
      <c r="K104" s="613"/>
      <c r="L104" s="613"/>
      <c r="M104" s="614"/>
      <c r="N104" s="1768"/>
      <c r="O104" s="1768"/>
      <c r="P104" s="1769"/>
      <c r="Q104" s="1770"/>
      <c r="R104" s="1771"/>
      <c r="S104" s="1771"/>
      <c r="T104" s="1771"/>
      <c r="U104" s="1771"/>
      <c r="V104" s="1771"/>
      <c r="W104" s="1771"/>
      <c r="X104" s="1771"/>
      <c r="Y104" s="1771"/>
      <c r="Z104" s="1771"/>
      <c r="AA104" s="1771"/>
      <c r="AB104" s="1771"/>
      <c r="AC104" s="1771"/>
    </row>
    <row r="105" spans="1:29" ht="15" thickTop="1">
      <c r="A105" s="543"/>
      <c r="B105" s="615" t="s">
        <v>689</v>
      </c>
      <c r="C105" s="630"/>
      <c r="D105" s="630"/>
      <c r="E105" s="658"/>
      <c r="F105" s="658"/>
      <c r="G105" s="658"/>
      <c r="H105" s="658"/>
      <c r="I105" s="658"/>
      <c r="J105" s="658"/>
      <c r="K105" s="659"/>
      <c r="L105" s="660"/>
      <c r="M105" s="661"/>
      <c r="N105" s="1767"/>
      <c r="O105" s="1767"/>
      <c r="P105" s="1766"/>
      <c r="Q105" s="1763"/>
      <c r="R105" s="1742"/>
      <c r="S105" s="1742"/>
      <c r="T105" s="1742"/>
      <c r="U105" s="1742"/>
      <c r="V105" s="1742"/>
      <c r="W105" s="1742"/>
      <c r="X105" s="1742"/>
      <c r="Y105" s="1742"/>
      <c r="Z105" s="1742"/>
      <c r="AA105" s="1742"/>
      <c r="AB105" s="1742"/>
      <c r="AC105" s="1742"/>
    </row>
    <row r="106" spans="1:29" ht="15.75" thickBot="1">
      <c r="A106" s="482"/>
      <c r="B106" s="620"/>
      <c r="C106" s="621">
        <v>100</v>
      </c>
      <c r="D106" s="621">
        <f t="shared" ref="D106:M106" si="20">C106-$K34</f>
        <v>100</v>
      </c>
      <c r="E106" s="621">
        <f t="shared" si="20"/>
        <v>100</v>
      </c>
      <c r="F106" s="621">
        <f t="shared" si="20"/>
        <v>100</v>
      </c>
      <c r="G106" s="621">
        <f t="shared" si="20"/>
        <v>100</v>
      </c>
      <c r="H106" s="621">
        <f t="shared" si="20"/>
        <v>100</v>
      </c>
      <c r="I106" s="621">
        <f t="shared" si="20"/>
        <v>100</v>
      </c>
      <c r="J106" s="621">
        <f t="shared" si="20"/>
        <v>100</v>
      </c>
      <c r="K106" s="621">
        <f t="shared" si="20"/>
        <v>100</v>
      </c>
      <c r="L106" s="621">
        <f t="shared" si="20"/>
        <v>100</v>
      </c>
      <c r="M106" s="622">
        <f t="shared" si="20"/>
        <v>100</v>
      </c>
      <c r="N106" s="1768"/>
      <c r="O106" s="1768"/>
      <c r="P106" s="1766"/>
      <c r="Q106" s="1763"/>
      <c r="R106" s="1742"/>
      <c r="S106" s="1742"/>
      <c r="T106" s="1742"/>
      <c r="U106" s="1742"/>
      <c r="V106" s="1742"/>
      <c r="W106" s="1742"/>
      <c r="X106" s="1742"/>
      <c r="Y106" s="1742"/>
      <c r="Z106" s="1742"/>
      <c r="AA106" s="1742"/>
      <c r="AB106" s="1742"/>
      <c r="AC106" s="1742"/>
    </row>
    <row r="107" spans="1:29" ht="15" thickTop="1">
      <c r="A107" s="543"/>
      <c r="B107" s="615" t="s">
        <v>691</v>
      </c>
      <c r="C107" s="630"/>
      <c r="D107" s="630"/>
      <c r="E107" s="630"/>
      <c r="F107" s="658"/>
      <c r="G107" s="658"/>
      <c r="H107" s="658"/>
      <c r="I107" s="658"/>
      <c r="J107" s="658"/>
      <c r="K107" s="659"/>
      <c r="L107" s="660"/>
      <c r="M107" s="661"/>
      <c r="N107" s="1767"/>
      <c r="O107" s="1767"/>
      <c r="P107" s="1766"/>
      <c r="Q107" s="1763"/>
      <c r="R107" s="1742"/>
      <c r="S107" s="1742"/>
      <c r="T107" s="1742"/>
      <c r="U107" s="1742"/>
      <c r="V107" s="1742"/>
      <c r="W107" s="1742"/>
      <c r="X107" s="1742"/>
      <c r="Y107" s="1742"/>
      <c r="Z107" s="1742"/>
      <c r="AA107" s="1742"/>
      <c r="AB107" s="1742"/>
      <c r="AC107" s="1742"/>
    </row>
    <row r="108" spans="1:29" ht="15.75" thickBot="1">
      <c r="A108" s="482"/>
      <c r="B108" s="620"/>
      <c r="C108" s="621">
        <v>100</v>
      </c>
      <c r="D108" s="621">
        <f t="shared" ref="D108:M108" si="21">C108-$K35</f>
        <v>100</v>
      </c>
      <c r="E108" s="621">
        <f t="shared" si="21"/>
        <v>100</v>
      </c>
      <c r="F108" s="621">
        <f t="shared" si="21"/>
        <v>100</v>
      </c>
      <c r="G108" s="621">
        <f t="shared" si="21"/>
        <v>100</v>
      </c>
      <c r="H108" s="621">
        <f t="shared" si="21"/>
        <v>100</v>
      </c>
      <c r="I108" s="621">
        <f t="shared" si="21"/>
        <v>100</v>
      </c>
      <c r="J108" s="621">
        <f t="shared" si="21"/>
        <v>100</v>
      </c>
      <c r="K108" s="621">
        <f t="shared" si="21"/>
        <v>100</v>
      </c>
      <c r="L108" s="621">
        <f t="shared" si="21"/>
        <v>100</v>
      </c>
      <c r="M108" s="622">
        <f t="shared" si="21"/>
        <v>100</v>
      </c>
      <c r="N108" s="1768"/>
      <c r="O108" s="1768"/>
      <c r="P108" s="1766"/>
      <c r="Q108" s="1763"/>
      <c r="R108" s="1742"/>
      <c r="S108" s="1742"/>
      <c r="T108" s="1742"/>
      <c r="U108" s="1742"/>
      <c r="V108" s="1742"/>
      <c r="W108" s="1742"/>
      <c r="X108" s="1742"/>
      <c r="Y108" s="1742"/>
      <c r="Z108" s="1742"/>
      <c r="AA108" s="1742"/>
      <c r="AB108" s="1742"/>
      <c r="AC108" s="1742"/>
    </row>
    <row r="109" spans="1:29" ht="15" thickTop="1">
      <c r="A109" s="543"/>
      <c r="B109" s="615" t="s">
        <v>692</v>
      </c>
      <c r="C109" s="649" t="str">
        <f>C110&amp;"(含)"&amp;"-"&amp;D110</f>
        <v>0.5(含)-0.6</v>
      </c>
      <c r="D109" s="649" t="str">
        <f>D110&amp;"(含)"&amp;"-"&amp;E110</f>
        <v>0.6(含)-0.7</v>
      </c>
      <c r="E109" s="649" t="str">
        <f>E110&amp;"(含)"&amp;"-"&amp;F110</f>
        <v>0.7(含)-0.8</v>
      </c>
      <c r="F109" s="649" t="str">
        <f>F110&amp;"(含)"&amp;"-"&amp;G110</f>
        <v>0.8(含)-0.9</v>
      </c>
      <c r="G109" s="649" t="str">
        <f>G110&amp;"(含)"&amp;"-"&amp;ROUND(H110,0)</f>
        <v>0.9(含)-1</v>
      </c>
      <c r="H109" s="649"/>
      <c r="I109" s="658"/>
      <c r="J109" s="658"/>
      <c r="K109" s="659"/>
      <c r="L109" s="660"/>
      <c r="M109" s="661"/>
      <c r="N109" s="1767"/>
      <c r="O109" s="1767"/>
      <c r="P109" s="1766"/>
      <c r="Q109" s="1763"/>
      <c r="R109" s="1742"/>
      <c r="S109" s="1742"/>
      <c r="T109" s="1742"/>
      <c r="U109" s="1742"/>
      <c r="V109" s="1742"/>
      <c r="W109" s="1742"/>
      <c r="X109" s="1742"/>
      <c r="Y109" s="1742"/>
      <c r="Z109" s="1742"/>
      <c r="AA109" s="1742"/>
      <c r="AB109" s="1742"/>
      <c r="AC109" s="1742"/>
    </row>
    <row r="110" spans="1:29">
      <c r="A110" s="543"/>
      <c r="B110" s="623"/>
      <c r="C110" s="818">
        <v>0.5</v>
      </c>
      <c r="D110" s="818">
        <v>0.6</v>
      </c>
      <c r="E110" s="818">
        <v>0.7</v>
      </c>
      <c r="F110" s="818">
        <v>0.8</v>
      </c>
      <c r="G110" s="818">
        <v>0.9</v>
      </c>
      <c r="H110" s="818">
        <v>1.0001</v>
      </c>
      <c r="I110" s="828"/>
      <c r="J110" s="828"/>
      <c r="K110" s="829"/>
      <c r="L110" s="830"/>
      <c r="M110" s="831"/>
      <c r="N110" s="1767"/>
      <c r="O110" s="1767"/>
      <c r="P110" s="1766"/>
      <c r="Q110" s="1763"/>
      <c r="R110" s="1742"/>
      <c r="S110" s="1742"/>
      <c r="T110" s="1742"/>
      <c r="U110" s="1742"/>
      <c r="V110" s="1742"/>
      <c r="W110" s="1742"/>
      <c r="X110" s="1742"/>
      <c r="Y110" s="1742"/>
      <c r="Z110" s="1742"/>
      <c r="AA110" s="1742"/>
      <c r="AB110" s="1742"/>
      <c r="AC110" s="1742"/>
    </row>
    <row r="111" spans="1:29" ht="15.75" thickBot="1">
      <c r="A111" s="482"/>
      <c r="B111" s="620"/>
      <c r="C111" s="652">
        <v>100</v>
      </c>
      <c r="D111" s="621">
        <f>C111+$K36</f>
        <v>100</v>
      </c>
      <c r="E111" s="621">
        <f t="shared" ref="E111:M111" si="22">D111+$K36</f>
        <v>100</v>
      </c>
      <c r="F111" s="621">
        <f t="shared" si="22"/>
        <v>100</v>
      </c>
      <c r="G111" s="621">
        <f t="shared" si="22"/>
        <v>100</v>
      </c>
      <c r="H111" s="621">
        <f t="shared" si="22"/>
        <v>100</v>
      </c>
      <c r="I111" s="621">
        <f t="shared" si="22"/>
        <v>100</v>
      </c>
      <c r="J111" s="621">
        <f t="shared" si="22"/>
        <v>100</v>
      </c>
      <c r="K111" s="621">
        <f t="shared" si="22"/>
        <v>100</v>
      </c>
      <c r="L111" s="621">
        <f t="shared" si="22"/>
        <v>100</v>
      </c>
      <c r="M111" s="621">
        <f t="shared" si="22"/>
        <v>100</v>
      </c>
      <c r="N111" s="1768"/>
      <c r="O111" s="1768"/>
      <c r="P111" s="1766"/>
      <c r="Q111" s="1763"/>
      <c r="R111" s="1742"/>
      <c r="S111" s="1742"/>
      <c r="T111" s="1742"/>
      <c r="U111" s="1742"/>
      <c r="V111" s="1742"/>
      <c r="W111" s="1742"/>
      <c r="X111" s="1742"/>
      <c r="Y111" s="1742"/>
      <c r="Z111" s="1742"/>
      <c r="AA111" s="1742"/>
      <c r="AB111" s="1742"/>
      <c r="AC111" s="1742"/>
    </row>
    <row r="112" spans="1:29" s="1134" customFormat="1" ht="15" thickTop="1">
      <c r="A112" s="552"/>
      <c r="B112" s="1555" t="s">
        <v>1839</v>
      </c>
      <c r="C112" s="630"/>
      <c r="D112" s="630"/>
      <c r="E112" s="630"/>
      <c r="F112" s="630"/>
      <c r="G112" s="630"/>
      <c r="H112" s="658"/>
      <c r="I112" s="658"/>
      <c r="J112" s="658"/>
      <c r="K112" s="659"/>
      <c r="L112" s="660"/>
      <c r="M112" s="661"/>
      <c r="N112" s="1769"/>
      <c r="O112" s="1769"/>
      <c r="P112" s="1769"/>
      <c r="Q112" s="1770"/>
      <c r="R112" s="1771"/>
      <c r="S112" s="1771"/>
      <c r="T112" s="1771"/>
      <c r="U112" s="1771"/>
      <c r="V112" s="1771"/>
      <c r="W112" s="1771"/>
      <c r="X112" s="1771"/>
      <c r="Y112" s="1771"/>
      <c r="Z112" s="1771"/>
      <c r="AA112" s="1771"/>
      <c r="AB112" s="1771"/>
      <c r="AC112" s="1771"/>
    </row>
    <row r="113" spans="1:29" s="1134" customFormat="1" ht="15.75" thickBot="1">
      <c r="A113" s="629"/>
      <c r="B113" s="620"/>
      <c r="C113" s="621">
        <v>100</v>
      </c>
      <c r="D113" s="621">
        <f>C113-$K37</f>
        <v>100</v>
      </c>
      <c r="E113" s="621">
        <f t="shared" ref="E113:M113" si="23">D113-$K37</f>
        <v>100</v>
      </c>
      <c r="F113" s="621">
        <f t="shared" si="23"/>
        <v>100</v>
      </c>
      <c r="G113" s="621">
        <f t="shared" si="23"/>
        <v>100</v>
      </c>
      <c r="H113" s="621">
        <f t="shared" si="23"/>
        <v>100</v>
      </c>
      <c r="I113" s="621">
        <f t="shared" si="23"/>
        <v>100</v>
      </c>
      <c r="J113" s="621">
        <f t="shared" si="23"/>
        <v>100</v>
      </c>
      <c r="K113" s="621">
        <f t="shared" si="23"/>
        <v>100</v>
      </c>
      <c r="L113" s="621">
        <f t="shared" si="23"/>
        <v>100</v>
      </c>
      <c r="M113" s="621">
        <f t="shared" si="23"/>
        <v>100</v>
      </c>
      <c r="N113" s="1769"/>
      <c r="O113" s="1769"/>
      <c r="P113" s="1769"/>
      <c r="Q113" s="1770"/>
      <c r="R113" s="1771"/>
      <c r="S113" s="1771"/>
      <c r="T113" s="1771"/>
      <c r="U113" s="1771"/>
      <c r="V113" s="1771"/>
      <c r="W113" s="1771"/>
      <c r="X113" s="1771"/>
      <c r="Y113" s="1771"/>
      <c r="Z113" s="1771"/>
      <c r="AA113" s="1771"/>
      <c r="AB113" s="1771"/>
      <c r="AC113" s="1771"/>
    </row>
    <row r="114" spans="1:29" ht="15" thickTop="1">
      <c r="A114" s="543"/>
      <c r="B114" s="615" t="s">
        <v>713</v>
      </c>
      <c r="C114" s="630"/>
      <c r="D114" s="630"/>
      <c r="E114" s="658"/>
      <c r="F114" s="658"/>
      <c r="G114" s="658"/>
      <c r="H114" s="658"/>
      <c r="I114" s="658"/>
      <c r="J114" s="658"/>
      <c r="K114" s="659"/>
      <c r="L114" s="660"/>
      <c r="M114" s="661"/>
      <c r="N114" s="1767"/>
      <c r="O114" s="1767"/>
      <c r="P114" s="1766"/>
      <c r="Q114" s="1763"/>
      <c r="R114" s="1742"/>
      <c r="S114" s="1742"/>
      <c r="T114" s="1742"/>
      <c r="U114" s="1742"/>
      <c r="V114" s="1742"/>
      <c r="W114" s="1742"/>
      <c r="X114" s="1742"/>
      <c r="Y114" s="1742"/>
      <c r="Z114" s="1742"/>
      <c r="AA114" s="1742"/>
      <c r="AB114" s="1742"/>
      <c r="AC114" s="1742"/>
    </row>
    <row r="115" spans="1:29" ht="15.75" thickBot="1">
      <c r="A115" s="482"/>
      <c r="B115" s="620"/>
      <c r="C115" s="621">
        <v>100</v>
      </c>
      <c r="D115" s="621">
        <f t="shared" ref="D115:M115" si="24">C115-$K38</f>
        <v>100</v>
      </c>
      <c r="E115" s="621">
        <f t="shared" si="24"/>
        <v>100</v>
      </c>
      <c r="F115" s="621">
        <f t="shared" si="24"/>
        <v>100</v>
      </c>
      <c r="G115" s="621">
        <f t="shared" si="24"/>
        <v>100</v>
      </c>
      <c r="H115" s="621">
        <f t="shared" si="24"/>
        <v>100</v>
      </c>
      <c r="I115" s="621">
        <f t="shared" si="24"/>
        <v>100</v>
      </c>
      <c r="J115" s="621">
        <f t="shared" si="24"/>
        <v>100</v>
      </c>
      <c r="K115" s="621">
        <f t="shared" si="24"/>
        <v>100</v>
      </c>
      <c r="L115" s="621">
        <f t="shared" si="24"/>
        <v>100</v>
      </c>
      <c r="M115" s="622">
        <f t="shared" si="24"/>
        <v>100</v>
      </c>
      <c r="N115" s="1768"/>
      <c r="O115" s="1768"/>
      <c r="P115" s="1766"/>
      <c r="Q115" s="1763"/>
      <c r="R115" s="1742"/>
      <c r="S115" s="1742"/>
      <c r="T115" s="1742"/>
      <c r="U115" s="1742"/>
      <c r="V115" s="1742"/>
      <c r="W115" s="1742"/>
      <c r="X115" s="1742"/>
      <c r="Y115" s="1742"/>
      <c r="Z115" s="1742"/>
      <c r="AA115" s="1742"/>
      <c r="AB115" s="1742"/>
      <c r="AC115" s="1742"/>
    </row>
    <row r="116" spans="1:29" ht="15" thickTop="1">
      <c r="A116" s="543"/>
      <c r="B116" s="615" t="s">
        <v>714</v>
      </c>
      <c r="C116" s="630"/>
      <c r="D116" s="630"/>
      <c r="E116" s="630"/>
      <c r="F116" s="630"/>
      <c r="G116" s="630"/>
      <c r="H116" s="658"/>
      <c r="I116" s="658"/>
      <c r="J116" s="658"/>
      <c r="K116" s="659"/>
      <c r="L116" s="660"/>
      <c r="M116" s="661"/>
      <c r="N116" s="1767"/>
      <c r="O116" s="1767"/>
      <c r="P116" s="1766"/>
      <c r="Q116" s="1763"/>
      <c r="R116" s="1742"/>
      <c r="S116" s="1742"/>
      <c r="T116" s="1742"/>
      <c r="U116" s="1742"/>
      <c r="V116" s="1742"/>
      <c r="W116" s="1742"/>
      <c r="X116" s="1742"/>
      <c r="Y116" s="1742"/>
      <c r="Z116" s="1742"/>
      <c r="AA116" s="1742"/>
      <c r="AB116" s="1742"/>
      <c r="AC116" s="1742"/>
    </row>
    <row r="117" spans="1:29" ht="15.75" thickBot="1">
      <c r="A117" s="482"/>
      <c r="B117" s="620"/>
      <c r="C117" s="621">
        <v>100</v>
      </c>
      <c r="D117" s="621">
        <f>C117-$K39</f>
        <v>100</v>
      </c>
      <c r="E117" s="621">
        <f>D117-$K39</f>
        <v>100</v>
      </c>
      <c r="F117" s="621">
        <f>E117-$K39</f>
        <v>100</v>
      </c>
      <c r="G117" s="621">
        <f>F117-$K39</f>
        <v>100</v>
      </c>
      <c r="H117" s="621"/>
      <c r="I117" s="621"/>
      <c r="J117" s="621"/>
      <c r="K117" s="621"/>
      <c r="L117" s="621"/>
      <c r="M117" s="622"/>
      <c r="N117" s="1768"/>
      <c r="O117" s="1768"/>
      <c r="P117" s="1766"/>
      <c r="Q117" s="1763"/>
      <c r="R117" s="1742"/>
      <c r="S117" s="1742"/>
      <c r="T117" s="1742"/>
      <c r="U117" s="1742"/>
      <c r="V117" s="1742"/>
      <c r="W117" s="1742"/>
      <c r="X117" s="1742"/>
      <c r="Y117" s="1742"/>
      <c r="Z117" s="1742"/>
      <c r="AA117" s="1742"/>
      <c r="AB117" s="1742"/>
      <c r="AC117" s="1742"/>
    </row>
    <row r="118" spans="1:29" ht="15" thickTop="1">
      <c r="A118" s="543"/>
      <c r="B118" s="615" t="s">
        <v>715</v>
      </c>
      <c r="C118" s="832"/>
      <c r="D118" s="832"/>
      <c r="E118" s="832"/>
      <c r="F118" s="832"/>
      <c r="G118" s="832"/>
      <c r="H118" s="631"/>
      <c r="I118" s="631"/>
      <c r="J118" s="631"/>
      <c r="K118" s="631"/>
      <c r="L118" s="632"/>
      <c r="M118" s="633"/>
      <c r="N118" s="1767"/>
      <c r="O118" s="1767"/>
      <c r="P118" s="1766"/>
      <c r="Q118" s="1763"/>
      <c r="R118" s="1742"/>
      <c r="S118" s="1742"/>
      <c r="T118" s="1742"/>
      <c r="U118" s="1742"/>
      <c r="V118" s="1742"/>
      <c r="W118" s="1742"/>
      <c r="X118" s="1742"/>
      <c r="Y118" s="1742"/>
      <c r="Z118" s="1742"/>
      <c r="AA118" s="1742"/>
      <c r="AB118" s="1742"/>
      <c r="AC118" s="1742"/>
    </row>
    <row r="119" spans="1:29" ht="15.75" thickBot="1">
      <c r="A119" s="482"/>
      <c r="B119" s="620"/>
      <c r="C119" s="634"/>
      <c r="D119" s="613"/>
      <c r="E119" s="613"/>
      <c r="F119" s="613"/>
      <c r="G119" s="613"/>
      <c r="H119" s="613"/>
      <c r="I119" s="613"/>
      <c r="J119" s="613"/>
      <c r="K119" s="613"/>
      <c r="L119" s="613"/>
      <c r="M119" s="614"/>
      <c r="N119" s="1768"/>
      <c r="O119" s="1768"/>
      <c r="P119" s="1766"/>
      <c r="Q119" s="1763"/>
      <c r="R119" s="1742"/>
      <c r="S119" s="1742"/>
      <c r="T119" s="1742"/>
      <c r="U119" s="1742"/>
      <c r="V119" s="1742"/>
      <c r="W119" s="1742"/>
      <c r="X119" s="1742"/>
      <c r="Y119" s="1742"/>
      <c r="Z119" s="1742"/>
      <c r="AA119" s="1742"/>
      <c r="AB119" s="1742"/>
      <c r="AC119" s="1742"/>
    </row>
    <row r="120" spans="1:29" s="1134" customFormat="1" ht="15" thickTop="1">
      <c r="A120" s="552"/>
      <c r="B120" s="615" t="s">
        <v>716</v>
      </c>
      <c r="C120" s="658"/>
      <c r="D120" s="658"/>
      <c r="E120" s="658"/>
      <c r="F120" s="658"/>
      <c r="G120" s="631"/>
      <c r="H120" s="631"/>
      <c r="I120" s="631"/>
      <c r="J120" s="631"/>
      <c r="K120" s="631"/>
      <c r="L120" s="632"/>
      <c r="M120" s="633"/>
      <c r="N120" s="1769"/>
      <c r="O120" s="1769"/>
      <c r="P120" s="1769"/>
      <c r="Q120" s="1770"/>
      <c r="R120" s="1771"/>
      <c r="S120" s="1771"/>
      <c r="T120" s="1771"/>
      <c r="U120" s="1771"/>
      <c r="V120" s="1771"/>
      <c r="W120" s="1771"/>
      <c r="X120" s="1771"/>
      <c r="Y120" s="1771"/>
      <c r="Z120" s="1771"/>
      <c r="AA120" s="1771"/>
      <c r="AB120" s="1771"/>
      <c r="AC120" s="1771"/>
    </row>
    <row r="121" spans="1:29" s="1134" customFormat="1" ht="15.75" thickBot="1">
      <c r="A121" s="629"/>
      <c r="B121" s="612"/>
      <c r="C121" s="652">
        <v>100</v>
      </c>
      <c r="D121" s="621">
        <f>C121-$K41</f>
        <v>100</v>
      </c>
      <c r="E121" s="621">
        <f t="shared" ref="E121:M121" si="25">D121-$K41</f>
        <v>100</v>
      </c>
      <c r="F121" s="621">
        <f t="shared" si="25"/>
        <v>100</v>
      </c>
      <c r="G121" s="621">
        <f t="shared" si="25"/>
        <v>100</v>
      </c>
      <c r="H121" s="621">
        <f t="shared" si="25"/>
        <v>100</v>
      </c>
      <c r="I121" s="621">
        <f t="shared" si="25"/>
        <v>100</v>
      </c>
      <c r="J121" s="621">
        <f t="shared" si="25"/>
        <v>100</v>
      </c>
      <c r="K121" s="621">
        <f t="shared" si="25"/>
        <v>100</v>
      </c>
      <c r="L121" s="621">
        <f t="shared" si="25"/>
        <v>100</v>
      </c>
      <c r="M121" s="622">
        <f t="shared" si="25"/>
        <v>100</v>
      </c>
      <c r="N121" s="1769"/>
      <c r="O121" s="1769"/>
      <c r="P121" s="1769"/>
      <c r="Q121" s="1770"/>
      <c r="R121" s="1771"/>
      <c r="S121" s="1771"/>
      <c r="T121" s="1771"/>
      <c r="U121" s="1771"/>
      <c r="V121" s="1771"/>
      <c r="W121" s="1771"/>
      <c r="X121" s="1771"/>
      <c r="Y121" s="1771"/>
      <c r="Z121" s="1771"/>
      <c r="AA121" s="1771"/>
      <c r="AB121" s="1771"/>
      <c r="AC121" s="1771"/>
    </row>
    <row r="122" spans="1:29" ht="15" thickTop="1">
      <c r="A122" s="543"/>
      <c r="B122" s="615" t="s">
        <v>695</v>
      </c>
      <c r="C122" s="630"/>
      <c r="D122" s="630"/>
      <c r="E122" s="630"/>
      <c r="F122" s="658"/>
      <c r="G122" s="658"/>
      <c r="H122" s="658"/>
      <c r="I122" s="658"/>
      <c r="J122" s="658"/>
      <c r="K122" s="659"/>
      <c r="L122" s="660"/>
      <c r="M122" s="661"/>
      <c r="N122" s="1767"/>
      <c r="O122" s="1767"/>
      <c r="P122" s="1766"/>
      <c r="Q122" s="1763"/>
      <c r="R122" s="1742"/>
      <c r="S122" s="1742"/>
      <c r="T122" s="1742"/>
      <c r="U122" s="1742"/>
      <c r="V122" s="1742"/>
      <c r="W122" s="1742"/>
      <c r="X122" s="1742"/>
      <c r="Y122" s="1742"/>
      <c r="Z122" s="1742"/>
      <c r="AA122" s="1742"/>
      <c r="AB122" s="1742"/>
      <c r="AC122" s="1742"/>
    </row>
    <row r="123" spans="1:29" ht="15.75" thickBot="1">
      <c r="A123" s="482"/>
      <c r="B123" s="620"/>
      <c r="C123" s="621">
        <v>100</v>
      </c>
      <c r="D123" s="621">
        <f t="shared" ref="D123:M123" si="26">C123-$K42</f>
        <v>100</v>
      </c>
      <c r="E123" s="621">
        <f t="shared" si="26"/>
        <v>100</v>
      </c>
      <c r="F123" s="621">
        <f t="shared" si="26"/>
        <v>100</v>
      </c>
      <c r="G123" s="621">
        <f t="shared" si="26"/>
        <v>100</v>
      </c>
      <c r="H123" s="621">
        <f t="shared" si="26"/>
        <v>100</v>
      </c>
      <c r="I123" s="621">
        <f t="shared" si="26"/>
        <v>100</v>
      </c>
      <c r="J123" s="621">
        <f t="shared" si="26"/>
        <v>100</v>
      </c>
      <c r="K123" s="621">
        <f t="shared" si="26"/>
        <v>100</v>
      </c>
      <c r="L123" s="621">
        <f t="shared" si="26"/>
        <v>100</v>
      </c>
      <c r="M123" s="622">
        <f t="shared" si="26"/>
        <v>100</v>
      </c>
      <c r="N123" s="1768"/>
      <c r="O123" s="1768"/>
      <c r="P123" s="1766"/>
      <c r="Q123" s="1763"/>
      <c r="R123" s="1742"/>
      <c r="S123" s="1742"/>
      <c r="T123" s="1742"/>
      <c r="U123" s="1742"/>
      <c r="V123" s="1742"/>
      <c r="W123" s="1742"/>
      <c r="X123" s="1742"/>
      <c r="Y123" s="1742"/>
      <c r="Z123" s="1742"/>
      <c r="AA123" s="1742"/>
      <c r="AB123" s="1742"/>
      <c r="AC123" s="1742"/>
    </row>
    <row r="124" spans="1:29" ht="27.75" thickTop="1">
      <c r="A124" s="543"/>
      <c r="B124" s="615" t="s">
        <v>696</v>
      </c>
      <c r="C124" s="649" t="s">
        <v>527</v>
      </c>
      <c r="D124" s="649" t="s">
        <v>528</v>
      </c>
      <c r="E124" s="649" t="s">
        <v>529</v>
      </c>
      <c r="F124" s="649" t="s">
        <v>530</v>
      </c>
      <c r="G124" s="649" t="s">
        <v>531</v>
      </c>
      <c r="H124" s="616"/>
      <c r="I124" s="616"/>
      <c r="J124" s="616"/>
      <c r="K124" s="617"/>
      <c r="L124" s="618"/>
      <c r="M124" s="619"/>
      <c r="N124" s="1767"/>
      <c r="O124" s="1767"/>
      <c r="P124" s="1769"/>
      <c r="Q124" s="1763"/>
      <c r="R124" s="1742"/>
      <c r="S124" s="1742"/>
      <c r="T124" s="1742"/>
      <c r="U124" s="1742"/>
      <c r="V124" s="1742"/>
      <c r="W124" s="1742"/>
      <c r="X124" s="1742"/>
      <c r="Y124" s="1742"/>
      <c r="Z124" s="1742"/>
      <c r="AA124" s="1742"/>
      <c r="AB124" s="1742"/>
      <c r="AC124" s="1742"/>
    </row>
    <row r="125" spans="1:29" ht="15.75" thickBot="1">
      <c r="A125" s="482"/>
      <c r="B125" s="620"/>
      <c r="C125" s="621">
        <v>100</v>
      </c>
      <c r="D125" s="621">
        <f>C125-$K43</f>
        <v>100</v>
      </c>
      <c r="E125" s="621">
        <f>D125-$K43</f>
        <v>100</v>
      </c>
      <c r="F125" s="621">
        <f>E125-$K43</f>
        <v>100</v>
      </c>
      <c r="G125" s="621">
        <f>F125-$K43</f>
        <v>100</v>
      </c>
      <c r="H125" s="621"/>
      <c r="I125" s="621"/>
      <c r="J125" s="621"/>
      <c r="K125" s="621"/>
      <c r="L125" s="621"/>
      <c r="M125" s="622"/>
      <c r="N125" s="1768"/>
      <c r="O125" s="1768"/>
      <c r="P125" s="1766"/>
      <c r="Q125" s="1763"/>
      <c r="R125" s="1742"/>
      <c r="S125" s="1742"/>
      <c r="T125" s="1742"/>
      <c r="U125" s="1742"/>
      <c r="V125" s="1742"/>
      <c r="W125" s="1742"/>
      <c r="X125" s="1742"/>
      <c r="Y125" s="1742"/>
      <c r="Z125" s="1742"/>
      <c r="AA125" s="1742"/>
      <c r="AB125" s="1742"/>
      <c r="AC125" s="1742"/>
    </row>
    <row r="126" spans="1:29" s="1134" customFormat="1" ht="15" thickTop="1">
      <c r="A126" s="552"/>
      <c r="B126" s="615">
        <f>B44</f>
        <v>111</v>
      </c>
      <c r="C126" s="630"/>
      <c r="D126" s="630"/>
      <c r="E126" s="630"/>
      <c r="F126" s="630"/>
      <c r="G126" s="630"/>
      <c r="H126" s="631"/>
      <c r="I126" s="631"/>
      <c r="J126" s="631"/>
      <c r="K126" s="631"/>
      <c r="L126" s="632"/>
      <c r="M126" s="633"/>
      <c r="N126" s="1769"/>
      <c r="O126" s="1769"/>
      <c r="P126" s="1769"/>
      <c r="Q126" s="1770"/>
      <c r="R126" s="1771"/>
      <c r="S126" s="1771"/>
      <c r="T126" s="1771"/>
      <c r="U126" s="1771"/>
      <c r="V126" s="1771"/>
      <c r="W126" s="1771"/>
      <c r="X126" s="1771"/>
      <c r="Y126" s="1771"/>
      <c r="Z126" s="1771"/>
      <c r="AA126" s="1771"/>
      <c r="AB126" s="1771"/>
      <c r="AC126" s="1771"/>
    </row>
    <row r="127" spans="1:29" s="1134" customFormat="1" ht="15.75" thickBot="1">
      <c r="A127" s="629"/>
      <c r="B127" s="620"/>
      <c r="C127" s="634"/>
      <c r="D127" s="613"/>
      <c r="E127" s="613"/>
      <c r="F127" s="613"/>
      <c r="G127" s="634"/>
      <c r="H127" s="635"/>
      <c r="I127" s="635"/>
      <c r="J127" s="635"/>
      <c r="K127" s="635"/>
      <c r="L127" s="635"/>
      <c r="M127" s="636"/>
      <c r="N127" s="1769"/>
      <c r="O127" s="1769"/>
      <c r="P127" s="1769"/>
      <c r="Q127" s="1770"/>
      <c r="R127" s="1771"/>
      <c r="S127" s="1771"/>
      <c r="T127" s="1771"/>
      <c r="U127" s="1771"/>
      <c r="V127" s="1771"/>
      <c r="W127" s="1771"/>
      <c r="X127" s="1771"/>
      <c r="Y127" s="1771"/>
      <c r="Z127" s="1771"/>
      <c r="AA127" s="1771"/>
      <c r="AB127" s="1771"/>
      <c r="AC127" s="1771"/>
    </row>
    <row r="128" spans="1:29" ht="15" thickTop="1">
      <c r="A128" s="543"/>
      <c r="B128" s="615">
        <f>B45</f>
        <v>111</v>
      </c>
      <c r="C128" s="630"/>
      <c r="D128" s="630"/>
      <c r="E128" s="630"/>
      <c r="F128" s="630"/>
      <c r="G128" s="658"/>
      <c r="H128" s="658"/>
      <c r="I128" s="658"/>
      <c r="J128" s="658"/>
      <c r="K128" s="659"/>
      <c r="L128" s="660"/>
      <c r="M128" s="661"/>
      <c r="N128" s="1767"/>
      <c r="O128" s="1767"/>
      <c r="P128" s="1766"/>
      <c r="Q128" s="1763"/>
      <c r="R128" s="1742"/>
      <c r="S128" s="1742"/>
      <c r="T128" s="1742"/>
      <c r="U128" s="1742"/>
      <c r="V128" s="1742"/>
      <c r="W128" s="1742"/>
      <c r="X128" s="1742"/>
      <c r="Y128" s="1742"/>
      <c r="Z128" s="1742"/>
      <c r="AA128" s="1742"/>
      <c r="AB128" s="1742"/>
      <c r="AC128" s="1742"/>
    </row>
    <row r="129" spans="1:29" ht="15.75" thickBot="1">
      <c r="A129" s="482"/>
      <c r="B129" s="620"/>
      <c r="C129" s="634"/>
      <c r="D129" s="613"/>
      <c r="E129" s="613"/>
      <c r="F129" s="613"/>
      <c r="G129" s="613"/>
      <c r="H129" s="613"/>
      <c r="I129" s="613"/>
      <c r="J129" s="613"/>
      <c r="K129" s="613"/>
      <c r="L129" s="613"/>
      <c r="M129" s="614"/>
      <c r="N129" s="1768"/>
      <c r="O129" s="1768"/>
      <c r="P129" s="1766"/>
      <c r="Q129" s="1763"/>
      <c r="R129" s="1742"/>
      <c r="S129" s="1742"/>
      <c r="T129" s="1742"/>
      <c r="U129" s="1742"/>
      <c r="V129" s="1742"/>
      <c r="W129" s="1742"/>
      <c r="X129" s="1742"/>
      <c r="Y129" s="1742"/>
      <c r="Z129" s="1742"/>
      <c r="AA129" s="1742"/>
      <c r="AB129" s="1742"/>
      <c r="AC129" s="1742"/>
    </row>
    <row r="130" spans="1:29" ht="15" thickTop="1">
      <c r="A130" s="543"/>
      <c r="B130" s="623">
        <f>B46</f>
        <v>111</v>
      </c>
      <c r="C130" s="630"/>
      <c r="D130" s="630"/>
      <c r="E130" s="630"/>
      <c r="F130" s="630"/>
      <c r="G130" s="662"/>
      <c r="H130" s="662"/>
      <c r="I130" s="662"/>
      <c r="J130" s="662"/>
      <c r="K130" s="80"/>
      <c r="L130" s="605"/>
      <c r="M130" s="665"/>
      <c r="N130" s="1767"/>
      <c r="O130" s="1767"/>
      <c r="P130" s="1766"/>
      <c r="Q130" s="1763"/>
      <c r="R130" s="1742"/>
      <c r="S130" s="1742"/>
      <c r="T130" s="1742"/>
      <c r="U130" s="1742"/>
      <c r="V130" s="1742"/>
      <c r="W130" s="1742"/>
      <c r="X130" s="1742"/>
      <c r="Y130" s="1742"/>
      <c r="Z130" s="1742"/>
      <c r="AA130" s="1742"/>
      <c r="AB130" s="1742"/>
      <c r="AC130" s="1742"/>
    </row>
    <row r="131" spans="1:29" ht="15.75" thickBot="1">
      <c r="A131" s="493"/>
      <c r="B131" s="641"/>
      <c r="C131" s="642"/>
      <c r="D131" s="642"/>
      <c r="E131" s="642"/>
      <c r="F131" s="642"/>
      <c r="G131" s="666"/>
      <c r="H131" s="666"/>
      <c r="I131" s="666"/>
      <c r="J131" s="666"/>
      <c r="K131" s="666"/>
      <c r="L131" s="666"/>
      <c r="M131" s="667"/>
      <c r="N131" s="1768"/>
      <c r="O131" s="1768"/>
      <c r="P131" s="1766"/>
      <c r="Q131" s="1763"/>
      <c r="R131" s="1742"/>
      <c r="S131" s="1742"/>
      <c r="T131" s="1742"/>
      <c r="U131" s="1742"/>
      <c r="V131" s="1742"/>
      <c r="W131" s="1742"/>
      <c r="X131" s="1742"/>
      <c r="Y131" s="1742"/>
      <c r="Z131" s="1742"/>
      <c r="AA131" s="1742"/>
      <c r="AB131" s="1742"/>
      <c r="AC131" s="1742"/>
    </row>
    <row r="132" spans="1:29">
      <c r="A132" s="1779"/>
      <c r="B132" s="1779"/>
      <c r="C132" s="1779"/>
      <c r="D132" s="1779"/>
      <c r="E132" s="1779"/>
      <c r="F132" s="1779"/>
      <c r="G132" s="1779"/>
      <c r="H132" s="1779"/>
      <c r="I132" s="1779"/>
      <c r="J132" s="1779"/>
      <c r="K132" s="1780"/>
      <c r="L132" s="1781"/>
      <c r="M132" s="1779"/>
      <c r="N132" s="1779"/>
      <c r="O132" s="1779"/>
      <c r="P132" s="1779"/>
      <c r="Q132" s="1779"/>
      <c r="R132" s="1779"/>
      <c r="S132" s="1779"/>
      <c r="T132" s="1779"/>
      <c r="U132" s="1779"/>
      <c r="V132" s="1779"/>
      <c r="W132" s="1779"/>
      <c r="X132" s="1779"/>
      <c r="Y132" s="1779"/>
      <c r="Z132" s="1779"/>
      <c r="AA132" s="1779"/>
      <c r="AB132" s="1779"/>
      <c r="AC132" s="1779"/>
    </row>
    <row r="133" spans="1:29">
      <c r="A133" s="1779"/>
      <c r="B133" s="1779"/>
      <c r="C133" s="1779"/>
      <c r="D133" s="1779"/>
      <c r="E133" s="1779"/>
      <c r="F133" s="1779"/>
      <c r="G133" s="1779"/>
      <c r="H133" s="1779"/>
      <c r="I133" s="1779"/>
      <c r="J133" s="1779"/>
      <c r="K133" s="1780"/>
      <c r="L133" s="1781"/>
      <c r="M133" s="1779"/>
      <c r="N133" s="1779"/>
      <c r="O133" s="1779"/>
      <c r="P133" s="1779"/>
      <c r="Q133" s="1779"/>
      <c r="R133" s="1779"/>
      <c r="S133" s="1779"/>
      <c r="T133" s="1779"/>
      <c r="U133" s="1779"/>
      <c r="V133" s="1779"/>
      <c r="W133" s="1779"/>
      <c r="X133" s="1779"/>
      <c r="Y133" s="1779"/>
      <c r="Z133" s="1779"/>
      <c r="AA133" s="1779"/>
      <c r="AB133" s="1779"/>
      <c r="AC133" s="1779"/>
    </row>
    <row r="134" spans="1:29">
      <c r="A134" s="1779"/>
      <c r="B134" s="1779"/>
      <c r="C134" s="1779"/>
      <c r="D134" s="1779"/>
      <c r="E134" s="1779"/>
      <c r="F134" s="1779"/>
      <c r="G134" s="1779"/>
      <c r="H134" s="1779"/>
      <c r="I134" s="1779"/>
      <c r="J134" s="1779"/>
      <c r="K134" s="1780"/>
      <c r="L134" s="1781"/>
      <c r="M134" s="1779"/>
      <c r="N134" s="1779"/>
      <c r="O134" s="1779"/>
      <c r="P134" s="1779"/>
      <c r="Q134" s="1779"/>
      <c r="R134" s="1779"/>
      <c r="S134" s="1779"/>
      <c r="T134" s="1779"/>
      <c r="U134" s="1779"/>
      <c r="V134" s="1779"/>
      <c r="W134" s="1779"/>
      <c r="X134" s="1779"/>
      <c r="Y134" s="1779"/>
      <c r="Z134" s="1779"/>
      <c r="AA134" s="1779"/>
      <c r="AB134" s="1779"/>
      <c r="AC134" s="1779"/>
    </row>
    <row r="135" spans="1:29">
      <c r="A135" s="1779"/>
      <c r="B135" s="1779"/>
      <c r="C135" s="1779"/>
      <c r="D135" s="1779"/>
      <c r="E135" s="1779"/>
      <c r="F135" s="1779"/>
      <c r="G135" s="1779"/>
      <c r="H135" s="1779"/>
      <c r="I135" s="1779"/>
      <c r="J135" s="1779"/>
      <c r="K135" s="1780"/>
      <c r="L135" s="1781"/>
      <c r="M135" s="1779"/>
      <c r="N135" s="1779"/>
      <c r="O135" s="1779"/>
      <c r="P135" s="1779"/>
      <c r="Q135" s="1779"/>
      <c r="R135" s="1779"/>
      <c r="S135" s="1779"/>
      <c r="T135" s="1779"/>
      <c r="U135" s="1779"/>
      <c r="V135" s="1779"/>
      <c r="W135" s="1779"/>
      <c r="X135" s="1779"/>
      <c r="Y135" s="1779"/>
      <c r="Z135" s="1779"/>
      <c r="AA135" s="1779"/>
      <c r="AB135" s="1779"/>
      <c r="AC135" s="1779"/>
    </row>
    <row r="136" spans="1:29">
      <c r="A136" s="1779"/>
      <c r="B136" s="1779"/>
      <c r="C136" s="1779"/>
      <c r="D136" s="1779"/>
      <c r="E136" s="1779"/>
      <c r="F136" s="1779"/>
      <c r="G136" s="1779"/>
      <c r="H136" s="1779"/>
      <c r="I136" s="1779"/>
      <c r="J136" s="1779"/>
      <c r="K136" s="1780"/>
      <c r="L136" s="1781"/>
      <c r="M136" s="1779"/>
      <c r="N136" s="1779"/>
      <c r="O136" s="1779"/>
      <c r="P136" s="1779"/>
      <c r="Q136" s="1779"/>
      <c r="R136" s="1779"/>
      <c r="S136" s="1779"/>
      <c r="T136" s="1779"/>
      <c r="U136" s="1779"/>
      <c r="V136" s="1779"/>
      <c r="W136" s="1779"/>
      <c r="X136" s="1779"/>
      <c r="Y136" s="1779"/>
      <c r="Z136" s="1779"/>
      <c r="AA136" s="1779"/>
      <c r="AB136" s="1779"/>
      <c r="AC136" s="1779"/>
    </row>
    <row r="137" spans="1:29">
      <c r="A137" s="1779"/>
      <c r="B137" s="1779"/>
      <c r="C137" s="1779"/>
      <c r="D137" s="1779"/>
      <c r="E137" s="1779"/>
      <c r="F137" s="1779"/>
      <c r="G137" s="1779"/>
      <c r="H137" s="1779"/>
      <c r="I137" s="1779"/>
      <c r="J137" s="1779"/>
      <c r="K137" s="1780"/>
      <c r="L137" s="1781"/>
      <c r="M137" s="1779"/>
      <c r="N137" s="1779"/>
      <c r="O137" s="1779"/>
      <c r="P137" s="1779"/>
      <c r="Q137" s="1779"/>
      <c r="R137" s="1779"/>
      <c r="S137" s="1779"/>
      <c r="T137" s="1779"/>
      <c r="U137" s="1779"/>
      <c r="V137" s="1779"/>
      <c r="W137" s="1779"/>
      <c r="X137" s="1779"/>
      <c r="Y137" s="1779"/>
      <c r="Z137" s="1779"/>
      <c r="AA137" s="1779"/>
      <c r="AB137" s="1779"/>
      <c r="AC137" s="1779"/>
    </row>
    <row r="138" spans="1:29">
      <c r="A138" s="1779"/>
      <c r="B138" s="1779"/>
      <c r="C138" s="1779"/>
      <c r="D138" s="1779"/>
      <c r="E138" s="1779"/>
      <c r="F138" s="1779"/>
      <c r="G138" s="1779"/>
      <c r="H138" s="1779"/>
      <c r="I138" s="1779"/>
      <c r="J138" s="1779"/>
      <c r="K138" s="1780"/>
      <c r="L138" s="1781"/>
      <c r="M138" s="1779"/>
      <c r="N138" s="1779"/>
      <c r="O138" s="1779"/>
      <c r="P138" s="1779"/>
      <c r="Q138" s="1779"/>
      <c r="R138" s="1779"/>
      <c r="S138" s="1779"/>
      <c r="T138" s="1779"/>
      <c r="U138" s="1779"/>
      <c r="V138" s="1779"/>
      <c r="W138" s="1779"/>
      <c r="X138" s="1779"/>
      <c r="Y138" s="1779"/>
      <c r="Z138" s="1779"/>
      <c r="AA138" s="1779"/>
      <c r="AB138" s="1779"/>
      <c r="AC138" s="1779"/>
    </row>
    <row r="139" spans="1:29">
      <c r="A139" s="1779"/>
      <c r="B139" s="1779"/>
      <c r="C139" s="1779"/>
      <c r="D139" s="1779"/>
      <c r="E139" s="1779"/>
      <c r="F139" s="1779"/>
      <c r="G139" s="1779"/>
      <c r="H139" s="1779"/>
      <c r="I139" s="1779"/>
      <c r="J139" s="1779"/>
      <c r="K139" s="1780"/>
      <c r="L139" s="1781"/>
      <c r="M139" s="1779"/>
      <c r="N139" s="1779"/>
      <c r="O139" s="1779"/>
      <c r="P139" s="1779"/>
      <c r="Q139" s="1779"/>
      <c r="R139" s="1779"/>
      <c r="S139" s="1779"/>
      <c r="T139" s="1779"/>
      <c r="U139" s="1779"/>
      <c r="V139" s="1779"/>
      <c r="W139" s="1779"/>
      <c r="X139" s="1779"/>
      <c r="Y139" s="1779"/>
      <c r="Z139" s="1779"/>
      <c r="AA139" s="1779"/>
      <c r="AB139" s="1779"/>
      <c r="AC139" s="1779"/>
    </row>
    <row r="140" spans="1:29">
      <c r="A140" s="1779"/>
      <c r="B140" s="1779"/>
      <c r="C140" s="1779"/>
      <c r="D140" s="1779"/>
      <c r="E140" s="1779"/>
      <c r="F140" s="1779"/>
      <c r="G140" s="1779"/>
      <c r="H140" s="1779"/>
      <c r="I140" s="1779"/>
      <c r="J140" s="1779"/>
      <c r="K140" s="1780"/>
      <c r="L140" s="1781"/>
      <c r="M140" s="1779"/>
      <c r="N140" s="1779"/>
      <c r="O140" s="1779"/>
      <c r="P140" s="1779"/>
      <c r="Q140" s="1779"/>
      <c r="R140" s="1779"/>
      <c r="S140" s="1779"/>
      <c r="T140" s="1779"/>
      <c r="U140" s="1779"/>
      <c r="V140" s="1779"/>
      <c r="W140" s="1779"/>
      <c r="X140" s="1779"/>
      <c r="Y140" s="1779"/>
      <c r="Z140" s="1779"/>
      <c r="AA140" s="1779"/>
      <c r="AB140" s="1779"/>
      <c r="AC140" s="1779"/>
    </row>
    <row r="141" spans="1:29">
      <c r="A141" s="1779"/>
      <c r="B141" s="1779"/>
      <c r="C141" s="1779"/>
      <c r="D141" s="1779"/>
      <c r="E141" s="1779"/>
      <c r="F141" s="1779"/>
      <c r="G141" s="1779"/>
      <c r="H141" s="1779"/>
      <c r="I141" s="1779"/>
      <c r="J141" s="1779"/>
      <c r="K141" s="1780"/>
      <c r="L141" s="1781"/>
      <c r="M141" s="1779"/>
      <c r="N141" s="1779"/>
      <c r="O141" s="1779"/>
      <c r="P141" s="1779"/>
      <c r="Q141" s="1779"/>
      <c r="R141" s="1779"/>
      <c r="S141" s="1779"/>
      <c r="T141" s="1779"/>
      <c r="U141" s="1779"/>
      <c r="V141" s="1779"/>
      <c r="W141" s="1779"/>
      <c r="X141" s="1779"/>
      <c r="Y141" s="1779"/>
      <c r="Z141" s="1779"/>
      <c r="AA141" s="1779"/>
      <c r="AB141" s="1779"/>
      <c r="AC141" s="1779"/>
    </row>
    <row r="142" spans="1:29">
      <c r="A142" s="1779"/>
      <c r="B142" s="1779"/>
      <c r="C142" s="1779"/>
      <c r="D142" s="1779"/>
      <c r="E142" s="1779"/>
      <c r="F142" s="1779"/>
      <c r="G142" s="1779"/>
      <c r="H142" s="1779"/>
      <c r="I142" s="1779"/>
      <c r="J142" s="1779"/>
      <c r="K142" s="1780"/>
      <c r="L142" s="1781"/>
      <c r="M142" s="1779"/>
      <c r="N142" s="1779"/>
      <c r="O142" s="1779"/>
      <c r="P142" s="1779"/>
      <c r="Q142" s="1779"/>
      <c r="R142" s="1779"/>
      <c r="S142" s="1779"/>
      <c r="T142" s="1779"/>
      <c r="U142" s="1779"/>
      <c r="V142" s="1779"/>
      <c r="W142" s="1779"/>
      <c r="X142" s="1779"/>
      <c r="Y142" s="1779"/>
      <c r="Z142" s="1779"/>
      <c r="AA142" s="1779"/>
      <c r="AB142" s="1779"/>
      <c r="AC142" s="1779"/>
    </row>
    <row r="143" spans="1:29">
      <c r="A143" s="1779"/>
      <c r="B143" s="1779"/>
      <c r="C143" s="1779"/>
      <c r="D143" s="1779"/>
      <c r="E143" s="1779"/>
      <c r="F143" s="1779"/>
      <c r="G143" s="1779"/>
      <c r="H143" s="1779"/>
      <c r="I143" s="1779"/>
      <c r="J143" s="1779"/>
      <c r="K143" s="1780"/>
      <c r="L143" s="1781"/>
      <c r="M143" s="1779"/>
      <c r="N143" s="1779"/>
      <c r="O143" s="1779"/>
      <c r="P143" s="1779"/>
      <c r="Q143" s="1779"/>
      <c r="R143" s="1779"/>
      <c r="S143" s="1779"/>
      <c r="T143" s="1779"/>
      <c r="U143" s="1779"/>
      <c r="V143" s="1779"/>
      <c r="W143" s="1779"/>
      <c r="X143" s="1779"/>
      <c r="Y143" s="1779"/>
      <c r="Z143" s="1779"/>
      <c r="AA143" s="1779"/>
      <c r="AB143" s="1779"/>
      <c r="AC143" s="1779"/>
    </row>
    <row r="144" spans="1:29">
      <c r="A144" s="1779"/>
      <c r="B144" s="1779"/>
      <c r="C144" s="1779"/>
      <c r="D144" s="1779"/>
      <c r="E144" s="1779"/>
      <c r="F144" s="1779"/>
      <c r="G144" s="1779"/>
      <c r="H144" s="1779"/>
      <c r="I144" s="1779"/>
      <c r="J144" s="1779"/>
      <c r="K144" s="1780"/>
      <c r="L144" s="1781"/>
      <c r="M144" s="1779"/>
      <c r="N144" s="1779"/>
      <c r="O144" s="1779"/>
      <c r="P144" s="1779"/>
      <c r="Q144" s="1779"/>
      <c r="R144" s="1779"/>
      <c r="S144" s="1779"/>
      <c r="T144" s="1779"/>
      <c r="U144" s="1779"/>
      <c r="V144" s="1779"/>
      <c r="W144" s="1779"/>
      <c r="X144" s="1779"/>
      <c r="Y144" s="1779"/>
      <c r="Z144" s="1779"/>
      <c r="AA144" s="1779"/>
      <c r="AB144" s="1779"/>
      <c r="AC144" s="1779"/>
    </row>
    <row r="145" spans="1:29">
      <c r="A145" s="1779"/>
      <c r="B145" s="1779"/>
      <c r="C145" s="1779"/>
      <c r="D145" s="1779"/>
      <c r="E145" s="1779"/>
      <c r="F145" s="1779"/>
      <c r="G145" s="1779"/>
      <c r="H145" s="1779"/>
      <c r="I145" s="1779"/>
      <c r="J145" s="1779"/>
      <c r="K145" s="1780"/>
      <c r="L145" s="1781"/>
      <c r="M145" s="1779"/>
      <c r="N145" s="1779"/>
      <c r="O145" s="1779"/>
      <c r="P145" s="1779"/>
      <c r="Q145" s="1779"/>
      <c r="R145" s="1779"/>
      <c r="S145" s="1779"/>
      <c r="T145" s="1779"/>
      <c r="U145" s="1779"/>
      <c r="V145" s="1779"/>
      <c r="W145" s="1779"/>
      <c r="X145" s="1779"/>
      <c r="Y145" s="1779"/>
      <c r="Z145" s="1779"/>
      <c r="AA145" s="1779"/>
      <c r="AB145" s="1779"/>
      <c r="AC145" s="1779"/>
    </row>
    <row r="146" spans="1:29">
      <c r="A146" s="1779"/>
      <c r="B146" s="1779"/>
      <c r="C146" s="1779"/>
      <c r="D146" s="1779"/>
      <c r="E146" s="1779"/>
      <c r="F146" s="1779"/>
      <c r="G146" s="1779"/>
      <c r="H146" s="1779"/>
      <c r="I146" s="1779"/>
      <c r="J146" s="1779"/>
      <c r="K146" s="1780"/>
      <c r="L146" s="1781"/>
      <c r="M146" s="1779"/>
      <c r="N146" s="1779"/>
      <c r="O146" s="1779"/>
      <c r="P146" s="1779"/>
      <c r="Q146" s="1779"/>
      <c r="R146" s="1779"/>
      <c r="S146" s="1779"/>
      <c r="T146" s="1779"/>
      <c r="U146" s="1779"/>
      <c r="V146" s="1779"/>
      <c r="W146" s="1779"/>
      <c r="X146" s="1779"/>
      <c r="Y146" s="1779"/>
      <c r="Z146" s="1779"/>
      <c r="AA146" s="1779"/>
      <c r="AB146" s="1779"/>
      <c r="AC146" s="1779"/>
    </row>
    <row r="147" spans="1:29">
      <c r="A147" s="1779"/>
      <c r="B147" s="1779"/>
      <c r="C147" s="1779"/>
      <c r="D147" s="1779"/>
      <c r="E147" s="1779"/>
      <c r="F147" s="1779"/>
      <c r="G147" s="1779"/>
      <c r="H147" s="1779"/>
      <c r="I147" s="1779"/>
      <c r="J147" s="1779"/>
      <c r="K147" s="1780"/>
      <c r="L147" s="1781"/>
      <c r="M147" s="1779"/>
      <c r="N147" s="1779"/>
      <c r="O147" s="1779"/>
      <c r="P147" s="1779"/>
      <c r="Q147" s="1779"/>
      <c r="R147" s="1779"/>
      <c r="S147" s="1779"/>
      <c r="T147" s="1779"/>
      <c r="U147" s="1779"/>
      <c r="V147" s="1779"/>
      <c r="W147" s="1779"/>
      <c r="X147" s="1779"/>
      <c r="Y147" s="1779"/>
      <c r="Z147" s="1779"/>
      <c r="AA147" s="1779"/>
      <c r="AB147" s="1779"/>
      <c r="AC147" s="1779"/>
    </row>
    <row r="148" spans="1:29">
      <c r="A148" s="1779"/>
      <c r="B148" s="1779"/>
      <c r="C148" s="1779"/>
      <c r="D148" s="1779"/>
      <c r="E148" s="1779"/>
      <c r="F148" s="1779"/>
      <c r="G148" s="1779"/>
      <c r="H148" s="1779"/>
      <c r="I148" s="1779"/>
      <c r="J148" s="1779"/>
      <c r="K148" s="1780"/>
      <c r="L148" s="1781"/>
      <c r="M148" s="1779"/>
      <c r="N148" s="1779"/>
      <c r="O148" s="1779"/>
      <c r="P148" s="1779"/>
      <c r="Q148" s="1779"/>
      <c r="R148" s="1779"/>
      <c r="S148" s="1779"/>
      <c r="T148" s="1779"/>
      <c r="U148" s="1779"/>
      <c r="V148" s="1779"/>
      <c r="W148" s="1779"/>
      <c r="X148" s="1779"/>
      <c r="Y148" s="1779"/>
      <c r="Z148" s="1779"/>
      <c r="AA148" s="1779"/>
      <c r="AB148" s="1779"/>
      <c r="AC148" s="1779"/>
    </row>
    <row r="149" spans="1:29">
      <c r="A149" s="1779"/>
      <c r="B149" s="1779"/>
      <c r="C149" s="1779"/>
      <c r="D149" s="1779"/>
      <c r="E149" s="1779"/>
      <c r="F149" s="1779"/>
      <c r="G149" s="1779"/>
      <c r="H149" s="1779"/>
      <c r="I149" s="1779"/>
      <c r="J149" s="1779"/>
      <c r="K149" s="1780"/>
      <c r="L149" s="1781"/>
      <c r="M149" s="1779"/>
      <c r="N149" s="1779"/>
      <c r="O149" s="1779"/>
      <c r="P149" s="1779"/>
      <c r="Q149" s="1779"/>
      <c r="R149" s="1779"/>
      <c r="S149" s="1779"/>
      <c r="T149" s="1779"/>
      <c r="U149" s="1779"/>
      <c r="V149" s="1779"/>
      <c r="W149" s="1779"/>
      <c r="X149" s="1779"/>
      <c r="Y149" s="1779"/>
      <c r="Z149" s="1779"/>
      <c r="AA149" s="1779"/>
      <c r="AB149" s="1779"/>
      <c r="AC149" s="1779"/>
    </row>
    <row r="150" spans="1:29">
      <c r="A150" s="1779"/>
      <c r="B150" s="1779"/>
      <c r="C150" s="1779"/>
      <c r="D150" s="1779"/>
      <c r="E150" s="1779"/>
      <c r="F150" s="1779"/>
      <c r="G150" s="1779"/>
      <c r="H150" s="1779"/>
      <c r="I150" s="1779"/>
      <c r="J150" s="1779"/>
      <c r="K150" s="1780"/>
      <c r="L150" s="1781"/>
      <c r="M150" s="1779"/>
      <c r="N150" s="1779"/>
      <c r="O150" s="1779"/>
      <c r="P150" s="1779"/>
      <c r="Q150" s="1779"/>
      <c r="R150" s="1779"/>
      <c r="S150" s="1779"/>
      <c r="T150" s="1779"/>
      <c r="U150" s="1779"/>
      <c r="V150" s="1779"/>
      <c r="W150" s="1779"/>
      <c r="X150" s="1779"/>
      <c r="Y150" s="1779"/>
      <c r="Z150" s="1779"/>
      <c r="AA150" s="1779"/>
      <c r="AB150" s="1779"/>
      <c r="AC150" s="1779"/>
    </row>
    <row r="151" spans="1:29">
      <c r="A151" s="1779"/>
      <c r="B151" s="1779"/>
      <c r="C151" s="1779"/>
      <c r="D151" s="1779"/>
      <c r="E151" s="1779"/>
      <c r="F151" s="1779"/>
      <c r="G151" s="1779"/>
      <c r="H151" s="1779"/>
      <c r="I151" s="1779"/>
      <c r="J151" s="1779"/>
      <c r="K151" s="1780"/>
      <c r="L151" s="1781"/>
      <c r="M151" s="1779"/>
      <c r="N151" s="1779"/>
      <c r="O151" s="1779"/>
      <c r="P151" s="1779"/>
      <c r="Q151" s="1779"/>
      <c r="R151" s="1779"/>
      <c r="S151" s="1779"/>
      <c r="T151" s="1779"/>
      <c r="U151" s="1779"/>
      <c r="V151" s="1779"/>
      <c r="W151" s="1779"/>
      <c r="X151" s="1779"/>
      <c r="Y151" s="1779"/>
      <c r="Z151" s="1779"/>
      <c r="AA151" s="1779"/>
      <c r="AB151" s="1779"/>
      <c r="AC151" s="1779"/>
    </row>
    <row r="152" spans="1:29">
      <c r="A152" s="1779"/>
      <c r="B152" s="1779"/>
      <c r="C152" s="1779"/>
      <c r="D152" s="1779"/>
      <c r="E152" s="1779"/>
      <c r="F152" s="1779"/>
      <c r="G152" s="1779"/>
      <c r="H152" s="1779"/>
      <c r="I152" s="1779"/>
      <c r="J152" s="1779"/>
      <c r="K152" s="1780"/>
      <c r="L152" s="1781"/>
      <c r="M152" s="1779"/>
      <c r="N152" s="1779"/>
      <c r="O152" s="1779"/>
      <c r="P152" s="1779"/>
      <c r="Q152" s="1779"/>
      <c r="R152" s="1779"/>
      <c r="S152" s="1779"/>
      <c r="T152" s="1779"/>
      <c r="U152" s="1779"/>
      <c r="V152" s="1779"/>
      <c r="W152" s="1779"/>
      <c r="X152" s="1779"/>
      <c r="Y152" s="1779"/>
      <c r="Z152" s="1779"/>
      <c r="AA152" s="1779"/>
      <c r="AB152" s="1779"/>
      <c r="AC152" s="1779"/>
    </row>
    <row r="153" spans="1:29">
      <c r="A153" s="1779"/>
      <c r="B153" s="1779"/>
      <c r="C153" s="1779"/>
      <c r="D153" s="1779"/>
      <c r="E153" s="1779"/>
      <c r="F153" s="1779"/>
      <c r="G153" s="1779"/>
      <c r="H153" s="1779"/>
      <c r="I153" s="1779"/>
      <c r="J153" s="1779"/>
      <c r="K153" s="1780"/>
      <c r="L153" s="1781"/>
      <c r="M153" s="1779"/>
      <c r="N153" s="1779"/>
      <c r="O153" s="1779"/>
      <c r="P153" s="1779"/>
      <c r="Q153" s="1779"/>
      <c r="R153" s="1779"/>
      <c r="S153" s="1779"/>
      <c r="T153" s="1779"/>
      <c r="U153" s="1779"/>
      <c r="V153" s="1779"/>
      <c r="W153" s="1779"/>
      <c r="X153" s="1779"/>
      <c r="Y153" s="1779"/>
      <c r="Z153" s="1779"/>
      <c r="AA153" s="1779"/>
      <c r="AB153" s="1779"/>
      <c r="AC153" s="1779"/>
    </row>
    <row r="154" spans="1:29">
      <c r="A154" s="1779"/>
      <c r="B154" s="1779"/>
      <c r="C154" s="1779"/>
      <c r="D154" s="1779"/>
      <c r="E154" s="1779"/>
      <c r="F154" s="1779"/>
      <c r="G154" s="1779"/>
      <c r="H154" s="1779"/>
      <c r="I154" s="1779"/>
      <c r="J154" s="1779"/>
      <c r="K154" s="1780"/>
      <c r="L154" s="1781"/>
      <c r="M154" s="1779"/>
      <c r="N154" s="1779"/>
      <c r="O154" s="1779"/>
      <c r="P154" s="1779"/>
      <c r="Q154" s="1779"/>
      <c r="R154" s="1779"/>
      <c r="S154" s="1779"/>
      <c r="T154" s="1779"/>
      <c r="U154" s="1779"/>
      <c r="V154" s="1779"/>
      <c r="W154" s="1779"/>
      <c r="X154" s="1779"/>
      <c r="Y154" s="1779"/>
      <c r="Z154" s="1779"/>
      <c r="AA154" s="1779"/>
      <c r="AB154" s="1779"/>
      <c r="AC154" s="1779"/>
    </row>
    <row r="155" spans="1:29">
      <c r="A155" s="1779"/>
      <c r="B155" s="1779"/>
      <c r="C155" s="1779"/>
      <c r="D155" s="1779"/>
      <c r="E155" s="1779"/>
      <c r="F155" s="1779"/>
      <c r="G155" s="1779"/>
      <c r="H155" s="1779"/>
      <c r="I155" s="1779"/>
      <c r="J155" s="1779"/>
      <c r="K155" s="1780"/>
      <c r="L155" s="1781"/>
      <c r="M155" s="1779"/>
      <c r="N155" s="1779"/>
      <c r="O155" s="1779"/>
      <c r="P155" s="1779"/>
      <c r="Q155" s="1779"/>
      <c r="R155" s="1779"/>
      <c r="S155" s="1779"/>
      <c r="T155" s="1779"/>
      <c r="U155" s="1779"/>
      <c r="V155" s="1779"/>
      <c r="W155" s="1779"/>
      <c r="X155" s="1779"/>
      <c r="Y155" s="1779"/>
      <c r="Z155" s="1779"/>
      <c r="AA155" s="1779"/>
      <c r="AB155" s="1779"/>
      <c r="AC155" s="1779"/>
    </row>
    <row r="156" spans="1:29">
      <c r="A156" s="1779"/>
      <c r="B156" s="1779"/>
      <c r="C156" s="1779"/>
      <c r="D156" s="1779"/>
      <c r="E156" s="1779"/>
      <c r="F156" s="1779"/>
      <c r="G156" s="1779"/>
      <c r="H156" s="1779"/>
      <c r="I156" s="1779"/>
      <c r="J156" s="1779"/>
      <c r="K156" s="1780"/>
      <c r="L156" s="1781"/>
      <c r="M156" s="1779"/>
      <c r="N156" s="1779"/>
      <c r="O156" s="1779"/>
      <c r="P156" s="1779"/>
      <c r="Q156" s="1779"/>
      <c r="R156" s="1779"/>
      <c r="S156" s="1779"/>
      <c r="T156" s="1779"/>
      <c r="U156" s="1779"/>
      <c r="V156" s="1779"/>
      <c r="W156" s="1779"/>
      <c r="X156" s="1779"/>
      <c r="Y156" s="1779"/>
      <c r="Z156" s="1779"/>
      <c r="AA156" s="1779"/>
      <c r="AB156" s="1779"/>
      <c r="AC156" s="1779"/>
    </row>
    <row r="157" spans="1:29">
      <c r="A157" s="1779"/>
      <c r="B157" s="1779"/>
      <c r="C157" s="1779"/>
      <c r="D157" s="1779"/>
      <c r="E157" s="1779"/>
      <c r="F157" s="1779"/>
      <c r="G157" s="1779"/>
      <c r="H157" s="1779"/>
      <c r="I157" s="1779"/>
      <c r="J157" s="1779"/>
      <c r="K157" s="1780"/>
      <c r="L157" s="1781"/>
      <c r="M157" s="1779"/>
      <c r="N157" s="1779"/>
      <c r="O157" s="1779"/>
      <c r="P157" s="1779"/>
      <c r="Q157" s="1779"/>
      <c r="R157" s="1779"/>
      <c r="S157" s="1779"/>
      <c r="T157" s="1779"/>
      <c r="U157" s="1779"/>
      <c r="V157" s="1779"/>
      <c r="W157" s="1779"/>
      <c r="X157" s="1779"/>
      <c r="Y157" s="1779"/>
      <c r="Z157" s="1779"/>
      <c r="AA157" s="1779"/>
      <c r="AB157" s="1779"/>
      <c r="AC157" s="1779"/>
    </row>
    <row r="158" spans="1:29">
      <c r="A158" s="1779"/>
      <c r="B158" s="1779"/>
      <c r="C158" s="1779"/>
      <c r="D158" s="1779"/>
      <c r="E158" s="1779"/>
      <c r="F158" s="1779"/>
      <c r="G158" s="1779"/>
      <c r="H158" s="1779"/>
      <c r="I158" s="1779"/>
      <c r="J158" s="1779"/>
      <c r="K158" s="1780"/>
      <c r="L158" s="1781"/>
      <c r="M158" s="1779"/>
      <c r="N158" s="1779"/>
      <c r="O158" s="1779"/>
      <c r="P158" s="1779"/>
      <c r="Q158" s="1779"/>
      <c r="R158" s="1779"/>
      <c r="S158" s="1779"/>
      <c r="T158" s="1779"/>
      <c r="U158" s="1779"/>
      <c r="V158" s="1779"/>
      <c r="W158" s="1779"/>
      <c r="X158" s="1779"/>
      <c r="Y158" s="1779"/>
      <c r="Z158" s="1779"/>
      <c r="AA158" s="1779"/>
      <c r="AB158" s="1779"/>
      <c r="AC158" s="1779"/>
    </row>
    <row r="159" spans="1:29">
      <c r="A159" s="1779"/>
      <c r="B159" s="1779"/>
      <c r="C159" s="1779"/>
      <c r="D159" s="1779"/>
      <c r="E159" s="1779"/>
      <c r="F159" s="1779"/>
      <c r="G159" s="1779"/>
      <c r="H159" s="1779"/>
      <c r="I159" s="1779"/>
      <c r="J159" s="1779"/>
      <c r="K159" s="1780"/>
      <c r="L159" s="1781"/>
      <c r="M159" s="1779"/>
      <c r="N159" s="1779"/>
      <c r="O159" s="1779"/>
      <c r="P159" s="1779"/>
      <c r="Q159" s="1779"/>
      <c r="R159" s="1779"/>
      <c r="S159" s="1779"/>
      <c r="T159" s="1779"/>
      <c r="U159" s="1779"/>
      <c r="V159" s="1779"/>
      <c r="W159" s="1779"/>
      <c r="X159" s="1779"/>
      <c r="Y159" s="1779"/>
      <c r="Z159" s="1779"/>
      <c r="AA159" s="1779"/>
      <c r="AB159" s="1779"/>
      <c r="AC159" s="1779"/>
    </row>
    <row r="160" spans="1:29">
      <c r="A160" s="1779"/>
      <c r="B160" s="1779"/>
      <c r="C160" s="1779"/>
      <c r="D160" s="1779"/>
      <c r="E160" s="1779"/>
      <c r="F160" s="1779"/>
      <c r="G160" s="1779"/>
      <c r="H160" s="1779"/>
      <c r="I160" s="1779"/>
      <c r="J160" s="1779"/>
      <c r="K160" s="1780"/>
      <c r="L160" s="1781"/>
      <c r="M160" s="1779"/>
      <c r="N160" s="1779"/>
      <c r="O160" s="1779"/>
      <c r="P160" s="1779"/>
      <c r="Q160" s="1779"/>
      <c r="R160" s="1779"/>
      <c r="S160" s="1779"/>
      <c r="T160" s="1779"/>
      <c r="U160" s="1779"/>
      <c r="V160" s="1779"/>
      <c r="W160" s="1779"/>
      <c r="X160" s="1779"/>
      <c r="Y160" s="1779"/>
      <c r="Z160" s="1779"/>
      <c r="AA160" s="1779"/>
      <c r="AB160" s="1779"/>
      <c r="AC160" s="1779"/>
    </row>
    <row r="161" spans="1:29">
      <c r="A161" s="1779"/>
      <c r="B161" s="1779"/>
      <c r="C161" s="1779"/>
      <c r="D161" s="1779"/>
      <c r="E161" s="1779"/>
      <c r="F161" s="1779"/>
      <c r="G161" s="1779"/>
      <c r="H161" s="1779"/>
      <c r="I161" s="1779"/>
      <c r="J161" s="1779"/>
      <c r="K161" s="1780"/>
      <c r="L161" s="1781"/>
      <c r="M161" s="1779"/>
      <c r="N161" s="1779"/>
      <c r="O161" s="1779"/>
      <c r="P161" s="1779"/>
      <c r="Q161" s="1779"/>
      <c r="R161" s="1779"/>
      <c r="S161" s="1779"/>
      <c r="T161" s="1779"/>
      <c r="U161" s="1779"/>
      <c r="V161" s="1779"/>
      <c r="W161" s="1779"/>
      <c r="X161" s="1779"/>
      <c r="Y161" s="1779"/>
      <c r="Z161" s="1779"/>
      <c r="AA161" s="1779"/>
      <c r="AB161" s="1779"/>
      <c r="AC161" s="1779"/>
    </row>
    <row r="162" spans="1:29">
      <c r="A162" s="1779"/>
      <c r="B162" s="1779"/>
      <c r="C162" s="1779"/>
      <c r="D162" s="1779"/>
      <c r="E162" s="1779"/>
      <c r="F162" s="1779"/>
      <c r="G162" s="1779"/>
      <c r="H162" s="1779"/>
      <c r="I162" s="1779"/>
      <c r="J162" s="1779"/>
      <c r="K162" s="1780"/>
      <c r="L162" s="1781"/>
      <c r="M162" s="1779"/>
      <c r="N162" s="1779"/>
      <c r="O162" s="1779"/>
      <c r="P162" s="1779"/>
      <c r="Q162" s="1779"/>
      <c r="R162" s="1779"/>
      <c r="S162" s="1779"/>
      <c r="T162" s="1779"/>
      <c r="U162" s="1779"/>
      <c r="V162" s="1779"/>
      <c r="W162" s="1779"/>
      <c r="X162" s="1779"/>
      <c r="Y162" s="1779"/>
      <c r="Z162" s="1779"/>
      <c r="AA162" s="1779"/>
      <c r="AB162" s="1779"/>
      <c r="AC162" s="1779"/>
    </row>
    <row r="163" spans="1:29">
      <c r="A163" s="1779"/>
      <c r="B163" s="1779"/>
      <c r="C163" s="1779"/>
      <c r="D163" s="1779"/>
      <c r="E163" s="1779"/>
      <c r="F163" s="1779"/>
      <c r="G163" s="1779"/>
      <c r="H163" s="1779"/>
      <c r="I163" s="1779"/>
      <c r="J163" s="1779"/>
      <c r="K163" s="1780"/>
      <c r="L163" s="1781"/>
      <c r="M163" s="1779"/>
      <c r="N163" s="1779"/>
      <c r="O163" s="1779"/>
      <c r="P163" s="1779"/>
      <c r="Q163" s="1779"/>
      <c r="R163" s="1779"/>
      <c r="S163" s="1779"/>
      <c r="T163" s="1779"/>
      <c r="U163" s="1779"/>
      <c r="V163" s="1779"/>
      <c r="W163" s="1779"/>
      <c r="X163" s="1779"/>
      <c r="Y163" s="1779"/>
      <c r="Z163" s="1779"/>
      <c r="AA163" s="1779"/>
      <c r="AB163" s="1779"/>
      <c r="AC163" s="1779"/>
    </row>
    <row r="164" spans="1:29">
      <c r="A164" s="1779"/>
      <c r="B164" s="1779"/>
      <c r="C164" s="1779"/>
      <c r="D164" s="1779"/>
      <c r="E164" s="1779"/>
      <c r="F164" s="1779"/>
      <c r="G164" s="1779"/>
      <c r="H164" s="1779"/>
      <c r="I164" s="1779"/>
      <c r="J164" s="1779"/>
      <c r="K164" s="1780"/>
      <c r="L164" s="1781"/>
      <c r="M164" s="1779"/>
      <c r="N164" s="1779"/>
      <c r="O164" s="1779"/>
      <c r="P164" s="1779"/>
      <c r="Q164" s="1779"/>
      <c r="R164" s="1779"/>
      <c r="S164" s="1779"/>
      <c r="T164" s="1779"/>
      <c r="U164" s="1779"/>
      <c r="V164" s="1779"/>
      <c r="W164" s="1779"/>
      <c r="X164" s="1779"/>
      <c r="Y164" s="1779"/>
      <c r="Z164" s="1779"/>
      <c r="AA164" s="1779"/>
      <c r="AB164" s="1779"/>
      <c r="AC164" s="1779"/>
    </row>
    <row r="165" spans="1:29">
      <c r="A165" s="1779"/>
      <c r="B165" s="1779"/>
      <c r="C165" s="1779"/>
      <c r="D165" s="1779"/>
      <c r="E165" s="1779"/>
      <c r="F165" s="1779"/>
      <c r="G165" s="1779"/>
      <c r="H165" s="1779"/>
      <c r="I165" s="1779"/>
      <c r="J165" s="1779"/>
      <c r="K165" s="1780"/>
      <c r="L165" s="1781"/>
      <c r="M165" s="1779"/>
      <c r="N165" s="1779"/>
      <c r="O165" s="1779"/>
      <c r="P165" s="1779"/>
      <c r="Q165" s="1779"/>
      <c r="R165" s="1779"/>
      <c r="S165" s="1779"/>
      <c r="T165" s="1779"/>
      <c r="U165" s="1779"/>
      <c r="V165" s="1779"/>
      <c r="W165" s="1779"/>
      <c r="X165" s="1779"/>
      <c r="Y165" s="1779"/>
      <c r="Z165" s="1779"/>
      <c r="AA165" s="1779"/>
      <c r="AB165" s="1779"/>
      <c r="AC165" s="1779"/>
    </row>
    <row r="166" spans="1:29">
      <c r="A166" s="1779"/>
      <c r="B166" s="1779"/>
      <c r="C166" s="1779"/>
      <c r="D166" s="1779"/>
      <c r="E166" s="1779"/>
      <c r="F166" s="1779"/>
      <c r="G166" s="1779"/>
      <c r="H166" s="1779"/>
      <c r="I166" s="1779"/>
      <c r="J166" s="1779"/>
      <c r="K166" s="1780"/>
      <c r="L166" s="1781"/>
      <c r="M166" s="1779"/>
      <c r="N166" s="1779"/>
      <c r="O166" s="1779"/>
      <c r="P166" s="1779"/>
      <c r="Q166" s="1779"/>
      <c r="R166" s="1779"/>
      <c r="S166" s="1779"/>
      <c r="T166" s="1779"/>
      <c r="U166" s="1779"/>
      <c r="V166" s="1779"/>
      <c r="W166" s="1779"/>
      <c r="X166" s="1779"/>
      <c r="Y166" s="1779"/>
      <c r="Z166" s="1779"/>
      <c r="AA166" s="1779"/>
      <c r="AB166" s="1779"/>
      <c r="AC166" s="1779"/>
    </row>
    <row r="167" spans="1:29">
      <c r="A167" s="1779"/>
      <c r="B167" s="1779"/>
      <c r="C167" s="1779"/>
      <c r="D167" s="1779"/>
      <c r="E167" s="1779"/>
      <c r="F167" s="1779"/>
      <c r="G167" s="1779"/>
      <c r="H167" s="1779"/>
      <c r="I167" s="1779"/>
      <c r="J167" s="1779"/>
      <c r="K167" s="1780"/>
      <c r="L167" s="1781"/>
      <c r="M167" s="1779"/>
      <c r="N167" s="1779"/>
      <c r="O167" s="1779"/>
      <c r="P167" s="1779"/>
      <c r="Q167" s="1779"/>
      <c r="R167" s="1779"/>
      <c r="S167" s="1779"/>
      <c r="T167" s="1779"/>
      <c r="U167" s="1779"/>
      <c r="V167" s="1779"/>
      <c r="W167" s="1779"/>
      <c r="X167" s="1779"/>
      <c r="Y167" s="1779"/>
      <c r="Z167" s="1779"/>
      <c r="AA167" s="1779"/>
      <c r="AB167" s="1779"/>
      <c r="AC167" s="1779"/>
    </row>
    <row r="168" spans="1:29">
      <c r="A168" s="1779"/>
      <c r="B168" s="1779"/>
      <c r="C168" s="1779"/>
      <c r="D168" s="1779"/>
      <c r="E168" s="1779"/>
      <c r="F168" s="1779"/>
      <c r="G168" s="1779"/>
      <c r="H168" s="1779"/>
      <c r="I168" s="1779"/>
      <c r="J168" s="1779"/>
      <c r="K168" s="1780"/>
      <c r="L168" s="1781"/>
      <c r="M168" s="1779"/>
      <c r="N168" s="1779"/>
      <c r="O168" s="1779"/>
      <c r="P168" s="1779"/>
      <c r="Q168" s="1779"/>
      <c r="R168" s="1779"/>
      <c r="S168" s="1779"/>
      <c r="T168" s="1779"/>
      <c r="U168" s="1779"/>
      <c r="V168" s="1779"/>
      <c r="W168" s="1779"/>
      <c r="X168" s="1779"/>
      <c r="Y168" s="1779"/>
      <c r="Z168" s="1779"/>
      <c r="AA168" s="1779"/>
      <c r="AB168" s="1779"/>
      <c r="AC168" s="1779"/>
    </row>
    <row r="169" spans="1:29">
      <c r="A169" s="1779"/>
      <c r="B169" s="1779"/>
      <c r="C169" s="1779"/>
      <c r="D169" s="1779"/>
      <c r="E169" s="1779"/>
      <c r="F169" s="1779"/>
      <c r="G169" s="1779"/>
      <c r="H169" s="1779"/>
      <c r="I169" s="1779"/>
      <c r="J169" s="1779"/>
      <c r="K169" s="1780"/>
      <c r="L169" s="1781"/>
      <c r="M169" s="1779"/>
      <c r="N169" s="1779"/>
      <c r="O169" s="1779"/>
      <c r="P169" s="1779"/>
      <c r="Q169" s="1779"/>
      <c r="R169" s="1779"/>
      <c r="S169" s="1779"/>
      <c r="T169" s="1779"/>
      <c r="U169" s="1779"/>
      <c r="V169" s="1779"/>
      <c r="W169" s="1779"/>
      <c r="X169" s="1779"/>
      <c r="Y169" s="1779"/>
      <c r="Z169" s="1779"/>
      <c r="AA169" s="1779"/>
      <c r="AB169" s="1779"/>
      <c r="AC169" s="1779"/>
    </row>
    <row r="170" spans="1:29">
      <c r="A170" s="1779"/>
      <c r="B170" s="1779"/>
      <c r="C170" s="1779"/>
      <c r="D170" s="1779"/>
      <c r="E170" s="1779"/>
      <c r="F170" s="1779"/>
      <c r="G170" s="1779"/>
      <c r="H170" s="1779"/>
      <c r="I170" s="1779"/>
      <c r="J170" s="1779"/>
      <c r="K170" s="1780"/>
      <c r="L170" s="1781"/>
      <c r="M170" s="1779"/>
      <c r="N170" s="1779"/>
      <c r="O170" s="1779"/>
      <c r="P170" s="1779"/>
      <c r="Q170" s="1779"/>
      <c r="R170" s="1779"/>
      <c r="S170" s="1779"/>
      <c r="T170" s="1779"/>
      <c r="U170" s="1779"/>
      <c r="V170" s="1779"/>
      <c r="W170" s="1779"/>
      <c r="X170" s="1779"/>
      <c r="Y170" s="1779"/>
      <c r="Z170" s="1779"/>
      <c r="AA170" s="1779"/>
      <c r="AB170" s="1779"/>
      <c r="AC170" s="1779"/>
    </row>
    <row r="171" spans="1:29">
      <c r="A171" s="1779"/>
      <c r="B171" s="1779"/>
      <c r="C171" s="1779"/>
      <c r="D171" s="1779"/>
      <c r="E171" s="1779"/>
      <c r="F171" s="1779"/>
      <c r="G171" s="1779"/>
      <c r="H171" s="1779"/>
      <c r="I171" s="1779"/>
      <c r="J171" s="1779"/>
      <c r="K171" s="1780"/>
      <c r="L171" s="1781"/>
      <c r="M171" s="1779"/>
      <c r="N171" s="1779"/>
      <c r="O171" s="1779"/>
      <c r="P171" s="1779"/>
      <c r="Q171" s="1779"/>
      <c r="R171" s="1779"/>
      <c r="S171" s="1779"/>
      <c r="T171" s="1779"/>
      <c r="U171" s="1779"/>
      <c r="V171" s="1779"/>
      <c r="W171" s="1779"/>
      <c r="X171" s="1779"/>
      <c r="Y171" s="1779"/>
      <c r="Z171" s="1779"/>
      <c r="AA171" s="1779"/>
      <c r="AB171" s="1779"/>
      <c r="AC171" s="1779"/>
    </row>
    <row r="172" spans="1:29">
      <c r="A172" s="1779"/>
      <c r="B172" s="1779"/>
      <c r="C172" s="1779"/>
      <c r="D172" s="1779"/>
      <c r="E172" s="1779"/>
      <c r="F172" s="1779"/>
      <c r="G172" s="1779"/>
      <c r="H172" s="1779"/>
      <c r="I172" s="1779"/>
      <c r="J172" s="1779"/>
      <c r="K172" s="1780"/>
      <c r="L172" s="1781"/>
      <c r="M172" s="1779"/>
      <c r="N172" s="1779"/>
      <c r="O172" s="1779"/>
      <c r="P172" s="1779"/>
      <c r="Q172" s="1779"/>
      <c r="R172" s="1779"/>
      <c r="S172" s="1779"/>
      <c r="T172" s="1779"/>
      <c r="U172" s="1779"/>
      <c r="V172" s="1779"/>
      <c r="W172" s="1779"/>
      <c r="X172" s="1779"/>
      <c r="Y172" s="1779"/>
      <c r="Z172" s="1779"/>
      <c r="AA172" s="1779"/>
      <c r="AB172" s="1779"/>
      <c r="AC172" s="1779"/>
    </row>
    <row r="173" spans="1:29">
      <c r="A173" s="1779"/>
      <c r="B173" s="1779"/>
      <c r="C173" s="1779"/>
      <c r="D173" s="1779"/>
      <c r="E173" s="1779"/>
      <c r="F173" s="1779"/>
      <c r="G173" s="1779"/>
      <c r="H173" s="1779"/>
      <c r="I173" s="1779"/>
      <c r="J173" s="1779"/>
      <c r="K173" s="1780"/>
      <c r="L173" s="1781"/>
      <c r="M173" s="1779"/>
      <c r="N173" s="1779"/>
      <c r="O173" s="1779"/>
      <c r="P173" s="1779"/>
      <c r="Q173" s="1779"/>
      <c r="R173" s="1779"/>
      <c r="S173" s="1779"/>
      <c r="T173" s="1779"/>
      <c r="U173" s="1779"/>
      <c r="V173" s="1779"/>
      <c r="W173" s="1779"/>
      <c r="X173" s="1779"/>
      <c r="Y173" s="1779"/>
      <c r="Z173" s="1779"/>
      <c r="AA173" s="1779"/>
      <c r="AB173" s="1779"/>
      <c r="AC173" s="1779"/>
    </row>
    <row r="174" spans="1:29">
      <c r="A174" s="1779"/>
      <c r="B174" s="1779"/>
      <c r="C174" s="1779"/>
      <c r="D174" s="1779"/>
      <c r="E174" s="1779"/>
      <c r="F174" s="1779"/>
      <c r="G174" s="1779"/>
      <c r="H174" s="1779"/>
      <c r="I174" s="1779"/>
      <c r="J174" s="1779"/>
      <c r="K174" s="1780"/>
      <c r="L174" s="1781"/>
      <c r="M174" s="1779"/>
      <c r="N174" s="1779"/>
      <c r="O174" s="1779"/>
      <c r="P174" s="1779"/>
      <c r="Q174" s="1779"/>
      <c r="R174" s="1779"/>
      <c r="S174" s="1779"/>
      <c r="T174" s="1779"/>
      <c r="U174" s="1779"/>
      <c r="V174" s="1779"/>
      <c r="W174" s="1779"/>
      <c r="X174" s="1779"/>
      <c r="Y174" s="1779"/>
      <c r="Z174" s="1779"/>
      <c r="AA174" s="1779"/>
      <c r="AB174" s="1779"/>
      <c r="AC174" s="1779"/>
    </row>
    <row r="175" spans="1:29">
      <c r="A175" s="1779"/>
      <c r="B175" s="1779"/>
      <c r="C175" s="1779"/>
      <c r="D175" s="1779"/>
      <c r="E175" s="1779"/>
      <c r="F175" s="1779"/>
      <c r="G175" s="1779"/>
      <c r="H175" s="1779"/>
      <c r="I175" s="1779"/>
      <c r="J175" s="1779"/>
      <c r="K175" s="1780"/>
      <c r="L175" s="1781"/>
      <c r="M175" s="1779"/>
      <c r="N175" s="1779"/>
      <c r="O175" s="1779"/>
      <c r="P175" s="1779"/>
      <c r="Q175" s="1779"/>
      <c r="R175" s="1779"/>
      <c r="S175" s="1779"/>
      <c r="T175" s="1779"/>
      <c r="U175" s="1779"/>
      <c r="V175" s="1779"/>
      <c r="W175" s="1779"/>
      <c r="X175" s="1779"/>
      <c r="Y175" s="1779"/>
      <c r="Z175" s="1779"/>
      <c r="AA175" s="1779"/>
      <c r="AB175" s="1779"/>
      <c r="AC175" s="1779"/>
    </row>
    <row r="176" spans="1:29">
      <c r="A176" s="1779"/>
      <c r="B176" s="1779"/>
      <c r="C176" s="1779"/>
      <c r="D176" s="1779"/>
      <c r="E176" s="1779"/>
      <c r="F176" s="1779"/>
      <c r="G176" s="1779"/>
      <c r="H176" s="1779"/>
      <c r="I176" s="1779"/>
      <c r="J176" s="1779"/>
      <c r="K176" s="1780"/>
      <c r="L176" s="1781"/>
      <c r="M176" s="1779"/>
      <c r="N176" s="1779"/>
      <c r="O176" s="1779"/>
      <c r="P176" s="1779"/>
      <c r="Q176" s="1779"/>
      <c r="R176" s="1779"/>
      <c r="S176" s="1779"/>
      <c r="T176" s="1779"/>
      <c r="U176" s="1779"/>
      <c r="V176" s="1779"/>
      <c r="W176" s="1779"/>
      <c r="X176" s="1779"/>
      <c r="Y176" s="1779"/>
      <c r="Z176" s="1779"/>
      <c r="AA176" s="1779"/>
      <c r="AB176" s="1779"/>
      <c r="AC176" s="1779"/>
    </row>
    <row r="177" spans="1:29">
      <c r="A177" s="1779"/>
      <c r="B177" s="1779"/>
      <c r="C177" s="1779"/>
      <c r="D177" s="1779"/>
      <c r="E177" s="1779"/>
      <c r="F177" s="1779"/>
      <c r="G177" s="1779"/>
      <c r="H177" s="1779"/>
      <c r="I177" s="1779"/>
      <c r="J177" s="1779"/>
      <c r="K177" s="1780"/>
      <c r="L177" s="1781"/>
      <c r="M177" s="1779"/>
      <c r="N177" s="1779"/>
      <c r="O177" s="1779"/>
      <c r="P177" s="1779"/>
      <c r="Q177" s="1779"/>
      <c r="R177" s="1779"/>
      <c r="S177" s="1779"/>
      <c r="T177" s="1779"/>
      <c r="U177" s="1779"/>
      <c r="V177" s="1779"/>
      <c r="W177" s="1779"/>
      <c r="X177" s="1779"/>
      <c r="Y177" s="1779"/>
      <c r="Z177" s="1779"/>
      <c r="AA177" s="1779"/>
      <c r="AB177" s="1779"/>
      <c r="AC177" s="1779"/>
    </row>
    <row r="178" spans="1:29">
      <c r="A178" s="1779"/>
      <c r="B178" s="1779"/>
      <c r="C178" s="1779"/>
      <c r="D178" s="1779"/>
      <c r="E178" s="1779"/>
      <c r="F178" s="1779"/>
      <c r="G178" s="1779"/>
      <c r="H178" s="1779"/>
      <c r="I178" s="1779"/>
      <c r="J178" s="1779"/>
      <c r="K178" s="1780"/>
      <c r="L178" s="1781"/>
      <c r="M178" s="1779"/>
      <c r="N178" s="1779"/>
      <c r="O178" s="1779"/>
      <c r="P178" s="1779"/>
      <c r="Q178" s="1779"/>
      <c r="R178" s="1779"/>
      <c r="S178" s="1779"/>
      <c r="T178" s="1779"/>
      <c r="U178" s="1779"/>
      <c r="V178" s="1779"/>
      <c r="W178" s="1779"/>
      <c r="X178" s="1779"/>
      <c r="Y178" s="1779"/>
      <c r="Z178" s="1779"/>
      <c r="AA178" s="1779"/>
      <c r="AB178" s="1779"/>
      <c r="AC178" s="1779"/>
    </row>
    <row r="179" spans="1:29">
      <c r="A179" s="1779"/>
      <c r="B179" s="1779"/>
      <c r="C179" s="1779"/>
      <c r="D179" s="1779"/>
      <c r="E179" s="1779"/>
      <c r="F179" s="1779"/>
      <c r="G179" s="1779"/>
      <c r="H179" s="1779"/>
      <c r="I179" s="1779"/>
      <c r="J179" s="1779"/>
      <c r="K179" s="1780"/>
      <c r="L179" s="1781"/>
      <c r="M179" s="1779"/>
      <c r="N179" s="1779"/>
      <c r="O179" s="1779"/>
      <c r="P179" s="1779"/>
      <c r="Q179" s="1779"/>
      <c r="R179" s="1779"/>
      <c r="S179" s="1779"/>
      <c r="T179" s="1779"/>
      <c r="U179" s="1779"/>
      <c r="V179" s="1779"/>
      <c r="W179" s="1779"/>
      <c r="X179" s="1779"/>
      <c r="Y179" s="1779"/>
      <c r="Z179" s="1779"/>
      <c r="AA179" s="1779"/>
      <c r="AB179" s="1779"/>
      <c r="AC179" s="1779"/>
    </row>
    <row r="180" spans="1:29">
      <c r="A180" s="1779"/>
      <c r="B180" s="1779"/>
      <c r="C180" s="1779"/>
      <c r="D180" s="1779"/>
      <c r="E180" s="1779"/>
      <c r="F180" s="1779"/>
      <c r="G180" s="1779"/>
      <c r="H180" s="1779"/>
      <c r="I180" s="1779"/>
      <c r="J180" s="1779"/>
      <c r="K180" s="1780"/>
      <c r="L180" s="1781"/>
      <c r="M180" s="1779"/>
      <c r="N180" s="1779"/>
      <c r="O180" s="1779"/>
      <c r="P180" s="1779"/>
      <c r="Q180" s="1779"/>
      <c r="R180" s="1779"/>
      <c r="S180" s="1779"/>
      <c r="T180" s="1779"/>
      <c r="U180" s="1779"/>
      <c r="V180" s="1779"/>
      <c r="W180" s="1779"/>
      <c r="X180" s="1779"/>
      <c r="Y180" s="1779"/>
      <c r="Z180" s="1779"/>
      <c r="AA180" s="1779"/>
      <c r="AB180" s="1779"/>
      <c r="AC180" s="1779"/>
    </row>
    <row r="181" spans="1:29">
      <c r="A181" s="1779"/>
      <c r="B181" s="1779"/>
      <c r="C181" s="1779"/>
      <c r="D181" s="1779"/>
      <c r="E181" s="1779"/>
      <c r="F181" s="1779"/>
      <c r="G181" s="1779"/>
      <c r="H181" s="1779"/>
      <c r="I181" s="1779"/>
      <c r="J181" s="1779"/>
      <c r="K181" s="1780"/>
      <c r="L181" s="1781"/>
      <c r="M181" s="1779"/>
      <c r="N181" s="1779"/>
      <c r="O181" s="1779"/>
      <c r="P181" s="1779"/>
      <c r="Q181" s="1779"/>
      <c r="R181" s="1779"/>
      <c r="S181" s="1779"/>
      <c r="T181" s="1779"/>
      <c r="U181" s="1779"/>
      <c r="V181" s="1779"/>
      <c r="W181" s="1779"/>
      <c r="X181" s="1779"/>
      <c r="Y181" s="1779"/>
      <c r="Z181" s="1779"/>
      <c r="AA181" s="1779"/>
      <c r="AB181" s="1779"/>
      <c r="AC181" s="1779"/>
    </row>
    <row r="182" spans="1:29">
      <c r="A182" s="1779"/>
      <c r="B182" s="1779"/>
      <c r="C182" s="1779"/>
      <c r="D182" s="1779"/>
      <c r="E182" s="1779"/>
      <c r="F182" s="1779"/>
      <c r="G182" s="1779"/>
      <c r="H182" s="1779"/>
      <c r="I182" s="1779"/>
      <c r="J182" s="1779"/>
      <c r="K182" s="1780"/>
      <c r="L182" s="1781"/>
      <c r="M182" s="1779"/>
      <c r="N182" s="1779"/>
      <c r="O182" s="1779"/>
      <c r="P182" s="1779"/>
      <c r="Q182" s="1779"/>
      <c r="R182" s="1779"/>
      <c r="S182" s="1779"/>
      <c r="T182" s="1779"/>
      <c r="U182" s="1779"/>
      <c r="V182" s="1779"/>
      <c r="W182" s="1779"/>
      <c r="X182" s="1779"/>
      <c r="Y182" s="1779"/>
      <c r="Z182" s="1779"/>
      <c r="AA182" s="1779"/>
      <c r="AB182" s="1779"/>
      <c r="AC182" s="1779"/>
    </row>
    <row r="183" spans="1:29">
      <c r="A183" s="1779"/>
      <c r="B183" s="1779"/>
      <c r="C183" s="1779"/>
      <c r="D183" s="1779"/>
      <c r="E183" s="1779"/>
      <c r="F183" s="1779"/>
      <c r="G183" s="1779"/>
      <c r="H183" s="1779"/>
      <c r="I183" s="1779"/>
      <c r="J183" s="1779"/>
      <c r="K183" s="1780"/>
      <c r="L183" s="1781"/>
      <c r="M183" s="1779"/>
      <c r="N183" s="1779"/>
      <c r="O183" s="1779"/>
      <c r="P183" s="1779"/>
      <c r="Q183" s="1779"/>
      <c r="R183" s="1779"/>
      <c r="S183" s="1779"/>
      <c r="T183" s="1779"/>
      <c r="U183" s="1779"/>
      <c r="V183" s="1779"/>
      <c r="W183" s="1779"/>
      <c r="X183" s="1779"/>
      <c r="Y183" s="1779"/>
      <c r="Z183" s="1779"/>
      <c r="AA183" s="1779"/>
      <c r="AB183" s="1779"/>
      <c r="AC183" s="1779"/>
    </row>
    <row r="184" spans="1:29">
      <c r="A184" s="1779"/>
      <c r="B184" s="1779"/>
      <c r="C184" s="1779"/>
      <c r="D184" s="1779"/>
      <c r="E184" s="1779"/>
      <c r="F184" s="1779"/>
      <c r="G184" s="1779"/>
      <c r="H184" s="1779"/>
      <c r="I184" s="1779"/>
      <c r="J184" s="1779"/>
      <c r="K184" s="1780"/>
      <c r="L184" s="1781"/>
      <c r="M184" s="1779"/>
      <c r="N184" s="1779"/>
      <c r="O184" s="1779"/>
      <c r="P184" s="1779"/>
      <c r="Q184" s="1779"/>
      <c r="R184" s="1779"/>
      <c r="S184" s="1779"/>
      <c r="T184" s="1779"/>
      <c r="U184" s="1779"/>
      <c r="V184" s="1779"/>
      <c r="W184" s="1779"/>
      <c r="X184" s="1779"/>
      <c r="Y184" s="1779"/>
      <c r="Z184" s="1779"/>
      <c r="AA184" s="1779"/>
      <c r="AB184" s="1779"/>
      <c r="AC184" s="1779"/>
    </row>
    <row r="185" spans="1:29">
      <c r="A185" s="1779"/>
      <c r="B185" s="1779"/>
      <c r="C185" s="1779"/>
      <c r="D185" s="1779"/>
      <c r="E185" s="1779"/>
      <c r="F185" s="1779"/>
      <c r="G185" s="1779"/>
      <c r="H185" s="1779"/>
      <c r="I185" s="1779"/>
      <c r="J185" s="1779"/>
      <c r="K185" s="1780"/>
      <c r="L185" s="1781"/>
      <c r="M185" s="1779"/>
      <c r="N185" s="1779"/>
      <c r="O185" s="1779"/>
      <c r="P185" s="1779"/>
      <c r="Q185" s="1779"/>
      <c r="R185" s="1779"/>
      <c r="S185" s="1779"/>
      <c r="T185" s="1779"/>
      <c r="U185" s="1779"/>
      <c r="V185" s="1779"/>
      <c r="W185" s="1779"/>
      <c r="X185" s="1779"/>
      <c r="Y185" s="1779"/>
      <c r="Z185" s="1779"/>
      <c r="AA185" s="1779"/>
      <c r="AB185" s="1779"/>
      <c r="AC185" s="1779"/>
    </row>
    <row r="186" spans="1:29">
      <c r="A186" s="1779"/>
      <c r="B186" s="1779"/>
      <c r="C186" s="1779"/>
      <c r="D186" s="1779"/>
      <c r="E186" s="1779"/>
      <c r="F186" s="1779"/>
      <c r="G186" s="1779"/>
      <c r="H186" s="1779"/>
      <c r="I186" s="1779"/>
      <c r="J186" s="1779"/>
      <c r="K186" s="1780"/>
      <c r="L186" s="1781"/>
      <c r="M186" s="1779"/>
      <c r="N186" s="1779"/>
      <c r="O186" s="1779"/>
      <c r="P186" s="1779"/>
      <c r="Q186" s="1779"/>
      <c r="R186" s="1779"/>
      <c r="S186" s="1779"/>
      <c r="T186" s="1779"/>
      <c r="U186" s="1779"/>
      <c r="V186" s="1779"/>
      <c r="W186" s="1779"/>
      <c r="X186" s="1779"/>
      <c r="Y186" s="1779"/>
      <c r="Z186" s="1779"/>
      <c r="AA186" s="1779"/>
      <c r="AB186" s="1779"/>
      <c r="AC186" s="1779"/>
    </row>
    <row r="187" spans="1:29">
      <c r="A187" s="1779"/>
      <c r="B187" s="1779"/>
      <c r="C187" s="1779"/>
      <c r="D187" s="1779"/>
      <c r="E187" s="1779"/>
      <c r="F187" s="1779"/>
      <c r="G187" s="1779"/>
      <c r="H187" s="1779"/>
      <c r="I187" s="1779"/>
      <c r="J187" s="1779"/>
      <c r="K187" s="1780"/>
      <c r="L187" s="1781"/>
      <c r="M187" s="1779"/>
      <c r="N187" s="1779"/>
      <c r="O187" s="1779"/>
      <c r="P187" s="1779"/>
      <c r="Q187" s="1779"/>
      <c r="R187" s="1779"/>
      <c r="S187" s="1779"/>
      <c r="T187" s="1779"/>
      <c r="U187" s="1779"/>
      <c r="V187" s="1779"/>
      <c r="W187" s="1779"/>
      <c r="X187" s="1779"/>
      <c r="Y187" s="1779"/>
      <c r="Z187" s="1779"/>
      <c r="AA187" s="1779"/>
      <c r="AB187" s="1779"/>
      <c r="AC187" s="1779"/>
    </row>
    <row r="188" spans="1:29">
      <c r="A188" s="1779"/>
      <c r="B188" s="1779"/>
      <c r="C188" s="1779"/>
      <c r="D188" s="1779"/>
      <c r="E188" s="1779"/>
      <c r="F188" s="1779"/>
      <c r="G188" s="1779"/>
      <c r="H188" s="1779"/>
      <c r="I188" s="1779"/>
      <c r="J188" s="1779"/>
      <c r="K188" s="1780"/>
      <c r="L188" s="1781"/>
      <c r="M188" s="1779"/>
      <c r="N188" s="1779"/>
      <c r="O188" s="1779"/>
      <c r="P188" s="1779"/>
      <c r="Q188" s="1779"/>
      <c r="R188" s="1779"/>
      <c r="S188" s="1779"/>
      <c r="T188" s="1779"/>
      <c r="U188" s="1779"/>
      <c r="V188" s="1779"/>
      <c r="W188" s="1779"/>
      <c r="X188" s="1779"/>
      <c r="Y188" s="1779"/>
      <c r="Z188" s="1779"/>
      <c r="AA188" s="1779"/>
      <c r="AB188" s="1779"/>
      <c r="AC188" s="1779"/>
    </row>
    <row r="189" spans="1:29">
      <c r="A189" s="1779"/>
      <c r="B189" s="1779"/>
      <c r="C189" s="1779"/>
      <c r="D189" s="1779"/>
      <c r="E189" s="1779"/>
      <c r="F189" s="1779"/>
      <c r="G189" s="1779"/>
      <c r="H189" s="1779"/>
      <c r="I189" s="1779"/>
      <c r="J189" s="1779"/>
      <c r="K189" s="1780"/>
      <c r="L189" s="1781"/>
      <c r="M189" s="1779"/>
      <c r="N189" s="1779"/>
      <c r="O189" s="1779"/>
      <c r="P189" s="1779"/>
      <c r="Q189" s="1779"/>
      <c r="R189" s="1779"/>
      <c r="S189" s="1779"/>
      <c r="T189" s="1779"/>
      <c r="U189" s="1779"/>
      <c r="V189" s="1779"/>
      <c r="W189" s="1779"/>
      <c r="X189" s="1779"/>
      <c r="Y189" s="1779"/>
      <c r="Z189" s="1779"/>
      <c r="AA189" s="1779"/>
      <c r="AB189" s="1779"/>
      <c r="AC189" s="1779"/>
    </row>
    <row r="190" spans="1:29">
      <c r="A190" s="1779"/>
      <c r="B190" s="1779"/>
      <c r="C190" s="1779"/>
      <c r="D190" s="1779"/>
      <c r="E190" s="1779"/>
      <c r="F190" s="1779"/>
      <c r="G190" s="1779"/>
      <c r="H190" s="1779"/>
      <c r="I190" s="1779"/>
      <c r="J190" s="1779"/>
      <c r="K190" s="1780"/>
      <c r="L190" s="1781"/>
      <c r="M190" s="1779"/>
      <c r="N190" s="1779"/>
      <c r="O190" s="1779"/>
      <c r="P190" s="1779"/>
      <c r="Q190" s="1779"/>
      <c r="R190" s="1779"/>
      <c r="S190" s="1779"/>
      <c r="T190" s="1779"/>
      <c r="U190" s="1779"/>
      <c r="V190" s="1779"/>
      <c r="W190" s="1779"/>
      <c r="X190" s="1779"/>
      <c r="Y190" s="1779"/>
      <c r="Z190" s="1779"/>
      <c r="AA190" s="1779"/>
      <c r="AB190" s="1779"/>
      <c r="AC190" s="1779"/>
    </row>
    <row r="191" spans="1:29">
      <c r="A191" s="1779"/>
      <c r="B191" s="1779"/>
      <c r="C191" s="1779"/>
      <c r="D191" s="1779"/>
      <c r="E191" s="1779"/>
      <c r="F191" s="1779"/>
      <c r="G191" s="1779"/>
      <c r="H191" s="1779"/>
      <c r="I191" s="1779"/>
      <c r="J191" s="1779"/>
      <c r="K191" s="1780"/>
      <c r="L191" s="1781"/>
      <c r="M191" s="1779"/>
      <c r="N191" s="1779"/>
      <c r="O191" s="1779"/>
      <c r="P191" s="1779"/>
      <c r="Q191" s="1779"/>
      <c r="R191" s="1779"/>
      <c r="S191" s="1779"/>
      <c r="T191" s="1779"/>
      <c r="U191" s="1779"/>
      <c r="V191" s="1779"/>
      <c r="W191" s="1779"/>
      <c r="X191" s="1779"/>
      <c r="Y191" s="1779"/>
      <c r="Z191" s="1779"/>
      <c r="AA191" s="1779"/>
      <c r="AB191" s="1779"/>
      <c r="AC191" s="1779"/>
    </row>
    <row r="192" spans="1:29">
      <c r="A192" s="1779"/>
      <c r="B192" s="1779"/>
      <c r="C192" s="1779"/>
      <c r="D192" s="1779"/>
      <c r="E192" s="1779"/>
      <c r="F192" s="1779"/>
      <c r="G192" s="1779"/>
      <c r="H192" s="1779"/>
      <c r="I192" s="1779"/>
      <c r="J192" s="1779"/>
      <c r="K192" s="1780"/>
      <c r="L192" s="1781"/>
      <c r="M192" s="1779"/>
      <c r="N192" s="1779"/>
      <c r="O192" s="1779"/>
      <c r="P192" s="1779"/>
      <c r="Q192" s="1779"/>
      <c r="R192" s="1779"/>
      <c r="S192" s="1779"/>
      <c r="T192" s="1779"/>
      <c r="U192" s="1779"/>
      <c r="V192" s="1779"/>
      <c r="W192" s="1779"/>
      <c r="X192" s="1779"/>
      <c r="Y192" s="1779"/>
      <c r="Z192" s="1779"/>
      <c r="AA192" s="1779"/>
      <c r="AB192" s="1779"/>
      <c r="AC192" s="1779"/>
    </row>
    <row r="193" spans="1:29">
      <c r="A193" s="1779"/>
      <c r="B193" s="1779"/>
      <c r="C193" s="1779"/>
      <c r="D193" s="1779"/>
      <c r="E193" s="1779"/>
      <c r="F193" s="1779"/>
      <c r="G193" s="1779"/>
      <c r="H193" s="1779"/>
      <c r="I193" s="1779"/>
      <c r="J193" s="1779"/>
      <c r="K193" s="1780"/>
      <c r="L193" s="1781"/>
      <c r="M193" s="1779"/>
      <c r="N193" s="1779"/>
      <c r="O193" s="1779"/>
      <c r="P193" s="1779"/>
      <c r="Q193" s="1779"/>
      <c r="R193" s="1779"/>
      <c r="S193" s="1779"/>
      <c r="T193" s="1779"/>
      <c r="U193" s="1779"/>
      <c r="V193" s="1779"/>
      <c r="W193" s="1779"/>
      <c r="X193" s="1779"/>
      <c r="Y193" s="1779"/>
      <c r="Z193" s="1779"/>
      <c r="AA193" s="1779"/>
      <c r="AB193" s="1779"/>
      <c r="AC193" s="1779"/>
    </row>
    <row r="194" spans="1:29">
      <c r="A194" s="1779"/>
      <c r="B194" s="1779"/>
      <c r="C194" s="1779"/>
      <c r="D194" s="1779"/>
      <c r="E194" s="1779"/>
      <c r="F194" s="1779"/>
      <c r="G194" s="1779"/>
      <c r="H194" s="1779"/>
      <c r="I194" s="1779"/>
      <c r="J194" s="1779"/>
      <c r="K194" s="1780"/>
      <c r="L194" s="1781"/>
      <c r="M194" s="1779"/>
      <c r="N194" s="1779"/>
      <c r="O194" s="1779"/>
      <c r="P194" s="1779"/>
      <c r="Q194" s="1779"/>
      <c r="R194" s="1779"/>
      <c r="S194" s="1779"/>
      <c r="T194" s="1779"/>
      <c r="U194" s="1779"/>
      <c r="V194" s="1779"/>
      <c r="W194" s="1779"/>
      <c r="X194" s="1779"/>
      <c r="Y194" s="1779"/>
      <c r="Z194" s="1779"/>
      <c r="AA194" s="1779"/>
      <c r="AB194" s="1779"/>
      <c r="AC194" s="1779"/>
    </row>
    <row r="195" spans="1:29">
      <c r="A195" s="1779"/>
      <c r="B195" s="1779"/>
      <c r="C195" s="1779"/>
      <c r="D195" s="1779"/>
      <c r="E195" s="1779"/>
      <c r="F195" s="1779"/>
      <c r="G195" s="1779"/>
      <c r="H195" s="1779"/>
      <c r="I195" s="1779"/>
      <c r="J195" s="1779"/>
      <c r="K195" s="1780"/>
      <c r="L195" s="1781"/>
      <c r="M195" s="1779"/>
      <c r="N195" s="1779"/>
      <c r="O195" s="1779"/>
      <c r="P195" s="1779"/>
      <c r="Q195" s="1779"/>
      <c r="R195" s="1779"/>
      <c r="S195" s="1779"/>
      <c r="T195" s="1779"/>
      <c r="U195" s="1779"/>
      <c r="V195" s="1779"/>
      <c r="W195" s="1779"/>
      <c r="X195" s="1779"/>
      <c r="Y195" s="1779"/>
      <c r="Z195" s="1779"/>
      <c r="AA195" s="1779"/>
      <c r="AB195" s="1779"/>
      <c r="AC195" s="1779"/>
    </row>
    <row r="196" spans="1:29">
      <c r="A196" s="1779"/>
      <c r="B196" s="1779"/>
      <c r="C196" s="1779"/>
      <c r="D196" s="1779"/>
      <c r="E196" s="1779"/>
      <c r="F196" s="1779"/>
      <c r="G196" s="1779"/>
      <c r="H196" s="1779"/>
      <c r="I196" s="1779"/>
      <c r="J196" s="1779"/>
      <c r="K196" s="1780"/>
      <c r="L196" s="1781"/>
      <c r="M196" s="1779"/>
      <c r="N196" s="1779"/>
      <c r="O196" s="1779"/>
      <c r="P196" s="1779"/>
      <c r="Q196" s="1779"/>
      <c r="R196" s="1779"/>
      <c r="S196" s="1779"/>
      <c r="T196" s="1779"/>
      <c r="U196" s="1779"/>
      <c r="V196" s="1779"/>
      <c r="W196" s="1779"/>
      <c r="X196" s="1779"/>
      <c r="Y196" s="1779"/>
      <c r="Z196" s="1779"/>
      <c r="AA196" s="1779"/>
      <c r="AB196" s="1779"/>
      <c r="AC196" s="1779"/>
    </row>
    <row r="197" spans="1:29">
      <c r="A197" s="1779"/>
      <c r="B197" s="1779"/>
      <c r="C197" s="1779"/>
      <c r="D197" s="1779"/>
      <c r="E197" s="1779"/>
      <c r="F197" s="1779"/>
      <c r="G197" s="1779"/>
      <c r="H197" s="1779"/>
      <c r="I197" s="1779"/>
      <c r="J197" s="1779"/>
      <c r="K197" s="1780"/>
      <c r="L197" s="1781"/>
      <c r="M197" s="1779"/>
      <c r="N197" s="1779"/>
      <c r="O197" s="1779"/>
      <c r="P197" s="1779"/>
      <c r="Q197" s="1779"/>
      <c r="R197" s="1779"/>
      <c r="S197" s="1779"/>
      <c r="T197" s="1779"/>
      <c r="U197" s="1779"/>
      <c r="V197" s="1779"/>
      <c r="W197" s="1779"/>
      <c r="X197" s="1779"/>
      <c r="Y197" s="1779"/>
      <c r="Z197" s="1779"/>
      <c r="AA197" s="1779"/>
      <c r="AB197" s="1779"/>
      <c r="AC197" s="1779"/>
    </row>
    <row r="198" spans="1:29">
      <c r="A198" s="1779"/>
      <c r="B198" s="1779"/>
      <c r="C198" s="1779"/>
      <c r="D198" s="1779"/>
      <c r="E198" s="1779"/>
      <c r="F198" s="1779"/>
      <c r="G198" s="1779"/>
      <c r="H198" s="1779"/>
      <c r="I198" s="1779"/>
      <c r="J198" s="1779"/>
      <c r="K198" s="1780"/>
      <c r="L198" s="1781"/>
      <c r="M198" s="1779"/>
      <c r="N198" s="1779"/>
      <c r="O198" s="1779"/>
      <c r="P198" s="1779"/>
      <c r="Q198" s="1779"/>
      <c r="R198" s="1779"/>
      <c r="S198" s="1779"/>
      <c r="T198" s="1779"/>
      <c r="U198" s="1779"/>
      <c r="V198" s="1779"/>
      <c r="W198" s="1779"/>
      <c r="X198" s="1779"/>
      <c r="Y198" s="1779"/>
      <c r="Z198" s="1779"/>
      <c r="AA198" s="1779"/>
      <c r="AB198" s="1779"/>
      <c r="AC198" s="1779"/>
    </row>
    <row r="199" spans="1:29">
      <c r="A199" s="1779"/>
      <c r="B199" s="1779"/>
      <c r="C199" s="1779"/>
      <c r="D199" s="1779"/>
      <c r="E199" s="1779"/>
      <c r="F199" s="1779"/>
      <c r="G199" s="1779"/>
      <c r="H199" s="1779"/>
      <c r="I199" s="1779"/>
      <c r="J199" s="1779"/>
      <c r="K199" s="1780"/>
      <c r="L199" s="1781"/>
      <c r="M199" s="1779"/>
      <c r="N199" s="1779"/>
      <c r="O199" s="1779"/>
      <c r="P199" s="1779"/>
      <c r="Q199" s="1779"/>
      <c r="R199" s="1779"/>
      <c r="S199" s="1779"/>
      <c r="T199" s="1779"/>
      <c r="U199" s="1779"/>
      <c r="V199" s="1779"/>
      <c r="W199" s="1779"/>
      <c r="X199" s="1779"/>
      <c r="Y199" s="1779"/>
      <c r="Z199" s="1779"/>
      <c r="AA199" s="1779"/>
      <c r="AB199" s="1779"/>
      <c r="AC199" s="1779"/>
    </row>
    <row r="200" spans="1:29">
      <c r="A200" s="1779"/>
      <c r="B200" s="1779"/>
      <c r="C200" s="1779"/>
      <c r="D200" s="1779"/>
      <c r="E200" s="1779"/>
      <c r="F200" s="1779"/>
      <c r="G200" s="1779"/>
      <c r="H200" s="1779"/>
      <c r="I200" s="1779"/>
      <c r="J200" s="1779"/>
      <c r="K200" s="1780"/>
      <c r="L200" s="1781"/>
      <c r="M200" s="1779"/>
      <c r="N200" s="1779"/>
      <c r="O200" s="1779"/>
      <c r="P200" s="1779"/>
      <c r="Q200" s="1779"/>
      <c r="R200" s="1779"/>
      <c r="S200" s="1779"/>
      <c r="T200" s="1779"/>
      <c r="U200" s="1779"/>
      <c r="V200" s="1779"/>
      <c r="W200" s="1779"/>
      <c r="X200" s="1779"/>
      <c r="Y200" s="1779"/>
      <c r="Z200" s="1779"/>
      <c r="AA200" s="1779"/>
      <c r="AB200" s="1779"/>
      <c r="AC200" s="1779"/>
    </row>
    <row r="201" spans="1:29">
      <c r="A201" s="1779"/>
      <c r="B201" s="1779"/>
      <c r="C201" s="1779"/>
      <c r="D201" s="1779"/>
      <c r="E201" s="1779"/>
      <c r="F201" s="1779"/>
      <c r="G201" s="1779"/>
      <c r="H201" s="1779"/>
      <c r="I201" s="1779"/>
      <c r="J201" s="1779"/>
      <c r="K201" s="1780"/>
      <c r="L201" s="1781"/>
      <c r="M201" s="1779"/>
      <c r="N201" s="1779"/>
      <c r="O201" s="1779"/>
      <c r="P201" s="1779"/>
      <c r="Q201" s="1779"/>
      <c r="R201" s="1779"/>
      <c r="S201" s="1779"/>
      <c r="T201" s="1779"/>
      <c r="U201" s="1779"/>
      <c r="V201" s="1779"/>
      <c r="W201" s="1779"/>
      <c r="X201" s="1779"/>
      <c r="Y201" s="1779"/>
      <c r="Z201" s="1779"/>
      <c r="AA201" s="1779"/>
      <c r="AB201" s="1779"/>
      <c r="AC201" s="1779"/>
    </row>
    <row r="202" spans="1:29">
      <c r="A202" s="1779"/>
      <c r="B202" s="1779"/>
      <c r="C202" s="1779"/>
      <c r="D202" s="1779"/>
      <c r="E202" s="1779"/>
      <c r="F202" s="1779"/>
      <c r="G202" s="1779"/>
      <c r="H202" s="1779"/>
      <c r="I202" s="1779"/>
      <c r="J202" s="1779"/>
      <c r="K202" s="1780"/>
      <c r="L202" s="1781"/>
      <c r="M202" s="1779"/>
      <c r="N202" s="1779"/>
      <c r="O202" s="1779"/>
      <c r="P202" s="1779"/>
      <c r="Q202" s="1779"/>
      <c r="R202" s="1779"/>
      <c r="S202" s="1779"/>
      <c r="T202" s="1779"/>
      <c r="U202" s="1779"/>
      <c r="V202" s="1779"/>
      <c r="W202" s="1779"/>
      <c r="X202" s="1779"/>
      <c r="Y202" s="1779"/>
      <c r="Z202" s="1779"/>
      <c r="AA202" s="1779"/>
      <c r="AB202" s="1779"/>
      <c r="AC202" s="1779"/>
    </row>
    <row r="203" spans="1:29">
      <c r="A203" s="1779"/>
      <c r="B203" s="1779"/>
      <c r="C203" s="1779"/>
      <c r="D203" s="1779"/>
      <c r="E203" s="1779"/>
      <c r="F203" s="1779"/>
      <c r="G203" s="1779"/>
      <c r="H203" s="1779"/>
      <c r="I203" s="1779"/>
      <c r="J203" s="1779"/>
      <c r="K203" s="1780"/>
      <c r="L203" s="1781"/>
      <c r="M203" s="1779"/>
      <c r="N203" s="1779"/>
      <c r="O203" s="1779"/>
      <c r="P203" s="1779"/>
      <c r="Q203" s="1779"/>
      <c r="R203" s="1779"/>
      <c r="S203" s="1779"/>
      <c r="T203" s="1779"/>
      <c r="U203" s="1779"/>
      <c r="V203" s="1779"/>
      <c r="W203" s="1779"/>
      <c r="X203" s="1779"/>
      <c r="Y203" s="1779"/>
      <c r="Z203" s="1779"/>
      <c r="AA203" s="1779"/>
      <c r="AB203" s="1779"/>
      <c r="AC203" s="1779"/>
    </row>
    <row r="204" spans="1:29">
      <c r="A204" s="1779"/>
      <c r="B204" s="1779"/>
      <c r="C204" s="1779"/>
      <c r="D204" s="1779"/>
      <c r="E204" s="1779"/>
      <c r="F204" s="1779"/>
      <c r="G204" s="1779"/>
      <c r="H204" s="1779"/>
      <c r="I204" s="1779"/>
      <c r="J204" s="1779"/>
      <c r="K204" s="1780"/>
      <c r="L204" s="1781"/>
      <c r="M204" s="1779"/>
      <c r="N204" s="1779"/>
      <c r="O204" s="1779"/>
      <c r="P204" s="1779"/>
      <c r="Q204" s="1779"/>
      <c r="R204" s="1779"/>
      <c r="S204" s="1779"/>
      <c r="T204" s="1779"/>
      <c r="U204" s="1779"/>
      <c r="V204" s="1779"/>
      <c r="W204" s="1779"/>
      <c r="X204" s="1779"/>
      <c r="Y204" s="1779"/>
      <c r="Z204" s="1779"/>
      <c r="AA204" s="1779"/>
      <c r="AB204" s="1779"/>
      <c r="AC204" s="1779"/>
    </row>
    <row r="205" spans="1:29">
      <c r="A205" s="1779"/>
      <c r="B205" s="1779"/>
      <c r="C205" s="1779"/>
      <c r="D205" s="1779"/>
      <c r="E205" s="1779"/>
      <c r="F205" s="1779"/>
      <c r="G205" s="1779"/>
      <c r="H205" s="1779"/>
      <c r="I205" s="1779"/>
      <c r="J205" s="1779"/>
      <c r="K205" s="1780"/>
      <c r="L205" s="1781"/>
      <c r="M205" s="1779"/>
      <c r="N205" s="1779"/>
      <c r="O205" s="1779"/>
      <c r="P205" s="1779"/>
      <c r="Q205" s="1779"/>
      <c r="R205" s="1779"/>
      <c r="S205" s="1779"/>
      <c r="T205" s="1779"/>
      <c r="U205" s="1779"/>
      <c r="V205" s="1779"/>
      <c r="W205" s="1779"/>
      <c r="X205" s="1779"/>
      <c r="Y205" s="1779"/>
      <c r="Z205" s="1779"/>
      <c r="AA205" s="1779"/>
      <c r="AB205" s="1779"/>
      <c r="AC205" s="1779"/>
    </row>
    <row r="206" spans="1:29">
      <c r="A206" s="1779"/>
      <c r="B206" s="1779"/>
      <c r="C206" s="1779"/>
      <c r="D206" s="1779"/>
      <c r="E206" s="1779"/>
      <c r="F206" s="1779"/>
      <c r="G206" s="1779"/>
      <c r="H206" s="1779"/>
      <c r="I206" s="1779"/>
      <c r="J206" s="1779"/>
      <c r="K206" s="1780"/>
      <c r="L206" s="1781"/>
      <c r="M206" s="1779"/>
      <c r="N206" s="1779"/>
      <c r="O206" s="1779"/>
      <c r="P206" s="1779"/>
      <c r="Q206" s="1779"/>
      <c r="R206" s="1779"/>
      <c r="S206" s="1779"/>
      <c r="T206" s="1779"/>
      <c r="U206" s="1779"/>
      <c r="V206" s="1779"/>
      <c r="W206" s="1779"/>
      <c r="X206" s="1779"/>
      <c r="Y206" s="1779"/>
      <c r="Z206" s="1779"/>
      <c r="AA206" s="1779"/>
      <c r="AB206" s="1779"/>
      <c r="AC206" s="1779"/>
    </row>
    <row r="207" spans="1:29">
      <c r="A207" s="1779"/>
      <c r="B207" s="1779"/>
      <c r="C207" s="1779"/>
      <c r="D207" s="1779"/>
      <c r="E207" s="1779"/>
      <c r="F207" s="1779"/>
      <c r="G207" s="1779"/>
      <c r="H207" s="1779"/>
      <c r="I207" s="1779"/>
      <c r="J207" s="1779"/>
      <c r="K207" s="1780"/>
      <c r="L207" s="1781"/>
      <c r="M207" s="1779"/>
      <c r="N207" s="1779"/>
      <c r="O207" s="1779"/>
      <c r="P207" s="1779"/>
      <c r="Q207" s="1779"/>
      <c r="R207" s="1779"/>
      <c r="S207" s="1779"/>
      <c r="T207" s="1779"/>
      <c r="U207" s="1779"/>
      <c r="V207" s="1779"/>
      <c r="W207" s="1779"/>
      <c r="X207" s="1779"/>
      <c r="Y207" s="1779"/>
      <c r="Z207" s="1779"/>
      <c r="AA207" s="1779"/>
      <c r="AB207" s="1779"/>
      <c r="AC207" s="1779"/>
    </row>
    <row r="208" spans="1:29">
      <c r="A208" s="1779"/>
      <c r="B208" s="1779"/>
      <c r="C208" s="1779"/>
      <c r="D208" s="1779"/>
      <c r="E208" s="1779"/>
      <c r="F208" s="1779"/>
      <c r="G208" s="1779"/>
      <c r="H208" s="1779"/>
      <c r="I208" s="1779"/>
      <c r="J208" s="1779"/>
      <c r="K208" s="1780"/>
      <c r="L208" s="1781"/>
      <c r="M208" s="1779"/>
      <c r="N208" s="1779"/>
      <c r="O208" s="1779"/>
      <c r="P208" s="1779"/>
      <c r="Q208" s="1779"/>
      <c r="R208" s="1779"/>
      <c r="S208" s="1779"/>
      <c r="T208" s="1779"/>
      <c r="U208" s="1779"/>
      <c r="V208" s="1779"/>
      <c r="W208" s="1779"/>
      <c r="X208" s="1779"/>
      <c r="Y208" s="1779"/>
      <c r="Z208" s="1779"/>
      <c r="AA208" s="1779"/>
      <c r="AB208" s="1779"/>
      <c r="AC208" s="1779"/>
    </row>
    <row r="209" spans="1:29">
      <c r="A209" s="1779"/>
      <c r="B209" s="1779"/>
      <c r="C209" s="1779"/>
      <c r="D209" s="1779"/>
      <c r="E209" s="1779"/>
      <c r="F209" s="1779"/>
      <c r="G209" s="1779"/>
      <c r="H209" s="1779"/>
      <c r="I209" s="1779"/>
      <c r="J209" s="1779"/>
      <c r="K209" s="1780"/>
      <c r="L209" s="1781"/>
      <c r="M209" s="1779"/>
      <c r="N209" s="1779"/>
      <c r="O209" s="1779"/>
      <c r="P209" s="1779"/>
      <c r="Q209" s="1779"/>
      <c r="R209" s="1779"/>
      <c r="S209" s="1779"/>
      <c r="T209" s="1779"/>
      <c r="U209" s="1779"/>
      <c r="V209" s="1779"/>
      <c r="W209" s="1779"/>
      <c r="X209" s="1779"/>
      <c r="Y209" s="1779"/>
      <c r="Z209" s="1779"/>
      <c r="AA209" s="1779"/>
      <c r="AB209" s="1779"/>
      <c r="AC209" s="1779"/>
    </row>
    <row r="210" spans="1:29">
      <c r="A210" s="1779"/>
      <c r="B210" s="1779"/>
      <c r="C210" s="1779"/>
      <c r="D210" s="1779"/>
      <c r="E210" s="1779"/>
      <c r="F210" s="1779"/>
      <c r="G210" s="1779"/>
      <c r="H210" s="1779"/>
      <c r="I210" s="1779"/>
      <c r="J210" s="1779"/>
      <c r="K210" s="1780"/>
      <c r="L210" s="1781"/>
      <c r="M210" s="1779"/>
      <c r="N210" s="1779"/>
      <c r="O210" s="1779"/>
      <c r="P210" s="1779"/>
      <c r="Q210" s="1779"/>
      <c r="R210" s="1779"/>
      <c r="S210" s="1779"/>
      <c r="T210" s="1779"/>
      <c r="U210" s="1779"/>
      <c r="V210" s="1779"/>
      <c r="W210" s="1779"/>
      <c r="X210" s="1779"/>
      <c r="Y210" s="1779"/>
      <c r="Z210" s="1779"/>
      <c r="AA210" s="1779"/>
      <c r="AB210" s="1779"/>
      <c r="AC210" s="1779"/>
    </row>
    <row r="211" spans="1:29">
      <c r="A211" s="1779"/>
      <c r="B211" s="1779"/>
      <c r="C211" s="1779"/>
      <c r="D211" s="1779"/>
      <c r="E211" s="1779"/>
      <c r="F211" s="1779"/>
      <c r="G211" s="1779"/>
      <c r="H211" s="1779"/>
      <c r="I211" s="1779"/>
      <c r="J211" s="1779"/>
      <c r="K211" s="1780"/>
      <c r="L211" s="1781"/>
      <c r="M211" s="1779"/>
      <c r="N211" s="1779"/>
      <c r="O211" s="1779"/>
      <c r="P211" s="1779"/>
      <c r="Q211" s="1779"/>
      <c r="R211" s="1779"/>
      <c r="S211" s="1779"/>
      <c r="T211" s="1779"/>
      <c r="U211" s="1779"/>
      <c r="V211" s="1779"/>
      <c r="W211" s="1779"/>
      <c r="X211" s="1779"/>
      <c r="Y211" s="1779"/>
      <c r="Z211" s="1779"/>
      <c r="AA211" s="1779"/>
      <c r="AB211" s="1779"/>
      <c r="AC211" s="1779"/>
    </row>
    <row r="212" spans="1:29">
      <c r="A212" s="1779"/>
      <c r="B212" s="1779"/>
      <c r="C212" s="1779"/>
      <c r="D212" s="1779"/>
      <c r="E212" s="1779"/>
      <c r="F212" s="1779"/>
      <c r="G212" s="1779"/>
      <c r="H212" s="1779"/>
      <c r="I212" s="1779"/>
      <c r="J212" s="1779"/>
      <c r="K212" s="1780"/>
      <c r="L212" s="1781"/>
      <c r="M212" s="1779"/>
      <c r="N212" s="1779"/>
      <c r="O212" s="1779"/>
      <c r="P212" s="1779"/>
      <c r="Q212" s="1779"/>
      <c r="R212" s="1779"/>
      <c r="S212" s="1779"/>
      <c r="T212" s="1779"/>
      <c r="U212" s="1779"/>
      <c r="V212" s="1779"/>
      <c r="W212" s="1779"/>
      <c r="X212" s="1779"/>
      <c r="Y212" s="1779"/>
      <c r="Z212" s="1779"/>
      <c r="AA212" s="1779"/>
      <c r="AB212" s="1779"/>
      <c r="AC212" s="1779"/>
    </row>
    <row r="213" spans="1:29">
      <c r="A213" s="1779"/>
      <c r="B213" s="1779"/>
      <c r="C213" s="1779"/>
      <c r="D213" s="1779"/>
      <c r="E213" s="1779"/>
      <c r="F213" s="1779"/>
      <c r="G213" s="1779"/>
      <c r="H213" s="1779"/>
      <c r="I213" s="1779"/>
      <c r="J213" s="1779"/>
      <c r="K213" s="1780"/>
      <c r="L213" s="1781"/>
      <c r="M213" s="1779"/>
      <c r="N213" s="1779"/>
      <c r="O213" s="1779"/>
      <c r="P213" s="1779"/>
      <c r="Q213" s="1779"/>
      <c r="R213" s="1779"/>
      <c r="S213" s="1779"/>
      <c r="T213" s="1779"/>
      <c r="U213" s="1779"/>
      <c r="V213" s="1779"/>
      <c r="W213" s="1779"/>
      <c r="X213" s="1779"/>
      <c r="Y213" s="1779"/>
      <c r="Z213" s="1779"/>
      <c r="AA213" s="1779"/>
      <c r="AB213" s="1779"/>
      <c r="AC213" s="1779"/>
    </row>
    <row r="214" spans="1:29">
      <c r="A214" s="1779"/>
      <c r="B214" s="1779"/>
      <c r="C214" s="1779"/>
      <c r="D214" s="1779"/>
      <c r="E214" s="1779"/>
      <c r="F214" s="1779"/>
      <c r="G214" s="1779"/>
      <c r="H214" s="1779"/>
      <c r="I214" s="1779"/>
      <c r="J214" s="1779"/>
      <c r="K214" s="1780"/>
      <c r="L214" s="1781"/>
      <c r="M214" s="1779"/>
      <c r="N214" s="1779"/>
      <c r="O214" s="1779"/>
      <c r="P214" s="1779"/>
      <c r="Q214" s="1779"/>
      <c r="R214" s="1779"/>
      <c r="S214" s="1779"/>
      <c r="T214" s="1779"/>
      <c r="U214" s="1779"/>
      <c r="V214" s="1779"/>
      <c r="W214" s="1779"/>
      <c r="X214" s="1779"/>
      <c r="Y214" s="1779"/>
      <c r="Z214" s="1779"/>
      <c r="AA214" s="1779"/>
      <c r="AB214" s="1779"/>
      <c r="AC214" s="1779"/>
    </row>
    <row r="215" spans="1:29">
      <c r="A215" s="1779"/>
      <c r="B215" s="1779"/>
      <c r="C215" s="1779"/>
      <c r="D215" s="1779"/>
      <c r="E215" s="1779"/>
      <c r="F215" s="1779"/>
      <c r="G215" s="1779"/>
      <c r="H215" s="1779"/>
      <c r="I215" s="1779"/>
      <c r="J215" s="1779"/>
      <c r="K215" s="1780"/>
      <c r="L215" s="1781"/>
      <c r="M215" s="1779"/>
      <c r="N215" s="1779"/>
      <c r="O215" s="1779"/>
      <c r="P215" s="1779"/>
      <c r="Q215" s="1779"/>
      <c r="R215" s="1779"/>
      <c r="S215" s="1779"/>
      <c r="T215" s="1779"/>
      <c r="U215" s="1779"/>
      <c r="V215" s="1779"/>
      <c r="W215" s="1779"/>
      <c r="X215" s="1779"/>
      <c r="Y215" s="1779"/>
      <c r="Z215" s="1779"/>
      <c r="AA215" s="1779"/>
      <c r="AB215" s="1779"/>
      <c r="AC215" s="1779"/>
    </row>
    <row r="216" spans="1:29">
      <c r="A216" s="1779"/>
      <c r="B216" s="1779"/>
      <c r="C216" s="1779"/>
      <c r="D216" s="1779"/>
      <c r="E216" s="1779"/>
      <c r="F216" s="1779"/>
      <c r="G216" s="1779"/>
      <c r="H216" s="1779"/>
      <c r="I216" s="1779"/>
      <c r="J216" s="1779"/>
      <c r="K216" s="1780"/>
      <c r="L216" s="1781"/>
      <c r="M216" s="1779"/>
      <c r="N216" s="1779"/>
      <c r="O216" s="1779"/>
      <c r="P216" s="1779"/>
      <c r="Q216" s="1779"/>
      <c r="R216" s="1779"/>
      <c r="S216" s="1779"/>
      <c r="T216" s="1779"/>
      <c r="U216" s="1779"/>
      <c r="V216" s="1779"/>
      <c r="W216" s="1779"/>
      <c r="X216" s="1779"/>
      <c r="Y216" s="1779"/>
      <c r="Z216" s="1779"/>
      <c r="AA216" s="1779"/>
      <c r="AB216" s="1779"/>
      <c r="AC216" s="1779"/>
    </row>
    <row r="217" spans="1:29">
      <c r="A217" s="1779"/>
      <c r="B217" s="1779"/>
      <c r="C217" s="1779"/>
      <c r="D217" s="1779"/>
      <c r="E217" s="1779"/>
      <c r="F217" s="1779"/>
      <c r="G217" s="1779"/>
      <c r="H217" s="1779"/>
      <c r="I217" s="1779"/>
      <c r="J217" s="1779"/>
      <c r="K217" s="1780"/>
      <c r="L217" s="1781"/>
      <c r="M217" s="1779"/>
      <c r="N217" s="1779"/>
      <c r="O217" s="1779"/>
      <c r="P217" s="1779"/>
      <c r="Q217" s="1779"/>
      <c r="R217" s="1779"/>
      <c r="S217" s="1779"/>
      <c r="T217" s="1779"/>
      <c r="U217" s="1779"/>
      <c r="V217" s="1779"/>
      <c r="W217" s="1779"/>
      <c r="X217" s="1779"/>
      <c r="Y217" s="1779"/>
      <c r="Z217" s="1779"/>
      <c r="AA217" s="1779"/>
      <c r="AB217" s="1779"/>
      <c r="AC217" s="1779"/>
    </row>
    <row r="218" spans="1:29">
      <c r="A218" s="1779"/>
      <c r="B218" s="1779"/>
      <c r="C218" s="1779"/>
      <c r="D218" s="1779"/>
      <c r="E218" s="1779"/>
      <c r="F218" s="1779"/>
      <c r="G218" s="1779"/>
      <c r="H218" s="1779"/>
      <c r="I218" s="1779"/>
      <c r="J218" s="1779"/>
      <c r="K218" s="1780"/>
      <c r="L218" s="1781"/>
      <c r="M218" s="1779"/>
      <c r="N218" s="1779"/>
      <c r="O218" s="1779"/>
      <c r="P218" s="1779"/>
      <c r="Q218" s="1779"/>
      <c r="R218" s="1779"/>
      <c r="S218" s="1779"/>
      <c r="T218" s="1779"/>
      <c r="U218" s="1779"/>
      <c r="V218" s="1779"/>
      <c r="W218" s="1779"/>
      <c r="X218" s="1779"/>
      <c r="Y218" s="1779"/>
      <c r="Z218" s="1779"/>
      <c r="AA218" s="1779"/>
      <c r="AB218" s="1779"/>
      <c r="AC218" s="1779"/>
    </row>
    <row r="219" spans="1:29">
      <c r="A219" s="1779"/>
      <c r="B219" s="1779"/>
      <c r="C219" s="1779"/>
      <c r="D219" s="1779"/>
      <c r="E219" s="1779"/>
      <c r="F219" s="1779"/>
      <c r="G219" s="1779"/>
      <c r="H219" s="1779"/>
      <c r="I219" s="1779"/>
      <c r="J219" s="1779"/>
      <c r="K219" s="1780"/>
      <c r="L219" s="1781"/>
      <c r="M219" s="1779"/>
      <c r="N219" s="1779"/>
      <c r="O219" s="1779"/>
      <c r="P219" s="1779"/>
      <c r="Q219" s="1779"/>
      <c r="R219" s="1779"/>
      <c r="S219" s="1779"/>
      <c r="T219" s="1779"/>
      <c r="U219" s="1779"/>
      <c r="V219" s="1779"/>
      <c r="W219" s="1779"/>
      <c r="X219" s="1779"/>
      <c r="Y219" s="1779"/>
      <c r="Z219" s="1779"/>
      <c r="AA219" s="1779"/>
      <c r="AB219" s="1779"/>
      <c r="AC219" s="1779"/>
    </row>
    <row r="220" spans="1:29">
      <c r="A220" s="1779"/>
      <c r="B220" s="1779"/>
      <c r="C220" s="1779"/>
      <c r="D220" s="1779"/>
      <c r="E220" s="1779"/>
      <c r="F220" s="1779"/>
      <c r="G220" s="1779"/>
      <c r="H220" s="1779"/>
      <c r="I220" s="1779"/>
      <c r="J220" s="1779"/>
      <c r="K220" s="1780"/>
      <c r="L220" s="1781"/>
      <c r="M220" s="1779"/>
      <c r="N220" s="1779"/>
      <c r="O220" s="1779"/>
      <c r="P220" s="1779"/>
      <c r="Q220" s="1779"/>
      <c r="R220" s="1779"/>
      <c r="S220" s="1779"/>
      <c r="T220" s="1779"/>
      <c r="U220" s="1779"/>
      <c r="V220" s="1779"/>
      <c r="W220" s="1779"/>
      <c r="X220" s="1779"/>
      <c r="Y220" s="1779"/>
      <c r="Z220" s="1779"/>
      <c r="AA220" s="1779"/>
      <c r="AB220" s="1779"/>
      <c r="AC220" s="1779"/>
    </row>
    <row r="221" spans="1:29">
      <c r="A221" s="1779"/>
      <c r="B221" s="1779"/>
      <c r="C221" s="1779"/>
      <c r="D221" s="1779"/>
      <c r="E221" s="1779"/>
      <c r="F221" s="1779"/>
      <c r="G221" s="1779"/>
      <c r="H221" s="1779"/>
      <c r="I221" s="1779"/>
      <c r="J221" s="1779"/>
      <c r="K221" s="1780"/>
      <c r="L221" s="1781"/>
      <c r="M221" s="1779"/>
      <c r="N221" s="1779"/>
      <c r="O221" s="1779"/>
      <c r="P221" s="1779"/>
      <c r="Q221" s="1779"/>
      <c r="R221" s="1779"/>
      <c r="S221" s="1779"/>
      <c r="T221" s="1779"/>
      <c r="U221" s="1779"/>
      <c r="V221" s="1779"/>
      <c r="W221" s="1779"/>
      <c r="X221" s="1779"/>
      <c r="Y221" s="1779"/>
      <c r="Z221" s="1779"/>
      <c r="AA221" s="1779"/>
      <c r="AB221" s="1779"/>
      <c r="AC221" s="1779"/>
    </row>
    <row r="222" spans="1:29">
      <c r="A222" s="1779"/>
      <c r="B222" s="1779"/>
      <c r="C222" s="1779"/>
      <c r="D222" s="1779"/>
      <c r="E222" s="1779"/>
      <c r="F222" s="1779"/>
      <c r="G222" s="1779"/>
      <c r="H222" s="1779"/>
      <c r="I222" s="1779"/>
      <c r="J222" s="1779"/>
      <c r="K222" s="1780"/>
      <c r="L222" s="1781"/>
      <c r="M222" s="1779"/>
      <c r="N222" s="1779"/>
      <c r="O222" s="1779"/>
      <c r="P222" s="1779"/>
      <c r="Q222" s="1779"/>
      <c r="R222" s="1779"/>
      <c r="S222" s="1779"/>
      <c r="T222" s="1779"/>
      <c r="U222" s="1779"/>
      <c r="V222" s="1779"/>
      <c r="W222" s="1779"/>
      <c r="X222" s="1779"/>
      <c r="Y222" s="1779"/>
      <c r="Z222" s="1779"/>
      <c r="AA222" s="1779"/>
      <c r="AB222" s="1779"/>
      <c r="AC222" s="1779"/>
    </row>
    <row r="223" spans="1:29">
      <c r="A223" s="1779"/>
      <c r="B223" s="1779"/>
      <c r="C223" s="1779"/>
      <c r="D223" s="1779"/>
      <c r="E223" s="1779"/>
      <c r="F223" s="1779"/>
      <c r="G223" s="1779"/>
      <c r="H223" s="1779"/>
      <c r="I223" s="1779"/>
      <c r="J223" s="1779"/>
      <c r="K223" s="1780"/>
      <c r="L223" s="1781"/>
      <c r="M223" s="1779"/>
      <c r="N223" s="1779"/>
      <c r="O223" s="1779"/>
      <c r="P223" s="1779"/>
      <c r="Q223" s="1779"/>
      <c r="R223" s="1779"/>
      <c r="S223" s="1779"/>
      <c r="T223" s="1779"/>
      <c r="U223" s="1779"/>
      <c r="V223" s="1779"/>
      <c r="W223" s="1779"/>
      <c r="X223" s="1779"/>
      <c r="Y223" s="1779"/>
      <c r="Z223" s="1779"/>
      <c r="AA223" s="1779"/>
      <c r="AB223" s="1779"/>
      <c r="AC223" s="1779"/>
    </row>
    <row r="224" spans="1:29">
      <c r="A224" s="1779"/>
      <c r="B224" s="1779"/>
      <c r="C224" s="1779"/>
      <c r="D224" s="1779"/>
      <c r="E224" s="1779"/>
      <c r="F224" s="1779"/>
      <c r="G224" s="1779"/>
      <c r="H224" s="1779"/>
      <c r="I224" s="1779"/>
      <c r="J224" s="1779"/>
      <c r="K224" s="1780"/>
      <c r="L224" s="1781"/>
      <c r="M224" s="1779"/>
      <c r="N224" s="1779"/>
      <c r="O224" s="1779"/>
      <c r="P224" s="1779"/>
      <c r="Q224" s="1779"/>
      <c r="R224" s="1779"/>
      <c r="S224" s="1779"/>
      <c r="T224" s="1779"/>
      <c r="U224" s="1779"/>
      <c r="V224" s="1779"/>
      <c r="W224" s="1779"/>
      <c r="X224" s="1779"/>
      <c r="Y224" s="1779"/>
      <c r="Z224" s="1779"/>
      <c r="AA224" s="1779"/>
      <c r="AB224" s="1779"/>
      <c r="AC224" s="1779"/>
    </row>
    <row r="225" spans="1:29">
      <c r="A225" s="1779"/>
      <c r="B225" s="1779"/>
      <c r="C225" s="1779"/>
      <c r="D225" s="1779"/>
      <c r="E225" s="1779"/>
      <c r="F225" s="1779"/>
      <c r="G225" s="1779"/>
      <c r="H225" s="1779"/>
      <c r="I225" s="1779"/>
      <c r="J225" s="1779"/>
      <c r="K225" s="1780"/>
      <c r="L225" s="1781"/>
      <c r="M225" s="1779"/>
      <c r="N225" s="1779"/>
      <c r="O225" s="1779"/>
      <c r="P225" s="1779"/>
      <c r="Q225" s="1779"/>
      <c r="R225" s="1779"/>
      <c r="S225" s="1779"/>
      <c r="T225" s="1779"/>
      <c r="U225" s="1779"/>
      <c r="V225" s="1779"/>
      <c r="W225" s="1779"/>
      <c r="X225" s="1779"/>
      <c r="Y225" s="1779"/>
      <c r="Z225" s="1779"/>
      <c r="AA225" s="1779"/>
      <c r="AB225" s="1779"/>
      <c r="AC225" s="1779"/>
    </row>
    <row r="226" spans="1:29">
      <c r="A226" s="1779"/>
      <c r="B226" s="1779"/>
      <c r="C226" s="1779"/>
      <c r="D226" s="1779"/>
      <c r="E226" s="1779"/>
      <c r="F226" s="1779"/>
      <c r="G226" s="1779"/>
      <c r="H226" s="1779"/>
      <c r="I226" s="1779"/>
      <c r="J226" s="1779"/>
      <c r="K226" s="1780"/>
      <c r="L226" s="1781"/>
      <c r="M226" s="1779"/>
      <c r="N226" s="1779"/>
      <c r="O226" s="1779"/>
      <c r="P226" s="1779"/>
      <c r="Q226" s="1779"/>
      <c r="R226" s="1779"/>
      <c r="S226" s="1779"/>
      <c r="T226" s="1779"/>
      <c r="U226" s="1779"/>
      <c r="V226" s="1779"/>
      <c r="W226" s="1779"/>
      <c r="X226" s="1779"/>
      <c r="Y226" s="1779"/>
      <c r="Z226" s="1779"/>
      <c r="AA226" s="1779"/>
      <c r="AB226" s="1779"/>
      <c r="AC226" s="1779"/>
    </row>
    <row r="227" spans="1:29">
      <c r="A227" s="1779"/>
      <c r="B227" s="1779"/>
      <c r="C227" s="1779"/>
      <c r="D227" s="1779"/>
      <c r="E227" s="1779"/>
      <c r="F227" s="1779"/>
      <c r="G227" s="1779"/>
      <c r="H227" s="1779"/>
      <c r="I227" s="1779"/>
      <c r="J227" s="1779"/>
      <c r="K227" s="1780"/>
      <c r="L227" s="1781"/>
      <c r="M227" s="1779"/>
      <c r="N227" s="1779"/>
      <c r="O227" s="1779"/>
      <c r="P227" s="1779"/>
      <c r="Q227" s="1779"/>
      <c r="R227" s="1779"/>
      <c r="S227" s="1779"/>
      <c r="T227" s="1779"/>
      <c r="U227" s="1779"/>
      <c r="V227" s="1779"/>
      <c r="W227" s="1779"/>
      <c r="X227" s="1779"/>
      <c r="Y227" s="1779"/>
      <c r="Z227" s="1779"/>
      <c r="AA227" s="1779"/>
      <c r="AB227" s="1779"/>
      <c r="AC227" s="1779"/>
    </row>
    <row r="228" spans="1:29">
      <c r="A228" s="1779"/>
      <c r="B228" s="1779"/>
      <c r="C228" s="1779"/>
      <c r="D228" s="1779"/>
      <c r="E228" s="1779"/>
      <c r="F228" s="1779"/>
      <c r="G228" s="1779"/>
      <c r="H228" s="1779"/>
      <c r="I228" s="1779"/>
      <c r="J228" s="1779"/>
      <c r="K228" s="1780"/>
      <c r="L228" s="1781"/>
      <c r="M228" s="1779"/>
      <c r="N228" s="1779"/>
      <c r="O228" s="1779"/>
      <c r="P228" s="1779"/>
      <c r="Q228" s="1779"/>
      <c r="R228" s="1779"/>
      <c r="S228" s="1779"/>
      <c r="T228" s="1779"/>
      <c r="U228" s="1779"/>
      <c r="V228" s="1779"/>
      <c r="W228" s="1779"/>
      <c r="X228" s="1779"/>
      <c r="Y228" s="1779"/>
      <c r="Z228" s="1779"/>
      <c r="AA228" s="1779"/>
      <c r="AB228" s="1779"/>
      <c r="AC228" s="1779"/>
    </row>
    <row r="229" spans="1:29">
      <c r="A229" s="1779"/>
      <c r="B229" s="1779"/>
      <c r="C229" s="1779"/>
      <c r="D229" s="1779"/>
      <c r="E229" s="1779"/>
      <c r="F229" s="1779"/>
      <c r="G229" s="1779"/>
      <c r="H229" s="1779"/>
      <c r="I229" s="1779"/>
      <c r="J229" s="1779"/>
      <c r="K229" s="1780"/>
      <c r="L229" s="1781"/>
      <c r="M229" s="1779"/>
      <c r="N229" s="1779"/>
      <c r="O229" s="1779"/>
      <c r="P229" s="1779"/>
      <c r="Q229" s="1779"/>
      <c r="R229" s="1779"/>
      <c r="S229" s="1779"/>
      <c r="T229" s="1779"/>
      <c r="U229" s="1779"/>
      <c r="V229" s="1779"/>
      <c r="W229" s="1779"/>
      <c r="X229" s="1779"/>
      <c r="Y229" s="1779"/>
      <c r="Z229" s="1779"/>
      <c r="AA229" s="1779"/>
      <c r="AB229" s="1779"/>
      <c r="AC229" s="1779"/>
    </row>
    <row r="230" spans="1:29">
      <c r="A230" s="1779"/>
      <c r="B230" s="1779"/>
      <c r="C230" s="1779"/>
      <c r="D230" s="1779"/>
      <c r="E230" s="1779"/>
      <c r="F230" s="1779"/>
      <c r="G230" s="1779"/>
      <c r="H230" s="1779"/>
      <c r="I230" s="1779"/>
      <c r="J230" s="1779"/>
      <c r="K230" s="1780"/>
      <c r="L230" s="1781"/>
      <c r="M230" s="1779"/>
      <c r="N230" s="1779"/>
      <c r="O230" s="1779"/>
      <c r="P230" s="1779"/>
      <c r="Q230" s="1779"/>
      <c r="R230" s="1779"/>
      <c r="S230" s="1779"/>
      <c r="T230" s="1779"/>
      <c r="U230" s="1779"/>
      <c r="V230" s="1779"/>
      <c r="W230" s="1779"/>
      <c r="X230" s="1779"/>
      <c r="Y230" s="1779"/>
      <c r="Z230" s="1779"/>
      <c r="AA230" s="1779"/>
      <c r="AB230" s="1779"/>
      <c r="AC230" s="1779"/>
    </row>
    <row r="231" spans="1:29">
      <c r="A231" s="1779"/>
      <c r="B231" s="1779"/>
      <c r="C231" s="1779"/>
      <c r="D231" s="1779"/>
      <c r="E231" s="1779"/>
      <c r="F231" s="1779"/>
      <c r="G231" s="1779"/>
      <c r="H231" s="1779"/>
      <c r="I231" s="1779"/>
      <c r="J231" s="1779"/>
      <c r="K231" s="1780"/>
      <c r="L231" s="1781"/>
      <c r="M231" s="1779"/>
      <c r="N231" s="1779"/>
      <c r="O231" s="1779"/>
      <c r="P231" s="1779"/>
      <c r="Q231" s="1779"/>
      <c r="R231" s="1779"/>
      <c r="S231" s="1779"/>
      <c r="T231" s="1779"/>
      <c r="U231" s="1779"/>
      <c r="V231" s="1779"/>
      <c r="W231" s="1779"/>
      <c r="X231" s="1779"/>
      <c r="Y231" s="1779"/>
      <c r="Z231" s="1779"/>
      <c r="AA231" s="1779"/>
      <c r="AB231" s="1779"/>
      <c r="AC231" s="1779"/>
    </row>
    <row r="232" spans="1:29">
      <c r="A232" s="1779"/>
      <c r="B232" s="1779"/>
      <c r="C232" s="1779"/>
      <c r="D232" s="1779"/>
      <c r="E232" s="1779"/>
      <c r="F232" s="1779"/>
      <c r="G232" s="1779"/>
      <c r="H232" s="1779"/>
      <c r="I232" s="1779"/>
      <c r="J232" s="1779"/>
      <c r="K232" s="1780"/>
      <c r="L232" s="1781"/>
      <c r="M232" s="1779"/>
      <c r="N232" s="1779"/>
      <c r="O232" s="1779"/>
      <c r="P232" s="1779"/>
      <c r="Q232" s="1779"/>
      <c r="R232" s="1779"/>
      <c r="S232" s="1779"/>
      <c r="T232" s="1779"/>
      <c r="U232" s="1779"/>
      <c r="V232" s="1779"/>
      <c r="W232" s="1779"/>
      <c r="X232" s="1779"/>
      <c r="Y232" s="1779"/>
      <c r="Z232" s="1779"/>
      <c r="AA232" s="1779"/>
      <c r="AB232" s="1779"/>
      <c r="AC232" s="1779"/>
    </row>
    <row r="233" spans="1:29">
      <c r="A233" s="1779"/>
      <c r="B233" s="1779"/>
      <c r="C233" s="1779"/>
      <c r="D233" s="1779"/>
      <c r="E233" s="1779"/>
      <c r="F233" s="1779"/>
      <c r="G233" s="1779"/>
      <c r="H233" s="1779"/>
      <c r="I233" s="1779"/>
      <c r="J233" s="1779"/>
      <c r="K233" s="1780"/>
      <c r="L233" s="1781"/>
      <c r="M233" s="1779"/>
      <c r="N233" s="1779"/>
      <c r="O233" s="1779"/>
      <c r="P233" s="1779"/>
      <c r="Q233" s="1779"/>
      <c r="R233" s="1779"/>
      <c r="S233" s="1779"/>
      <c r="T233" s="1779"/>
      <c r="U233" s="1779"/>
      <c r="V233" s="1779"/>
      <c r="W233" s="1779"/>
      <c r="X233" s="1779"/>
      <c r="Y233" s="1779"/>
      <c r="Z233" s="1779"/>
      <c r="AA233" s="1779"/>
      <c r="AB233" s="1779"/>
      <c r="AC233" s="1779"/>
    </row>
    <row r="234" spans="1:29">
      <c r="A234" s="1779"/>
      <c r="B234" s="1779"/>
      <c r="C234" s="1779"/>
      <c r="D234" s="1779"/>
      <c r="E234" s="1779"/>
      <c r="F234" s="1779"/>
      <c r="G234" s="1779"/>
      <c r="H234" s="1779"/>
      <c r="I234" s="1779"/>
      <c r="J234" s="1779"/>
      <c r="K234" s="1780"/>
      <c r="L234" s="1781"/>
      <c r="M234" s="1779"/>
      <c r="N234" s="1779"/>
      <c r="O234" s="1779"/>
      <c r="P234" s="1779"/>
      <c r="Q234" s="1779"/>
      <c r="R234" s="1779"/>
      <c r="S234" s="1779"/>
      <c r="T234" s="1779"/>
      <c r="U234" s="1779"/>
      <c r="V234" s="1779"/>
      <c r="W234" s="1779"/>
      <c r="X234" s="1779"/>
      <c r="Y234" s="1779"/>
      <c r="Z234" s="1779"/>
      <c r="AA234" s="1779"/>
      <c r="AB234" s="1779"/>
      <c r="AC234" s="1779"/>
    </row>
    <row r="235" spans="1:29">
      <c r="A235" s="1779"/>
      <c r="B235" s="1779"/>
      <c r="C235" s="1779"/>
      <c r="D235" s="1779"/>
      <c r="E235" s="1779"/>
      <c r="F235" s="1779"/>
      <c r="G235" s="1779"/>
      <c r="H235" s="1779"/>
      <c r="I235" s="1779"/>
      <c r="J235" s="1779"/>
      <c r="K235" s="1780"/>
      <c r="L235" s="1781"/>
      <c r="M235" s="1779"/>
      <c r="N235" s="1779"/>
      <c r="O235" s="1779"/>
      <c r="P235" s="1779"/>
      <c r="Q235" s="1779"/>
      <c r="R235" s="1779"/>
      <c r="S235" s="1779"/>
      <c r="T235" s="1779"/>
      <c r="U235" s="1779"/>
      <c r="V235" s="1779"/>
      <c r="W235" s="1779"/>
      <c r="X235" s="1779"/>
      <c r="Y235" s="1779"/>
      <c r="Z235" s="1779"/>
      <c r="AA235" s="1779"/>
      <c r="AB235" s="1779"/>
      <c r="AC235" s="1779"/>
    </row>
    <row r="236" spans="1:29">
      <c r="A236" s="1779"/>
      <c r="B236" s="1779"/>
      <c r="C236" s="1779"/>
      <c r="D236" s="1779"/>
      <c r="E236" s="1779"/>
      <c r="F236" s="1779"/>
      <c r="G236" s="1779"/>
      <c r="H236" s="1779"/>
      <c r="I236" s="1779"/>
      <c r="J236" s="1779"/>
      <c r="K236" s="1780"/>
      <c r="L236" s="1781"/>
      <c r="M236" s="1779"/>
      <c r="N236" s="1779"/>
      <c r="O236" s="1779"/>
      <c r="P236" s="1779"/>
      <c r="Q236" s="1779"/>
      <c r="R236" s="1779"/>
      <c r="S236" s="1779"/>
      <c r="T236" s="1779"/>
      <c r="U236" s="1779"/>
      <c r="V236" s="1779"/>
      <c r="W236" s="1779"/>
      <c r="X236" s="1779"/>
      <c r="Y236" s="1779"/>
      <c r="Z236" s="1779"/>
      <c r="AA236" s="1779"/>
      <c r="AB236" s="1779"/>
      <c r="AC236" s="1779"/>
    </row>
    <row r="237" spans="1:29">
      <c r="A237" s="1779"/>
      <c r="B237" s="1779"/>
      <c r="C237" s="1779"/>
      <c r="D237" s="1779"/>
      <c r="E237" s="1779"/>
      <c r="F237" s="1779"/>
      <c r="G237" s="1779"/>
      <c r="H237" s="1779"/>
      <c r="I237" s="1779"/>
      <c r="J237" s="1779"/>
      <c r="K237" s="1780"/>
      <c r="L237" s="1781"/>
      <c r="M237" s="1779"/>
      <c r="N237" s="1779"/>
      <c r="O237" s="1779"/>
      <c r="P237" s="1779"/>
      <c r="Q237" s="1779"/>
      <c r="R237" s="1779"/>
      <c r="S237" s="1779"/>
      <c r="T237" s="1779"/>
      <c r="U237" s="1779"/>
      <c r="V237" s="1779"/>
      <c r="W237" s="1779"/>
      <c r="X237" s="1779"/>
      <c r="Y237" s="1779"/>
      <c r="Z237" s="1779"/>
      <c r="AA237" s="1779"/>
      <c r="AB237" s="1779"/>
      <c r="AC237" s="1779"/>
    </row>
    <row r="238" spans="1:29">
      <c r="A238" s="1779"/>
      <c r="B238" s="1779"/>
      <c r="C238" s="1779"/>
      <c r="D238" s="1779"/>
      <c r="E238" s="1779"/>
      <c r="F238" s="1779"/>
      <c r="G238" s="1779"/>
      <c r="H238" s="1779"/>
      <c r="I238" s="1779"/>
      <c r="J238" s="1779"/>
      <c r="K238" s="1780"/>
      <c r="L238" s="1781"/>
      <c r="M238" s="1779"/>
      <c r="N238" s="1779"/>
      <c r="O238" s="1779"/>
      <c r="P238" s="1779"/>
      <c r="Q238" s="1779"/>
      <c r="R238" s="1779"/>
      <c r="S238" s="1779"/>
      <c r="T238" s="1779"/>
      <c r="U238" s="1779"/>
      <c r="V238" s="1779"/>
      <c r="W238" s="1779"/>
      <c r="X238" s="1779"/>
      <c r="Y238" s="1779"/>
      <c r="Z238" s="1779"/>
      <c r="AA238" s="1779"/>
      <c r="AB238" s="1779"/>
      <c r="AC238" s="1779"/>
    </row>
    <row r="239" spans="1:29">
      <c r="A239" s="1779"/>
      <c r="B239" s="1779"/>
      <c r="C239" s="1779"/>
      <c r="D239" s="1779"/>
      <c r="E239" s="1779"/>
      <c r="F239" s="1779"/>
      <c r="G239" s="1779"/>
      <c r="H239" s="1779"/>
      <c r="I239" s="1779"/>
      <c r="J239" s="1779"/>
      <c r="K239" s="1780"/>
      <c r="L239" s="1781"/>
      <c r="M239" s="1779"/>
      <c r="N239" s="1779"/>
      <c r="O239" s="1779"/>
      <c r="P239" s="1779"/>
      <c r="Q239" s="1779"/>
      <c r="R239" s="1779"/>
      <c r="S239" s="1779"/>
      <c r="T239" s="1779"/>
      <c r="U239" s="1779"/>
      <c r="V239" s="1779"/>
      <c r="W239" s="1779"/>
      <c r="X239" s="1779"/>
      <c r="Y239" s="1779"/>
      <c r="Z239" s="1779"/>
      <c r="AA239" s="1779"/>
      <c r="AB239" s="1779"/>
      <c r="AC239" s="1779"/>
    </row>
    <row r="240" spans="1:29">
      <c r="A240" s="1779"/>
      <c r="B240" s="1779"/>
      <c r="C240" s="1779"/>
      <c r="D240" s="1779"/>
      <c r="E240" s="1779"/>
      <c r="F240" s="1779"/>
      <c r="G240" s="1779"/>
      <c r="H240" s="1779"/>
      <c r="I240" s="1779"/>
      <c r="J240" s="1779"/>
      <c r="K240" s="1780"/>
      <c r="L240" s="1781"/>
      <c r="M240" s="1779"/>
      <c r="N240" s="1779"/>
      <c r="O240" s="1779"/>
      <c r="P240" s="1779"/>
      <c r="Q240" s="1779"/>
      <c r="R240" s="1779"/>
      <c r="S240" s="1779"/>
      <c r="T240" s="1779"/>
      <c r="U240" s="1779"/>
      <c r="V240" s="1779"/>
      <c r="W240" s="1779"/>
      <c r="X240" s="1779"/>
      <c r="Y240" s="1779"/>
      <c r="Z240" s="1779"/>
      <c r="AA240" s="1779"/>
      <c r="AB240" s="1779"/>
      <c r="AC240" s="1779"/>
    </row>
    <row r="241" spans="1:29">
      <c r="A241" s="1779"/>
      <c r="B241" s="1779"/>
      <c r="C241" s="1779"/>
      <c r="D241" s="1779"/>
      <c r="E241" s="1779"/>
      <c r="F241" s="1779"/>
      <c r="G241" s="1779"/>
      <c r="H241" s="1779"/>
      <c r="I241" s="1779"/>
      <c r="J241" s="1779"/>
      <c r="K241" s="1780"/>
      <c r="L241" s="1781"/>
      <c r="M241" s="1779"/>
      <c r="N241" s="1779"/>
      <c r="O241" s="1779"/>
      <c r="P241" s="1779"/>
      <c r="Q241" s="1779"/>
      <c r="R241" s="1779"/>
      <c r="S241" s="1779"/>
      <c r="T241" s="1779"/>
      <c r="U241" s="1779"/>
      <c r="V241" s="1779"/>
      <c r="W241" s="1779"/>
      <c r="X241" s="1779"/>
      <c r="Y241" s="1779"/>
      <c r="Z241" s="1779"/>
      <c r="AA241" s="1779"/>
      <c r="AB241" s="1779"/>
      <c r="AC241" s="1779"/>
    </row>
    <row r="242" spans="1:29">
      <c r="A242" s="1779"/>
      <c r="B242" s="1779"/>
      <c r="C242" s="1779"/>
      <c r="D242" s="1779"/>
      <c r="E242" s="1779"/>
      <c r="F242" s="1779"/>
      <c r="G242" s="1779"/>
      <c r="H242" s="1779"/>
      <c r="I242" s="1779"/>
      <c r="J242" s="1779"/>
      <c r="K242" s="1780"/>
      <c r="L242" s="1781"/>
      <c r="M242" s="1779"/>
      <c r="N242" s="1779"/>
      <c r="O242" s="1779"/>
      <c r="P242" s="1779"/>
      <c r="Q242" s="1779"/>
      <c r="R242" s="1779"/>
      <c r="S242" s="1779"/>
      <c r="T242" s="1779"/>
      <c r="U242" s="1779"/>
      <c r="V242" s="1779"/>
      <c r="W242" s="1779"/>
      <c r="X242" s="1779"/>
      <c r="Y242" s="1779"/>
      <c r="Z242" s="1779"/>
      <c r="AA242" s="1779"/>
      <c r="AB242" s="1779"/>
      <c r="AC242" s="1779"/>
    </row>
    <row r="243" spans="1:29">
      <c r="A243" s="1779"/>
      <c r="B243" s="1779"/>
      <c r="C243" s="1779"/>
      <c r="D243" s="1779"/>
      <c r="E243" s="1779"/>
      <c r="F243" s="1779"/>
      <c r="G243" s="1779"/>
      <c r="H243" s="1779"/>
      <c r="I243" s="1779"/>
      <c r="J243" s="1779"/>
      <c r="K243" s="1780"/>
      <c r="L243" s="1781"/>
      <c r="M243" s="1779"/>
      <c r="N243" s="1779"/>
      <c r="O243" s="1779"/>
      <c r="P243" s="1779"/>
      <c r="Q243" s="1779"/>
      <c r="R243" s="1779"/>
      <c r="S243" s="1779"/>
      <c r="T243" s="1779"/>
      <c r="U243" s="1779"/>
      <c r="V243" s="1779"/>
      <c r="W243" s="1779"/>
      <c r="X243" s="1779"/>
      <c r="Y243" s="1779"/>
      <c r="Z243" s="1779"/>
      <c r="AA243" s="1779"/>
      <c r="AB243" s="1779"/>
      <c r="AC243" s="1779"/>
    </row>
    <row r="244" spans="1:29">
      <c r="A244" s="1779"/>
      <c r="B244" s="1779"/>
      <c r="C244" s="1779"/>
      <c r="D244" s="1779"/>
      <c r="E244" s="1779"/>
      <c r="F244" s="1779"/>
      <c r="G244" s="1779"/>
      <c r="H244" s="1779"/>
      <c r="I244" s="1779"/>
      <c r="J244" s="1779"/>
      <c r="K244" s="1780"/>
      <c r="L244" s="1781"/>
      <c r="M244" s="1779"/>
      <c r="N244" s="1779"/>
      <c r="O244" s="1779"/>
      <c r="P244" s="1779"/>
      <c r="Q244" s="1779"/>
      <c r="R244" s="1779"/>
      <c r="S244" s="1779"/>
      <c r="T244" s="1779"/>
      <c r="U244" s="1779"/>
      <c r="V244" s="1779"/>
      <c r="W244" s="1779"/>
      <c r="X244" s="1779"/>
      <c r="Y244" s="1779"/>
      <c r="Z244" s="1779"/>
      <c r="AA244" s="1779"/>
      <c r="AB244" s="1779"/>
      <c r="AC244" s="1779"/>
    </row>
    <row r="245" spans="1:29">
      <c r="A245" s="1779"/>
      <c r="B245" s="1779"/>
      <c r="C245" s="1779"/>
      <c r="D245" s="1779"/>
      <c r="E245" s="1779"/>
      <c r="F245" s="1779"/>
      <c r="G245" s="1779"/>
      <c r="H245" s="1779"/>
      <c r="I245" s="1779"/>
      <c r="J245" s="1779"/>
      <c r="K245" s="1780"/>
      <c r="L245" s="1781"/>
      <c r="M245" s="1779"/>
      <c r="N245" s="1779"/>
      <c r="O245" s="1779"/>
      <c r="P245" s="1779"/>
      <c r="Q245" s="1779"/>
      <c r="R245" s="1779"/>
      <c r="S245" s="1779"/>
      <c r="T245" s="1779"/>
      <c r="U245" s="1779"/>
      <c r="V245" s="1779"/>
      <c r="W245" s="1779"/>
      <c r="X245" s="1779"/>
      <c r="Y245" s="1779"/>
      <c r="Z245" s="1779"/>
      <c r="AA245" s="1779"/>
      <c r="AB245" s="1779"/>
      <c r="AC245" s="1779"/>
    </row>
    <row r="246" spans="1:29">
      <c r="A246" s="1779"/>
      <c r="B246" s="1779"/>
      <c r="C246" s="1779"/>
      <c r="D246" s="1779"/>
      <c r="E246" s="1779"/>
      <c r="F246" s="1779"/>
      <c r="G246" s="1779"/>
      <c r="H246" s="1779"/>
      <c r="I246" s="1779"/>
      <c r="J246" s="1779"/>
      <c r="K246" s="1780"/>
      <c r="L246" s="1781"/>
      <c r="M246" s="1779"/>
      <c r="N246" s="1779"/>
      <c r="O246" s="1779"/>
      <c r="P246" s="1779"/>
      <c r="Q246" s="1779"/>
      <c r="R246" s="1779"/>
      <c r="S246" s="1779"/>
      <c r="T246" s="1779"/>
      <c r="U246" s="1779"/>
      <c r="V246" s="1779"/>
      <c r="W246" s="1779"/>
      <c r="X246" s="1779"/>
      <c r="Y246" s="1779"/>
      <c r="Z246" s="1779"/>
      <c r="AA246" s="1779"/>
      <c r="AB246" s="1779"/>
      <c r="AC246" s="1779"/>
    </row>
    <row r="247" spans="1:29">
      <c r="A247" s="1779"/>
      <c r="B247" s="1779"/>
      <c r="C247" s="1779"/>
      <c r="D247" s="1779"/>
      <c r="E247" s="1779"/>
      <c r="F247" s="1779"/>
      <c r="G247" s="1779"/>
      <c r="H247" s="1779"/>
      <c r="I247" s="1779"/>
      <c r="J247" s="1779"/>
      <c r="K247" s="1780"/>
      <c r="L247" s="1781"/>
      <c r="M247" s="1779"/>
      <c r="N247" s="1779"/>
      <c r="O247" s="1779"/>
      <c r="P247" s="1779"/>
      <c r="Q247" s="1779"/>
      <c r="R247" s="1779"/>
      <c r="S247" s="1779"/>
      <c r="T247" s="1779"/>
      <c r="U247" s="1779"/>
      <c r="V247" s="1779"/>
      <c r="W247" s="1779"/>
      <c r="X247" s="1779"/>
      <c r="Y247" s="1779"/>
      <c r="Z247" s="1779"/>
      <c r="AA247" s="1779"/>
      <c r="AB247" s="1779"/>
      <c r="AC247" s="1779"/>
    </row>
    <row r="248" spans="1:29">
      <c r="A248" s="1779"/>
      <c r="B248" s="1779"/>
      <c r="C248" s="1779"/>
      <c r="D248" s="1779"/>
      <c r="E248" s="1779"/>
      <c r="F248" s="1779"/>
      <c r="G248" s="1779"/>
      <c r="H248" s="1779"/>
      <c r="I248" s="1779"/>
      <c r="J248" s="1779"/>
      <c r="K248" s="1780"/>
      <c r="L248" s="1781"/>
      <c r="M248" s="1779"/>
      <c r="N248" s="1779"/>
      <c r="O248" s="1779"/>
      <c r="P248" s="1779"/>
      <c r="Q248" s="1779"/>
      <c r="R248" s="1779"/>
      <c r="S248" s="1779"/>
      <c r="T248" s="1779"/>
      <c r="U248" s="1779"/>
      <c r="V248" s="1779"/>
      <c r="W248" s="1779"/>
      <c r="X248" s="1779"/>
      <c r="Y248" s="1779"/>
      <c r="Z248" s="1779"/>
      <c r="AA248" s="1779"/>
      <c r="AB248" s="1779"/>
      <c r="AC248" s="1779"/>
    </row>
    <row r="249" spans="1:29">
      <c r="A249" s="1779"/>
      <c r="B249" s="1779"/>
      <c r="C249" s="1779"/>
      <c r="D249" s="1779"/>
      <c r="E249" s="1779"/>
      <c r="F249" s="1779"/>
      <c r="G249" s="1779"/>
      <c r="H249" s="1779"/>
      <c r="I249" s="1779"/>
      <c r="J249" s="1779"/>
      <c r="K249" s="1780"/>
      <c r="L249" s="1781"/>
      <c r="M249" s="1779"/>
      <c r="N249" s="1779"/>
      <c r="O249" s="1779"/>
      <c r="P249" s="1779"/>
      <c r="Q249" s="1779"/>
      <c r="R249" s="1779"/>
      <c r="S249" s="1779"/>
      <c r="T249" s="1779"/>
      <c r="U249" s="1779"/>
      <c r="V249" s="1779"/>
      <c r="W249" s="1779"/>
      <c r="X249" s="1779"/>
      <c r="Y249" s="1779"/>
      <c r="Z249" s="1779"/>
      <c r="AA249" s="1779"/>
      <c r="AB249" s="1779"/>
      <c r="AC249" s="1779"/>
    </row>
    <row r="250" spans="1:29">
      <c r="A250" s="1779"/>
      <c r="B250" s="1779"/>
      <c r="C250" s="1779"/>
      <c r="D250" s="1779"/>
      <c r="E250" s="1779"/>
      <c r="F250" s="1779"/>
      <c r="G250" s="1779"/>
      <c r="H250" s="1779"/>
      <c r="I250" s="1779"/>
      <c r="J250" s="1779"/>
      <c r="K250" s="1780"/>
      <c r="L250" s="1781"/>
      <c r="M250" s="1779"/>
      <c r="N250" s="1779"/>
      <c r="O250" s="1779"/>
      <c r="P250" s="1779"/>
      <c r="Q250" s="1779"/>
      <c r="R250" s="1779"/>
      <c r="S250" s="1779"/>
      <c r="T250" s="1779"/>
      <c r="U250" s="1779"/>
      <c r="V250" s="1779"/>
      <c r="W250" s="1779"/>
      <c r="X250" s="1779"/>
      <c r="Y250" s="1779"/>
      <c r="Z250" s="1779"/>
      <c r="AA250" s="1779"/>
      <c r="AB250" s="1779"/>
      <c r="AC250" s="1779"/>
    </row>
    <row r="251" spans="1:29">
      <c r="A251" s="1779"/>
      <c r="B251" s="1779"/>
      <c r="C251" s="1779"/>
      <c r="D251" s="1779"/>
      <c r="E251" s="1779"/>
      <c r="F251" s="1779"/>
      <c r="G251" s="1779"/>
      <c r="H251" s="1779"/>
      <c r="I251" s="1779"/>
      <c r="J251" s="1779"/>
      <c r="K251" s="1780"/>
      <c r="L251" s="1781"/>
      <c r="M251" s="1779"/>
      <c r="N251" s="1779"/>
      <c r="O251" s="1779"/>
      <c r="P251" s="1779"/>
      <c r="Q251" s="1779"/>
      <c r="R251" s="1779"/>
      <c r="S251" s="1779"/>
      <c r="T251" s="1779"/>
      <c r="U251" s="1779"/>
      <c r="V251" s="1779"/>
      <c r="W251" s="1779"/>
      <c r="X251" s="1779"/>
      <c r="Y251" s="1779"/>
      <c r="Z251" s="1779"/>
      <c r="AA251" s="1779"/>
      <c r="AB251" s="1779"/>
      <c r="AC251" s="1779"/>
    </row>
    <row r="252" spans="1:29">
      <c r="A252" s="1779"/>
      <c r="B252" s="1779"/>
      <c r="C252" s="1779"/>
      <c r="D252" s="1779"/>
      <c r="E252" s="1779"/>
      <c r="F252" s="1779"/>
      <c r="G252" s="1779"/>
      <c r="H252" s="1779"/>
      <c r="I252" s="1779"/>
      <c r="J252" s="1779"/>
      <c r="K252" s="1780"/>
      <c r="L252" s="1781"/>
      <c r="M252" s="1779"/>
      <c r="N252" s="1779"/>
      <c r="O252" s="1779"/>
      <c r="P252" s="1779"/>
      <c r="Q252" s="1779"/>
      <c r="R252" s="1779"/>
      <c r="S252" s="1779"/>
      <c r="T252" s="1779"/>
      <c r="U252" s="1779"/>
      <c r="V252" s="1779"/>
      <c r="W252" s="1779"/>
      <c r="X252" s="1779"/>
      <c r="Y252" s="1779"/>
      <c r="Z252" s="1779"/>
      <c r="AA252" s="1779"/>
      <c r="AB252" s="1779"/>
      <c r="AC252" s="1779"/>
    </row>
    <row r="253" spans="1:29">
      <c r="A253" s="1779"/>
      <c r="B253" s="1779"/>
      <c r="C253" s="1779"/>
      <c r="D253" s="1779"/>
      <c r="E253" s="1779"/>
      <c r="F253" s="1779"/>
      <c r="G253" s="1779"/>
      <c r="H253" s="1779"/>
      <c r="I253" s="1779"/>
      <c r="J253" s="1779"/>
      <c r="K253" s="1780"/>
      <c r="L253" s="1781"/>
      <c r="M253" s="1779"/>
      <c r="N253" s="1779"/>
      <c r="O253" s="1779"/>
      <c r="P253" s="1779"/>
      <c r="Q253" s="1779"/>
      <c r="R253" s="1779"/>
      <c r="S253" s="1779"/>
      <c r="T253" s="1779"/>
      <c r="U253" s="1779"/>
      <c r="V253" s="1779"/>
      <c r="W253" s="1779"/>
      <c r="X253" s="1779"/>
      <c r="Y253" s="1779"/>
      <c r="Z253" s="1779"/>
      <c r="AA253" s="1779"/>
      <c r="AB253" s="1779"/>
      <c r="AC253" s="1779"/>
    </row>
    <row r="254" spans="1:29">
      <c r="A254" s="1779"/>
      <c r="B254" s="1779"/>
      <c r="C254" s="1779"/>
      <c r="D254" s="1779"/>
      <c r="E254" s="1779"/>
      <c r="F254" s="1779"/>
      <c r="G254" s="1779"/>
      <c r="H254" s="1779"/>
      <c r="I254" s="1779"/>
      <c r="J254" s="1779"/>
      <c r="K254" s="1780"/>
      <c r="L254" s="1781"/>
      <c r="M254" s="1779"/>
      <c r="N254" s="1779"/>
      <c r="O254" s="1779"/>
      <c r="P254" s="1779"/>
      <c r="Q254" s="1779"/>
      <c r="R254" s="1779"/>
      <c r="S254" s="1779"/>
      <c r="T254" s="1779"/>
      <c r="U254" s="1779"/>
      <c r="V254" s="1779"/>
      <c r="W254" s="1779"/>
      <c r="X254" s="1779"/>
      <c r="Y254" s="1779"/>
      <c r="Z254" s="1779"/>
      <c r="AA254" s="1779"/>
      <c r="AB254" s="1779"/>
      <c r="AC254" s="1779"/>
    </row>
    <row r="255" spans="1:29">
      <c r="A255" s="1779"/>
      <c r="B255" s="1779"/>
      <c r="C255" s="1779"/>
      <c r="D255" s="1779"/>
      <c r="E255" s="1779"/>
      <c r="F255" s="1779"/>
      <c r="G255" s="1779"/>
      <c r="H255" s="1779"/>
      <c r="I255" s="1779"/>
      <c r="J255" s="1779"/>
      <c r="K255" s="1780"/>
      <c r="L255" s="1781"/>
      <c r="M255" s="1779"/>
      <c r="N255" s="1779"/>
      <c r="O255" s="1779"/>
      <c r="P255" s="1779"/>
      <c r="Q255" s="1779"/>
      <c r="R255" s="1779"/>
      <c r="S255" s="1779"/>
      <c r="T255" s="1779"/>
      <c r="U255" s="1779"/>
      <c r="V255" s="1779"/>
      <c r="W255" s="1779"/>
      <c r="X255" s="1779"/>
      <c r="Y255" s="1779"/>
      <c r="Z255" s="1779"/>
      <c r="AA255" s="1779"/>
      <c r="AB255" s="1779"/>
      <c r="AC255" s="1779"/>
    </row>
    <row r="256" spans="1:29">
      <c r="A256" s="1779"/>
      <c r="B256" s="1779"/>
      <c r="C256" s="1779"/>
      <c r="D256" s="1779"/>
      <c r="E256" s="1779"/>
      <c r="F256" s="1779"/>
      <c r="G256" s="1779"/>
      <c r="H256" s="1779"/>
      <c r="I256" s="1779"/>
      <c r="J256" s="1779"/>
      <c r="K256" s="1780"/>
      <c r="L256" s="1781"/>
      <c r="M256" s="1779"/>
      <c r="N256" s="1779"/>
      <c r="O256" s="1779"/>
      <c r="P256" s="1779"/>
      <c r="Q256" s="1779"/>
      <c r="R256" s="1779"/>
      <c r="S256" s="1779"/>
      <c r="T256" s="1779"/>
      <c r="U256" s="1779"/>
      <c r="V256" s="1779"/>
      <c r="W256" s="1779"/>
      <c r="X256" s="1779"/>
      <c r="Y256" s="1779"/>
      <c r="Z256" s="1779"/>
      <c r="AA256" s="1779"/>
      <c r="AB256" s="1779"/>
      <c r="AC256" s="1779"/>
    </row>
    <row r="257" spans="1:29">
      <c r="A257" s="1779"/>
      <c r="B257" s="1779"/>
      <c r="C257" s="1779"/>
      <c r="D257" s="1779"/>
      <c r="E257" s="1779"/>
      <c r="F257" s="1779"/>
      <c r="G257" s="1779"/>
      <c r="H257" s="1779"/>
      <c r="I257" s="1779"/>
      <c r="J257" s="1779"/>
      <c r="K257" s="1780"/>
      <c r="L257" s="1781"/>
      <c r="M257" s="1779"/>
      <c r="N257" s="1779"/>
      <c r="O257" s="1779"/>
      <c r="P257" s="1779"/>
      <c r="Q257" s="1779"/>
      <c r="R257" s="1779"/>
      <c r="S257" s="1779"/>
      <c r="T257" s="1779"/>
      <c r="U257" s="1779"/>
      <c r="V257" s="1779"/>
      <c r="W257" s="1779"/>
      <c r="X257" s="1779"/>
      <c r="Y257" s="1779"/>
      <c r="Z257" s="1779"/>
      <c r="AA257" s="1779"/>
      <c r="AB257" s="1779"/>
      <c r="AC257" s="1779"/>
    </row>
    <row r="258" spans="1:29">
      <c r="A258" s="1779"/>
      <c r="B258" s="1779"/>
      <c r="C258" s="1779"/>
      <c r="D258" s="1779"/>
      <c r="E258" s="1779"/>
      <c r="F258" s="1779"/>
      <c r="G258" s="1779"/>
      <c r="H258" s="1779"/>
      <c r="I258" s="1779"/>
      <c r="J258" s="1779"/>
      <c r="K258" s="1780"/>
      <c r="L258" s="1781"/>
      <c r="M258" s="1779"/>
      <c r="N258" s="1779"/>
      <c r="O258" s="1779"/>
      <c r="P258" s="1779"/>
      <c r="Q258" s="1779"/>
      <c r="R258" s="1779"/>
      <c r="S258" s="1779"/>
      <c r="T258" s="1779"/>
      <c r="U258" s="1779"/>
      <c r="V258" s="1779"/>
      <c r="W258" s="1779"/>
      <c r="X258" s="1779"/>
      <c r="Y258" s="1779"/>
      <c r="Z258" s="1779"/>
      <c r="AA258" s="1779"/>
      <c r="AB258" s="1779"/>
      <c r="AC258" s="1779"/>
    </row>
    <row r="259" spans="1:29">
      <c r="A259" s="1779"/>
      <c r="B259" s="1779"/>
      <c r="C259" s="1779"/>
      <c r="D259" s="1779"/>
      <c r="E259" s="1779"/>
      <c r="F259" s="1779"/>
      <c r="G259" s="1779"/>
      <c r="H259" s="1779"/>
      <c r="I259" s="1779"/>
      <c r="J259" s="1779"/>
      <c r="K259" s="1780"/>
      <c r="L259" s="1781"/>
      <c r="M259" s="1779"/>
      <c r="N259" s="1779"/>
      <c r="O259" s="1779"/>
      <c r="P259" s="1779"/>
      <c r="Q259" s="1779"/>
      <c r="R259" s="1779"/>
      <c r="S259" s="1779"/>
      <c r="T259" s="1779"/>
      <c r="U259" s="1779"/>
      <c r="V259" s="1779"/>
      <c r="W259" s="1779"/>
      <c r="X259" s="1779"/>
      <c r="Y259" s="1779"/>
      <c r="Z259" s="1779"/>
      <c r="AA259" s="1779"/>
      <c r="AB259" s="1779"/>
      <c r="AC259" s="1779"/>
    </row>
    <row r="260" spans="1:29">
      <c r="A260" s="1779"/>
      <c r="B260" s="1779"/>
      <c r="C260" s="1779"/>
      <c r="D260" s="1779"/>
      <c r="E260" s="1779"/>
      <c r="F260" s="1779"/>
      <c r="G260" s="1779"/>
      <c r="H260" s="1779"/>
      <c r="I260" s="1779"/>
      <c r="J260" s="1779"/>
      <c r="K260" s="1780"/>
      <c r="L260" s="1781"/>
      <c r="M260" s="1779"/>
      <c r="N260" s="1779"/>
      <c r="O260" s="1779"/>
      <c r="P260" s="1779"/>
      <c r="Q260" s="1779"/>
      <c r="R260" s="1779"/>
      <c r="S260" s="1779"/>
      <c r="T260" s="1779"/>
      <c r="U260" s="1779"/>
      <c r="V260" s="1779"/>
      <c r="W260" s="1779"/>
      <c r="X260" s="1779"/>
      <c r="Y260" s="1779"/>
      <c r="Z260" s="1779"/>
      <c r="AA260" s="1779"/>
      <c r="AB260" s="1779"/>
      <c r="AC260" s="1779"/>
    </row>
    <row r="261" spans="1:29">
      <c r="A261" s="1779"/>
      <c r="B261" s="1779"/>
      <c r="C261" s="1779"/>
      <c r="D261" s="1779"/>
      <c r="E261" s="1779"/>
      <c r="F261" s="1779"/>
      <c r="G261" s="1779"/>
      <c r="H261" s="1779"/>
      <c r="I261" s="1779"/>
      <c r="J261" s="1779"/>
      <c r="K261" s="1780"/>
      <c r="L261" s="1781"/>
      <c r="M261" s="1779"/>
      <c r="N261" s="1779"/>
      <c r="O261" s="1779"/>
      <c r="P261" s="1779"/>
      <c r="Q261" s="1779"/>
      <c r="R261" s="1779"/>
      <c r="S261" s="1779"/>
      <c r="T261" s="1779"/>
      <c r="U261" s="1779"/>
      <c r="V261" s="1779"/>
      <c r="W261" s="1779"/>
      <c r="X261" s="1779"/>
      <c r="Y261" s="1779"/>
      <c r="Z261" s="1779"/>
      <c r="AA261" s="1779"/>
      <c r="AB261" s="1779"/>
      <c r="AC261" s="1779"/>
    </row>
    <row r="262" spans="1:29">
      <c r="A262" s="1779"/>
      <c r="B262" s="1779"/>
      <c r="C262" s="1779"/>
      <c r="D262" s="1779"/>
      <c r="E262" s="1779"/>
      <c r="F262" s="1779"/>
      <c r="G262" s="1779"/>
      <c r="H262" s="1779"/>
      <c r="I262" s="1779"/>
      <c r="J262" s="1779"/>
      <c r="K262" s="1780"/>
      <c r="L262" s="1781"/>
      <c r="M262" s="1779"/>
      <c r="N262" s="1779"/>
      <c r="O262" s="1779"/>
      <c r="P262" s="1779"/>
      <c r="Q262" s="1779"/>
      <c r="R262" s="1779"/>
      <c r="S262" s="1779"/>
      <c r="T262" s="1779"/>
      <c r="U262" s="1779"/>
      <c r="V262" s="1779"/>
      <c r="W262" s="1779"/>
      <c r="X262" s="1779"/>
      <c r="Y262" s="1779"/>
      <c r="Z262" s="1779"/>
      <c r="AA262" s="1779"/>
      <c r="AB262" s="1779"/>
      <c r="AC262" s="1779"/>
    </row>
    <row r="263" spans="1:29">
      <c r="A263" s="1779"/>
      <c r="B263" s="1779"/>
      <c r="C263" s="1779"/>
      <c r="D263" s="1779"/>
      <c r="E263" s="1779"/>
      <c r="F263" s="1779"/>
      <c r="G263" s="1779"/>
      <c r="H263" s="1779"/>
      <c r="I263" s="1779"/>
      <c r="J263" s="1779"/>
      <c r="K263" s="1780"/>
      <c r="L263" s="1781"/>
      <c r="M263" s="1779"/>
      <c r="N263" s="1779"/>
      <c r="O263" s="1779"/>
      <c r="P263" s="1779"/>
      <c r="Q263" s="1779"/>
      <c r="R263" s="1779"/>
      <c r="S263" s="1779"/>
      <c r="T263" s="1779"/>
      <c r="U263" s="1779"/>
      <c r="V263" s="1779"/>
      <c r="W263" s="1779"/>
      <c r="X263" s="1779"/>
      <c r="Y263" s="1779"/>
      <c r="Z263" s="1779"/>
      <c r="AA263" s="1779"/>
      <c r="AB263" s="1779"/>
      <c r="AC263" s="1779"/>
    </row>
    <row r="264" spans="1:29">
      <c r="A264" s="1779"/>
      <c r="B264" s="1779"/>
      <c r="C264" s="1779"/>
      <c r="D264" s="1779"/>
      <c r="E264" s="1779"/>
      <c r="F264" s="1779"/>
      <c r="G264" s="1779"/>
      <c r="H264" s="1779"/>
      <c r="I264" s="1779"/>
      <c r="J264" s="1779"/>
      <c r="K264" s="1780"/>
      <c r="L264" s="1781"/>
      <c r="M264" s="1779"/>
      <c r="N264" s="1779"/>
      <c r="O264" s="1779"/>
      <c r="P264" s="1779"/>
      <c r="Q264" s="1779"/>
      <c r="R264" s="1779"/>
      <c r="S264" s="1779"/>
      <c r="T264" s="1779"/>
      <c r="U264" s="1779"/>
      <c r="V264" s="1779"/>
      <c r="W264" s="1779"/>
      <c r="X264" s="1779"/>
      <c r="Y264" s="1779"/>
      <c r="Z264" s="1779"/>
      <c r="AA264" s="1779"/>
      <c r="AB264" s="1779"/>
      <c r="AC264" s="1779"/>
    </row>
    <row r="265" spans="1:29">
      <c r="A265" s="1779"/>
      <c r="B265" s="1779"/>
      <c r="C265" s="1779"/>
      <c r="D265" s="1779"/>
      <c r="E265" s="1779"/>
      <c r="F265" s="1779"/>
      <c r="G265" s="1779"/>
      <c r="H265" s="1779"/>
      <c r="I265" s="1779"/>
      <c r="J265" s="1779"/>
      <c r="K265" s="1780"/>
      <c r="L265" s="1781"/>
      <c r="M265" s="1779"/>
      <c r="N265" s="1779"/>
      <c r="O265" s="1779"/>
      <c r="P265" s="1779"/>
      <c r="Q265" s="1779"/>
      <c r="R265" s="1779"/>
      <c r="S265" s="1779"/>
      <c r="T265" s="1779"/>
      <c r="U265" s="1779"/>
      <c r="V265" s="1779"/>
      <c r="W265" s="1779"/>
      <c r="X265" s="1779"/>
      <c r="Y265" s="1779"/>
      <c r="Z265" s="1779"/>
      <c r="AA265" s="1779"/>
      <c r="AB265" s="1779"/>
      <c r="AC265" s="1779"/>
    </row>
    <row r="266" spans="1:29">
      <c r="A266" s="1779"/>
      <c r="B266" s="1779"/>
      <c r="C266" s="1779"/>
      <c r="D266" s="1779"/>
      <c r="E266" s="1779"/>
      <c r="F266" s="1779"/>
      <c r="G266" s="1779"/>
      <c r="H266" s="1779"/>
      <c r="I266" s="1779"/>
      <c r="J266" s="1779"/>
      <c r="K266" s="1780"/>
      <c r="L266" s="1781"/>
      <c r="M266" s="1779"/>
      <c r="N266" s="1779"/>
      <c r="O266" s="1779"/>
      <c r="P266" s="1779"/>
      <c r="Q266" s="1779"/>
      <c r="R266" s="1779"/>
      <c r="S266" s="1779"/>
      <c r="T266" s="1779"/>
      <c r="U266" s="1779"/>
      <c r="V266" s="1779"/>
      <c r="W266" s="1779"/>
      <c r="X266" s="1779"/>
      <c r="Y266" s="1779"/>
      <c r="Z266" s="1779"/>
      <c r="AA266" s="1779"/>
      <c r="AB266" s="1779"/>
      <c r="AC266" s="1779"/>
    </row>
    <row r="267" spans="1:29">
      <c r="A267" s="1779"/>
      <c r="B267" s="1779"/>
      <c r="C267" s="1779"/>
      <c r="D267" s="1779"/>
      <c r="E267" s="1779"/>
      <c r="F267" s="1779"/>
      <c r="G267" s="1779"/>
      <c r="H267" s="1779"/>
      <c r="I267" s="1779"/>
      <c r="J267" s="1779"/>
      <c r="K267" s="1780"/>
      <c r="L267" s="1781"/>
      <c r="M267" s="1779"/>
      <c r="N267" s="1779"/>
      <c r="O267" s="1779"/>
      <c r="P267" s="1779"/>
      <c r="Q267" s="1779"/>
      <c r="R267" s="1779"/>
      <c r="S267" s="1779"/>
      <c r="T267" s="1779"/>
      <c r="U267" s="1779"/>
      <c r="V267" s="1779"/>
      <c r="W267" s="1779"/>
      <c r="X267" s="1779"/>
      <c r="Y267" s="1779"/>
      <c r="Z267" s="1779"/>
      <c r="AA267" s="1779"/>
      <c r="AB267" s="1779"/>
      <c r="AC267" s="1779"/>
    </row>
    <row r="268" spans="1:29">
      <c r="A268" s="1779"/>
      <c r="B268" s="1779"/>
      <c r="C268" s="1779"/>
      <c r="D268" s="1779"/>
      <c r="E268" s="1779"/>
      <c r="F268" s="1779"/>
      <c r="G268" s="1779"/>
      <c r="H268" s="1779"/>
      <c r="I268" s="1779"/>
      <c r="J268" s="1779"/>
      <c r="K268" s="1780"/>
      <c r="L268" s="1781"/>
      <c r="M268" s="1779"/>
      <c r="N268" s="1779"/>
      <c r="O268" s="1779"/>
      <c r="P268" s="1779"/>
      <c r="Q268" s="1779"/>
      <c r="R268" s="1779"/>
      <c r="S268" s="1779"/>
      <c r="T268" s="1779"/>
      <c r="U268" s="1779"/>
      <c r="V268" s="1779"/>
      <c r="W268" s="1779"/>
      <c r="X268" s="1779"/>
      <c r="Y268" s="1779"/>
      <c r="Z268" s="1779"/>
      <c r="AA268" s="1779"/>
      <c r="AB268" s="1779"/>
      <c r="AC268" s="1779"/>
    </row>
    <row r="269" spans="1:29">
      <c r="A269" s="1779"/>
      <c r="B269" s="1779"/>
      <c r="C269" s="1779"/>
      <c r="D269" s="1779"/>
      <c r="E269" s="1779"/>
      <c r="F269" s="1779"/>
      <c r="G269" s="1779"/>
      <c r="H269" s="1779"/>
      <c r="I269" s="1779"/>
      <c r="J269" s="1779"/>
      <c r="K269" s="1780"/>
      <c r="L269" s="1781"/>
      <c r="M269" s="1779"/>
      <c r="N269" s="1779"/>
      <c r="O269" s="1779"/>
      <c r="P269" s="1779"/>
      <c r="Q269" s="1779"/>
      <c r="R269" s="1779"/>
      <c r="S269" s="1779"/>
      <c r="T269" s="1779"/>
      <c r="U269" s="1779"/>
      <c r="V269" s="1779"/>
      <c r="W269" s="1779"/>
      <c r="X269" s="1779"/>
      <c r="Y269" s="1779"/>
      <c r="Z269" s="1779"/>
      <c r="AA269" s="1779"/>
      <c r="AB269" s="1779"/>
      <c r="AC269" s="1779"/>
    </row>
    <row r="270" spans="1:29">
      <c r="A270" s="1779"/>
      <c r="B270" s="1779"/>
      <c r="C270" s="1779"/>
      <c r="D270" s="1779"/>
      <c r="E270" s="1779"/>
      <c r="F270" s="1779"/>
      <c r="G270" s="1779"/>
      <c r="H270" s="1779"/>
      <c r="I270" s="1779"/>
      <c r="J270" s="1779"/>
      <c r="K270" s="1780"/>
      <c r="L270" s="1781"/>
      <c r="M270" s="1779"/>
      <c r="N270" s="1779"/>
      <c r="O270" s="1779"/>
      <c r="P270" s="1779"/>
      <c r="Q270" s="1779"/>
      <c r="R270" s="1779"/>
      <c r="S270" s="1779"/>
      <c r="T270" s="1779"/>
      <c r="U270" s="1779"/>
      <c r="V270" s="1779"/>
      <c r="W270" s="1779"/>
      <c r="X270" s="1779"/>
      <c r="Y270" s="1779"/>
      <c r="Z270" s="1779"/>
      <c r="AA270" s="1779"/>
      <c r="AB270" s="1779"/>
      <c r="AC270" s="1779"/>
    </row>
    <row r="271" spans="1:29">
      <c r="A271" s="1779"/>
      <c r="B271" s="1779"/>
      <c r="C271" s="1779"/>
      <c r="D271" s="1779"/>
      <c r="E271" s="1779"/>
      <c r="F271" s="1779"/>
      <c r="G271" s="1779"/>
      <c r="H271" s="1779"/>
      <c r="I271" s="1779"/>
      <c r="J271" s="1779"/>
      <c r="K271" s="1780"/>
      <c r="L271" s="1781"/>
      <c r="M271" s="1779"/>
      <c r="N271" s="1779"/>
      <c r="O271" s="1779"/>
      <c r="P271" s="1779"/>
      <c r="Q271" s="1779"/>
      <c r="R271" s="1779"/>
      <c r="S271" s="1779"/>
      <c r="T271" s="1779"/>
      <c r="U271" s="1779"/>
      <c r="V271" s="1779"/>
      <c r="W271" s="1779"/>
      <c r="X271" s="1779"/>
      <c r="Y271" s="1779"/>
      <c r="Z271" s="1779"/>
      <c r="AA271" s="1779"/>
      <c r="AB271" s="1779"/>
      <c r="AC271" s="1779"/>
    </row>
    <row r="272" spans="1:29">
      <c r="A272" s="1779"/>
      <c r="B272" s="1779"/>
      <c r="C272" s="1779"/>
      <c r="D272" s="1779"/>
      <c r="E272" s="1779"/>
      <c r="F272" s="1779"/>
      <c r="G272" s="1779"/>
      <c r="H272" s="1779"/>
      <c r="I272" s="1779"/>
      <c r="J272" s="1779"/>
      <c r="K272" s="1780"/>
      <c r="L272" s="1781"/>
      <c r="M272" s="1779"/>
      <c r="N272" s="1779"/>
      <c r="O272" s="1779"/>
      <c r="P272" s="1779"/>
      <c r="Q272" s="1779"/>
      <c r="R272" s="1779"/>
      <c r="S272" s="1779"/>
      <c r="T272" s="1779"/>
      <c r="U272" s="1779"/>
      <c r="V272" s="1779"/>
      <c r="W272" s="1779"/>
      <c r="X272" s="1779"/>
      <c r="Y272" s="1779"/>
      <c r="Z272" s="1779"/>
      <c r="AA272" s="1779"/>
      <c r="AB272" s="1779"/>
      <c r="AC272" s="1779"/>
    </row>
    <row r="273" spans="1:29">
      <c r="A273" s="1779"/>
      <c r="B273" s="1779"/>
      <c r="C273" s="1779"/>
      <c r="D273" s="1779"/>
      <c r="E273" s="1779"/>
      <c r="F273" s="1779"/>
      <c r="G273" s="1779"/>
      <c r="H273" s="1779"/>
      <c r="I273" s="1779"/>
      <c r="J273" s="1779"/>
      <c r="K273" s="1780"/>
      <c r="L273" s="1781"/>
      <c r="M273" s="1779"/>
      <c r="N273" s="1779"/>
      <c r="O273" s="1779"/>
      <c r="P273" s="1779"/>
      <c r="Q273" s="1779"/>
      <c r="R273" s="1779"/>
      <c r="S273" s="1779"/>
      <c r="T273" s="1779"/>
      <c r="U273" s="1779"/>
      <c r="V273" s="1779"/>
      <c r="W273" s="1779"/>
      <c r="X273" s="1779"/>
      <c r="Y273" s="1779"/>
      <c r="Z273" s="1779"/>
      <c r="AA273" s="1779"/>
      <c r="AB273" s="1779"/>
      <c r="AC273" s="1779"/>
    </row>
    <row r="274" spans="1:29">
      <c r="A274" s="1779"/>
      <c r="B274" s="1779"/>
      <c r="C274" s="1779"/>
      <c r="D274" s="1779"/>
      <c r="E274" s="1779"/>
      <c r="F274" s="1779"/>
      <c r="G274" s="1779"/>
      <c r="H274" s="1779"/>
      <c r="I274" s="1779"/>
      <c r="J274" s="1779"/>
      <c r="K274" s="1780"/>
      <c r="L274" s="1781"/>
      <c r="M274" s="1779"/>
      <c r="N274" s="1779"/>
      <c r="O274" s="1779"/>
      <c r="P274" s="1779"/>
      <c r="Q274" s="1779"/>
      <c r="R274" s="1779"/>
      <c r="S274" s="1779"/>
      <c r="T274" s="1779"/>
      <c r="U274" s="1779"/>
      <c r="V274" s="1779"/>
      <c r="W274" s="1779"/>
      <c r="X274" s="1779"/>
      <c r="Y274" s="1779"/>
      <c r="Z274" s="1779"/>
      <c r="AA274" s="1779"/>
      <c r="AB274" s="1779"/>
      <c r="AC274" s="1779"/>
    </row>
    <row r="275" spans="1:29">
      <c r="A275" s="1779"/>
      <c r="B275" s="1779"/>
      <c r="C275" s="1779"/>
      <c r="D275" s="1779"/>
      <c r="E275" s="1779"/>
      <c r="F275" s="1779"/>
      <c r="G275" s="1779"/>
      <c r="H275" s="1779"/>
      <c r="I275" s="1779"/>
      <c r="J275" s="1779"/>
      <c r="K275" s="1780"/>
      <c r="L275" s="1781"/>
      <c r="M275" s="1779"/>
      <c r="N275" s="1779"/>
      <c r="O275" s="1779"/>
      <c r="P275" s="1779"/>
      <c r="Q275" s="1779"/>
      <c r="R275" s="1779"/>
      <c r="S275" s="1779"/>
      <c r="T275" s="1779"/>
      <c r="U275" s="1779"/>
      <c r="V275" s="1779"/>
      <c r="W275" s="1779"/>
      <c r="X275" s="1779"/>
      <c r="Y275" s="1779"/>
      <c r="Z275" s="1779"/>
      <c r="AA275" s="1779"/>
      <c r="AB275" s="1779"/>
      <c r="AC275" s="1779"/>
    </row>
    <row r="276" spans="1:29">
      <c r="A276" s="1779"/>
      <c r="B276" s="1779"/>
      <c r="C276" s="1779"/>
      <c r="D276" s="1779"/>
      <c r="E276" s="1779"/>
      <c r="F276" s="1779"/>
      <c r="G276" s="1779"/>
      <c r="H276" s="1779"/>
      <c r="I276" s="1779"/>
      <c r="J276" s="1779"/>
      <c r="K276" s="1780"/>
      <c r="L276" s="1781"/>
      <c r="M276" s="1779"/>
      <c r="N276" s="1779"/>
      <c r="O276" s="1779"/>
      <c r="P276" s="1779"/>
      <c r="Q276" s="1779"/>
      <c r="R276" s="1779"/>
      <c r="S276" s="1779"/>
      <c r="T276" s="1779"/>
      <c r="U276" s="1779"/>
      <c r="V276" s="1779"/>
      <c r="W276" s="1779"/>
      <c r="X276" s="1779"/>
      <c r="Y276" s="1779"/>
      <c r="Z276" s="1779"/>
      <c r="AA276" s="1779"/>
      <c r="AB276" s="1779"/>
      <c r="AC276" s="1779"/>
    </row>
    <row r="277" spans="1:29">
      <c r="A277" s="1779"/>
      <c r="B277" s="1779"/>
      <c r="C277" s="1779"/>
      <c r="D277" s="1779"/>
      <c r="E277" s="1779"/>
      <c r="F277" s="1779"/>
      <c r="G277" s="1779"/>
      <c r="H277" s="1779"/>
      <c r="I277" s="1779"/>
      <c r="J277" s="1779"/>
      <c r="K277" s="1780"/>
      <c r="L277" s="1781"/>
      <c r="M277" s="1779"/>
      <c r="N277" s="1779"/>
      <c r="O277" s="1779"/>
      <c r="P277" s="1779"/>
      <c r="Q277" s="1779"/>
      <c r="R277" s="1779"/>
      <c r="S277" s="1779"/>
      <c r="T277" s="1779"/>
      <c r="U277" s="1779"/>
      <c r="V277" s="1779"/>
      <c r="W277" s="1779"/>
      <c r="X277" s="1779"/>
      <c r="Y277" s="1779"/>
      <c r="Z277" s="1779"/>
      <c r="AA277" s="1779"/>
      <c r="AB277" s="1779"/>
      <c r="AC277" s="1779"/>
    </row>
    <row r="278" spans="1:29">
      <c r="A278" s="1779"/>
      <c r="B278" s="1779"/>
      <c r="C278" s="1779"/>
      <c r="D278" s="1779"/>
      <c r="E278" s="1779"/>
      <c r="F278" s="1779"/>
      <c r="G278" s="1779"/>
      <c r="H278" s="1779"/>
      <c r="I278" s="1779"/>
      <c r="J278" s="1779"/>
      <c r="K278" s="1780"/>
      <c r="L278" s="1781"/>
      <c r="M278" s="1779"/>
      <c r="N278" s="1779"/>
      <c r="O278" s="1779"/>
      <c r="P278" s="1779"/>
      <c r="Q278" s="1779"/>
      <c r="R278" s="1779"/>
      <c r="S278" s="1779"/>
      <c r="T278" s="1779"/>
      <c r="U278" s="1779"/>
      <c r="V278" s="1779"/>
      <c r="W278" s="1779"/>
      <c r="X278" s="1779"/>
      <c r="Y278" s="1779"/>
      <c r="Z278" s="1779"/>
      <c r="AA278" s="1779"/>
      <c r="AB278" s="1779"/>
      <c r="AC278" s="1779"/>
    </row>
    <row r="279" spans="1:29">
      <c r="A279" s="1779"/>
      <c r="B279" s="1779"/>
      <c r="C279" s="1779"/>
      <c r="D279" s="1779"/>
      <c r="E279" s="1779"/>
      <c r="F279" s="1779"/>
      <c r="G279" s="1779"/>
      <c r="H279" s="1779"/>
      <c r="I279" s="1779"/>
      <c r="J279" s="1779"/>
      <c r="K279" s="1780"/>
      <c r="L279" s="1781"/>
      <c r="M279" s="1779"/>
      <c r="N279" s="1779"/>
      <c r="O279" s="1779"/>
      <c r="P279" s="1779"/>
      <c r="Q279" s="1779"/>
      <c r="R279" s="1779"/>
      <c r="S279" s="1779"/>
      <c r="T279" s="1779"/>
      <c r="U279" s="1779"/>
      <c r="V279" s="1779"/>
      <c r="W279" s="1779"/>
      <c r="X279" s="1779"/>
      <c r="Y279" s="1779"/>
      <c r="Z279" s="1779"/>
      <c r="AA279" s="1779"/>
      <c r="AB279" s="1779"/>
      <c r="AC279" s="1779"/>
    </row>
    <row r="280" spans="1:29">
      <c r="A280" s="1779"/>
      <c r="B280" s="1779"/>
      <c r="C280" s="1779"/>
      <c r="D280" s="1779"/>
      <c r="E280" s="1779"/>
      <c r="F280" s="1779"/>
      <c r="G280" s="1779"/>
      <c r="H280" s="1779"/>
      <c r="I280" s="1779"/>
      <c r="J280" s="1779"/>
      <c r="K280" s="1780"/>
      <c r="L280" s="1781"/>
      <c r="M280" s="1779"/>
      <c r="N280" s="1779"/>
      <c r="O280" s="1779"/>
      <c r="P280" s="1779"/>
      <c r="Q280" s="1779"/>
      <c r="R280" s="1779"/>
      <c r="S280" s="1779"/>
      <c r="T280" s="1779"/>
      <c r="U280" s="1779"/>
      <c r="V280" s="1779"/>
      <c r="W280" s="1779"/>
      <c r="X280" s="1779"/>
      <c r="Y280" s="1779"/>
      <c r="Z280" s="1779"/>
      <c r="AA280" s="1779"/>
      <c r="AB280" s="1779"/>
      <c r="AC280" s="1779"/>
    </row>
    <row r="281" spans="1:29">
      <c r="A281" s="1779"/>
      <c r="B281" s="1779"/>
      <c r="C281" s="1779"/>
      <c r="D281" s="1779"/>
      <c r="E281" s="1779"/>
      <c r="F281" s="1779"/>
      <c r="G281" s="1779"/>
      <c r="H281" s="1779"/>
      <c r="I281" s="1779"/>
      <c r="J281" s="1779"/>
      <c r="K281" s="1780"/>
      <c r="L281" s="1781"/>
      <c r="M281" s="1779"/>
      <c r="N281" s="1779"/>
      <c r="O281" s="1779"/>
      <c r="P281" s="1779"/>
      <c r="Q281" s="1779"/>
      <c r="R281" s="1779"/>
      <c r="S281" s="1779"/>
      <c r="T281" s="1779"/>
      <c r="U281" s="1779"/>
      <c r="V281" s="1779"/>
      <c r="W281" s="1779"/>
      <c r="X281" s="1779"/>
      <c r="Y281" s="1779"/>
      <c r="Z281" s="1779"/>
      <c r="AA281" s="1779"/>
      <c r="AB281" s="1779"/>
      <c r="AC281" s="1779"/>
    </row>
    <row r="282" spans="1:29">
      <c r="A282" s="1779"/>
      <c r="B282" s="1779"/>
      <c r="C282" s="1779"/>
      <c r="D282" s="1779"/>
      <c r="E282" s="1779"/>
      <c r="F282" s="1779"/>
      <c r="G282" s="1779"/>
      <c r="H282" s="1779"/>
      <c r="I282" s="1779"/>
      <c r="J282" s="1779"/>
      <c r="K282" s="1780"/>
      <c r="L282" s="1781"/>
      <c r="M282" s="1779"/>
      <c r="N282" s="1779"/>
      <c r="O282" s="1779"/>
      <c r="P282" s="1779"/>
      <c r="Q282" s="1779"/>
      <c r="R282" s="1779"/>
      <c r="S282" s="1779"/>
      <c r="T282" s="1779"/>
      <c r="U282" s="1779"/>
      <c r="V282" s="1779"/>
      <c r="W282" s="1779"/>
      <c r="X282" s="1779"/>
      <c r="Y282" s="1779"/>
      <c r="Z282" s="1779"/>
      <c r="AA282" s="1779"/>
      <c r="AB282" s="1779"/>
      <c r="AC282" s="1779"/>
    </row>
    <row r="283" spans="1:29">
      <c r="A283" s="1779"/>
      <c r="B283" s="1779"/>
      <c r="C283" s="1779"/>
      <c r="D283" s="1779"/>
      <c r="E283" s="1779"/>
      <c r="F283" s="1779"/>
      <c r="G283" s="1779"/>
      <c r="H283" s="1779"/>
      <c r="I283" s="1779"/>
      <c r="J283" s="1779"/>
      <c r="K283" s="1780"/>
      <c r="L283" s="1781"/>
      <c r="M283" s="1779"/>
      <c r="N283" s="1779"/>
      <c r="O283" s="1779"/>
      <c r="P283" s="1779"/>
      <c r="Q283" s="1779"/>
      <c r="R283" s="1779"/>
      <c r="S283" s="1779"/>
      <c r="T283" s="1779"/>
      <c r="U283" s="1779"/>
      <c r="V283" s="1779"/>
      <c r="W283" s="1779"/>
      <c r="X283" s="1779"/>
      <c r="Y283" s="1779"/>
      <c r="Z283" s="1779"/>
      <c r="AA283" s="1779"/>
      <c r="AB283" s="1779"/>
      <c r="AC283" s="1779"/>
    </row>
    <row r="284" spans="1:29">
      <c r="A284" s="1779"/>
      <c r="B284" s="1779"/>
      <c r="C284" s="1779"/>
      <c r="D284" s="1779"/>
      <c r="E284" s="1779"/>
      <c r="F284" s="1779"/>
      <c r="G284" s="1779"/>
      <c r="H284" s="1779"/>
      <c r="I284" s="1779"/>
      <c r="J284" s="1779"/>
      <c r="K284" s="1780"/>
      <c r="L284" s="1781"/>
      <c r="M284" s="1779"/>
      <c r="N284" s="1779"/>
      <c r="O284" s="1779"/>
      <c r="P284" s="1779"/>
      <c r="Q284" s="1779"/>
      <c r="R284" s="1779"/>
      <c r="S284" s="1779"/>
      <c r="T284" s="1779"/>
      <c r="U284" s="1779"/>
      <c r="V284" s="1779"/>
      <c r="W284" s="1779"/>
      <c r="X284" s="1779"/>
      <c r="Y284" s="1779"/>
      <c r="Z284" s="1779"/>
      <c r="AA284" s="1779"/>
      <c r="AB284" s="1779"/>
      <c r="AC284" s="1779"/>
    </row>
    <row r="285" spans="1:29">
      <c r="A285" s="1779"/>
      <c r="B285" s="1779"/>
      <c r="C285" s="1779"/>
      <c r="D285" s="1779"/>
      <c r="E285" s="1779"/>
      <c r="F285" s="1779"/>
      <c r="G285" s="1779"/>
      <c r="H285" s="1779"/>
      <c r="I285" s="1779"/>
      <c r="J285" s="1779"/>
      <c r="K285" s="1780"/>
      <c r="L285" s="1781"/>
      <c r="M285" s="1779"/>
      <c r="N285" s="1779"/>
      <c r="O285" s="1779"/>
      <c r="P285" s="1779"/>
      <c r="Q285" s="1779"/>
      <c r="R285" s="1779"/>
      <c r="S285" s="1779"/>
      <c r="T285" s="1779"/>
      <c r="U285" s="1779"/>
      <c r="V285" s="1779"/>
      <c r="W285" s="1779"/>
      <c r="X285" s="1779"/>
      <c r="Y285" s="1779"/>
      <c r="Z285" s="1779"/>
      <c r="AA285" s="1779"/>
      <c r="AB285" s="1779"/>
      <c r="AC285" s="1779"/>
    </row>
    <row r="286" spans="1:29">
      <c r="A286" s="1779"/>
      <c r="B286" s="1779"/>
      <c r="C286" s="1779"/>
      <c r="D286" s="1779"/>
      <c r="E286" s="1779"/>
      <c r="F286" s="1779"/>
      <c r="G286" s="1779"/>
      <c r="H286" s="1779"/>
      <c r="I286" s="1779"/>
      <c r="J286" s="1779"/>
      <c r="K286" s="1780"/>
      <c r="L286" s="1781"/>
      <c r="M286" s="1779"/>
      <c r="N286" s="1779"/>
      <c r="O286" s="1779"/>
      <c r="P286" s="1779"/>
      <c r="Q286" s="1779"/>
      <c r="R286" s="1779"/>
      <c r="S286" s="1779"/>
      <c r="T286" s="1779"/>
      <c r="U286" s="1779"/>
      <c r="V286" s="1779"/>
      <c r="W286" s="1779"/>
      <c r="X286" s="1779"/>
      <c r="Y286" s="1779"/>
      <c r="Z286" s="1779"/>
      <c r="AA286" s="1779"/>
      <c r="AB286" s="1779"/>
      <c r="AC286" s="1779"/>
    </row>
    <row r="287" spans="1:29">
      <c r="A287" s="1779"/>
      <c r="B287" s="1779"/>
      <c r="C287" s="1779"/>
      <c r="D287" s="1779"/>
      <c r="E287" s="1779"/>
      <c r="F287" s="1779"/>
      <c r="G287" s="1779"/>
      <c r="H287" s="1779"/>
      <c r="I287" s="1779"/>
      <c r="J287" s="1779"/>
      <c r="K287" s="1780"/>
      <c r="L287" s="1781"/>
      <c r="M287" s="1779"/>
      <c r="N287" s="1779"/>
      <c r="O287" s="1779"/>
      <c r="P287" s="1779"/>
      <c r="Q287" s="1779"/>
      <c r="R287" s="1779"/>
      <c r="S287" s="1779"/>
      <c r="T287" s="1779"/>
      <c r="U287" s="1779"/>
      <c r="V287" s="1779"/>
      <c r="W287" s="1779"/>
      <c r="X287" s="1779"/>
      <c r="Y287" s="1779"/>
      <c r="Z287" s="1779"/>
      <c r="AA287" s="1779"/>
      <c r="AB287" s="1779"/>
      <c r="AC287" s="1779"/>
    </row>
    <row r="288" spans="1:29">
      <c r="A288" s="1779"/>
      <c r="B288" s="1779"/>
      <c r="C288" s="1779"/>
      <c r="D288" s="1779"/>
      <c r="E288" s="1779"/>
      <c r="F288" s="1779"/>
      <c r="G288" s="1779"/>
      <c r="H288" s="1779"/>
      <c r="I288" s="1779"/>
      <c r="J288" s="1779"/>
      <c r="K288" s="1780"/>
      <c r="L288" s="1781"/>
      <c r="M288" s="1779"/>
      <c r="N288" s="1779"/>
      <c r="O288" s="1779"/>
      <c r="P288" s="1779"/>
      <c r="Q288" s="1779"/>
      <c r="R288" s="1779"/>
      <c r="S288" s="1779"/>
      <c r="T288" s="1779"/>
      <c r="U288" s="1779"/>
      <c r="V288" s="1779"/>
      <c r="W288" s="1779"/>
      <c r="X288" s="1779"/>
      <c r="Y288" s="1779"/>
      <c r="Z288" s="1779"/>
      <c r="AA288" s="1779"/>
      <c r="AB288" s="1779"/>
      <c r="AC288" s="1779"/>
    </row>
    <row r="289" spans="1:29">
      <c r="A289" s="1779"/>
      <c r="B289" s="1779"/>
      <c r="C289" s="1779"/>
      <c r="D289" s="1779"/>
      <c r="E289" s="1779"/>
      <c r="F289" s="1779"/>
      <c r="G289" s="1779"/>
      <c r="H289" s="1779"/>
      <c r="I289" s="1779"/>
      <c r="J289" s="1779"/>
      <c r="K289" s="1780"/>
      <c r="L289" s="1781"/>
      <c r="M289" s="1779"/>
      <c r="N289" s="1779"/>
      <c r="O289" s="1779"/>
      <c r="P289" s="1779"/>
      <c r="Q289" s="1779"/>
      <c r="R289" s="1779"/>
      <c r="S289" s="1779"/>
      <c r="T289" s="1779"/>
      <c r="U289" s="1779"/>
      <c r="V289" s="1779"/>
      <c r="W289" s="1779"/>
      <c r="X289" s="1779"/>
      <c r="Y289" s="1779"/>
      <c r="Z289" s="1779"/>
      <c r="AA289" s="1779"/>
      <c r="AB289" s="1779"/>
      <c r="AC289" s="1779"/>
    </row>
    <row r="290" spans="1:29">
      <c r="A290" s="1779"/>
      <c r="B290" s="1779"/>
      <c r="C290" s="1779"/>
      <c r="D290" s="1779"/>
      <c r="E290" s="1779"/>
      <c r="F290" s="1779"/>
      <c r="G290" s="1779"/>
      <c r="H290" s="1779"/>
      <c r="I290" s="1779"/>
      <c r="J290" s="1779"/>
      <c r="K290" s="1780"/>
      <c r="L290" s="1781"/>
      <c r="M290" s="1779"/>
      <c r="N290" s="1779"/>
      <c r="O290" s="1779"/>
      <c r="P290" s="1779"/>
      <c r="Q290" s="1779"/>
      <c r="R290" s="1779"/>
      <c r="S290" s="1779"/>
      <c r="T290" s="1779"/>
      <c r="U290" s="1779"/>
      <c r="V290" s="1779"/>
      <c r="W290" s="1779"/>
      <c r="X290" s="1779"/>
      <c r="Y290" s="1779"/>
      <c r="Z290" s="1779"/>
      <c r="AA290" s="1779"/>
      <c r="AB290" s="1779"/>
      <c r="AC290" s="1779"/>
    </row>
    <row r="291" spans="1:29">
      <c r="A291" s="1779"/>
      <c r="B291" s="1779"/>
      <c r="C291" s="1779"/>
      <c r="D291" s="1779"/>
      <c r="E291" s="1779"/>
      <c r="F291" s="1779"/>
      <c r="G291" s="1779"/>
      <c r="H291" s="1779"/>
      <c r="I291" s="1779"/>
      <c r="J291" s="1779"/>
      <c r="K291" s="1780"/>
      <c r="L291" s="1781"/>
      <c r="M291" s="1779"/>
      <c r="N291" s="1779"/>
      <c r="O291" s="1779"/>
      <c r="P291" s="1779"/>
      <c r="Q291" s="1779"/>
      <c r="R291" s="1779"/>
      <c r="S291" s="1779"/>
      <c r="T291" s="1779"/>
      <c r="U291" s="1779"/>
      <c r="V291" s="1779"/>
      <c r="W291" s="1779"/>
      <c r="X291" s="1779"/>
      <c r="Y291" s="1779"/>
      <c r="Z291" s="1779"/>
      <c r="AA291" s="1779"/>
      <c r="AB291" s="1779"/>
      <c r="AC291" s="1779"/>
    </row>
    <row r="292" spans="1:29">
      <c r="A292" s="1779"/>
      <c r="B292" s="1779"/>
      <c r="C292" s="1779"/>
      <c r="D292" s="1779"/>
      <c r="E292" s="1779"/>
      <c r="F292" s="1779"/>
      <c r="G292" s="1779"/>
      <c r="H292" s="1779"/>
      <c r="I292" s="1779"/>
      <c r="J292" s="1779"/>
      <c r="K292" s="1780"/>
      <c r="L292" s="1781"/>
      <c r="M292" s="1779"/>
      <c r="N292" s="1779"/>
      <c r="O292" s="1779"/>
      <c r="P292" s="1779"/>
      <c r="Q292" s="1779"/>
      <c r="R292" s="1779"/>
      <c r="S292" s="1779"/>
      <c r="T292" s="1779"/>
      <c r="U292" s="1779"/>
      <c r="V292" s="1779"/>
      <c r="W292" s="1779"/>
      <c r="X292" s="1779"/>
      <c r="Y292" s="1779"/>
      <c r="Z292" s="1779"/>
      <c r="AA292" s="1779"/>
      <c r="AB292" s="1779"/>
      <c r="AC292" s="1779"/>
    </row>
    <row r="293" spans="1:29">
      <c r="A293" s="1779"/>
      <c r="B293" s="1779"/>
      <c r="C293" s="1779"/>
      <c r="D293" s="1779"/>
      <c r="E293" s="1779"/>
      <c r="F293" s="1779"/>
      <c r="G293" s="1779"/>
      <c r="H293" s="1779"/>
      <c r="I293" s="1779"/>
      <c r="J293" s="1779"/>
      <c r="K293" s="1780"/>
      <c r="L293" s="1781"/>
      <c r="M293" s="1779"/>
      <c r="N293" s="1779"/>
      <c r="O293" s="1779"/>
      <c r="P293" s="1779"/>
      <c r="Q293" s="1779"/>
      <c r="R293" s="1779"/>
      <c r="S293" s="1779"/>
      <c r="T293" s="1779"/>
      <c r="U293" s="1779"/>
      <c r="V293" s="1779"/>
      <c r="W293" s="1779"/>
      <c r="X293" s="1779"/>
      <c r="Y293" s="1779"/>
      <c r="Z293" s="1779"/>
      <c r="AA293" s="1779"/>
      <c r="AB293" s="1779"/>
      <c r="AC293" s="1779"/>
    </row>
    <row r="294" spans="1:29">
      <c r="A294" s="1779"/>
      <c r="B294" s="1779"/>
      <c r="C294" s="1779"/>
      <c r="D294" s="1779"/>
      <c r="E294" s="1779"/>
      <c r="F294" s="1779"/>
      <c r="G294" s="1779"/>
      <c r="H294" s="1779"/>
      <c r="I294" s="1779"/>
      <c r="J294" s="1779"/>
      <c r="K294" s="1780"/>
      <c r="L294" s="1781"/>
      <c r="M294" s="1779"/>
      <c r="N294" s="1779"/>
      <c r="O294" s="1779"/>
      <c r="P294" s="1779"/>
      <c r="Q294" s="1779"/>
      <c r="R294" s="1779"/>
      <c r="S294" s="1779"/>
      <c r="T294" s="1779"/>
      <c r="U294" s="1779"/>
      <c r="V294" s="1779"/>
      <c r="W294" s="1779"/>
      <c r="X294" s="1779"/>
      <c r="Y294" s="1779"/>
      <c r="Z294" s="1779"/>
      <c r="AA294" s="1779"/>
      <c r="AB294" s="1779"/>
      <c r="AC294" s="1779"/>
    </row>
    <row r="295" spans="1:29">
      <c r="A295" s="1779"/>
      <c r="B295" s="1779"/>
      <c r="C295" s="1779"/>
      <c r="D295" s="1779"/>
      <c r="E295" s="1779"/>
      <c r="F295" s="1779"/>
      <c r="G295" s="1779"/>
      <c r="H295" s="1779"/>
      <c r="I295" s="1779"/>
      <c r="J295" s="1779"/>
      <c r="K295" s="1780"/>
      <c r="L295" s="1781"/>
      <c r="M295" s="1779"/>
      <c r="N295" s="1779"/>
      <c r="O295" s="1779"/>
      <c r="P295" s="1779"/>
      <c r="Q295" s="1779"/>
      <c r="R295" s="1779"/>
      <c r="S295" s="1779"/>
      <c r="T295" s="1779"/>
      <c r="U295" s="1779"/>
      <c r="V295" s="1779"/>
      <c r="W295" s="1779"/>
      <c r="X295" s="1779"/>
      <c r="Y295" s="1779"/>
      <c r="Z295" s="1779"/>
      <c r="AA295" s="1779"/>
      <c r="AB295" s="1779"/>
      <c r="AC295" s="1779"/>
    </row>
    <row r="296" spans="1:29">
      <c r="A296" s="1779"/>
      <c r="B296" s="1779"/>
      <c r="C296" s="1779"/>
      <c r="D296" s="1779"/>
      <c r="E296" s="1779"/>
      <c r="F296" s="1779"/>
      <c r="G296" s="1779"/>
      <c r="H296" s="1779"/>
      <c r="I296" s="1779"/>
      <c r="J296" s="1779"/>
      <c r="K296" s="1780"/>
      <c r="L296" s="1781"/>
      <c r="M296" s="1779"/>
      <c r="N296" s="1779"/>
      <c r="O296" s="1779"/>
      <c r="P296" s="1779"/>
      <c r="Q296" s="1779"/>
      <c r="R296" s="1779"/>
      <c r="S296" s="1779"/>
      <c r="T296" s="1779"/>
      <c r="U296" s="1779"/>
      <c r="V296" s="1779"/>
      <c r="W296" s="1779"/>
      <c r="X296" s="1779"/>
      <c r="Y296" s="1779"/>
      <c r="Z296" s="1779"/>
      <c r="AA296" s="1779"/>
      <c r="AB296" s="1779"/>
      <c r="AC296" s="1779"/>
    </row>
    <row r="297" spans="1:29">
      <c r="A297" s="1779"/>
      <c r="B297" s="1779"/>
      <c r="C297" s="1779"/>
      <c r="D297" s="1779"/>
      <c r="E297" s="1779"/>
      <c r="F297" s="1779"/>
      <c r="G297" s="1779"/>
      <c r="H297" s="1779"/>
      <c r="I297" s="1779"/>
      <c r="J297" s="1779"/>
      <c r="K297" s="1780"/>
      <c r="L297" s="1781"/>
      <c r="M297" s="1779"/>
      <c r="N297" s="1779"/>
      <c r="O297" s="1779"/>
      <c r="P297" s="1779"/>
      <c r="Q297" s="1779"/>
      <c r="R297" s="1779"/>
      <c r="S297" s="1779"/>
      <c r="T297" s="1779"/>
      <c r="U297" s="1779"/>
      <c r="V297" s="1779"/>
      <c r="W297" s="1779"/>
      <c r="X297" s="1779"/>
      <c r="Y297" s="1779"/>
      <c r="Z297" s="1779"/>
      <c r="AA297" s="1779"/>
      <c r="AB297" s="1779"/>
      <c r="AC297" s="1779"/>
    </row>
    <row r="298" spans="1:29">
      <c r="A298" s="1779"/>
      <c r="B298" s="1779"/>
      <c r="C298" s="1779"/>
      <c r="D298" s="1779"/>
      <c r="E298" s="1779"/>
      <c r="F298" s="1779"/>
      <c r="G298" s="1779"/>
      <c r="H298" s="1779"/>
      <c r="I298" s="1779"/>
      <c r="J298" s="1779"/>
      <c r="K298" s="1780"/>
      <c r="L298" s="1781"/>
      <c r="M298" s="1779"/>
      <c r="N298" s="1779"/>
      <c r="O298" s="1779"/>
      <c r="P298" s="1779"/>
      <c r="Q298" s="1779"/>
      <c r="R298" s="1779"/>
      <c r="S298" s="1779"/>
      <c r="T298" s="1779"/>
      <c r="U298" s="1779"/>
      <c r="V298" s="1779"/>
      <c r="W298" s="1779"/>
      <c r="X298" s="1779"/>
      <c r="Y298" s="1779"/>
      <c r="Z298" s="1779"/>
      <c r="AA298" s="1779"/>
      <c r="AB298" s="1779"/>
      <c r="AC298" s="1779"/>
    </row>
    <row r="299" spans="1:29">
      <c r="A299" s="1779"/>
      <c r="B299" s="1779"/>
      <c r="C299" s="1779"/>
      <c r="D299" s="1779"/>
      <c r="E299" s="1779"/>
      <c r="F299" s="1779"/>
      <c r="G299" s="1779"/>
      <c r="H299" s="1779"/>
      <c r="I299" s="1779"/>
      <c r="J299" s="1779"/>
      <c r="K299" s="1780"/>
      <c r="L299" s="1781"/>
      <c r="M299" s="1779"/>
      <c r="N299" s="1779"/>
      <c r="O299" s="1779"/>
      <c r="P299" s="1779"/>
      <c r="Q299" s="1779"/>
      <c r="R299" s="1779"/>
      <c r="S299" s="1779"/>
      <c r="T299" s="1779"/>
      <c r="U299" s="1779"/>
      <c r="V299" s="1779"/>
      <c r="W299" s="1779"/>
      <c r="X299" s="1779"/>
      <c r="Y299" s="1779"/>
      <c r="Z299" s="1779"/>
      <c r="AA299" s="1779"/>
      <c r="AB299" s="1779"/>
      <c r="AC299" s="1779"/>
    </row>
    <row r="300" spans="1:29">
      <c r="A300" s="1779"/>
      <c r="B300" s="1779"/>
      <c r="C300" s="1779"/>
      <c r="D300" s="1779"/>
      <c r="E300" s="1779"/>
      <c r="F300" s="1779"/>
      <c r="G300" s="1779"/>
      <c r="H300" s="1779"/>
      <c r="I300" s="1779"/>
      <c r="J300" s="1779"/>
      <c r="K300" s="1780"/>
      <c r="L300" s="1781"/>
      <c r="M300" s="1779"/>
      <c r="N300" s="1779"/>
      <c r="O300" s="1779"/>
      <c r="P300" s="1779"/>
      <c r="Q300" s="1779"/>
      <c r="R300" s="1779"/>
      <c r="S300" s="1779"/>
      <c r="T300" s="1779"/>
      <c r="U300" s="1779"/>
      <c r="V300" s="1779"/>
      <c r="W300" s="1779"/>
      <c r="X300" s="1779"/>
      <c r="Y300" s="1779"/>
      <c r="Z300" s="1779"/>
      <c r="AA300" s="1779"/>
      <c r="AB300" s="1779"/>
      <c r="AC300" s="1779"/>
    </row>
    <row r="301" spans="1:29">
      <c r="A301" s="1779"/>
      <c r="B301" s="1779"/>
      <c r="C301" s="1779"/>
      <c r="D301" s="1779"/>
      <c r="E301" s="1779"/>
      <c r="F301" s="1779"/>
      <c r="G301" s="1779"/>
      <c r="H301" s="1779"/>
      <c r="I301" s="1779"/>
      <c r="J301" s="1779"/>
      <c r="K301" s="1780"/>
      <c r="L301" s="1781"/>
      <c r="M301" s="1779"/>
      <c r="N301" s="1779"/>
      <c r="O301" s="1779"/>
      <c r="P301" s="1779"/>
      <c r="Q301" s="1779"/>
      <c r="R301" s="1779"/>
      <c r="S301" s="1779"/>
      <c r="T301" s="1779"/>
      <c r="U301" s="1779"/>
      <c r="V301" s="1779"/>
      <c r="W301" s="1779"/>
      <c r="X301" s="1779"/>
      <c r="Y301" s="1779"/>
      <c r="Z301" s="1779"/>
      <c r="AA301" s="1779"/>
      <c r="AB301" s="1779"/>
      <c r="AC301" s="1779"/>
    </row>
    <row r="302" spans="1:29">
      <c r="A302" s="1779"/>
      <c r="B302" s="1779"/>
      <c r="C302" s="1779"/>
      <c r="D302" s="1779"/>
      <c r="E302" s="1779"/>
      <c r="F302" s="1779"/>
      <c r="G302" s="1779"/>
      <c r="H302" s="1779"/>
      <c r="I302" s="1779"/>
      <c r="J302" s="1779"/>
      <c r="K302" s="1780"/>
      <c r="L302" s="1781"/>
      <c r="M302" s="1779"/>
      <c r="N302" s="1779"/>
      <c r="O302" s="1779"/>
      <c r="P302" s="1779"/>
      <c r="Q302" s="1779"/>
      <c r="R302" s="1779"/>
      <c r="S302" s="1779"/>
      <c r="T302" s="1779"/>
      <c r="U302" s="1779"/>
      <c r="V302" s="1779"/>
      <c r="W302" s="1779"/>
      <c r="X302" s="1779"/>
      <c r="Y302" s="1779"/>
      <c r="Z302" s="1779"/>
      <c r="AA302" s="1779"/>
      <c r="AB302" s="1779"/>
      <c r="AC302" s="1779"/>
    </row>
    <row r="303" spans="1:29">
      <c r="A303" s="1779"/>
      <c r="B303" s="1779"/>
      <c r="C303" s="1779"/>
      <c r="D303" s="1779"/>
      <c r="E303" s="1779"/>
      <c r="F303" s="1779"/>
      <c r="G303" s="1779"/>
      <c r="H303" s="1779"/>
      <c r="I303" s="1779"/>
      <c r="J303" s="1779"/>
      <c r="K303" s="1780"/>
      <c r="L303" s="1781"/>
      <c r="M303" s="1779"/>
      <c r="N303" s="1779"/>
      <c r="O303" s="1779"/>
      <c r="P303" s="1779"/>
      <c r="Q303" s="1779"/>
      <c r="R303" s="1779"/>
      <c r="S303" s="1779"/>
      <c r="T303" s="1779"/>
      <c r="U303" s="1779"/>
      <c r="V303" s="1779"/>
      <c r="W303" s="1779"/>
      <c r="X303" s="1779"/>
      <c r="Y303" s="1779"/>
      <c r="Z303" s="1779"/>
      <c r="AA303" s="1779"/>
      <c r="AB303" s="1779"/>
      <c r="AC303" s="1779"/>
    </row>
    <row r="304" spans="1:29">
      <c r="A304" s="1779"/>
      <c r="B304" s="1779"/>
      <c r="C304" s="1779"/>
      <c r="D304" s="1779"/>
      <c r="E304" s="1779"/>
      <c r="F304" s="1779"/>
      <c r="G304" s="1779"/>
      <c r="H304" s="1779"/>
      <c r="I304" s="1779"/>
      <c r="J304" s="1779"/>
      <c r="K304" s="1780"/>
      <c r="L304" s="1781"/>
      <c r="M304" s="1779"/>
      <c r="N304" s="1779"/>
      <c r="O304" s="1779"/>
      <c r="P304" s="1779"/>
      <c r="Q304" s="1779"/>
      <c r="R304" s="1779"/>
      <c r="S304" s="1779"/>
      <c r="T304" s="1779"/>
      <c r="U304" s="1779"/>
      <c r="V304" s="1779"/>
      <c r="W304" s="1779"/>
      <c r="X304" s="1779"/>
      <c r="Y304" s="1779"/>
      <c r="Z304" s="1779"/>
      <c r="AA304" s="1779"/>
      <c r="AB304" s="1779"/>
      <c r="AC304" s="1779"/>
    </row>
    <row r="305" spans="1:29">
      <c r="A305" s="1779"/>
      <c r="B305" s="1779"/>
      <c r="C305" s="1779"/>
      <c r="D305" s="1779"/>
      <c r="E305" s="1779"/>
      <c r="F305" s="1779"/>
      <c r="G305" s="1779"/>
      <c r="H305" s="1779"/>
      <c r="I305" s="1779"/>
      <c r="J305" s="1779"/>
      <c r="K305" s="1780"/>
      <c r="L305" s="1781"/>
      <c r="M305" s="1779"/>
      <c r="N305" s="1779"/>
      <c r="O305" s="1779"/>
      <c r="P305" s="1779"/>
      <c r="Q305" s="1779"/>
      <c r="R305" s="1779"/>
      <c r="S305" s="1779"/>
      <c r="T305" s="1779"/>
      <c r="U305" s="1779"/>
      <c r="V305" s="1779"/>
      <c r="W305" s="1779"/>
      <c r="X305" s="1779"/>
      <c r="Y305" s="1779"/>
      <c r="Z305" s="1779"/>
      <c r="AA305" s="1779"/>
      <c r="AB305" s="1779"/>
      <c r="AC305" s="1779"/>
    </row>
    <row r="306" spans="1:29">
      <c r="A306" s="1779"/>
      <c r="B306" s="1779"/>
      <c r="C306" s="1779"/>
      <c r="D306" s="1779"/>
      <c r="E306" s="1779"/>
      <c r="F306" s="1779"/>
      <c r="G306" s="1779"/>
      <c r="H306" s="1779"/>
      <c r="I306" s="1779"/>
      <c r="J306" s="1779"/>
      <c r="K306" s="1780"/>
      <c r="L306" s="1781"/>
      <c r="M306" s="1779"/>
      <c r="N306" s="1779"/>
      <c r="O306" s="1779"/>
      <c r="P306" s="1779"/>
      <c r="Q306" s="1779"/>
      <c r="R306" s="1779"/>
      <c r="S306" s="1779"/>
      <c r="T306" s="1779"/>
      <c r="U306" s="1779"/>
      <c r="V306" s="1779"/>
      <c r="W306" s="1779"/>
      <c r="X306" s="1779"/>
      <c r="Y306" s="1779"/>
      <c r="Z306" s="1779"/>
      <c r="AA306" s="1779"/>
      <c r="AB306" s="1779"/>
      <c r="AC306" s="1779"/>
    </row>
    <row r="307" spans="1:29">
      <c r="A307" s="1779"/>
      <c r="B307" s="1779"/>
      <c r="C307" s="1779"/>
      <c r="D307" s="1779"/>
      <c r="E307" s="1779"/>
      <c r="F307" s="1779"/>
      <c r="G307" s="1779"/>
      <c r="H307" s="1779"/>
      <c r="I307" s="1779"/>
      <c r="J307" s="1779"/>
      <c r="K307" s="1780"/>
      <c r="L307" s="1781"/>
      <c r="M307" s="1779"/>
      <c r="N307" s="1779"/>
      <c r="O307" s="1779"/>
      <c r="P307" s="1779"/>
      <c r="Q307" s="1779"/>
      <c r="R307" s="1779"/>
      <c r="S307" s="1779"/>
      <c r="T307" s="1779"/>
      <c r="U307" s="1779"/>
      <c r="V307" s="1779"/>
      <c r="W307" s="1779"/>
      <c r="X307" s="1779"/>
      <c r="Y307" s="1779"/>
      <c r="Z307" s="1779"/>
      <c r="AA307" s="1779"/>
      <c r="AB307" s="1779"/>
      <c r="AC307" s="1779"/>
    </row>
    <row r="308" spans="1:29">
      <c r="A308" s="1779"/>
      <c r="B308" s="1779"/>
      <c r="C308" s="1779"/>
      <c r="D308" s="1779"/>
      <c r="E308" s="1779"/>
      <c r="F308" s="1779"/>
      <c r="G308" s="1779"/>
      <c r="H308" s="1779"/>
      <c r="I308" s="1779"/>
      <c r="J308" s="1779"/>
      <c r="K308" s="1780"/>
      <c r="L308" s="1781"/>
      <c r="M308" s="1779"/>
      <c r="N308" s="1779"/>
      <c r="O308" s="1779"/>
      <c r="P308" s="1779"/>
      <c r="Q308" s="1779"/>
      <c r="R308" s="1779"/>
      <c r="S308" s="1779"/>
      <c r="T308" s="1779"/>
      <c r="U308" s="1779"/>
      <c r="V308" s="1779"/>
      <c r="W308" s="1779"/>
      <c r="X308" s="1779"/>
      <c r="Y308" s="1779"/>
      <c r="Z308" s="1779"/>
      <c r="AA308" s="1779"/>
      <c r="AB308" s="1779"/>
      <c r="AC308" s="1779"/>
    </row>
    <row r="309" spans="1:29">
      <c r="A309" s="1779"/>
      <c r="B309" s="1779"/>
      <c r="C309" s="1779"/>
      <c r="D309" s="1779"/>
      <c r="E309" s="1779"/>
      <c r="F309" s="1779"/>
      <c r="G309" s="1779"/>
      <c r="H309" s="1779"/>
      <c r="I309" s="1779"/>
      <c r="J309" s="1779"/>
      <c r="K309" s="1780"/>
      <c r="L309" s="1781"/>
      <c r="M309" s="1779"/>
      <c r="N309" s="1779"/>
      <c r="O309" s="1779"/>
      <c r="P309" s="1779"/>
      <c r="Q309" s="1779"/>
      <c r="R309" s="1779"/>
      <c r="S309" s="1779"/>
      <c r="T309" s="1779"/>
      <c r="U309" s="1779"/>
      <c r="V309" s="1779"/>
      <c r="W309" s="1779"/>
      <c r="X309" s="1779"/>
      <c r="Y309" s="1779"/>
      <c r="Z309" s="1779"/>
      <c r="AA309" s="1779"/>
      <c r="AB309" s="1779"/>
      <c r="AC309" s="1779"/>
    </row>
    <row r="310" spans="1:29">
      <c r="A310" s="1779"/>
      <c r="B310" s="1779"/>
      <c r="C310" s="1779"/>
      <c r="D310" s="1779"/>
      <c r="E310" s="1779"/>
      <c r="F310" s="1779"/>
      <c r="G310" s="1779"/>
      <c r="H310" s="1779"/>
      <c r="I310" s="1779"/>
      <c r="J310" s="1779"/>
      <c r="K310" s="1780"/>
      <c r="L310" s="1781"/>
      <c r="M310" s="1779"/>
      <c r="N310" s="1779"/>
      <c r="O310" s="1779"/>
      <c r="P310" s="1779"/>
      <c r="Q310" s="1779"/>
      <c r="R310" s="1779"/>
      <c r="S310" s="1779"/>
      <c r="T310" s="1779"/>
      <c r="U310" s="1779"/>
      <c r="V310" s="1779"/>
      <c r="W310" s="1779"/>
      <c r="X310" s="1779"/>
      <c r="Y310" s="1779"/>
      <c r="Z310" s="1779"/>
      <c r="AA310" s="1779"/>
      <c r="AB310" s="1779"/>
      <c r="AC310" s="1779"/>
    </row>
    <row r="311" spans="1:29">
      <c r="A311" s="1779"/>
      <c r="B311" s="1779"/>
      <c r="C311" s="1779"/>
      <c r="D311" s="1779"/>
      <c r="E311" s="1779"/>
      <c r="F311" s="1779"/>
      <c r="G311" s="1779"/>
      <c r="H311" s="1779"/>
      <c r="I311" s="1779"/>
      <c r="J311" s="1779"/>
      <c r="K311" s="1780"/>
      <c r="L311" s="1781"/>
      <c r="M311" s="1779"/>
      <c r="N311" s="1779"/>
      <c r="O311" s="1779"/>
      <c r="P311" s="1779"/>
      <c r="Q311" s="1779"/>
      <c r="R311" s="1779"/>
      <c r="S311" s="1779"/>
      <c r="T311" s="1779"/>
      <c r="U311" s="1779"/>
      <c r="V311" s="1779"/>
      <c r="W311" s="1779"/>
      <c r="X311" s="1779"/>
      <c r="Y311" s="1779"/>
      <c r="Z311" s="1779"/>
      <c r="AA311" s="1779"/>
      <c r="AB311" s="1779"/>
      <c r="AC311" s="1779"/>
    </row>
    <row r="312" spans="1:29">
      <c r="A312" s="1779"/>
      <c r="B312" s="1779"/>
      <c r="C312" s="1779"/>
      <c r="D312" s="1779"/>
      <c r="E312" s="1779"/>
      <c r="F312" s="1779"/>
      <c r="G312" s="1779"/>
      <c r="H312" s="1779"/>
      <c r="I312" s="1779"/>
      <c r="J312" s="1779"/>
      <c r="K312" s="1780"/>
      <c r="L312" s="1781"/>
      <c r="M312" s="1779"/>
      <c r="N312" s="1779"/>
      <c r="O312" s="1779"/>
      <c r="P312" s="1779"/>
      <c r="Q312" s="1779"/>
      <c r="R312" s="1779"/>
      <c r="S312" s="1779"/>
      <c r="T312" s="1779"/>
      <c r="U312" s="1779"/>
      <c r="V312" s="1779"/>
      <c r="W312" s="1779"/>
      <c r="X312" s="1779"/>
      <c r="Y312" s="1779"/>
      <c r="Z312" s="1779"/>
      <c r="AA312" s="1779"/>
      <c r="AB312" s="1779"/>
      <c r="AC312" s="1779"/>
    </row>
    <row r="313" spans="1:29">
      <c r="A313" s="1779"/>
      <c r="B313" s="1779"/>
      <c r="C313" s="1779"/>
      <c r="D313" s="1779"/>
      <c r="E313" s="1779"/>
      <c r="F313" s="1779"/>
      <c r="G313" s="1779"/>
      <c r="H313" s="1779"/>
      <c r="I313" s="1779"/>
      <c r="J313" s="1779"/>
      <c r="K313" s="1780"/>
      <c r="L313" s="1781"/>
      <c r="M313" s="1779"/>
      <c r="N313" s="1779"/>
      <c r="O313" s="1779"/>
      <c r="P313" s="1779"/>
      <c r="Q313" s="1779"/>
      <c r="R313" s="1779"/>
      <c r="S313" s="1779"/>
      <c r="T313" s="1779"/>
      <c r="U313" s="1779"/>
      <c r="V313" s="1779"/>
      <c r="W313" s="1779"/>
      <c r="X313" s="1779"/>
      <c r="Y313" s="1779"/>
      <c r="Z313" s="1779"/>
      <c r="AA313" s="1779"/>
      <c r="AB313" s="1779"/>
      <c r="AC313" s="1779"/>
    </row>
    <row r="314" spans="1:29">
      <c r="A314" s="1779"/>
      <c r="B314" s="1779"/>
      <c r="C314" s="1779"/>
      <c r="D314" s="1779"/>
      <c r="E314" s="1779"/>
      <c r="F314" s="1779"/>
      <c r="G314" s="1779"/>
      <c r="H314" s="1779"/>
      <c r="I314" s="1779"/>
      <c r="J314" s="1779"/>
      <c r="K314" s="1780"/>
      <c r="L314" s="1781"/>
      <c r="M314" s="1779"/>
      <c r="N314" s="1779"/>
      <c r="O314" s="1779"/>
      <c r="P314" s="1779"/>
      <c r="Q314" s="1779"/>
      <c r="R314" s="1779"/>
      <c r="S314" s="1779"/>
      <c r="T314" s="1779"/>
      <c r="U314" s="1779"/>
      <c r="V314" s="1779"/>
      <c r="W314" s="1779"/>
      <c r="X314" s="1779"/>
      <c r="Y314" s="1779"/>
      <c r="Z314" s="1779"/>
      <c r="AA314" s="1779"/>
      <c r="AB314" s="1779"/>
      <c r="AC314" s="1779"/>
    </row>
    <row r="315" spans="1:29">
      <c r="A315" s="1779"/>
      <c r="B315" s="1779"/>
      <c r="C315" s="1779"/>
      <c r="D315" s="1779"/>
      <c r="E315" s="1779"/>
      <c r="F315" s="1779"/>
      <c r="G315" s="1779"/>
      <c r="H315" s="1779"/>
      <c r="I315" s="1779"/>
      <c r="J315" s="1779"/>
      <c r="K315" s="1780"/>
      <c r="L315" s="1781"/>
      <c r="M315" s="1779"/>
      <c r="N315" s="1779"/>
      <c r="O315" s="1779"/>
      <c r="P315" s="1779"/>
      <c r="Q315" s="1779"/>
      <c r="R315" s="1779"/>
      <c r="S315" s="1779"/>
      <c r="T315" s="1779"/>
      <c r="U315" s="1779"/>
      <c r="V315" s="1779"/>
      <c r="W315" s="1779"/>
      <c r="X315" s="1779"/>
      <c r="Y315" s="1779"/>
      <c r="Z315" s="1779"/>
      <c r="AA315" s="1779"/>
      <c r="AB315" s="1779"/>
      <c r="AC315" s="1779"/>
    </row>
    <row r="316" spans="1:29">
      <c r="A316" s="1779"/>
      <c r="B316" s="1779"/>
      <c r="C316" s="1779"/>
      <c r="D316" s="1779"/>
      <c r="E316" s="1779"/>
      <c r="F316" s="1779"/>
      <c r="G316" s="1779"/>
      <c r="H316" s="1779"/>
      <c r="I316" s="1779"/>
      <c r="J316" s="1779"/>
      <c r="K316" s="1780"/>
      <c r="L316" s="1781"/>
      <c r="M316" s="1779"/>
      <c r="N316" s="1779"/>
      <c r="O316" s="1779"/>
      <c r="P316" s="1779"/>
      <c r="Q316" s="1779"/>
      <c r="R316" s="1779"/>
      <c r="S316" s="1779"/>
      <c r="T316" s="1779"/>
      <c r="U316" s="1779"/>
      <c r="V316" s="1779"/>
      <c r="W316" s="1779"/>
      <c r="X316" s="1779"/>
      <c r="Y316" s="1779"/>
      <c r="Z316" s="1779"/>
      <c r="AA316" s="1779"/>
      <c r="AB316" s="1779"/>
      <c r="AC316" s="1779"/>
    </row>
    <row r="317" spans="1:29">
      <c r="A317" s="1779"/>
      <c r="B317" s="1779"/>
      <c r="C317" s="1779"/>
      <c r="D317" s="1779"/>
      <c r="E317" s="1779"/>
      <c r="F317" s="1779"/>
      <c r="G317" s="1779"/>
      <c r="H317" s="1779"/>
      <c r="I317" s="1779"/>
      <c r="J317" s="1779"/>
      <c r="K317" s="1780"/>
      <c r="L317" s="1781"/>
      <c r="M317" s="1779"/>
      <c r="N317" s="1779"/>
      <c r="O317" s="1779"/>
      <c r="P317" s="1779"/>
      <c r="Q317" s="1779"/>
      <c r="R317" s="1779"/>
      <c r="S317" s="1779"/>
      <c r="T317" s="1779"/>
      <c r="U317" s="1779"/>
      <c r="V317" s="1779"/>
      <c r="W317" s="1779"/>
      <c r="X317" s="1779"/>
      <c r="Y317" s="1779"/>
      <c r="Z317" s="1779"/>
      <c r="AA317" s="1779"/>
      <c r="AB317" s="1779"/>
      <c r="AC317" s="1779"/>
    </row>
    <row r="318" spans="1:29">
      <c r="A318" s="1779"/>
      <c r="B318" s="1779"/>
      <c r="C318" s="1779"/>
      <c r="D318" s="1779"/>
      <c r="E318" s="1779"/>
      <c r="F318" s="1779"/>
      <c r="G318" s="1779"/>
      <c r="H318" s="1779"/>
      <c r="I318" s="1779"/>
      <c r="J318" s="1779"/>
      <c r="K318" s="1780"/>
      <c r="L318" s="1781"/>
      <c r="M318" s="1779"/>
      <c r="N318" s="1779"/>
      <c r="O318" s="1779"/>
      <c r="P318" s="1779"/>
      <c r="Q318" s="1779"/>
      <c r="R318" s="1779"/>
      <c r="S318" s="1779"/>
      <c r="T318" s="1779"/>
      <c r="U318" s="1779"/>
      <c r="V318" s="1779"/>
      <c r="W318" s="1779"/>
      <c r="X318" s="1779"/>
      <c r="Y318" s="1779"/>
      <c r="Z318" s="1779"/>
      <c r="AA318" s="1779"/>
      <c r="AB318" s="1779"/>
      <c r="AC318" s="1779"/>
    </row>
    <row r="319" spans="1:29">
      <c r="N319" s="1779"/>
      <c r="O319" s="1779"/>
      <c r="P319" s="1779"/>
      <c r="Q319" s="1779"/>
      <c r="R319" s="1779"/>
      <c r="S319" s="1779"/>
      <c r="T319" s="1779"/>
      <c r="U319" s="1779"/>
      <c r="V319" s="1779"/>
      <c r="W319" s="1779"/>
      <c r="X319" s="1779"/>
      <c r="Y319" s="1779"/>
      <c r="Z319" s="1779"/>
      <c r="AA319" s="1779"/>
      <c r="AB319" s="1779"/>
      <c r="AC319" s="1779"/>
    </row>
    <row r="320" spans="1:29">
      <c r="AC320" s="1779"/>
    </row>
    <row r="321" spans="29:29">
      <c r="AC321" s="1779"/>
    </row>
    <row r="322" spans="29:29">
      <c r="AC322" s="1779"/>
    </row>
    <row r="323" spans="29:29">
      <c r="AC323" s="1779"/>
    </row>
    <row r="324" spans="29:29">
      <c r="AC324" s="1779"/>
    </row>
    <row r="325" spans="29:29">
      <c r="AC325" s="1779"/>
    </row>
    <row r="326" spans="29:29">
      <c r="AC326" s="1779"/>
    </row>
    <row r="327" spans="29:29">
      <c r="AC327" s="1779"/>
    </row>
    <row r="328" spans="29:29">
      <c r="AC328" s="1779"/>
    </row>
    <row r="329" spans="29:29">
      <c r="AC329" s="1779"/>
    </row>
    <row r="330" spans="29:29">
      <c r="AC330" s="1779"/>
    </row>
    <row r="331" spans="29:29">
      <c r="AC331" s="1779"/>
    </row>
    <row r="332" spans="29:29">
      <c r="AC332" s="1779"/>
    </row>
    <row r="333" spans="29:29">
      <c r="AC333" s="1779"/>
    </row>
    <row r="334" spans="29:29">
      <c r="AC334" s="1779"/>
    </row>
    <row r="335" spans="29:29">
      <c r="AC335" s="1779"/>
    </row>
    <row r="336" spans="29:29">
      <c r="AC336" s="1779"/>
    </row>
    <row r="337" spans="29:29">
      <c r="AC337" s="1779"/>
    </row>
    <row r="338" spans="29:29">
      <c r="AC338" s="1779"/>
    </row>
    <row r="339" spans="29:29">
      <c r="AC339" s="1779"/>
    </row>
    <row r="340" spans="29:29">
      <c r="AC340" s="1779"/>
    </row>
    <row r="341" spans="29:29">
      <c r="AC341" s="1779"/>
    </row>
    <row r="342" spans="29:29">
      <c r="AC342" s="1779"/>
    </row>
    <row r="343" spans="29:29">
      <c r="AC343" s="1779"/>
    </row>
    <row r="344" spans="29:29">
      <c r="AC344" s="1779"/>
    </row>
    <row r="345" spans="29:29">
      <c r="AC345" s="1779"/>
    </row>
    <row r="346" spans="29:29">
      <c r="AC346" s="1779"/>
    </row>
    <row r="347" spans="29:29">
      <c r="AC347" s="1779"/>
    </row>
    <row r="348" spans="29:29">
      <c r="AC348" s="1779"/>
    </row>
    <row r="349" spans="29:29">
      <c r="AC349" s="1779"/>
    </row>
    <row r="350" spans="29:29">
      <c r="AC350" s="1779"/>
    </row>
    <row r="351" spans="29:29">
      <c r="AC351" s="1779"/>
    </row>
    <row r="352" spans="29:29">
      <c r="AC352" s="1779"/>
    </row>
    <row r="353" spans="29:29">
      <c r="AC353" s="1779"/>
    </row>
    <row r="354" spans="29:29">
      <c r="AC354" s="1779"/>
    </row>
    <row r="355" spans="29:29">
      <c r="AC355" s="1779"/>
    </row>
    <row r="356" spans="29:29">
      <c r="AC356" s="1779"/>
    </row>
    <row r="357" spans="29:29">
      <c r="AC357" s="1779"/>
    </row>
    <row r="358" spans="29:29">
      <c r="AC358" s="1779"/>
    </row>
    <row r="359" spans="29:29">
      <c r="AC359" s="1779"/>
    </row>
    <row r="360" spans="29:29">
      <c r="AC360" s="1779"/>
    </row>
    <row r="361" spans="29:29">
      <c r="AC361" s="1779"/>
    </row>
    <row r="362" spans="29:29">
      <c r="AC362" s="1779"/>
    </row>
    <row r="363" spans="29:29">
      <c r="AC363" s="1779"/>
    </row>
    <row r="364" spans="29:29">
      <c r="AC364" s="1779"/>
    </row>
    <row r="365" spans="29:29">
      <c r="AC365" s="1779"/>
    </row>
    <row r="366" spans="29:29">
      <c r="AC366" s="1779"/>
    </row>
    <row r="367" spans="29:29">
      <c r="AC367" s="1779"/>
    </row>
    <row r="368" spans="29:29">
      <c r="AC368" s="1779"/>
    </row>
    <row r="369" spans="29:29">
      <c r="AC369" s="1779"/>
    </row>
    <row r="370" spans="29:29">
      <c r="AC370" s="1779"/>
    </row>
    <row r="371" spans="29:29">
      <c r="AC371" s="1779"/>
    </row>
    <row r="372" spans="29:29">
      <c r="AC372" s="1779"/>
    </row>
    <row r="373" spans="29:29">
      <c r="AC373" s="1779"/>
    </row>
    <row r="374" spans="29:29">
      <c r="AC374" s="1779"/>
    </row>
    <row r="375" spans="29:29">
      <c r="AC375" s="1779"/>
    </row>
    <row r="376" spans="29:29">
      <c r="AC376" s="1779"/>
    </row>
    <row r="377" spans="29:29">
      <c r="AC377" s="1779"/>
    </row>
    <row r="378" spans="29:29">
      <c r="AC378" s="1779"/>
    </row>
    <row r="379" spans="29:29">
      <c r="AC379" s="1779"/>
    </row>
    <row r="380" spans="29:29">
      <c r="AC380" s="1779"/>
    </row>
    <row r="381" spans="29:29">
      <c r="AC381" s="1779"/>
    </row>
    <row r="382" spans="29:29">
      <c r="AC382" s="1779"/>
    </row>
    <row r="383" spans="29:29">
      <c r="AC383" s="1779"/>
    </row>
    <row r="384" spans="29:29">
      <c r="AC384" s="1779"/>
    </row>
    <row r="385" spans="29:29">
      <c r="AC385" s="1779"/>
    </row>
    <row r="386" spans="29:29">
      <c r="AC386" s="1779"/>
    </row>
    <row r="387" spans="29:29">
      <c r="AC387" s="1779"/>
    </row>
    <row r="388" spans="29:29">
      <c r="AC388" s="1779"/>
    </row>
    <row r="389" spans="29:29">
      <c r="AC389" s="1779"/>
    </row>
    <row r="390" spans="29:29">
      <c r="AC390" s="1779"/>
    </row>
    <row r="391" spans="29:29">
      <c r="AC391" s="1779"/>
    </row>
    <row r="392" spans="29:29">
      <c r="AC392" s="1779"/>
    </row>
    <row r="393" spans="29:29">
      <c r="AC393" s="1779"/>
    </row>
    <row r="394" spans="29:29">
      <c r="AC394" s="1779"/>
    </row>
    <row r="395" spans="29:29">
      <c r="AC395" s="1779"/>
    </row>
    <row r="396" spans="29:29">
      <c r="AC396" s="1779"/>
    </row>
    <row r="397" spans="29:29">
      <c r="AC397" s="1779"/>
    </row>
    <row r="398" spans="29:29">
      <c r="AC398" s="1779"/>
    </row>
    <row r="399" spans="29:29">
      <c r="AC399" s="1779"/>
    </row>
    <row r="400" spans="29:29">
      <c r="AC400" s="1779"/>
    </row>
    <row r="401" spans="29:29">
      <c r="AC401" s="1779"/>
    </row>
    <row r="402" spans="29:29">
      <c r="AC402" s="1779"/>
    </row>
    <row r="403" spans="29:29">
      <c r="AC403" s="1779"/>
    </row>
    <row r="404" spans="29:29">
      <c r="AC404" s="1779"/>
    </row>
    <row r="405" spans="29:29">
      <c r="AC405" s="1779"/>
    </row>
    <row r="406" spans="29:29">
      <c r="AC406" s="1779"/>
    </row>
    <row r="407" spans="29:29">
      <c r="AC407" s="1779"/>
    </row>
    <row r="408" spans="29:29">
      <c r="AC408" s="1779"/>
    </row>
    <row r="409" spans="29:29">
      <c r="AC409" s="1779"/>
    </row>
    <row r="410" spans="29:29">
      <c r="AC410" s="1779"/>
    </row>
    <row r="411" spans="29:29">
      <c r="AC411" s="1779"/>
    </row>
    <row r="412" spans="29:29">
      <c r="AC412" s="1779"/>
    </row>
    <row r="413" spans="29:29">
      <c r="AC413" s="1779"/>
    </row>
    <row r="414" spans="29:29">
      <c r="AC414" s="1779"/>
    </row>
    <row r="415" spans="29:29">
      <c r="AC415" s="1779"/>
    </row>
    <row r="416" spans="29:29">
      <c r="AC416" s="1779"/>
    </row>
    <row r="417" spans="29:29">
      <c r="AC417" s="1779"/>
    </row>
    <row r="418" spans="29:29">
      <c r="AC418" s="1779"/>
    </row>
    <row r="419" spans="29:29">
      <c r="AC419" s="1779"/>
    </row>
    <row r="420" spans="29:29">
      <c r="AC420" s="1779"/>
    </row>
    <row r="421" spans="29:29">
      <c r="AC421" s="1779"/>
    </row>
    <row r="422" spans="29:29">
      <c r="AC422" s="1779"/>
    </row>
    <row r="423" spans="29:29">
      <c r="AC423" s="1779"/>
    </row>
    <row r="424" spans="29:29">
      <c r="AC424" s="1779"/>
    </row>
    <row r="425" spans="29:29">
      <c r="AC425" s="1779"/>
    </row>
    <row r="426" spans="29:29">
      <c r="AC426" s="1779"/>
    </row>
    <row r="427" spans="29:29">
      <c r="AC427" s="1779"/>
    </row>
    <row r="428" spans="29:29">
      <c r="AC428" s="1779"/>
    </row>
    <row r="429" spans="29:29">
      <c r="AC429" s="1779"/>
    </row>
    <row r="430" spans="29:29">
      <c r="AC430" s="1779"/>
    </row>
    <row r="431" spans="29:29">
      <c r="AC431" s="1779"/>
    </row>
    <row r="432" spans="29:29">
      <c r="AC432" s="1779"/>
    </row>
    <row r="433" spans="29:29">
      <c r="AC433" s="1779"/>
    </row>
    <row r="434" spans="29:29">
      <c r="AC434" s="1779"/>
    </row>
    <row r="435" spans="29:29">
      <c r="AC435" s="1779"/>
    </row>
    <row r="436" spans="29:29">
      <c r="AC436" s="1779"/>
    </row>
    <row r="437" spans="29:29">
      <c r="AC437" s="1779"/>
    </row>
    <row r="438" spans="29:29">
      <c r="AC438" s="1779"/>
    </row>
    <row r="439" spans="29:29">
      <c r="AC439" s="1779"/>
    </row>
    <row r="440" spans="29:29">
      <c r="AC440" s="1779"/>
    </row>
    <row r="441" spans="29:29">
      <c r="AC441" s="1779"/>
    </row>
    <row r="442" spans="29:29">
      <c r="AC442" s="1779"/>
    </row>
    <row r="443" spans="29:29">
      <c r="AC443" s="1779"/>
    </row>
    <row r="444" spans="29:29">
      <c r="AC444" s="1779"/>
    </row>
    <row r="445" spans="29:29">
      <c r="AC445" s="1779"/>
    </row>
    <row r="446" spans="29:29">
      <c r="AC446" s="1779"/>
    </row>
    <row r="447" spans="29:29">
      <c r="AC447" s="1779"/>
    </row>
    <row r="448" spans="29:29">
      <c r="AC448" s="1779"/>
    </row>
    <row r="449" spans="29:29">
      <c r="AC449" s="1779"/>
    </row>
    <row r="450" spans="29:29">
      <c r="AC450" s="1779"/>
    </row>
    <row r="451" spans="29:29">
      <c r="AC451" s="1779"/>
    </row>
    <row r="452" spans="29:29">
      <c r="AC452" s="1779"/>
    </row>
    <row r="453" spans="29:29">
      <c r="AC453" s="1779"/>
    </row>
    <row r="454" spans="29:29">
      <c r="AC454" s="1779"/>
    </row>
    <row r="455" spans="29:29">
      <c r="AC455" s="1779"/>
    </row>
    <row r="456" spans="29:29">
      <c r="AC456" s="1779"/>
    </row>
    <row r="457" spans="29:29">
      <c r="AC457" s="1779"/>
    </row>
    <row r="458" spans="29:29">
      <c r="AC458" s="1779"/>
    </row>
    <row r="459" spans="29:29">
      <c r="AC459" s="1779"/>
    </row>
    <row r="460" spans="29:29">
      <c r="AC460" s="1779"/>
    </row>
    <row r="461" spans="29:29">
      <c r="AC461" s="1779"/>
    </row>
    <row r="462" spans="29:29">
      <c r="AC462" s="1779"/>
    </row>
    <row r="463" spans="29:29">
      <c r="AC463" s="1779"/>
    </row>
    <row r="464" spans="29:29">
      <c r="AC464" s="1779"/>
    </row>
    <row r="465" spans="29:29">
      <c r="AC465" s="1779"/>
    </row>
    <row r="466" spans="29:29">
      <c r="AC466" s="1779"/>
    </row>
    <row r="467" spans="29:29">
      <c r="AC467" s="1779"/>
    </row>
    <row r="468" spans="29:29">
      <c r="AC468" s="1779"/>
    </row>
    <row r="469" spans="29:29">
      <c r="AC469" s="1779"/>
    </row>
    <row r="470" spans="29:29">
      <c r="AC470" s="1779"/>
    </row>
    <row r="471" spans="29:29">
      <c r="AC471" s="1779"/>
    </row>
    <row r="472" spans="29:29">
      <c r="AC472" s="1779"/>
    </row>
    <row r="473" spans="29:29">
      <c r="AC473" s="1779"/>
    </row>
    <row r="474" spans="29:29">
      <c r="AC474" s="1779"/>
    </row>
    <row r="475" spans="29:29">
      <c r="AC475" s="1779"/>
    </row>
    <row r="476" spans="29:29">
      <c r="AC476" s="1779"/>
    </row>
    <row r="477" spans="29:29">
      <c r="AC477" s="1779"/>
    </row>
    <row r="478" spans="29:29">
      <c r="AC478" s="1779"/>
    </row>
    <row r="479" spans="29:29">
      <c r="AC479" s="1779"/>
    </row>
    <row r="480" spans="29:29">
      <c r="AC480" s="1779"/>
    </row>
    <row r="481" spans="29:29">
      <c r="AC481" s="1779"/>
    </row>
    <row r="482" spans="29:29">
      <c r="AC482" s="1779"/>
    </row>
    <row r="483" spans="29:29">
      <c r="AC483" s="1779"/>
    </row>
    <row r="484" spans="29:29">
      <c r="AC484" s="1779"/>
    </row>
    <row r="485" spans="29:29">
      <c r="AC485" s="1779"/>
    </row>
    <row r="486" spans="29:29">
      <c r="AC486" s="1779"/>
    </row>
    <row r="487" spans="29:29">
      <c r="AC487" s="1779"/>
    </row>
    <row r="488" spans="29:29">
      <c r="AC488" s="1779"/>
    </row>
    <row r="489" spans="29:29">
      <c r="AC489" s="1779"/>
    </row>
    <row r="490" spans="29:29">
      <c r="AC490" s="1779"/>
    </row>
    <row r="491" spans="29:29">
      <c r="AC491" s="1779"/>
    </row>
    <row r="492" spans="29:29">
      <c r="AC492" s="1779"/>
    </row>
    <row r="493" spans="29:29">
      <c r="AC493" s="1779"/>
    </row>
    <row r="494" spans="29:29">
      <c r="AC494" s="1779"/>
    </row>
    <row r="495" spans="29:29">
      <c r="AC495" s="1779"/>
    </row>
    <row r="496" spans="29:29">
      <c r="AC496" s="1779"/>
    </row>
    <row r="497" spans="29:29">
      <c r="AC497" s="1779"/>
    </row>
    <row r="498" spans="29:29">
      <c r="AC498" s="1779"/>
    </row>
    <row r="499" spans="29:29">
      <c r="AC499" s="1779"/>
    </row>
    <row r="500" spans="29:29">
      <c r="AC500" s="1779"/>
    </row>
    <row r="501" spans="29:29">
      <c r="AC501" s="1779"/>
    </row>
    <row r="502" spans="29:29">
      <c r="AC502" s="1779"/>
    </row>
    <row r="503" spans="29:29">
      <c r="AC503" s="1779"/>
    </row>
    <row r="504" spans="29:29">
      <c r="AC504" s="1779"/>
    </row>
    <row r="505" spans="29:29">
      <c r="AC505" s="1779"/>
    </row>
    <row r="506" spans="29:29">
      <c r="AC506" s="1779"/>
    </row>
    <row r="507" spans="29:29">
      <c r="AC507" s="1779"/>
    </row>
    <row r="508" spans="29:29">
      <c r="AC508" s="1779"/>
    </row>
    <row r="509" spans="29:29">
      <c r="AC509" s="1779"/>
    </row>
    <row r="510" spans="29:29">
      <c r="AC510" s="1779"/>
    </row>
    <row r="511" spans="29:29">
      <c r="AC511" s="1779"/>
    </row>
    <row r="512" spans="29:29">
      <c r="AC512" s="1779"/>
    </row>
    <row r="513" spans="29:29">
      <c r="AC513" s="1779"/>
    </row>
    <row r="514" spans="29:29">
      <c r="AC514" s="1779"/>
    </row>
    <row r="515" spans="29:29">
      <c r="AC515" s="1779"/>
    </row>
    <row r="516" spans="29:29">
      <c r="AC516" s="1779"/>
    </row>
    <row r="517" spans="29:29">
      <c r="AC517" s="1779"/>
    </row>
    <row r="518" spans="29:29">
      <c r="AC518" s="1779"/>
    </row>
    <row r="519" spans="29:29">
      <c r="AC519" s="1779"/>
    </row>
    <row r="520" spans="29:29">
      <c r="AC520" s="1779"/>
    </row>
    <row r="521" spans="29:29">
      <c r="AC521" s="1779"/>
    </row>
    <row r="522" spans="29:29">
      <c r="AC522" s="1779"/>
    </row>
    <row r="523" spans="29:29">
      <c r="AC523" s="1779"/>
    </row>
    <row r="524" spans="29:29">
      <c r="AC524" s="1779"/>
    </row>
    <row r="525" spans="29:29">
      <c r="AC525" s="1779"/>
    </row>
    <row r="526" spans="29:29">
      <c r="AC526" s="1779"/>
    </row>
    <row r="527" spans="29:29">
      <c r="AC527" s="1779"/>
    </row>
    <row r="528" spans="29:29">
      <c r="AC528" s="1779"/>
    </row>
    <row r="529" spans="29:29">
      <c r="AC529" s="1779"/>
    </row>
    <row r="530" spans="29:29">
      <c r="AC530" s="1779"/>
    </row>
    <row r="531" spans="29:29">
      <c r="AC531" s="1779"/>
    </row>
    <row r="532" spans="29:29">
      <c r="AC532" s="1779"/>
    </row>
    <row r="533" spans="29:29">
      <c r="AC533" s="1779"/>
    </row>
    <row r="534" spans="29:29">
      <c r="AC534" s="1779"/>
    </row>
    <row r="535" spans="29:29">
      <c r="AC535" s="1779"/>
    </row>
    <row r="536" spans="29:29">
      <c r="AC536" s="1779"/>
    </row>
    <row r="537" spans="29:29">
      <c r="AC537" s="1779"/>
    </row>
    <row r="538" spans="29:29">
      <c r="AC538" s="1779"/>
    </row>
    <row r="539" spans="29:29">
      <c r="AC539" s="1779"/>
    </row>
    <row r="540" spans="29:29">
      <c r="AC540" s="1779"/>
    </row>
    <row r="541" spans="29:29">
      <c r="AC541" s="1779"/>
    </row>
    <row r="542" spans="29:29">
      <c r="AC542" s="1779"/>
    </row>
    <row r="543" spans="29:29">
      <c r="AC543" s="1779"/>
    </row>
    <row r="544" spans="29:29">
      <c r="AC544" s="1779"/>
    </row>
    <row r="545" spans="29:29">
      <c r="AC545" s="1779"/>
    </row>
    <row r="546" spans="29:29">
      <c r="AC546" s="1779"/>
    </row>
    <row r="547" spans="29:29">
      <c r="AC547" s="1779"/>
    </row>
    <row r="548" spans="29:29">
      <c r="AC548" s="1779"/>
    </row>
    <row r="549" spans="29:29">
      <c r="AC549" s="1779"/>
    </row>
    <row r="550" spans="29:29">
      <c r="AC550" s="1779"/>
    </row>
    <row r="551" spans="29:29">
      <c r="AC551" s="1779"/>
    </row>
    <row r="552" spans="29:29">
      <c r="AC552" s="1779"/>
    </row>
    <row r="553" spans="29:29">
      <c r="AC553" s="1779"/>
    </row>
    <row r="554" spans="29:29">
      <c r="AC554" s="1779"/>
    </row>
    <row r="555" spans="29:29">
      <c r="AC555" s="1779"/>
    </row>
    <row r="556" spans="29:29">
      <c r="AC556" s="1779"/>
    </row>
    <row r="557" spans="29:29">
      <c r="AC557" s="1779"/>
    </row>
    <row r="558" spans="29:29">
      <c r="AC558" s="1779"/>
    </row>
    <row r="559" spans="29:29">
      <c r="AC559" s="1779"/>
    </row>
    <row r="560" spans="29:29">
      <c r="AC560" s="1779"/>
    </row>
    <row r="561" spans="29:29">
      <c r="AC561" s="1779"/>
    </row>
    <row r="562" spans="29:29">
      <c r="AC562" s="1779"/>
    </row>
    <row r="563" spans="29:29">
      <c r="AC563" s="1779"/>
    </row>
    <row r="564" spans="29:29">
      <c r="AC564" s="1779"/>
    </row>
    <row r="565" spans="29:29">
      <c r="AC565" s="1779"/>
    </row>
    <row r="566" spans="29:29">
      <c r="AC566" s="1779"/>
    </row>
    <row r="567" spans="29:29">
      <c r="AC567" s="1779"/>
    </row>
    <row r="568" spans="29:29">
      <c r="AC568" s="1779"/>
    </row>
    <row r="569" spans="29:29">
      <c r="AC569" s="1779"/>
    </row>
    <row r="570" spans="29:29">
      <c r="AC570" s="1779"/>
    </row>
    <row r="571" spans="29:29">
      <c r="AC571" s="1779"/>
    </row>
    <row r="572" spans="29:29">
      <c r="AC572" s="1779"/>
    </row>
    <row r="573" spans="29:29">
      <c r="AC573" s="1779"/>
    </row>
    <row r="574" spans="29:29">
      <c r="AC574" s="1779"/>
    </row>
    <row r="575" spans="29:29">
      <c r="AC575" s="1779"/>
    </row>
    <row r="576" spans="29:29">
      <c r="AC576" s="1779"/>
    </row>
    <row r="577" spans="29:29">
      <c r="AC577" s="1779"/>
    </row>
    <row r="578" spans="29:29">
      <c r="AC578" s="1779"/>
    </row>
    <row r="579" spans="29:29">
      <c r="AC579" s="1779"/>
    </row>
    <row r="580" spans="29:29">
      <c r="AC580" s="1779"/>
    </row>
    <row r="581" spans="29:29">
      <c r="AC581" s="1779"/>
    </row>
    <row r="582" spans="29:29">
      <c r="AC582" s="1779"/>
    </row>
    <row r="583" spans="29:29">
      <c r="AC583" s="1779"/>
    </row>
    <row r="584" spans="29:29">
      <c r="AC584" s="1779"/>
    </row>
    <row r="585" spans="29:29">
      <c r="AC585" s="1779"/>
    </row>
    <row r="586" spans="29:29">
      <c r="AC586" s="1779"/>
    </row>
    <row r="587" spans="29:29">
      <c r="AC587" s="1779"/>
    </row>
    <row r="588" spans="29:29">
      <c r="AC588" s="1779"/>
    </row>
    <row r="589" spans="29:29">
      <c r="AC589" s="1779"/>
    </row>
    <row r="590" spans="29:29">
      <c r="AC590" s="1779"/>
    </row>
    <row r="591" spans="29:29">
      <c r="AC591" s="1779"/>
    </row>
    <row r="592" spans="29:29">
      <c r="AC592" s="1779"/>
    </row>
    <row r="593" spans="29:29">
      <c r="AC593" s="1779"/>
    </row>
    <row r="594" spans="29:29">
      <c r="AC594" s="1779"/>
    </row>
    <row r="595" spans="29:29">
      <c r="AC595" s="1779"/>
    </row>
    <row r="596" spans="29:29">
      <c r="AC596" s="1779"/>
    </row>
    <row r="597" spans="29:29">
      <c r="AC597" s="1779"/>
    </row>
    <row r="598" spans="29:29">
      <c r="AC598" s="1779"/>
    </row>
    <row r="599" spans="29:29">
      <c r="AC599" s="1779"/>
    </row>
    <row r="600" spans="29:29">
      <c r="AC600" s="1779"/>
    </row>
    <row r="601" spans="29:29">
      <c r="AC601" s="1779"/>
    </row>
    <row r="602" spans="29:29">
      <c r="AC602" s="1779"/>
    </row>
    <row r="603" spans="29:29">
      <c r="AC603" s="1779"/>
    </row>
    <row r="604" spans="29:29">
      <c r="AC604" s="1779"/>
    </row>
    <row r="605" spans="29:29">
      <c r="AC605" s="1779"/>
    </row>
    <row r="606" spans="29:29">
      <c r="AC606" s="1779"/>
    </row>
    <row r="607" spans="29:29">
      <c r="AC607" s="1779"/>
    </row>
    <row r="608" spans="29:29">
      <c r="AC608" s="1779"/>
    </row>
    <row r="609" spans="29:29">
      <c r="AC609" s="1779"/>
    </row>
    <row r="610" spans="29:29">
      <c r="AC610" s="1779"/>
    </row>
    <row r="611" spans="29:29">
      <c r="AC611" s="1779"/>
    </row>
    <row r="612" spans="29:29">
      <c r="AC612" s="1779"/>
    </row>
    <row r="613" spans="29:29">
      <c r="AC613" s="1779"/>
    </row>
    <row r="614" spans="29:29">
      <c r="AC614" s="1779"/>
    </row>
    <row r="615" spans="29:29">
      <c r="AC615" s="1779"/>
    </row>
    <row r="616" spans="29:29">
      <c r="AC616" s="1779"/>
    </row>
    <row r="617" spans="29:29">
      <c r="AC617" s="1779"/>
    </row>
    <row r="618" spans="29:29">
      <c r="AC618" s="1779"/>
    </row>
    <row r="619" spans="29:29">
      <c r="AC619" s="1779"/>
    </row>
    <row r="620" spans="29:29">
      <c r="AC620" s="1779"/>
    </row>
    <row r="621" spans="29:29">
      <c r="AC621" s="1779"/>
    </row>
    <row r="622" spans="29:29">
      <c r="AC622" s="1779"/>
    </row>
    <row r="623" spans="29:29">
      <c r="AC623" s="1779"/>
    </row>
    <row r="624" spans="29:29">
      <c r="AC624" s="1779"/>
    </row>
    <row r="625" spans="29:29">
      <c r="AC625" s="1779"/>
    </row>
    <row r="626" spans="29:29">
      <c r="AC626" s="1779"/>
    </row>
    <row r="627" spans="29:29">
      <c r="AC627" s="1779"/>
    </row>
    <row r="628" spans="29:29">
      <c r="AC628" s="1779"/>
    </row>
    <row r="629" spans="29:29">
      <c r="AC629" s="1779"/>
    </row>
    <row r="630" spans="29:29">
      <c r="AC630" s="1779"/>
    </row>
    <row r="631" spans="29:29">
      <c r="AC631" s="1779"/>
    </row>
    <row r="632" spans="29:29">
      <c r="AC632" s="1779"/>
    </row>
    <row r="633" spans="29:29">
      <c r="AC633" s="1779"/>
    </row>
    <row r="634" spans="29:29">
      <c r="AC634" s="1779"/>
    </row>
    <row r="635" spans="29:29">
      <c r="AC635" s="1779"/>
    </row>
    <row r="636" spans="29:29">
      <c r="AC636" s="1779"/>
    </row>
    <row r="637" spans="29:29">
      <c r="AC637" s="1779"/>
    </row>
    <row r="638" spans="29:29">
      <c r="AC638" s="1779"/>
    </row>
    <row r="639" spans="29:29">
      <c r="AC639" s="1779"/>
    </row>
    <row r="640" spans="29:29">
      <c r="AC640" s="1779"/>
    </row>
    <row r="641" spans="29:29">
      <c r="AC641" s="1779"/>
    </row>
    <row r="642" spans="29:29">
      <c r="AC642" s="1779"/>
    </row>
    <row r="643" spans="29:29">
      <c r="AC643" s="1779"/>
    </row>
    <row r="644" spans="29:29">
      <c r="AC644" s="1779"/>
    </row>
    <row r="645" spans="29:29">
      <c r="AC645" s="1779"/>
    </row>
    <row r="646" spans="29:29">
      <c r="AC646" s="1779"/>
    </row>
    <row r="647" spans="29:29">
      <c r="AC647" s="1779"/>
    </row>
    <row r="648" spans="29:29">
      <c r="AC648" s="1779"/>
    </row>
    <row r="649" spans="29:29">
      <c r="AC649" s="1779"/>
    </row>
    <row r="650" spans="29:29">
      <c r="AC650" s="1779"/>
    </row>
    <row r="651" spans="29:29">
      <c r="AC651" s="1779"/>
    </row>
    <row r="652" spans="29:29">
      <c r="AC652" s="1779"/>
    </row>
    <row r="653" spans="29:29">
      <c r="AC653" s="1779"/>
    </row>
    <row r="654" spans="29:29">
      <c r="AC654" s="1779"/>
    </row>
    <row r="655" spans="29:29">
      <c r="AC655" s="1779"/>
    </row>
    <row r="656" spans="29:29">
      <c r="AC656" s="1779"/>
    </row>
    <row r="657" spans="29:29">
      <c r="AC657" s="1779"/>
    </row>
    <row r="658" spans="29:29">
      <c r="AC658" s="1779"/>
    </row>
    <row r="659" spans="29:29">
      <c r="AC659" s="1779"/>
    </row>
    <row r="660" spans="29:29">
      <c r="AC660" s="1779"/>
    </row>
    <row r="661" spans="29:29">
      <c r="AC661" s="1779"/>
    </row>
    <row r="662" spans="29:29">
      <c r="AC662" s="1779"/>
    </row>
    <row r="663" spans="29:29">
      <c r="AC663" s="1779"/>
    </row>
    <row r="664" spans="29:29">
      <c r="AC664" s="1779"/>
    </row>
    <row r="665" spans="29:29">
      <c r="AC665" s="1779"/>
    </row>
    <row r="666" spans="29:29">
      <c r="AC666" s="1779"/>
    </row>
    <row r="667" spans="29:29">
      <c r="AC667" s="1779"/>
    </row>
    <row r="668" spans="29:29">
      <c r="AC668" s="1779"/>
    </row>
    <row r="669" spans="29:29">
      <c r="AC669" s="1779"/>
    </row>
    <row r="670" spans="29:29">
      <c r="AC670" s="1779"/>
    </row>
    <row r="671" spans="29:29">
      <c r="AC671" s="1779"/>
    </row>
    <row r="672" spans="29:29">
      <c r="AC672" s="1779"/>
    </row>
    <row r="673" spans="29:29">
      <c r="AC673" s="1779"/>
    </row>
    <row r="674" spans="29:29">
      <c r="AC674" s="1779"/>
    </row>
    <row r="675" spans="29:29">
      <c r="AC675" s="1779"/>
    </row>
    <row r="676" spans="29:29">
      <c r="AC676" s="1779"/>
    </row>
    <row r="677" spans="29:29">
      <c r="AC677" s="1779"/>
    </row>
    <row r="678" spans="29:29">
      <c r="AC678" s="1779"/>
    </row>
    <row r="679" spans="29:29">
      <c r="AC679" s="1779"/>
    </row>
    <row r="680" spans="29:29">
      <c r="AC680" s="1779"/>
    </row>
    <row r="681" spans="29:29">
      <c r="AC681" s="1779"/>
    </row>
    <row r="682" spans="29:29">
      <c r="AC682" s="1779"/>
    </row>
    <row r="683" spans="29:29">
      <c r="AC683" s="1779"/>
    </row>
    <row r="684" spans="29:29">
      <c r="AC684" s="1779"/>
    </row>
    <row r="685" spans="29:29">
      <c r="AC685" s="1779"/>
    </row>
    <row r="686" spans="29:29">
      <c r="AC686" s="1779"/>
    </row>
    <row r="687" spans="29:29">
      <c r="AC687" s="1779"/>
    </row>
    <row r="688" spans="29:29">
      <c r="AC688" s="1779"/>
    </row>
    <row r="689" spans="29:29">
      <c r="AC689" s="1779"/>
    </row>
    <row r="690" spans="29:29">
      <c r="AC690" s="1779"/>
    </row>
    <row r="691" spans="29:29">
      <c r="AC691" s="1779"/>
    </row>
    <row r="692" spans="29:29">
      <c r="AC692" s="1779"/>
    </row>
    <row r="693" spans="29:29">
      <c r="AC693" s="1779"/>
    </row>
    <row r="694" spans="29:29">
      <c r="AC694" s="1779"/>
    </row>
    <row r="695" spans="29:29">
      <c r="AC695" s="1779"/>
    </row>
    <row r="696" spans="29:29">
      <c r="AC696" s="1779"/>
    </row>
    <row r="697" spans="29:29">
      <c r="AC697" s="1779"/>
    </row>
    <row r="698" spans="29:29">
      <c r="AC698" s="1779"/>
    </row>
    <row r="699" spans="29:29">
      <c r="AC699" s="1779"/>
    </row>
    <row r="700" spans="29:29">
      <c r="AC700" s="1779"/>
    </row>
    <row r="701" spans="29:29">
      <c r="AC701" s="1779"/>
    </row>
    <row r="702" spans="29:29">
      <c r="AC702" s="1779"/>
    </row>
    <row r="703" spans="29:29">
      <c r="AC703" s="1779"/>
    </row>
    <row r="704" spans="29:29">
      <c r="AC704" s="1779"/>
    </row>
    <row r="705" spans="29:29">
      <c r="AC705" s="1779"/>
    </row>
    <row r="706" spans="29:29">
      <c r="AC706" s="1779"/>
    </row>
    <row r="707" spans="29:29">
      <c r="AC707" s="1779"/>
    </row>
    <row r="708" spans="29:29">
      <c r="AC708" s="1779"/>
    </row>
    <row r="709" spans="29:29">
      <c r="AC709" s="1779"/>
    </row>
    <row r="710" spans="29:29">
      <c r="AC710" s="1779"/>
    </row>
    <row r="711" spans="29:29">
      <c r="AC711" s="1779"/>
    </row>
    <row r="712" spans="29:29">
      <c r="AC712" s="1779"/>
    </row>
    <row r="713" spans="29:29">
      <c r="AC713" s="1779"/>
    </row>
    <row r="714" spans="29:29">
      <c r="AC714" s="1779"/>
    </row>
    <row r="715" spans="29:29">
      <c r="AC715" s="1779"/>
    </row>
    <row r="716" spans="29:29">
      <c r="AC716" s="1779"/>
    </row>
    <row r="717" spans="29:29">
      <c r="AC717" s="1779"/>
    </row>
    <row r="718" spans="29:29">
      <c r="AC718" s="1779"/>
    </row>
    <row r="719" spans="29:29">
      <c r="AC719" s="1779"/>
    </row>
    <row r="720" spans="29:29">
      <c r="AC720" s="1779"/>
    </row>
    <row r="721" spans="29:29">
      <c r="AC721" s="1779"/>
    </row>
    <row r="722" spans="29:29">
      <c r="AC722" s="1779"/>
    </row>
    <row r="723" spans="29:29">
      <c r="AC723" s="1779"/>
    </row>
    <row r="724" spans="29:29">
      <c r="AC724" s="1779"/>
    </row>
    <row r="725" spans="29:29">
      <c r="AC725" s="1779"/>
    </row>
    <row r="726" spans="29:29">
      <c r="AC726" s="1779"/>
    </row>
    <row r="727" spans="29:29">
      <c r="AC727" s="1779"/>
    </row>
    <row r="728" spans="29:29">
      <c r="AC728" s="1779"/>
    </row>
    <row r="729" spans="29:29">
      <c r="AC729" s="1779"/>
    </row>
    <row r="730" spans="29:29">
      <c r="AC730" s="1779"/>
    </row>
    <row r="731" spans="29:29">
      <c r="AC731" s="1779"/>
    </row>
    <row r="732" spans="29:29">
      <c r="AC732" s="1779"/>
    </row>
    <row r="733" spans="29:29">
      <c r="AC733" s="1779"/>
    </row>
    <row r="734" spans="29:29">
      <c r="AC734" s="1779"/>
    </row>
    <row r="735" spans="29:29">
      <c r="AC735" s="1779"/>
    </row>
    <row r="736" spans="29:29">
      <c r="AC736" s="1779"/>
    </row>
    <row r="737" spans="29:29">
      <c r="AC737" s="1779"/>
    </row>
    <row r="738" spans="29:29">
      <c r="AC738" s="1779"/>
    </row>
    <row r="739" spans="29:29">
      <c r="AC739" s="1779"/>
    </row>
    <row r="740" spans="29:29">
      <c r="AC740" s="1779"/>
    </row>
    <row r="741" spans="29:29">
      <c r="AC741" s="1779"/>
    </row>
    <row r="742" spans="29:29">
      <c r="AC742" s="1779"/>
    </row>
    <row r="743" spans="29:29">
      <c r="AC743" s="1779"/>
    </row>
    <row r="744" spans="29:29">
      <c r="AC744" s="1779"/>
    </row>
    <row r="745" spans="29:29">
      <c r="AC745" s="1779"/>
    </row>
    <row r="746" spans="29:29">
      <c r="AC746" s="1779"/>
    </row>
    <row r="747" spans="29:29">
      <c r="AC747" s="1779"/>
    </row>
    <row r="748" spans="29:29">
      <c r="AC748" s="1779"/>
    </row>
    <row r="749" spans="29:29">
      <c r="AC749" s="1779"/>
    </row>
    <row r="750" spans="29:29">
      <c r="AC750" s="1779"/>
    </row>
    <row r="751" spans="29:29">
      <c r="AC751" s="1779"/>
    </row>
    <row r="752" spans="29:29">
      <c r="AC752" s="1779"/>
    </row>
    <row r="753" spans="29:29">
      <c r="AC753" s="1779"/>
    </row>
    <row r="754" spans="29:29">
      <c r="AC754" s="1779"/>
    </row>
    <row r="755" spans="29:29">
      <c r="AC755" s="1779"/>
    </row>
    <row r="756" spans="29:29">
      <c r="AC756" s="1779"/>
    </row>
    <row r="757" spans="29:29">
      <c r="AC757" s="1779"/>
    </row>
    <row r="758" spans="29:29">
      <c r="AC758" s="1779"/>
    </row>
    <row r="759" spans="29:29">
      <c r="AC759" s="1779"/>
    </row>
    <row r="760" spans="29:29">
      <c r="AC760" s="1779"/>
    </row>
    <row r="761" spans="29:29">
      <c r="AC761" s="1779"/>
    </row>
    <row r="762" spans="29:29">
      <c r="AC762" s="1779"/>
    </row>
    <row r="763" spans="29:29">
      <c r="AC763" s="1779"/>
    </row>
    <row r="764" spans="29:29">
      <c r="AC764" s="1779"/>
    </row>
    <row r="765" spans="29:29">
      <c r="AC765" s="1779"/>
    </row>
    <row r="766" spans="29:29">
      <c r="AC766" s="1779"/>
    </row>
    <row r="767" spans="29:29">
      <c r="AC767" s="1779"/>
    </row>
    <row r="768" spans="29:29">
      <c r="AC768" s="1779"/>
    </row>
    <row r="769" spans="29:29">
      <c r="AC769" s="1779"/>
    </row>
    <row r="770" spans="29:29">
      <c r="AC770" s="1779"/>
    </row>
    <row r="771" spans="29:29">
      <c r="AC771" s="1779"/>
    </row>
    <row r="772" spans="29:29">
      <c r="AC772" s="1779"/>
    </row>
    <row r="773" spans="29:29">
      <c r="AC773" s="1779"/>
    </row>
    <row r="774" spans="29:29">
      <c r="AC774" s="1779"/>
    </row>
    <row r="775" spans="29:29">
      <c r="AC775" s="1779"/>
    </row>
    <row r="776" spans="29:29">
      <c r="AC776" s="1779"/>
    </row>
    <row r="777" spans="29:29">
      <c r="AC777" s="1779"/>
    </row>
    <row r="778" spans="29:29">
      <c r="AC778" s="1779"/>
    </row>
    <row r="779" spans="29:29">
      <c r="AC779" s="1779"/>
    </row>
    <row r="780" spans="29:29">
      <c r="AC780" s="1779"/>
    </row>
    <row r="781" spans="29:29">
      <c r="AC781" s="1779"/>
    </row>
    <row r="782" spans="29:29">
      <c r="AC782" s="1779"/>
    </row>
    <row r="783" spans="29:29">
      <c r="AC783" s="1779"/>
    </row>
    <row r="784" spans="29:29">
      <c r="AC784" s="1779"/>
    </row>
    <row r="785" spans="29:29">
      <c r="AC785" s="1779"/>
    </row>
    <row r="786" spans="29:29">
      <c r="AC786" s="1779"/>
    </row>
    <row r="787" spans="29:29">
      <c r="AC787" s="1779"/>
    </row>
    <row r="788" spans="29:29">
      <c r="AC788" s="1779"/>
    </row>
    <row r="789" spans="29:29">
      <c r="AC789" s="1779"/>
    </row>
    <row r="790" spans="29:29">
      <c r="AC790" s="1779"/>
    </row>
    <row r="791" spans="29:29">
      <c r="AC791" s="1779"/>
    </row>
    <row r="792" spans="29:29">
      <c r="AC792" s="1779"/>
    </row>
    <row r="793" spans="29:29">
      <c r="AC793" s="1779"/>
    </row>
    <row r="794" spans="29:29">
      <c r="AC794" s="1779"/>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E52">
    <cfRule type="expression" dxfId="80" priority="16" stopIfTrue="1">
      <formula>$F$52="超过30%"</formula>
    </cfRule>
  </conditionalFormatting>
  <conditionalFormatting sqref="E53">
    <cfRule type="expression" dxfId="79" priority="15" stopIfTrue="1">
      <formula>$F$53="超过20%"</formula>
    </cfRule>
  </conditionalFormatting>
  <conditionalFormatting sqref="E54">
    <cfRule type="expression" dxfId="78" priority="14" stopIfTrue="1">
      <formula>$F$54="超过30%"</formula>
    </cfRule>
  </conditionalFormatting>
  <conditionalFormatting sqref="F7:F46 H7:H46 J7:J46">
    <cfRule type="cellIs" dxfId="77" priority="1" operator="notEqual">
      <formula>100</formula>
    </cfRule>
  </conditionalFormatting>
  <conditionalFormatting sqref="F48">
    <cfRule type="expression" dxfId="76" priority="4">
      <formula>$D$48="简单平均"</formula>
    </cfRule>
  </conditionalFormatting>
  <conditionalFormatting sqref="F52:F54 H52:H54">
    <cfRule type="containsText" dxfId="75" priority="17" stopIfTrue="1" operator="containsText" text="超过">
      <formula>NOT(ISERROR(SEARCH("超过",F52)))</formula>
    </cfRule>
  </conditionalFormatting>
  <conditionalFormatting sqref="G52">
    <cfRule type="expression" dxfId="74" priority="12" stopIfTrue="1">
      <formula>$H$52="超过30%"</formula>
    </cfRule>
  </conditionalFormatting>
  <conditionalFormatting sqref="G53">
    <cfRule type="expression" dxfId="73" priority="11" stopIfTrue="1">
      <formula>$H$53="超过20%"</formula>
    </cfRule>
  </conditionalFormatting>
  <conditionalFormatting sqref="G54">
    <cfRule type="expression" dxfId="72" priority="13" stopIfTrue="1">
      <formula>$H$54="超过30%"</formula>
    </cfRule>
  </conditionalFormatting>
  <conditionalFormatting sqref="H48">
    <cfRule type="expression" dxfId="71" priority="3">
      <formula>$D$48="简单平均"</formula>
    </cfRule>
  </conditionalFormatting>
  <conditionalFormatting sqref="I52">
    <cfRule type="expression" dxfId="70" priority="7" stopIfTrue="1">
      <formula>$J$52="超过30%"</formula>
    </cfRule>
  </conditionalFormatting>
  <conditionalFormatting sqref="I53">
    <cfRule type="expression" dxfId="69" priority="6" stopIfTrue="1">
      <formula>$J$53="超过20%"</formula>
    </cfRule>
  </conditionalFormatting>
  <conditionalFormatting sqref="I54">
    <cfRule type="expression" dxfId="68" priority="5" stopIfTrue="1">
      <formula>$J$54="超过30%"</formula>
    </cfRule>
  </conditionalFormatting>
  <conditionalFormatting sqref="J48">
    <cfRule type="expression" dxfId="67" priority="2">
      <formula>$D$48="简单平均"</formula>
    </cfRule>
  </conditionalFormatting>
  <conditionalFormatting sqref="J52:J54">
    <cfRule type="containsText" dxfId="66" priority="8" stopIfTrue="1" operator="containsText" text="超过">
      <formula>NOT(ISERROR(SEARCH("超过",J52)))</formula>
    </cfRule>
  </conditionalFormatting>
  <dataValidations count="23">
    <dataValidation type="list" allowBlank="1" showInputMessage="1" showErrorMessage="1" sqref="D1" xr:uid="{00000000-0002-0000-2300-000000000000}">
      <formula1>项目类型</formula1>
    </dataValidation>
    <dataValidation type="list" allowBlank="1" showInputMessage="1" showErrorMessage="1" sqref="C43 E43 G43 I43" xr:uid="{00000000-0002-0000-2300-000001000000}">
      <formula1>内部装修维护情况</formula1>
    </dataValidation>
    <dataValidation type="list" allowBlank="1" showInputMessage="1" showErrorMessage="1" sqref="E34 G34 I34" xr:uid="{00000000-0002-0000-2300-000002000000}">
      <formula1>住宅建筑结构</formula1>
    </dataValidation>
    <dataValidation type="list" allowBlank="1" showInputMessage="1" showErrorMessage="1" sqref="C20 G20 I20 E20" xr:uid="{00000000-0002-0000-2300-000003000000}">
      <formula1>公共配套设施</formula1>
    </dataValidation>
    <dataValidation type="list" allowBlank="1" showInputMessage="1" showErrorMessage="1" sqref="E18 G18 I18 C18" xr:uid="{00000000-0002-0000-2300-000004000000}">
      <formula1>交通便捷度</formula1>
    </dataValidation>
    <dataValidation type="list" allowBlank="1" showInputMessage="1" showErrorMessage="1" sqref="E24 G24 I24 C24" xr:uid="{00000000-0002-0000-2300-000005000000}">
      <formula1>环境</formula1>
    </dataValidation>
    <dataValidation type="list" allowBlank="1" showInputMessage="1" showErrorMessage="1" sqref="C25 E25 G25 I25" xr:uid="{00000000-0002-0000-2300-000006000000}">
      <formula1>商业临街状况</formula1>
    </dataValidation>
    <dataValidation type="list" allowBlank="1" showInputMessage="1" showErrorMessage="1" sqref="C27 E27 G27 I27" xr:uid="{00000000-0002-0000-2300-000007000000}">
      <formula1>商业人流量</formula1>
    </dataValidation>
    <dataValidation type="list" allowBlank="1" showInputMessage="1" showErrorMessage="1" sqref="C28 E28 G28 I28" xr:uid="{00000000-0002-0000-2300-000008000000}">
      <formula1>商业楼层</formula1>
    </dataValidation>
    <dataValidation type="list" allowBlank="1" showInputMessage="1" showErrorMessage="1" sqref="C32 E32 G32 I32" xr:uid="{00000000-0002-0000-2300-000009000000}">
      <formula1>商业类型</formula1>
    </dataValidation>
    <dataValidation type="list" allowBlank="1" showInputMessage="1" showErrorMessage="1" sqref="C34" xr:uid="{00000000-0002-0000-2300-00000A000000}">
      <formula1>商业建筑结构</formula1>
    </dataValidation>
    <dataValidation type="list" allowBlank="1" showInputMessage="1" showErrorMessage="1" sqref="C35 E35 G35 I35" xr:uid="{00000000-0002-0000-2300-00000B000000}">
      <formula1>商业公共部分装修</formula1>
    </dataValidation>
    <dataValidation type="list" allowBlank="1" showInputMessage="1" showErrorMessage="1" sqref="C37 E37 G37 I37" xr:uid="{00000000-0002-0000-2300-00000C000000}">
      <formula1>商业基础设施水平</formula1>
    </dataValidation>
    <dataValidation type="list" allowBlank="1" showInputMessage="1" showErrorMessage="1" sqref="C41 E41 G41 I41" xr:uid="{00000000-0002-0000-2300-00000D000000}">
      <formula1>商业进深比</formula1>
    </dataValidation>
    <dataValidation type="list" allowBlank="1" showInputMessage="1" showErrorMessage="1" sqref="C42 E42 G42 I42" xr:uid="{00000000-0002-0000-2300-00000E000000}">
      <formula1>商业内部装修</formula1>
    </dataValidation>
    <dataValidation type="list" allowBlank="1" showInputMessage="1" showErrorMessage="1" sqref="E9 G9 I9" xr:uid="{00000000-0002-0000-2300-00000F000000}">
      <formula1>商业用途</formula1>
    </dataValidation>
    <dataValidation type="list" allowBlank="1" showInputMessage="1" showErrorMessage="1" sqref="C38 E38 G38 I38" xr:uid="{00000000-0002-0000-2300-000010000000}">
      <formula1>商业业态</formula1>
    </dataValidation>
    <dataValidation type="list" allowBlank="1" showInputMessage="1" showErrorMessage="1" sqref="C39 E39 G39 I39" xr:uid="{00000000-0002-0000-2300-000011000000}">
      <formula1>商业层高</formula1>
    </dataValidation>
    <dataValidation type="list" allowBlank="1" showInputMessage="1" showErrorMessage="1" sqref="C8 E8 G8 I8" xr:uid="{00000000-0002-0000-2300-000012000000}">
      <formula1>商业交易情况</formula1>
    </dataValidation>
    <dataValidation type="list" allowBlank="1" showInputMessage="1" showErrorMessage="1" sqref="C16 E16 G16 I16" xr:uid="{00000000-0002-0000-2300-000013000000}">
      <formula1>商业繁华度</formula1>
    </dataValidation>
    <dataValidation type="list" allowBlank="1" showInputMessage="1" showErrorMessage="1" sqref="C22 E22 G22 I22" xr:uid="{00000000-0002-0000-2300-000014000000}">
      <formula1>基础设施水平</formula1>
    </dataValidation>
    <dataValidation type="list" allowBlank="1" showInputMessage="1" showErrorMessage="1" sqref="F1" xr:uid="{00000000-0002-0000-2300-000015000000}">
      <formula1>"售价,租金"</formula1>
    </dataValidation>
    <dataValidation type="list" allowBlank="1" showInputMessage="1" showErrorMessage="1" sqref="D48" xr:uid="{00000000-0002-0000-2300-000016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4">
    <tabColor rgb="FF92D050"/>
    <pageSetUpPr fitToPage="1"/>
  </sheetPr>
  <dimension ref="A1:AC853"/>
  <sheetViews>
    <sheetView view="pageBreakPreview" topLeftCell="A43" zoomScale="60" zoomScaleNormal="60" workbookViewId="0">
      <selection activeCell="F10" sqref="F10"/>
    </sheetView>
  </sheetViews>
  <sheetFormatPr defaultColWidth="9" defaultRowHeight="14.25"/>
  <cols>
    <col min="1" max="1" width="10.5" style="1132" customWidth="1"/>
    <col min="2" max="2" width="15.75" style="1132" customWidth="1"/>
    <col min="3" max="3" width="14.375" style="1132" customWidth="1"/>
    <col min="4" max="4" width="12.25" style="1132" customWidth="1"/>
    <col min="5" max="5" width="14.375" style="1132" customWidth="1"/>
    <col min="6" max="6" width="12.25" style="1132" customWidth="1"/>
    <col min="7" max="7" width="14.5" style="1132" customWidth="1"/>
    <col min="8" max="8" width="12.25" style="1132" customWidth="1"/>
    <col min="9" max="9" width="14.5" style="1132" customWidth="1"/>
    <col min="10" max="10" width="12.25" style="1132" customWidth="1"/>
    <col min="11" max="11" width="12.25" style="1137" customWidth="1"/>
    <col min="12" max="12" width="12.25" style="1138" customWidth="1"/>
    <col min="13" max="15" width="12.25" style="1132" customWidth="1"/>
    <col min="16" max="16" width="4.75" style="1817" customWidth="1"/>
    <col min="17" max="17" width="19.5" style="1132" customWidth="1"/>
    <col min="18" max="22" width="6.125" style="1132" customWidth="1"/>
    <col min="23" max="23" width="5.75" style="1132" customWidth="1"/>
    <col min="24" max="24" width="4.25" style="1132" customWidth="1"/>
    <col min="25" max="25" width="3.5" style="1132" customWidth="1"/>
    <col min="26" max="26" width="19.75" style="1132" customWidth="1"/>
    <col min="27" max="28" width="9.375" style="1132" customWidth="1"/>
    <col min="29" max="16384" width="9" style="1132"/>
  </cols>
  <sheetData>
    <row r="1" spans="1:29" s="1131" customFormat="1" ht="28.5" customHeight="1">
      <c r="A1" s="453" t="s">
        <v>665</v>
      </c>
      <c r="B1" s="454" t="s">
        <v>717</v>
      </c>
      <c r="C1" s="455" t="s">
        <v>667</v>
      </c>
      <c r="D1" s="783"/>
      <c r="E1" s="457"/>
      <c r="F1" s="2118"/>
      <c r="G1" s="1328" t="s">
        <v>668</v>
      </c>
      <c r="H1" s="457"/>
      <c r="I1" s="457"/>
      <c r="J1" s="457"/>
      <c r="K1" s="458"/>
      <c r="L1" s="2717"/>
      <c r="M1" s="2718"/>
      <c r="N1" s="2718"/>
      <c r="O1" s="2718"/>
      <c r="P1" s="2773"/>
      <c r="Q1" s="1740"/>
      <c r="R1" s="1740"/>
      <c r="S1" s="1740"/>
      <c r="T1" s="1740"/>
      <c r="U1" s="1740"/>
      <c r="V1" s="1740"/>
      <c r="W1" s="1740"/>
      <c r="X1" s="1740"/>
      <c r="Y1" s="1740"/>
      <c r="Z1" s="1740"/>
      <c r="AA1" s="1740"/>
      <c r="AB1" s="1740"/>
      <c r="AC1" s="1674"/>
    </row>
    <row r="2" spans="1:29" s="1131" customFormat="1" ht="28.5" customHeight="1">
      <c r="A2" s="393" t="s">
        <v>427</v>
      </c>
      <c r="B2" s="784" t="e">
        <f>ROUND(B3*D3/10000,0)</f>
        <v>#DIV/0!</v>
      </c>
      <c r="C2" s="1735"/>
      <c r="D2" s="1735"/>
      <c r="E2" s="1674"/>
      <c r="F2" s="1737"/>
      <c r="G2" s="1736"/>
      <c r="H2" s="1736"/>
      <c r="I2" s="1736"/>
      <c r="J2" s="1736"/>
      <c r="K2" s="1736"/>
      <c r="L2" s="1739"/>
      <c r="M2" s="1740"/>
      <c r="N2" s="1740"/>
      <c r="O2" s="1740"/>
      <c r="P2" s="2773"/>
      <c r="Q2" s="1740"/>
      <c r="R2" s="1740"/>
      <c r="S2" s="1740"/>
      <c r="T2" s="1740"/>
      <c r="U2" s="1740"/>
      <c r="V2" s="1740"/>
      <c r="W2" s="1740"/>
      <c r="X2" s="1740"/>
      <c r="Y2" s="1740"/>
      <c r="Z2" s="1740"/>
      <c r="AA2" s="1740"/>
      <c r="AB2" s="1740"/>
      <c r="AC2" s="1674"/>
    </row>
    <row r="3" spans="1:29" s="1131" customFormat="1" ht="28.5" customHeight="1" thickBot="1">
      <c r="A3" s="460" t="s">
        <v>468</v>
      </c>
      <c r="B3" s="461" t="e">
        <f>C50</f>
        <v>#DIV/0!</v>
      </c>
      <c r="C3" s="786" t="s">
        <v>669</v>
      </c>
      <c r="D3" s="785">
        <f>SUMIF('数据-汇总表'!$C19:$C33,D1,'数据-汇总表'!$E19:$E33)</f>
        <v>0</v>
      </c>
      <c r="E3" s="1674"/>
      <c r="F3" s="1737"/>
      <c r="G3" s="1736"/>
      <c r="H3" s="1736"/>
      <c r="I3" s="1736"/>
      <c r="J3" s="1736"/>
      <c r="K3" s="1738"/>
      <c r="L3" s="1739"/>
      <c r="M3" s="1740"/>
      <c r="N3" s="1740"/>
      <c r="O3" s="1740"/>
      <c r="P3" s="2773"/>
      <c r="Q3" s="1740"/>
      <c r="R3" s="1740"/>
      <c r="S3" s="1740"/>
      <c r="T3" s="1740"/>
      <c r="U3" s="1740"/>
      <c r="V3" s="1740"/>
      <c r="W3" s="1740"/>
      <c r="X3" s="1740"/>
      <c r="Y3" s="1740"/>
      <c r="Z3" s="1740"/>
      <c r="AA3" s="1740"/>
      <c r="AB3" s="1740"/>
      <c r="AC3" s="1674"/>
    </row>
    <row r="4" spans="1:29" ht="15">
      <c r="A4" s="463" t="s">
        <v>470</v>
      </c>
      <c r="B4" s="464"/>
      <c r="C4" s="3631" t="s">
        <v>471</v>
      </c>
      <c r="D4" s="3632"/>
      <c r="E4" s="3707" t="s">
        <v>472</v>
      </c>
      <c r="F4" s="3708"/>
      <c r="G4" s="3631" t="s">
        <v>473</v>
      </c>
      <c r="H4" s="3632"/>
      <c r="I4" s="3631" t="s">
        <v>474</v>
      </c>
      <c r="J4" s="3632"/>
      <c r="K4" s="465" t="s">
        <v>475</v>
      </c>
      <c r="L4" s="1741"/>
      <c r="M4" s="1742"/>
      <c r="N4" s="1742"/>
      <c r="O4" s="1742"/>
      <c r="P4" s="3741" t="s">
        <v>476</v>
      </c>
      <c r="Q4" s="3634"/>
      <c r="R4" s="3617" t="s">
        <v>472</v>
      </c>
      <c r="S4" s="3618"/>
      <c r="T4" s="3617" t="s">
        <v>473</v>
      </c>
      <c r="U4" s="3618"/>
      <c r="V4" s="3639" t="s">
        <v>474</v>
      </c>
      <c r="W4" s="3639"/>
      <c r="X4" s="1302"/>
      <c r="Y4" s="3617" t="s">
        <v>476</v>
      </c>
      <c r="Z4" s="3618"/>
      <c r="AA4" s="3612" t="s">
        <v>472</v>
      </c>
      <c r="AB4" s="3612" t="s">
        <v>473</v>
      </c>
      <c r="AC4" s="3612" t="s">
        <v>474</v>
      </c>
    </row>
    <row r="5" spans="1:29" ht="15">
      <c r="A5" s="466"/>
      <c r="B5" s="467"/>
      <c r="C5" s="3642" t="s">
        <v>2192</v>
      </c>
      <c r="D5" s="3643"/>
      <c r="E5" s="3709" t="s">
        <v>2193</v>
      </c>
      <c r="F5" s="3710"/>
      <c r="G5" s="3642" t="s">
        <v>2194</v>
      </c>
      <c r="H5" s="3643"/>
      <c r="I5" s="3642" t="s">
        <v>2195</v>
      </c>
      <c r="J5" s="3643"/>
      <c r="K5" s="465"/>
      <c r="L5" s="1741"/>
      <c r="M5" s="1742"/>
      <c r="N5" s="1742"/>
      <c r="O5" s="1742"/>
      <c r="P5" s="3742"/>
      <c r="Q5" s="3636"/>
      <c r="R5" s="3619"/>
      <c r="S5" s="3620"/>
      <c r="T5" s="3619"/>
      <c r="U5" s="3620"/>
      <c r="V5" s="3639"/>
      <c r="W5" s="3639"/>
      <c r="X5" s="1302"/>
      <c r="Y5" s="3619"/>
      <c r="Z5" s="3620"/>
      <c r="AA5" s="3613"/>
      <c r="AB5" s="3613"/>
      <c r="AC5" s="3613"/>
    </row>
    <row r="6" spans="1:29" ht="15.75" thickBot="1">
      <c r="A6" s="468"/>
      <c r="B6" s="469"/>
      <c r="C6" s="3640" t="s">
        <v>2196</v>
      </c>
      <c r="D6" s="3641"/>
      <c r="E6" s="3711" t="s">
        <v>2196</v>
      </c>
      <c r="F6" s="3712"/>
      <c r="G6" s="3640" t="s">
        <v>2196</v>
      </c>
      <c r="H6" s="3641"/>
      <c r="I6" s="3640" t="s">
        <v>2196</v>
      </c>
      <c r="J6" s="3641"/>
      <c r="K6" s="465" t="s">
        <v>477</v>
      </c>
      <c r="L6" s="1741"/>
      <c r="M6" s="1742"/>
      <c r="N6" s="1742"/>
      <c r="O6" s="1742"/>
      <c r="P6" s="3743"/>
      <c r="Q6" s="3638"/>
      <c r="R6" s="3619"/>
      <c r="S6" s="3620"/>
      <c r="T6" s="3621"/>
      <c r="U6" s="3622"/>
      <c r="V6" s="3639"/>
      <c r="W6" s="3639"/>
      <c r="X6" s="1302"/>
      <c r="Y6" s="3621"/>
      <c r="Z6" s="3622"/>
      <c r="AA6" s="3614"/>
      <c r="AB6" s="3614"/>
      <c r="AC6" s="3614"/>
    </row>
    <row r="7" spans="1:29" s="1060" customFormat="1" ht="15.75" thickBot="1">
      <c r="A7" s="2209"/>
      <c r="B7" s="2216" t="s">
        <v>478</v>
      </c>
      <c r="C7" s="470">
        <f>'数据-取费表'!B2</f>
        <v>45483</v>
      </c>
      <c r="D7" s="471">
        <v>100</v>
      </c>
      <c r="E7" s="472"/>
      <c r="F7" s="473">
        <f>SUMIF(59:59,YEAR(E7)&amp;"-"&amp;MONTH(E7),60:60)</f>
        <v>0</v>
      </c>
      <c r="G7" s="472"/>
      <c r="H7" s="471">
        <f>SUMIF(59:59,YEAR(G7)&amp;"-"&amp;MONTH(G7),60:60)</f>
        <v>0</v>
      </c>
      <c r="I7" s="472"/>
      <c r="J7" s="471">
        <f>SUMIF(59:59,YEAR(I7)&amp;"-"&amp;MONTH(I7),60:60)</f>
        <v>0</v>
      </c>
      <c r="K7" s="88"/>
      <c r="L7" s="1743"/>
      <c r="M7" s="1640"/>
      <c r="N7" s="1640"/>
      <c r="O7" s="1640"/>
      <c r="P7" s="3624" t="s">
        <v>479</v>
      </c>
      <c r="Q7" s="3624"/>
      <c r="R7" s="1303" t="s">
        <v>5</v>
      </c>
      <c r="S7" s="1304">
        <f t="shared" ref="S7:S15" si="0">F7</f>
        <v>0</v>
      </c>
      <c r="T7" s="1303" t="s">
        <v>5</v>
      </c>
      <c r="U7" s="1304">
        <f t="shared" ref="U7:U15" si="1">H7</f>
        <v>0</v>
      </c>
      <c r="V7" s="1303" t="s">
        <v>5</v>
      </c>
      <c r="W7" s="1304">
        <f t="shared" ref="W7:W15" si="2">J7</f>
        <v>0</v>
      </c>
      <c r="X7" s="1305"/>
      <c r="Y7" s="3615" t="s">
        <v>479</v>
      </c>
      <c r="Z7" s="3616"/>
      <c r="AA7" s="997" t="e">
        <f>D7/F7</f>
        <v>#DIV/0!</v>
      </c>
      <c r="AB7" s="997" t="e">
        <f>D7/H7</f>
        <v>#DIV/0!</v>
      </c>
      <c r="AC7" s="997" t="e">
        <f>D7/J7</f>
        <v>#DIV/0!</v>
      </c>
    </row>
    <row r="8" spans="1:29" s="1060" customFormat="1" ht="15.75" thickBot="1">
      <c r="A8" s="2210"/>
      <c r="B8" s="2217" t="s">
        <v>480</v>
      </c>
      <c r="C8" s="475" t="s">
        <v>524</v>
      </c>
      <c r="D8" s="471">
        <v>100</v>
      </c>
      <c r="E8" s="475"/>
      <c r="F8" s="473">
        <f>SUMIF(62:62,E8,63:63)-SUMIF(62:62,C8,63:63)+100</f>
        <v>0</v>
      </c>
      <c r="G8" s="475"/>
      <c r="H8" s="471">
        <f>SUMIF(62:62,G8,63:63)-SUMIF(62:62,C8,63:63)+100</f>
        <v>0</v>
      </c>
      <c r="I8" s="475"/>
      <c r="J8" s="471">
        <f>SUMIF(62:62,I8,63:63)-SUMIF(62:62,C8,63:63)+100</f>
        <v>0</v>
      </c>
      <c r="K8" s="88"/>
      <c r="L8" s="1743"/>
      <c r="M8" s="1640"/>
      <c r="N8" s="1640"/>
      <c r="O8" s="1640"/>
      <c r="P8" s="3624" t="s">
        <v>482</v>
      </c>
      <c r="Q8" s="3616"/>
      <c r="R8" s="1303" t="s">
        <v>5</v>
      </c>
      <c r="S8" s="1304">
        <f t="shared" si="0"/>
        <v>0</v>
      </c>
      <c r="T8" s="1303" t="s">
        <v>5</v>
      </c>
      <c r="U8" s="1304">
        <f t="shared" si="1"/>
        <v>0</v>
      </c>
      <c r="V8" s="1303" t="s">
        <v>5</v>
      </c>
      <c r="W8" s="1304">
        <f t="shared" si="2"/>
        <v>0</v>
      </c>
      <c r="X8" s="1305"/>
      <c r="Y8" s="3615" t="s">
        <v>482</v>
      </c>
      <c r="Z8" s="3616"/>
      <c r="AA8" s="997" t="e">
        <f t="shared" ref="AA8:AA47" si="3">D8/F8</f>
        <v>#DIV/0!</v>
      </c>
      <c r="AB8" s="997" t="e">
        <f t="shared" ref="AB8:AB47" si="4">D8/H8</f>
        <v>#DIV/0!</v>
      </c>
      <c r="AC8" s="997" t="e">
        <f t="shared" ref="AC8:AC47" si="5">D8/J8</f>
        <v>#DIV/0!</v>
      </c>
    </row>
    <row r="9" spans="1:29" s="1060" customFormat="1" ht="15">
      <c r="A9" s="2211"/>
      <c r="B9" s="2218" t="s">
        <v>2038</v>
      </c>
      <c r="C9" s="791"/>
      <c r="D9" s="154">
        <v>100</v>
      </c>
      <c r="E9" s="793"/>
      <c r="F9" s="154">
        <f>SUMIF(64:64,E9,65:65)-SUMIF(64:64,C9,65:65)+100</f>
        <v>100</v>
      </c>
      <c r="G9" s="792"/>
      <c r="H9" s="154">
        <f>SUMIF(64:64,G9,65:65)-SUMIF(64:64,C9,65:65)+100</f>
        <v>100</v>
      </c>
      <c r="I9" s="792"/>
      <c r="J9" s="154">
        <f>SUMIF(64:64,I9,65:65)-SUMIF(64:64,C9,65:65)+100</f>
        <v>100</v>
      </c>
      <c r="K9" s="88"/>
      <c r="L9" s="1743"/>
      <c r="M9" s="1640"/>
      <c r="N9" s="1640"/>
      <c r="O9" s="1640"/>
      <c r="P9" s="3623" t="s">
        <v>484</v>
      </c>
      <c r="Q9" s="818" t="str">
        <f t="shared" ref="Q9:Q15" si="6">B9</f>
        <v>用途</v>
      </c>
      <c r="R9" s="1303" t="s">
        <v>5</v>
      </c>
      <c r="S9" s="1304">
        <f t="shared" si="0"/>
        <v>100</v>
      </c>
      <c r="T9" s="1303" t="s">
        <v>5</v>
      </c>
      <c r="U9" s="1304">
        <f t="shared" si="1"/>
        <v>100</v>
      </c>
      <c r="V9" s="1303" t="s">
        <v>5</v>
      </c>
      <c r="W9" s="1304">
        <f t="shared" si="2"/>
        <v>100</v>
      </c>
      <c r="X9" s="1305"/>
      <c r="Y9" s="3575" t="s">
        <v>485</v>
      </c>
      <c r="Z9" s="997" t="str">
        <f t="shared" ref="Z9:Z15" si="7">Q9</f>
        <v>用途</v>
      </c>
      <c r="AA9" s="997">
        <f t="shared" si="3"/>
        <v>1</v>
      </c>
      <c r="AB9" s="997">
        <f t="shared" si="4"/>
        <v>1</v>
      </c>
      <c r="AC9" s="997">
        <f t="shared" si="5"/>
        <v>1</v>
      </c>
    </row>
    <row r="10" spans="1:29" s="1133" customFormat="1" ht="27">
      <c r="A10" s="2212"/>
      <c r="B10" s="2217" t="s">
        <v>2039</v>
      </c>
      <c r="C10" s="3386"/>
      <c r="D10" s="235">
        <v>100</v>
      </c>
      <c r="E10" s="3386"/>
      <c r="F10" s="235">
        <f>SUMIF(66:66,E10,67:67)-SUMIF(66:66,C10,67:67)+100</f>
        <v>100</v>
      </c>
      <c r="G10" s="3387"/>
      <c r="H10" s="235">
        <f>SUMIF(66:66,G10,67:67)-SUMIF(66:66,C10,67:67)+100</f>
        <v>100</v>
      </c>
      <c r="I10" s="3386"/>
      <c r="J10" s="235">
        <f>SUMIF(66:66,I10,67:67)-SUMIF(66:66,C10,67:67)+100</f>
        <v>100</v>
      </c>
      <c r="K10" s="88"/>
      <c r="L10" s="1745"/>
      <c r="M10" s="1778"/>
      <c r="N10" s="1778"/>
      <c r="O10" s="1778"/>
      <c r="P10" s="3623"/>
      <c r="Q10" s="818" t="str">
        <f t="shared" si="6"/>
        <v>土地使用年限（年）</v>
      </c>
      <c r="R10" s="1303" t="s">
        <v>5</v>
      </c>
      <c r="S10" s="1304">
        <f t="shared" si="0"/>
        <v>100</v>
      </c>
      <c r="T10" s="1303" t="s">
        <v>5</v>
      </c>
      <c r="U10" s="1304">
        <f t="shared" si="1"/>
        <v>100</v>
      </c>
      <c r="V10" s="1303" t="s">
        <v>5</v>
      </c>
      <c r="W10" s="1304">
        <f t="shared" si="2"/>
        <v>100</v>
      </c>
      <c r="X10" s="1305"/>
      <c r="Y10" s="3575"/>
      <c r="Z10" s="997" t="str">
        <f t="shared" si="7"/>
        <v>土地使用年限（年）</v>
      </c>
      <c r="AA10" s="997">
        <f t="shared" si="3"/>
        <v>1</v>
      </c>
      <c r="AB10" s="997">
        <f t="shared" si="4"/>
        <v>1</v>
      </c>
      <c r="AC10" s="997">
        <f t="shared" si="5"/>
        <v>1</v>
      </c>
    </row>
    <row r="11" spans="1:29" ht="15">
      <c r="A11" s="2213"/>
      <c r="B11" s="2217" t="s">
        <v>2040</v>
      </c>
      <c r="C11" s="483"/>
      <c r="D11" s="235">
        <v>100</v>
      </c>
      <c r="E11" s="483"/>
      <c r="F11" s="235" t="e">
        <f>LOOKUP(E11,69:69,70:70)-LOOKUP(C11,69:69,70:70)+100</f>
        <v>#N/A</v>
      </c>
      <c r="G11" s="484"/>
      <c r="H11" s="235" t="e">
        <f>LOOKUP(G11,69:69,70:70)-LOOKUP(C11,69:69,70:70)+100</f>
        <v>#N/A</v>
      </c>
      <c r="I11" s="483"/>
      <c r="J11" s="235" t="e">
        <f>LOOKUP(I11,69:69,70:70)-LOOKUP(C11,69:69,70:70)+100</f>
        <v>#N/A</v>
      </c>
      <c r="K11" s="533"/>
      <c r="L11" s="1747"/>
      <c r="M11" s="1742"/>
      <c r="N11" s="1742"/>
      <c r="O11" s="1742"/>
      <c r="P11" s="3623"/>
      <c r="Q11" s="818" t="str">
        <f t="shared" si="6"/>
        <v>容积率</v>
      </c>
      <c r="R11" s="1303" t="s">
        <v>5</v>
      </c>
      <c r="S11" s="1304" t="e">
        <f t="shared" si="0"/>
        <v>#N/A</v>
      </c>
      <c r="T11" s="1303" t="s">
        <v>5</v>
      </c>
      <c r="U11" s="1304" t="e">
        <f t="shared" si="1"/>
        <v>#N/A</v>
      </c>
      <c r="V11" s="1303" t="s">
        <v>5</v>
      </c>
      <c r="W11" s="1304" t="e">
        <f t="shared" si="2"/>
        <v>#N/A</v>
      </c>
      <c r="X11" s="1305"/>
      <c r="Y11" s="3575"/>
      <c r="Z11" s="997" t="str">
        <f t="shared" si="7"/>
        <v>容积率</v>
      </c>
      <c r="AA11" s="997" t="e">
        <f t="shared" si="3"/>
        <v>#N/A</v>
      </c>
      <c r="AB11" s="997" t="e">
        <f t="shared" si="4"/>
        <v>#N/A</v>
      </c>
      <c r="AC11" s="997" t="e">
        <f t="shared" si="5"/>
        <v>#N/A</v>
      </c>
    </row>
    <row r="12" spans="1:29" s="1060" customFormat="1" ht="15">
      <c r="A12" s="2214"/>
      <c r="B12" s="2220">
        <v>111</v>
      </c>
      <c r="C12" s="478"/>
      <c r="D12" s="488">
        <v>100</v>
      </c>
      <c r="E12" s="478"/>
      <c r="F12" s="235">
        <f>SUMIF(71:71,E12,72:72)-SUMIF(71:71,C12,72:72)+100</f>
        <v>100</v>
      </c>
      <c r="G12" s="833"/>
      <c r="H12" s="235">
        <f>SUMIF(71:71,G12,72:72)-SUMIF(71:71,C12,72:72)+100</f>
        <v>100</v>
      </c>
      <c r="I12" s="478"/>
      <c r="J12" s="235">
        <f>SUMIF(71:71,I12,72:72)-SUMIF(71:71,C12,72:72)+100</f>
        <v>100</v>
      </c>
      <c r="K12" s="531"/>
      <c r="L12" s="1743"/>
      <c r="M12" s="1640"/>
      <c r="N12" s="1640"/>
      <c r="O12" s="1640"/>
      <c r="P12" s="3623"/>
      <c r="Q12" s="818">
        <f t="shared" si="6"/>
        <v>111</v>
      </c>
      <c r="R12" s="1303" t="s">
        <v>5</v>
      </c>
      <c r="S12" s="1304">
        <f t="shared" si="0"/>
        <v>100</v>
      </c>
      <c r="T12" s="1303" t="s">
        <v>5</v>
      </c>
      <c r="U12" s="1304">
        <f t="shared" si="1"/>
        <v>100</v>
      </c>
      <c r="V12" s="1303" t="s">
        <v>5</v>
      </c>
      <c r="W12" s="1304">
        <f t="shared" si="2"/>
        <v>100</v>
      </c>
      <c r="X12" s="1305"/>
      <c r="Y12" s="3575"/>
      <c r="Z12" s="997">
        <f t="shared" si="7"/>
        <v>111</v>
      </c>
      <c r="AA12" s="997">
        <f>D12/F12</f>
        <v>1</v>
      </c>
      <c r="AB12" s="997">
        <f>D12/H12</f>
        <v>1</v>
      </c>
      <c r="AC12" s="997">
        <f>D12/J12</f>
        <v>1</v>
      </c>
    </row>
    <row r="13" spans="1:29" ht="15">
      <c r="A13" s="2214"/>
      <c r="B13" s="2220">
        <v>111</v>
      </c>
      <c r="C13" s="489"/>
      <c r="D13" s="490">
        <v>100</v>
      </c>
      <c r="E13" s="478"/>
      <c r="F13" s="235">
        <f>SUMIF(73:73,E13,74:74)-SUMIF(73:73,C13,74:74)+100</f>
        <v>100</v>
      </c>
      <c r="G13" s="833"/>
      <c r="H13" s="490">
        <f>SUMIF(73:73,G13,74:74)-SUMIF(73:73,C13,74:74)+100</f>
        <v>100</v>
      </c>
      <c r="I13" s="478"/>
      <c r="J13" s="490">
        <f>SUMIF(73:73,I13,74:74)-SUMIF(73:73,C13,74:74)+100</f>
        <v>100</v>
      </c>
      <c r="K13" s="531"/>
      <c r="L13" s="1749"/>
      <c r="M13" s="1742"/>
      <c r="N13" s="1742"/>
      <c r="O13" s="1742"/>
      <c r="P13" s="3623"/>
      <c r="Q13" s="818">
        <f t="shared" si="6"/>
        <v>111</v>
      </c>
      <c r="R13" s="1303" t="s">
        <v>5</v>
      </c>
      <c r="S13" s="1304">
        <f t="shared" si="0"/>
        <v>100</v>
      </c>
      <c r="T13" s="1303" t="s">
        <v>5</v>
      </c>
      <c r="U13" s="1304">
        <f t="shared" si="1"/>
        <v>100</v>
      </c>
      <c r="V13" s="1303" t="s">
        <v>5</v>
      </c>
      <c r="W13" s="1304">
        <f t="shared" si="2"/>
        <v>100</v>
      </c>
      <c r="X13" s="1305"/>
      <c r="Y13" s="3575"/>
      <c r="Z13" s="997">
        <f t="shared" si="7"/>
        <v>111</v>
      </c>
      <c r="AA13" s="997">
        <f t="shared" si="3"/>
        <v>1</v>
      </c>
      <c r="AB13" s="997">
        <f t="shared" si="4"/>
        <v>1</v>
      </c>
      <c r="AC13" s="997">
        <f t="shared" si="5"/>
        <v>1</v>
      </c>
    </row>
    <row r="14" spans="1:29" ht="15.75" thickBot="1">
      <c r="A14" s="2215"/>
      <c r="B14" s="2221">
        <v>111</v>
      </c>
      <c r="C14" s="495"/>
      <c r="D14" s="496">
        <v>100</v>
      </c>
      <c r="E14" s="834"/>
      <c r="F14" s="496">
        <f>SUMIF(75:75,E14,76:76)-SUMIF(75:75,C14,76:76)+100</f>
        <v>100</v>
      </c>
      <c r="G14" s="833"/>
      <c r="H14" s="496">
        <f>SUMIF(75:75,G14,76:76)-SUMIF(75:75,C14,76:76)+100</f>
        <v>100</v>
      </c>
      <c r="I14" s="478"/>
      <c r="J14" s="496">
        <f>SUMIF(75:75,I14,76:76)-SUMIF(75:75,C14,76:76)+100</f>
        <v>100</v>
      </c>
      <c r="K14" s="531"/>
      <c r="L14" s="1749"/>
      <c r="M14" s="1742"/>
      <c r="N14" s="1742"/>
      <c r="O14" s="1742"/>
      <c r="P14" s="3623"/>
      <c r="Q14" s="818">
        <f t="shared" si="6"/>
        <v>111</v>
      </c>
      <c r="R14" s="1303" t="s">
        <v>5</v>
      </c>
      <c r="S14" s="1304">
        <f t="shared" si="0"/>
        <v>100</v>
      </c>
      <c r="T14" s="1303" t="s">
        <v>5</v>
      </c>
      <c r="U14" s="1304">
        <f t="shared" si="1"/>
        <v>100</v>
      </c>
      <c r="V14" s="1303" t="s">
        <v>5</v>
      </c>
      <c r="W14" s="1304">
        <f t="shared" si="2"/>
        <v>100</v>
      </c>
      <c r="X14" s="1305"/>
      <c r="Y14" s="3575"/>
      <c r="Z14" s="997">
        <f t="shared" si="7"/>
        <v>111</v>
      </c>
      <c r="AA14" s="997">
        <f t="shared" si="3"/>
        <v>1</v>
      </c>
      <c r="AB14" s="997">
        <f t="shared" si="4"/>
        <v>1</v>
      </c>
      <c r="AC14" s="997">
        <f t="shared" si="5"/>
        <v>1</v>
      </c>
    </row>
    <row r="15" spans="1:29" ht="71.25">
      <c r="A15" s="2207" t="s">
        <v>2036</v>
      </c>
      <c r="B15" s="497" t="s">
        <v>491</v>
      </c>
      <c r="C15" s="498" t="str">
        <f>估价对象房地状况!C5</f>
        <v>估价对象位于XX商圈，周边办公楼项目较多，入驻率高，办公集聚程度较好</v>
      </c>
      <c r="D15" s="499">
        <v>100</v>
      </c>
      <c r="E15" s="502"/>
      <c r="F15" s="499">
        <f>SUMIF(77:77,E16,78:78)-SUMIF(77:77,C16,78:78)+100</f>
        <v>100</v>
      </c>
      <c r="G15" s="500"/>
      <c r="H15" s="499">
        <f>SUMIF(77:77,G16,78:78)-SUMIF(77:77,C16,78:78)+100</f>
        <v>100</v>
      </c>
      <c r="I15" s="500"/>
      <c r="J15" s="499">
        <f>SUMIF(77:77,I16,78:78)-SUMIF(77:77,C16,78:78)+100</f>
        <v>100</v>
      </c>
      <c r="K15" s="822"/>
      <c r="L15" s="1749"/>
      <c r="M15" s="1742"/>
      <c r="N15" s="1742"/>
      <c r="O15" s="1742"/>
      <c r="P15" s="3625" t="s">
        <v>489</v>
      </c>
      <c r="Q15" s="1306" t="str">
        <f t="shared" si="6"/>
        <v>办公集聚程度</v>
      </c>
      <c r="R15" s="1307" t="s">
        <v>5</v>
      </c>
      <c r="S15" s="1308">
        <f t="shared" si="0"/>
        <v>100</v>
      </c>
      <c r="T15" s="1307" t="s">
        <v>5</v>
      </c>
      <c r="U15" s="1308">
        <f t="shared" si="1"/>
        <v>100</v>
      </c>
      <c r="V15" s="1307" t="s">
        <v>5</v>
      </c>
      <c r="W15" s="1308">
        <f t="shared" si="2"/>
        <v>100</v>
      </c>
      <c r="X15" s="1302"/>
      <c r="Y15" s="3625" t="s">
        <v>489</v>
      </c>
      <c r="Z15" s="1309" t="str">
        <f t="shared" si="7"/>
        <v>办公集聚程度</v>
      </c>
      <c r="AA15" s="1309">
        <f t="shared" si="3"/>
        <v>1</v>
      </c>
      <c r="AB15" s="1309">
        <f t="shared" si="4"/>
        <v>1</v>
      </c>
      <c r="AC15" s="1309">
        <f t="shared" si="5"/>
        <v>1</v>
      </c>
    </row>
    <row r="16" spans="1:29" ht="15">
      <c r="A16" s="482"/>
      <c r="B16" s="503"/>
      <c r="C16" s="504"/>
      <c r="D16" s="505"/>
      <c r="E16" s="526"/>
      <c r="F16" s="505"/>
      <c r="G16" s="504"/>
      <c r="H16" s="509"/>
      <c r="I16" s="526"/>
      <c r="J16" s="505"/>
      <c r="K16" s="823"/>
      <c r="L16" s="1749"/>
      <c r="M16" s="1742"/>
      <c r="N16" s="1742"/>
      <c r="O16" s="1742"/>
      <c r="P16" s="3626"/>
      <c r="Q16" s="1306"/>
      <c r="R16" s="1307"/>
      <c r="S16" s="1308"/>
      <c r="T16" s="1307"/>
      <c r="U16" s="1308"/>
      <c r="V16" s="1307"/>
      <c r="W16" s="1308"/>
      <c r="X16" s="1302"/>
      <c r="Y16" s="3626"/>
      <c r="Z16" s="1309"/>
      <c r="AA16" s="1309">
        <v>1</v>
      </c>
      <c r="AB16" s="1309">
        <v>1</v>
      </c>
      <c r="AC16" s="1309">
        <v>1</v>
      </c>
    </row>
    <row r="17" spans="1:29" ht="85.5">
      <c r="A17" s="482"/>
      <c r="B17" s="510" t="s">
        <v>262</v>
      </c>
      <c r="C17" s="523" t="str">
        <f>估价对象房地状况!C6</f>
        <v>估价对象周边道路状况、公共交通通达情况、停车便捷程度，综合评价交通便捷度较好</v>
      </c>
      <c r="D17" s="509">
        <v>100</v>
      </c>
      <c r="E17" s="514"/>
      <c r="F17" s="509">
        <f>SUMIF(79:79,E18,80:80)-SUMIF(79:79,C18,80:80)+100</f>
        <v>100</v>
      </c>
      <c r="G17" s="512"/>
      <c r="H17" s="515">
        <f>SUMIF(79:79,G18,80:80)-SUMIF(79:79,C18,80:80)+100</f>
        <v>100</v>
      </c>
      <c r="I17" s="512"/>
      <c r="J17" s="515">
        <f>SUMIF(79:79,I18,80:80)-SUMIF(79:79,C18,80:80)+100</f>
        <v>100</v>
      </c>
      <c r="K17" s="822"/>
      <c r="L17" s="1749"/>
      <c r="M17" s="1742"/>
      <c r="N17" s="1742"/>
      <c r="O17" s="1742"/>
      <c r="P17" s="3626"/>
      <c r="Q17" s="1306" t="str">
        <f>B17</f>
        <v>交通便捷度</v>
      </c>
      <c r="R17" s="1307" t="s">
        <v>5</v>
      </c>
      <c r="S17" s="1308">
        <f>F17</f>
        <v>100</v>
      </c>
      <c r="T17" s="1307" t="s">
        <v>5</v>
      </c>
      <c r="U17" s="1308">
        <f>H17</f>
        <v>100</v>
      </c>
      <c r="V17" s="1307" t="s">
        <v>5</v>
      </c>
      <c r="W17" s="1308">
        <f>J17</f>
        <v>100</v>
      </c>
      <c r="X17" s="1302"/>
      <c r="Y17" s="3626"/>
      <c r="Z17" s="1309" t="str">
        <f>Q17</f>
        <v>交通便捷度</v>
      </c>
      <c r="AA17" s="1309">
        <f t="shared" si="3"/>
        <v>1</v>
      </c>
      <c r="AB17" s="1309">
        <f t="shared" si="4"/>
        <v>1</v>
      </c>
      <c r="AC17" s="1309">
        <f t="shared" si="5"/>
        <v>1</v>
      </c>
    </row>
    <row r="18" spans="1:29" ht="15">
      <c r="A18" s="482"/>
      <c r="B18" s="516"/>
      <c r="C18" s="517"/>
      <c r="D18" s="509"/>
      <c r="E18" s="519"/>
      <c r="F18" s="509"/>
      <c r="G18" s="518"/>
      <c r="H18" s="505"/>
      <c r="I18" s="518"/>
      <c r="J18" s="505"/>
      <c r="K18" s="823"/>
      <c r="L18" s="1749"/>
      <c r="M18" s="1742"/>
      <c r="N18" s="1742"/>
      <c r="O18" s="1742"/>
      <c r="P18" s="3626"/>
      <c r="Q18" s="1306"/>
      <c r="R18" s="1307"/>
      <c r="S18" s="1308"/>
      <c r="T18" s="1307"/>
      <c r="U18" s="1308"/>
      <c r="V18" s="1307"/>
      <c r="W18" s="1308"/>
      <c r="X18" s="1302"/>
      <c r="Y18" s="3626"/>
      <c r="Z18" s="1309"/>
      <c r="AA18" s="1309">
        <v>1</v>
      </c>
      <c r="AB18" s="1309">
        <v>1</v>
      </c>
      <c r="AC18" s="1309">
        <v>1</v>
      </c>
    </row>
    <row r="19" spans="1:29" ht="42.75">
      <c r="A19" s="482"/>
      <c r="B19" s="2062" t="s">
        <v>1829</v>
      </c>
      <c r="C19" s="523" t="str">
        <f>估价对象房地状况!C7</f>
        <v>估价对象所在区域公共配套设施齐备情况</v>
      </c>
      <c r="D19" s="515">
        <v>100</v>
      </c>
      <c r="E19" s="522"/>
      <c r="F19" s="515">
        <f>SUMIF(81:81,E20,82:82)-SUMIF(81:81,C20,82:82)+100</f>
        <v>100</v>
      </c>
      <c r="G19" s="520"/>
      <c r="H19" s="509">
        <f>SUMIF(81:81,G20,82:82)-SUMIF(81:81,C20,82:82)+100</f>
        <v>100</v>
      </c>
      <c r="I19" s="520"/>
      <c r="J19" s="509">
        <f>SUMIF(81:81,I20,82:82)-SUMIF(81:81,C20,82:82)+100</f>
        <v>100</v>
      </c>
      <c r="K19" s="822"/>
      <c r="L19" s="1749"/>
      <c r="M19" s="1742"/>
      <c r="N19" s="1742"/>
      <c r="O19" s="1742"/>
      <c r="P19" s="3626"/>
      <c r="Q19" s="1306" t="str">
        <f>B19</f>
        <v>公共配套设施</v>
      </c>
      <c r="R19" s="1307" t="s">
        <v>5</v>
      </c>
      <c r="S19" s="1308">
        <f>F19</f>
        <v>100</v>
      </c>
      <c r="T19" s="1307" t="s">
        <v>5</v>
      </c>
      <c r="U19" s="1308">
        <f>H19</f>
        <v>100</v>
      </c>
      <c r="V19" s="1307" t="s">
        <v>5</v>
      </c>
      <c r="W19" s="1308">
        <f>J19</f>
        <v>100</v>
      </c>
      <c r="X19" s="1302"/>
      <c r="Y19" s="3626"/>
      <c r="Z19" s="1309" t="str">
        <f>Q19</f>
        <v>公共配套设施</v>
      </c>
      <c r="AA19" s="1309">
        <f t="shared" si="3"/>
        <v>1</v>
      </c>
      <c r="AB19" s="1309">
        <f t="shared" si="4"/>
        <v>1</v>
      </c>
      <c r="AC19" s="1309">
        <f t="shared" si="5"/>
        <v>1</v>
      </c>
    </row>
    <row r="20" spans="1:29" ht="15">
      <c r="A20" s="482"/>
      <c r="B20" s="516"/>
      <c r="C20" s="504"/>
      <c r="D20" s="505"/>
      <c r="E20" s="508"/>
      <c r="F20" s="505"/>
      <c r="G20" s="506"/>
      <c r="H20" s="505"/>
      <c r="I20" s="506"/>
      <c r="J20" s="505"/>
      <c r="K20" s="823"/>
      <c r="L20" s="1749"/>
      <c r="M20" s="1742"/>
      <c r="N20" s="1742"/>
      <c r="O20" s="1742"/>
      <c r="P20" s="3626"/>
      <c r="Q20" s="1306"/>
      <c r="R20" s="1307"/>
      <c r="S20" s="1308"/>
      <c r="T20" s="1307"/>
      <c r="U20" s="1308"/>
      <c r="V20" s="1307"/>
      <c r="W20" s="1308"/>
      <c r="X20" s="1302"/>
      <c r="Y20" s="3626"/>
      <c r="Z20" s="1309"/>
      <c r="AA20" s="1309">
        <v>1</v>
      </c>
      <c r="AB20" s="1309">
        <v>1</v>
      </c>
      <c r="AC20" s="1309">
        <v>1</v>
      </c>
    </row>
    <row r="21" spans="1:29" ht="28.5">
      <c r="A21" s="482"/>
      <c r="B21" s="2050" t="s">
        <v>1841</v>
      </c>
      <c r="C21" s="523" t="str">
        <f>估价对象房地状况!C8</f>
        <v>估价对象所在区域基础设施水平</v>
      </c>
      <c r="D21" s="515">
        <v>100</v>
      </c>
      <c r="E21" s="522"/>
      <c r="F21" s="515">
        <f>SUMIF(83:83,E22,84:84)-SUMIF(83:83,C22,84:84)+100</f>
        <v>100</v>
      </c>
      <c r="G21" s="520"/>
      <c r="H21" s="515">
        <f>SUMIF(83:83,G22,84:84)-SUMIF(83:83,C22,84:84)+100</f>
        <v>100</v>
      </c>
      <c r="I21" s="520"/>
      <c r="J21" s="515">
        <f>SUMIF(83:83,I22,84:84)-SUMIF(83:83,C22,84:84)+100</f>
        <v>100</v>
      </c>
      <c r="K21" s="822"/>
      <c r="L21" s="1749"/>
      <c r="M21" s="1742"/>
      <c r="N21" s="1742"/>
      <c r="O21" s="1742"/>
      <c r="P21" s="3626"/>
      <c r="Q21" s="1306" t="str">
        <f>B21</f>
        <v>基础设施水平</v>
      </c>
      <c r="R21" s="1307" t="s">
        <v>5</v>
      </c>
      <c r="S21" s="1308">
        <f>F21</f>
        <v>100</v>
      </c>
      <c r="T21" s="1307" t="s">
        <v>5</v>
      </c>
      <c r="U21" s="1308">
        <f>H21</f>
        <v>100</v>
      </c>
      <c r="V21" s="1307" t="s">
        <v>5</v>
      </c>
      <c r="W21" s="1308">
        <f>J21</f>
        <v>100</v>
      </c>
      <c r="X21" s="1302"/>
      <c r="Y21" s="3626"/>
      <c r="Z21" s="1309" t="str">
        <f>Q21</f>
        <v>基础设施水平</v>
      </c>
      <c r="AA21" s="1309">
        <f>D21/F21</f>
        <v>1</v>
      </c>
      <c r="AB21" s="1309">
        <f>D21/H21</f>
        <v>1</v>
      </c>
      <c r="AC21" s="1309">
        <f>D21/J21</f>
        <v>1</v>
      </c>
    </row>
    <row r="22" spans="1:29" ht="15">
      <c r="A22" s="482"/>
      <c r="B22" s="528"/>
      <c r="C22" s="517"/>
      <c r="D22" s="505"/>
      <c r="E22" s="526"/>
      <c r="F22" s="505"/>
      <c r="G22" s="504"/>
      <c r="H22" s="505"/>
      <c r="I22" s="504"/>
      <c r="J22" s="505"/>
      <c r="K22" s="2061"/>
      <c r="L22" s="1749"/>
      <c r="M22" s="1742"/>
      <c r="N22" s="1742"/>
      <c r="O22" s="1742"/>
      <c r="P22" s="3626"/>
      <c r="Q22" s="1306"/>
      <c r="R22" s="1307"/>
      <c r="S22" s="1308"/>
      <c r="T22" s="1307"/>
      <c r="U22" s="1308"/>
      <c r="V22" s="1307"/>
      <c r="W22" s="1308"/>
      <c r="X22" s="1302"/>
      <c r="Y22" s="3626"/>
      <c r="Z22" s="1309"/>
      <c r="AA22" s="1309">
        <v>1</v>
      </c>
      <c r="AB22" s="1309">
        <v>1</v>
      </c>
      <c r="AC22" s="1309">
        <v>1</v>
      </c>
    </row>
    <row r="23" spans="1:29" ht="57">
      <c r="A23" s="482"/>
      <c r="B23" s="510" t="s">
        <v>718</v>
      </c>
      <c r="C23" s="523" t="str">
        <f>估价对象房地状况!C9</f>
        <v>区域自然环境：；人文环境；综合评价环境状况一般</v>
      </c>
      <c r="D23" s="509">
        <v>100</v>
      </c>
      <c r="E23" s="514"/>
      <c r="F23" s="509">
        <f>SUMIF(85:85,E24,86:86)-SUMIF(85:85,C24,86:86)+100</f>
        <v>100</v>
      </c>
      <c r="G23" s="512"/>
      <c r="H23" s="509">
        <f>SUMIF(85:85,G24,86:86)-SUMIF(85:85,C24,86:86)+100</f>
        <v>100</v>
      </c>
      <c r="I23" s="512"/>
      <c r="J23" s="509">
        <f>SUMIF(85:85,I24,86:86)-SUMIF(85:85,C24,86:86)+100</f>
        <v>100</v>
      </c>
      <c r="K23" s="822"/>
      <c r="L23" s="1749"/>
      <c r="M23" s="1742"/>
      <c r="N23" s="1742"/>
      <c r="O23" s="1742"/>
      <c r="P23" s="3626"/>
      <c r="Q23" s="1306" t="str">
        <f>B23</f>
        <v>环境质量</v>
      </c>
      <c r="R23" s="1307" t="s">
        <v>5</v>
      </c>
      <c r="S23" s="1308">
        <f>F23</f>
        <v>100</v>
      </c>
      <c r="T23" s="1307" t="s">
        <v>5</v>
      </c>
      <c r="U23" s="1308">
        <f>H23</f>
        <v>100</v>
      </c>
      <c r="V23" s="1307" t="s">
        <v>5</v>
      </c>
      <c r="W23" s="1308">
        <f>J23</f>
        <v>100</v>
      </c>
      <c r="X23" s="1302"/>
      <c r="Y23" s="3626"/>
      <c r="Z23" s="1309" t="str">
        <f>Q23</f>
        <v>环境质量</v>
      </c>
      <c r="AA23" s="1309">
        <f t="shared" si="3"/>
        <v>1</v>
      </c>
      <c r="AB23" s="1309">
        <f t="shared" si="4"/>
        <v>1</v>
      </c>
      <c r="AC23" s="1309">
        <f t="shared" si="5"/>
        <v>1</v>
      </c>
    </row>
    <row r="24" spans="1:29" ht="15">
      <c r="A24" s="482"/>
      <c r="B24" s="528"/>
      <c r="C24" s="504"/>
      <c r="D24" s="505"/>
      <c r="E24" s="508"/>
      <c r="F24" s="505"/>
      <c r="G24" s="506"/>
      <c r="H24" s="505"/>
      <c r="I24" s="506"/>
      <c r="J24" s="505"/>
      <c r="K24" s="823"/>
      <c r="L24" s="1749"/>
      <c r="M24" s="1742"/>
      <c r="N24" s="1742"/>
      <c r="O24" s="1742"/>
      <c r="P24" s="3626"/>
      <c r="Q24" s="1306"/>
      <c r="R24" s="1307"/>
      <c r="S24" s="1308"/>
      <c r="T24" s="1307"/>
      <c r="U24" s="1308"/>
      <c r="V24" s="1307"/>
      <c r="W24" s="1308"/>
      <c r="X24" s="1302"/>
      <c r="Y24" s="3626"/>
      <c r="Z24" s="1309"/>
      <c r="AA24" s="1309">
        <v>1</v>
      </c>
      <c r="AB24" s="1309">
        <v>1</v>
      </c>
      <c r="AC24" s="1309">
        <v>1</v>
      </c>
    </row>
    <row r="25" spans="1:29" ht="27">
      <c r="A25" s="466"/>
      <c r="B25" s="510" t="s">
        <v>497</v>
      </c>
      <c r="C25" s="835"/>
      <c r="D25" s="490">
        <v>100</v>
      </c>
      <c r="E25" s="489"/>
      <c r="F25" s="490">
        <f>SUMIF(87:87,E26,88:88)-SUMIF(87:87,C26,88:88)+100</f>
        <v>100</v>
      </c>
      <c r="G25" s="835"/>
      <c r="H25" s="490">
        <f>SUMIF(87:87,G26,88:88)-SUMIF(87:87,C26,88:88)+100</f>
        <v>100</v>
      </c>
      <c r="I25" s="489"/>
      <c r="J25" s="490">
        <f>SUMIF(87:87,I26,88:88)-SUMIF(87:87,C26,88:88)+100</f>
        <v>100</v>
      </c>
      <c r="K25" s="822"/>
      <c r="L25" s="1749"/>
      <c r="M25" s="1742"/>
      <c r="N25" s="1742"/>
      <c r="O25" s="1742"/>
      <c r="P25" s="3626"/>
      <c r="Q25" s="1306" t="str">
        <f>B25</f>
        <v>毗邻道路的类型与等级</v>
      </c>
      <c r="R25" s="1307" t="s">
        <v>5</v>
      </c>
      <c r="S25" s="1308">
        <f>F25</f>
        <v>100</v>
      </c>
      <c r="T25" s="1307" t="s">
        <v>5</v>
      </c>
      <c r="U25" s="1308">
        <f>H25</f>
        <v>100</v>
      </c>
      <c r="V25" s="1307" t="s">
        <v>5</v>
      </c>
      <c r="W25" s="1308">
        <f>J25</f>
        <v>100</v>
      </c>
      <c r="X25" s="1302"/>
      <c r="Y25" s="3626"/>
      <c r="Z25" s="1309" t="str">
        <f>Q25</f>
        <v>毗邻道路的类型与等级</v>
      </c>
      <c r="AA25" s="1309">
        <f t="shared" si="3"/>
        <v>1</v>
      </c>
      <c r="AB25" s="1309">
        <f t="shared" si="4"/>
        <v>1</v>
      </c>
      <c r="AC25" s="1309">
        <f t="shared" si="5"/>
        <v>1</v>
      </c>
    </row>
    <row r="26" spans="1:29" ht="15">
      <c r="A26" s="466"/>
      <c r="B26" s="516"/>
      <c r="C26" s="530"/>
      <c r="D26" s="490"/>
      <c r="E26" s="532"/>
      <c r="F26" s="490"/>
      <c r="G26" s="530"/>
      <c r="H26" s="490"/>
      <c r="I26" s="532"/>
      <c r="J26" s="490"/>
      <c r="K26" s="823"/>
      <c r="L26" s="1749"/>
      <c r="M26" s="1742"/>
      <c r="N26" s="1742"/>
      <c r="O26" s="1742"/>
      <c r="P26" s="3626"/>
      <c r="Q26" s="1306"/>
      <c r="R26" s="1307"/>
      <c r="S26" s="1308"/>
      <c r="T26" s="1307"/>
      <c r="U26" s="1308"/>
      <c r="V26" s="1307"/>
      <c r="W26" s="1308"/>
      <c r="X26" s="1302"/>
      <c r="Y26" s="3626"/>
      <c r="Z26" s="1309"/>
      <c r="AA26" s="1309">
        <v>1</v>
      </c>
      <c r="AB26" s="1309">
        <v>1</v>
      </c>
      <c r="AC26" s="1309">
        <v>1</v>
      </c>
    </row>
    <row r="27" spans="1:29" ht="15">
      <c r="A27" s="482"/>
      <c r="B27" s="516" t="s">
        <v>701</v>
      </c>
      <c r="C27" s="530"/>
      <c r="D27" s="490">
        <v>100</v>
      </c>
      <c r="E27" s="532"/>
      <c r="F27" s="490">
        <f>SUMIF(89:89,E27,90:90)-SUMIF(89:89,C27,90:90)+100</f>
        <v>100</v>
      </c>
      <c r="G27" s="530"/>
      <c r="H27" s="490">
        <f>SUMIF(89:89,G27,90:90)-SUMIF(89:89,C27,90:90)+100</f>
        <v>100</v>
      </c>
      <c r="I27" s="532"/>
      <c r="J27" s="490">
        <f>SUMIF(89:89,I27,90:90)-SUMIF(89:89,C27,90:90)+100</f>
        <v>100</v>
      </c>
      <c r="K27" s="533"/>
      <c r="L27" s="1749"/>
      <c r="M27" s="1742"/>
      <c r="N27" s="1742"/>
      <c r="O27" s="1742"/>
      <c r="P27" s="3626"/>
      <c r="Q27" s="1306" t="str">
        <f t="shared" ref="Q27:Q47" si="8">B27</f>
        <v>楼层</v>
      </c>
      <c r="R27" s="1307" t="s">
        <v>5</v>
      </c>
      <c r="S27" s="1308">
        <f>F27</f>
        <v>100</v>
      </c>
      <c r="T27" s="1307" t="s">
        <v>5</v>
      </c>
      <c r="U27" s="1308">
        <f>H27</f>
        <v>100</v>
      </c>
      <c r="V27" s="1307" t="s">
        <v>5</v>
      </c>
      <c r="W27" s="1308">
        <f>J27</f>
        <v>100</v>
      </c>
      <c r="X27" s="1302"/>
      <c r="Y27" s="3626"/>
      <c r="Z27" s="1309" t="str">
        <f>Q27</f>
        <v>楼层</v>
      </c>
      <c r="AA27" s="1309">
        <f t="shared" si="3"/>
        <v>1</v>
      </c>
      <c r="AB27" s="1309">
        <f t="shared" si="4"/>
        <v>1</v>
      </c>
      <c r="AC27" s="1309">
        <f t="shared" si="5"/>
        <v>1</v>
      </c>
    </row>
    <row r="28" spans="1:29" s="1060" customFormat="1" ht="15">
      <c r="A28" s="486"/>
      <c r="B28" s="510" t="s">
        <v>719</v>
      </c>
      <c r="C28" s="836"/>
      <c r="D28" s="516">
        <v>100</v>
      </c>
      <c r="E28" s="825"/>
      <c r="F28" s="516">
        <f>SUMIF(91:91,E28,92:92)-SUMIF(91:91,C28,92:92)+100</f>
        <v>100</v>
      </c>
      <c r="G28" s="836"/>
      <c r="H28" s="516">
        <f>SUMIF(91:91,G28,92:92)-SUMIF(91:91,C28,92:92)+100</f>
        <v>100</v>
      </c>
      <c r="I28" s="825"/>
      <c r="J28" s="516">
        <f>SUMIF(91:91,I28,92:92)-SUMIF(91:91,C28,92:92)+100</f>
        <v>100</v>
      </c>
      <c r="K28" s="533"/>
      <c r="L28" s="1743"/>
      <c r="M28" s="1640"/>
      <c r="N28" s="1640"/>
      <c r="O28" s="1640"/>
      <c r="P28" s="3626"/>
      <c r="Q28" s="818" t="str">
        <f t="shared" si="8"/>
        <v>朝向</v>
      </c>
      <c r="R28" s="1303" t="s">
        <v>5</v>
      </c>
      <c r="S28" s="1304">
        <f>F28</f>
        <v>100</v>
      </c>
      <c r="T28" s="1303" t="s">
        <v>5</v>
      </c>
      <c r="U28" s="1304">
        <f>H28</f>
        <v>100</v>
      </c>
      <c r="V28" s="1303" t="s">
        <v>5</v>
      </c>
      <c r="W28" s="1304">
        <f>J28</f>
        <v>100</v>
      </c>
      <c r="X28" s="1305"/>
      <c r="Y28" s="3626"/>
      <c r="Z28" s="997" t="str">
        <f>Q28</f>
        <v>朝向</v>
      </c>
      <c r="AA28" s="1309">
        <f>D28/F28</f>
        <v>1</v>
      </c>
      <c r="AB28" s="1309">
        <f>D28/H28</f>
        <v>1</v>
      </c>
      <c r="AC28" s="1309">
        <f>D28/J28</f>
        <v>1</v>
      </c>
    </row>
    <row r="29" spans="1:29" ht="15">
      <c r="A29" s="482"/>
      <c r="B29" s="534">
        <v>111</v>
      </c>
      <c r="C29" s="835"/>
      <c r="D29" s="490">
        <v>100</v>
      </c>
      <c r="E29" s="478"/>
      <c r="F29" s="490">
        <f>SUMIF(93:93,E29,94:94)-SUMIF(93:93,C29,94:94)+100</f>
        <v>100</v>
      </c>
      <c r="G29" s="833"/>
      <c r="H29" s="490">
        <f>SUMIF(93:93,G29,94:94)-SUMIF(93:93,C29,94:94)+100</f>
        <v>100</v>
      </c>
      <c r="I29" s="478"/>
      <c r="J29" s="490">
        <f>SUMIF(93:93,I29,94:94)-SUMIF(93:93,C29,94:94)+100</f>
        <v>100</v>
      </c>
      <c r="K29" s="531"/>
      <c r="L29" s="1749"/>
      <c r="M29" s="1742"/>
      <c r="N29" s="1742"/>
      <c r="O29" s="1742"/>
      <c r="P29" s="3626"/>
      <c r="Q29" s="1306">
        <f t="shared" si="8"/>
        <v>111</v>
      </c>
      <c r="R29" s="1307" t="s">
        <v>5</v>
      </c>
      <c r="S29" s="1308">
        <f t="shared" ref="S29:S47" si="9">F29</f>
        <v>100</v>
      </c>
      <c r="T29" s="1307" t="s">
        <v>5</v>
      </c>
      <c r="U29" s="1308">
        <f t="shared" ref="U29:U47" si="10">H29</f>
        <v>100</v>
      </c>
      <c r="V29" s="1307" t="s">
        <v>5</v>
      </c>
      <c r="W29" s="1308">
        <f t="shared" ref="W29:W47" si="11">J29</f>
        <v>100</v>
      </c>
      <c r="X29" s="1302"/>
      <c r="Y29" s="3626"/>
      <c r="Z29" s="1309">
        <f t="shared" ref="Z29:Z47" si="12">Q29</f>
        <v>111</v>
      </c>
      <c r="AA29" s="1309">
        <f t="shared" si="3"/>
        <v>1</v>
      </c>
      <c r="AB29" s="1309">
        <f t="shared" si="4"/>
        <v>1</v>
      </c>
      <c r="AC29" s="1309">
        <f t="shared" si="5"/>
        <v>1</v>
      </c>
    </row>
    <row r="30" spans="1:29" ht="15">
      <c r="A30" s="482"/>
      <c r="B30" s="534">
        <v>111</v>
      </c>
      <c r="C30" s="835"/>
      <c r="D30" s="490">
        <v>100</v>
      </c>
      <c r="E30" s="478"/>
      <c r="F30" s="490">
        <f>SUMIF(95:95,E30,96:96)-SUMIF(95:95,C30,96:96)+100</f>
        <v>100</v>
      </c>
      <c r="G30" s="833"/>
      <c r="H30" s="490">
        <f>SUMIF(95:95,G30,96:96)-SUMIF(95:95,C30,96:96)+100</f>
        <v>100</v>
      </c>
      <c r="I30" s="478"/>
      <c r="J30" s="490">
        <f>SUMIF(95:95,I30,96:96)-SUMIF(95:95,C30,96:96)+100</f>
        <v>100</v>
      </c>
      <c r="K30" s="531"/>
      <c r="L30" s="1749"/>
      <c r="M30" s="1742"/>
      <c r="N30" s="1742"/>
      <c r="O30" s="1742"/>
      <c r="P30" s="3626"/>
      <c r="Q30" s="1306">
        <f t="shared" si="8"/>
        <v>111</v>
      </c>
      <c r="R30" s="1307" t="s">
        <v>5</v>
      </c>
      <c r="S30" s="1308">
        <f t="shared" si="9"/>
        <v>100</v>
      </c>
      <c r="T30" s="1307" t="s">
        <v>5</v>
      </c>
      <c r="U30" s="1308">
        <f t="shared" si="10"/>
        <v>100</v>
      </c>
      <c r="V30" s="1307" t="s">
        <v>5</v>
      </c>
      <c r="W30" s="1308">
        <f t="shared" si="11"/>
        <v>100</v>
      </c>
      <c r="X30" s="1302"/>
      <c r="Y30" s="3626"/>
      <c r="Z30" s="1309">
        <f t="shared" si="12"/>
        <v>111</v>
      </c>
      <c r="AA30" s="1309">
        <f t="shared" si="3"/>
        <v>1</v>
      </c>
      <c r="AB30" s="1309">
        <f t="shared" si="4"/>
        <v>1</v>
      </c>
      <c r="AC30" s="1309">
        <f t="shared" si="5"/>
        <v>1</v>
      </c>
    </row>
    <row r="31" spans="1:29" ht="15">
      <c r="A31" s="482"/>
      <c r="B31" s="534">
        <v>111</v>
      </c>
      <c r="C31" s="835"/>
      <c r="D31" s="490">
        <v>100</v>
      </c>
      <c r="E31" s="478"/>
      <c r="F31" s="490">
        <f>SUMIF(97:97,E31,98:98)-SUMIF(97:97,C31,98:98)+100</f>
        <v>100</v>
      </c>
      <c r="G31" s="833"/>
      <c r="H31" s="490">
        <f>SUMIF(97:97,G31,98:98)-SUMIF(97:97,C31,98:98)+100</f>
        <v>100</v>
      </c>
      <c r="I31" s="478"/>
      <c r="J31" s="490">
        <f>SUMIF(97:97,I31,98:98)-SUMIF(97:97,C31,98:98)+100</f>
        <v>100</v>
      </c>
      <c r="K31" s="531"/>
      <c r="L31" s="1749"/>
      <c r="M31" s="1742"/>
      <c r="N31" s="1742"/>
      <c r="O31" s="1742"/>
      <c r="P31" s="3626"/>
      <c r="Q31" s="1306">
        <f t="shared" si="8"/>
        <v>111</v>
      </c>
      <c r="R31" s="1307" t="s">
        <v>5</v>
      </c>
      <c r="S31" s="1308">
        <f t="shared" si="9"/>
        <v>100</v>
      </c>
      <c r="T31" s="1307" t="s">
        <v>5</v>
      </c>
      <c r="U31" s="1308">
        <f t="shared" si="10"/>
        <v>100</v>
      </c>
      <c r="V31" s="1307" t="s">
        <v>5</v>
      </c>
      <c r="W31" s="1308">
        <f t="shared" si="11"/>
        <v>100</v>
      </c>
      <c r="X31" s="1302"/>
      <c r="Y31" s="3626"/>
      <c r="Z31" s="1309">
        <f t="shared" si="12"/>
        <v>111</v>
      </c>
      <c r="AA31" s="1309">
        <f t="shared" si="3"/>
        <v>1</v>
      </c>
      <c r="AB31" s="1309">
        <f t="shared" si="4"/>
        <v>1</v>
      </c>
      <c r="AC31" s="1309">
        <f t="shared" si="5"/>
        <v>1</v>
      </c>
    </row>
    <row r="32" spans="1:29" ht="15.75" thickBot="1">
      <c r="A32" s="493"/>
      <c r="B32" s="837">
        <v>111</v>
      </c>
      <c r="C32" s="838"/>
      <c r="D32" s="496">
        <v>100</v>
      </c>
      <c r="E32" s="834"/>
      <c r="F32" s="496">
        <f>SUMIF(99:99,E32,100:100)-SUMIF(99:99,C32,100:100)+100</f>
        <v>100</v>
      </c>
      <c r="G32" s="833"/>
      <c r="H32" s="496">
        <f>SUMIF(99:99,G32,100:100)-SUMIF(99:99,C32,100:100)+100</f>
        <v>100</v>
      </c>
      <c r="I32" s="478"/>
      <c r="J32" s="496">
        <f>SUMIF(99:99,I32,100:100)-SUMIF(99:99,C32,100:100)+100</f>
        <v>100</v>
      </c>
      <c r="K32" s="531"/>
      <c r="L32" s="1749"/>
      <c r="M32" s="1742"/>
      <c r="N32" s="1742"/>
      <c r="O32" s="1742"/>
      <c r="P32" s="3626"/>
      <c r="Q32" s="1306">
        <f t="shared" si="8"/>
        <v>111</v>
      </c>
      <c r="R32" s="1307" t="s">
        <v>5</v>
      </c>
      <c r="S32" s="1308">
        <f t="shared" si="9"/>
        <v>100</v>
      </c>
      <c r="T32" s="1307" t="s">
        <v>5</v>
      </c>
      <c r="U32" s="1308">
        <f t="shared" si="10"/>
        <v>100</v>
      </c>
      <c r="V32" s="1307" t="s">
        <v>5</v>
      </c>
      <c r="W32" s="1308">
        <f t="shared" si="11"/>
        <v>100</v>
      </c>
      <c r="X32" s="1302"/>
      <c r="Y32" s="3626"/>
      <c r="Z32" s="1309">
        <f t="shared" si="12"/>
        <v>111</v>
      </c>
      <c r="AA32" s="1309">
        <f t="shared" si="3"/>
        <v>1</v>
      </c>
      <c r="AB32" s="1309">
        <f t="shared" si="4"/>
        <v>1</v>
      </c>
      <c r="AC32" s="1309">
        <f t="shared" si="5"/>
        <v>1</v>
      </c>
    </row>
    <row r="33" spans="1:29" ht="15">
      <c r="A33" s="2204" t="s">
        <v>2037</v>
      </c>
      <c r="B33" s="156" t="s">
        <v>720</v>
      </c>
      <c r="C33" s="804"/>
      <c r="D33" s="546">
        <v>100</v>
      </c>
      <c r="E33" s="804"/>
      <c r="F33" s="525">
        <f>SUMIF(101:101,E33,102:102)-SUMIF(101:101,C33,102:102)+100</f>
        <v>100</v>
      </c>
      <c r="G33" s="804"/>
      <c r="H33" s="490">
        <f>SUMIF(101:101,G33,102:102)-SUMIF(101:101,C33,102:102)+100</f>
        <v>100</v>
      </c>
      <c r="I33" s="804"/>
      <c r="J33" s="546">
        <f>SUMIF(101:101,I33,102:102)-SUMIF(101:101,C33,102:102)+100</f>
        <v>100</v>
      </c>
      <c r="K33" s="533"/>
      <c r="L33" s="1749"/>
      <c r="M33" s="1742"/>
      <c r="N33" s="1742"/>
      <c r="O33" s="1742"/>
      <c r="P33" s="3627" t="s">
        <v>499</v>
      </c>
      <c r="Q33" s="1306" t="str">
        <f t="shared" si="8"/>
        <v>建筑类型</v>
      </c>
      <c r="R33" s="1307" t="s">
        <v>5</v>
      </c>
      <c r="S33" s="1308">
        <f t="shared" si="9"/>
        <v>100</v>
      </c>
      <c r="T33" s="1307" t="s">
        <v>5</v>
      </c>
      <c r="U33" s="1308">
        <f t="shared" si="10"/>
        <v>100</v>
      </c>
      <c r="V33" s="1307" t="s">
        <v>5</v>
      </c>
      <c r="W33" s="1308">
        <f t="shared" si="11"/>
        <v>100</v>
      </c>
      <c r="X33" s="1302"/>
      <c r="Y33" s="3628" t="s">
        <v>499</v>
      </c>
      <c r="Z33" s="1309" t="str">
        <f t="shared" si="12"/>
        <v>建筑类型</v>
      </c>
      <c r="AA33" s="1309">
        <f t="shared" si="3"/>
        <v>1</v>
      </c>
      <c r="AB33" s="1309">
        <f t="shared" si="4"/>
        <v>1</v>
      </c>
      <c r="AC33" s="1309">
        <f t="shared" si="5"/>
        <v>1</v>
      </c>
    </row>
    <row r="34" spans="1:29" s="1134" customFormat="1" ht="15">
      <c r="A34" s="552"/>
      <c r="B34" s="477" t="s">
        <v>673</v>
      </c>
      <c r="C34" s="806"/>
      <c r="D34" s="235">
        <v>100</v>
      </c>
      <c r="E34" s="484"/>
      <c r="F34" s="477" t="e">
        <f>LOOKUP(E34,104:104,105:105)-LOOKUP(C34,104:104,105:105)+100</f>
        <v>#N/A</v>
      </c>
      <c r="G34" s="483"/>
      <c r="H34" s="235" t="e">
        <f>LOOKUP(G34,104:104,105:105)-LOOKUP(C34,104:104,105:105)+100</f>
        <v>#N/A</v>
      </c>
      <c r="I34" s="483"/>
      <c r="J34" s="235" t="e">
        <f>LOOKUP(I34,104:104,105:105)-LOOKUP(C34,104:104,105:105)+100</f>
        <v>#N/A</v>
      </c>
      <c r="K34" s="531"/>
      <c r="L34" s="1747"/>
      <c r="M34" s="1771"/>
      <c r="N34" s="1771"/>
      <c r="O34" s="1771"/>
      <c r="P34" s="3628"/>
      <c r="Q34" s="819" t="str">
        <f t="shared" si="8"/>
        <v>项目建筑规模</v>
      </c>
      <c r="R34" s="1310" t="s">
        <v>5</v>
      </c>
      <c r="S34" s="1311" t="e">
        <f t="shared" si="9"/>
        <v>#N/A</v>
      </c>
      <c r="T34" s="1310" t="s">
        <v>5</v>
      </c>
      <c r="U34" s="1311" t="e">
        <f t="shared" si="10"/>
        <v>#N/A</v>
      </c>
      <c r="V34" s="1310" t="s">
        <v>5</v>
      </c>
      <c r="W34" s="1311" t="e">
        <f t="shared" si="11"/>
        <v>#N/A</v>
      </c>
      <c r="X34" s="1312"/>
      <c r="Y34" s="3628"/>
      <c r="Z34" s="1313" t="str">
        <f t="shared" si="12"/>
        <v>项目建筑规模</v>
      </c>
      <c r="AA34" s="1309" t="e">
        <f t="shared" si="3"/>
        <v>#N/A</v>
      </c>
      <c r="AB34" s="1309" t="e">
        <f t="shared" si="4"/>
        <v>#N/A</v>
      </c>
      <c r="AC34" s="1309" t="e">
        <f t="shared" si="5"/>
        <v>#N/A</v>
      </c>
    </row>
    <row r="35" spans="1:29" ht="15">
      <c r="A35" s="543"/>
      <c r="B35" s="477" t="s">
        <v>674</v>
      </c>
      <c r="C35" s="524"/>
      <c r="D35" s="490">
        <v>100</v>
      </c>
      <c r="E35" s="524"/>
      <c r="F35" s="525">
        <f>SUMIF(106:106,E35,107:107)-SUMIF(106:106,C35,107:107)+100</f>
        <v>100</v>
      </c>
      <c r="G35" s="524"/>
      <c r="H35" s="490">
        <f>SUMIF(106:106,G35,107:107)-SUMIF(106:106,C35,107:107)+100</f>
        <v>100</v>
      </c>
      <c r="I35" s="524"/>
      <c r="J35" s="490">
        <f>SUMIF(106:106,I35,107:107)-SUMIF(106:106,C35,107:107)+100</f>
        <v>100</v>
      </c>
      <c r="K35" s="533"/>
      <c r="L35" s="1749"/>
      <c r="M35" s="1742"/>
      <c r="N35" s="1742"/>
      <c r="O35" s="1742"/>
      <c r="P35" s="3628"/>
      <c r="Q35" s="1306" t="str">
        <f t="shared" si="8"/>
        <v>建筑结构</v>
      </c>
      <c r="R35" s="1307" t="s">
        <v>5</v>
      </c>
      <c r="S35" s="1308">
        <f t="shared" si="9"/>
        <v>100</v>
      </c>
      <c r="T35" s="1307" t="s">
        <v>5</v>
      </c>
      <c r="U35" s="1308">
        <f t="shared" si="10"/>
        <v>100</v>
      </c>
      <c r="V35" s="1307" t="s">
        <v>5</v>
      </c>
      <c r="W35" s="1308">
        <f t="shared" si="11"/>
        <v>100</v>
      </c>
      <c r="X35" s="1302"/>
      <c r="Y35" s="3628"/>
      <c r="Z35" s="1309" t="str">
        <f t="shared" si="12"/>
        <v>建筑结构</v>
      </c>
      <c r="AA35" s="1309">
        <f t="shared" si="3"/>
        <v>1</v>
      </c>
      <c r="AB35" s="1309">
        <f t="shared" si="4"/>
        <v>1</v>
      </c>
      <c r="AC35" s="1309">
        <f t="shared" si="5"/>
        <v>1</v>
      </c>
    </row>
    <row r="36" spans="1:29" ht="15">
      <c r="A36" s="543"/>
      <c r="B36" s="477" t="s">
        <v>703</v>
      </c>
      <c r="C36" s="524"/>
      <c r="D36" s="490">
        <v>100</v>
      </c>
      <c r="E36" s="524"/>
      <c r="F36" s="525">
        <f>SUMIF(108:108,E36,109:109)-SUMIF(108:108,C36,109:109)+100</f>
        <v>100</v>
      </c>
      <c r="G36" s="524"/>
      <c r="H36" s="490">
        <f>SUMIF(108:108,G36,109:109)-SUMIF(108:108,C36,109:109)+100</f>
        <v>100</v>
      </c>
      <c r="I36" s="524"/>
      <c r="J36" s="490">
        <f>SUMIF(108:108,I36,109:109)-SUMIF(108:108,C36,109:109)+100</f>
        <v>100</v>
      </c>
      <c r="K36" s="533"/>
      <c r="L36" s="1749"/>
      <c r="M36" s="1742"/>
      <c r="N36" s="1742"/>
      <c r="O36" s="1742"/>
      <c r="P36" s="3628"/>
      <c r="Q36" s="1306" t="str">
        <f t="shared" si="8"/>
        <v>公共部分装修</v>
      </c>
      <c r="R36" s="1307" t="s">
        <v>5</v>
      </c>
      <c r="S36" s="1308">
        <f t="shared" si="9"/>
        <v>100</v>
      </c>
      <c r="T36" s="1307" t="s">
        <v>5</v>
      </c>
      <c r="U36" s="1308">
        <f t="shared" si="10"/>
        <v>100</v>
      </c>
      <c r="V36" s="1307" t="s">
        <v>5</v>
      </c>
      <c r="W36" s="1308">
        <f t="shared" si="11"/>
        <v>100</v>
      </c>
      <c r="X36" s="1302"/>
      <c r="Y36" s="3628"/>
      <c r="Z36" s="1309" t="str">
        <f t="shared" si="12"/>
        <v>公共部分装修</v>
      </c>
      <c r="AA36" s="1309">
        <f t="shared" si="3"/>
        <v>1</v>
      </c>
      <c r="AB36" s="1309">
        <f t="shared" si="4"/>
        <v>1</v>
      </c>
      <c r="AC36" s="1309">
        <f t="shared" si="5"/>
        <v>1</v>
      </c>
    </row>
    <row r="37" spans="1:29" ht="15">
      <c r="A37" s="543"/>
      <c r="B37" s="477" t="s">
        <v>704</v>
      </c>
      <c r="C37" s="808"/>
      <c r="D37" s="490">
        <v>100</v>
      </c>
      <c r="E37" s="808"/>
      <c r="F37" s="525" t="e">
        <f>LOOKUP(E37,111:111,112:112)-LOOKUP(C37,111:111,112:112)+100</f>
        <v>#N/A</v>
      </c>
      <c r="G37" s="808"/>
      <c r="H37" s="525" t="e">
        <f>LOOKUP(G37,111:111,112:112)-LOOKUP(C37,111:111,112:112)+100</f>
        <v>#N/A</v>
      </c>
      <c r="I37" s="808"/>
      <c r="J37" s="490" t="e">
        <f>LOOKUP(I37,111:111,112:112)-LOOKUP(C37,111:111,112:112)+100</f>
        <v>#N/A</v>
      </c>
      <c r="K37" s="533"/>
      <c r="L37" s="1749"/>
      <c r="M37" s="1742"/>
      <c r="N37" s="1742"/>
      <c r="O37" s="1742"/>
      <c r="P37" s="3628"/>
      <c r="Q37" s="1306" t="str">
        <f t="shared" si="8"/>
        <v>成新度</v>
      </c>
      <c r="R37" s="1307" t="s">
        <v>5</v>
      </c>
      <c r="S37" s="1308" t="e">
        <f t="shared" si="9"/>
        <v>#N/A</v>
      </c>
      <c r="T37" s="1307" t="s">
        <v>5</v>
      </c>
      <c r="U37" s="1308" t="e">
        <f t="shared" si="10"/>
        <v>#N/A</v>
      </c>
      <c r="V37" s="1307" t="s">
        <v>5</v>
      </c>
      <c r="W37" s="1308" t="e">
        <f t="shared" si="11"/>
        <v>#N/A</v>
      </c>
      <c r="X37" s="1302"/>
      <c r="Y37" s="3628"/>
      <c r="Z37" s="1309" t="str">
        <f t="shared" si="12"/>
        <v>成新度</v>
      </c>
      <c r="AA37" s="1309" t="e">
        <f t="shared" si="3"/>
        <v>#N/A</v>
      </c>
      <c r="AB37" s="1309" t="e">
        <f t="shared" si="4"/>
        <v>#N/A</v>
      </c>
      <c r="AC37" s="1309" t="e">
        <f t="shared" si="5"/>
        <v>#N/A</v>
      </c>
    </row>
    <row r="38" spans="1:29" s="1060" customFormat="1" ht="15">
      <c r="A38" s="549"/>
      <c r="B38" s="477" t="s">
        <v>721</v>
      </c>
      <c r="C38" s="524"/>
      <c r="D38" s="235">
        <v>100</v>
      </c>
      <c r="E38" s="524"/>
      <c r="F38" s="525">
        <f>SUMIF(113:113,E38,114:114)-SUMIF(113:113,C38,114:114)+100</f>
        <v>100</v>
      </c>
      <c r="G38" s="524"/>
      <c r="H38" s="490">
        <f>SUMIF(113:113,G38,114:114)-SUMIF(113:113,C38,114:114)+100</f>
        <v>100</v>
      </c>
      <c r="I38" s="524"/>
      <c r="J38" s="490">
        <f>SUMIF(113:113,I38,114:114)-SUMIF(113:113,C38,114:114)+100</f>
        <v>100</v>
      </c>
      <c r="K38" s="533"/>
      <c r="L38" s="1743"/>
      <c r="M38" s="1640"/>
      <c r="N38" s="1640"/>
      <c r="O38" s="1640"/>
      <c r="P38" s="3628"/>
      <c r="Q38" s="818" t="str">
        <f t="shared" si="8"/>
        <v>写字楼等级</v>
      </c>
      <c r="R38" s="1303" t="s">
        <v>5</v>
      </c>
      <c r="S38" s="1304">
        <f t="shared" si="9"/>
        <v>100</v>
      </c>
      <c r="T38" s="1303" t="s">
        <v>5</v>
      </c>
      <c r="U38" s="1304">
        <f t="shared" si="10"/>
        <v>100</v>
      </c>
      <c r="V38" s="1303" t="s">
        <v>5</v>
      </c>
      <c r="W38" s="1304">
        <f t="shared" si="11"/>
        <v>100</v>
      </c>
      <c r="X38" s="1305"/>
      <c r="Y38" s="3628"/>
      <c r="Z38" s="997" t="str">
        <f t="shared" si="12"/>
        <v>写字楼等级</v>
      </c>
      <c r="AA38" s="997">
        <f t="shared" si="3"/>
        <v>1</v>
      </c>
      <c r="AB38" s="997">
        <f t="shared" si="4"/>
        <v>1</v>
      </c>
      <c r="AC38" s="997">
        <f t="shared" si="5"/>
        <v>1</v>
      </c>
    </row>
    <row r="39" spans="1:29" ht="15">
      <c r="A39" s="543"/>
      <c r="B39" s="477" t="s">
        <v>722</v>
      </c>
      <c r="C39" s="524"/>
      <c r="D39" s="490">
        <v>100</v>
      </c>
      <c r="E39" s="524"/>
      <c r="F39" s="525">
        <f>SUMIF(115:115,E39,116:116)-SUMIF(115:115,C39,116:116)+100</f>
        <v>100</v>
      </c>
      <c r="G39" s="524"/>
      <c r="H39" s="490">
        <f>SUMIF(115:115,G39,116:116)-SUMIF(115:115,C39,116:116)+100</f>
        <v>100</v>
      </c>
      <c r="I39" s="524"/>
      <c r="J39" s="490">
        <f>SUMIF(115:115,I39,116:116)-SUMIF(115:115,C39,116:116)+100</f>
        <v>100</v>
      </c>
      <c r="K39" s="533"/>
      <c r="L39" s="1749"/>
      <c r="M39" s="1742"/>
      <c r="N39" s="1742"/>
      <c r="O39" s="1742"/>
      <c r="P39" s="3628" t="s">
        <v>499</v>
      </c>
      <c r="Q39" s="1306" t="str">
        <f t="shared" si="8"/>
        <v>物业管理</v>
      </c>
      <c r="R39" s="1307" t="s">
        <v>5</v>
      </c>
      <c r="S39" s="1308">
        <f t="shared" si="9"/>
        <v>100</v>
      </c>
      <c r="T39" s="1307" t="s">
        <v>5</v>
      </c>
      <c r="U39" s="1308">
        <f t="shared" si="10"/>
        <v>100</v>
      </c>
      <c r="V39" s="1307" t="s">
        <v>5</v>
      </c>
      <c r="W39" s="1308">
        <f t="shared" si="11"/>
        <v>100</v>
      </c>
      <c r="X39" s="1302"/>
      <c r="Y39" s="3628" t="s">
        <v>499</v>
      </c>
      <c r="Z39" s="1309" t="str">
        <f t="shared" si="12"/>
        <v>物业管理</v>
      </c>
      <c r="AA39" s="1309">
        <f t="shared" si="3"/>
        <v>1</v>
      </c>
      <c r="AB39" s="1309">
        <f t="shared" si="4"/>
        <v>1</v>
      </c>
      <c r="AC39" s="1309">
        <f t="shared" si="5"/>
        <v>1</v>
      </c>
    </row>
    <row r="40" spans="1:29" ht="15">
      <c r="A40" s="543"/>
      <c r="B40" s="1554" t="s">
        <v>1848</v>
      </c>
      <c r="C40" s="524"/>
      <c r="D40" s="490">
        <v>100</v>
      </c>
      <c r="E40" s="524"/>
      <c r="F40" s="525">
        <f>SUMIF(117:117,E40,118:118)-SUMIF(117:117,C40,118:118)+100</f>
        <v>100</v>
      </c>
      <c r="G40" s="524"/>
      <c r="H40" s="490">
        <f>SUMIF(117:117,G40,118:118)-SUMIF(117:117,C40,118:118)+100</f>
        <v>100</v>
      </c>
      <c r="I40" s="524"/>
      <c r="J40" s="490">
        <f>SUMIF(117:117,I40,118:118)-SUMIF(117:117,C40,118:118)+100</f>
        <v>100</v>
      </c>
      <c r="K40" s="533"/>
      <c r="L40" s="1749"/>
      <c r="M40" s="1742"/>
      <c r="N40" s="1742"/>
      <c r="O40" s="1742"/>
      <c r="P40" s="3628"/>
      <c r="Q40" s="1306" t="str">
        <f t="shared" si="8"/>
        <v>市政基础设施</v>
      </c>
      <c r="R40" s="1307" t="s">
        <v>5</v>
      </c>
      <c r="S40" s="1308">
        <f t="shared" si="9"/>
        <v>100</v>
      </c>
      <c r="T40" s="1307" t="s">
        <v>5</v>
      </c>
      <c r="U40" s="1308">
        <f t="shared" si="10"/>
        <v>100</v>
      </c>
      <c r="V40" s="1307" t="s">
        <v>5</v>
      </c>
      <c r="W40" s="1308">
        <f t="shared" si="11"/>
        <v>100</v>
      </c>
      <c r="X40" s="1302"/>
      <c r="Y40" s="3628"/>
      <c r="Z40" s="1309" t="str">
        <f t="shared" si="12"/>
        <v>市政基础设施</v>
      </c>
      <c r="AA40" s="1309">
        <f t="shared" si="3"/>
        <v>1</v>
      </c>
      <c r="AB40" s="1309">
        <f t="shared" si="4"/>
        <v>1</v>
      </c>
      <c r="AC40" s="1309">
        <f t="shared" si="5"/>
        <v>1</v>
      </c>
    </row>
    <row r="41" spans="1:29" ht="15">
      <c r="A41" s="543"/>
      <c r="B41" s="477" t="s">
        <v>707</v>
      </c>
      <c r="C41" s="532"/>
      <c r="D41" s="490">
        <v>100</v>
      </c>
      <c r="E41" s="532"/>
      <c r="F41" s="525">
        <f>SUMIF(119:119,E41,120:120)-SUMIF(119:119,C41,120:120)+100</f>
        <v>100</v>
      </c>
      <c r="G41" s="532"/>
      <c r="H41" s="490">
        <f>SUMIF(119:119,G41,120:120)-SUMIF(119:119,C41,120:120)+100</f>
        <v>100</v>
      </c>
      <c r="I41" s="532"/>
      <c r="J41" s="490">
        <f>SUMIF(119:119,I41,120:120)-SUMIF(119:119,C41,120:120)+100</f>
        <v>100</v>
      </c>
      <c r="K41" s="533"/>
      <c r="L41" s="1749"/>
      <c r="M41" s="1742"/>
      <c r="N41" s="1742"/>
      <c r="O41" s="1742"/>
      <c r="P41" s="3628"/>
      <c r="Q41" s="1306" t="str">
        <f t="shared" si="8"/>
        <v>层高</v>
      </c>
      <c r="R41" s="1307" t="s">
        <v>5</v>
      </c>
      <c r="S41" s="1308">
        <f t="shared" si="9"/>
        <v>100</v>
      </c>
      <c r="T41" s="1307" t="s">
        <v>5</v>
      </c>
      <c r="U41" s="1308">
        <f t="shared" si="10"/>
        <v>100</v>
      </c>
      <c r="V41" s="1307" t="s">
        <v>5</v>
      </c>
      <c r="W41" s="1308">
        <f t="shared" si="11"/>
        <v>100</v>
      </c>
      <c r="X41" s="1302"/>
      <c r="Y41" s="3628"/>
      <c r="Z41" s="1309" t="str">
        <f t="shared" si="12"/>
        <v>层高</v>
      </c>
      <c r="AA41" s="1309">
        <f t="shared" si="3"/>
        <v>1</v>
      </c>
      <c r="AB41" s="1309">
        <f t="shared" si="4"/>
        <v>1</v>
      </c>
      <c r="AC41" s="1309">
        <f t="shared" si="5"/>
        <v>1</v>
      </c>
    </row>
    <row r="42" spans="1:29" s="1134" customFormat="1" ht="15">
      <c r="A42" s="552"/>
      <c r="B42" s="525" t="s">
        <v>723</v>
      </c>
      <c r="C42" s="489"/>
      <c r="D42" s="490">
        <v>100</v>
      </c>
      <c r="E42" s="489"/>
      <c r="F42" s="525">
        <f>SUMIF(121:121,E42,122:122)-SUMIF(121:121,C42,122:122)+100</f>
        <v>100</v>
      </c>
      <c r="G42" s="489"/>
      <c r="H42" s="490">
        <f>SUMIF(121:121,G42,122:122)-SUMIF(121:121,C42,122:122)+100</f>
        <v>100</v>
      </c>
      <c r="I42" s="489"/>
      <c r="J42" s="490">
        <f>SUMIF(121:121,I42,122:122)-SUMIF(121:121,C42,122:122)+100</f>
        <v>100</v>
      </c>
      <c r="K42" s="531"/>
      <c r="L42" s="1747"/>
      <c r="M42" s="1771"/>
      <c r="N42" s="1771"/>
      <c r="O42" s="1771"/>
      <c r="P42" s="3628"/>
      <c r="Q42" s="819" t="str">
        <f t="shared" si="8"/>
        <v>单套建筑面积</v>
      </c>
      <c r="R42" s="1310" t="s">
        <v>5</v>
      </c>
      <c r="S42" s="1311">
        <f t="shared" si="9"/>
        <v>100</v>
      </c>
      <c r="T42" s="1310" t="s">
        <v>5</v>
      </c>
      <c r="U42" s="1311">
        <f t="shared" si="10"/>
        <v>100</v>
      </c>
      <c r="V42" s="1310" t="s">
        <v>5</v>
      </c>
      <c r="W42" s="1311">
        <f t="shared" si="11"/>
        <v>100</v>
      </c>
      <c r="X42" s="1312"/>
      <c r="Y42" s="3628"/>
      <c r="Z42" s="1313" t="str">
        <f t="shared" si="12"/>
        <v>单套建筑面积</v>
      </c>
      <c r="AA42" s="1309">
        <f t="shared" si="3"/>
        <v>1</v>
      </c>
      <c r="AB42" s="1309">
        <f t="shared" si="4"/>
        <v>1</v>
      </c>
      <c r="AC42" s="1309">
        <f t="shared" si="5"/>
        <v>1</v>
      </c>
    </row>
    <row r="43" spans="1:29" ht="15">
      <c r="A43" s="543"/>
      <c r="B43" s="477" t="s">
        <v>710</v>
      </c>
      <c r="C43" s="524"/>
      <c r="D43" s="490">
        <v>100</v>
      </c>
      <c r="E43" s="524"/>
      <c r="F43" s="525">
        <f>SUMIF(123:123,E43,124:124)-SUMIF(123:123,C43,124:124)+100</f>
        <v>100</v>
      </c>
      <c r="G43" s="524"/>
      <c r="H43" s="490">
        <f>SUMIF(123:123,G43,124:124)-SUMIF(123:123,C43,124:124)+100</f>
        <v>100</v>
      </c>
      <c r="I43" s="524"/>
      <c r="J43" s="490">
        <f>SUMIF(123:123,I43,124:124)-SUMIF(123:123,C43,124:124)+100</f>
        <v>100</v>
      </c>
      <c r="K43" s="533"/>
      <c r="L43" s="1749"/>
      <c r="M43" s="1742"/>
      <c r="N43" s="1742"/>
      <c r="O43" s="1742"/>
      <c r="P43" s="3628"/>
      <c r="Q43" s="1306" t="str">
        <f t="shared" si="8"/>
        <v>内部装修</v>
      </c>
      <c r="R43" s="1307" t="s">
        <v>5</v>
      </c>
      <c r="S43" s="1308">
        <f t="shared" si="9"/>
        <v>100</v>
      </c>
      <c r="T43" s="1307" t="s">
        <v>5</v>
      </c>
      <c r="U43" s="1308">
        <f t="shared" si="10"/>
        <v>100</v>
      </c>
      <c r="V43" s="1307" t="s">
        <v>5</v>
      </c>
      <c r="W43" s="1308">
        <f t="shared" si="11"/>
        <v>100</v>
      </c>
      <c r="X43" s="1302"/>
      <c r="Y43" s="3628"/>
      <c r="Z43" s="1309" t="str">
        <f t="shared" si="12"/>
        <v>内部装修</v>
      </c>
      <c r="AA43" s="1309">
        <f t="shared" si="3"/>
        <v>1</v>
      </c>
      <c r="AB43" s="1309">
        <f t="shared" si="4"/>
        <v>1</v>
      </c>
      <c r="AC43" s="1309">
        <f t="shared" si="5"/>
        <v>1</v>
      </c>
    </row>
    <row r="44" spans="1:29" ht="27">
      <c r="A44" s="543"/>
      <c r="B44" s="477" t="s">
        <v>682</v>
      </c>
      <c r="C44" s="524"/>
      <c r="D44" s="490">
        <v>100</v>
      </c>
      <c r="E44" s="548"/>
      <c r="F44" s="525">
        <f>SUMIF(125:125,E44,126:126)-SUMIF(125:125,C44,126:126)+100</f>
        <v>100</v>
      </c>
      <c r="G44" s="548"/>
      <c r="H44" s="490">
        <f>SUMIF(125:125,G44,126:126)-SUMIF(125:125,C44,126:126)+100</f>
        <v>100</v>
      </c>
      <c r="I44" s="548"/>
      <c r="J44" s="490">
        <f>SUMIF(125:125,I44,126:126)-SUMIF(125:125,C44,126:126)+100</f>
        <v>100</v>
      </c>
      <c r="K44" s="533"/>
      <c r="L44" s="1749"/>
      <c r="M44" s="1742"/>
      <c r="N44" s="1742"/>
      <c r="O44" s="1742"/>
      <c r="P44" s="3628"/>
      <c r="Q44" s="1306" t="str">
        <f t="shared" si="8"/>
        <v>内部装修维护情况</v>
      </c>
      <c r="R44" s="1307" t="s">
        <v>5</v>
      </c>
      <c r="S44" s="1308">
        <f t="shared" si="9"/>
        <v>100</v>
      </c>
      <c r="T44" s="1307" t="s">
        <v>5</v>
      </c>
      <c r="U44" s="1308">
        <f t="shared" si="10"/>
        <v>100</v>
      </c>
      <c r="V44" s="1307" t="s">
        <v>5</v>
      </c>
      <c r="W44" s="1308">
        <f t="shared" si="11"/>
        <v>100</v>
      </c>
      <c r="X44" s="1302"/>
      <c r="Y44" s="3628"/>
      <c r="Z44" s="1309" t="str">
        <f t="shared" si="12"/>
        <v>内部装修维护情况</v>
      </c>
      <c r="AA44" s="1309">
        <f t="shared" si="3"/>
        <v>1</v>
      </c>
      <c r="AB44" s="1309">
        <f t="shared" si="4"/>
        <v>1</v>
      </c>
      <c r="AC44" s="1309">
        <f t="shared" si="5"/>
        <v>1</v>
      </c>
    </row>
    <row r="45" spans="1:29" s="1060" customFormat="1" ht="15">
      <c r="A45" s="549"/>
      <c r="B45" s="91">
        <v>111</v>
      </c>
      <c r="C45" s="806"/>
      <c r="D45" s="235">
        <v>100</v>
      </c>
      <c r="E45" s="478"/>
      <c r="F45" s="477">
        <f>SUMIF(127:127,E45,128:128)-SUMIF(127:127,C45,128:128)+100</f>
        <v>100</v>
      </c>
      <c r="G45" s="478"/>
      <c r="H45" s="235">
        <f>SUMIF(127:127,G45,128:128)-SUMIF(127:127,C45,128:128)+100</f>
        <v>100</v>
      </c>
      <c r="I45" s="478"/>
      <c r="J45" s="235">
        <f>SUMIF(127:127,I45,128:128)-SUMIF(127:127,C45,128:128)+100</f>
        <v>100</v>
      </c>
      <c r="K45" s="531"/>
      <c r="L45" s="1743"/>
      <c r="M45" s="1640"/>
      <c r="N45" s="1640"/>
      <c r="O45" s="1640"/>
      <c r="P45" s="3628"/>
      <c r="Q45" s="818">
        <f t="shared" si="8"/>
        <v>111</v>
      </c>
      <c r="R45" s="1303" t="s">
        <v>5</v>
      </c>
      <c r="S45" s="1304">
        <f t="shared" si="9"/>
        <v>100</v>
      </c>
      <c r="T45" s="1303" t="s">
        <v>5</v>
      </c>
      <c r="U45" s="1304">
        <f t="shared" si="10"/>
        <v>100</v>
      </c>
      <c r="V45" s="1303" t="s">
        <v>5</v>
      </c>
      <c r="W45" s="1304">
        <f t="shared" si="11"/>
        <v>100</v>
      </c>
      <c r="X45" s="1305"/>
      <c r="Y45" s="3628"/>
      <c r="Z45" s="997">
        <f t="shared" si="12"/>
        <v>111</v>
      </c>
      <c r="AA45" s="997">
        <f t="shared" si="3"/>
        <v>1</v>
      </c>
      <c r="AB45" s="997">
        <f t="shared" si="4"/>
        <v>1</v>
      </c>
      <c r="AC45" s="997">
        <f t="shared" si="5"/>
        <v>1</v>
      </c>
    </row>
    <row r="46" spans="1:29" ht="15">
      <c r="A46" s="543"/>
      <c r="B46" s="91">
        <v>111</v>
      </c>
      <c r="C46" s="489"/>
      <c r="D46" s="490">
        <v>100</v>
      </c>
      <c r="E46" s="478"/>
      <c r="F46" s="525">
        <f>SUMIF(129:129,E46,130:130)-SUMIF(129:129,C46,130:130)+100</f>
        <v>100</v>
      </c>
      <c r="G46" s="478"/>
      <c r="H46" s="490">
        <f>SUMIF(129:129,G46,130:130)-SUMIF(129:129,C46,130:130)+100</f>
        <v>100</v>
      </c>
      <c r="I46" s="478"/>
      <c r="J46" s="490">
        <f>SUMIF(129:129,I46,130:130)-SUMIF(129:129,C46,130:130)+100</f>
        <v>100</v>
      </c>
      <c r="K46" s="531"/>
      <c r="L46" s="1749"/>
      <c r="M46" s="1742"/>
      <c r="N46" s="1742"/>
      <c r="O46" s="1742"/>
      <c r="P46" s="3628"/>
      <c r="Q46" s="1306">
        <f t="shared" si="8"/>
        <v>111</v>
      </c>
      <c r="R46" s="1307" t="s">
        <v>5</v>
      </c>
      <c r="S46" s="1308">
        <f t="shared" si="9"/>
        <v>100</v>
      </c>
      <c r="T46" s="1307" t="s">
        <v>5</v>
      </c>
      <c r="U46" s="1308">
        <f t="shared" si="10"/>
        <v>100</v>
      </c>
      <c r="V46" s="1307" t="s">
        <v>5</v>
      </c>
      <c r="W46" s="1308">
        <f t="shared" si="11"/>
        <v>100</v>
      </c>
      <c r="X46" s="1302"/>
      <c r="Y46" s="3628"/>
      <c r="Z46" s="1309">
        <f t="shared" si="12"/>
        <v>111</v>
      </c>
      <c r="AA46" s="1309">
        <f t="shared" si="3"/>
        <v>1</v>
      </c>
      <c r="AB46" s="1309">
        <f t="shared" si="4"/>
        <v>1</v>
      </c>
      <c r="AC46" s="1309">
        <f t="shared" si="5"/>
        <v>1</v>
      </c>
    </row>
    <row r="47" spans="1:29" ht="15.75" thickBot="1">
      <c r="A47" s="811"/>
      <c r="B47" s="494">
        <v>111</v>
      </c>
      <c r="C47" s="495"/>
      <c r="D47" s="496">
        <v>100</v>
      </c>
      <c r="E47" s="478"/>
      <c r="F47" s="796">
        <f>SUMIF(131:131,E47,132:132)-SUMIF(131:131,C47,132:132)+100</f>
        <v>100</v>
      </c>
      <c r="G47" s="478"/>
      <c r="H47" s="496">
        <f>SUMIF(131:131,G47,132:132)-SUMIF(131:131,C47,132:132)+100</f>
        <v>100</v>
      </c>
      <c r="I47" s="478"/>
      <c r="J47" s="496">
        <f>SUMIF(131:131,I47,132:132)-SUMIF(131:131,C47,132:132)+100</f>
        <v>100</v>
      </c>
      <c r="K47" s="531"/>
      <c r="L47" s="1749"/>
      <c r="M47" s="1742"/>
      <c r="N47" s="1742"/>
      <c r="O47" s="1742"/>
      <c r="P47" s="3740"/>
      <c r="Q47" s="1306">
        <f t="shared" si="8"/>
        <v>111</v>
      </c>
      <c r="R47" s="1307" t="s">
        <v>5</v>
      </c>
      <c r="S47" s="1308">
        <f t="shared" si="9"/>
        <v>100</v>
      </c>
      <c r="T47" s="1307" t="s">
        <v>5</v>
      </c>
      <c r="U47" s="1308">
        <f t="shared" si="10"/>
        <v>100</v>
      </c>
      <c r="V47" s="1307" t="s">
        <v>5</v>
      </c>
      <c r="W47" s="1308">
        <f t="shared" si="11"/>
        <v>100</v>
      </c>
      <c r="X47" s="1302"/>
      <c r="Y47" s="3740"/>
      <c r="Z47" s="1309">
        <f t="shared" si="12"/>
        <v>111</v>
      </c>
      <c r="AA47" s="1309">
        <f t="shared" si="3"/>
        <v>1</v>
      </c>
      <c r="AB47" s="1309">
        <f t="shared" si="4"/>
        <v>1</v>
      </c>
      <c r="AC47" s="1309">
        <f t="shared" si="5"/>
        <v>1</v>
      </c>
    </row>
    <row r="48" spans="1:29" ht="15">
      <c r="A48" s="556" t="s">
        <v>683</v>
      </c>
      <c r="B48" s="812"/>
      <c r="C48" s="2081" t="s">
        <v>0</v>
      </c>
      <c r="D48" s="559"/>
      <c r="E48" s="560"/>
      <c r="F48" s="561"/>
      <c r="G48" s="562"/>
      <c r="H48" s="563"/>
      <c r="I48" s="560"/>
      <c r="J48" s="563"/>
      <c r="K48" s="1335"/>
      <c r="L48" s="1751"/>
      <c r="M48" s="1742"/>
      <c r="N48" s="1742"/>
      <c r="O48" s="1742"/>
      <c r="P48" s="3630" t="str">
        <f>A48</f>
        <v>成交单价（元/平方米）</v>
      </c>
      <c r="Q48" s="3623"/>
      <c r="R48" s="3639">
        <f>E48</f>
        <v>0</v>
      </c>
      <c r="S48" s="3639"/>
      <c r="T48" s="3639">
        <f>G48</f>
        <v>0</v>
      </c>
      <c r="U48" s="3639"/>
      <c r="V48" s="3639">
        <f>I48</f>
        <v>0</v>
      </c>
      <c r="W48" s="3639"/>
      <c r="X48" s="799"/>
      <c r="Y48" s="1314"/>
      <c r="Z48" s="799"/>
      <c r="AA48" s="799"/>
      <c r="AB48" s="799"/>
      <c r="AC48" s="799"/>
    </row>
    <row r="49" spans="1:29" ht="15.75" thickBot="1">
      <c r="A49" s="564" t="s">
        <v>2042</v>
      </c>
      <c r="B49" s="813"/>
      <c r="C49" s="2082" t="e">
        <f>R50</f>
        <v>#DIV/0!</v>
      </c>
      <c r="D49" s="2550" t="s">
        <v>2261</v>
      </c>
      <c r="E49" s="2083" t="e">
        <f>R49</f>
        <v>#DIV/0!</v>
      </c>
      <c r="F49" s="2551"/>
      <c r="G49" s="2082" t="e">
        <f>T49</f>
        <v>#DIV/0!</v>
      </c>
      <c r="H49" s="2551"/>
      <c r="I49" s="2083" t="e">
        <f>V49</f>
        <v>#DIV/0!</v>
      </c>
      <c r="J49" s="2551"/>
      <c r="K49" s="2558">
        <f>F49+H49+J49</f>
        <v>0</v>
      </c>
      <c r="L49" s="1751"/>
      <c r="M49" s="1742"/>
      <c r="N49" s="1742"/>
      <c r="O49" s="1742"/>
      <c r="P49" s="3630" t="str">
        <f>A49</f>
        <v>比较价格（元/平方米）</v>
      </c>
      <c r="Q49" s="3623"/>
      <c r="R49" s="3639" t="e">
        <f>IF(F1="售价",ROUND(PRODUCT(R48,AA7:AA47),0),ROUND(PRODUCT(R48,AA7:AA47),1))</f>
        <v>#DIV/0!</v>
      </c>
      <c r="S49" s="3639"/>
      <c r="T49" s="3639" t="e">
        <f>IF(F1="售价",ROUND(PRODUCT(T48,AB7:AB47),0),ROUND(PRODUCT(T48,AB7:AB47),1))</f>
        <v>#DIV/0!</v>
      </c>
      <c r="U49" s="3639"/>
      <c r="V49" s="3639" t="e">
        <f>IF(F1="售价",ROUND(PRODUCT(V48,AC7:AC47),0),ROUND(PRODUCT(V48,AC7:AC47),1))</f>
        <v>#DIV/0!</v>
      </c>
      <c r="W49" s="3639"/>
      <c r="X49" s="799"/>
      <c r="Y49" s="799"/>
      <c r="Z49" s="799"/>
      <c r="AA49" s="799"/>
      <c r="AB49" s="799"/>
      <c r="AC49" s="799"/>
    </row>
    <row r="50" spans="1:29" ht="15.75" thickBot="1">
      <c r="A50" s="568" t="s">
        <v>2198</v>
      </c>
      <c r="B50" s="569"/>
      <c r="C50" s="469" t="e">
        <f>R50</f>
        <v>#DIV/0!</v>
      </c>
      <c r="D50" s="469"/>
      <c r="E50" s="469"/>
      <c r="F50" s="469"/>
      <c r="G50" s="469"/>
      <c r="H50" s="469"/>
      <c r="I50" s="469"/>
      <c r="J50" s="469"/>
      <c r="K50" s="1336"/>
      <c r="L50" s="1751"/>
      <c r="M50" s="1742"/>
      <c r="N50" s="1742"/>
      <c r="O50" s="1742"/>
      <c r="P50" s="3744" t="str">
        <f>A50</f>
        <v>估价对象XX用房的比较价格（楼面单价，元/平方米）</v>
      </c>
      <c r="Q50" s="3630"/>
      <c r="R50" s="3739" t="e">
        <f>IF(F1="售价",ROUND(IF(D49="简单平均",AVERAGE(R49:V49),R49*F49+T49*H49+V49*J49),0),ROUND(IF(D49="简单平均",AVERAGE(R49:V49),R49*F49+T49*H49+V49*J49),1))</f>
        <v>#DIV/0!</v>
      </c>
      <c r="S50" s="3739"/>
      <c r="T50" s="3739"/>
      <c r="U50" s="3739"/>
      <c r="V50" s="3739"/>
      <c r="W50" s="3739"/>
      <c r="X50" s="799"/>
      <c r="Y50" s="799"/>
      <c r="Z50" s="799"/>
      <c r="AA50" s="799"/>
      <c r="AB50" s="799"/>
      <c r="AC50" s="799"/>
    </row>
    <row r="51" spans="1:29">
      <c r="A51" s="2720"/>
      <c r="B51" s="2720"/>
      <c r="C51" s="2720"/>
      <c r="D51" s="2720"/>
      <c r="E51" s="2720"/>
      <c r="F51" s="2720"/>
      <c r="G51" s="2722"/>
      <c r="H51" s="2720"/>
      <c r="I51" s="2720"/>
      <c r="J51" s="2720"/>
      <c r="K51" s="2723"/>
      <c r="L51" s="1755"/>
      <c r="M51" s="1742"/>
      <c r="N51" s="1742"/>
      <c r="O51" s="1742"/>
      <c r="P51" s="1804"/>
      <c r="Q51" s="1742"/>
      <c r="R51" s="1742"/>
      <c r="S51" s="1742"/>
      <c r="T51" s="1742"/>
      <c r="U51" s="1742"/>
      <c r="V51" s="1742"/>
      <c r="W51" s="1742"/>
      <c r="X51" s="1742"/>
      <c r="Y51" s="1742"/>
      <c r="Z51" s="1742"/>
      <c r="AA51" s="1742"/>
      <c r="AB51" s="1742"/>
      <c r="AC51" s="1742"/>
    </row>
    <row r="52" spans="1:29">
      <c r="A52" s="2720"/>
      <c r="B52" s="2720"/>
      <c r="C52" s="2720"/>
      <c r="D52" s="2720"/>
      <c r="E52" s="2720"/>
      <c r="F52" s="2720"/>
      <c r="G52" s="2720"/>
      <c r="H52" s="2720"/>
      <c r="I52" s="2720"/>
      <c r="J52" s="2720"/>
      <c r="K52" s="2723"/>
      <c r="L52" s="1755"/>
      <c r="M52" s="1742"/>
      <c r="N52" s="1742"/>
      <c r="O52" s="1742"/>
      <c r="P52" s="1804"/>
      <c r="Q52" s="1742"/>
      <c r="R52" s="1742"/>
      <c r="S52" s="1742"/>
      <c r="T52" s="1742"/>
      <c r="U52" s="1742"/>
      <c r="V52" s="1742"/>
      <c r="W52" s="1742"/>
      <c r="X52" s="1742"/>
      <c r="Y52" s="1742"/>
      <c r="Z52" s="1742"/>
      <c r="AA52" s="1742"/>
      <c r="AB52" s="1742"/>
      <c r="AC52" s="1742"/>
    </row>
    <row r="53" spans="1:29" ht="13.5" customHeight="1">
      <c r="A53" s="2720"/>
      <c r="B53" s="2720"/>
      <c r="C53" s="571" t="s">
        <v>506</v>
      </c>
      <c r="D53" s="572"/>
      <c r="E53" s="573" t="e">
        <f>IF(E48&lt;E49,E49/E48-1,E48/E49-1)</f>
        <v>#DIV/0!</v>
      </c>
      <c r="F53" s="574" t="e">
        <f>IF(OR(E53&gt;=0.3,E53&lt;=-0.3),"超过30%","")</f>
        <v>#DIV/0!</v>
      </c>
      <c r="G53" s="573" t="e">
        <f>IF(G48&lt;G49,G49/G48-1,G48/G49-1)</f>
        <v>#DIV/0!</v>
      </c>
      <c r="H53" s="574" t="e">
        <f>IF(OR(G53&gt;=0.3,G53&lt;=-0.3),"超过30%","")</f>
        <v>#DIV/0!</v>
      </c>
      <c r="I53" s="573" t="e">
        <f>IF(I48&lt;I49,I49/I48-1,I48/I49-1)</f>
        <v>#DIV/0!</v>
      </c>
      <c r="J53" s="574" t="e">
        <f>IF(OR(I53&gt;=0.3,I53&lt;=-0.3),"超过30%","")</f>
        <v>#DIV/0!</v>
      </c>
      <c r="K53" s="2723"/>
      <c r="L53" s="1755"/>
      <c r="M53" s="1742"/>
      <c r="N53" s="1742"/>
      <c r="O53" s="1742"/>
      <c r="P53" s="1804"/>
      <c r="Q53" s="1742"/>
      <c r="R53" s="1742"/>
      <c r="S53" s="1742"/>
      <c r="T53" s="1742"/>
      <c r="U53" s="1742"/>
      <c r="V53" s="1742"/>
      <c r="W53" s="1742"/>
      <c r="X53" s="1742"/>
      <c r="Y53" s="1742"/>
      <c r="Z53" s="1742"/>
      <c r="AA53" s="1742"/>
      <c r="AB53" s="1742"/>
      <c r="AC53" s="1742"/>
    </row>
    <row r="54" spans="1:29" ht="13.5" customHeight="1">
      <c r="A54" s="2720"/>
      <c r="B54" s="2720"/>
      <c r="C54" s="571" t="s">
        <v>507</v>
      </c>
      <c r="D54" s="575"/>
      <c r="E54" s="573" t="e">
        <f>IF(E49&lt;G49,G49/E49-1,E49/G49-1)</f>
        <v>#DIV/0!</v>
      </c>
      <c r="F54" s="574" t="e">
        <f>IF(OR(E54&gt;=0.2,E54&lt;=-0.2),"超过20%","")</f>
        <v>#DIV/0!</v>
      </c>
      <c r="G54" s="573" t="e">
        <f>IF(G49&lt;I49,I49/G49-1,G49/I49-1)</f>
        <v>#DIV/0!</v>
      </c>
      <c r="H54" s="574" t="e">
        <f>IF(OR(G54&gt;=0.2,G54&lt;=-0.2),"超过20%","")</f>
        <v>#DIV/0!</v>
      </c>
      <c r="I54" s="573" t="e">
        <f>IF(I49&lt;E49,E49/I49-1,I49/E49-1)</f>
        <v>#DIV/0!</v>
      </c>
      <c r="J54" s="574" t="e">
        <f>IF(OR(I54&gt;=0.2,I54&lt;=-0.2),"超过20%","")</f>
        <v>#DIV/0!</v>
      </c>
      <c r="K54" s="2723"/>
      <c r="L54" s="1755"/>
      <c r="M54" s="1742"/>
      <c r="N54" s="1742"/>
      <c r="O54" s="1742"/>
      <c r="P54" s="1804"/>
      <c r="Q54" s="1742"/>
      <c r="R54" s="1742"/>
      <c r="S54" s="1742"/>
      <c r="T54" s="1742"/>
      <c r="U54" s="1742"/>
      <c r="V54" s="1742"/>
      <c r="W54" s="1742"/>
      <c r="X54" s="1742"/>
      <c r="Y54" s="1742"/>
      <c r="Z54" s="1742"/>
      <c r="AA54" s="1742"/>
      <c r="AB54" s="1742"/>
      <c r="AC54" s="1742"/>
    </row>
    <row r="55" spans="1:29" s="1139" customFormat="1" ht="13.5" customHeight="1">
      <c r="A55" s="2721"/>
      <c r="B55" s="2721"/>
      <c r="C55" s="571" t="s">
        <v>508</v>
      </c>
      <c r="D55" s="575"/>
      <c r="E55" s="573" t="e">
        <f>IF(E48&lt;G48,G48/E48-1,E48/G48-1)</f>
        <v>#DIV/0!</v>
      </c>
      <c r="F55" s="574" t="e">
        <f>IF(OR(E55&gt;=0.3,E55&lt;=-0.3),"超过30%","")</f>
        <v>#DIV/0!</v>
      </c>
      <c r="G55" s="573" t="e">
        <f>IF(G48&lt;I48,I48/G48-1,G48/I48-1)</f>
        <v>#DIV/0!</v>
      </c>
      <c r="H55" s="574" t="e">
        <f>IF(OR(G55&gt;=0.3,G55&lt;=-0.3),"超过30%","")</f>
        <v>#DIV/0!</v>
      </c>
      <c r="I55" s="573" t="e">
        <f>IF(I48&lt;E48,E48/I48-1,I48/E48-1)</f>
        <v>#DIV/0!</v>
      </c>
      <c r="J55" s="574" t="e">
        <f>IF(OR(I55&gt;=0.3,I55&lt;=-0.3),"超过30%","")</f>
        <v>#DIV/0!</v>
      </c>
      <c r="K55" s="2724"/>
      <c r="L55" s="1758"/>
      <c r="M55" s="1752"/>
      <c r="N55" s="1752"/>
      <c r="O55" s="1752"/>
      <c r="P55" s="1805"/>
      <c r="Q55" s="1752"/>
      <c r="R55" s="1752"/>
      <c r="S55" s="1752"/>
      <c r="T55" s="1752"/>
      <c r="U55" s="1752"/>
      <c r="V55" s="1752"/>
      <c r="W55" s="1752"/>
      <c r="X55" s="1752"/>
      <c r="Y55" s="1752"/>
      <c r="Z55" s="1752"/>
      <c r="AA55" s="1752"/>
      <c r="AB55" s="1752"/>
      <c r="AC55" s="1752"/>
    </row>
    <row r="56" spans="1:29" s="1139" customFormat="1">
      <c r="A56" s="1752"/>
      <c r="B56" s="1753"/>
      <c r="C56" s="1756"/>
      <c r="D56" s="1752"/>
      <c r="E56" s="1752"/>
      <c r="F56" s="1752"/>
      <c r="G56" s="1752"/>
      <c r="H56" s="1752"/>
      <c r="I56" s="1752"/>
      <c r="J56" s="1752"/>
      <c r="K56" s="1757"/>
      <c r="L56" s="1758"/>
      <c r="M56" s="1752"/>
      <c r="N56" s="1752"/>
      <c r="O56" s="1752"/>
      <c r="P56" s="1805"/>
      <c r="Q56" s="1752"/>
      <c r="R56" s="1752"/>
      <c r="S56" s="1752"/>
      <c r="T56" s="1752"/>
      <c r="U56" s="1752"/>
      <c r="V56" s="1752"/>
      <c r="W56" s="1752"/>
      <c r="X56" s="1752"/>
      <c r="Y56" s="1752"/>
      <c r="Z56" s="1752"/>
      <c r="AA56" s="1752"/>
      <c r="AB56" s="1752"/>
      <c r="AC56" s="1752"/>
    </row>
    <row r="57" spans="1:29">
      <c r="A57" s="1742"/>
      <c r="B57" s="1753"/>
      <c r="C57" s="1756"/>
      <c r="D57" s="1742"/>
      <c r="E57" s="1742"/>
      <c r="F57" s="1742"/>
      <c r="G57" s="1742"/>
      <c r="H57" s="1742"/>
      <c r="I57" s="1742"/>
      <c r="J57" s="1742"/>
      <c r="K57" s="1754"/>
      <c r="L57" s="1755"/>
      <c r="M57" s="1742"/>
      <c r="N57" s="1742"/>
      <c r="O57" s="1742"/>
      <c r="P57" s="1804"/>
      <c r="Q57" s="1742"/>
      <c r="R57" s="1742"/>
      <c r="S57" s="1742"/>
      <c r="T57" s="1742"/>
      <c r="U57" s="1742"/>
      <c r="V57" s="1742"/>
      <c r="W57" s="1742"/>
      <c r="X57" s="1742"/>
      <c r="Y57" s="1742"/>
      <c r="Z57" s="1742"/>
      <c r="AA57" s="1742"/>
      <c r="AB57" s="1742"/>
      <c r="AC57" s="1742"/>
    </row>
    <row r="58" spans="1:29" ht="21.75" thickBot="1">
      <c r="A58" s="1317" t="s">
        <v>522</v>
      </c>
      <c r="B58" s="799"/>
      <c r="C58" s="1316"/>
      <c r="D58" s="1316"/>
      <c r="E58" s="1316"/>
      <c r="F58" s="1318"/>
      <c r="G58" s="1318"/>
      <c r="H58" s="1316"/>
      <c r="I58" s="1316"/>
      <c r="J58" s="1316"/>
      <c r="K58" s="1319"/>
      <c r="L58" s="1315"/>
      <c r="M58" s="1316"/>
      <c r="N58" s="1762"/>
      <c r="O58" s="1762"/>
      <c r="P58" s="1806"/>
      <c r="Q58" s="1763"/>
      <c r="R58" s="1742"/>
      <c r="S58" s="1742"/>
      <c r="T58" s="1742"/>
      <c r="U58" s="1742"/>
      <c r="V58" s="1742"/>
      <c r="W58" s="1742"/>
      <c r="X58" s="1742"/>
      <c r="Y58" s="1742"/>
      <c r="Z58" s="1742"/>
      <c r="AA58" s="1742"/>
      <c r="AB58" s="1742"/>
      <c r="AC58" s="1742"/>
    </row>
    <row r="59" spans="1:29" s="1141" customFormat="1" ht="15">
      <c r="A59" s="592" t="s">
        <v>478</v>
      </c>
      <c r="B59" s="593"/>
      <c r="C59" s="2113" t="str">
        <f>YEAR(C7)&amp;"-"&amp;MONTH(C7)</f>
        <v>2024-7</v>
      </c>
      <c r="D59" s="2115">
        <f>EDATE(C59,-1)</f>
        <v>45444</v>
      </c>
      <c r="E59" s="2115">
        <f t="shared" ref="E59:O59" si="13">EDATE(D59,-1)</f>
        <v>45413</v>
      </c>
      <c r="F59" s="2115">
        <f t="shared" si="13"/>
        <v>45383</v>
      </c>
      <c r="G59" s="2115">
        <f t="shared" si="13"/>
        <v>45352</v>
      </c>
      <c r="H59" s="2115">
        <f t="shared" si="13"/>
        <v>45323</v>
      </c>
      <c r="I59" s="2115">
        <f t="shared" si="13"/>
        <v>45292</v>
      </c>
      <c r="J59" s="2115">
        <f t="shared" si="13"/>
        <v>45261</v>
      </c>
      <c r="K59" s="2115">
        <f t="shared" si="13"/>
        <v>45231</v>
      </c>
      <c r="L59" s="2115">
        <f t="shared" si="13"/>
        <v>45200</v>
      </c>
      <c r="M59" s="2115">
        <f t="shared" si="13"/>
        <v>45170</v>
      </c>
      <c r="N59" s="2115">
        <f t="shared" si="13"/>
        <v>45139</v>
      </c>
      <c r="O59" s="2115">
        <f t="shared" si="13"/>
        <v>45108</v>
      </c>
      <c r="P59" s="1807"/>
      <c r="Q59" s="1765"/>
      <c r="R59" s="1765"/>
      <c r="S59" s="1765"/>
      <c r="T59" s="1765"/>
      <c r="U59" s="1765"/>
      <c r="V59" s="1765"/>
      <c r="W59" s="1765"/>
      <c r="X59" s="1765"/>
      <c r="Y59" s="1765"/>
      <c r="Z59" s="1765"/>
      <c r="AA59" s="1765"/>
      <c r="AB59" s="1765"/>
      <c r="AC59" s="1765"/>
    </row>
    <row r="60" spans="1:29" s="1060" customFormat="1" ht="15">
      <c r="A60" s="527"/>
      <c r="B60" s="594"/>
      <c r="C60" s="595">
        <v>100</v>
      </c>
      <c r="D60" s="596"/>
      <c r="E60" s="596"/>
      <c r="F60" s="596"/>
      <c r="G60" s="596"/>
      <c r="H60" s="596"/>
      <c r="I60" s="596"/>
      <c r="J60" s="596"/>
      <c r="K60" s="596"/>
      <c r="L60" s="596"/>
      <c r="M60" s="487"/>
      <c r="N60" s="596"/>
      <c r="O60" s="487"/>
      <c r="P60" s="1808"/>
      <c r="Q60" s="1640"/>
      <c r="R60" s="1640"/>
      <c r="S60" s="1640"/>
      <c r="T60" s="1640"/>
      <c r="U60" s="1640"/>
      <c r="V60" s="1640"/>
      <c r="W60" s="1640"/>
      <c r="X60" s="1640"/>
      <c r="Y60" s="1640"/>
      <c r="Z60" s="1640"/>
      <c r="AA60" s="1640"/>
      <c r="AB60" s="1640"/>
      <c r="AC60" s="1640"/>
    </row>
    <row r="61" spans="1:29" s="1060" customFormat="1" ht="15.75" thickBot="1">
      <c r="A61" s="262" t="s">
        <v>523</v>
      </c>
      <c r="B61" s="598"/>
      <c r="C61" s="599"/>
      <c r="D61" s="600"/>
      <c r="E61" s="600"/>
      <c r="F61" s="600"/>
      <c r="G61" s="600"/>
      <c r="H61" s="600"/>
      <c r="I61" s="600"/>
      <c r="J61" s="600"/>
      <c r="K61" s="600"/>
      <c r="L61" s="600"/>
      <c r="M61" s="601"/>
      <c r="N61" s="600"/>
      <c r="O61" s="601"/>
      <c r="P61" s="1808"/>
      <c r="Q61" s="1763"/>
      <c r="R61" s="1640"/>
      <c r="S61" s="1640"/>
      <c r="T61" s="1640"/>
      <c r="U61" s="1640"/>
      <c r="V61" s="1640"/>
      <c r="W61" s="1640"/>
      <c r="X61" s="1640"/>
      <c r="Y61" s="1640"/>
      <c r="Z61" s="1640"/>
      <c r="AA61" s="1640"/>
      <c r="AB61" s="1640"/>
      <c r="AC61" s="1640"/>
    </row>
    <row r="62" spans="1:29" s="1060" customFormat="1" ht="15">
      <c r="A62" s="603" t="s">
        <v>480</v>
      </c>
      <c r="B62" s="594"/>
      <c r="C62" s="604" t="s">
        <v>524</v>
      </c>
      <c r="D62" s="80"/>
      <c r="E62" s="80"/>
      <c r="F62" s="80"/>
      <c r="G62" s="80"/>
      <c r="H62" s="80"/>
      <c r="I62" s="80"/>
      <c r="J62" s="80"/>
      <c r="K62" s="80"/>
      <c r="L62" s="605"/>
      <c r="M62" s="606"/>
      <c r="N62" s="1766"/>
      <c r="O62" s="1766"/>
      <c r="P62" s="1809"/>
      <c r="Q62" s="1763"/>
      <c r="R62" s="1640"/>
      <c r="S62" s="1640"/>
      <c r="T62" s="1640"/>
      <c r="U62" s="1640"/>
      <c r="V62" s="1640"/>
      <c r="W62" s="1640"/>
      <c r="X62" s="1640"/>
      <c r="Y62" s="1640"/>
      <c r="Z62" s="1640"/>
      <c r="AA62" s="1640"/>
      <c r="AB62" s="1640"/>
      <c r="AC62" s="1640"/>
    </row>
    <row r="63" spans="1:29" s="1060" customFormat="1" ht="15.75" thickBot="1">
      <c r="A63" s="603"/>
      <c r="B63" s="594"/>
      <c r="C63" s="814">
        <v>100</v>
      </c>
      <c r="D63" s="596"/>
      <c r="E63" s="596"/>
      <c r="F63" s="596"/>
      <c r="G63" s="596"/>
      <c r="H63" s="596"/>
      <c r="I63" s="596"/>
      <c r="J63" s="596"/>
      <c r="K63" s="596"/>
      <c r="L63" s="596"/>
      <c r="M63" s="597"/>
      <c r="N63" s="1766"/>
      <c r="O63" s="1766"/>
      <c r="P63" s="1808"/>
      <c r="Q63" s="1763"/>
      <c r="R63" s="1640"/>
      <c r="S63" s="1640"/>
      <c r="T63" s="1640"/>
      <c r="U63" s="1640"/>
      <c r="V63" s="1640"/>
      <c r="W63" s="1640"/>
      <c r="X63" s="1640"/>
      <c r="Y63" s="1640"/>
      <c r="Z63" s="1640"/>
      <c r="AA63" s="1640"/>
      <c r="AB63" s="1640"/>
      <c r="AC63" s="1640"/>
    </row>
    <row r="64" spans="1:29">
      <c r="A64" s="607" t="s">
        <v>525</v>
      </c>
      <c r="B64" s="608" t="s">
        <v>483</v>
      </c>
      <c r="C64" s="645">
        <f>C9</f>
        <v>0</v>
      </c>
      <c r="D64" s="547"/>
      <c r="E64" s="547"/>
      <c r="F64" s="547"/>
      <c r="G64" s="547"/>
      <c r="H64" s="547"/>
      <c r="I64" s="547"/>
      <c r="J64" s="547"/>
      <c r="K64" s="609"/>
      <c r="L64" s="610"/>
      <c r="M64" s="611"/>
      <c r="N64" s="1767"/>
      <c r="O64" s="1767"/>
      <c r="P64" s="1810"/>
      <c r="Q64" s="1763"/>
      <c r="R64" s="1742"/>
      <c r="S64" s="1742"/>
      <c r="T64" s="1742"/>
      <c r="U64" s="1742"/>
      <c r="V64" s="1742"/>
      <c r="W64" s="1742"/>
      <c r="X64" s="1742"/>
      <c r="Y64" s="1742"/>
      <c r="Z64" s="1742"/>
      <c r="AA64" s="1742"/>
      <c r="AB64" s="1742"/>
      <c r="AC64" s="1742"/>
    </row>
    <row r="65" spans="1:29" ht="15.75" thickBot="1">
      <c r="A65" s="482"/>
      <c r="B65" s="612"/>
      <c r="C65" s="613"/>
      <c r="D65" s="613"/>
      <c r="E65" s="613"/>
      <c r="F65" s="613"/>
      <c r="G65" s="613"/>
      <c r="H65" s="613"/>
      <c r="I65" s="613"/>
      <c r="J65" s="613"/>
      <c r="K65" s="613"/>
      <c r="L65" s="613"/>
      <c r="M65" s="614"/>
      <c r="N65" s="1768"/>
      <c r="O65" s="1768"/>
      <c r="P65" s="1810"/>
      <c r="Q65" s="1763"/>
      <c r="R65" s="1742"/>
      <c r="S65" s="1742"/>
      <c r="T65" s="1742"/>
      <c r="U65" s="1742"/>
      <c r="V65" s="1742"/>
      <c r="W65" s="1742"/>
      <c r="X65" s="1742"/>
      <c r="Y65" s="1742"/>
      <c r="Z65" s="1742"/>
      <c r="AA65" s="1742"/>
      <c r="AB65" s="1742"/>
      <c r="AC65" s="1742"/>
    </row>
    <row r="66" spans="1:29" ht="27.75" thickTop="1">
      <c r="A66" s="482"/>
      <c r="B66" s="615" t="s">
        <v>486</v>
      </c>
      <c r="C66" s="658"/>
      <c r="D66" s="658"/>
      <c r="E66" s="658"/>
      <c r="F66" s="658"/>
      <c r="G66" s="658"/>
      <c r="H66" s="658"/>
      <c r="I66" s="658"/>
      <c r="J66" s="658"/>
      <c r="K66" s="659"/>
      <c r="L66" s="660"/>
      <c r="M66" s="661"/>
      <c r="N66" s="1767"/>
      <c r="O66" s="1767"/>
      <c r="P66" s="1810"/>
      <c r="Q66" s="1763"/>
      <c r="R66" s="1742"/>
      <c r="S66" s="1742"/>
      <c r="T66" s="1742"/>
      <c r="U66" s="1742"/>
      <c r="V66" s="1742"/>
      <c r="W66" s="1742"/>
      <c r="X66" s="1742"/>
      <c r="Y66" s="1742"/>
      <c r="Z66" s="1742"/>
      <c r="AA66" s="1742"/>
      <c r="AB66" s="1742"/>
      <c r="AC66" s="1742"/>
    </row>
    <row r="67" spans="1:29" ht="15.75" thickBot="1">
      <c r="A67" s="482"/>
      <c r="B67" s="620"/>
      <c r="C67" s="613"/>
      <c r="D67" s="613"/>
      <c r="E67" s="613"/>
      <c r="F67" s="613"/>
      <c r="G67" s="613"/>
      <c r="H67" s="613"/>
      <c r="I67" s="613"/>
      <c r="J67" s="613"/>
      <c r="K67" s="613"/>
      <c r="L67" s="613"/>
      <c r="M67" s="614"/>
      <c r="N67" s="1768"/>
      <c r="O67" s="1768"/>
      <c r="P67" s="1810"/>
      <c r="Q67" s="1763"/>
      <c r="R67" s="1742"/>
      <c r="S67" s="1742"/>
      <c r="T67" s="1742"/>
      <c r="U67" s="1742"/>
      <c r="V67" s="1742"/>
      <c r="W67" s="1742"/>
      <c r="X67" s="1742"/>
      <c r="Y67" s="1742"/>
      <c r="Z67" s="1742"/>
      <c r="AA67" s="1742"/>
      <c r="AB67" s="1742"/>
      <c r="AC67" s="1742"/>
    </row>
    <row r="68" spans="1:29" ht="15.75" thickTop="1">
      <c r="A68" s="482"/>
      <c r="B68" s="623" t="s">
        <v>487</v>
      </c>
      <c r="C68" s="624" t="str">
        <f>C69&amp;"（含）"&amp;"-"&amp;D69</f>
        <v>（含）-</v>
      </c>
      <c r="D68" s="624" t="str">
        <f t="shared" ref="D68:L68" si="14">D69&amp;"（含）"&amp;"-"&amp;E69</f>
        <v>（含）-</v>
      </c>
      <c r="E68" s="624" t="str">
        <f t="shared" si="14"/>
        <v>（含）-</v>
      </c>
      <c r="F68" s="624" t="str">
        <f t="shared" si="14"/>
        <v>（含）-</v>
      </c>
      <c r="G68" s="624" t="str">
        <f t="shared" si="14"/>
        <v>（含）-</v>
      </c>
      <c r="H68" s="624" t="str">
        <f t="shared" si="14"/>
        <v>（含）-</v>
      </c>
      <c r="I68" s="624" t="str">
        <f t="shared" si="14"/>
        <v>（含）-</v>
      </c>
      <c r="J68" s="624" t="str">
        <f t="shared" si="14"/>
        <v>（含）-</v>
      </c>
      <c r="K68" s="624" t="str">
        <f t="shared" si="14"/>
        <v>（含）-</v>
      </c>
      <c r="L68" s="624" t="str">
        <f t="shared" si="14"/>
        <v>（含）-</v>
      </c>
      <c r="M68" s="505" t="str">
        <f>M69&amp;"（含）"&amp;"-"&amp;P69</f>
        <v>（含）-</v>
      </c>
      <c r="N68" s="1768"/>
      <c r="O68" s="1768"/>
      <c r="P68" s="1810"/>
      <c r="Q68" s="1763"/>
      <c r="R68" s="1742"/>
      <c r="S68" s="1742"/>
      <c r="T68" s="1742"/>
      <c r="U68" s="1742"/>
      <c r="V68" s="1742"/>
      <c r="W68" s="1742"/>
      <c r="X68" s="1742"/>
      <c r="Y68" s="1742"/>
      <c r="Z68" s="1742"/>
      <c r="AA68" s="1742"/>
      <c r="AB68" s="1742"/>
      <c r="AC68" s="1742"/>
    </row>
    <row r="69" spans="1:29" ht="15">
      <c r="A69" s="482"/>
      <c r="B69" s="625"/>
      <c r="C69" s="491"/>
      <c r="D69" s="491"/>
      <c r="E69" s="491"/>
      <c r="F69" s="491"/>
      <c r="G69" s="491"/>
      <c r="H69" s="491"/>
      <c r="I69" s="491"/>
      <c r="J69" s="491"/>
      <c r="K69" s="626"/>
      <c r="L69" s="627"/>
      <c r="M69" s="628"/>
      <c r="N69" s="1767"/>
      <c r="O69" s="1767"/>
      <c r="P69" s="1810"/>
      <c r="Q69" s="1763"/>
      <c r="R69" s="1742"/>
      <c r="S69" s="1742"/>
      <c r="T69" s="1742"/>
      <c r="U69" s="1742"/>
      <c r="V69" s="1742"/>
      <c r="W69" s="1742"/>
      <c r="X69" s="1742"/>
      <c r="Y69" s="1742"/>
      <c r="Z69" s="1742"/>
      <c r="AA69" s="1742"/>
      <c r="AB69" s="1742"/>
      <c r="AC69" s="1742"/>
    </row>
    <row r="70" spans="1:29" ht="15.75" thickBot="1">
      <c r="A70" s="482"/>
      <c r="B70" s="612"/>
      <c r="C70" s="621">
        <v>100</v>
      </c>
      <c r="D70" s="621">
        <f t="shared" ref="D70:M70" si="15">C70-$K11</f>
        <v>100</v>
      </c>
      <c r="E70" s="621">
        <f t="shared" si="15"/>
        <v>100</v>
      </c>
      <c r="F70" s="621">
        <f t="shared" si="15"/>
        <v>100</v>
      </c>
      <c r="G70" s="621">
        <f t="shared" si="15"/>
        <v>100</v>
      </c>
      <c r="H70" s="621">
        <f t="shared" si="15"/>
        <v>100</v>
      </c>
      <c r="I70" s="621">
        <f t="shared" si="15"/>
        <v>100</v>
      </c>
      <c r="J70" s="621">
        <f t="shared" si="15"/>
        <v>100</v>
      </c>
      <c r="K70" s="621">
        <f t="shared" si="15"/>
        <v>100</v>
      </c>
      <c r="L70" s="621">
        <f t="shared" si="15"/>
        <v>100</v>
      </c>
      <c r="M70" s="622">
        <f t="shared" si="15"/>
        <v>100</v>
      </c>
      <c r="N70" s="1768"/>
      <c r="O70" s="1768"/>
      <c r="P70" s="1810"/>
      <c r="Q70" s="1763"/>
      <c r="R70" s="1742"/>
      <c r="S70" s="1742"/>
      <c r="T70" s="1742"/>
      <c r="U70" s="1742"/>
      <c r="V70" s="1742"/>
      <c r="W70" s="1742"/>
      <c r="X70" s="1742"/>
      <c r="Y70" s="1742"/>
      <c r="Z70" s="1742"/>
      <c r="AA70" s="1742"/>
      <c r="AB70" s="1742"/>
      <c r="AC70" s="1742"/>
    </row>
    <row r="71" spans="1:29" s="1134" customFormat="1" ht="15.75" thickTop="1">
      <c r="A71" s="629"/>
      <c r="B71" s="615">
        <f>B12</f>
        <v>111</v>
      </c>
      <c r="C71" s="630"/>
      <c r="D71" s="630"/>
      <c r="E71" s="630"/>
      <c r="F71" s="630"/>
      <c r="G71" s="630"/>
      <c r="H71" s="631"/>
      <c r="I71" s="631"/>
      <c r="J71" s="631"/>
      <c r="K71" s="631"/>
      <c r="L71" s="632"/>
      <c r="M71" s="633"/>
      <c r="N71" s="1769"/>
      <c r="O71" s="1769"/>
      <c r="P71" s="1811"/>
      <c r="Q71" s="1770"/>
      <c r="R71" s="1771"/>
      <c r="S71" s="1771"/>
      <c r="T71" s="1771"/>
      <c r="U71" s="1771"/>
      <c r="V71" s="1771"/>
      <c r="W71" s="1771"/>
      <c r="X71" s="1771"/>
      <c r="Y71" s="1771"/>
      <c r="Z71" s="1771"/>
      <c r="AA71" s="1771"/>
      <c r="AB71" s="1771"/>
      <c r="AC71" s="1771"/>
    </row>
    <row r="72" spans="1:29" s="1134" customFormat="1" ht="15.75" thickBot="1">
      <c r="A72" s="629"/>
      <c r="B72" s="620"/>
      <c r="C72" s="634"/>
      <c r="D72" s="613"/>
      <c r="E72" s="613"/>
      <c r="F72" s="613"/>
      <c r="G72" s="613"/>
      <c r="H72" s="613"/>
      <c r="I72" s="613"/>
      <c r="J72" s="613"/>
      <c r="K72" s="613"/>
      <c r="L72" s="613"/>
      <c r="M72" s="614"/>
      <c r="N72" s="1768"/>
      <c r="O72" s="1768"/>
      <c r="P72" s="1811"/>
      <c r="Q72" s="1770"/>
      <c r="R72" s="1771"/>
      <c r="S72" s="1771"/>
      <c r="T72" s="1771"/>
      <c r="U72" s="1771"/>
      <c r="V72" s="1771"/>
      <c r="W72" s="1771"/>
      <c r="X72" s="1771"/>
      <c r="Y72" s="1771"/>
      <c r="Z72" s="1771"/>
      <c r="AA72" s="1771"/>
      <c r="AB72" s="1771"/>
      <c r="AC72" s="1771"/>
    </row>
    <row r="73" spans="1:29" s="1134" customFormat="1" ht="15.75" thickTop="1">
      <c r="A73" s="629"/>
      <c r="B73" s="615">
        <f>B13</f>
        <v>111</v>
      </c>
      <c r="C73" s="630"/>
      <c r="D73" s="630"/>
      <c r="E73" s="630"/>
      <c r="F73" s="630"/>
      <c r="G73" s="630"/>
      <c r="H73" s="631"/>
      <c r="I73" s="631"/>
      <c r="J73" s="631"/>
      <c r="K73" s="631"/>
      <c r="L73" s="632"/>
      <c r="M73" s="633"/>
      <c r="N73" s="1769"/>
      <c r="O73" s="1769"/>
      <c r="P73" s="1812"/>
      <c r="Q73" s="1772"/>
      <c r="R73" s="1771"/>
      <c r="S73" s="1771"/>
      <c r="T73" s="1771"/>
      <c r="U73" s="1771"/>
      <c r="V73" s="1771"/>
      <c r="W73" s="1771"/>
      <c r="X73" s="1771"/>
      <c r="Y73" s="1771"/>
      <c r="Z73" s="1771"/>
      <c r="AA73" s="1771"/>
      <c r="AB73" s="1771"/>
      <c r="AC73" s="1771"/>
    </row>
    <row r="74" spans="1:29" s="1134" customFormat="1" ht="15.75" thickBot="1">
      <c r="A74" s="629"/>
      <c r="B74" s="620"/>
      <c r="C74" s="634"/>
      <c r="D74" s="634"/>
      <c r="E74" s="634"/>
      <c r="F74" s="634"/>
      <c r="G74" s="634"/>
      <c r="H74" s="635"/>
      <c r="I74" s="635"/>
      <c r="J74" s="635"/>
      <c r="K74" s="635"/>
      <c r="L74" s="635"/>
      <c r="M74" s="636"/>
      <c r="N74" s="1769"/>
      <c r="O74" s="1769"/>
      <c r="P74" s="1811"/>
      <c r="Q74" s="1770"/>
      <c r="R74" s="1771"/>
      <c r="S74" s="1771"/>
      <c r="T74" s="1771"/>
      <c r="U74" s="1771"/>
      <c r="V74" s="1771"/>
      <c r="W74" s="1771"/>
      <c r="X74" s="1771"/>
      <c r="Y74" s="1771"/>
      <c r="Z74" s="1771"/>
      <c r="AA74" s="1771"/>
      <c r="AB74" s="1771"/>
      <c r="AC74" s="1771"/>
    </row>
    <row r="75" spans="1:29" s="1134" customFormat="1" ht="15.75" thickTop="1">
      <c r="A75" s="629"/>
      <c r="B75" s="623">
        <f>B14</f>
        <v>111</v>
      </c>
      <c r="C75" s="80"/>
      <c r="D75" s="80"/>
      <c r="E75" s="80"/>
      <c r="F75" s="80"/>
      <c r="G75" s="80"/>
      <c r="H75" s="637"/>
      <c r="I75" s="637"/>
      <c r="J75" s="637"/>
      <c r="K75" s="637"/>
      <c r="L75" s="638"/>
      <c r="M75" s="639"/>
      <c r="N75" s="1769"/>
      <c r="O75" s="1769"/>
      <c r="P75" s="1813"/>
      <c r="Q75" s="1770"/>
      <c r="R75" s="1771"/>
      <c r="S75" s="1771"/>
      <c r="T75" s="1771"/>
      <c r="U75" s="1771"/>
      <c r="V75" s="1771"/>
      <c r="W75" s="1771"/>
      <c r="X75" s="1771"/>
      <c r="Y75" s="1771"/>
      <c r="Z75" s="1771"/>
      <c r="AA75" s="1771"/>
      <c r="AB75" s="1771"/>
      <c r="AC75" s="1771"/>
    </row>
    <row r="76" spans="1:29" s="1134" customFormat="1" ht="15.75" thickBot="1">
      <c r="A76" s="640"/>
      <c r="B76" s="641"/>
      <c r="C76" s="642"/>
      <c r="D76" s="642"/>
      <c r="E76" s="642"/>
      <c r="F76" s="642"/>
      <c r="G76" s="642"/>
      <c r="H76" s="643"/>
      <c r="I76" s="643"/>
      <c r="J76" s="643"/>
      <c r="K76" s="643"/>
      <c r="L76" s="643"/>
      <c r="M76" s="644"/>
      <c r="N76" s="1769"/>
      <c r="O76" s="1769"/>
      <c r="P76" s="1811"/>
      <c r="Q76" s="1770"/>
      <c r="R76" s="1771"/>
      <c r="S76" s="1771"/>
      <c r="T76" s="1771"/>
      <c r="U76" s="1771"/>
      <c r="V76" s="1771"/>
      <c r="W76" s="1771"/>
      <c r="X76" s="1771"/>
      <c r="Y76" s="1771"/>
      <c r="Z76" s="1771"/>
      <c r="AA76" s="1771"/>
      <c r="AB76" s="1771"/>
      <c r="AC76" s="1771"/>
    </row>
    <row r="77" spans="1:29">
      <c r="A77" s="607" t="s">
        <v>488</v>
      </c>
      <c r="B77" s="608" t="s">
        <v>533</v>
      </c>
      <c r="C77" s="143" t="s">
        <v>527</v>
      </c>
      <c r="D77" s="143" t="s">
        <v>528</v>
      </c>
      <c r="E77" s="143" t="s">
        <v>529</v>
      </c>
      <c r="F77" s="143" t="s">
        <v>530</v>
      </c>
      <c r="G77" s="143" t="s">
        <v>531</v>
      </c>
      <c r="H77" s="645"/>
      <c r="I77" s="645"/>
      <c r="J77" s="645"/>
      <c r="K77" s="646"/>
      <c r="L77" s="647"/>
      <c r="M77" s="648"/>
      <c r="N77" s="1767"/>
      <c r="O77" s="1767"/>
      <c r="P77" s="1814"/>
      <c r="Q77" s="1763"/>
      <c r="R77" s="1742"/>
      <c r="S77" s="1742"/>
      <c r="T77" s="1742"/>
      <c r="U77" s="1742"/>
      <c r="V77" s="1742"/>
      <c r="W77" s="1742"/>
      <c r="X77" s="1742"/>
      <c r="Y77" s="1742"/>
      <c r="Z77" s="1742"/>
      <c r="AA77" s="1742"/>
      <c r="AB77" s="1742"/>
      <c r="AC77" s="1742"/>
    </row>
    <row r="78" spans="1:29" ht="15.75" thickBot="1">
      <c r="A78" s="482"/>
      <c r="B78" s="620"/>
      <c r="C78" s="621">
        <v>100</v>
      </c>
      <c r="D78" s="621">
        <f>C78-$K15</f>
        <v>100</v>
      </c>
      <c r="E78" s="621">
        <f>D78-$K15</f>
        <v>100</v>
      </c>
      <c r="F78" s="621">
        <f>E78-$K15</f>
        <v>100</v>
      </c>
      <c r="G78" s="621">
        <f>F78-$K15</f>
        <v>100</v>
      </c>
      <c r="H78" s="621"/>
      <c r="I78" s="621"/>
      <c r="J78" s="621"/>
      <c r="K78" s="621"/>
      <c r="L78" s="621"/>
      <c r="M78" s="622"/>
      <c r="N78" s="1768"/>
      <c r="O78" s="1768"/>
      <c r="P78" s="1810"/>
      <c r="Q78" s="1763"/>
      <c r="R78" s="1742"/>
      <c r="S78" s="1742"/>
      <c r="T78" s="1742"/>
      <c r="U78" s="1742"/>
      <c r="V78" s="1742"/>
      <c r="W78" s="1742"/>
      <c r="X78" s="1742"/>
      <c r="Y78" s="1742"/>
      <c r="Z78" s="1742"/>
      <c r="AA78" s="1742"/>
      <c r="AB78" s="1742"/>
      <c r="AC78" s="1742"/>
    </row>
    <row r="79" spans="1:29" ht="15.75" thickTop="1">
      <c r="A79" s="482"/>
      <c r="B79" s="615" t="s">
        <v>534</v>
      </c>
      <c r="C79" s="649" t="s">
        <v>527</v>
      </c>
      <c r="D79" s="649" t="s">
        <v>528</v>
      </c>
      <c r="E79" s="649" t="s">
        <v>529</v>
      </c>
      <c r="F79" s="649" t="s">
        <v>530</v>
      </c>
      <c r="G79" s="649" t="s">
        <v>531</v>
      </c>
      <c r="H79" s="616"/>
      <c r="I79" s="616"/>
      <c r="J79" s="616"/>
      <c r="K79" s="617"/>
      <c r="L79" s="618"/>
      <c r="M79" s="619"/>
      <c r="N79" s="1767"/>
      <c r="O79" s="1767"/>
      <c r="P79" s="1810"/>
      <c r="Q79" s="1763"/>
      <c r="R79" s="1742"/>
      <c r="S79" s="1742"/>
      <c r="T79" s="1742"/>
      <c r="U79" s="1742"/>
      <c r="V79" s="1742"/>
      <c r="W79" s="1742"/>
      <c r="X79" s="1742"/>
      <c r="Y79" s="1742"/>
      <c r="Z79" s="1742"/>
      <c r="AA79" s="1742"/>
      <c r="AB79" s="1742"/>
      <c r="AC79" s="1742"/>
    </row>
    <row r="80" spans="1:29" ht="15.75" thickBot="1">
      <c r="A80" s="482"/>
      <c r="B80" s="620"/>
      <c r="C80" s="621">
        <v>100</v>
      </c>
      <c r="D80" s="621">
        <f>C80-$K17</f>
        <v>100</v>
      </c>
      <c r="E80" s="621">
        <f>D80-$K17</f>
        <v>100</v>
      </c>
      <c r="F80" s="621">
        <f>E80-$K17</f>
        <v>100</v>
      </c>
      <c r="G80" s="621">
        <f>F80-$K17</f>
        <v>100</v>
      </c>
      <c r="H80" s="621"/>
      <c r="I80" s="621"/>
      <c r="J80" s="621"/>
      <c r="K80" s="621"/>
      <c r="L80" s="621"/>
      <c r="M80" s="622"/>
      <c r="N80" s="1768"/>
      <c r="O80" s="1768"/>
      <c r="P80" s="1810"/>
      <c r="Q80" s="1763"/>
      <c r="R80" s="1742"/>
      <c r="S80" s="1742"/>
      <c r="T80" s="1742"/>
      <c r="U80" s="1742"/>
      <c r="V80" s="1742"/>
      <c r="W80" s="1742"/>
      <c r="X80" s="1742"/>
      <c r="Y80" s="1742"/>
      <c r="Z80" s="1742"/>
      <c r="AA80" s="1742"/>
      <c r="AB80" s="1742"/>
      <c r="AC80" s="1742"/>
    </row>
    <row r="81" spans="1:29" ht="15.75" thickTop="1">
      <c r="A81" s="482"/>
      <c r="B81" s="1555" t="s">
        <v>1840</v>
      </c>
      <c r="C81" s="649" t="s">
        <v>527</v>
      </c>
      <c r="D81" s="649" t="s">
        <v>528</v>
      </c>
      <c r="E81" s="649" t="s">
        <v>529</v>
      </c>
      <c r="F81" s="649" t="s">
        <v>530</v>
      </c>
      <c r="G81" s="649" t="s">
        <v>531</v>
      </c>
      <c r="H81" s="616"/>
      <c r="I81" s="616"/>
      <c r="J81" s="616"/>
      <c r="K81" s="617"/>
      <c r="L81" s="618"/>
      <c r="M81" s="619"/>
      <c r="N81" s="1767"/>
      <c r="O81" s="1767"/>
      <c r="P81" s="1810"/>
      <c r="Q81" s="1763"/>
      <c r="R81" s="1742"/>
      <c r="S81" s="1742"/>
      <c r="T81" s="1742"/>
      <c r="U81" s="1742"/>
      <c r="V81" s="1742"/>
      <c r="W81" s="1742"/>
      <c r="X81" s="1742"/>
      <c r="Y81" s="1742"/>
      <c r="Z81" s="1742"/>
      <c r="AA81" s="1742"/>
      <c r="AB81" s="1742"/>
      <c r="AC81" s="1742"/>
    </row>
    <row r="82" spans="1:29" ht="15.75" thickBot="1">
      <c r="A82" s="482"/>
      <c r="B82" s="620"/>
      <c r="C82" s="621">
        <v>100</v>
      </c>
      <c r="D82" s="621">
        <f>C82-$K19</f>
        <v>100</v>
      </c>
      <c r="E82" s="621">
        <f>D82-$K19</f>
        <v>100</v>
      </c>
      <c r="F82" s="621">
        <f>E82-$K19</f>
        <v>100</v>
      </c>
      <c r="G82" s="621">
        <f>F82-$K19</f>
        <v>100</v>
      </c>
      <c r="H82" s="621"/>
      <c r="I82" s="621"/>
      <c r="J82" s="621"/>
      <c r="K82" s="621"/>
      <c r="L82" s="621"/>
      <c r="M82" s="622"/>
      <c r="N82" s="1768"/>
      <c r="O82" s="1768"/>
      <c r="P82" s="1810"/>
      <c r="Q82" s="1763"/>
      <c r="R82" s="1742"/>
      <c r="S82" s="1742"/>
      <c r="T82" s="1742"/>
      <c r="U82" s="1742"/>
      <c r="V82" s="1742"/>
      <c r="W82" s="1742"/>
      <c r="X82" s="1742"/>
      <c r="Y82" s="1742"/>
      <c r="Z82" s="1742"/>
      <c r="AA82" s="1742"/>
      <c r="AB82" s="1742"/>
      <c r="AC82" s="1742"/>
    </row>
    <row r="83" spans="1:29" ht="15.75" thickTop="1">
      <c r="A83" s="482"/>
      <c r="B83" s="2056" t="s">
        <v>1841</v>
      </c>
      <c r="C83" s="2057" t="s">
        <v>1842</v>
      </c>
      <c r="D83" s="2057" t="s">
        <v>1843</v>
      </c>
      <c r="E83" s="2057" t="s">
        <v>1844</v>
      </c>
      <c r="F83" s="2057" t="s">
        <v>1845</v>
      </c>
      <c r="G83" s="2057" t="s">
        <v>1846</v>
      </c>
      <c r="H83" s="616"/>
      <c r="I83" s="616"/>
      <c r="J83" s="616"/>
      <c r="K83" s="616"/>
      <c r="L83" s="616"/>
      <c r="M83" s="2060"/>
      <c r="N83" s="1768"/>
      <c r="O83" s="1768"/>
      <c r="P83" s="1810"/>
      <c r="Q83" s="1763"/>
      <c r="R83" s="1742"/>
      <c r="S83" s="1742"/>
      <c r="T83" s="1742"/>
      <c r="U83" s="1742"/>
      <c r="V83" s="1742"/>
      <c r="W83" s="1742"/>
      <c r="X83" s="1742"/>
      <c r="Y83" s="1742"/>
      <c r="Z83" s="1742"/>
      <c r="AA83" s="1742"/>
      <c r="AB83" s="1742"/>
      <c r="AC83" s="1742"/>
    </row>
    <row r="84" spans="1:29" ht="15.75" thickBot="1">
      <c r="A84" s="482"/>
      <c r="B84" s="623"/>
      <c r="C84" s="621">
        <v>100</v>
      </c>
      <c r="D84" s="621">
        <f>C84-$K21</f>
        <v>100</v>
      </c>
      <c r="E84" s="621">
        <f>D84-$K21</f>
        <v>100</v>
      </c>
      <c r="F84" s="621">
        <f>E84-$K21</f>
        <v>100</v>
      </c>
      <c r="G84" s="621">
        <f>F84-$K21</f>
        <v>100</v>
      </c>
      <c r="H84" s="856"/>
      <c r="I84" s="856"/>
      <c r="J84" s="856"/>
      <c r="K84" s="856"/>
      <c r="L84" s="856"/>
      <c r="M84" s="509"/>
      <c r="N84" s="1768"/>
      <c r="O84" s="1768"/>
      <c r="P84" s="1810"/>
      <c r="Q84" s="1763"/>
      <c r="R84" s="1742"/>
      <c r="S84" s="1742"/>
      <c r="T84" s="1742"/>
      <c r="U84" s="1742"/>
      <c r="V84" s="1742"/>
      <c r="W84" s="1742"/>
      <c r="X84" s="1742"/>
      <c r="Y84" s="1742"/>
      <c r="Z84" s="1742"/>
      <c r="AA84" s="1742"/>
      <c r="AB84" s="1742"/>
      <c r="AC84" s="1742"/>
    </row>
    <row r="85" spans="1:29" ht="15.75" thickTop="1">
      <c r="A85" s="482"/>
      <c r="B85" s="615" t="s">
        <v>724</v>
      </c>
      <c r="C85" s="649" t="s">
        <v>527</v>
      </c>
      <c r="D85" s="649" t="s">
        <v>528</v>
      </c>
      <c r="E85" s="649" t="s">
        <v>529</v>
      </c>
      <c r="F85" s="649" t="s">
        <v>530</v>
      </c>
      <c r="G85" s="649" t="s">
        <v>531</v>
      </c>
      <c r="H85" s="616"/>
      <c r="I85" s="616"/>
      <c r="J85" s="616"/>
      <c r="K85" s="617"/>
      <c r="L85" s="618"/>
      <c r="M85" s="619"/>
      <c r="N85" s="1767"/>
      <c r="O85" s="1767"/>
      <c r="P85" s="1810"/>
      <c r="Q85" s="1763"/>
      <c r="R85" s="1742"/>
      <c r="S85" s="1742"/>
      <c r="T85" s="1742"/>
      <c r="U85" s="1742"/>
      <c r="V85" s="1742"/>
      <c r="W85" s="1742"/>
      <c r="X85" s="1742"/>
      <c r="Y85" s="1742"/>
      <c r="Z85" s="1742"/>
      <c r="AA85" s="1742"/>
      <c r="AB85" s="1742"/>
      <c r="AC85" s="1742"/>
    </row>
    <row r="86" spans="1:29" ht="15.75" thickBot="1">
      <c r="A86" s="482"/>
      <c r="B86" s="620"/>
      <c r="C86" s="621">
        <v>100</v>
      </c>
      <c r="D86" s="621">
        <f>C86-$K23</f>
        <v>100</v>
      </c>
      <c r="E86" s="621">
        <f>D86-$K23</f>
        <v>100</v>
      </c>
      <c r="F86" s="621">
        <f>E86-$K23</f>
        <v>100</v>
      </c>
      <c r="G86" s="621">
        <f>F86-$K23</f>
        <v>100</v>
      </c>
      <c r="H86" s="621"/>
      <c r="I86" s="621"/>
      <c r="J86" s="621"/>
      <c r="K86" s="621"/>
      <c r="L86" s="621"/>
      <c r="M86" s="622"/>
      <c r="N86" s="1768"/>
      <c r="O86" s="1768"/>
      <c r="P86" s="1810"/>
      <c r="Q86" s="1763"/>
      <c r="R86" s="1742"/>
      <c r="S86" s="1742"/>
      <c r="T86" s="1742"/>
      <c r="U86" s="1742"/>
      <c r="V86" s="1742"/>
      <c r="W86" s="1742"/>
      <c r="X86" s="1742"/>
      <c r="Y86" s="1742"/>
      <c r="Z86" s="1742"/>
      <c r="AA86" s="1742"/>
      <c r="AB86" s="1742"/>
      <c r="AC86" s="1742"/>
    </row>
    <row r="87" spans="1:29" s="1060" customFormat="1" ht="27.75" thickTop="1">
      <c r="A87" s="486"/>
      <c r="B87" s="615" t="s">
        <v>725</v>
      </c>
      <c r="C87" s="630"/>
      <c r="D87" s="630"/>
      <c r="E87" s="630"/>
      <c r="F87" s="630"/>
      <c r="G87" s="630"/>
      <c r="H87" s="630"/>
      <c r="I87" s="630"/>
      <c r="J87" s="630"/>
      <c r="K87" s="630"/>
      <c r="L87" s="815"/>
      <c r="M87" s="816"/>
      <c r="N87" s="1766"/>
      <c r="O87" s="1766"/>
      <c r="P87" s="1810"/>
      <c r="Q87" s="1763"/>
      <c r="R87" s="1640"/>
      <c r="S87" s="1640"/>
      <c r="T87" s="1640"/>
      <c r="U87" s="1640"/>
      <c r="V87" s="1640"/>
      <c r="W87" s="1640"/>
      <c r="X87" s="1640"/>
      <c r="Y87" s="1640"/>
      <c r="Z87" s="1640"/>
      <c r="AA87" s="1640"/>
      <c r="AB87" s="1640"/>
      <c r="AC87" s="1640"/>
    </row>
    <row r="88" spans="1:29" s="1060" customFormat="1" ht="15.75" thickBot="1">
      <c r="A88" s="486"/>
      <c r="B88" s="620"/>
      <c r="C88" s="652">
        <v>100</v>
      </c>
      <c r="D88" s="621">
        <f t="shared" ref="D88:M88" si="16">C88-$K25</f>
        <v>100</v>
      </c>
      <c r="E88" s="621">
        <f t="shared" si="16"/>
        <v>100</v>
      </c>
      <c r="F88" s="621">
        <f t="shared" si="16"/>
        <v>100</v>
      </c>
      <c r="G88" s="621">
        <f t="shared" si="16"/>
        <v>100</v>
      </c>
      <c r="H88" s="621">
        <f t="shared" si="16"/>
        <v>100</v>
      </c>
      <c r="I88" s="621">
        <f t="shared" si="16"/>
        <v>100</v>
      </c>
      <c r="J88" s="621">
        <f t="shared" si="16"/>
        <v>100</v>
      </c>
      <c r="K88" s="621">
        <f t="shared" si="16"/>
        <v>100</v>
      </c>
      <c r="L88" s="621">
        <f t="shared" si="16"/>
        <v>100</v>
      </c>
      <c r="M88" s="621">
        <f t="shared" si="16"/>
        <v>100</v>
      </c>
      <c r="N88" s="1768"/>
      <c r="O88" s="1768"/>
      <c r="P88" s="1810"/>
      <c r="Q88" s="1763"/>
      <c r="R88" s="1640"/>
      <c r="S88" s="1640"/>
      <c r="T88" s="1640"/>
      <c r="U88" s="1640"/>
      <c r="V88" s="1640"/>
      <c r="W88" s="1640"/>
      <c r="X88" s="1640"/>
      <c r="Y88" s="1640"/>
      <c r="Z88" s="1640"/>
      <c r="AA88" s="1640"/>
      <c r="AB88" s="1640"/>
      <c r="AC88" s="1640"/>
    </row>
    <row r="89" spans="1:29" s="1060" customFormat="1" ht="15.75" thickTop="1">
      <c r="A89" s="486"/>
      <c r="B89" s="615" t="str">
        <f>B27</f>
        <v>楼层</v>
      </c>
      <c r="C89" s="630"/>
      <c r="D89" s="630"/>
      <c r="E89" s="630"/>
      <c r="F89" s="817"/>
      <c r="G89" s="630"/>
      <c r="H89" s="630"/>
      <c r="I89" s="630"/>
      <c r="J89" s="630"/>
      <c r="K89" s="630"/>
      <c r="L89" s="630"/>
      <c r="M89" s="816"/>
      <c r="N89" s="1766"/>
      <c r="O89" s="1766"/>
      <c r="P89" s="1810"/>
      <c r="Q89" s="1763"/>
      <c r="R89" s="1640"/>
      <c r="S89" s="1640"/>
      <c r="T89" s="1640"/>
      <c r="U89" s="1640"/>
      <c r="V89" s="1640"/>
      <c r="W89" s="1640"/>
      <c r="X89" s="1640"/>
      <c r="Y89" s="1640"/>
      <c r="Z89" s="1640"/>
      <c r="AA89" s="1640"/>
      <c r="AB89" s="1640"/>
      <c r="AC89" s="1640"/>
    </row>
    <row r="90" spans="1:29" s="1060" customFormat="1" ht="15.75" thickBot="1">
      <c r="A90" s="486"/>
      <c r="B90" s="620"/>
      <c r="C90" s="652">
        <v>100</v>
      </c>
      <c r="D90" s="621">
        <f>C90-$K27</f>
        <v>100</v>
      </c>
      <c r="E90" s="621">
        <f t="shared" ref="E90:M90" si="17">D90-$K27</f>
        <v>100</v>
      </c>
      <c r="F90" s="621">
        <f t="shared" si="17"/>
        <v>100</v>
      </c>
      <c r="G90" s="621">
        <f t="shared" si="17"/>
        <v>100</v>
      </c>
      <c r="H90" s="621">
        <f t="shared" si="17"/>
        <v>100</v>
      </c>
      <c r="I90" s="621">
        <f t="shared" si="17"/>
        <v>100</v>
      </c>
      <c r="J90" s="621">
        <f t="shared" si="17"/>
        <v>100</v>
      </c>
      <c r="K90" s="621">
        <f t="shared" si="17"/>
        <v>100</v>
      </c>
      <c r="L90" s="621">
        <f t="shared" si="17"/>
        <v>100</v>
      </c>
      <c r="M90" s="621">
        <f t="shared" si="17"/>
        <v>100</v>
      </c>
      <c r="N90" s="1768"/>
      <c r="O90" s="1768"/>
      <c r="P90" s="1810"/>
      <c r="Q90" s="1763"/>
      <c r="R90" s="1640"/>
      <c r="S90" s="1640"/>
      <c r="T90" s="1640"/>
      <c r="U90" s="1640"/>
      <c r="V90" s="1640"/>
      <c r="W90" s="1640"/>
      <c r="X90" s="1640"/>
      <c r="Y90" s="1640"/>
      <c r="Z90" s="1640"/>
      <c r="AA90" s="1640"/>
      <c r="AB90" s="1640"/>
      <c r="AC90" s="1640"/>
    </row>
    <row r="91" spans="1:29" s="1134" customFormat="1" ht="15.75" thickTop="1">
      <c r="A91" s="629"/>
      <c r="B91" s="615" t="str">
        <f>B28</f>
        <v>朝向</v>
      </c>
      <c r="C91" s="630"/>
      <c r="D91" s="630"/>
      <c r="E91" s="630"/>
      <c r="F91" s="630"/>
      <c r="G91" s="630"/>
      <c r="H91" s="631"/>
      <c r="I91" s="631"/>
      <c r="J91" s="631"/>
      <c r="K91" s="631"/>
      <c r="L91" s="632"/>
      <c r="M91" s="633"/>
      <c r="N91" s="1769"/>
      <c r="O91" s="1769"/>
      <c r="P91" s="1811"/>
      <c r="Q91" s="1770"/>
      <c r="R91" s="1771"/>
      <c r="S91" s="1771"/>
      <c r="T91" s="1771"/>
      <c r="U91" s="1771"/>
      <c r="V91" s="1771"/>
      <c r="W91" s="1771"/>
      <c r="X91" s="1771"/>
      <c r="Y91" s="1771"/>
      <c r="Z91" s="1771"/>
      <c r="AA91" s="1771"/>
      <c r="AB91" s="1771"/>
      <c r="AC91" s="1771"/>
    </row>
    <row r="92" spans="1:29" s="1134" customFormat="1" ht="15.75" thickBot="1">
      <c r="A92" s="629"/>
      <c r="B92" s="620"/>
      <c r="C92" s="652">
        <v>100</v>
      </c>
      <c r="D92" s="621">
        <f t="shared" ref="D92:M92" si="18">C92-$K28</f>
        <v>100</v>
      </c>
      <c r="E92" s="621">
        <f t="shared" si="18"/>
        <v>100</v>
      </c>
      <c r="F92" s="621">
        <f t="shared" si="18"/>
        <v>100</v>
      </c>
      <c r="G92" s="621">
        <f t="shared" si="18"/>
        <v>100</v>
      </c>
      <c r="H92" s="621">
        <f t="shared" si="18"/>
        <v>100</v>
      </c>
      <c r="I92" s="621">
        <f t="shared" si="18"/>
        <v>100</v>
      </c>
      <c r="J92" s="621">
        <f t="shared" si="18"/>
        <v>100</v>
      </c>
      <c r="K92" s="621">
        <f t="shared" si="18"/>
        <v>100</v>
      </c>
      <c r="L92" s="621">
        <f t="shared" si="18"/>
        <v>100</v>
      </c>
      <c r="M92" s="621">
        <f t="shared" si="18"/>
        <v>100</v>
      </c>
      <c r="N92" s="1769"/>
      <c r="O92" s="1769"/>
      <c r="P92" s="1811"/>
      <c r="Q92" s="1770"/>
      <c r="R92" s="1771"/>
      <c r="S92" s="1771"/>
      <c r="T92" s="1771"/>
      <c r="U92" s="1771"/>
      <c r="V92" s="1771"/>
      <c r="W92" s="1771"/>
      <c r="X92" s="1771"/>
      <c r="Y92" s="1771"/>
      <c r="Z92" s="1771"/>
      <c r="AA92" s="1771"/>
      <c r="AB92" s="1771"/>
      <c r="AC92" s="1771"/>
    </row>
    <row r="93" spans="1:29" ht="15.75" thickTop="1">
      <c r="A93" s="482"/>
      <c r="B93" s="615">
        <f>B29</f>
        <v>111</v>
      </c>
      <c r="C93" s="630"/>
      <c r="D93" s="630"/>
      <c r="E93" s="630"/>
      <c r="F93" s="630"/>
      <c r="G93" s="630"/>
      <c r="H93" s="630"/>
      <c r="I93" s="630"/>
      <c r="J93" s="630"/>
      <c r="K93" s="630"/>
      <c r="L93" s="815"/>
      <c r="M93" s="816"/>
      <c r="N93" s="1767"/>
      <c r="O93" s="1767"/>
      <c r="P93" s="1810"/>
      <c r="Q93" s="1763"/>
      <c r="R93" s="1742"/>
      <c r="S93" s="1742"/>
      <c r="T93" s="1742"/>
      <c r="U93" s="1742"/>
      <c r="V93" s="1742"/>
      <c r="W93" s="1742"/>
      <c r="X93" s="1742"/>
      <c r="Y93" s="1742"/>
      <c r="Z93" s="1742"/>
      <c r="AA93" s="1742"/>
      <c r="AB93" s="1742"/>
      <c r="AC93" s="1742"/>
    </row>
    <row r="94" spans="1:29" ht="15.75" thickBot="1">
      <c r="A94" s="482"/>
      <c r="B94" s="620"/>
      <c r="C94" s="634"/>
      <c r="D94" s="613"/>
      <c r="E94" s="613"/>
      <c r="F94" s="613"/>
      <c r="G94" s="613"/>
      <c r="H94" s="613"/>
      <c r="I94" s="613"/>
      <c r="J94" s="613"/>
      <c r="K94" s="613"/>
      <c r="L94" s="613"/>
      <c r="M94" s="614"/>
      <c r="N94" s="1768"/>
      <c r="O94" s="1768"/>
      <c r="P94" s="1810"/>
      <c r="Q94" s="1763"/>
      <c r="R94" s="1742"/>
      <c r="S94" s="1742"/>
      <c r="T94" s="1742"/>
      <c r="U94" s="1742"/>
      <c r="V94" s="1742"/>
      <c r="W94" s="1742"/>
      <c r="X94" s="1742"/>
      <c r="Y94" s="1742"/>
      <c r="Z94" s="1742"/>
      <c r="AA94" s="1742"/>
      <c r="AB94" s="1742"/>
      <c r="AC94" s="1742"/>
    </row>
    <row r="95" spans="1:29" ht="15.75" thickTop="1">
      <c r="A95" s="482"/>
      <c r="B95" s="615">
        <f>B30</f>
        <v>111</v>
      </c>
      <c r="C95" s="630"/>
      <c r="D95" s="630"/>
      <c r="E95" s="630"/>
      <c r="F95" s="630"/>
      <c r="G95" s="658"/>
      <c r="H95" s="658"/>
      <c r="I95" s="658"/>
      <c r="J95" s="658"/>
      <c r="K95" s="659"/>
      <c r="L95" s="660"/>
      <c r="M95" s="661"/>
      <c r="N95" s="1767"/>
      <c r="O95" s="1767"/>
      <c r="P95" s="1810"/>
      <c r="Q95" s="1763"/>
      <c r="R95" s="1742"/>
      <c r="S95" s="1742"/>
      <c r="T95" s="1742"/>
      <c r="U95" s="1742"/>
      <c r="V95" s="1742"/>
      <c r="W95" s="1742"/>
      <c r="X95" s="1742"/>
      <c r="Y95" s="1742"/>
      <c r="Z95" s="1742"/>
      <c r="AA95" s="1742"/>
      <c r="AB95" s="1742"/>
      <c r="AC95" s="1742"/>
    </row>
    <row r="96" spans="1:29" ht="15.75" thickBot="1">
      <c r="A96" s="482"/>
      <c r="B96" s="620"/>
      <c r="C96" s="634"/>
      <c r="D96" s="634"/>
      <c r="E96" s="634"/>
      <c r="F96" s="634"/>
      <c r="G96" s="613"/>
      <c r="H96" s="613"/>
      <c r="I96" s="613"/>
      <c r="J96" s="613"/>
      <c r="K96" s="613"/>
      <c r="L96" s="613"/>
      <c r="M96" s="614"/>
      <c r="N96" s="1768"/>
      <c r="O96" s="1768"/>
      <c r="P96" s="1810"/>
      <c r="Q96" s="1763"/>
      <c r="R96" s="1742"/>
      <c r="S96" s="1742"/>
      <c r="T96" s="1742"/>
      <c r="U96" s="1742"/>
      <c r="V96" s="1742"/>
      <c r="W96" s="1742"/>
      <c r="X96" s="1742"/>
      <c r="Y96" s="1742"/>
      <c r="Z96" s="1742"/>
      <c r="AA96" s="1742"/>
      <c r="AB96" s="1742"/>
      <c r="AC96" s="1742"/>
    </row>
    <row r="97" spans="1:29" ht="15.75" thickTop="1">
      <c r="A97" s="482"/>
      <c r="B97" s="615">
        <f>B31</f>
        <v>111</v>
      </c>
      <c r="C97" s="630"/>
      <c r="D97" s="630"/>
      <c r="E97" s="630"/>
      <c r="F97" s="630"/>
      <c r="G97" s="658"/>
      <c r="H97" s="658"/>
      <c r="I97" s="658"/>
      <c r="J97" s="658"/>
      <c r="K97" s="659"/>
      <c r="L97" s="660"/>
      <c r="M97" s="661"/>
      <c r="N97" s="1767"/>
      <c r="O97" s="1767"/>
      <c r="P97" s="1810"/>
      <c r="Q97" s="1763"/>
      <c r="R97" s="1742"/>
      <c r="S97" s="1742"/>
      <c r="T97" s="1742"/>
      <c r="U97" s="1742"/>
      <c r="V97" s="1742"/>
      <c r="W97" s="1742"/>
      <c r="X97" s="1742"/>
      <c r="Y97" s="1742"/>
      <c r="Z97" s="1742"/>
      <c r="AA97" s="1742"/>
      <c r="AB97" s="1742"/>
      <c r="AC97" s="1742"/>
    </row>
    <row r="98" spans="1:29" ht="15.75" thickBot="1">
      <c r="A98" s="482"/>
      <c r="B98" s="620"/>
      <c r="C98" s="634"/>
      <c r="D98" s="613"/>
      <c r="E98" s="613"/>
      <c r="F98" s="613"/>
      <c r="G98" s="613"/>
      <c r="H98" s="613"/>
      <c r="I98" s="613"/>
      <c r="J98" s="613"/>
      <c r="K98" s="613"/>
      <c r="L98" s="613"/>
      <c r="M98" s="614"/>
      <c r="N98" s="1768"/>
      <c r="O98" s="1768"/>
      <c r="P98" s="1810"/>
      <c r="Q98" s="1763"/>
      <c r="R98" s="1742"/>
      <c r="S98" s="1742"/>
      <c r="T98" s="1742"/>
      <c r="U98" s="1742"/>
      <c r="V98" s="1742"/>
      <c r="W98" s="1742"/>
      <c r="X98" s="1742"/>
      <c r="Y98" s="1742"/>
      <c r="Z98" s="1742"/>
      <c r="AA98" s="1742"/>
      <c r="AB98" s="1742"/>
      <c r="AC98" s="1742"/>
    </row>
    <row r="99" spans="1:29" ht="15.75" thickTop="1">
      <c r="A99" s="482"/>
      <c r="B99" s="623">
        <f>B32</f>
        <v>111</v>
      </c>
      <c r="C99" s="80"/>
      <c r="D99" s="80"/>
      <c r="E99" s="80"/>
      <c r="F99" s="80"/>
      <c r="G99" s="662"/>
      <c r="H99" s="662"/>
      <c r="I99" s="662"/>
      <c r="J99" s="662"/>
      <c r="K99" s="663"/>
      <c r="L99" s="664"/>
      <c r="M99" s="665"/>
      <c r="N99" s="1767"/>
      <c r="O99" s="1767"/>
      <c r="P99" s="1810"/>
      <c r="Q99" s="1763"/>
      <c r="R99" s="1742"/>
      <c r="S99" s="1742"/>
      <c r="T99" s="1742"/>
      <c r="U99" s="1742"/>
      <c r="V99" s="1742"/>
      <c r="W99" s="1742"/>
      <c r="X99" s="1742"/>
      <c r="Y99" s="1742"/>
      <c r="Z99" s="1742"/>
      <c r="AA99" s="1742"/>
      <c r="AB99" s="1742"/>
      <c r="AC99" s="1742"/>
    </row>
    <row r="100" spans="1:29" ht="15.75" thickBot="1">
      <c r="A100" s="493"/>
      <c r="B100" s="641"/>
      <c r="C100" s="642"/>
      <c r="D100" s="642"/>
      <c r="E100" s="642"/>
      <c r="F100" s="642"/>
      <c r="G100" s="666"/>
      <c r="H100" s="666"/>
      <c r="I100" s="666"/>
      <c r="J100" s="666"/>
      <c r="K100" s="666"/>
      <c r="L100" s="666"/>
      <c r="M100" s="667"/>
      <c r="N100" s="1768"/>
      <c r="O100" s="1768"/>
      <c r="P100" s="1810"/>
      <c r="Q100" s="1763"/>
      <c r="R100" s="1742"/>
      <c r="S100" s="1742"/>
      <c r="T100" s="1742"/>
      <c r="U100" s="1742"/>
      <c r="V100" s="1742"/>
      <c r="W100" s="1742"/>
      <c r="X100" s="1742"/>
      <c r="Y100" s="1742"/>
      <c r="Z100" s="1742"/>
      <c r="AA100" s="1742"/>
      <c r="AB100" s="1742"/>
      <c r="AC100" s="1742"/>
    </row>
    <row r="101" spans="1:29">
      <c r="A101" s="607" t="s">
        <v>500</v>
      </c>
      <c r="B101" s="608" t="s">
        <v>687</v>
      </c>
      <c r="C101" s="547"/>
      <c r="D101" s="547"/>
      <c r="E101" s="547"/>
      <c r="F101" s="547"/>
      <c r="G101" s="547"/>
      <c r="H101" s="547"/>
      <c r="I101" s="547"/>
      <c r="J101" s="547"/>
      <c r="K101" s="609"/>
      <c r="L101" s="610"/>
      <c r="M101" s="611"/>
      <c r="N101" s="1767"/>
      <c r="O101" s="1767"/>
      <c r="P101" s="1810"/>
      <c r="Q101" s="1763"/>
      <c r="R101" s="1742"/>
      <c r="S101" s="1742"/>
      <c r="T101" s="1742"/>
      <c r="U101" s="1742"/>
      <c r="V101" s="1742"/>
      <c r="W101" s="1742"/>
      <c r="X101" s="1742"/>
      <c r="Y101" s="1742"/>
      <c r="Z101" s="1742"/>
      <c r="AA101" s="1742"/>
      <c r="AB101" s="1742"/>
      <c r="AC101" s="1742"/>
    </row>
    <row r="102" spans="1:29" ht="15.75" thickBot="1">
      <c r="A102" s="482"/>
      <c r="B102" s="620"/>
      <c r="C102" s="621">
        <v>100</v>
      </c>
      <c r="D102" s="621">
        <f t="shared" ref="D102:M102" si="19">C102-$K33</f>
        <v>100</v>
      </c>
      <c r="E102" s="621">
        <f t="shared" si="19"/>
        <v>100</v>
      </c>
      <c r="F102" s="621">
        <f t="shared" si="19"/>
        <v>100</v>
      </c>
      <c r="G102" s="621">
        <f t="shared" si="19"/>
        <v>100</v>
      </c>
      <c r="H102" s="621">
        <f t="shared" si="19"/>
        <v>100</v>
      </c>
      <c r="I102" s="621">
        <f t="shared" si="19"/>
        <v>100</v>
      </c>
      <c r="J102" s="621">
        <f t="shared" si="19"/>
        <v>100</v>
      </c>
      <c r="K102" s="621">
        <f t="shared" si="19"/>
        <v>100</v>
      </c>
      <c r="L102" s="621">
        <f t="shared" si="19"/>
        <v>100</v>
      </c>
      <c r="M102" s="622">
        <f t="shared" si="19"/>
        <v>100</v>
      </c>
      <c r="N102" s="1768"/>
      <c r="O102" s="1768"/>
      <c r="P102" s="1810"/>
      <c r="Q102" s="1763"/>
      <c r="R102" s="1742"/>
      <c r="S102" s="1742"/>
      <c r="T102" s="1742"/>
      <c r="U102" s="1742"/>
      <c r="V102" s="1742"/>
      <c r="W102" s="1742"/>
      <c r="X102" s="1742"/>
      <c r="Y102" s="1742"/>
      <c r="Z102" s="1742"/>
      <c r="AA102" s="1742"/>
      <c r="AB102" s="1742"/>
      <c r="AC102" s="1742"/>
    </row>
    <row r="103" spans="1:29" ht="15.75" thickTop="1">
      <c r="A103" s="482"/>
      <c r="B103" s="615" t="s">
        <v>688</v>
      </c>
      <c r="C103" s="649" t="str">
        <f>C104&amp;"(含)"&amp;"-"&amp;D104</f>
        <v>(含)-</v>
      </c>
      <c r="D103" s="649" t="str">
        <f t="shared" ref="D103:L103" si="20">D104&amp;"(含)"&amp;"-"&amp;E104</f>
        <v>(含)-</v>
      </c>
      <c r="E103" s="649" t="str">
        <f t="shared" si="20"/>
        <v>(含)-</v>
      </c>
      <c r="F103" s="649" t="str">
        <f t="shared" si="20"/>
        <v>(含)-</v>
      </c>
      <c r="G103" s="649" t="str">
        <f t="shared" si="20"/>
        <v>(含)-</v>
      </c>
      <c r="H103" s="649" t="str">
        <f t="shared" si="20"/>
        <v>(含)-</v>
      </c>
      <c r="I103" s="649" t="str">
        <f t="shared" si="20"/>
        <v>(含)-</v>
      </c>
      <c r="J103" s="649" t="str">
        <f t="shared" si="20"/>
        <v>(含)-</v>
      </c>
      <c r="K103" s="649" t="str">
        <f t="shared" si="20"/>
        <v>(含)-</v>
      </c>
      <c r="L103" s="649" t="str">
        <f t="shared" si="20"/>
        <v>(含)-</v>
      </c>
      <c r="M103" s="651" t="str">
        <f>M104&amp;"(含)"&amp;"-"&amp;P104</f>
        <v>(含)-</v>
      </c>
      <c r="N103" s="1766"/>
      <c r="O103" s="1766"/>
      <c r="P103" s="1810"/>
      <c r="Q103" s="1763"/>
      <c r="R103" s="1742"/>
      <c r="S103" s="1742"/>
      <c r="T103" s="1742"/>
      <c r="U103" s="1742"/>
      <c r="V103" s="1742"/>
      <c r="W103" s="1742"/>
      <c r="X103" s="1742"/>
      <c r="Y103" s="1742"/>
      <c r="Z103" s="1742"/>
      <c r="AA103" s="1742"/>
      <c r="AB103" s="1742"/>
      <c r="AC103" s="1742"/>
    </row>
    <row r="104" spans="1:29" s="1134" customFormat="1">
      <c r="A104" s="552"/>
      <c r="B104" s="668"/>
      <c r="C104" s="79"/>
      <c r="D104" s="79"/>
      <c r="E104" s="79"/>
      <c r="F104" s="79"/>
      <c r="G104" s="79"/>
      <c r="H104" s="79"/>
      <c r="I104" s="79"/>
      <c r="J104" s="669"/>
      <c r="K104" s="669"/>
      <c r="L104" s="670"/>
      <c r="M104" s="671"/>
      <c r="N104" s="1769"/>
      <c r="O104" s="1769"/>
      <c r="P104" s="1811"/>
      <c r="Q104" s="1770"/>
      <c r="R104" s="1771"/>
      <c r="S104" s="1771"/>
      <c r="T104" s="1771"/>
      <c r="U104" s="1771"/>
      <c r="V104" s="1771"/>
      <c r="W104" s="1771"/>
      <c r="X104" s="1771"/>
      <c r="Y104" s="1771"/>
      <c r="Z104" s="1771"/>
      <c r="AA104" s="1771"/>
      <c r="AB104" s="1771"/>
      <c r="AC104" s="1771"/>
    </row>
    <row r="105" spans="1:29" s="1134" customFormat="1" ht="15.75" thickBot="1">
      <c r="A105" s="629"/>
      <c r="B105" s="620"/>
      <c r="C105" s="634"/>
      <c r="D105" s="613"/>
      <c r="E105" s="613"/>
      <c r="F105" s="613"/>
      <c r="G105" s="613"/>
      <c r="H105" s="613"/>
      <c r="I105" s="613"/>
      <c r="J105" s="613"/>
      <c r="K105" s="613"/>
      <c r="L105" s="613"/>
      <c r="M105" s="614"/>
      <c r="N105" s="1768"/>
      <c r="O105" s="1768"/>
      <c r="P105" s="1811"/>
      <c r="Q105" s="1770"/>
      <c r="R105" s="1771"/>
      <c r="S105" s="1771"/>
      <c r="T105" s="1771"/>
      <c r="U105" s="1771"/>
      <c r="V105" s="1771"/>
      <c r="W105" s="1771"/>
      <c r="X105" s="1771"/>
      <c r="Y105" s="1771"/>
      <c r="Z105" s="1771"/>
      <c r="AA105" s="1771"/>
      <c r="AB105" s="1771"/>
      <c r="AC105" s="1771"/>
    </row>
    <row r="106" spans="1:29" ht="15" thickTop="1">
      <c r="A106" s="543"/>
      <c r="B106" s="615" t="s">
        <v>689</v>
      </c>
      <c r="C106" s="630"/>
      <c r="D106" s="630"/>
      <c r="E106" s="658"/>
      <c r="F106" s="658"/>
      <c r="G106" s="658"/>
      <c r="H106" s="658"/>
      <c r="I106" s="658"/>
      <c r="J106" s="658"/>
      <c r="K106" s="659"/>
      <c r="L106" s="660"/>
      <c r="M106" s="661"/>
      <c r="N106" s="1767"/>
      <c r="O106" s="1767"/>
      <c r="P106" s="1810"/>
      <c r="Q106" s="1763"/>
      <c r="R106" s="1742"/>
      <c r="S106" s="1742"/>
      <c r="T106" s="1742"/>
      <c r="U106" s="1742"/>
      <c r="V106" s="1742"/>
      <c r="W106" s="1742"/>
      <c r="X106" s="1742"/>
      <c r="Y106" s="1742"/>
      <c r="Z106" s="1742"/>
      <c r="AA106" s="1742"/>
      <c r="AB106" s="1742"/>
      <c r="AC106" s="1742"/>
    </row>
    <row r="107" spans="1:29" ht="15.75" thickBot="1">
      <c r="A107" s="482"/>
      <c r="B107" s="620"/>
      <c r="C107" s="621">
        <v>100</v>
      </c>
      <c r="D107" s="621">
        <f t="shared" ref="D107:M107" si="21">C107-$K35</f>
        <v>100</v>
      </c>
      <c r="E107" s="621">
        <f t="shared" si="21"/>
        <v>100</v>
      </c>
      <c r="F107" s="621">
        <f t="shared" si="21"/>
        <v>100</v>
      </c>
      <c r="G107" s="621">
        <f t="shared" si="21"/>
        <v>100</v>
      </c>
      <c r="H107" s="621">
        <f t="shared" si="21"/>
        <v>100</v>
      </c>
      <c r="I107" s="621">
        <f t="shared" si="21"/>
        <v>100</v>
      </c>
      <c r="J107" s="621">
        <f t="shared" si="21"/>
        <v>100</v>
      </c>
      <c r="K107" s="621">
        <f t="shared" si="21"/>
        <v>100</v>
      </c>
      <c r="L107" s="621">
        <f t="shared" si="21"/>
        <v>100</v>
      </c>
      <c r="M107" s="622">
        <f t="shared" si="21"/>
        <v>100</v>
      </c>
      <c r="N107" s="1768"/>
      <c r="O107" s="1768"/>
      <c r="P107" s="1810"/>
      <c r="Q107" s="1763"/>
      <c r="R107" s="1742"/>
      <c r="S107" s="1742"/>
      <c r="T107" s="1742"/>
      <c r="U107" s="1742"/>
      <c r="V107" s="1742"/>
      <c r="W107" s="1742"/>
      <c r="X107" s="1742"/>
      <c r="Y107" s="1742"/>
      <c r="Z107" s="1742"/>
      <c r="AA107" s="1742"/>
      <c r="AB107" s="1742"/>
      <c r="AC107" s="1742"/>
    </row>
    <row r="108" spans="1:29" ht="15" thickTop="1">
      <c r="A108" s="543"/>
      <c r="B108" s="615" t="s">
        <v>691</v>
      </c>
      <c r="C108" s="630"/>
      <c r="D108" s="630"/>
      <c r="E108" s="630"/>
      <c r="F108" s="658"/>
      <c r="G108" s="658"/>
      <c r="H108" s="658"/>
      <c r="I108" s="658"/>
      <c r="J108" s="658"/>
      <c r="K108" s="659"/>
      <c r="L108" s="660"/>
      <c r="M108" s="661"/>
      <c r="N108" s="1767"/>
      <c r="O108" s="1767"/>
      <c r="P108" s="1810"/>
      <c r="Q108" s="1763"/>
      <c r="R108" s="1742"/>
      <c r="S108" s="1742"/>
      <c r="T108" s="1742"/>
      <c r="U108" s="1742"/>
      <c r="V108" s="1742"/>
      <c r="W108" s="1742"/>
      <c r="X108" s="1742"/>
      <c r="Y108" s="1742"/>
      <c r="Z108" s="1742"/>
      <c r="AA108" s="1742"/>
      <c r="AB108" s="1742"/>
      <c r="AC108" s="1742"/>
    </row>
    <row r="109" spans="1:29" ht="15.75" thickBot="1">
      <c r="A109" s="482"/>
      <c r="B109" s="620"/>
      <c r="C109" s="621">
        <v>100</v>
      </c>
      <c r="D109" s="621">
        <f t="shared" ref="D109:M109" si="22">C109-$K36</f>
        <v>100</v>
      </c>
      <c r="E109" s="621">
        <f t="shared" si="22"/>
        <v>100</v>
      </c>
      <c r="F109" s="621">
        <f t="shared" si="22"/>
        <v>100</v>
      </c>
      <c r="G109" s="621">
        <f t="shared" si="22"/>
        <v>100</v>
      </c>
      <c r="H109" s="621">
        <f t="shared" si="22"/>
        <v>100</v>
      </c>
      <c r="I109" s="621">
        <f t="shared" si="22"/>
        <v>100</v>
      </c>
      <c r="J109" s="621">
        <f t="shared" si="22"/>
        <v>100</v>
      </c>
      <c r="K109" s="621">
        <f t="shared" si="22"/>
        <v>100</v>
      </c>
      <c r="L109" s="621">
        <f t="shared" si="22"/>
        <v>100</v>
      </c>
      <c r="M109" s="622">
        <f t="shared" si="22"/>
        <v>100</v>
      </c>
      <c r="N109" s="1768"/>
      <c r="O109" s="1768"/>
      <c r="P109" s="1810"/>
      <c r="Q109" s="1763"/>
      <c r="R109" s="1742"/>
      <c r="S109" s="1742"/>
      <c r="T109" s="1742"/>
      <c r="U109" s="1742"/>
      <c r="V109" s="1742"/>
      <c r="W109" s="1742"/>
      <c r="X109" s="1742"/>
      <c r="Y109" s="1742"/>
      <c r="Z109" s="1742"/>
      <c r="AA109" s="1742"/>
      <c r="AB109" s="1742"/>
      <c r="AC109" s="1742"/>
    </row>
    <row r="110" spans="1:29" ht="15" thickTop="1">
      <c r="A110" s="543"/>
      <c r="B110" s="615" t="s">
        <v>692</v>
      </c>
      <c r="C110" s="649" t="str">
        <f>C111&amp;"(含)"&amp;"-"&amp;D111</f>
        <v>0.5(含)-0.6</v>
      </c>
      <c r="D110" s="649" t="str">
        <f>D111&amp;"(含)"&amp;"-"&amp;E111</f>
        <v>0.6(含)-0.7</v>
      </c>
      <c r="E110" s="649" t="str">
        <f>E111&amp;"(含)"&amp;"-"&amp;F111</f>
        <v>0.7(含)-0.8</v>
      </c>
      <c r="F110" s="649" t="str">
        <f>F111&amp;"(含)"&amp;"-"&amp;G111</f>
        <v>0.8(含)-0.9</v>
      </c>
      <c r="G110" s="649" t="str">
        <f>G111&amp;"(含)"&amp;"-"&amp;ROUND(H111,0)</f>
        <v>0.9(含)-1</v>
      </c>
      <c r="H110" s="649"/>
      <c r="I110" s="658"/>
      <c r="J110" s="658"/>
      <c r="K110" s="659"/>
      <c r="L110" s="660"/>
      <c r="M110" s="661"/>
      <c r="N110" s="1767"/>
      <c r="O110" s="1767"/>
      <c r="P110" s="1810"/>
      <c r="Q110" s="1763"/>
      <c r="R110" s="1742"/>
      <c r="S110" s="1742"/>
      <c r="T110" s="1742"/>
      <c r="U110" s="1742"/>
      <c r="V110" s="1742"/>
      <c r="W110" s="1742"/>
      <c r="X110" s="1742"/>
      <c r="Y110" s="1742"/>
      <c r="Z110" s="1742"/>
      <c r="AA110" s="1742"/>
      <c r="AB110" s="1742"/>
      <c r="AC110" s="1742"/>
    </row>
    <row r="111" spans="1:29">
      <c r="A111" s="543"/>
      <c r="B111" s="623"/>
      <c r="C111" s="818">
        <v>0.5</v>
      </c>
      <c r="D111" s="818">
        <v>0.6</v>
      </c>
      <c r="E111" s="818">
        <v>0.7</v>
      </c>
      <c r="F111" s="818">
        <v>0.8</v>
      </c>
      <c r="G111" s="818">
        <v>0.9</v>
      </c>
      <c r="H111" s="818">
        <v>1.0001</v>
      </c>
      <c r="I111" s="828"/>
      <c r="J111" s="828"/>
      <c r="K111" s="829"/>
      <c r="L111" s="830"/>
      <c r="M111" s="831"/>
      <c r="N111" s="1767"/>
      <c r="O111" s="1767"/>
      <c r="P111" s="1810"/>
      <c r="Q111" s="1763"/>
      <c r="R111" s="1742"/>
      <c r="S111" s="1742"/>
      <c r="T111" s="1742"/>
      <c r="U111" s="1742"/>
      <c r="V111" s="1742"/>
      <c r="W111" s="1742"/>
      <c r="X111" s="1742"/>
      <c r="Y111" s="1742"/>
      <c r="Z111" s="1742"/>
      <c r="AA111" s="1742"/>
      <c r="AB111" s="1742"/>
      <c r="AC111" s="1742"/>
    </row>
    <row r="112" spans="1:29" ht="15.75" thickBot="1">
      <c r="A112" s="482"/>
      <c r="B112" s="620"/>
      <c r="C112" s="652">
        <v>100</v>
      </c>
      <c r="D112" s="621">
        <f>C112+$K37</f>
        <v>100</v>
      </c>
      <c r="E112" s="621">
        <f t="shared" ref="E112:M112" si="23">D112+$K37</f>
        <v>100</v>
      </c>
      <c r="F112" s="621">
        <f t="shared" si="23"/>
        <v>100</v>
      </c>
      <c r="G112" s="621">
        <f t="shared" si="23"/>
        <v>100</v>
      </c>
      <c r="H112" s="621">
        <f t="shared" si="23"/>
        <v>100</v>
      </c>
      <c r="I112" s="621">
        <f t="shared" si="23"/>
        <v>100</v>
      </c>
      <c r="J112" s="621">
        <f t="shared" si="23"/>
        <v>100</v>
      </c>
      <c r="K112" s="621">
        <f t="shared" si="23"/>
        <v>100</v>
      </c>
      <c r="L112" s="621">
        <f t="shared" si="23"/>
        <v>100</v>
      </c>
      <c r="M112" s="621">
        <f t="shared" si="23"/>
        <v>100</v>
      </c>
      <c r="N112" s="1768"/>
      <c r="O112" s="1768"/>
      <c r="P112" s="1810"/>
      <c r="Q112" s="1763"/>
      <c r="R112" s="1742"/>
      <c r="S112" s="1742"/>
      <c r="T112" s="1742"/>
      <c r="U112" s="1742"/>
      <c r="V112" s="1742"/>
      <c r="W112" s="1742"/>
      <c r="X112" s="1742"/>
      <c r="Y112" s="1742"/>
      <c r="Z112" s="1742"/>
      <c r="AA112" s="1742"/>
      <c r="AB112" s="1742"/>
      <c r="AC112" s="1742"/>
    </row>
    <row r="113" spans="1:29" s="1134" customFormat="1" ht="15" thickTop="1">
      <c r="A113" s="552"/>
      <c r="B113" s="615" t="s">
        <v>726</v>
      </c>
      <c r="C113" s="630"/>
      <c r="D113" s="630"/>
      <c r="E113" s="630"/>
      <c r="F113" s="630"/>
      <c r="G113" s="630"/>
      <c r="H113" s="658"/>
      <c r="I113" s="658"/>
      <c r="J113" s="658"/>
      <c r="K113" s="659"/>
      <c r="L113" s="660"/>
      <c r="M113" s="661"/>
      <c r="N113" s="1769"/>
      <c r="O113" s="1769"/>
      <c r="P113" s="1811"/>
      <c r="Q113" s="1770"/>
      <c r="R113" s="1771"/>
      <c r="S113" s="1771"/>
      <c r="T113" s="1771"/>
      <c r="U113" s="1771"/>
      <c r="V113" s="1771"/>
      <c r="W113" s="1771"/>
      <c r="X113" s="1771"/>
      <c r="Y113" s="1771"/>
      <c r="Z113" s="1771"/>
      <c r="AA113" s="1771"/>
      <c r="AB113" s="1771"/>
      <c r="AC113" s="1771"/>
    </row>
    <row r="114" spans="1:29" s="1134" customFormat="1" ht="15.75" thickBot="1">
      <c r="A114" s="629"/>
      <c r="B114" s="620"/>
      <c r="C114" s="621">
        <v>100</v>
      </c>
      <c r="D114" s="621">
        <f>C114-$K38</f>
        <v>100</v>
      </c>
      <c r="E114" s="621">
        <f t="shared" ref="E114:M114" si="24">D114-$K38</f>
        <v>100</v>
      </c>
      <c r="F114" s="621">
        <f t="shared" si="24"/>
        <v>100</v>
      </c>
      <c r="G114" s="621">
        <f t="shared" si="24"/>
        <v>100</v>
      </c>
      <c r="H114" s="621">
        <f t="shared" si="24"/>
        <v>100</v>
      </c>
      <c r="I114" s="621">
        <f t="shared" si="24"/>
        <v>100</v>
      </c>
      <c r="J114" s="621">
        <f t="shared" si="24"/>
        <v>100</v>
      </c>
      <c r="K114" s="621">
        <f t="shared" si="24"/>
        <v>100</v>
      </c>
      <c r="L114" s="621">
        <f t="shared" si="24"/>
        <v>100</v>
      </c>
      <c r="M114" s="621">
        <f t="shared" si="24"/>
        <v>100</v>
      </c>
      <c r="N114" s="1769"/>
      <c r="O114" s="1769"/>
      <c r="P114" s="1811"/>
      <c r="Q114" s="1770"/>
      <c r="R114" s="1771"/>
      <c r="S114" s="1771"/>
      <c r="T114" s="1771"/>
      <c r="U114" s="1771"/>
      <c r="V114" s="1771"/>
      <c r="W114" s="1771"/>
      <c r="X114" s="1771"/>
      <c r="Y114" s="1771"/>
      <c r="Z114" s="1771"/>
      <c r="AA114" s="1771"/>
      <c r="AB114" s="1771"/>
      <c r="AC114" s="1771"/>
    </row>
    <row r="115" spans="1:29" ht="15" thickTop="1">
      <c r="A115" s="543"/>
      <c r="B115" s="615" t="s">
        <v>693</v>
      </c>
      <c r="C115" s="630"/>
      <c r="D115" s="630"/>
      <c r="E115" s="658"/>
      <c r="F115" s="658"/>
      <c r="G115" s="658"/>
      <c r="H115" s="658"/>
      <c r="I115" s="658"/>
      <c r="J115" s="658"/>
      <c r="K115" s="659"/>
      <c r="L115" s="660"/>
      <c r="M115" s="661"/>
      <c r="N115" s="1767"/>
      <c r="O115" s="1767"/>
      <c r="P115" s="1810"/>
      <c r="Q115" s="1763"/>
      <c r="R115" s="1742"/>
      <c r="S115" s="1742"/>
      <c r="T115" s="1742"/>
      <c r="U115" s="1742"/>
      <c r="V115" s="1742"/>
      <c r="W115" s="1742"/>
      <c r="X115" s="1742"/>
      <c r="Y115" s="1742"/>
      <c r="Z115" s="1742"/>
      <c r="AA115" s="1742"/>
      <c r="AB115" s="1742"/>
      <c r="AC115" s="1742"/>
    </row>
    <row r="116" spans="1:29" ht="15.75" thickBot="1">
      <c r="A116" s="482"/>
      <c r="B116" s="620"/>
      <c r="C116" s="621">
        <v>100</v>
      </c>
      <c r="D116" s="621">
        <f t="shared" ref="D116:M116" si="25">C116-$K39</f>
        <v>100</v>
      </c>
      <c r="E116" s="621">
        <f t="shared" si="25"/>
        <v>100</v>
      </c>
      <c r="F116" s="621">
        <f t="shared" si="25"/>
        <v>100</v>
      </c>
      <c r="G116" s="621">
        <f t="shared" si="25"/>
        <v>100</v>
      </c>
      <c r="H116" s="621">
        <f t="shared" si="25"/>
        <v>100</v>
      </c>
      <c r="I116" s="621">
        <f t="shared" si="25"/>
        <v>100</v>
      </c>
      <c r="J116" s="621">
        <f t="shared" si="25"/>
        <v>100</v>
      </c>
      <c r="K116" s="621">
        <f t="shared" si="25"/>
        <v>100</v>
      </c>
      <c r="L116" s="621">
        <f t="shared" si="25"/>
        <v>100</v>
      </c>
      <c r="M116" s="622">
        <f t="shared" si="25"/>
        <v>100</v>
      </c>
      <c r="N116" s="1768"/>
      <c r="O116" s="1768"/>
      <c r="P116" s="1810"/>
      <c r="Q116" s="1763"/>
      <c r="R116" s="1742"/>
      <c r="S116" s="1742"/>
      <c r="T116" s="1742"/>
      <c r="U116" s="1742"/>
      <c r="V116" s="1742"/>
      <c r="W116" s="1742"/>
      <c r="X116" s="1742"/>
      <c r="Y116" s="1742"/>
      <c r="Z116" s="1742"/>
      <c r="AA116" s="1742"/>
      <c r="AB116" s="1742"/>
      <c r="AC116" s="1742"/>
    </row>
    <row r="117" spans="1:29" ht="15" thickTop="1">
      <c r="A117" s="543"/>
      <c r="B117" s="1555" t="s">
        <v>1839</v>
      </c>
      <c r="C117" s="630"/>
      <c r="D117" s="630"/>
      <c r="E117" s="630"/>
      <c r="F117" s="630"/>
      <c r="G117" s="630"/>
      <c r="H117" s="658"/>
      <c r="I117" s="658"/>
      <c r="J117" s="658"/>
      <c r="K117" s="659"/>
      <c r="L117" s="660"/>
      <c r="M117" s="661"/>
      <c r="N117" s="1767"/>
      <c r="O117" s="1767"/>
      <c r="P117" s="1810"/>
      <c r="Q117" s="1763"/>
      <c r="R117" s="1742"/>
      <c r="S117" s="1742"/>
      <c r="T117" s="1742"/>
      <c r="U117" s="1742"/>
      <c r="V117" s="1742"/>
      <c r="W117" s="1742"/>
      <c r="X117" s="1742"/>
      <c r="Y117" s="1742"/>
      <c r="Z117" s="1742"/>
      <c r="AA117" s="1742"/>
      <c r="AB117" s="1742"/>
      <c r="AC117" s="1742"/>
    </row>
    <row r="118" spans="1:29" ht="15.75" thickBot="1">
      <c r="A118" s="482"/>
      <c r="B118" s="620"/>
      <c r="C118" s="621">
        <v>100</v>
      </c>
      <c r="D118" s="621">
        <f>C118-$K40</f>
        <v>100</v>
      </c>
      <c r="E118" s="621">
        <f>D118-$K40</f>
        <v>100</v>
      </c>
      <c r="F118" s="621">
        <f>E118-$K40</f>
        <v>100</v>
      </c>
      <c r="G118" s="621">
        <f>F118-$K40</f>
        <v>100</v>
      </c>
      <c r="H118" s="621"/>
      <c r="I118" s="621"/>
      <c r="J118" s="621"/>
      <c r="K118" s="621"/>
      <c r="L118" s="621"/>
      <c r="M118" s="622"/>
      <c r="N118" s="1768"/>
      <c r="O118" s="1768"/>
      <c r="P118" s="1810"/>
      <c r="Q118" s="1763"/>
      <c r="R118" s="1742"/>
      <c r="S118" s="1742"/>
      <c r="T118" s="1742"/>
      <c r="U118" s="1742"/>
      <c r="V118" s="1742"/>
      <c r="W118" s="1742"/>
      <c r="X118" s="1742"/>
      <c r="Y118" s="1742"/>
      <c r="Z118" s="1742"/>
      <c r="AA118" s="1742"/>
      <c r="AB118" s="1742"/>
      <c r="AC118" s="1742"/>
    </row>
    <row r="119" spans="1:29" ht="15" thickTop="1">
      <c r="A119" s="543"/>
      <c r="B119" s="839" t="s">
        <v>727</v>
      </c>
      <c r="C119" s="658"/>
      <c r="D119" s="658"/>
      <c r="E119" s="658"/>
      <c r="F119" s="658"/>
      <c r="G119" s="658"/>
      <c r="H119" s="658"/>
      <c r="I119" s="658"/>
      <c r="J119" s="658"/>
      <c r="K119" s="658"/>
      <c r="L119" s="840"/>
      <c r="M119" s="841"/>
      <c r="N119" s="1768"/>
      <c r="O119" s="1768"/>
      <c r="P119" s="1815"/>
      <c r="Q119" s="1803"/>
      <c r="R119" s="1742"/>
      <c r="S119" s="1742"/>
      <c r="T119" s="1742"/>
      <c r="U119" s="1742"/>
      <c r="V119" s="1742"/>
      <c r="W119" s="1742"/>
      <c r="X119" s="1742"/>
      <c r="Y119" s="1742"/>
      <c r="Z119" s="1742"/>
      <c r="AA119" s="1742"/>
      <c r="AB119" s="1742"/>
      <c r="AC119" s="1742"/>
    </row>
    <row r="120" spans="1:29" ht="15.75" thickBot="1">
      <c r="A120" s="482"/>
      <c r="B120" s="620"/>
      <c r="C120" s="652">
        <v>100</v>
      </c>
      <c r="D120" s="621">
        <f>C120-$K41</f>
        <v>100</v>
      </c>
      <c r="E120" s="621">
        <f t="shared" ref="E120:M120" si="26">D120-$K41</f>
        <v>100</v>
      </c>
      <c r="F120" s="621">
        <f t="shared" si="26"/>
        <v>100</v>
      </c>
      <c r="G120" s="621">
        <f t="shared" si="26"/>
        <v>100</v>
      </c>
      <c r="H120" s="621">
        <f t="shared" si="26"/>
        <v>100</v>
      </c>
      <c r="I120" s="621">
        <f t="shared" si="26"/>
        <v>100</v>
      </c>
      <c r="J120" s="621">
        <f t="shared" si="26"/>
        <v>100</v>
      </c>
      <c r="K120" s="621">
        <f t="shared" si="26"/>
        <v>100</v>
      </c>
      <c r="L120" s="621">
        <f t="shared" si="26"/>
        <v>100</v>
      </c>
      <c r="M120" s="621">
        <f t="shared" si="26"/>
        <v>100</v>
      </c>
      <c r="N120" s="1768"/>
      <c r="O120" s="1768"/>
      <c r="P120" s="1810"/>
      <c r="Q120" s="1763"/>
      <c r="R120" s="1742"/>
      <c r="S120" s="1742"/>
      <c r="T120" s="1742"/>
      <c r="U120" s="1742"/>
      <c r="V120" s="1742"/>
      <c r="W120" s="1742"/>
      <c r="X120" s="1742"/>
      <c r="Y120" s="1742"/>
      <c r="Z120" s="1742"/>
      <c r="AA120" s="1742"/>
      <c r="AB120" s="1742"/>
      <c r="AC120" s="1742"/>
    </row>
    <row r="121" spans="1:29" s="1134" customFormat="1" ht="15" thickTop="1">
      <c r="A121" s="552"/>
      <c r="B121" s="615" t="s">
        <v>715</v>
      </c>
      <c r="C121" s="630"/>
      <c r="D121" s="630"/>
      <c r="E121" s="630"/>
      <c r="F121" s="658"/>
      <c r="G121" s="631"/>
      <c r="H121" s="631"/>
      <c r="I121" s="631"/>
      <c r="J121" s="631"/>
      <c r="K121" s="631"/>
      <c r="L121" s="632"/>
      <c r="M121" s="633"/>
      <c r="N121" s="1769"/>
      <c r="O121" s="1769"/>
      <c r="P121" s="1811"/>
      <c r="Q121" s="1770"/>
      <c r="R121" s="1771"/>
      <c r="S121" s="1771"/>
      <c r="T121" s="1771"/>
      <c r="U121" s="1771"/>
      <c r="V121" s="1771"/>
      <c r="W121" s="1771"/>
      <c r="X121" s="1771"/>
      <c r="Y121" s="1771"/>
      <c r="Z121" s="1771"/>
      <c r="AA121" s="1771"/>
      <c r="AB121" s="1771"/>
      <c r="AC121" s="1771"/>
    </row>
    <row r="122" spans="1:29" s="1134" customFormat="1" ht="15.75" thickBot="1">
      <c r="A122" s="629"/>
      <c r="B122" s="612"/>
      <c r="C122" s="634"/>
      <c r="D122" s="634"/>
      <c r="E122" s="634"/>
      <c r="F122" s="634"/>
      <c r="G122" s="634"/>
      <c r="H122" s="634"/>
      <c r="I122" s="634"/>
      <c r="J122" s="634"/>
      <c r="K122" s="634"/>
      <c r="L122" s="634"/>
      <c r="M122" s="634"/>
      <c r="N122" s="1769"/>
      <c r="O122" s="1769"/>
      <c r="P122" s="1811"/>
      <c r="Q122" s="1770"/>
      <c r="R122" s="1771"/>
      <c r="S122" s="1771"/>
      <c r="T122" s="1771"/>
      <c r="U122" s="1771"/>
      <c r="V122" s="1771"/>
      <c r="W122" s="1771"/>
      <c r="X122" s="1771"/>
      <c r="Y122" s="1771"/>
      <c r="Z122" s="1771"/>
      <c r="AA122" s="1771"/>
      <c r="AB122" s="1771"/>
      <c r="AC122" s="1771"/>
    </row>
    <row r="123" spans="1:29" ht="15" thickTop="1">
      <c r="A123" s="543"/>
      <c r="B123" s="615" t="s">
        <v>695</v>
      </c>
      <c r="C123" s="630"/>
      <c r="D123" s="630"/>
      <c r="E123" s="630"/>
      <c r="F123" s="658"/>
      <c r="G123" s="658"/>
      <c r="H123" s="658"/>
      <c r="I123" s="658"/>
      <c r="J123" s="658"/>
      <c r="K123" s="659"/>
      <c r="L123" s="660"/>
      <c r="M123" s="661"/>
      <c r="N123" s="1767"/>
      <c r="O123" s="1767"/>
      <c r="P123" s="1810"/>
      <c r="Q123" s="1763"/>
      <c r="R123" s="1742"/>
      <c r="S123" s="1742"/>
      <c r="T123" s="1742"/>
      <c r="U123" s="1742"/>
      <c r="V123" s="1742"/>
      <c r="W123" s="1742"/>
      <c r="X123" s="1742"/>
      <c r="Y123" s="1742"/>
      <c r="Z123" s="1742"/>
      <c r="AA123" s="1742"/>
      <c r="AB123" s="1742"/>
      <c r="AC123" s="1742"/>
    </row>
    <row r="124" spans="1:29" ht="15.75" thickBot="1">
      <c r="A124" s="482"/>
      <c r="B124" s="620"/>
      <c r="C124" s="621">
        <v>100</v>
      </c>
      <c r="D124" s="621">
        <f t="shared" ref="D124:M124" si="27">C124-$K43</f>
        <v>100</v>
      </c>
      <c r="E124" s="621">
        <f t="shared" si="27"/>
        <v>100</v>
      </c>
      <c r="F124" s="621">
        <f t="shared" si="27"/>
        <v>100</v>
      </c>
      <c r="G124" s="621">
        <f t="shared" si="27"/>
        <v>100</v>
      </c>
      <c r="H124" s="621">
        <f t="shared" si="27"/>
        <v>100</v>
      </c>
      <c r="I124" s="621">
        <f t="shared" si="27"/>
        <v>100</v>
      </c>
      <c r="J124" s="621">
        <f t="shared" si="27"/>
        <v>100</v>
      </c>
      <c r="K124" s="621">
        <f t="shared" si="27"/>
        <v>100</v>
      </c>
      <c r="L124" s="621">
        <f t="shared" si="27"/>
        <v>100</v>
      </c>
      <c r="M124" s="622">
        <f t="shared" si="27"/>
        <v>100</v>
      </c>
      <c r="N124" s="1768"/>
      <c r="O124" s="1768"/>
      <c r="P124" s="1810"/>
      <c r="Q124" s="1763"/>
      <c r="R124" s="1742"/>
      <c r="S124" s="1742"/>
      <c r="T124" s="1742"/>
      <c r="U124" s="1742"/>
      <c r="V124" s="1742"/>
      <c r="W124" s="1742"/>
      <c r="X124" s="1742"/>
      <c r="Y124" s="1742"/>
      <c r="Z124" s="1742"/>
      <c r="AA124" s="1742"/>
      <c r="AB124" s="1742"/>
      <c r="AC124" s="1742"/>
    </row>
    <row r="125" spans="1:29" ht="27.75" thickTop="1">
      <c r="A125" s="543"/>
      <c r="B125" s="615" t="s">
        <v>696</v>
      </c>
      <c r="C125" s="649" t="s">
        <v>527</v>
      </c>
      <c r="D125" s="649" t="s">
        <v>528</v>
      </c>
      <c r="E125" s="649" t="s">
        <v>529</v>
      </c>
      <c r="F125" s="649" t="s">
        <v>530</v>
      </c>
      <c r="G125" s="649" t="s">
        <v>531</v>
      </c>
      <c r="H125" s="616"/>
      <c r="I125" s="616"/>
      <c r="J125" s="616"/>
      <c r="K125" s="617"/>
      <c r="L125" s="618"/>
      <c r="M125" s="619"/>
      <c r="N125" s="1767"/>
      <c r="O125" s="1767"/>
      <c r="P125" s="1811"/>
      <c r="Q125" s="1763"/>
      <c r="R125" s="1742"/>
      <c r="S125" s="1742"/>
      <c r="T125" s="1742"/>
      <c r="U125" s="1742"/>
      <c r="V125" s="1742"/>
      <c r="W125" s="1742"/>
      <c r="X125" s="1742"/>
      <c r="Y125" s="1742"/>
      <c r="Z125" s="1742"/>
      <c r="AA125" s="1742"/>
      <c r="AB125" s="1742"/>
      <c r="AC125" s="1742"/>
    </row>
    <row r="126" spans="1:29" ht="15.75" thickBot="1">
      <c r="A126" s="482"/>
      <c r="B126" s="620"/>
      <c r="C126" s="621">
        <v>100</v>
      </c>
      <c r="D126" s="621">
        <f>C126-$K44</f>
        <v>100</v>
      </c>
      <c r="E126" s="621">
        <f>D126-$K44</f>
        <v>100</v>
      </c>
      <c r="F126" s="621">
        <f>E126-$K44</f>
        <v>100</v>
      </c>
      <c r="G126" s="621">
        <f>F126-$K44</f>
        <v>100</v>
      </c>
      <c r="H126" s="621"/>
      <c r="I126" s="621"/>
      <c r="J126" s="621"/>
      <c r="K126" s="621"/>
      <c r="L126" s="621"/>
      <c r="M126" s="622"/>
      <c r="N126" s="1768"/>
      <c r="O126" s="1768"/>
      <c r="P126" s="1810"/>
      <c r="Q126" s="1763"/>
      <c r="R126" s="1742"/>
      <c r="S126" s="1742"/>
      <c r="T126" s="1742"/>
      <c r="U126" s="1742"/>
      <c r="V126" s="1742"/>
      <c r="W126" s="1742"/>
      <c r="X126" s="1742"/>
      <c r="Y126" s="1742"/>
      <c r="Z126" s="1742"/>
      <c r="AA126" s="1742"/>
      <c r="AB126" s="1742"/>
      <c r="AC126" s="1742"/>
    </row>
    <row r="127" spans="1:29" s="1134" customFormat="1" ht="15" thickTop="1">
      <c r="A127" s="552"/>
      <c r="B127" s="615">
        <f>B45</f>
        <v>111</v>
      </c>
      <c r="C127" s="630"/>
      <c r="D127" s="630"/>
      <c r="E127" s="630"/>
      <c r="F127" s="630"/>
      <c r="G127" s="630"/>
      <c r="H127" s="631"/>
      <c r="I127" s="631"/>
      <c r="J127" s="631"/>
      <c r="K127" s="631"/>
      <c r="L127" s="632"/>
      <c r="M127" s="633"/>
      <c r="N127" s="1769"/>
      <c r="O127" s="1769"/>
      <c r="P127" s="1811"/>
      <c r="Q127" s="1770"/>
      <c r="R127" s="1771"/>
      <c r="S127" s="1771"/>
      <c r="T127" s="1771"/>
      <c r="U127" s="1771"/>
      <c r="V127" s="1771"/>
      <c r="W127" s="1771"/>
      <c r="X127" s="1771"/>
      <c r="Y127" s="1771"/>
      <c r="Z127" s="1771"/>
      <c r="AA127" s="1771"/>
      <c r="AB127" s="1771"/>
      <c r="AC127" s="1771"/>
    </row>
    <row r="128" spans="1:29" s="1134" customFormat="1" ht="15.75" thickBot="1">
      <c r="A128" s="629"/>
      <c r="B128" s="620"/>
      <c r="C128" s="634"/>
      <c r="D128" s="613"/>
      <c r="E128" s="613"/>
      <c r="F128" s="613"/>
      <c r="G128" s="634"/>
      <c r="H128" s="635"/>
      <c r="I128" s="635"/>
      <c r="J128" s="635"/>
      <c r="K128" s="635"/>
      <c r="L128" s="635"/>
      <c r="M128" s="636"/>
      <c r="N128" s="1769"/>
      <c r="O128" s="1769"/>
      <c r="P128" s="1811"/>
      <c r="Q128" s="1770"/>
      <c r="R128" s="1771"/>
      <c r="S128" s="1771"/>
      <c r="T128" s="1771"/>
      <c r="U128" s="1771"/>
      <c r="V128" s="1771"/>
      <c r="W128" s="1771"/>
      <c r="X128" s="1771"/>
      <c r="Y128" s="1771"/>
      <c r="Z128" s="1771"/>
      <c r="AA128" s="1771"/>
      <c r="AB128" s="1771"/>
      <c r="AC128" s="1771"/>
    </row>
    <row r="129" spans="1:29" ht="15" thickTop="1">
      <c r="A129" s="543"/>
      <c r="B129" s="615">
        <f>B46</f>
        <v>111</v>
      </c>
      <c r="C129" s="630"/>
      <c r="D129" s="630"/>
      <c r="E129" s="630"/>
      <c r="F129" s="630"/>
      <c r="G129" s="658"/>
      <c r="H129" s="658"/>
      <c r="I129" s="658"/>
      <c r="J129" s="658"/>
      <c r="K129" s="659"/>
      <c r="L129" s="660"/>
      <c r="M129" s="661"/>
      <c r="N129" s="1767"/>
      <c r="O129" s="1767"/>
      <c r="P129" s="1810"/>
      <c r="Q129" s="1763"/>
      <c r="R129" s="1742"/>
      <c r="S129" s="1742"/>
      <c r="T129" s="1742"/>
      <c r="U129" s="1742"/>
      <c r="V129" s="1742"/>
      <c r="W129" s="1742"/>
      <c r="X129" s="1742"/>
      <c r="Y129" s="1742"/>
      <c r="Z129" s="1742"/>
      <c r="AA129" s="1742"/>
      <c r="AB129" s="1742"/>
      <c r="AC129" s="1742"/>
    </row>
    <row r="130" spans="1:29" ht="15.75" thickBot="1">
      <c r="A130" s="482"/>
      <c r="B130" s="620"/>
      <c r="C130" s="634"/>
      <c r="D130" s="634"/>
      <c r="E130" s="634"/>
      <c r="F130" s="634"/>
      <c r="G130" s="613"/>
      <c r="H130" s="613"/>
      <c r="I130" s="613"/>
      <c r="J130" s="613"/>
      <c r="K130" s="613"/>
      <c r="L130" s="613"/>
      <c r="M130" s="614"/>
      <c r="N130" s="1768"/>
      <c r="O130" s="1768"/>
      <c r="P130" s="1810"/>
      <c r="Q130" s="1763"/>
      <c r="R130" s="1742"/>
      <c r="S130" s="1742"/>
      <c r="T130" s="1742"/>
      <c r="U130" s="1742"/>
      <c r="V130" s="1742"/>
      <c r="W130" s="1742"/>
      <c r="X130" s="1742"/>
      <c r="Y130" s="1742"/>
      <c r="Z130" s="1742"/>
      <c r="AA130" s="1742"/>
      <c r="AB130" s="1742"/>
      <c r="AC130" s="1742"/>
    </row>
    <row r="131" spans="1:29" ht="15" thickTop="1">
      <c r="A131" s="543"/>
      <c r="B131" s="623">
        <f>B47</f>
        <v>111</v>
      </c>
      <c r="C131" s="80"/>
      <c r="D131" s="80"/>
      <c r="E131" s="80"/>
      <c r="F131" s="80"/>
      <c r="G131" s="662"/>
      <c r="H131" s="662"/>
      <c r="I131" s="662"/>
      <c r="J131" s="662"/>
      <c r="K131" s="80"/>
      <c r="L131" s="605"/>
      <c r="M131" s="665"/>
      <c r="N131" s="1767"/>
      <c r="O131" s="1767"/>
      <c r="P131" s="1810"/>
      <c r="Q131" s="1763"/>
      <c r="R131" s="1742"/>
      <c r="S131" s="1742"/>
      <c r="T131" s="1742"/>
      <c r="U131" s="1742"/>
      <c r="V131" s="1742"/>
      <c r="W131" s="1742"/>
      <c r="X131" s="1742"/>
      <c r="Y131" s="1742"/>
      <c r="Z131" s="1742"/>
      <c r="AA131" s="1742"/>
      <c r="AB131" s="1742"/>
      <c r="AC131" s="1742"/>
    </row>
    <row r="132" spans="1:29" ht="15.75" thickBot="1">
      <c r="A132" s="493"/>
      <c r="B132" s="641"/>
      <c r="C132" s="642"/>
      <c r="D132" s="642"/>
      <c r="E132" s="642"/>
      <c r="F132" s="642"/>
      <c r="G132" s="666"/>
      <c r="H132" s="666"/>
      <c r="I132" s="666"/>
      <c r="J132" s="666"/>
      <c r="K132" s="666"/>
      <c r="L132" s="666"/>
      <c r="M132" s="667"/>
      <c r="N132" s="1768"/>
      <c r="O132" s="1768"/>
      <c r="P132" s="1810"/>
      <c r="Q132" s="1763"/>
      <c r="R132" s="1742"/>
      <c r="S132" s="1742"/>
      <c r="T132" s="1742"/>
      <c r="U132" s="1742"/>
      <c r="V132" s="1742"/>
      <c r="W132" s="1742"/>
      <c r="X132" s="1742"/>
      <c r="Y132" s="1742"/>
      <c r="Z132" s="1742"/>
      <c r="AA132" s="1742"/>
      <c r="AB132" s="1742"/>
      <c r="AC132" s="1742"/>
    </row>
    <row r="133" spans="1:29">
      <c r="A133" s="1779"/>
      <c r="B133" s="1779"/>
      <c r="C133" s="1779"/>
      <c r="D133" s="1779"/>
      <c r="E133" s="1779"/>
      <c r="F133" s="1779"/>
      <c r="G133" s="1779"/>
      <c r="H133" s="1779"/>
      <c r="I133" s="1779"/>
      <c r="J133" s="1779"/>
      <c r="K133" s="1780"/>
      <c r="L133" s="1781"/>
      <c r="M133" s="1779"/>
      <c r="N133" s="1779"/>
      <c r="O133" s="1779"/>
      <c r="P133" s="1816"/>
      <c r="Q133" s="1779"/>
      <c r="R133" s="1779"/>
      <c r="S133" s="1779"/>
      <c r="T133" s="1779"/>
      <c r="U133" s="1779"/>
      <c r="V133" s="1779"/>
      <c r="W133" s="1779"/>
      <c r="X133" s="1779"/>
      <c r="Y133" s="1779"/>
      <c r="Z133" s="1779"/>
      <c r="AA133" s="1779"/>
      <c r="AB133" s="1779"/>
      <c r="AC133" s="1779"/>
    </row>
    <row r="134" spans="1:29">
      <c r="A134" s="1779"/>
      <c r="B134" s="1779"/>
      <c r="C134" s="1779"/>
      <c r="D134" s="1779"/>
      <c r="E134" s="1779"/>
      <c r="F134" s="1779"/>
      <c r="G134" s="1779"/>
      <c r="H134" s="1779"/>
      <c r="I134" s="1779"/>
      <c r="J134" s="1779"/>
      <c r="K134" s="1780"/>
      <c r="L134" s="1781"/>
      <c r="M134" s="1779"/>
      <c r="N134" s="1779"/>
      <c r="O134" s="1779"/>
      <c r="P134" s="1816"/>
      <c r="Q134" s="1779"/>
      <c r="R134" s="1779"/>
      <c r="S134" s="1779"/>
      <c r="T134" s="1779"/>
      <c r="U134" s="1779"/>
      <c r="V134" s="1779"/>
      <c r="W134" s="1779"/>
      <c r="X134" s="1779"/>
      <c r="Y134" s="1779"/>
      <c r="Z134" s="1779"/>
      <c r="AA134" s="1779"/>
      <c r="AB134" s="1779"/>
      <c r="AC134" s="1779"/>
    </row>
    <row r="135" spans="1:29">
      <c r="A135" s="1779"/>
      <c r="B135" s="1779"/>
      <c r="C135" s="1779"/>
      <c r="D135" s="1779"/>
      <c r="E135" s="1779"/>
      <c r="F135" s="1779"/>
      <c r="G135" s="1779"/>
      <c r="H135" s="1779"/>
      <c r="I135" s="1779"/>
      <c r="J135" s="1779"/>
      <c r="K135" s="1780"/>
      <c r="L135" s="1781"/>
      <c r="M135" s="1779"/>
      <c r="N135" s="1779"/>
      <c r="O135" s="1779"/>
      <c r="P135" s="1816"/>
      <c r="Q135" s="1779"/>
      <c r="R135" s="1779"/>
      <c r="S135" s="1779"/>
      <c r="T135" s="1779"/>
      <c r="U135" s="1779"/>
      <c r="V135" s="1779"/>
      <c r="W135" s="1779"/>
      <c r="X135" s="1779"/>
      <c r="Y135" s="1779"/>
      <c r="Z135" s="1779"/>
      <c r="AA135" s="1779"/>
      <c r="AB135" s="1779"/>
      <c r="AC135" s="1779"/>
    </row>
    <row r="136" spans="1:29">
      <c r="A136" s="1779"/>
      <c r="B136" s="1779"/>
      <c r="C136" s="1779"/>
      <c r="D136" s="1779"/>
      <c r="E136" s="1779"/>
      <c r="F136" s="1779"/>
      <c r="G136" s="1779"/>
      <c r="H136" s="1779"/>
      <c r="I136" s="1779"/>
      <c r="J136" s="1779"/>
      <c r="K136" s="1780"/>
      <c r="L136" s="1781"/>
      <c r="M136" s="1779"/>
      <c r="N136" s="1779"/>
      <c r="O136" s="1779"/>
      <c r="P136" s="1816"/>
      <c r="Q136" s="1779"/>
      <c r="R136" s="1779"/>
      <c r="S136" s="1779"/>
      <c r="T136" s="1779"/>
      <c r="U136" s="1779"/>
      <c r="V136" s="1779"/>
      <c r="W136" s="1779"/>
      <c r="X136" s="1779"/>
      <c r="Y136" s="1779"/>
      <c r="Z136" s="1779"/>
      <c r="AA136" s="1779"/>
      <c r="AB136" s="1779"/>
      <c r="AC136" s="1779"/>
    </row>
    <row r="137" spans="1:29">
      <c r="A137" s="1779"/>
      <c r="B137" s="1779"/>
      <c r="C137" s="1779"/>
      <c r="D137" s="1779"/>
      <c r="E137" s="1779"/>
      <c r="F137" s="1779"/>
      <c r="G137" s="1779"/>
      <c r="H137" s="1779"/>
      <c r="I137" s="1779"/>
      <c r="J137" s="1779"/>
      <c r="K137" s="1780"/>
      <c r="L137" s="1781"/>
      <c r="M137" s="1779"/>
      <c r="N137" s="1779"/>
      <c r="O137" s="1779"/>
      <c r="P137" s="1816"/>
      <c r="Q137" s="1779"/>
      <c r="R137" s="1779"/>
      <c r="S137" s="1779"/>
      <c r="T137" s="1779"/>
      <c r="U137" s="1779"/>
      <c r="V137" s="1779"/>
      <c r="W137" s="1779"/>
      <c r="X137" s="1779"/>
      <c r="Y137" s="1779"/>
      <c r="Z137" s="1779"/>
      <c r="AA137" s="1779"/>
      <c r="AB137" s="1779"/>
      <c r="AC137" s="1779"/>
    </row>
    <row r="138" spans="1:29">
      <c r="A138" s="1779"/>
      <c r="B138" s="1779"/>
      <c r="C138" s="1779"/>
      <c r="D138" s="1779"/>
      <c r="E138" s="1779"/>
      <c r="F138" s="1779"/>
      <c r="G138" s="1779"/>
      <c r="H138" s="1779"/>
      <c r="I138" s="1779"/>
      <c r="J138" s="1779"/>
      <c r="K138" s="1780"/>
      <c r="L138" s="1781"/>
      <c r="M138" s="1779"/>
      <c r="N138" s="1779"/>
      <c r="O138" s="1779"/>
      <c r="P138" s="1816"/>
      <c r="Q138" s="1779"/>
      <c r="R138" s="1779"/>
      <c r="S138" s="1779"/>
      <c r="T138" s="1779"/>
      <c r="U138" s="1779"/>
      <c r="V138" s="1779"/>
      <c r="W138" s="1779"/>
      <c r="X138" s="1779"/>
      <c r="Y138" s="1779"/>
      <c r="Z138" s="1779"/>
      <c r="AA138" s="1779"/>
      <c r="AB138" s="1779"/>
      <c r="AC138" s="1779"/>
    </row>
    <row r="139" spans="1:29">
      <c r="A139" s="1779"/>
      <c r="B139" s="1779"/>
      <c r="C139" s="1779"/>
      <c r="D139" s="1779"/>
      <c r="E139" s="1779"/>
      <c r="F139" s="1779"/>
      <c r="G139" s="1779"/>
      <c r="H139" s="1779"/>
      <c r="I139" s="1779"/>
      <c r="J139" s="1779"/>
      <c r="K139" s="1780"/>
      <c r="L139" s="1781"/>
      <c r="M139" s="1779"/>
      <c r="N139" s="1779"/>
      <c r="O139" s="1779"/>
      <c r="P139" s="1816"/>
      <c r="Q139" s="1779"/>
      <c r="R139" s="1779"/>
      <c r="S139" s="1779"/>
      <c r="T139" s="1779"/>
      <c r="U139" s="1779"/>
      <c r="V139" s="1779"/>
      <c r="W139" s="1779"/>
      <c r="X139" s="1779"/>
      <c r="Y139" s="1779"/>
      <c r="Z139" s="1779"/>
      <c r="AA139" s="1779"/>
      <c r="AB139" s="1779"/>
      <c r="AC139" s="1779"/>
    </row>
    <row r="140" spans="1:29">
      <c r="A140" s="1779"/>
      <c r="B140" s="1779"/>
      <c r="C140" s="1779"/>
      <c r="D140" s="1779"/>
      <c r="E140" s="1779"/>
      <c r="F140" s="1779"/>
      <c r="G140" s="1779"/>
      <c r="H140" s="1779"/>
      <c r="I140" s="1779"/>
      <c r="J140" s="1779"/>
      <c r="K140" s="1780"/>
      <c r="L140" s="1781"/>
      <c r="M140" s="1779"/>
      <c r="N140" s="1779"/>
      <c r="O140" s="1779"/>
      <c r="P140" s="1816"/>
      <c r="Q140" s="1779"/>
      <c r="R140" s="1779"/>
      <c r="S140" s="1779"/>
      <c r="T140" s="1779"/>
      <c r="U140" s="1779"/>
      <c r="V140" s="1779"/>
      <c r="W140" s="1779"/>
      <c r="X140" s="1779"/>
      <c r="Y140" s="1779"/>
      <c r="Z140" s="1779"/>
      <c r="AA140" s="1779"/>
      <c r="AB140" s="1779"/>
      <c r="AC140" s="1779"/>
    </row>
    <row r="141" spans="1:29">
      <c r="A141" s="1779"/>
      <c r="B141" s="1779"/>
      <c r="C141" s="1779"/>
      <c r="D141" s="1779"/>
      <c r="E141" s="1779"/>
      <c r="F141" s="1779"/>
      <c r="G141" s="1779"/>
      <c r="H141" s="1779"/>
      <c r="I141" s="1779"/>
      <c r="J141" s="1779"/>
      <c r="K141" s="1780"/>
      <c r="L141" s="1781"/>
      <c r="M141" s="1779"/>
      <c r="N141" s="1779"/>
      <c r="O141" s="1779"/>
      <c r="P141" s="1816"/>
      <c r="Q141" s="1779"/>
      <c r="R141" s="1779"/>
      <c r="S141" s="1779"/>
      <c r="T141" s="1779"/>
      <c r="U141" s="1779"/>
      <c r="V141" s="1779"/>
      <c r="W141" s="1779"/>
      <c r="X141" s="1779"/>
      <c r="Y141" s="1779"/>
      <c r="Z141" s="1779"/>
      <c r="AA141" s="1779"/>
      <c r="AB141" s="1779"/>
      <c r="AC141" s="1779"/>
    </row>
    <row r="142" spans="1:29">
      <c r="A142" s="1779"/>
      <c r="B142" s="1779"/>
      <c r="C142" s="1779"/>
      <c r="D142" s="1779"/>
      <c r="E142" s="1779"/>
      <c r="F142" s="1779"/>
      <c r="G142" s="1779"/>
      <c r="H142" s="1779"/>
      <c r="I142" s="1779"/>
      <c r="J142" s="1779"/>
      <c r="K142" s="1780"/>
      <c r="L142" s="1781"/>
      <c r="M142" s="1779"/>
      <c r="N142" s="1779"/>
      <c r="O142" s="1779"/>
      <c r="P142" s="1816"/>
      <c r="Q142" s="1779"/>
      <c r="R142" s="1779"/>
      <c r="S142" s="1779"/>
      <c r="T142" s="1779"/>
      <c r="U142" s="1779"/>
      <c r="V142" s="1779"/>
      <c r="W142" s="1779"/>
      <c r="X142" s="1779"/>
      <c r="Y142" s="1779"/>
      <c r="Z142" s="1779"/>
      <c r="AA142" s="1779"/>
      <c r="AB142" s="1779"/>
      <c r="AC142" s="1779"/>
    </row>
    <row r="143" spans="1:29">
      <c r="A143" s="1779"/>
      <c r="B143" s="1779"/>
      <c r="C143" s="1779"/>
      <c r="D143" s="1779"/>
      <c r="E143" s="1779"/>
      <c r="F143" s="1779"/>
      <c r="G143" s="1779"/>
      <c r="H143" s="1779"/>
      <c r="I143" s="1779"/>
      <c r="J143" s="1779"/>
      <c r="K143" s="1780"/>
      <c r="L143" s="1781"/>
      <c r="M143" s="1779"/>
      <c r="N143" s="1779"/>
      <c r="O143" s="1779"/>
      <c r="P143" s="1816"/>
      <c r="Q143" s="1779"/>
      <c r="R143" s="1779"/>
      <c r="S143" s="1779"/>
      <c r="T143" s="1779"/>
      <c r="U143" s="1779"/>
      <c r="V143" s="1779"/>
      <c r="W143" s="1779"/>
      <c r="X143" s="1779"/>
      <c r="Y143" s="1779"/>
      <c r="Z143" s="1779"/>
      <c r="AA143" s="1779"/>
      <c r="AB143" s="1779"/>
      <c r="AC143" s="1779"/>
    </row>
    <row r="144" spans="1:29">
      <c r="A144" s="1779"/>
      <c r="B144" s="1779"/>
      <c r="C144" s="1779"/>
      <c r="D144" s="1779"/>
      <c r="E144" s="1779"/>
      <c r="F144" s="1779"/>
      <c r="G144" s="1779"/>
      <c r="H144" s="1779"/>
      <c r="I144" s="1779"/>
      <c r="J144" s="1779"/>
      <c r="K144" s="1780"/>
      <c r="L144" s="1781"/>
      <c r="M144" s="1779"/>
      <c r="N144" s="1779"/>
      <c r="O144" s="1779"/>
      <c r="P144" s="1816"/>
      <c r="Q144" s="1779"/>
      <c r="R144" s="1779"/>
      <c r="S144" s="1779"/>
      <c r="T144" s="1779"/>
      <c r="U144" s="1779"/>
      <c r="V144" s="1779"/>
      <c r="W144" s="1779"/>
      <c r="X144" s="1779"/>
      <c r="Y144" s="1779"/>
      <c r="Z144" s="1779"/>
      <c r="AA144" s="1779"/>
      <c r="AB144" s="1779"/>
      <c r="AC144" s="1779"/>
    </row>
    <row r="145" spans="1:29">
      <c r="A145" s="1779"/>
      <c r="B145" s="1779"/>
      <c r="C145" s="1779"/>
      <c r="D145" s="1779"/>
      <c r="E145" s="1779"/>
      <c r="F145" s="1779"/>
      <c r="G145" s="1779"/>
      <c r="H145" s="1779"/>
      <c r="I145" s="1779"/>
      <c r="J145" s="1779"/>
      <c r="K145" s="1780"/>
      <c r="L145" s="1781"/>
      <c r="M145" s="1779"/>
      <c r="N145" s="1779"/>
      <c r="O145" s="1779"/>
      <c r="P145" s="1816"/>
      <c r="Q145" s="1779"/>
      <c r="R145" s="1779"/>
      <c r="S145" s="1779"/>
      <c r="T145" s="1779"/>
      <c r="U145" s="1779"/>
      <c r="V145" s="1779"/>
      <c r="W145" s="1779"/>
      <c r="X145" s="1779"/>
      <c r="Y145" s="1779"/>
      <c r="Z145" s="1779"/>
      <c r="AA145" s="1779"/>
      <c r="AB145" s="1779"/>
      <c r="AC145" s="1779"/>
    </row>
    <row r="146" spans="1:29">
      <c r="A146" s="1779"/>
      <c r="B146" s="1779"/>
      <c r="C146" s="1779"/>
      <c r="D146" s="1779"/>
      <c r="E146" s="1779"/>
      <c r="F146" s="1779"/>
      <c r="G146" s="1779"/>
      <c r="H146" s="1779"/>
      <c r="I146" s="1779"/>
      <c r="J146" s="1779"/>
      <c r="K146" s="1780"/>
      <c r="L146" s="1781"/>
      <c r="M146" s="1779"/>
      <c r="N146" s="1779"/>
      <c r="O146" s="1779"/>
      <c r="P146" s="1816"/>
      <c r="Q146" s="1779"/>
      <c r="R146" s="1779"/>
      <c r="S146" s="1779"/>
      <c r="T146" s="1779"/>
      <c r="U146" s="1779"/>
      <c r="V146" s="1779"/>
      <c r="W146" s="1779"/>
      <c r="X146" s="1779"/>
      <c r="Y146" s="1779"/>
      <c r="Z146" s="1779"/>
      <c r="AA146" s="1779"/>
      <c r="AB146" s="1779"/>
      <c r="AC146" s="1779"/>
    </row>
    <row r="147" spans="1:29">
      <c r="A147" s="1779"/>
      <c r="B147" s="1779"/>
      <c r="C147" s="1779"/>
      <c r="D147" s="1779"/>
      <c r="E147" s="1779"/>
      <c r="F147" s="1779"/>
      <c r="G147" s="1779"/>
      <c r="H147" s="1779"/>
      <c r="I147" s="1779"/>
      <c r="J147" s="1779"/>
      <c r="K147" s="1780"/>
      <c r="L147" s="1781"/>
      <c r="M147" s="1779"/>
      <c r="N147" s="1779"/>
      <c r="O147" s="1779"/>
      <c r="P147" s="1816"/>
      <c r="Q147" s="1779"/>
      <c r="R147" s="1779"/>
      <c r="S147" s="1779"/>
      <c r="T147" s="1779"/>
      <c r="U147" s="1779"/>
      <c r="V147" s="1779"/>
      <c r="W147" s="1779"/>
      <c r="X147" s="1779"/>
      <c r="Y147" s="1779"/>
      <c r="Z147" s="1779"/>
      <c r="AA147" s="1779"/>
      <c r="AB147" s="1779"/>
      <c r="AC147" s="1779"/>
    </row>
    <row r="148" spans="1:29">
      <c r="A148" s="1779"/>
      <c r="B148" s="1779"/>
      <c r="C148" s="1779"/>
      <c r="D148" s="1779"/>
      <c r="E148" s="1779"/>
      <c r="F148" s="1779"/>
      <c r="G148" s="1779"/>
      <c r="H148" s="1779"/>
      <c r="I148" s="1779"/>
      <c r="J148" s="1779"/>
      <c r="K148" s="1780"/>
      <c r="L148" s="1781"/>
      <c r="M148" s="1779"/>
      <c r="N148" s="1779"/>
      <c r="O148" s="1779"/>
      <c r="P148" s="1816"/>
      <c r="Q148" s="1779"/>
      <c r="R148" s="1779"/>
      <c r="S148" s="1779"/>
      <c r="T148" s="1779"/>
      <c r="U148" s="1779"/>
      <c r="V148" s="1779"/>
      <c r="W148" s="1779"/>
      <c r="X148" s="1779"/>
      <c r="Y148" s="1779"/>
      <c r="Z148" s="1779"/>
      <c r="AA148" s="1779"/>
      <c r="AB148" s="1779"/>
      <c r="AC148" s="1779"/>
    </row>
    <row r="149" spans="1:29">
      <c r="A149" s="1779"/>
      <c r="B149" s="1779"/>
      <c r="C149" s="1779"/>
      <c r="D149" s="1779"/>
      <c r="E149" s="1779"/>
      <c r="F149" s="1779"/>
      <c r="G149" s="1779"/>
      <c r="H149" s="1779"/>
      <c r="I149" s="1779"/>
      <c r="J149" s="1779"/>
      <c r="K149" s="1780"/>
      <c r="L149" s="1781"/>
      <c r="M149" s="1779"/>
      <c r="N149" s="1779"/>
      <c r="O149" s="1779"/>
      <c r="P149" s="1816"/>
      <c r="Q149" s="1779"/>
      <c r="R149" s="1779"/>
      <c r="S149" s="1779"/>
      <c r="T149" s="1779"/>
      <c r="U149" s="1779"/>
      <c r="V149" s="1779"/>
      <c r="W149" s="1779"/>
      <c r="X149" s="1779"/>
      <c r="Y149" s="1779"/>
      <c r="Z149" s="1779"/>
      <c r="AA149" s="1779"/>
      <c r="AB149" s="1779"/>
      <c r="AC149" s="1779"/>
    </row>
    <row r="150" spans="1:29">
      <c r="A150" s="1779"/>
      <c r="B150" s="1779"/>
      <c r="C150" s="1779"/>
      <c r="D150" s="1779"/>
      <c r="E150" s="1779"/>
      <c r="F150" s="1779"/>
      <c r="G150" s="1779"/>
      <c r="H150" s="1779"/>
      <c r="I150" s="1779"/>
      <c r="J150" s="1779"/>
      <c r="K150" s="1780"/>
      <c r="L150" s="1781"/>
      <c r="M150" s="1779"/>
      <c r="N150" s="1779"/>
      <c r="O150" s="1779"/>
      <c r="P150" s="1816"/>
      <c r="Q150" s="1779"/>
      <c r="R150" s="1779"/>
      <c r="S150" s="1779"/>
      <c r="T150" s="1779"/>
      <c r="U150" s="1779"/>
      <c r="V150" s="1779"/>
      <c r="W150" s="1779"/>
      <c r="X150" s="1779"/>
      <c r="Y150" s="1779"/>
      <c r="Z150" s="1779"/>
      <c r="AA150" s="1779"/>
      <c r="AB150" s="1779"/>
      <c r="AC150" s="1779"/>
    </row>
    <row r="151" spans="1:29">
      <c r="A151" s="1779"/>
      <c r="B151" s="1779"/>
      <c r="C151" s="1779"/>
      <c r="D151" s="1779"/>
      <c r="E151" s="1779"/>
      <c r="F151" s="1779"/>
      <c r="G151" s="1779"/>
      <c r="H151" s="1779"/>
      <c r="I151" s="1779"/>
      <c r="J151" s="1779"/>
      <c r="K151" s="1780"/>
      <c r="L151" s="1781"/>
      <c r="M151" s="1779"/>
      <c r="N151" s="1779"/>
      <c r="O151" s="1779"/>
      <c r="P151" s="1816"/>
      <c r="Q151" s="1779"/>
      <c r="R151" s="1779"/>
      <c r="S151" s="1779"/>
      <c r="T151" s="1779"/>
      <c r="U151" s="1779"/>
      <c r="V151" s="1779"/>
      <c r="W151" s="1779"/>
      <c r="X151" s="1779"/>
      <c r="Y151" s="1779"/>
      <c r="Z151" s="1779"/>
      <c r="AA151" s="1779"/>
      <c r="AB151" s="1779"/>
      <c r="AC151" s="1779"/>
    </row>
    <row r="152" spans="1:29">
      <c r="A152" s="1779"/>
      <c r="B152" s="1779"/>
      <c r="C152" s="1779"/>
      <c r="D152" s="1779"/>
      <c r="E152" s="1779"/>
      <c r="F152" s="1779"/>
      <c r="G152" s="1779"/>
      <c r="H152" s="1779"/>
      <c r="I152" s="1779"/>
      <c r="J152" s="1779"/>
      <c r="K152" s="1780"/>
      <c r="L152" s="1781"/>
      <c r="M152" s="1779"/>
      <c r="N152" s="1779"/>
      <c r="O152" s="1779"/>
      <c r="P152" s="1816"/>
      <c r="Q152" s="1779"/>
      <c r="R152" s="1779"/>
      <c r="S152" s="1779"/>
      <c r="T152" s="1779"/>
      <c r="U152" s="1779"/>
      <c r="V152" s="1779"/>
      <c r="W152" s="1779"/>
      <c r="X152" s="1779"/>
      <c r="Y152" s="1779"/>
      <c r="Z152" s="1779"/>
      <c r="AA152" s="1779"/>
      <c r="AB152" s="1779"/>
      <c r="AC152" s="1779"/>
    </row>
    <row r="153" spans="1:29">
      <c r="A153" s="1779"/>
      <c r="B153" s="1779"/>
      <c r="C153" s="1779"/>
      <c r="D153" s="1779"/>
      <c r="E153" s="1779"/>
      <c r="F153" s="1779"/>
      <c r="G153" s="1779"/>
      <c r="H153" s="1779"/>
      <c r="I153" s="1779"/>
      <c r="J153" s="1779"/>
      <c r="K153" s="1780"/>
      <c r="L153" s="1781"/>
      <c r="M153" s="1779"/>
      <c r="N153" s="1779"/>
      <c r="O153" s="1779"/>
      <c r="P153" s="1816"/>
      <c r="Q153" s="1779"/>
      <c r="R153" s="1779"/>
      <c r="S153" s="1779"/>
      <c r="T153" s="1779"/>
      <c r="U153" s="1779"/>
      <c r="V153" s="1779"/>
      <c r="W153" s="1779"/>
      <c r="X153" s="1779"/>
      <c r="Y153" s="1779"/>
      <c r="Z153" s="1779"/>
      <c r="AA153" s="1779"/>
      <c r="AB153" s="1779"/>
      <c r="AC153" s="1779"/>
    </row>
    <row r="154" spans="1:29">
      <c r="A154" s="1779"/>
      <c r="B154" s="1779"/>
      <c r="C154" s="1779"/>
      <c r="D154" s="1779"/>
      <c r="E154" s="1779"/>
      <c r="F154" s="1779"/>
      <c r="G154" s="1779"/>
      <c r="H154" s="1779"/>
      <c r="I154" s="1779"/>
      <c r="J154" s="1779"/>
      <c r="K154" s="1780"/>
      <c r="L154" s="1781"/>
      <c r="M154" s="1779"/>
      <c r="N154" s="1779"/>
      <c r="O154" s="1779"/>
      <c r="P154" s="1816"/>
      <c r="Q154" s="1779"/>
      <c r="R154" s="1779"/>
      <c r="S154" s="1779"/>
      <c r="T154" s="1779"/>
      <c r="U154" s="1779"/>
      <c r="V154" s="1779"/>
      <c r="W154" s="1779"/>
      <c r="X154" s="1779"/>
      <c r="Y154" s="1779"/>
      <c r="Z154" s="1779"/>
      <c r="AA154" s="1779"/>
      <c r="AB154" s="1779"/>
      <c r="AC154" s="1779"/>
    </row>
    <row r="155" spans="1:29">
      <c r="A155" s="1779"/>
      <c r="B155" s="1779"/>
      <c r="C155" s="1779"/>
      <c r="D155" s="1779"/>
      <c r="E155" s="1779"/>
      <c r="F155" s="1779"/>
      <c r="G155" s="1779"/>
      <c r="H155" s="1779"/>
      <c r="I155" s="1779"/>
      <c r="J155" s="1779"/>
      <c r="K155" s="1780"/>
      <c r="L155" s="1781"/>
      <c r="M155" s="1779"/>
      <c r="N155" s="1779"/>
      <c r="O155" s="1779"/>
      <c r="P155" s="1816"/>
      <c r="Q155" s="1779"/>
      <c r="R155" s="1779"/>
      <c r="S155" s="1779"/>
      <c r="T155" s="1779"/>
      <c r="U155" s="1779"/>
      <c r="V155" s="1779"/>
      <c r="W155" s="1779"/>
      <c r="X155" s="1779"/>
      <c r="Y155" s="1779"/>
      <c r="Z155" s="1779"/>
      <c r="AA155" s="1779"/>
      <c r="AB155" s="1779"/>
      <c r="AC155" s="1779"/>
    </row>
    <row r="156" spans="1:29">
      <c r="A156" s="1779"/>
      <c r="B156" s="1779"/>
      <c r="C156" s="1779"/>
      <c r="D156" s="1779"/>
      <c r="E156" s="1779"/>
      <c r="F156" s="1779"/>
      <c r="G156" s="1779"/>
      <c r="H156" s="1779"/>
      <c r="I156" s="1779"/>
      <c r="J156" s="1779"/>
      <c r="K156" s="1780"/>
      <c r="L156" s="1781"/>
      <c r="M156" s="1779"/>
      <c r="N156" s="1779"/>
      <c r="O156" s="1779"/>
      <c r="P156" s="1816"/>
      <c r="Q156" s="1779"/>
      <c r="R156" s="1779"/>
      <c r="S156" s="1779"/>
      <c r="T156" s="1779"/>
      <c r="U156" s="1779"/>
      <c r="V156" s="1779"/>
      <c r="W156" s="1779"/>
      <c r="X156" s="1779"/>
      <c r="Y156" s="1779"/>
      <c r="Z156" s="1779"/>
      <c r="AA156" s="1779"/>
      <c r="AB156" s="1779"/>
      <c r="AC156" s="1779"/>
    </row>
    <row r="157" spans="1:29">
      <c r="A157" s="1779"/>
      <c r="B157" s="1779"/>
      <c r="C157" s="1779"/>
      <c r="D157" s="1779"/>
      <c r="E157" s="1779"/>
      <c r="F157" s="1779"/>
      <c r="G157" s="1779"/>
      <c r="H157" s="1779"/>
      <c r="I157" s="1779"/>
      <c r="J157" s="1779"/>
      <c r="K157" s="1780"/>
      <c r="L157" s="1781"/>
      <c r="M157" s="1779"/>
      <c r="N157" s="1779"/>
      <c r="O157" s="1779"/>
      <c r="P157" s="1816"/>
      <c r="Q157" s="1779"/>
      <c r="R157" s="1779"/>
      <c r="S157" s="1779"/>
      <c r="T157" s="1779"/>
      <c r="U157" s="1779"/>
      <c r="V157" s="1779"/>
      <c r="W157" s="1779"/>
      <c r="X157" s="1779"/>
      <c r="Y157" s="1779"/>
      <c r="Z157" s="1779"/>
      <c r="AA157" s="1779"/>
      <c r="AB157" s="1779"/>
      <c r="AC157" s="1779"/>
    </row>
    <row r="158" spans="1:29">
      <c r="A158" s="1779"/>
      <c r="B158" s="1779"/>
      <c r="C158" s="1779"/>
      <c r="D158" s="1779"/>
      <c r="E158" s="1779"/>
      <c r="F158" s="1779"/>
      <c r="G158" s="1779"/>
      <c r="H158" s="1779"/>
      <c r="I158" s="1779"/>
      <c r="J158" s="1779"/>
      <c r="K158" s="1780"/>
      <c r="L158" s="1781"/>
      <c r="M158" s="1779"/>
      <c r="N158" s="1779"/>
      <c r="O158" s="1779"/>
      <c r="P158" s="1816"/>
      <c r="Q158" s="1779"/>
      <c r="R158" s="1779"/>
      <c r="S158" s="1779"/>
      <c r="T158" s="1779"/>
      <c r="U158" s="1779"/>
      <c r="V158" s="1779"/>
      <c r="W158" s="1779"/>
      <c r="X158" s="1779"/>
      <c r="Y158" s="1779"/>
      <c r="Z158" s="1779"/>
      <c r="AA158" s="1779"/>
      <c r="AB158" s="1779"/>
      <c r="AC158" s="1779"/>
    </row>
    <row r="159" spans="1:29">
      <c r="A159" s="1779"/>
      <c r="B159" s="1779"/>
      <c r="C159" s="1779"/>
      <c r="D159" s="1779"/>
      <c r="E159" s="1779"/>
      <c r="F159" s="1779"/>
      <c r="G159" s="1779"/>
      <c r="H159" s="1779"/>
      <c r="I159" s="1779"/>
      <c r="J159" s="1779"/>
      <c r="K159" s="1780"/>
      <c r="L159" s="1781"/>
      <c r="M159" s="1779"/>
      <c r="N159" s="1779"/>
      <c r="O159" s="1779"/>
      <c r="P159" s="1816"/>
      <c r="Q159" s="1779"/>
      <c r="R159" s="1779"/>
      <c r="S159" s="1779"/>
      <c r="T159" s="1779"/>
      <c r="U159" s="1779"/>
      <c r="V159" s="1779"/>
      <c r="W159" s="1779"/>
      <c r="X159" s="1779"/>
      <c r="Y159" s="1779"/>
      <c r="Z159" s="1779"/>
      <c r="AA159" s="1779"/>
      <c r="AB159" s="1779"/>
      <c r="AC159" s="1779"/>
    </row>
    <row r="160" spans="1:29">
      <c r="A160" s="1779"/>
      <c r="B160" s="1779"/>
      <c r="C160" s="1779"/>
      <c r="D160" s="1779"/>
      <c r="E160" s="1779"/>
      <c r="F160" s="1779"/>
      <c r="G160" s="1779"/>
      <c r="H160" s="1779"/>
      <c r="I160" s="1779"/>
      <c r="J160" s="1779"/>
      <c r="K160" s="1780"/>
      <c r="L160" s="1781"/>
      <c r="M160" s="1779"/>
      <c r="N160" s="1779"/>
      <c r="O160" s="1779"/>
      <c r="P160" s="1816"/>
      <c r="Q160" s="1779"/>
      <c r="R160" s="1779"/>
      <c r="S160" s="1779"/>
      <c r="T160" s="1779"/>
      <c r="U160" s="1779"/>
      <c r="V160" s="1779"/>
      <c r="W160" s="1779"/>
      <c r="X160" s="1779"/>
      <c r="Y160" s="1779"/>
      <c r="Z160" s="1779"/>
      <c r="AA160" s="1779"/>
      <c r="AB160" s="1779"/>
      <c r="AC160" s="1779"/>
    </row>
    <row r="161" spans="1:29">
      <c r="A161" s="1779"/>
      <c r="B161" s="1779"/>
      <c r="C161" s="1779"/>
      <c r="D161" s="1779"/>
      <c r="E161" s="1779"/>
      <c r="F161" s="1779"/>
      <c r="G161" s="1779"/>
      <c r="H161" s="1779"/>
      <c r="I161" s="1779"/>
      <c r="J161" s="1779"/>
      <c r="K161" s="1780"/>
      <c r="L161" s="1781"/>
      <c r="M161" s="1779"/>
      <c r="N161" s="1779"/>
      <c r="O161" s="1779"/>
      <c r="P161" s="1816"/>
      <c r="Q161" s="1779"/>
      <c r="R161" s="1779"/>
      <c r="S161" s="1779"/>
      <c r="T161" s="1779"/>
      <c r="U161" s="1779"/>
      <c r="V161" s="1779"/>
      <c r="W161" s="1779"/>
      <c r="X161" s="1779"/>
      <c r="Y161" s="1779"/>
      <c r="Z161" s="1779"/>
      <c r="AA161" s="1779"/>
      <c r="AB161" s="1779"/>
      <c r="AC161" s="1779"/>
    </row>
    <row r="162" spans="1:29">
      <c r="A162" s="1779"/>
      <c r="B162" s="1779"/>
      <c r="C162" s="1779"/>
      <c r="D162" s="1779"/>
      <c r="E162" s="1779"/>
      <c r="F162" s="1779"/>
      <c r="G162" s="1779"/>
      <c r="H162" s="1779"/>
      <c r="I162" s="1779"/>
      <c r="J162" s="1779"/>
      <c r="K162" s="1780"/>
      <c r="L162" s="1781"/>
      <c r="M162" s="1779"/>
      <c r="N162" s="1779"/>
      <c r="O162" s="1779"/>
      <c r="P162" s="1816"/>
      <c r="Q162" s="1779"/>
      <c r="R162" s="1779"/>
      <c r="S162" s="1779"/>
      <c r="T162" s="1779"/>
      <c r="U162" s="1779"/>
      <c r="V162" s="1779"/>
      <c r="W162" s="1779"/>
      <c r="X162" s="1779"/>
      <c r="Y162" s="1779"/>
      <c r="Z162" s="1779"/>
      <c r="AA162" s="1779"/>
      <c r="AB162" s="1779"/>
      <c r="AC162" s="1779"/>
    </row>
    <row r="163" spans="1:29">
      <c r="A163" s="1779"/>
      <c r="B163" s="1779"/>
      <c r="C163" s="1779"/>
      <c r="D163" s="1779"/>
      <c r="E163" s="1779"/>
      <c r="F163" s="1779"/>
      <c r="G163" s="1779"/>
      <c r="H163" s="1779"/>
      <c r="I163" s="1779"/>
      <c r="J163" s="1779"/>
      <c r="K163" s="1780"/>
      <c r="L163" s="1781"/>
      <c r="M163" s="1779"/>
      <c r="N163" s="1779"/>
      <c r="O163" s="1779"/>
      <c r="P163" s="1816"/>
      <c r="Q163" s="1779"/>
      <c r="R163" s="1779"/>
      <c r="S163" s="1779"/>
      <c r="T163" s="1779"/>
      <c r="U163" s="1779"/>
      <c r="V163" s="1779"/>
      <c r="W163" s="1779"/>
      <c r="X163" s="1779"/>
      <c r="Y163" s="1779"/>
      <c r="Z163" s="1779"/>
      <c r="AA163" s="1779"/>
      <c r="AB163" s="1779"/>
      <c r="AC163" s="1779"/>
    </row>
    <row r="164" spans="1:29">
      <c r="A164" s="1779"/>
      <c r="B164" s="1779"/>
      <c r="C164" s="1779"/>
      <c r="D164" s="1779"/>
      <c r="E164" s="1779"/>
      <c r="F164" s="1779"/>
      <c r="G164" s="1779"/>
      <c r="H164" s="1779"/>
      <c r="I164" s="1779"/>
      <c r="J164" s="1779"/>
      <c r="K164" s="1780"/>
      <c r="L164" s="1781"/>
      <c r="M164" s="1779"/>
      <c r="N164" s="1779"/>
      <c r="O164" s="1779"/>
      <c r="P164" s="1816"/>
      <c r="Q164" s="1779"/>
      <c r="R164" s="1779"/>
      <c r="S164" s="1779"/>
      <c r="T164" s="1779"/>
      <c r="U164" s="1779"/>
      <c r="V164" s="1779"/>
      <c r="W164" s="1779"/>
      <c r="X164" s="1779"/>
      <c r="Y164" s="1779"/>
      <c r="Z164" s="1779"/>
      <c r="AA164" s="1779"/>
      <c r="AB164" s="1779"/>
      <c r="AC164" s="1779"/>
    </row>
    <row r="165" spans="1:29">
      <c r="A165" s="1779"/>
      <c r="B165" s="1779"/>
      <c r="C165" s="1779"/>
      <c r="D165" s="1779"/>
      <c r="E165" s="1779"/>
      <c r="F165" s="1779"/>
      <c r="G165" s="1779"/>
      <c r="H165" s="1779"/>
      <c r="I165" s="1779"/>
      <c r="J165" s="1779"/>
      <c r="K165" s="1780"/>
      <c r="L165" s="1781"/>
      <c r="M165" s="1779"/>
      <c r="N165" s="1779"/>
      <c r="O165" s="1779"/>
      <c r="P165" s="1816"/>
      <c r="Q165" s="1779"/>
      <c r="R165" s="1779"/>
      <c r="S165" s="1779"/>
      <c r="T165" s="1779"/>
      <c r="U165" s="1779"/>
      <c r="V165" s="1779"/>
      <c r="W165" s="1779"/>
      <c r="X165" s="1779"/>
      <c r="Y165" s="1779"/>
      <c r="Z165" s="1779"/>
      <c r="AA165" s="1779"/>
      <c r="AB165" s="1779"/>
      <c r="AC165" s="1779"/>
    </row>
    <row r="166" spans="1:29">
      <c r="A166" s="1779"/>
      <c r="B166" s="1779"/>
      <c r="C166" s="1779"/>
      <c r="D166" s="1779"/>
      <c r="E166" s="1779"/>
      <c r="F166" s="1779"/>
      <c r="G166" s="1779"/>
      <c r="H166" s="1779"/>
      <c r="I166" s="1779"/>
      <c r="J166" s="1779"/>
      <c r="K166" s="1780"/>
      <c r="L166" s="1781"/>
      <c r="M166" s="1779"/>
      <c r="N166" s="1779"/>
      <c r="O166" s="1779"/>
      <c r="P166" s="1816"/>
      <c r="Q166" s="1779"/>
      <c r="R166" s="1779"/>
      <c r="S166" s="1779"/>
      <c r="T166" s="1779"/>
      <c r="U166" s="1779"/>
      <c r="V166" s="1779"/>
      <c r="W166" s="1779"/>
      <c r="X166" s="1779"/>
      <c r="Y166" s="1779"/>
      <c r="Z166" s="1779"/>
      <c r="AA166" s="1779"/>
      <c r="AB166" s="1779"/>
      <c r="AC166" s="1779"/>
    </row>
    <row r="167" spans="1:29">
      <c r="A167" s="1779"/>
      <c r="B167" s="1779"/>
      <c r="C167" s="1779"/>
      <c r="D167" s="1779"/>
      <c r="E167" s="1779"/>
      <c r="F167" s="1779"/>
      <c r="G167" s="1779"/>
      <c r="H167" s="1779"/>
      <c r="I167" s="1779"/>
      <c r="J167" s="1779"/>
      <c r="K167" s="1780"/>
      <c r="L167" s="1781"/>
      <c r="M167" s="1779"/>
      <c r="N167" s="1779"/>
      <c r="O167" s="1779"/>
      <c r="P167" s="1816"/>
      <c r="Q167" s="1779"/>
      <c r="R167" s="1779"/>
      <c r="S167" s="1779"/>
      <c r="T167" s="1779"/>
      <c r="U167" s="1779"/>
      <c r="V167" s="1779"/>
      <c r="W167" s="1779"/>
      <c r="X167" s="1779"/>
      <c r="Y167" s="1779"/>
      <c r="Z167" s="1779"/>
      <c r="AA167" s="1779"/>
      <c r="AB167" s="1779"/>
      <c r="AC167" s="1779"/>
    </row>
    <row r="168" spans="1:29">
      <c r="A168" s="1779"/>
      <c r="B168" s="1779"/>
      <c r="C168" s="1779"/>
      <c r="D168" s="1779"/>
      <c r="E168" s="1779"/>
      <c r="F168" s="1779"/>
      <c r="G168" s="1779"/>
      <c r="H168" s="1779"/>
      <c r="I168" s="1779"/>
      <c r="J168" s="1779"/>
      <c r="K168" s="1780"/>
      <c r="L168" s="1781"/>
      <c r="M168" s="1779"/>
      <c r="N168" s="1779"/>
      <c r="O168" s="1779"/>
      <c r="P168" s="1816"/>
      <c r="Q168" s="1779"/>
      <c r="R168" s="1779"/>
      <c r="S168" s="1779"/>
      <c r="T168" s="1779"/>
      <c r="U168" s="1779"/>
      <c r="V168" s="1779"/>
      <c r="W168" s="1779"/>
      <c r="X168" s="1779"/>
      <c r="Y168" s="1779"/>
      <c r="Z168" s="1779"/>
      <c r="AA168" s="1779"/>
      <c r="AB168" s="1779"/>
      <c r="AC168" s="1779"/>
    </row>
    <row r="169" spans="1:29">
      <c r="A169" s="1779"/>
      <c r="B169" s="1779"/>
      <c r="C169" s="1779"/>
      <c r="D169" s="1779"/>
      <c r="E169" s="1779"/>
      <c r="F169" s="1779"/>
      <c r="G169" s="1779"/>
      <c r="H169" s="1779"/>
      <c r="I169" s="1779"/>
      <c r="J169" s="1779"/>
      <c r="K169" s="1780"/>
      <c r="L169" s="1781"/>
      <c r="M169" s="1779"/>
      <c r="N169" s="1779"/>
      <c r="O169" s="1779"/>
      <c r="P169" s="1816"/>
      <c r="Q169" s="1779"/>
      <c r="R169" s="1779"/>
      <c r="S169" s="1779"/>
      <c r="T169" s="1779"/>
      <c r="U169" s="1779"/>
      <c r="V169" s="1779"/>
      <c r="W169" s="1779"/>
      <c r="X169" s="1779"/>
      <c r="Y169" s="1779"/>
      <c r="Z169" s="1779"/>
      <c r="AA169" s="1779"/>
      <c r="AB169" s="1779"/>
      <c r="AC169" s="1779"/>
    </row>
    <row r="170" spans="1:29">
      <c r="A170" s="1779"/>
      <c r="B170" s="1779"/>
      <c r="C170" s="1779"/>
      <c r="D170" s="1779"/>
      <c r="E170" s="1779"/>
      <c r="F170" s="1779"/>
      <c r="G170" s="1779"/>
      <c r="H170" s="1779"/>
      <c r="I170" s="1779"/>
      <c r="J170" s="1779"/>
      <c r="K170" s="1780"/>
      <c r="L170" s="1781"/>
      <c r="M170" s="1779"/>
      <c r="N170" s="1779"/>
      <c r="O170" s="1779"/>
      <c r="P170" s="1816"/>
      <c r="Q170" s="1779"/>
      <c r="R170" s="1779"/>
      <c r="S170" s="1779"/>
      <c r="T170" s="1779"/>
      <c r="U170" s="1779"/>
      <c r="V170" s="1779"/>
      <c r="W170" s="1779"/>
      <c r="X170" s="1779"/>
      <c r="Y170" s="1779"/>
      <c r="Z170" s="1779"/>
      <c r="AA170" s="1779"/>
      <c r="AB170" s="1779"/>
      <c r="AC170" s="1779"/>
    </row>
    <row r="171" spans="1:29">
      <c r="A171" s="1779"/>
      <c r="B171" s="1779"/>
      <c r="C171" s="1779"/>
      <c r="D171" s="1779"/>
      <c r="E171" s="1779"/>
      <c r="F171" s="1779"/>
      <c r="G171" s="1779"/>
      <c r="H171" s="1779"/>
      <c r="I171" s="1779"/>
      <c r="J171" s="1779"/>
      <c r="K171" s="1780"/>
      <c r="L171" s="1781"/>
      <c r="M171" s="1779"/>
      <c r="N171" s="1779"/>
      <c r="O171" s="1779"/>
      <c r="P171" s="1816"/>
      <c r="Q171" s="1779"/>
      <c r="R171" s="1779"/>
      <c r="S171" s="1779"/>
      <c r="T171" s="1779"/>
      <c r="U171" s="1779"/>
      <c r="V171" s="1779"/>
      <c r="W171" s="1779"/>
      <c r="X171" s="1779"/>
      <c r="Y171" s="1779"/>
      <c r="Z171" s="1779"/>
      <c r="AA171" s="1779"/>
      <c r="AB171" s="1779"/>
      <c r="AC171" s="1779"/>
    </row>
    <row r="172" spans="1:29">
      <c r="A172" s="1779"/>
      <c r="B172" s="1779"/>
      <c r="C172" s="1779"/>
      <c r="D172" s="1779"/>
      <c r="E172" s="1779"/>
      <c r="F172" s="1779"/>
      <c r="G172" s="1779"/>
      <c r="H172" s="1779"/>
      <c r="I172" s="1779"/>
      <c r="J172" s="1779"/>
      <c r="K172" s="1780"/>
      <c r="L172" s="1781"/>
      <c r="M172" s="1779"/>
      <c r="N172" s="1779"/>
      <c r="O172" s="1779"/>
      <c r="P172" s="1816"/>
      <c r="Q172" s="1779"/>
      <c r="R172" s="1779"/>
      <c r="S172" s="1779"/>
      <c r="T172" s="1779"/>
      <c r="U172" s="1779"/>
      <c r="V172" s="1779"/>
      <c r="W172" s="1779"/>
      <c r="X172" s="1779"/>
      <c r="Y172" s="1779"/>
      <c r="Z172" s="1779"/>
      <c r="AA172" s="1779"/>
      <c r="AB172" s="1779"/>
      <c r="AC172" s="1779"/>
    </row>
    <row r="173" spans="1:29">
      <c r="A173" s="1779"/>
      <c r="B173" s="1779"/>
      <c r="C173" s="1779"/>
      <c r="D173" s="1779"/>
      <c r="E173" s="1779"/>
      <c r="F173" s="1779"/>
      <c r="G173" s="1779"/>
      <c r="H173" s="1779"/>
      <c r="I173" s="1779"/>
      <c r="J173" s="1779"/>
      <c r="K173" s="1780"/>
      <c r="L173" s="1781"/>
      <c r="M173" s="1779"/>
      <c r="N173" s="1779"/>
      <c r="O173" s="1779"/>
      <c r="P173" s="1816"/>
      <c r="Q173" s="1779"/>
      <c r="R173" s="1779"/>
      <c r="S173" s="1779"/>
      <c r="T173" s="1779"/>
      <c r="U173" s="1779"/>
      <c r="V173" s="1779"/>
      <c r="W173" s="1779"/>
      <c r="X173" s="1779"/>
      <c r="Y173" s="1779"/>
      <c r="Z173" s="1779"/>
      <c r="AA173" s="1779"/>
      <c r="AB173" s="1779"/>
      <c r="AC173" s="1779"/>
    </row>
    <row r="174" spans="1:29">
      <c r="A174" s="1779"/>
      <c r="B174" s="1779"/>
      <c r="C174" s="1779"/>
      <c r="D174" s="1779"/>
      <c r="E174" s="1779"/>
      <c r="F174" s="1779"/>
      <c r="G174" s="1779"/>
      <c r="H174" s="1779"/>
      <c r="I174" s="1779"/>
      <c r="J174" s="1779"/>
      <c r="K174" s="1780"/>
      <c r="L174" s="1781"/>
      <c r="M174" s="1779"/>
      <c r="N174" s="1779"/>
      <c r="O174" s="1779"/>
      <c r="P174" s="1816"/>
      <c r="Q174" s="1779"/>
      <c r="R174" s="1779"/>
      <c r="S174" s="1779"/>
      <c r="T174" s="1779"/>
      <c r="U174" s="1779"/>
      <c r="V174" s="1779"/>
      <c r="W174" s="1779"/>
      <c r="X174" s="1779"/>
      <c r="Y174" s="1779"/>
      <c r="Z174" s="1779"/>
      <c r="AA174" s="1779"/>
      <c r="AB174" s="1779"/>
      <c r="AC174" s="1779"/>
    </row>
    <row r="175" spans="1:29">
      <c r="A175" s="1779"/>
      <c r="B175" s="1779"/>
      <c r="C175" s="1779"/>
      <c r="D175" s="1779"/>
      <c r="E175" s="1779"/>
      <c r="F175" s="1779"/>
      <c r="G175" s="1779"/>
      <c r="H175" s="1779"/>
      <c r="I175" s="1779"/>
      <c r="J175" s="1779"/>
      <c r="K175" s="1780"/>
      <c r="L175" s="1781"/>
      <c r="M175" s="1779"/>
      <c r="N175" s="1779"/>
      <c r="O175" s="1779"/>
      <c r="P175" s="1816"/>
      <c r="Q175" s="1779"/>
      <c r="R175" s="1779"/>
      <c r="S175" s="1779"/>
      <c r="T175" s="1779"/>
      <c r="U175" s="1779"/>
      <c r="V175" s="1779"/>
      <c r="W175" s="1779"/>
      <c r="X175" s="1779"/>
      <c r="Y175" s="1779"/>
      <c r="Z175" s="1779"/>
      <c r="AA175" s="1779"/>
      <c r="AB175" s="1779"/>
      <c r="AC175" s="1779"/>
    </row>
    <row r="176" spans="1:29">
      <c r="A176" s="1779"/>
      <c r="B176" s="1779"/>
      <c r="C176" s="1779"/>
      <c r="D176" s="1779"/>
      <c r="E176" s="1779"/>
      <c r="F176" s="1779"/>
      <c r="G176" s="1779"/>
      <c r="H176" s="1779"/>
      <c r="I176" s="1779"/>
      <c r="J176" s="1779"/>
      <c r="K176" s="1780"/>
      <c r="L176" s="1781"/>
      <c r="M176" s="1779"/>
      <c r="N176" s="1779"/>
      <c r="O176" s="1779"/>
      <c r="P176" s="1816"/>
      <c r="Q176" s="1779"/>
      <c r="R176" s="1779"/>
      <c r="S176" s="1779"/>
      <c r="T176" s="1779"/>
      <c r="U176" s="1779"/>
      <c r="V176" s="1779"/>
      <c r="W176" s="1779"/>
      <c r="X176" s="1779"/>
      <c r="Y176" s="1779"/>
      <c r="Z176" s="1779"/>
      <c r="AA176" s="1779"/>
      <c r="AB176" s="1779"/>
      <c r="AC176" s="1779"/>
    </row>
    <row r="177" spans="1:29">
      <c r="A177" s="1779"/>
      <c r="B177" s="1779"/>
      <c r="C177" s="1779"/>
      <c r="D177" s="1779"/>
      <c r="E177" s="1779"/>
      <c r="F177" s="1779"/>
      <c r="G177" s="1779"/>
      <c r="H177" s="1779"/>
      <c r="I177" s="1779"/>
      <c r="J177" s="1779"/>
      <c r="K177" s="1780"/>
      <c r="L177" s="1781"/>
      <c r="M177" s="1779"/>
      <c r="N177" s="1779"/>
      <c r="O177" s="1779"/>
      <c r="P177" s="1816"/>
      <c r="Q177" s="1779"/>
      <c r="R177" s="1779"/>
      <c r="S177" s="1779"/>
      <c r="T177" s="1779"/>
      <c r="U177" s="1779"/>
      <c r="V177" s="1779"/>
      <c r="W177" s="1779"/>
      <c r="X177" s="1779"/>
      <c r="Y177" s="1779"/>
      <c r="Z177" s="1779"/>
      <c r="AA177" s="1779"/>
      <c r="AB177" s="1779"/>
      <c r="AC177" s="1779"/>
    </row>
    <row r="178" spans="1:29">
      <c r="A178" s="1779"/>
      <c r="B178" s="1779"/>
      <c r="C178" s="1779"/>
      <c r="D178" s="1779"/>
      <c r="E178" s="1779"/>
      <c r="F178" s="1779"/>
      <c r="G178" s="1779"/>
      <c r="H178" s="1779"/>
      <c r="I178" s="1779"/>
      <c r="J178" s="1779"/>
      <c r="K178" s="1780"/>
      <c r="L178" s="1781"/>
      <c r="M178" s="1779"/>
      <c r="N178" s="1779"/>
      <c r="O178" s="1779"/>
      <c r="P178" s="1816"/>
      <c r="Q178" s="1779"/>
      <c r="R178" s="1779"/>
      <c r="S178" s="1779"/>
      <c r="T178" s="1779"/>
      <c r="U178" s="1779"/>
      <c r="V178" s="1779"/>
      <c r="W178" s="1779"/>
      <c r="X178" s="1779"/>
      <c r="Y178" s="1779"/>
      <c r="Z178" s="1779"/>
      <c r="AA178" s="1779"/>
      <c r="AB178" s="1779"/>
      <c r="AC178" s="1779"/>
    </row>
    <row r="179" spans="1:29">
      <c r="A179" s="1779"/>
      <c r="B179" s="1779"/>
      <c r="C179" s="1779"/>
      <c r="D179" s="1779"/>
      <c r="E179" s="1779"/>
      <c r="F179" s="1779"/>
      <c r="G179" s="1779"/>
      <c r="H179" s="1779"/>
      <c r="I179" s="1779"/>
      <c r="J179" s="1779"/>
      <c r="K179" s="1780"/>
      <c r="L179" s="1781"/>
      <c r="M179" s="1779"/>
      <c r="N179" s="1779"/>
      <c r="O179" s="1779"/>
      <c r="P179" s="1816"/>
      <c r="Q179" s="1779"/>
      <c r="R179" s="1779"/>
      <c r="S179" s="1779"/>
      <c r="T179" s="1779"/>
      <c r="U179" s="1779"/>
      <c r="V179" s="1779"/>
      <c r="W179" s="1779"/>
      <c r="X179" s="1779"/>
      <c r="Y179" s="1779"/>
      <c r="Z179" s="1779"/>
      <c r="AA179" s="1779"/>
      <c r="AB179" s="1779"/>
      <c r="AC179" s="1779"/>
    </row>
    <row r="180" spans="1:29">
      <c r="A180" s="1779"/>
      <c r="B180" s="1779"/>
      <c r="C180" s="1779"/>
      <c r="D180" s="1779"/>
      <c r="E180" s="1779"/>
      <c r="F180" s="1779"/>
      <c r="G180" s="1779"/>
      <c r="H180" s="1779"/>
      <c r="I180" s="1779"/>
      <c r="J180" s="1779"/>
      <c r="K180" s="1780"/>
      <c r="L180" s="1781"/>
      <c r="M180" s="1779"/>
      <c r="N180" s="1779"/>
      <c r="O180" s="1779"/>
      <c r="P180" s="1816"/>
      <c r="Q180" s="1779"/>
      <c r="R180" s="1779"/>
      <c r="S180" s="1779"/>
      <c r="T180" s="1779"/>
      <c r="U180" s="1779"/>
      <c r="V180" s="1779"/>
      <c r="W180" s="1779"/>
      <c r="X180" s="1779"/>
      <c r="Y180" s="1779"/>
      <c r="Z180" s="1779"/>
      <c r="AA180" s="1779"/>
      <c r="AB180" s="1779"/>
      <c r="AC180" s="1779"/>
    </row>
    <row r="181" spans="1:29">
      <c r="A181" s="1779"/>
      <c r="B181" s="1779"/>
      <c r="C181" s="1779"/>
      <c r="D181" s="1779"/>
      <c r="E181" s="1779"/>
      <c r="F181" s="1779"/>
      <c r="G181" s="1779"/>
      <c r="H181" s="1779"/>
      <c r="I181" s="1779"/>
      <c r="J181" s="1779"/>
      <c r="K181" s="1780"/>
      <c r="L181" s="1781"/>
      <c r="M181" s="1779"/>
      <c r="N181" s="1779"/>
      <c r="O181" s="1779"/>
      <c r="P181" s="1816"/>
      <c r="Q181" s="1779"/>
      <c r="R181" s="1779"/>
      <c r="S181" s="1779"/>
      <c r="T181" s="1779"/>
      <c r="U181" s="1779"/>
      <c r="V181" s="1779"/>
      <c r="W181" s="1779"/>
      <c r="X181" s="1779"/>
      <c r="Y181" s="1779"/>
      <c r="Z181" s="1779"/>
      <c r="AA181" s="1779"/>
      <c r="AB181" s="1779"/>
      <c r="AC181" s="1779"/>
    </row>
    <row r="182" spans="1:29">
      <c r="A182" s="1779"/>
      <c r="B182" s="1779"/>
      <c r="C182" s="1779"/>
      <c r="D182" s="1779"/>
      <c r="E182" s="1779"/>
      <c r="F182" s="1779"/>
      <c r="G182" s="1779"/>
      <c r="H182" s="1779"/>
      <c r="I182" s="1779"/>
      <c r="J182" s="1779"/>
      <c r="K182" s="1780"/>
      <c r="L182" s="1781"/>
      <c r="M182" s="1779"/>
      <c r="N182" s="1779"/>
      <c r="O182" s="1779"/>
      <c r="P182" s="1816"/>
      <c r="Q182" s="1779"/>
      <c r="R182" s="1779"/>
      <c r="S182" s="1779"/>
      <c r="T182" s="1779"/>
      <c r="U182" s="1779"/>
      <c r="V182" s="1779"/>
      <c r="W182" s="1779"/>
      <c r="X182" s="1779"/>
      <c r="Y182" s="1779"/>
      <c r="Z182" s="1779"/>
      <c r="AA182" s="1779"/>
      <c r="AB182" s="1779"/>
      <c r="AC182" s="1779"/>
    </row>
    <row r="183" spans="1:29">
      <c r="A183" s="1779"/>
      <c r="B183" s="1779"/>
      <c r="C183" s="1779"/>
      <c r="D183" s="1779"/>
      <c r="E183" s="1779"/>
      <c r="F183" s="1779"/>
      <c r="G183" s="1779"/>
      <c r="H183" s="1779"/>
      <c r="I183" s="1779"/>
      <c r="J183" s="1779"/>
      <c r="K183" s="1780"/>
      <c r="L183" s="1781"/>
      <c r="M183" s="1779"/>
      <c r="N183" s="1779"/>
      <c r="O183" s="1779"/>
      <c r="P183" s="1816"/>
      <c r="Q183" s="1779"/>
      <c r="R183" s="1779"/>
      <c r="S183" s="1779"/>
      <c r="T183" s="1779"/>
      <c r="U183" s="1779"/>
      <c r="V183" s="1779"/>
      <c r="W183" s="1779"/>
      <c r="X183" s="1779"/>
      <c r="Y183" s="1779"/>
      <c r="Z183" s="1779"/>
      <c r="AA183" s="1779"/>
      <c r="AB183" s="1779"/>
      <c r="AC183" s="1779"/>
    </row>
    <row r="184" spans="1:29">
      <c r="A184" s="1779"/>
      <c r="B184" s="1779"/>
      <c r="C184" s="1779"/>
      <c r="D184" s="1779"/>
      <c r="E184" s="1779"/>
      <c r="F184" s="1779"/>
      <c r="G184" s="1779"/>
      <c r="H184" s="1779"/>
      <c r="I184" s="1779"/>
      <c r="J184" s="1779"/>
      <c r="K184" s="1780"/>
      <c r="L184" s="1781"/>
      <c r="M184" s="1779"/>
      <c r="N184" s="1779"/>
      <c r="O184" s="1779"/>
      <c r="P184" s="1816"/>
      <c r="Q184" s="1779"/>
      <c r="R184" s="1779"/>
      <c r="S184" s="1779"/>
      <c r="T184" s="1779"/>
      <c r="U184" s="1779"/>
      <c r="V184" s="1779"/>
      <c r="W184" s="1779"/>
      <c r="X184" s="1779"/>
      <c r="Y184" s="1779"/>
      <c r="Z184" s="1779"/>
      <c r="AA184" s="1779"/>
      <c r="AB184" s="1779"/>
      <c r="AC184" s="1779"/>
    </row>
    <row r="185" spans="1:29">
      <c r="A185" s="1779"/>
      <c r="B185" s="1779"/>
      <c r="C185" s="1779"/>
      <c r="D185" s="1779"/>
      <c r="E185" s="1779"/>
      <c r="F185" s="1779"/>
      <c r="G185" s="1779"/>
      <c r="H185" s="1779"/>
      <c r="I185" s="1779"/>
      <c r="J185" s="1779"/>
      <c r="K185" s="1780"/>
      <c r="L185" s="1781"/>
      <c r="M185" s="1779"/>
      <c r="N185" s="1779"/>
      <c r="O185" s="1779"/>
      <c r="P185" s="1816"/>
      <c r="Q185" s="1779"/>
      <c r="R185" s="1779"/>
      <c r="S185" s="1779"/>
      <c r="T185" s="1779"/>
      <c r="U185" s="1779"/>
      <c r="V185" s="1779"/>
      <c r="W185" s="1779"/>
      <c r="X185" s="1779"/>
      <c r="Y185" s="1779"/>
      <c r="Z185" s="1779"/>
      <c r="AA185" s="1779"/>
      <c r="AB185" s="1779"/>
      <c r="AC185" s="1779"/>
    </row>
    <row r="186" spans="1:29">
      <c r="A186" s="1779"/>
      <c r="B186" s="1779"/>
      <c r="C186" s="1779"/>
      <c r="D186" s="1779"/>
      <c r="E186" s="1779"/>
      <c r="F186" s="1779"/>
      <c r="G186" s="1779"/>
      <c r="H186" s="1779"/>
      <c r="I186" s="1779"/>
      <c r="J186" s="1779"/>
      <c r="K186" s="1780"/>
      <c r="L186" s="1781"/>
      <c r="M186" s="1779"/>
      <c r="N186" s="1779"/>
      <c r="O186" s="1779"/>
      <c r="P186" s="1816"/>
      <c r="Q186" s="1779"/>
      <c r="R186" s="1779"/>
      <c r="S186" s="1779"/>
      <c r="T186" s="1779"/>
      <c r="U186" s="1779"/>
      <c r="V186" s="1779"/>
      <c r="W186" s="1779"/>
      <c r="X186" s="1779"/>
      <c r="Y186" s="1779"/>
      <c r="Z186" s="1779"/>
      <c r="AA186" s="1779"/>
      <c r="AB186" s="1779"/>
      <c r="AC186" s="1779"/>
    </row>
    <row r="187" spans="1:29">
      <c r="A187" s="1779"/>
      <c r="B187" s="1779"/>
      <c r="C187" s="1779"/>
      <c r="D187" s="1779"/>
      <c r="E187" s="1779"/>
      <c r="F187" s="1779"/>
      <c r="G187" s="1779"/>
      <c r="H187" s="1779"/>
      <c r="I187" s="1779"/>
      <c r="J187" s="1779"/>
      <c r="K187" s="1780"/>
      <c r="L187" s="1781"/>
      <c r="M187" s="1779"/>
      <c r="N187" s="1779"/>
      <c r="O187" s="1779"/>
      <c r="P187" s="1816"/>
      <c r="Q187" s="1779"/>
      <c r="R187" s="1779"/>
      <c r="S187" s="1779"/>
      <c r="T187" s="1779"/>
      <c r="U187" s="1779"/>
      <c r="V187" s="1779"/>
      <c r="W187" s="1779"/>
      <c r="X187" s="1779"/>
      <c r="Y187" s="1779"/>
      <c r="Z187" s="1779"/>
      <c r="AA187" s="1779"/>
      <c r="AB187" s="1779"/>
      <c r="AC187" s="1779"/>
    </row>
    <row r="188" spans="1:29">
      <c r="A188" s="1779"/>
      <c r="B188" s="1779"/>
      <c r="C188" s="1779"/>
      <c r="D188" s="1779"/>
      <c r="E188" s="1779"/>
      <c r="F188" s="1779"/>
      <c r="G188" s="1779"/>
      <c r="H188" s="1779"/>
      <c r="I188" s="1779"/>
      <c r="J188" s="1779"/>
      <c r="K188" s="1780"/>
      <c r="L188" s="1781"/>
      <c r="M188" s="1779"/>
      <c r="N188" s="1779"/>
      <c r="O188" s="1779"/>
      <c r="P188" s="1816"/>
      <c r="Q188" s="1779"/>
      <c r="R188" s="1779"/>
      <c r="S188" s="1779"/>
      <c r="T188" s="1779"/>
      <c r="U188" s="1779"/>
      <c r="V188" s="1779"/>
      <c r="W188" s="1779"/>
      <c r="X188" s="1779"/>
      <c r="Y188" s="1779"/>
      <c r="Z188" s="1779"/>
      <c r="AA188" s="1779"/>
      <c r="AB188" s="1779"/>
      <c r="AC188" s="1779"/>
    </row>
    <row r="189" spans="1:29">
      <c r="A189" s="1779"/>
      <c r="B189" s="1779"/>
      <c r="C189" s="1779"/>
      <c r="D189" s="1779"/>
      <c r="E189" s="1779"/>
      <c r="F189" s="1779"/>
      <c r="G189" s="1779"/>
      <c r="H189" s="1779"/>
      <c r="I189" s="1779"/>
      <c r="J189" s="1779"/>
      <c r="K189" s="1780"/>
      <c r="L189" s="1781"/>
      <c r="M189" s="1779"/>
      <c r="N189" s="1779"/>
      <c r="O189" s="1779"/>
      <c r="P189" s="1816"/>
      <c r="Q189" s="1779"/>
      <c r="R189" s="1779"/>
      <c r="S189" s="1779"/>
      <c r="T189" s="1779"/>
      <c r="U189" s="1779"/>
      <c r="V189" s="1779"/>
      <c r="W189" s="1779"/>
      <c r="X189" s="1779"/>
      <c r="Y189" s="1779"/>
      <c r="Z189" s="1779"/>
      <c r="AA189" s="1779"/>
      <c r="AB189" s="1779"/>
      <c r="AC189" s="1779"/>
    </row>
    <row r="190" spans="1:29">
      <c r="A190" s="1779"/>
      <c r="B190" s="1779"/>
      <c r="C190" s="1779"/>
      <c r="D190" s="1779"/>
      <c r="E190" s="1779"/>
      <c r="F190" s="1779"/>
      <c r="G190" s="1779"/>
      <c r="H190" s="1779"/>
      <c r="I190" s="1779"/>
      <c r="J190" s="1779"/>
      <c r="K190" s="1780"/>
      <c r="L190" s="1781"/>
      <c r="M190" s="1779"/>
      <c r="N190" s="1779"/>
      <c r="O190" s="1779"/>
      <c r="P190" s="1816"/>
      <c r="Q190" s="1779"/>
      <c r="R190" s="1779"/>
      <c r="S190" s="1779"/>
      <c r="T190" s="1779"/>
      <c r="U190" s="1779"/>
      <c r="V190" s="1779"/>
      <c r="W190" s="1779"/>
      <c r="X190" s="1779"/>
      <c r="Y190" s="1779"/>
      <c r="Z190" s="1779"/>
      <c r="AA190" s="1779"/>
      <c r="AB190" s="1779"/>
      <c r="AC190" s="1779"/>
    </row>
    <row r="191" spans="1:29">
      <c r="A191" s="1779"/>
      <c r="B191" s="1779"/>
      <c r="C191" s="1779"/>
      <c r="D191" s="1779"/>
      <c r="E191" s="1779"/>
      <c r="F191" s="1779"/>
      <c r="G191" s="1779"/>
      <c r="H191" s="1779"/>
      <c r="I191" s="1779"/>
      <c r="J191" s="1779"/>
      <c r="K191" s="1780"/>
      <c r="L191" s="1781"/>
      <c r="M191" s="1779"/>
      <c r="N191" s="1779"/>
      <c r="O191" s="1779"/>
      <c r="P191" s="1816"/>
      <c r="Q191" s="1779"/>
      <c r="R191" s="1779"/>
      <c r="S191" s="1779"/>
      <c r="T191" s="1779"/>
      <c r="U191" s="1779"/>
      <c r="V191" s="1779"/>
      <c r="W191" s="1779"/>
      <c r="X191" s="1779"/>
      <c r="Y191" s="1779"/>
      <c r="Z191" s="1779"/>
      <c r="AA191" s="1779"/>
      <c r="AB191" s="1779"/>
      <c r="AC191" s="1779"/>
    </row>
    <row r="192" spans="1:29">
      <c r="A192" s="1779"/>
      <c r="B192" s="1779"/>
      <c r="C192" s="1779"/>
      <c r="D192" s="1779"/>
      <c r="E192" s="1779"/>
      <c r="F192" s="1779"/>
      <c r="G192" s="1779"/>
      <c r="H192" s="1779"/>
      <c r="I192" s="1779"/>
      <c r="J192" s="1779"/>
      <c r="K192" s="1780"/>
      <c r="L192" s="1781"/>
      <c r="M192" s="1779"/>
      <c r="N192" s="1779"/>
      <c r="O192" s="1779"/>
      <c r="P192" s="1816"/>
      <c r="Q192" s="1779"/>
      <c r="R192" s="1779"/>
      <c r="S192" s="1779"/>
      <c r="T192" s="1779"/>
      <c r="U192" s="1779"/>
      <c r="V192" s="1779"/>
      <c r="W192" s="1779"/>
      <c r="X192" s="1779"/>
      <c r="Y192" s="1779"/>
      <c r="Z192" s="1779"/>
      <c r="AA192" s="1779"/>
      <c r="AB192" s="1779"/>
      <c r="AC192" s="1779"/>
    </row>
    <row r="193" spans="1:29">
      <c r="A193" s="1779"/>
      <c r="B193" s="1779"/>
      <c r="C193" s="1779"/>
      <c r="D193" s="1779"/>
      <c r="E193" s="1779"/>
      <c r="F193" s="1779"/>
      <c r="G193" s="1779"/>
      <c r="H193" s="1779"/>
      <c r="I193" s="1779"/>
      <c r="J193" s="1779"/>
      <c r="K193" s="1780"/>
      <c r="L193" s="1781"/>
      <c r="M193" s="1779"/>
      <c r="N193" s="1779"/>
      <c r="O193" s="1779"/>
      <c r="P193" s="1816"/>
      <c r="Q193" s="1779"/>
      <c r="R193" s="1779"/>
      <c r="S193" s="1779"/>
      <c r="T193" s="1779"/>
      <c r="U193" s="1779"/>
      <c r="V193" s="1779"/>
      <c r="W193" s="1779"/>
      <c r="X193" s="1779"/>
      <c r="Y193" s="1779"/>
      <c r="Z193" s="1779"/>
      <c r="AA193" s="1779"/>
      <c r="AB193" s="1779"/>
      <c r="AC193" s="1779"/>
    </row>
    <row r="194" spans="1:29">
      <c r="A194" s="1779"/>
      <c r="B194" s="1779"/>
      <c r="C194" s="1779"/>
      <c r="D194" s="1779"/>
      <c r="E194" s="1779"/>
      <c r="F194" s="1779"/>
      <c r="G194" s="1779"/>
      <c r="H194" s="1779"/>
      <c r="I194" s="1779"/>
      <c r="J194" s="1779"/>
      <c r="K194" s="1780"/>
      <c r="L194" s="1781"/>
      <c r="M194" s="1779"/>
      <c r="N194" s="1779"/>
      <c r="O194" s="1779"/>
      <c r="P194" s="1816"/>
      <c r="Q194" s="1779"/>
      <c r="R194" s="1779"/>
      <c r="S194" s="1779"/>
      <c r="T194" s="1779"/>
      <c r="U194" s="1779"/>
      <c r="V194" s="1779"/>
      <c r="W194" s="1779"/>
      <c r="X194" s="1779"/>
      <c r="Y194" s="1779"/>
      <c r="Z194" s="1779"/>
      <c r="AA194" s="1779"/>
      <c r="AB194" s="1779"/>
      <c r="AC194" s="1779"/>
    </row>
    <row r="195" spans="1:29">
      <c r="A195" s="1779"/>
      <c r="B195" s="1779"/>
      <c r="C195" s="1779"/>
      <c r="D195" s="1779"/>
      <c r="E195" s="1779"/>
      <c r="F195" s="1779"/>
      <c r="G195" s="1779"/>
      <c r="H195" s="1779"/>
      <c r="I195" s="1779"/>
      <c r="J195" s="1779"/>
      <c r="K195" s="1780"/>
      <c r="L195" s="1781"/>
      <c r="M195" s="1779"/>
      <c r="N195" s="1779"/>
      <c r="O195" s="1779"/>
      <c r="P195" s="1816"/>
      <c r="Q195" s="1779"/>
      <c r="R195" s="1779"/>
      <c r="S195" s="1779"/>
      <c r="T195" s="1779"/>
      <c r="U195" s="1779"/>
      <c r="V195" s="1779"/>
      <c r="W195" s="1779"/>
      <c r="X195" s="1779"/>
      <c r="Y195" s="1779"/>
      <c r="Z195" s="1779"/>
      <c r="AA195" s="1779"/>
      <c r="AB195" s="1779"/>
      <c r="AC195" s="1779"/>
    </row>
    <row r="196" spans="1:29">
      <c r="A196" s="1779"/>
      <c r="B196" s="1779"/>
      <c r="C196" s="1779"/>
      <c r="D196" s="1779"/>
      <c r="E196" s="1779"/>
      <c r="F196" s="1779"/>
      <c r="G196" s="1779"/>
      <c r="H196" s="1779"/>
      <c r="I196" s="1779"/>
      <c r="J196" s="1779"/>
      <c r="K196" s="1780"/>
      <c r="L196" s="1781"/>
      <c r="M196" s="1779"/>
      <c r="N196" s="1779"/>
      <c r="O196" s="1779"/>
      <c r="P196" s="1816"/>
      <c r="Q196" s="1779"/>
      <c r="R196" s="1779"/>
      <c r="S196" s="1779"/>
      <c r="T196" s="1779"/>
      <c r="U196" s="1779"/>
      <c r="V196" s="1779"/>
      <c r="W196" s="1779"/>
      <c r="X196" s="1779"/>
      <c r="Y196" s="1779"/>
      <c r="Z196" s="1779"/>
      <c r="AA196" s="1779"/>
      <c r="AB196" s="1779"/>
      <c r="AC196" s="1779"/>
    </row>
    <row r="197" spans="1:29">
      <c r="A197" s="1779"/>
      <c r="B197" s="1779"/>
      <c r="C197" s="1779"/>
      <c r="D197" s="1779"/>
      <c r="E197" s="1779"/>
      <c r="F197" s="1779"/>
      <c r="G197" s="1779"/>
      <c r="H197" s="1779"/>
      <c r="I197" s="1779"/>
      <c r="J197" s="1779"/>
      <c r="K197" s="1780"/>
      <c r="L197" s="1781"/>
      <c r="M197" s="1779"/>
      <c r="N197" s="1779"/>
      <c r="O197" s="1779"/>
      <c r="P197" s="1816"/>
      <c r="Q197" s="1779"/>
      <c r="R197" s="1779"/>
      <c r="S197" s="1779"/>
      <c r="T197" s="1779"/>
      <c r="U197" s="1779"/>
      <c r="V197" s="1779"/>
      <c r="W197" s="1779"/>
      <c r="X197" s="1779"/>
      <c r="Y197" s="1779"/>
      <c r="Z197" s="1779"/>
      <c r="AA197" s="1779"/>
      <c r="AB197" s="1779"/>
      <c r="AC197" s="1779"/>
    </row>
    <row r="198" spans="1:29">
      <c r="A198" s="1779"/>
      <c r="B198" s="1779"/>
      <c r="C198" s="1779"/>
      <c r="D198" s="1779"/>
      <c r="E198" s="1779"/>
      <c r="F198" s="1779"/>
      <c r="G198" s="1779"/>
      <c r="H198" s="1779"/>
      <c r="I198" s="1779"/>
      <c r="J198" s="1779"/>
      <c r="K198" s="1780"/>
      <c r="L198" s="1781"/>
      <c r="M198" s="1779"/>
      <c r="N198" s="1779"/>
      <c r="O198" s="1779"/>
      <c r="P198" s="1816"/>
      <c r="Q198" s="1779"/>
      <c r="R198" s="1779"/>
      <c r="S198" s="1779"/>
      <c r="T198" s="1779"/>
      <c r="U198" s="1779"/>
      <c r="V198" s="1779"/>
      <c r="W198" s="1779"/>
      <c r="X198" s="1779"/>
      <c r="Y198" s="1779"/>
      <c r="Z198" s="1779"/>
      <c r="AA198" s="1779"/>
      <c r="AB198" s="1779"/>
      <c r="AC198" s="1779"/>
    </row>
    <row r="199" spans="1:29">
      <c r="A199" s="1779"/>
      <c r="B199" s="1779"/>
      <c r="C199" s="1779"/>
      <c r="D199" s="1779"/>
      <c r="E199" s="1779"/>
      <c r="F199" s="1779"/>
      <c r="G199" s="1779"/>
      <c r="H199" s="1779"/>
      <c r="I199" s="1779"/>
      <c r="J199" s="1779"/>
      <c r="K199" s="1780"/>
      <c r="L199" s="1781"/>
      <c r="M199" s="1779"/>
      <c r="N199" s="1779"/>
      <c r="O199" s="1779"/>
      <c r="P199" s="1816"/>
      <c r="Q199" s="1779"/>
      <c r="R199" s="1779"/>
      <c r="S199" s="1779"/>
      <c r="T199" s="1779"/>
      <c r="U199" s="1779"/>
      <c r="V199" s="1779"/>
      <c r="W199" s="1779"/>
      <c r="X199" s="1779"/>
      <c r="Y199" s="1779"/>
      <c r="Z199" s="1779"/>
      <c r="AA199" s="1779"/>
      <c r="AB199" s="1779"/>
      <c r="AC199" s="1779"/>
    </row>
    <row r="200" spans="1:29">
      <c r="A200" s="1779"/>
      <c r="B200" s="1779"/>
      <c r="C200" s="1779"/>
      <c r="D200" s="1779"/>
      <c r="E200" s="1779"/>
      <c r="F200" s="1779"/>
      <c r="G200" s="1779"/>
      <c r="H200" s="1779"/>
      <c r="I200" s="1779"/>
      <c r="J200" s="1779"/>
      <c r="K200" s="1780"/>
      <c r="L200" s="1781"/>
      <c r="M200" s="1779"/>
      <c r="N200" s="1779"/>
      <c r="O200" s="1779"/>
      <c r="P200" s="1816"/>
      <c r="Q200" s="1779"/>
      <c r="R200" s="1779"/>
      <c r="S200" s="1779"/>
      <c r="T200" s="1779"/>
      <c r="U200" s="1779"/>
      <c r="V200" s="1779"/>
      <c r="W200" s="1779"/>
      <c r="X200" s="1779"/>
      <c r="Y200" s="1779"/>
      <c r="Z200" s="1779"/>
      <c r="AA200" s="1779"/>
      <c r="AB200" s="1779"/>
      <c r="AC200" s="1779"/>
    </row>
    <row r="201" spans="1:29">
      <c r="A201" s="1779"/>
      <c r="B201" s="1779"/>
      <c r="C201" s="1779"/>
      <c r="D201" s="1779"/>
      <c r="E201" s="1779"/>
      <c r="F201" s="1779"/>
      <c r="G201" s="1779"/>
      <c r="H201" s="1779"/>
      <c r="I201" s="1779"/>
      <c r="J201" s="1779"/>
      <c r="K201" s="1780"/>
      <c r="L201" s="1781"/>
      <c r="M201" s="1779"/>
      <c r="N201" s="1779"/>
      <c r="O201" s="1779"/>
      <c r="P201" s="1816"/>
      <c r="Q201" s="1779"/>
      <c r="R201" s="1779"/>
      <c r="S201" s="1779"/>
      <c r="T201" s="1779"/>
      <c r="U201" s="1779"/>
      <c r="V201" s="1779"/>
      <c r="W201" s="1779"/>
      <c r="X201" s="1779"/>
      <c r="Y201" s="1779"/>
      <c r="Z201" s="1779"/>
      <c r="AA201" s="1779"/>
      <c r="AB201" s="1779"/>
      <c r="AC201" s="1779"/>
    </row>
    <row r="202" spans="1:29">
      <c r="A202" s="1779"/>
      <c r="B202" s="1779"/>
      <c r="C202" s="1779"/>
      <c r="D202" s="1779"/>
      <c r="E202" s="1779"/>
      <c r="F202" s="1779"/>
      <c r="G202" s="1779"/>
      <c r="H202" s="1779"/>
      <c r="I202" s="1779"/>
      <c r="J202" s="1779"/>
      <c r="K202" s="1780"/>
      <c r="L202" s="1781"/>
      <c r="M202" s="1779"/>
      <c r="N202" s="1779"/>
      <c r="O202" s="1779"/>
      <c r="P202" s="1816"/>
      <c r="Q202" s="1779"/>
      <c r="R202" s="1779"/>
      <c r="S202" s="1779"/>
      <c r="T202" s="1779"/>
      <c r="U202" s="1779"/>
      <c r="V202" s="1779"/>
      <c r="W202" s="1779"/>
      <c r="X202" s="1779"/>
      <c r="Y202" s="1779"/>
      <c r="Z202" s="1779"/>
      <c r="AA202" s="1779"/>
      <c r="AB202" s="1779"/>
      <c r="AC202" s="1779"/>
    </row>
    <row r="203" spans="1:29">
      <c r="A203" s="1779"/>
      <c r="B203" s="1779"/>
      <c r="C203" s="1779"/>
      <c r="D203" s="1779"/>
      <c r="E203" s="1779"/>
      <c r="F203" s="1779"/>
      <c r="G203" s="1779"/>
      <c r="H203" s="1779"/>
      <c r="I203" s="1779"/>
      <c r="J203" s="1779"/>
      <c r="K203" s="1780"/>
      <c r="L203" s="1781"/>
      <c r="M203" s="1779"/>
      <c r="N203" s="1779"/>
      <c r="O203" s="1779"/>
      <c r="P203" s="1816"/>
      <c r="Q203" s="1779"/>
      <c r="R203" s="1779"/>
      <c r="S203" s="1779"/>
      <c r="T203" s="1779"/>
      <c r="U203" s="1779"/>
      <c r="V203" s="1779"/>
      <c r="W203" s="1779"/>
      <c r="X203" s="1779"/>
      <c r="Y203" s="1779"/>
      <c r="Z203" s="1779"/>
      <c r="AA203" s="1779"/>
      <c r="AB203" s="1779"/>
      <c r="AC203" s="1779"/>
    </row>
    <row r="204" spans="1:29">
      <c r="A204" s="1779"/>
      <c r="B204" s="1779"/>
      <c r="C204" s="1779"/>
      <c r="D204" s="1779"/>
      <c r="E204" s="1779"/>
      <c r="F204" s="1779"/>
      <c r="G204" s="1779"/>
      <c r="H204" s="1779"/>
      <c r="I204" s="1779"/>
      <c r="J204" s="1779"/>
      <c r="K204" s="1780"/>
      <c r="L204" s="1781"/>
      <c r="M204" s="1779"/>
      <c r="N204" s="1779"/>
      <c r="O204" s="1779"/>
      <c r="P204" s="1816"/>
      <c r="Q204" s="1779"/>
      <c r="R204" s="1779"/>
      <c r="S204" s="1779"/>
      <c r="T204" s="1779"/>
      <c r="U204" s="1779"/>
      <c r="V204" s="1779"/>
      <c r="W204" s="1779"/>
      <c r="X204" s="1779"/>
      <c r="Y204" s="1779"/>
      <c r="Z204" s="1779"/>
      <c r="AA204" s="1779"/>
      <c r="AB204" s="1779"/>
      <c r="AC204" s="1779"/>
    </row>
    <row r="205" spans="1:29">
      <c r="A205" s="1779"/>
      <c r="B205" s="1779"/>
      <c r="C205" s="1779"/>
      <c r="D205" s="1779"/>
      <c r="E205" s="1779"/>
      <c r="F205" s="1779"/>
      <c r="G205" s="1779"/>
      <c r="H205" s="1779"/>
      <c r="I205" s="1779"/>
      <c r="J205" s="1779"/>
      <c r="K205" s="1780"/>
      <c r="L205" s="1781"/>
      <c r="M205" s="1779"/>
      <c r="N205" s="1779"/>
      <c r="O205" s="1779"/>
      <c r="P205" s="1816"/>
      <c r="Q205" s="1779"/>
      <c r="R205" s="1779"/>
      <c r="S205" s="1779"/>
      <c r="T205" s="1779"/>
      <c r="U205" s="1779"/>
      <c r="V205" s="1779"/>
      <c r="W205" s="1779"/>
      <c r="X205" s="1779"/>
      <c r="Y205" s="1779"/>
      <c r="Z205" s="1779"/>
      <c r="AA205" s="1779"/>
      <c r="AB205" s="1779"/>
      <c r="AC205" s="1779"/>
    </row>
    <row r="206" spans="1:29">
      <c r="A206" s="1779"/>
      <c r="B206" s="1779"/>
      <c r="C206" s="1779"/>
      <c r="D206" s="1779"/>
      <c r="E206" s="1779"/>
      <c r="F206" s="1779"/>
      <c r="G206" s="1779"/>
      <c r="H206" s="1779"/>
      <c r="I206" s="1779"/>
      <c r="J206" s="1779"/>
      <c r="K206" s="1780"/>
      <c r="L206" s="1781"/>
      <c r="M206" s="1779"/>
      <c r="N206" s="1779"/>
      <c r="O206" s="1779"/>
      <c r="P206" s="1816"/>
      <c r="Q206" s="1779"/>
      <c r="R206" s="1779"/>
      <c r="S206" s="1779"/>
      <c r="T206" s="1779"/>
      <c r="U206" s="1779"/>
      <c r="V206" s="1779"/>
      <c r="W206" s="1779"/>
      <c r="X206" s="1779"/>
      <c r="Y206" s="1779"/>
      <c r="Z206" s="1779"/>
      <c r="AA206" s="1779"/>
      <c r="AB206" s="1779"/>
      <c r="AC206" s="1779"/>
    </row>
    <row r="207" spans="1:29">
      <c r="A207" s="1779"/>
      <c r="B207" s="1779"/>
      <c r="C207" s="1779"/>
      <c r="D207" s="1779"/>
      <c r="E207" s="1779"/>
      <c r="F207" s="1779"/>
      <c r="G207" s="1779"/>
      <c r="H207" s="1779"/>
      <c r="I207" s="1779"/>
      <c r="J207" s="1779"/>
      <c r="K207" s="1780"/>
      <c r="L207" s="1781"/>
      <c r="M207" s="1779"/>
      <c r="N207" s="1779"/>
      <c r="O207" s="1779"/>
      <c r="P207" s="1816"/>
      <c r="Q207" s="1779"/>
      <c r="R207" s="1779"/>
      <c r="S207" s="1779"/>
      <c r="T207" s="1779"/>
      <c r="U207" s="1779"/>
      <c r="V207" s="1779"/>
      <c r="W207" s="1779"/>
      <c r="X207" s="1779"/>
      <c r="Y207" s="1779"/>
      <c r="Z207" s="1779"/>
      <c r="AA207" s="1779"/>
      <c r="AB207" s="1779"/>
      <c r="AC207" s="1779"/>
    </row>
    <row r="208" spans="1:29">
      <c r="A208" s="1779"/>
      <c r="B208" s="1779"/>
      <c r="C208" s="1779"/>
      <c r="D208" s="1779"/>
      <c r="E208" s="1779"/>
      <c r="F208" s="1779"/>
      <c r="G208" s="1779"/>
      <c r="H208" s="1779"/>
      <c r="I208" s="1779"/>
      <c r="J208" s="1779"/>
      <c r="K208" s="1780"/>
      <c r="L208" s="1781"/>
      <c r="M208" s="1779"/>
      <c r="N208" s="1779"/>
      <c r="O208" s="1779"/>
      <c r="P208" s="1816"/>
      <c r="Q208" s="1779"/>
      <c r="R208" s="1779"/>
      <c r="S208" s="1779"/>
      <c r="T208" s="1779"/>
      <c r="U208" s="1779"/>
      <c r="V208" s="1779"/>
      <c r="W208" s="1779"/>
      <c r="X208" s="1779"/>
      <c r="Y208" s="1779"/>
      <c r="Z208" s="1779"/>
      <c r="AA208" s="1779"/>
      <c r="AB208" s="1779"/>
      <c r="AC208" s="1779"/>
    </row>
    <row r="209" spans="1:29">
      <c r="A209" s="1779"/>
      <c r="B209" s="1779"/>
      <c r="C209" s="1779"/>
      <c r="D209" s="1779"/>
      <c r="E209" s="1779"/>
      <c r="F209" s="1779"/>
      <c r="G209" s="1779"/>
      <c r="H209" s="1779"/>
      <c r="I209" s="1779"/>
      <c r="J209" s="1779"/>
      <c r="K209" s="1780"/>
      <c r="L209" s="1781"/>
      <c r="M209" s="1779"/>
      <c r="N209" s="1779"/>
      <c r="O209" s="1779"/>
      <c r="P209" s="1816"/>
      <c r="Q209" s="1779"/>
      <c r="R209" s="1779"/>
      <c r="S209" s="1779"/>
      <c r="T209" s="1779"/>
      <c r="U209" s="1779"/>
      <c r="V209" s="1779"/>
      <c r="W209" s="1779"/>
      <c r="X209" s="1779"/>
      <c r="Y209" s="1779"/>
      <c r="Z209" s="1779"/>
      <c r="AA209" s="1779"/>
      <c r="AB209" s="1779"/>
      <c r="AC209" s="1779"/>
    </row>
    <row r="210" spans="1:29">
      <c r="A210" s="1779"/>
      <c r="B210" s="1779"/>
      <c r="C210" s="1779"/>
      <c r="D210" s="1779"/>
      <c r="E210" s="1779"/>
      <c r="F210" s="1779"/>
      <c r="G210" s="1779"/>
      <c r="H210" s="1779"/>
      <c r="I210" s="1779"/>
      <c r="J210" s="1779"/>
      <c r="K210" s="1780"/>
      <c r="L210" s="1781"/>
      <c r="M210" s="1779"/>
      <c r="N210" s="1779"/>
      <c r="O210" s="1779"/>
      <c r="P210" s="1816"/>
      <c r="Q210" s="1779"/>
      <c r="R210" s="1779"/>
      <c r="S210" s="1779"/>
      <c r="T210" s="1779"/>
      <c r="U210" s="1779"/>
      <c r="V210" s="1779"/>
      <c r="W210" s="1779"/>
      <c r="X210" s="1779"/>
      <c r="Y210" s="1779"/>
      <c r="Z210" s="1779"/>
      <c r="AA210" s="1779"/>
      <c r="AB210" s="1779"/>
      <c r="AC210" s="1779"/>
    </row>
    <row r="211" spans="1:29">
      <c r="A211" s="1779"/>
      <c r="B211" s="1779"/>
      <c r="C211" s="1779"/>
      <c r="D211" s="1779"/>
      <c r="E211" s="1779"/>
      <c r="F211" s="1779"/>
      <c r="G211" s="1779"/>
      <c r="H211" s="1779"/>
      <c r="I211" s="1779"/>
      <c r="J211" s="1779"/>
      <c r="K211" s="1780"/>
      <c r="L211" s="1781"/>
      <c r="M211" s="1779"/>
      <c r="N211" s="1779"/>
      <c r="O211" s="1779"/>
      <c r="P211" s="1816"/>
      <c r="Q211" s="1779"/>
      <c r="R211" s="1779"/>
      <c r="S211" s="1779"/>
      <c r="T211" s="1779"/>
      <c r="U211" s="1779"/>
      <c r="V211" s="1779"/>
      <c r="W211" s="1779"/>
      <c r="X211" s="1779"/>
      <c r="Y211" s="1779"/>
      <c r="Z211" s="1779"/>
      <c r="AA211" s="1779"/>
      <c r="AB211" s="1779"/>
      <c r="AC211" s="1779"/>
    </row>
    <row r="212" spans="1:29">
      <c r="A212" s="1779"/>
      <c r="B212" s="1779"/>
      <c r="C212" s="1779"/>
      <c r="D212" s="1779"/>
      <c r="E212" s="1779"/>
      <c r="F212" s="1779"/>
      <c r="G212" s="1779"/>
      <c r="H212" s="1779"/>
      <c r="I212" s="1779"/>
      <c r="J212" s="1779"/>
      <c r="K212" s="1780"/>
      <c r="L212" s="1781"/>
      <c r="M212" s="1779"/>
      <c r="N212" s="1779"/>
      <c r="O212" s="1779"/>
      <c r="P212" s="1816"/>
      <c r="Q212" s="1779"/>
      <c r="R212" s="1779"/>
      <c r="S212" s="1779"/>
      <c r="T212" s="1779"/>
      <c r="U212" s="1779"/>
      <c r="V212" s="1779"/>
      <c r="W212" s="1779"/>
      <c r="X212" s="1779"/>
      <c r="Y212" s="1779"/>
      <c r="Z212" s="1779"/>
      <c r="AA212" s="1779"/>
      <c r="AB212" s="1779"/>
      <c r="AC212" s="1779"/>
    </row>
    <row r="213" spans="1:29">
      <c r="A213" s="1779"/>
      <c r="B213" s="1779"/>
      <c r="C213" s="1779"/>
      <c r="D213" s="1779"/>
      <c r="E213" s="1779"/>
      <c r="F213" s="1779"/>
      <c r="G213" s="1779"/>
      <c r="H213" s="1779"/>
      <c r="I213" s="1779"/>
      <c r="J213" s="1779"/>
      <c r="K213" s="1780"/>
      <c r="L213" s="1781"/>
      <c r="M213" s="1779"/>
      <c r="N213" s="1779"/>
      <c r="O213" s="1779"/>
      <c r="P213" s="1816"/>
      <c r="Q213" s="1779"/>
      <c r="R213" s="1779"/>
      <c r="S213" s="1779"/>
      <c r="T213" s="1779"/>
      <c r="U213" s="1779"/>
      <c r="V213" s="1779"/>
      <c r="W213" s="1779"/>
      <c r="X213" s="1779"/>
      <c r="Y213" s="1779"/>
      <c r="Z213" s="1779"/>
      <c r="AA213" s="1779"/>
      <c r="AB213" s="1779"/>
      <c r="AC213" s="1779"/>
    </row>
    <row r="214" spans="1:29">
      <c r="A214" s="1779"/>
      <c r="B214" s="1779"/>
      <c r="C214" s="1779"/>
      <c r="D214" s="1779"/>
      <c r="E214" s="1779"/>
      <c r="F214" s="1779"/>
      <c r="G214" s="1779"/>
      <c r="H214" s="1779"/>
      <c r="I214" s="1779"/>
      <c r="J214" s="1779"/>
      <c r="K214" s="1780"/>
      <c r="L214" s="1781"/>
      <c r="M214" s="1779"/>
      <c r="N214" s="1779"/>
      <c r="O214" s="1779"/>
      <c r="P214" s="1816"/>
      <c r="Q214" s="1779"/>
      <c r="R214" s="1779"/>
      <c r="S214" s="1779"/>
      <c r="T214" s="1779"/>
      <c r="U214" s="1779"/>
      <c r="V214" s="1779"/>
      <c r="W214" s="1779"/>
      <c r="X214" s="1779"/>
      <c r="Y214" s="1779"/>
      <c r="Z214" s="1779"/>
      <c r="AA214" s="1779"/>
      <c r="AB214" s="1779"/>
      <c r="AC214" s="1779"/>
    </row>
    <row r="215" spans="1:29">
      <c r="A215" s="1779"/>
      <c r="B215" s="1779"/>
      <c r="C215" s="1779"/>
      <c r="D215" s="1779"/>
      <c r="E215" s="1779"/>
      <c r="F215" s="1779"/>
      <c r="G215" s="1779"/>
      <c r="H215" s="1779"/>
      <c r="I215" s="1779"/>
      <c r="J215" s="1779"/>
      <c r="K215" s="1780"/>
      <c r="L215" s="1781"/>
      <c r="M215" s="1779"/>
      <c r="N215" s="1779"/>
      <c r="O215" s="1779"/>
      <c r="P215" s="1816"/>
      <c r="Q215" s="1779"/>
      <c r="R215" s="1779"/>
      <c r="S215" s="1779"/>
      <c r="T215" s="1779"/>
      <c r="U215" s="1779"/>
      <c r="V215" s="1779"/>
      <c r="W215" s="1779"/>
      <c r="X215" s="1779"/>
      <c r="Y215" s="1779"/>
      <c r="Z215" s="1779"/>
      <c r="AA215" s="1779"/>
      <c r="AB215" s="1779"/>
      <c r="AC215" s="1779"/>
    </row>
    <row r="216" spans="1:29">
      <c r="A216" s="1779"/>
      <c r="B216" s="1779"/>
      <c r="C216" s="1779"/>
      <c r="D216" s="1779"/>
      <c r="E216" s="1779"/>
      <c r="F216" s="1779"/>
      <c r="G216" s="1779"/>
      <c r="H216" s="1779"/>
      <c r="I216" s="1779"/>
      <c r="J216" s="1779"/>
      <c r="K216" s="1780"/>
      <c r="L216" s="1781"/>
      <c r="M216" s="1779"/>
      <c r="N216" s="1779"/>
      <c r="O216" s="1779"/>
      <c r="P216" s="1816"/>
      <c r="Q216" s="1779"/>
      <c r="R216" s="1779"/>
      <c r="S216" s="1779"/>
      <c r="T216" s="1779"/>
      <c r="U216" s="1779"/>
      <c r="V216" s="1779"/>
      <c r="W216" s="1779"/>
      <c r="X216" s="1779"/>
      <c r="Y216" s="1779"/>
      <c r="Z216" s="1779"/>
      <c r="AA216" s="1779"/>
      <c r="AB216" s="1779"/>
      <c r="AC216" s="1779"/>
    </row>
    <row r="217" spans="1:29">
      <c r="A217" s="1779"/>
      <c r="B217" s="1779"/>
      <c r="C217" s="1779"/>
      <c r="D217" s="1779"/>
      <c r="E217" s="1779"/>
      <c r="F217" s="1779"/>
      <c r="G217" s="1779"/>
      <c r="H217" s="1779"/>
      <c r="I217" s="1779"/>
      <c r="J217" s="1779"/>
      <c r="K217" s="1780"/>
      <c r="L217" s="1781"/>
      <c r="M217" s="1779"/>
      <c r="N217" s="1779"/>
      <c r="O217" s="1779"/>
      <c r="P217" s="1816"/>
      <c r="Q217" s="1779"/>
      <c r="R217" s="1779"/>
      <c r="S217" s="1779"/>
      <c r="T217" s="1779"/>
      <c r="U217" s="1779"/>
      <c r="V217" s="1779"/>
      <c r="W217" s="1779"/>
      <c r="X217" s="1779"/>
      <c r="Y217" s="1779"/>
      <c r="Z217" s="1779"/>
      <c r="AA217" s="1779"/>
      <c r="AB217" s="1779"/>
      <c r="AC217" s="1779"/>
    </row>
    <row r="218" spans="1:29">
      <c r="A218" s="1779"/>
      <c r="B218" s="1779"/>
      <c r="C218" s="1779"/>
      <c r="D218" s="1779"/>
      <c r="E218" s="1779"/>
      <c r="F218" s="1779"/>
      <c r="G218" s="1779"/>
      <c r="H218" s="1779"/>
      <c r="I218" s="1779"/>
      <c r="J218" s="1779"/>
      <c r="K218" s="1780"/>
      <c r="L218" s="1781"/>
      <c r="M218" s="1779"/>
      <c r="N218" s="1779"/>
      <c r="O218" s="1779"/>
      <c r="P218" s="1816"/>
      <c r="Q218" s="1779"/>
      <c r="R218" s="1779"/>
      <c r="S218" s="1779"/>
      <c r="T218" s="1779"/>
      <c r="U218" s="1779"/>
      <c r="V218" s="1779"/>
      <c r="W218" s="1779"/>
      <c r="X218" s="1779"/>
      <c r="Y218" s="1779"/>
      <c r="Z218" s="1779"/>
      <c r="AA218" s="1779"/>
      <c r="AB218" s="1779"/>
      <c r="AC218" s="1779"/>
    </row>
    <row r="219" spans="1:29">
      <c r="A219" s="1779"/>
      <c r="B219" s="1779"/>
      <c r="C219" s="1779"/>
      <c r="D219" s="1779"/>
      <c r="E219" s="1779"/>
      <c r="F219" s="1779"/>
      <c r="G219" s="1779"/>
      <c r="H219" s="1779"/>
      <c r="I219" s="1779"/>
      <c r="J219" s="1779"/>
      <c r="K219" s="1780"/>
      <c r="L219" s="1781"/>
      <c r="M219" s="1779"/>
      <c r="N219" s="1779"/>
      <c r="O219" s="1779"/>
      <c r="P219" s="1816"/>
      <c r="Q219" s="1779"/>
      <c r="R219" s="1779"/>
      <c r="S219" s="1779"/>
      <c r="T219" s="1779"/>
      <c r="U219" s="1779"/>
      <c r="V219" s="1779"/>
      <c r="W219" s="1779"/>
      <c r="X219" s="1779"/>
      <c r="Y219" s="1779"/>
      <c r="Z219" s="1779"/>
      <c r="AA219" s="1779"/>
      <c r="AB219" s="1779"/>
      <c r="AC219" s="1779"/>
    </row>
    <row r="220" spans="1:29">
      <c r="A220" s="1779"/>
      <c r="B220" s="1779"/>
      <c r="C220" s="1779"/>
      <c r="D220" s="1779"/>
      <c r="E220" s="1779"/>
      <c r="F220" s="1779"/>
      <c r="G220" s="1779"/>
      <c r="H220" s="1779"/>
      <c r="I220" s="1779"/>
      <c r="J220" s="1779"/>
      <c r="K220" s="1780"/>
      <c r="L220" s="1781"/>
      <c r="M220" s="1779"/>
      <c r="N220" s="1779"/>
      <c r="O220" s="1779"/>
      <c r="P220" s="1816"/>
      <c r="Q220" s="1779"/>
      <c r="R220" s="1779"/>
      <c r="S220" s="1779"/>
      <c r="T220" s="1779"/>
      <c r="U220" s="1779"/>
      <c r="V220" s="1779"/>
      <c r="W220" s="1779"/>
      <c r="X220" s="1779"/>
      <c r="Y220" s="1779"/>
      <c r="Z220" s="1779"/>
      <c r="AA220" s="1779"/>
      <c r="AB220" s="1779"/>
      <c r="AC220" s="1779"/>
    </row>
    <row r="221" spans="1:29">
      <c r="A221" s="1779"/>
      <c r="B221" s="1779"/>
      <c r="C221" s="1779"/>
      <c r="D221" s="1779"/>
      <c r="E221" s="1779"/>
      <c r="F221" s="1779"/>
      <c r="G221" s="1779"/>
      <c r="H221" s="1779"/>
      <c r="I221" s="1779"/>
      <c r="J221" s="1779"/>
      <c r="K221" s="1780"/>
      <c r="L221" s="1781"/>
      <c r="M221" s="1779"/>
      <c r="N221" s="1779"/>
      <c r="O221" s="1779"/>
      <c r="P221" s="1816"/>
      <c r="Q221" s="1779"/>
      <c r="R221" s="1779"/>
      <c r="S221" s="1779"/>
      <c r="T221" s="1779"/>
      <c r="U221" s="1779"/>
      <c r="V221" s="1779"/>
      <c r="W221" s="1779"/>
      <c r="X221" s="1779"/>
      <c r="Y221" s="1779"/>
      <c r="Z221" s="1779"/>
      <c r="AA221" s="1779"/>
      <c r="AB221" s="1779"/>
      <c r="AC221" s="1779"/>
    </row>
    <row r="222" spans="1:29">
      <c r="A222" s="1779"/>
      <c r="B222" s="1779"/>
      <c r="C222" s="1779"/>
      <c r="D222" s="1779"/>
      <c r="E222" s="1779"/>
      <c r="F222" s="1779"/>
      <c r="G222" s="1779"/>
      <c r="H222" s="1779"/>
      <c r="I222" s="1779"/>
      <c r="J222" s="1779"/>
      <c r="K222" s="1780"/>
      <c r="L222" s="1781"/>
      <c r="M222" s="1779"/>
      <c r="N222" s="1779"/>
      <c r="O222" s="1779"/>
      <c r="P222" s="1816"/>
      <c r="Q222" s="1779"/>
      <c r="R222" s="1779"/>
      <c r="S222" s="1779"/>
      <c r="T222" s="1779"/>
      <c r="U222" s="1779"/>
      <c r="V222" s="1779"/>
      <c r="W222" s="1779"/>
      <c r="X222" s="1779"/>
      <c r="Y222" s="1779"/>
      <c r="Z222" s="1779"/>
      <c r="AA222" s="1779"/>
      <c r="AB222" s="1779"/>
      <c r="AC222" s="1779"/>
    </row>
    <row r="223" spans="1:29">
      <c r="A223" s="1779"/>
      <c r="B223" s="1779"/>
      <c r="C223" s="1779"/>
      <c r="D223" s="1779"/>
      <c r="E223" s="1779"/>
      <c r="F223" s="1779"/>
      <c r="G223" s="1779"/>
      <c r="H223" s="1779"/>
      <c r="I223" s="1779"/>
      <c r="J223" s="1779"/>
      <c r="K223" s="1780"/>
      <c r="L223" s="1781"/>
      <c r="M223" s="1779"/>
      <c r="N223" s="1779"/>
      <c r="O223" s="1779"/>
      <c r="P223" s="1816"/>
      <c r="Q223" s="1779"/>
      <c r="R223" s="1779"/>
      <c r="S223" s="1779"/>
      <c r="T223" s="1779"/>
      <c r="U223" s="1779"/>
      <c r="V223" s="1779"/>
      <c r="W223" s="1779"/>
      <c r="X223" s="1779"/>
      <c r="Y223" s="1779"/>
      <c r="Z223" s="1779"/>
      <c r="AA223" s="1779"/>
      <c r="AB223" s="1779"/>
      <c r="AC223" s="1779"/>
    </row>
    <row r="224" spans="1:29">
      <c r="A224" s="1779"/>
      <c r="B224" s="1779"/>
      <c r="C224" s="1779"/>
      <c r="D224" s="1779"/>
      <c r="E224" s="1779"/>
      <c r="F224" s="1779"/>
      <c r="G224" s="1779"/>
      <c r="H224" s="1779"/>
      <c r="I224" s="1779"/>
      <c r="J224" s="1779"/>
      <c r="K224" s="1780"/>
      <c r="L224" s="1781"/>
      <c r="M224" s="1779"/>
      <c r="N224" s="1779"/>
      <c r="O224" s="1779"/>
      <c r="P224" s="1816"/>
      <c r="Q224" s="1779"/>
      <c r="R224" s="1779"/>
      <c r="S224" s="1779"/>
      <c r="T224" s="1779"/>
      <c r="U224" s="1779"/>
      <c r="V224" s="1779"/>
      <c r="W224" s="1779"/>
      <c r="X224" s="1779"/>
      <c r="Y224" s="1779"/>
      <c r="Z224" s="1779"/>
      <c r="AA224" s="1779"/>
      <c r="AB224" s="1779"/>
      <c r="AC224" s="1779"/>
    </row>
    <row r="225" spans="1:29">
      <c r="A225" s="1779"/>
      <c r="B225" s="1779"/>
      <c r="C225" s="1779"/>
      <c r="D225" s="1779"/>
      <c r="E225" s="1779"/>
      <c r="F225" s="1779"/>
      <c r="G225" s="1779"/>
      <c r="H225" s="1779"/>
      <c r="I225" s="1779"/>
      <c r="J225" s="1779"/>
      <c r="K225" s="1780"/>
      <c r="L225" s="1781"/>
      <c r="M225" s="1779"/>
      <c r="N225" s="1779"/>
      <c r="O225" s="1779"/>
      <c r="P225" s="1816"/>
      <c r="Q225" s="1779"/>
      <c r="R225" s="1779"/>
      <c r="S225" s="1779"/>
      <c r="T225" s="1779"/>
      <c r="U225" s="1779"/>
      <c r="V225" s="1779"/>
      <c r="W225" s="1779"/>
      <c r="X225" s="1779"/>
      <c r="Y225" s="1779"/>
      <c r="Z225" s="1779"/>
      <c r="AA225" s="1779"/>
      <c r="AB225" s="1779"/>
      <c r="AC225" s="1779"/>
    </row>
    <row r="226" spans="1:29">
      <c r="A226" s="1779"/>
      <c r="B226" s="1779"/>
      <c r="C226" s="1779"/>
      <c r="D226" s="1779"/>
      <c r="E226" s="1779"/>
      <c r="F226" s="1779"/>
      <c r="G226" s="1779"/>
      <c r="H226" s="1779"/>
      <c r="I226" s="1779"/>
      <c r="J226" s="1779"/>
      <c r="K226" s="1780"/>
      <c r="L226" s="1781"/>
      <c r="M226" s="1779"/>
      <c r="N226" s="1779"/>
      <c r="O226" s="1779"/>
      <c r="P226" s="1816"/>
      <c r="Q226" s="1779"/>
      <c r="R226" s="1779"/>
      <c r="S226" s="1779"/>
      <c r="T226" s="1779"/>
      <c r="U226" s="1779"/>
      <c r="V226" s="1779"/>
      <c r="W226" s="1779"/>
      <c r="X226" s="1779"/>
      <c r="Y226" s="1779"/>
      <c r="Z226" s="1779"/>
      <c r="AA226" s="1779"/>
      <c r="AB226" s="1779"/>
      <c r="AC226" s="1779"/>
    </row>
    <row r="227" spans="1:29">
      <c r="A227" s="1779"/>
      <c r="B227" s="1779"/>
      <c r="C227" s="1779"/>
      <c r="D227" s="1779"/>
      <c r="E227" s="1779"/>
      <c r="F227" s="1779"/>
      <c r="G227" s="1779"/>
      <c r="H227" s="1779"/>
      <c r="I227" s="1779"/>
      <c r="J227" s="1779"/>
      <c r="K227" s="1780"/>
      <c r="L227" s="1781"/>
      <c r="M227" s="1779"/>
      <c r="N227" s="1779"/>
      <c r="O227" s="1779"/>
      <c r="P227" s="1816"/>
      <c r="Q227" s="1779"/>
      <c r="R227" s="1779"/>
      <c r="S227" s="1779"/>
      <c r="T227" s="1779"/>
      <c r="U227" s="1779"/>
      <c r="V227" s="1779"/>
      <c r="W227" s="1779"/>
      <c r="X227" s="1779"/>
      <c r="Y227" s="1779"/>
      <c r="Z227" s="1779"/>
      <c r="AA227" s="1779"/>
      <c r="AB227" s="1779"/>
      <c r="AC227" s="1779"/>
    </row>
    <row r="228" spans="1:29">
      <c r="A228" s="1779"/>
      <c r="B228" s="1779"/>
      <c r="C228" s="1779"/>
      <c r="D228" s="1779"/>
      <c r="E228" s="1779"/>
      <c r="F228" s="1779"/>
      <c r="G228" s="1779"/>
      <c r="H228" s="1779"/>
      <c r="I228" s="1779"/>
      <c r="J228" s="1779"/>
      <c r="K228" s="1780"/>
      <c r="L228" s="1781"/>
      <c r="M228" s="1779"/>
      <c r="N228" s="1779"/>
      <c r="O228" s="1779"/>
      <c r="P228" s="1816"/>
      <c r="Q228" s="1779"/>
      <c r="R228" s="1779"/>
      <c r="S228" s="1779"/>
      <c r="T228" s="1779"/>
      <c r="U228" s="1779"/>
      <c r="V228" s="1779"/>
      <c r="W228" s="1779"/>
      <c r="X228" s="1779"/>
      <c r="Y228" s="1779"/>
      <c r="Z228" s="1779"/>
      <c r="AA228" s="1779"/>
      <c r="AB228" s="1779"/>
      <c r="AC228" s="1779"/>
    </row>
    <row r="229" spans="1:29">
      <c r="A229" s="1779"/>
      <c r="B229" s="1779"/>
      <c r="C229" s="1779"/>
      <c r="D229" s="1779"/>
      <c r="E229" s="1779"/>
      <c r="F229" s="1779"/>
      <c r="G229" s="1779"/>
      <c r="H229" s="1779"/>
      <c r="I229" s="1779"/>
      <c r="J229" s="1779"/>
      <c r="K229" s="1780"/>
      <c r="L229" s="1781"/>
      <c r="M229" s="1779"/>
      <c r="N229" s="1779"/>
      <c r="O229" s="1779"/>
      <c r="P229" s="1816"/>
      <c r="Q229" s="1779"/>
      <c r="R229" s="1779"/>
      <c r="S229" s="1779"/>
      <c r="T229" s="1779"/>
      <c r="U229" s="1779"/>
      <c r="V229" s="1779"/>
      <c r="W229" s="1779"/>
      <c r="X229" s="1779"/>
      <c r="Y229" s="1779"/>
      <c r="Z229" s="1779"/>
      <c r="AA229" s="1779"/>
      <c r="AB229" s="1779"/>
      <c r="AC229" s="1779"/>
    </row>
    <row r="230" spans="1:29">
      <c r="A230" s="1779"/>
      <c r="B230" s="1779"/>
      <c r="C230" s="1779"/>
      <c r="D230" s="1779"/>
      <c r="E230" s="1779"/>
      <c r="F230" s="1779"/>
      <c r="G230" s="1779"/>
      <c r="H230" s="1779"/>
      <c r="I230" s="1779"/>
      <c r="J230" s="1779"/>
      <c r="K230" s="1780"/>
      <c r="L230" s="1781"/>
      <c r="M230" s="1779"/>
      <c r="N230" s="1779"/>
      <c r="O230" s="1779"/>
      <c r="P230" s="1816"/>
      <c r="Q230" s="1779"/>
      <c r="R230" s="1779"/>
      <c r="S230" s="1779"/>
      <c r="T230" s="1779"/>
      <c r="U230" s="1779"/>
      <c r="V230" s="1779"/>
      <c r="W230" s="1779"/>
      <c r="X230" s="1779"/>
      <c r="Y230" s="1779"/>
      <c r="Z230" s="1779"/>
      <c r="AA230" s="1779"/>
      <c r="AB230" s="1779"/>
      <c r="AC230" s="1779"/>
    </row>
    <row r="231" spans="1:29">
      <c r="A231" s="1779"/>
      <c r="B231" s="1779"/>
      <c r="C231" s="1779"/>
      <c r="D231" s="1779"/>
      <c r="E231" s="1779"/>
      <c r="F231" s="1779"/>
      <c r="G231" s="1779"/>
      <c r="H231" s="1779"/>
      <c r="I231" s="1779"/>
      <c r="J231" s="1779"/>
      <c r="K231" s="1780"/>
      <c r="L231" s="1781"/>
      <c r="M231" s="1779"/>
      <c r="N231" s="1779"/>
      <c r="O231" s="1779"/>
      <c r="P231" s="1816"/>
      <c r="Q231" s="1779"/>
      <c r="R231" s="1779"/>
      <c r="S231" s="1779"/>
      <c r="T231" s="1779"/>
      <c r="U231" s="1779"/>
      <c r="V231" s="1779"/>
      <c r="W231" s="1779"/>
      <c r="X231" s="1779"/>
      <c r="Y231" s="1779"/>
      <c r="Z231" s="1779"/>
      <c r="AA231" s="1779"/>
      <c r="AB231" s="1779"/>
      <c r="AC231" s="1779"/>
    </row>
    <row r="232" spans="1:29">
      <c r="A232" s="1779"/>
      <c r="B232" s="1779"/>
      <c r="C232" s="1779"/>
      <c r="D232" s="1779"/>
      <c r="E232" s="1779"/>
      <c r="F232" s="1779"/>
      <c r="G232" s="1779"/>
      <c r="H232" s="1779"/>
      <c r="I232" s="1779"/>
      <c r="J232" s="1779"/>
      <c r="K232" s="1780"/>
      <c r="L232" s="1781"/>
      <c r="M232" s="1779"/>
      <c r="N232" s="1779"/>
      <c r="O232" s="1779"/>
      <c r="P232" s="1816"/>
      <c r="Q232" s="1779"/>
      <c r="R232" s="1779"/>
      <c r="S232" s="1779"/>
      <c r="T232" s="1779"/>
      <c r="U232" s="1779"/>
      <c r="V232" s="1779"/>
      <c r="W232" s="1779"/>
      <c r="X232" s="1779"/>
      <c r="Y232" s="1779"/>
      <c r="Z232" s="1779"/>
      <c r="AA232" s="1779"/>
      <c r="AB232" s="1779"/>
      <c r="AC232" s="1779"/>
    </row>
    <row r="233" spans="1:29">
      <c r="A233" s="1779"/>
      <c r="B233" s="1779"/>
      <c r="C233" s="1779"/>
      <c r="D233" s="1779"/>
      <c r="E233" s="1779"/>
      <c r="F233" s="1779"/>
      <c r="G233" s="1779"/>
      <c r="H233" s="1779"/>
      <c r="I233" s="1779"/>
      <c r="J233" s="1779"/>
      <c r="K233" s="1780"/>
      <c r="L233" s="1781"/>
      <c r="M233" s="1779"/>
      <c r="N233" s="1779"/>
      <c r="O233" s="1779"/>
      <c r="P233" s="1816"/>
      <c r="Q233" s="1779"/>
      <c r="R233" s="1779"/>
      <c r="S233" s="1779"/>
      <c r="T233" s="1779"/>
      <c r="U233" s="1779"/>
      <c r="V233" s="1779"/>
      <c r="W233" s="1779"/>
      <c r="X233" s="1779"/>
      <c r="Y233" s="1779"/>
      <c r="Z233" s="1779"/>
      <c r="AA233" s="1779"/>
      <c r="AB233" s="1779"/>
      <c r="AC233" s="1779"/>
    </row>
    <row r="234" spans="1:29">
      <c r="A234" s="1779"/>
      <c r="B234" s="1779"/>
      <c r="C234" s="1779"/>
      <c r="D234" s="1779"/>
      <c r="E234" s="1779"/>
      <c r="F234" s="1779"/>
      <c r="G234" s="1779"/>
      <c r="H234" s="1779"/>
      <c r="I234" s="1779"/>
      <c r="J234" s="1779"/>
      <c r="K234" s="1780"/>
      <c r="L234" s="1781"/>
      <c r="M234" s="1779"/>
      <c r="N234" s="1779"/>
      <c r="O234" s="1779"/>
      <c r="P234" s="1816"/>
      <c r="Q234" s="1779"/>
      <c r="R234" s="1779"/>
      <c r="S234" s="1779"/>
      <c r="T234" s="1779"/>
      <c r="U234" s="1779"/>
      <c r="V234" s="1779"/>
      <c r="W234" s="1779"/>
      <c r="X234" s="1779"/>
      <c r="Y234" s="1779"/>
      <c r="Z234" s="1779"/>
      <c r="AA234" s="1779"/>
      <c r="AB234" s="1779"/>
      <c r="AC234" s="1779"/>
    </row>
    <row r="235" spans="1:29">
      <c r="A235" s="1779"/>
      <c r="B235" s="1779"/>
      <c r="C235" s="1779"/>
      <c r="D235" s="1779"/>
      <c r="E235" s="1779"/>
      <c r="F235" s="1779"/>
      <c r="G235" s="1779"/>
      <c r="H235" s="1779"/>
      <c r="I235" s="1779"/>
      <c r="J235" s="1779"/>
      <c r="K235" s="1780"/>
      <c r="L235" s="1781"/>
      <c r="M235" s="1779"/>
      <c r="N235" s="1779"/>
      <c r="O235" s="1779"/>
      <c r="P235" s="1816"/>
      <c r="Q235" s="1779"/>
      <c r="R235" s="1779"/>
      <c r="S235" s="1779"/>
      <c r="T235" s="1779"/>
      <c r="U235" s="1779"/>
      <c r="V235" s="1779"/>
      <c r="W235" s="1779"/>
      <c r="X235" s="1779"/>
      <c r="Y235" s="1779"/>
      <c r="Z235" s="1779"/>
      <c r="AA235" s="1779"/>
      <c r="AB235" s="1779"/>
      <c r="AC235" s="1779"/>
    </row>
    <row r="236" spans="1:29">
      <c r="A236" s="1779"/>
      <c r="B236" s="1779"/>
      <c r="C236" s="1779"/>
      <c r="D236" s="1779"/>
      <c r="E236" s="1779"/>
      <c r="F236" s="1779"/>
      <c r="G236" s="1779"/>
      <c r="H236" s="1779"/>
      <c r="I236" s="1779"/>
      <c r="J236" s="1779"/>
      <c r="K236" s="1780"/>
      <c r="L236" s="1781"/>
      <c r="M236" s="1779"/>
      <c r="N236" s="1779"/>
      <c r="O236" s="1779"/>
      <c r="P236" s="1816"/>
      <c r="Q236" s="1779"/>
      <c r="R236" s="1779"/>
      <c r="S236" s="1779"/>
      <c r="T236" s="1779"/>
      <c r="U236" s="1779"/>
      <c r="V236" s="1779"/>
      <c r="W236" s="1779"/>
      <c r="X236" s="1779"/>
      <c r="Y236" s="1779"/>
      <c r="Z236" s="1779"/>
      <c r="AA236" s="1779"/>
      <c r="AB236" s="1779"/>
      <c r="AC236" s="1779"/>
    </row>
    <row r="237" spans="1:29">
      <c r="A237" s="1779"/>
      <c r="B237" s="1779"/>
      <c r="C237" s="1779"/>
      <c r="D237" s="1779"/>
      <c r="E237" s="1779"/>
      <c r="F237" s="1779"/>
      <c r="G237" s="1779"/>
      <c r="H237" s="1779"/>
      <c r="I237" s="1779"/>
      <c r="J237" s="1779"/>
      <c r="K237" s="1780"/>
      <c r="L237" s="1781"/>
      <c r="M237" s="1779"/>
      <c r="N237" s="1779"/>
      <c r="O237" s="1779"/>
      <c r="P237" s="1816"/>
      <c r="Q237" s="1779"/>
      <c r="R237" s="1779"/>
      <c r="S237" s="1779"/>
      <c r="T237" s="1779"/>
      <c r="U237" s="1779"/>
      <c r="V237" s="1779"/>
      <c r="W237" s="1779"/>
      <c r="X237" s="1779"/>
      <c r="Y237" s="1779"/>
      <c r="Z237" s="1779"/>
      <c r="AA237" s="1779"/>
      <c r="AB237" s="1779"/>
      <c r="AC237" s="1779"/>
    </row>
    <row r="238" spans="1:29">
      <c r="A238" s="1779"/>
      <c r="B238" s="1779"/>
      <c r="C238" s="1779"/>
      <c r="D238" s="1779"/>
      <c r="E238" s="1779"/>
      <c r="F238" s="1779"/>
      <c r="G238" s="1779"/>
      <c r="H238" s="1779"/>
      <c r="I238" s="1779"/>
      <c r="J238" s="1779"/>
      <c r="K238" s="1780"/>
      <c r="L238" s="1781"/>
      <c r="M238" s="1779"/>
      <c r="N238" s="1779"/>
      <c r="O238" s="1779"/>
      <c r="P238" s="1816"/>
      <c r="Q238" s="1779"/>
      <c r="R238" s="1779"/>
      <c r="S238" s="1779"/>
      <c r="T238" s="1779"/>
      <c r="U238" s="1779"/>
      <c r="V238" s="1779"/>
      <c r="W238" s="1779"/>
      <c r="X238" s="1779"/>
      <c r="Y238" s="1779"/>
      <c r="Z238" s="1779"/>
      <c r="AA238" s="1779"/>
      <c r="AB238" s="1779"/>
      <c r="AC238" s="1779"/>
    </row>
    <row r="239" spans="1:29">
      <c r="A239" s="1779"/>
      <c r="B239" s="1779"/>
      <c r="C239" s="1779"/>
      <c r="D239" s="1779"/>
      <c r="E239" s="1779"/>
      <c r="F239" s="1779"/>
      <c r="G239" s="1779"/>
      <c r="H239" s="1779"/>
      <c r="I239" s="1779"/>
      <c r="J239" s="1779"/>
      <c r="K239" s="1780"/>
      <c r="L239" s="1781"/>
      <c r="M239" s="1779"/>
      <c r="N239" s="1779"/>
      <c r="O239" s="1779"/>
      <c r="P239" s="1816"/>
      <c r="Q239" s="1779"/>
      <c r="R239" s="1779"/>
      <c r="S239" s="1779"/>
      <c r="T239" s="1779"/>
      <c r="U239" s="1779"/>
      <c r="V239" s="1779"/>
      <c r="W239" s="1779"/>
      <c r="X239" s="1779"/>
      <c r="Y239" s="1779"/>
      <c r="Z239" s="1779"/>
      <c r="AA239" s="1779"/>
      <c r="AB239" s="1779"/>
      <c r="AC239" s="1779"/>
    </row>
    <row r="240" spans="1:29">
      <c r="A240" s="1779"/>
      <c r="B240" s="1779"/>
      <c r="C240" s="1779"/>
      <c r="D240" s="1779"/>
      <c r="E240" s="1779"/>
      <c r="F240" s="1779"/>
      <c r="G240" s="1779"/>
      <c r="H240" s="1779"/>
      <c r="I240" s="1779"/>
      <c r="J240" s="1779"/>
      <c r="K240" s="1780"/>
      <c r="L240" s="1781"/>
      <c r="M240" s="1779"/>
      <c r="N240" s="1779"/>
      <c r="O240" s="1779"/>
      <c r="P240" s="1816"/>
      <c r="Q240" s="1779"/>
      <c r="R240" s="1779"/>
      <c r="S240" s="1779"/>
      <c r="T240" s="1779"/>
      <c r="U240" s="1779"/>
      <c r="V240" s="1779"/>
      <c r="W240" s="1779"/>
      <c r="X240" s="1779"/>
      <c r="Y240" s="1779"/>
      <c r="Z240" s="1779"/>
      <c r="AA240" s="1779"/>
      <c r="AB240" s="1779"/>
      <c r="AC240" s="1779"/>
    </row>
    <row r="241" spans="1:29">
      <c r="A241" s="1779"/>
      <c r="B241" s="1779"/>
      <c r="C241" s="1779"/>
      <c r="D241" s="1779"/>
      <c r="E241" s="1779"/>
      <c r="F241" s="1779"/>
      <c r="G241" s="1779"/>
      <c r="H241" s="1779"/>
      <c r="I241" s="1779"/>
      <c r="J241" s="1779"/>
      <c r="K241" s="1780"/>
      <c r="L241" s="1781"/>
      <c r="M241" s="1779"/>
      <c r="N241" s="1779"/>
      <c r="O241" s="1779"/>
      <c r="P241" s="1816"/>
      <c r="Q241" s="1779"/>
      <c r="R241" s="1779"/>
      <c r="S241" s="1779"/>
      <c r="T241" s="1779"/>
      <c r="U241" s="1779"/>
      <c r="V241" s="1779"/>
      <c r="W241" s="1779"/>
      <c r="X241" s="1779"/>
      <c r="Y241" s="1779"/>
      <c r="Z241" s="1779"/>
      <c r="AA241" s="1779"/>
      <c r="AB241" s="1779"/>
      <c r="AC241" s="1779"/>
    </row>
    <row r="242" spans="1:29">
      <c r="A242" s="1779"/>
      <c r="B242" s="1779"/>
      <c r="C242" s="1779"/>
      <c r="D242" s="1779"/>
      <c r="E242" s="1779"/>
      <c r="F242" s="1779"/>
      <c r="G242" s="1779"/>
      <c r="H242" s="1779"/>
      <c r="I242" s="1779"/>
      <c r="J242" s="1779"/>
      <c r="K242" s="1780"/>
      <c r="L242" s="1781"/>
      <c r="M242" s="1779"/>
      <c r="N242" s="1779"/>
      <c r="O242" s="1779"/>
      <c r="P242" s="1816"/>
      <c r="Q242" s="1779"/>
      <c r="R242" s="1779"/>
      <c r="S242" s="1779"/>
      <c r="T242" s="1779"/>
      <c r="U242" s="1779"/>
      <c r="V242" s="1779"/>
      <c r="W242" s="1779"/>
      <c r="X242" s="1779"/>
      <c r="Y242" s="1779"/>
      <c r="Z242" s="1779"/>
      <c r="AA242" s="1779"/>
      <c r="AB242" s="1779"/>
      <c r="AC242" s="1779"/>
    </row>
    <row r="243" spans="1:29">
      <c r="A243" s="1779"/>
      <c r="B243" s="1779"/>
      <c r="C243" s="1779"/>
      <c r="D243" s="1779"/>
      <c r="E243" s="1779"/>
      <c r="F243" s="1779"/>
      <c r="G243" s="1779"/>
      <c r="H243" s="1779"/>
      <c r="I243" s="1779"/>
      <c r="J243" s="1779"/>
      <c r="K243" s="1780"/>
      <c r="L243" s="1781"/>
      <c r="M243" s="1779"/>
      <c r="N243" s="1779"/>
      <c r="O243" s="1779"/>
      <c r="P243" s="1816"/>
      <c r="Q243" s="1779"/>
      <c r="R243" s="1779"/>
      <c r="S243" s="1779"/>
      <c r="T243" s="1779"/>
      <c r="U243" s="1779"/>
      <c r="V243" s="1779"/>
      <c r="W243" s="1779"/>
      <c r="X243" s="1779"/>
      <c r="Y243" s="1779"/>
      <c r="Z243" s="1779"/>
      <c r="AA243" s="1779"/>
      <c r="AB243" s="1779"/>
      <c r="AC243" s="1779"/>
    </row>
    <row r="244" spans="1:29">
      <c r="A244" s="1779"/>
      <c r="B244" s="1779"/>
      <c r="C244" s="1779"/>
      <c r="D244" s="1779"/>
      <c r="E244" s="1779"/>
      <c r="F244" s="1779"/>
      <c r="G244" s="1779"/>
      <c r="H244" s="1779"/>
      <c r="I244" s="1779"/>
      <c r="J244" s="1779"/>
      <c r="K244" s="1780"/>
      <c r="L244" s="1781"/>
      <c r="M244" s="1779"/>
      <c r="N244" s="1779"/>
      <c r="O244" s="1779"/>
      <c r="P244" s="1816"/>
      <c r="Q244" s="1779"/>
      <c r="R244" s="1779"/>
      <c r="S244" s="1779"/>
      <c r="T244" s="1779"/>
      <c r="U244" s="1779"/>
      <c r="V244" s="1779"/>
      <c r="W244" s="1779"/>
      <c r="X244" s="1779"/>
      <c r="Y244" s="1779"/>
      <c r="Z244" s="1779"/>
      <c r="AA244" s="1779"/>
      <c r="AB244" s="1779"/>
      <c r="AC244" s="1779"/>
    </row>
    <row r="245" spans="1:29">
      <c r="A245" s="1779"/>
      <c r="B245" s="1779"/>
      <c r="C245" s="1779"/>
      <c r="D245" s="1779"/>
      <c r="E245" s="1779"/>
      <c r="F245" s="1779"/>
      <c r="G245" s="1779"/>
      <c r="H245" s="1779"/>
      <c r="I245" s="1779"/>
      <c r="J245" s="1779"/>
      <c r="K245" s="1780"/>
      <c r="L245" s="1781"/>
      <c r="M245" s="1779"/>
      <c r="N245" s="1779"/>
      <c r="O245" s="1779"/>
      <c r="P245" s="1816"/>
      <c r="Q245" s="1779"/>
      <c r="R245" s="1779"/>
      <c r="S245" s="1779"/>
      <c r="T245" s="1779"/>
      <c r="U245" s="1779"/>
      <c r="V245" s="1779"/>
      <c r="W245" s="1779"/>
      <c r="X245" s="1779"/>
      <c r="Y245" s="1779"/>
      <c r="Z245" s="1779"/>
      <c r="AA245" s="1779"/>
      <c r="AB245" s="1779"/>
      <c r="AC245" s="1779"/>
    </row>
    <row r="246" spans="1:29">
      <c r="A246" s="1779"/>
      <c r="B246" s="1779"/>
      <c r="C246" s="1779"/>
      <c r="D246" s="1779"/>
      <c r="E246" s="1779"/>
      <c r="F246" s="1779"/>
      <c r="G246" s="1779"/>
      <c r="H246" s="1779"/>
      <c r="I246" s="1779"/>
      <c r="J246" s="1779"/>
      <c r="K246" s="1780"/>
      <c r="L246" s="1781"/>
      <c r="M246" s="1779"/>
      <c r="N246" s="1779"/>
      <c r="O246" s="1779"/>
      <c r="P246" s="1816"/>
      <c r="Q246" s="1779"/>
      <c r="R246" s="1779"/>
      <c r="S246" s="1779"/>
      <c r="T246" s="1779"/>
      <c r="U246" s="1779"/>
      <c r="V246" s="1779"/>
      <c r="W246" s="1779"/>
      <c r="X246" s="1779"/>
      <c r="Y246" s="1779"/>
      <c r="Z246" s="1779"/>
      <c r="AA246" s="1779"/>
      <c r="AB246" s="1779"/>
      <c r="AC246" s="1779"/>
    </row>
    <row r="247" spans="1:29">
      <c r="A247" s="1779"/>
      <c r="B247" s="1779"/>
      <c r="C247" s="1779"/>
      <c r="D247" s="1779"/>
      <c r="E247" s="1779"/>
      <c r="F247" s="1779"/>
      <c r="G247" s="1779"/>
      <c r="H247" s="1779"/>
      <c r="I247" s="1779"/>
      <c r="J247" s="1779"/>
      <c r="K247" s="1780"/>
      <c r="L247" s="1781"/>
      <c r="M247" s="1779"/>
      <c r="N247" s="1779"/>
      <c r="O247" s="1779"/>
      <c r="P247" s="1816"/>
      <c r="Q247" s="1779"/>
      <c r="R247" s="1779"/>
      <c r="S247" s="1779"/>
      <c r="T247" s="1779"/>
      <c r="U247" s="1779"/>
      <c r="V247" s="1779"/>
      <c r="W247" s="1779"/>
      <c r="X247" s="1779"/>
      <c r="Y247" s="1779"/>
      <c r="Z247" s="1779"/>
      <c r="AA247" s="1779"/>
      <c r="AB247" s="1779"/>
      <c r="AC247" s="1779"/>
    </row>
    <row r="248" spans="1:29">
      <c r="A248" s="1779"/>
      <c r="B248" s="1779"/>
      <c r="C248" s="1779"/>
      <c r="D248" s="1779"/>
      <c r="E248" s="1779"/>
      <c r="F248" s="1779"/>
      <c r="G248" s="1779"/>
      <c r="H248" s="1779"/>
      <c r="I248" s="1779"/>
      <c r="J248" s="1779"/>
      <c r="K248" s="1780"/>
      <c r="L248" s="1781"/>
      <c r="M248" s="1779"/>
      <c r="N248" s="1779"/>
      <c r="O248" s="1779"/>
      <c r="P248" s="1816"/>
      <c r="Q248" s="1779"/>
      <c r="R248" s="1779"/>
      <c r="S248" s="1779"/>
      <c r="T248" s="1779"/>
      <c r="U248" s="1779"/>
      <c r="V248" s="1779"/>
      <c r="W248" s="1779"/>
      <c r="X248" s="1779"/>
      <c r="Y248" s="1779"/>
      <c r="Z248" s="1779"/>
      <c r="AA248" s="1779"/>
      <c r="AB248" s="1779"/>
      <c r="AC248" s="1779"/>
    </row>
    <row r="249" spans="1:29">
      <c r="A249" s="1779"/>
      <c r="B249" s="1779"/>
      <c r="C249" s="1779"/>
      <c r="D249" s="1779"/>
      <c r="E249" s="1779"/>
      <c r="F249" s="1779"/>
      <c r="G249" s="1779"/>
      <c r="H249" s="1779"/>
      <c r="I249" s="1779"/>
      <c r="J249" s="1779"/>
      <c r="K249" s="1780"/>
      <c r="L249" s="1781"/>
      <c r="M249" s="1779"/>
      <c r="N249" s="1779"/>
      <c r="O249" s="1779"/>
      <c r="P249" s="1816"/>
      <c r="Q249" s="1779"/>
      <c r="R249" s="1779"/>
      <c r="S249" s="1779"/>
      <c r="T249" s="1779"/>
      <c r="U249" s="1779"/>
      <c r="V249" s="1779"/>
      <c r="W249" s="1779"/>
      <c r="X249" s="1779"/>
      <c r="Y249" s="1779"/>
      <c r="Z249" s="1779"/>
      <c r="AA249" s="1779"/>
      <c r="AB249" s="1779"/>
      <c r="AC249" s="1779"/>
    </row>
    <row r="250" spans="1:29">
      <c r="A250" s="1779"/>
      <c r="B250" s="1779"/>
      <c r="C250" s="1779"/>
      <c r="D250" s="1779"/>
      <c r="E250" s="1779"/>
      <c r="F250" s="1779"/>
      <c r="G250" s="1779"/>
      <c r="H250" s="1779"/>
      <c r="I250" s="1779"/>
      <c r="J250" s="1779"/>
      <c r="K250" s="1780"/>
      <c r="L250" s="1781"/>
      <c r="M250" s="1779"/>
      <c r="N250" s="1779"/>
      <c r="O250" s="1779"/>
      <c r="P250" s="1816"/>
      <c r="Q250" s="1779"/>
      <c r="R250" s="1779"/>
      <c r="S250" s="1779"/>
      <c r="T250" s="1779"/>
      <c r="U250" s="1779"/>
      <c r="V250" s="1779"/>
      <c r="W250" s="1779"/>
      <c r="X250" s="1779"/>
      <c r="Y250" s="1779"/>
      <c r="Z250" s="1779"/>
      <c r="AA250" s="1779"/>
      <c r="AB250" s="1779"/>
      <c r="AC250" s="1779"/>
    </row>
    <row r="251" spans="1:29">
      <c r="A251" s="1779"/>
      <c r="B251" s="1779"/>
      <c r="C251" s="1779"/>
      <c r="D251" s="1779"/>
      <c r="E251" s="1779"/>
      <c r="F251" s="1779"/>
      <c r="G251" s="1779"/>
      <c r="H251" s="1779"/>
      <c r="I251" s="1779"/>
      <c r="J251" s="1779"/>
      <c r="K251" s="1780"/>
      <c r="L251" s="1781"/>
      <c r="M251" s="1779"/>
      <c r="N251" s="1779"/>
      <c r="O251" s="1779"/>
      <c r="P251" s="1816"/>
      <c r="Q251" s="1779"/>
      <c r="R251" s="1779"/>
      <c r="S251" s="1779"/>
      <c r="T251" s="1779"/>
      <c r="U251" s="1779"/>
      <c r="V251" s="1779"/>
      <c r="W251" s="1779"/>
      <c r="X251" s="1779"/>
      <c r="Y251" s="1779"/>
      <c r="Z251" s="1779"/>
      <c r="AA251" s="1779"/>
      <c r="AB251" s="1779"/>
      <c r="AC251" s="1779"/>
    </row>
    <row r="252" spans="1:29">
      <c r="A252" s="1779"/>
      <c r="B252" s="1779"/>
      <c r="C252" s="1779"/>
      <c r="D252" s="1779"/>
      <c r="E252" s="1779"/>
      <c r="F252" s="1779"/>
      <c r="G252" s="1779"/>
      <c r="H252" s="1779"/>
      <c r="I252" s="1779"/>
      <c r="J252" s="1779"/>
      <c r="K252" s="1780"/>
      <c r="L252" s="1781"/>
      <c r="M252" s="1779"/>
      <c r="N252" s="1779"/>
      <c r="O252" s="1779"/>
      <c r="P252" s="1816"/>
      <c r="Q252" s="1779"/>
      <c r="R252" s="1779"/>
      <c r="S252" s="1779"/>
      <c r="T252" s="1779"/>
      <c r="U252" s="1779"/>
      <c r="V252" s="1779"/>
      <c r="W252" s="1779"/>
      <c r="X252" s="1779"/>
      <c r="Y252" s="1779"/>
      <c r="Z252" s="1779"/>
      <c r="AA252" s="1779"/>
      <c r="AB252" s="1779"/>
      <c r="AC252" s="1779"/>
    </row>
    <row r="253" spans="1:29">
      <c r="A253" s="1779"/>
      <c r="B253" s="1779"/>
      <c r="C253" s="1779"/>
      <c r="D253" s="1779"/>
      <c r="E253" s="1779"/>
      <c r="F253" s="1779"/>
      <c r="G253" s="1779"/>
      <c r="H253" s="1779"/>
      <c r="I253" s="1779"/>
      <c r="J253" s="1779"/>
      <c r="K253" s="1780"/>
      <c r="L253" s="1781"/>
      <c r="M253" s="1779"/>
      <c r="N253" s="1779"/>
      <c r="O253" s="1779"/>
      <c r="P253" s="1816"/>
      <c r="Q253" s="1779"/>
      <c r="R253" s="1779"/>
      <c r="S253" s="1779"/>
      <c r="T253" s="1779"/>
      <c r="U253" s="1779"/>
      <c r="V253" s="1779"/>
      <c r="W253" s="1779"/>
      <c r="X253" s="1779"/>
      <c r="Y253" s="1779"/>
      <c r="Z253" s="1779"/>
      <c r="AA253" s="1779"/>
      <c r="AB253" s="1779"/>
      <c r="AC253" s="1779"/>
    </row>
    <row r="254" spans="1:29">
      <c r="A254" s="1779"/>
      <c r="B254" s="1779"/>
      <c r="C254" s="1779"/>
      <c r="D254" s="1779"/>
      <c r="E254" s="1779"/>
      <c r="F254" s="1779"/>
      <c r="G254" s="1779"/>
      <c r="H254" s="1779"/>
      <c r="I254" s="1779"/>
      <c r="J254" s="1779"/>
      <c r="K254" s="1780"/>
      <c r="L254" s="1781"/>
      <c r="M254" s="1779"/>
      <c r="N254" s="1779"/>
      <c r="O254" s="1779"/>
      <c r="P254" s="1816"/>
      <c r="Q254" s="1779"/>
      <c r="R254" s="1779"/>
      <c r="S254" s="1779"/>
      <c r="T254" s="1779"/>
      <c r="U254" s="1779"/>
      <c r="V254" s="1779"/>
      <c r="W254" s="1779"/>
      <c r="X254" s="1779"/>
      <c r="Y254" s="1779"/>
      <c r="Z254" s="1779"/>
      <c r="AA254" s="1779"/>
      <c r="AB254" s="1779"/>
      <c r="AC254" s="1779"/>
    </row>
    <row r="255" spans="1:29">
      <c r="A255" s="1779"/>
      <c r="B255" s="1779"/>
      <c r="C255" s="1779"/>
      <c r="D255" s="1779"/>
      <c r="E255" s="1779"/>
      <c r="F255" s="1779"/>
      <c r="G255" s="1779"/>
      <c r="H255" s="1779"/>
      <c r="I255" s="1779"/>
      <c r="J255" s="1779"/>
      <c r="K255" s="1780"/>
      <c r="L255" s="1781"/>
      <c r="M255" s="1779"/>
      <c r="N255" s="1779"/>
      <c r="O255" s="1779"/>
      <c r="P255" s="1816"/>
      <c r="Q255" s="1779"/>
      <c r="R255" s="1779"/>
      <c r="S255" s="1779"/>
      <c r="T255" s="1779"/>
      <c r="U255" s="1779"/>
      <c r="V255" s="1779"/>
      <c r="W255" s="1779"/>
      <c r="X255" s="1779"/>
      <c r="Y255" s="1779"/>
      <c r="Z255" s="1779"/>
      <c r="AA255" s="1779"/>
      <c r="AB255" s="1779"/>
      <c r="AC255" s="1779"/>
    </row>
    <row r="256" spans="1:29">
      <c r="A256" s="1779"/>
      <c r="B256" s="1779"/>
      <c r="C256" s="1779"/>
      <c r="D256" s="1779"/>
      <c r="E256" s="1779"/>
      <c r="F256" s="1779"/>
      <c r="G256" s="1779"/>
      <c r="H256" s="1779"/>
      <c r="I256" s="1779"/>
      <c r="J256" s="1779"/>
      <c r="K256" s="1780"/>
      <c r="L256" s="1781"/>
      <c r="M256" s="1779"/>
      <c r="N256" s="1779"/>
      <c r="O256" s="1779"/>
      <c r="P256" s="1816"/>
      <c r="Q256" s="1779"/>
      <c r="R256" s="1779"/>
      <c r="S256" s="1779"/>
      <c r="T256" s="1779"/>
      <c r="U256" s="1779"/>
      <c r="V256" s="1779"/>
      <c r="W256" s="1779"/>
      <c r="X256" s="1779"/>
      <c r="Y256" s="1779"/>
      <c r="Z256" s="1779"/>
      <c r="AA256" s="1779"/>
      <c r="AB256" s="1779"/>
      <c r="AC256" s="1779"/>
    </row>
    <row r="257" spans="1:29">
      <c r="A257" s="1779"/>
      <c r="B257" s="1779"/>
      <c r="C257" s="1779"/>
      <c r="D257" s="1779"/>
      <c r="E257" s="1779"/>
      <c r="F257" s="1779"/>
      <c r="G257" s="1779"/>
      <c r="H257" s="1779"/>
      <c r="I257" s="1779"/>
      <c r="J257" s="1779"/>
      <c r="K257" s="1780"/>
      <c r="L257" s="1781"/>
      <c r="M257" s="1779"/>
      <c r="N257" s="1779"/>
      <c r="O257" s="1779"/>
      <c r="P257" s="1816"/>
      <c r="Q257" s="1779"/>
      <c r="R257" s="1779"/>
      <c r="S257" s="1779"/>
      <c r="T257" s="1779"/>
      <c r="U257" s="1779"/>
      <c r="V257" s="1779"/>
      <c r="W257" s="1779"/>
      <c r="X257" s="1779"/>
      <c r="Y257" s="1779"/>
      <c r="Z257" s="1779"/>
      <c r="AA257" s="1779"/>
      <c r="AB257" s="1779"/>
      <c r="AC257" s="1779"/>
    </row>
    <row r="258" spans="1:29">
      <c r="A258" s="1779"/>
      <c r="B258" s="1779"/>
      <c r="C258" s="1779"/>
      <c r="D258" s="1779"/>
      <c r="E258" s="1779"/>
      <c r="F258" s="1779"/>
      <c r="G258" s="1779"/>
      <c r="H258" s="1779"/>
      <c r="I258" s="1779"/>
      <c r="J258" s="1779"/>
      <c r="K258" s="1780"/>
      <c r="L258" s="1781"/>
      <c r="M258" s="1779"/>
      <c r="N258" s="1779"/>
      <c r="O258" s="1779"/>
      <c r="P258" s="1816"/>
      <c r="Q258" s="1779"/>
      <c r="R258" s="1779"/>
      <c r="S258" s="1779"/>
      <c r="T258" s="1779"/>
      <c r="U258" s="1779"/>
      <c r="V258" s="1779"/>
      <c r="W258" s="1779"/>
      <c r="X258" s="1779"/>
      <c r="Y258" s="1779"/>
      <c r="Z258" s="1779"/>
      <c r="AA258" s="1779"/>
      <c r="AB258" s="1779"/>
      <c r="AC258" s="1779"/>
    </row>
    <row r="259" spans="1:29">
      <c r="A259" s="1779"/>
      <c r="B259" s="1779"/>
      <c r="C259" s="1779"/>
      <c r="D259" s="1779"/>
      <c r="E259" s="1779"/>
      <c r="F259" s="1779"/>
      <c r="G259" s="1779"/>
      <c r="H259" s="1779"/>
      <c r="I259" s="1779"/>
      <c r="J259" s="1779"/>
      <c r="K259" s="1780"/>
      <c r="L259" s="1781"/>
      <c r="M259" s="1779"/>
      <c r="N259" s="1779"/>
      <c r="O259" s="1779"/>
      <c r="P259" s="1816"/>
      <c r="Q259" s="1779"/>
      <c r="R259" s="1779"/>
      <c r="S259" s="1779"/>
      <c r="T259" s="1779"/>
      <c r="U259" s="1779"/>
      <c r="V259" s="1779"/>
      <c r="W259" s="1779"/>
      <c r="X259" s="1779"/>
      <c r="Y259" s="1779"/>
      <c r="Z259" s="1779"/>
      <c r="AA259" s="1779"/>
      <c r="AB259" s="1779"/>
      <c r="AC259" s="1779"/>
    </row>
    <row r="260" spans="1:29">
      <c r="A260" s="1779"/>
      <c r="B260" s="1779"/>
      <c r="C260" s="1779"/>
      <c r="D260" s="1779"/>
      <c r="E260" s="1779"/>
      <c r="F260" s="1779"/>
      <c r="G260" s="1779"/>
      <c r="H260" s="1779"/>
      <c r="I260" s="1779"/>
      <c r="J260" s="1779"/>
      <c r="K260" s="1780"/>
      <c r="L260" s="1781"/>
      <c r="M260" s="1779"/>
      <c r="N260" s="1779"/>
      <c r="O260" s="1779"/>
      <c r="P260" s="1816"/>
      <c r="Q260" s="1779"/>
      <c r="R260" s="1779"/>
      <c r="S260" s="1779"/>
      <c r="T260" s="1779"/>
      <c r="U260" s="1779"/>
      <c r="V260" s="1779"/>
      <c r="W260" s="1779"/>
      <c r="X260" s="1779"/>
      <c r="Y260" s="1779"/>
      <c r="Z260" s="1779"/>
      <c r="AA260" s="1779"/>
      <c r="AB260" s="1779"/>
      <c r="AC260" s="1779"/>
    </row>
    <row r="261" spans="1:29">
      <c r="A261" s="1779"/>
      <c r="B261" s="1779"/>
      <c r="C261" s="1779"/>
      <c r="D261" s="1779"/>
      <c r="E261" s="1779"/>
      <c r="F261" s="1779"/>
      <c r="G261" s="1779"/>
      <c r="H261" s="1779"/>
      <c r="I261" s="1779"/>
      <c r="J261" s="1779"/>
      <c r="K261" s="1780"/>
      <c r="L261" s="1781"/>
      <c r="M261" s="1779"/>
      <c r="N261" s="1779"/>
      <c r="O261" s="1779"/>
      <c r="P261" s="1816"/>
      <c r="Q261" s="1779"/>
      <c r="R261" s="1779"/>
      <c r="S261" s="1779"/>
      <c r="T261" s="1779"/>
      <c r="U261" s="1779"/>
      <c r="V261" s="1779"/>
      <c r="W261" s="1779"/>
      <c r="X261" s="1779"/>
      <c r="Y261" s="1779"/>
      <c r="Z261" s="1779"/>
      <c r="AA261" s="1779"/>
      <c r="AB261" s="1779"/>
      <c r="AC261" s="1779"/>
    </row>
    <row r="262" spans="1:29">
      <c r="A262" s="1779"/>
      <c r="B262" s="1779"/>
      <c r="C262" s="1779"/>
      <c r="D262" s="1779"/>
      <c r="E262" s="1779"/>
      <c r="F262" s="1779"/>
      <c r="G262" s="1779"/>
      <c r="H262" s="1779"/>
      <c r="I262" s="1779"/>
      <c r="J262" s="1779"/>
      <c r="K262" s="1780"/>
      <c r="L262" s="1781"/>
      <c r="M262" s="1779"/>
      <c r="N262" s="1779"/>
      <c r="O262" s="1779"/>
      <c r="P262" s="1816"/>
      <c r="Q262" s="1779"/>
      <c r="R262" s="1779"/>
      <c r="S262" s="1779"/>
      <c r="T262" s="1779"/>
      <c r="U262" s="1779"/>
      <c r="V262" s="1779"/>
      <c r="W262" s="1779"/>
      <c r="X262" s="1779"/>
      <c r="Y262" s="1779"/>
      <c r="Z262" s="1779"/>
      <c r="AA262" s="1779"/>
      <c r="AB262" s="1779"/>
      <c r="AC262" s="1779"/>
    </row>
    <row r="263" spans="1:29">
      <c r="A263" s="1779"/>
      <c r="B263" s="1779"/>
      <c r="C263" s="1779"/>
      <c r="D263" s="1779"/>
      <c r="E263" s="1779"/>
      <c r="F263" s="1779"/>
      <c r="G263" s="1779"/>
      <c r="H263" s="1779"/>
      <c r="I263" s="1779"/>
      <c r="J263" s="1779"/>
      <c r="K263" s="1780"/>
      <c r="L263" s="1781"/>
      <c r="M263" s="1779"/>
      <c r="N263" s="1779"/>
      <c r="O263" s="1779"/>
      <c r="P263" s="1816"/>
      <c r="Q263" s="1779"/>
      <c r="R263" s="1779"/>
      <c r="S263" s="1779"/>
      <c r="T263" s="1779"/>
      <c r="U263" s="1779"/>
      <c r="V263" s="1779"/>
      <c r="W263" s="1779"/>
      <c r="X263" s="1779"/>
      <c r="Y263" s="1779"/>
      <c r="Z263" s="1779"/>
      <c r="AA263" s="1779"/>
      <c r="AB263" s="1779"/>
      <c r="AC263" s="1779"/>
    </row>
    <row r="264" spans="1:29">
      <c r="A264" s="1779"/>
      <c r="B264" s="1779"/>
      <c r="C264" s="1779"/>
      <c r="D264" s="1779"/>
      <c r="E264" s="1779"/>
      <c r="F264" s="1779"/>
      <c r="G264" s="1779"/>
      <c r="H264" s="1779"/>
      <c r="I264" s="1779"/>
      <c r="J264" s="1779"/>
      <c r="K264" s="1780"/>
      <c r="L264" s="1781"/>
      <c r="M264" s="1779"/>
      <c r="N264" s="1779"/>
      <c r="O264" s="1779"/>
      <c r="P264" s="1816"/>
      <c r="Q264" s="1779"/>
      <c r="R264" s="1779"/>
      <c r="S264" s="1779"/>
      <c r="T264" s="1779"/>
      <c r="U264" s="1779"/>
      <c r="V264" s="1779"/>
      <c r="W264" s="1779"/>
      <c r="X264" s="1779"/>
      <c r="Y264" s="1779"/>
      <c r="Z264" s="1779"/>
      <c r="AA264" s="1779"/>
      <c r="AB264" s="1779"/>
      <c r="AC264" s="1779"/>
    </row>
    <row r="265" spans="1:29">
      <c r="A265" s="1779"/>
      <c r="B265" s="1779"/>
      <c r="C265" s="1779"/>
      <c r="D265" s="1779"/>
      <c r="E265" s="1779"/>
      <c r="F265" s="1779"/>
      <c r="G265" s="1779"/>
      <c r="H265" s="1779"/>
      <c r="I265" s="1779"/>
      <c r="J265" s="1779"/>
      <c r="K265" s="1780"/>
      <c r="L265" s="1781"/>
      <c r="M265" s="1779"/>
      <c r="N265" s="1779"/>
      <c r="O265" s="1779"/>
      <c r="P265" s="1816"/>
      <c r="Q265" s="1779"/>
      <c r="R265" s="1779"/>
      <c r="S265" s="1779"/>
      <c r="T265" s="1779"/>
      <c r="U265" s="1779"/>
      <c r="V265" s="1779"/>
      <c r="W265" s="1779"/>
      <c r="X265" s="1779"/>
      <c r="Y265" s="1779"/>
      <c r="Z265" s="1779"/>
      <c r="AA265" s="1779"/>
      <c r="AB265" s="1779"/>
      <c r="AC265" s="1779"/>
    </row>
    <row r="266" spans="1:29">
      <c r="A266" s="1779"/>
      <c r="B266" s="1779"/>
      <c r="C266" s="1779"/>
      <c r="D266" s="1779"/>
      <c r="E266" s="1779"/>
      <c r="F266" s="1779"/>
      <c r="G266" s="1779"/>
      <c r="H266" s="1779"/>
      <c r="I266" s="1779"/>
      <c r="J266" s="1779"/>
      <c r="K266" s="1780"/>
      <c r="L266" s="1781"/>
      <c r="M266" s="1779"/>
      <c r="N266" s="1779"/>
      <c r="O266" s="1779"/>
      <c r="P266" s="1816"/>
      <c r="Q266" s="1779"/>
      <c r="R266" s="1779"/>
      <c r="S266" s="1779"/>
      <c r="T266" s="1779"/>
      <c r="U266" s="1779"/>
      <c r="V266" s="1779"/>
      <c r="W266" s="1779"/>
      <c r="X266" s="1779"/>
      <c r="Y266" s="1779"/>
      <c r="Z266" s="1779"/>
      <c r="AA266" s="1779"/>
      <c r="AB266" s="1779"/>
      <c r="AC266" s="1779"/>
    </row>
    <row r="267" spans="1:29">
      <c r="A267" s="1779"/>
      <c r="B267" s="1779"/>
      <c r="C267" s="1779"/>
      <c r="D267" s="1779"/>
      <c r="E267" s="1779"/>
      <c r="F267" s="1779"/>
      <c r="G267" s="1779"/>
      <c r="H267" s="1779"/>
      <c r="I267" s="1779"/>
      <c r="J267" s="1779"/>
      <c r="K267" s="1780"/>
      <c r="L267" s="1781"/>
      <c r="M267" s="1779"/>
      <c r="N267" s="1779"/>
      <c r="O267" s="1779"/>
      <c r="P267" s="1816"/>
      <c r="Q267" s="1779"/>
      <c r="R267" s="1779"/>
      <c r="S267" s="1779"/>
      <c r="T267" s="1779"/>
      <c r="U267" s="1779"/>
      <c r="V267" s="1779"/>
      <c r="W267" s="1779"/>
      <c r="X267" s="1779"/>
      <c r="Y267" s="1779"/>
      <c r="Z267" s="1779"/>
      <c r="AA267" s="1779"/>
      <c r="AB267" s="1779"/>
      <c r="AC267" s="1779"/>
    </row>
    <row r="268" spans="1:29">
      <c r="A268" s="1779"/>
      <c r="B268" s="1779"/>
      <c r="C268" s="1779"/>
      <c r="D268" s="1779"/>
      <c r="E268" s="1779"/>
      <c r="F268" s="1779"/>
      <c r="G268" s="1779"/>
      <c r="H268" s="1779"/>
      <c r="I268" s="1779"/>
      <c r="J268" s="1779"/>
      <c r="K268" s="1780"/>
      <c r="L268" s="1781"/>
      <c r="M268" s="1779"/>
      <c r="N268" s="1779"/>
      <c r="O268" s="1779"/>
      <c r="P268" s="1816"/>
      <c r="Q268" s="1779"/>
      <c r="R268" s="1779"/>
      <c r="S268" s="1779"/>
      <c r="T268" s="1779"/>
      <c r="U268" s="1779"/>
      <c r="V268" s="1779"/>
      <c r="W268" s="1779"/>
      <c r="X268" s="1779"/>
      <c r="Y268" s="1779"/>
      <c r="Z268" s="1779"/>
      <c r="AA268" s="1779"/>
      <c r="AB268" s="1779"/>
      <c r="AC268" s="1779"/>
    </row>
    <row r="269" spans="1:29">
      <c r="A269" s="1779"/>
      <c r="B269" s="1779"/>
      <c r="C269" s="1779"/>
      <c r="D269" s="1779"/>
      <c r="E269" s="1779"/>
      <c r="F269" s="1779"/>
      <c r="G269" s="1779"/>
      <c r="H269" s="1779"/>
      <c r="I269" s="1779"/>
      <c r="J269" s="1779"/>
      <c r="K269" s="1780"/>
      <c r="L269" s="1781"/>
      <c r="M269" s="1779"/>
      <c r="N269" s="1779"/>
      <c r="O269" s="1779"/>
      <c r="P269" s="1816"/>
      <c r="Q269" s="1779"/>
      <c r="R269" s="1779"/>
      <c r="S269" s="1779"/>
      <c r="T269" s="1779"/>
      <c r="U269" s="1779"/>
      <c r="V269" s="1779"/>
      <c r="W269" s="1779"/>
      <c r="X269" s="1779"/>
      <c r="Y269" s="1779"/>
      <c r="Z269" s="1779"/>
      <c r="AA269" s="1779"/>
      <c r="AB269" s="1779"/>
      <c r="AC269" s="1779"/>
    </row>
    <row r="270" spans="1:29">
      <c r="A270" s="1779"/>
      <c r="B270" s="1779"/>
      <c r="C270" s="1779"/>
      <c r="D270" s="1779"/>
      <c r="E270" s="1779"/>
      <c r="F270" s="1779"/>
      <c r="G270" s="1779"/>
      <c r="H270" s="1779"/>
      <c r="I270" s="1779"/>
      <c r="J270" s="1779"/>
      <c r="K270" s="1780"/>
      <c r="L270" s="1781"/>
      <c r="M270" s="1779"/>
      <c r="N270" s="1779"/>
      <c r="O270" s="1779"/>
      <c r="P270" s="1816"/>
      <c r="Q270" s="1779"/>
      <c r="R270" s="1779"/>
      <c r="S270" s="1779"/>
      <c r="T270" s="1779"/>
      <c r="U270" s="1779"/>
      <c r="V270" s="1779"/>
      <c r="W270" s="1779"/>
      <c r="X270" s="1779"/>
      <c r="Y270" s="1779"/>
      <c r="Z270" s="1779"/>
      <c r="AA270" s="1779"/>
      <c r="AB270" s="1779"/>
      <c r="AC270" s="1779"/>
    </row>
    <row r="271" spans="1:29">
      <c r="A271" s="1779"/>
      <c r="B271" s="1779"/>
      <c r="C271" s="1779"/>
      <c r="D271" s="1779"/>
      <c r="E271" s="1779"/>
      <c r="F271" s="1779"/>
      <c r="G271" s="1779"/>
      <c r="H271" s="1779"/>
      <c r="I271" s="1779"/>
      <c r="J271" s="1779"/>
      <c r="K271" s="1780"/>
      <c r="L271" s="1781"/>
      <c r="M271" s="1779"/>
      <c r="N271" s="1779"/>
      <c r="O271" s="1779"/>
      <c r="P271" s="1816"/>
      <c r="Q271" s="1779"/>
      <c r="R271" s="1779"/>
      <c r="S271" s="1779"/>
      <c r="T271" s="1779"/>
      <c r="U271" s="1779"/>
      <c r="V271" s="1779"/>
      <c r="W271" s="1779"/>
      <c r="X271" s="1779"/>
      <c r="Y271" s="1779"/>
      <c r="Z271" s="1779"/>
      <c r="AA271" s="1779"/>
      <c r="AB271" s="1779"/>
      <c r="AC271" s="1779"/>
    </row>
    <row r="272" spans="1:29">
      <c r="A272" s="1779"/>
      <c r="B272" s="1779"/>
      <c r="C272" s="1779"/>
      <c r="D272" s="1779"/>
      <c r="E272" s="1779"/>
      <c r="F272" s="1779"/>
      <c r="G272" s="1779"/>
      <c r="H272" s="1779"/>
      <c r="I272" s="1779"/>
      <c r="J272" s="1779"/>
      <c r="K272" s="1780"/>
      <c r="L272" s="1781"/>
      <c r="M272" s="1779"/>
      <c r="N272" s="1779"/>
      <c r="O272" s="1779"/>
      <c r="P272" s="1816"/>
      <c r="Q272" s="1779"/>
      <c r="R272" s="1779"/>
      <c r="S272" s="1779"/>
      <c r="T272" s="1779"/>
      <c r="U272" s="1779"/>
      <c r="V272" s="1779"/>
      <c r="W272" s="1779"/>
      <c r="X272" s="1779"/>
      <c r="Y272" s="1779"/>
      <c r="Z272" s="1779"/>
      <c r="AA272" s="1779"/>
      <c r="AB272" s="1779"/>
      <c r="AC272" s="1779"/>
    </row>
    <row r="273" spans="1:29">
      <c r="A273" s="1779"/>
      <c r="B273" s="1779"/>
      <c r="C273" s="1779"/>
      <c r="D273" s="1779"/>
      <c r="E273" s="1779"/>
      <c r="F273" s="1779"/>
      <c r="G273" s="1779"/>
      <c r="H273" s="1779"/>
      <c r="I273" s="1779"/>
      <c r="J273" s="1779"/>
      <c r="K273" s="1780"/>
      <c r="L273" s="1781"/>
      <c r="M273" s="1779"/>
      <c r="N273" s="1779"/>
      <c r="O273" s="1779"/>
      <c r="P273" s="1816"/>
      <c r="Q273" s="1779"/>
      <c r="R273" s="1779"/>
      <c r="S273" s="1779"/>
      <c r="T273" s="1779"/>
      <c r="U273" s="1779"/>
      <c r="V273" s="1779"/>
      <c r="W273" s="1779"/>
      <c r="X273" s="1779"/>
      <c r="Y273" s="1779"/>
      <c r="Z273" s="1779"/>
      <c r="AA273" s="1779"/>
      <c r="AB273" s="1779"/>
      <c r="AC273" s="1779"/>
    </row>
    <row r="274" spans="1:29">
      <c r="A274" s="1779"/>
      <c r="B274" s="1779"/>
      <c r="C274" s="1779"/>
      <c r="D274" s="1779"/>
      <c r="E274" s="1779"/>
      <c r="F274" s="1779"/>
      <c r="G274" s="1779"/>
      <c r="H274" s="1779"/>
      <c r="I274" s="1779"/>
      <c r="J274" s="1779"/>
      <c r="K274" s="1780"/>
      <c r="L274" s="1781"/>
      <c r="M274" s="1779"/>
      <c r="N274" s="1779"/>
      <c r="O274" s="1779"/>
      <c r="P274" s="1816"/>
      <c r="Q274" s="1779"/>
      <c r="R274" s="1779"/>
      <c r="S274" s="1779"/>
      <c r="T274" s="1779"/>
      <c r="U274" s="1779"/>
      <c r="V274" s="1779"/>
      <c r="W274" s="1779"/>
      <c r="X274" s="1779"/>
      <c r="Y274" s="1779"/>
      <c r="Z274" s="1779"/>
      <c r="AA274" s="1779"/>
      <c r="AB274" s="1779"/>
      <c r="AC274" s="1779"/>
    </row>
    <row r="275" spans="1:29">
      <c r="A275" s="1779"/>
      <c r="B275" s="1779"/>
      <c r="C275" s="1779"/>
      <c r="D275" s="1779"/>
      <c r="E275" s="1779"/>
      <c r="F275" s="1779"/>
      <c r="G275" s="1779"/>
      <c r="H275" s="1779"/>
      <c r="I275" s="1779"/>
      <c r="J275" s="1779"/>
      <c r="K275" s="1780"/>
      <c r="L275" s="1781"/>
      <c r="M275" s="1779"/>
      <c r="N275" s="1779"/>
      <c r="O275" s="1779"/>
      <c r="P275" s="1816"/>
      <c r="Q275" s="1779"/>
      <c r="R275" s="1779"/>
      <c r="S275" s="1779"/>
      <c r="T275" s="1779"/>
      <c r="U275" s="1779"/>
      <c r="V275" s="1779"/>
      <c r="W275" s="1779"/>
      <c r="X275" s="1779"/>
      <c r="Y275" s="1779"/>
      <c r="Z275" s="1779"/>
      <c r="AA275" s="1779"/>
      <c r="AB275" s="1779"/>
      <c r="AC275" s="1779"/>
    </row>
    <row r="276" spans="1:29">
      <c r="A276" s="1779"/>
      <c r="B276" s="1779"/>
      <c r="C276" s="1779"/>
      <c r="D276" s="1779"/>
      <c r="E276" s="1779"/>
      <c r="F276" s="1779"/>
      <c r="G276" s="1779"/>
      <c r="H276" s="1779"/>
      <c r="I276" s="1779"/>
      <c r="J276" s="1779"/>
      <c r="K276" s="1780"/>
      <c r="L276" s="1781"/>
      <c r="M276" s="1779"/>
      <c r="N276" s="1779"/>
      <c r="O276" s="1779"/>
      <c r="P276" s="1816"/>
      <c r="Q276" s="1779"/>
      <c r="R276" s="1779"/>
      <c r="S276" s="1779"/>
      <c r="T276" s="1779"/>
      <c r="U276" s="1779"/>
      <c r="V276" s="1779"/>
      <c r="W276" s="1779"/>
      <c r="X276" s="1779"/>
      <c r="Y276" s="1779"/>
      <c r="Z276" s="1779"/>
      <c r="AA276" s="1779"/>
      <c r="AB276" s="1779"/>
      <c r="AC276" s="1779"/>
    </row>
    <row r="277" spans="1:29">
      <c r="A277" s="1779"/>
      <c r="B277" s="1779"/>
      <c r="C277" s="1779"/>
      <c r="D277" s="1779"/>
      <c r="E277" s="1779"/>
      <c r="F277" s="1779"/>
      <c r="G277" s="1779"/>
      <c r="H277" s="1779"/>
      <c r="I277" s="1779"/>
      <c r="J277" s="1779"/>
      <c r="K277" s="1780"/>
      <c r="L277" s="1781"/>
      <c r="M277" s="1779"/>
      <c r="N277" s="1779"/>
      <c r="O277" s="1779"/>
      <c r="P277" s="1816"/>
      <c r="Q277" s="1779"/>
      <c r="R277" s="1779"/>
      <c r="S277" s="1779"/>
      <c r="T277" s="1779"/>
      <c r="U277" s="1779"/>
      <c r="V277" s="1779"/>
      <c r="W277" s="1779"/>
      <c r="X277" s="1779"/>
      <c r="Y277" s="1779"/>
      <c r="Z277" s="1779"/>
      <c r="AA277" s="1779"/>
      <c r="AB277" s="1779"/>
      <c r="AC277" s="1779"/>
    </row>
    <row r="278" spans="1:29">
      <c r="A278" s="1779"/>
      <c r="B278" s="1779"/>
      <c r="C278" s="1779"/>
      <c r="D278" s="1779"/>
      <c r="E278" s="1779"/>
      <c r="F278" s="1779"/>
      <c r="G278" s="1779"/>
      <c r="H278" s="1779"/>
      <c r="I278" s="1779"/>
      <c r="J278" s="1779"/>
      <c r="K278" s="1780"/>
      <c r="L278" s="1781"/>
      <c r="M278" s="1779"/>
      <c r="N278" s="1779"/>
      <c r="O278" s="1779"/>
      <c r="P278" s="1816"/>
      <c r="Q278" s="1779"/>
      <c r="R278" s="1779"/>
      <c r="S278" s="1779"/>
      <c r="T278" s="1779"/>
      <c r="U278" s="1779"/>
      <c r="V278" s="1779"/>
      <c r="W278" s="1779"/>
      <c r="X278" s="1779"/>
      <c r="Y278" s="1779"/>
      <c r="Z278" s="1779"/>
      <c r="AA278" s="1779"/>
      <c r="AB278" s="1779"/>
      <c r="AC278" s="1779"/>
    </row>
    <row r="279" spans="1:29">
      <c r="A279" s="1779"/>
      <c r="B279" s="1779"/>
      <c r="C279" s="1779"/>
      <c r="D279" s="1779"/>
      <c r="E279" s="1779"/>
      <c r="F279" s="1779"/>
      <c r="G279" s="1779"/>
      <c r="H279" s="1779"/>
      <c r="I279" s="1779"/>
      <c r="J279" s="1779"/>
      <c r="K279" s="1780"/>
      <c r="L279" s="1781"/>
      <c r="M279" s="1779"/>
      <c r="N279" s="1779"/>
      <c r="O279" s="1779"/>
      <c r="P279" s="1816"/>
      <c r="Q279" s="1779"/>
      <c r="R279" s="1779"/>
      <c r="S279" s="1779"/>
      <c r="T279" s="1779"/>
      <c r="U279" s="1779"/>
      <c r="V279" s="1779"/>
      <c r="W279" s="1779"/>
      <c r="X279" s="1779"/>
      <c r="Y279" s="1779"/>
      <c r="Z279" s="1779"/>
      <c r="AA279" s="1779"/>
      <c r="AB279" s="1779"/>
      <c r="AC279" s="1779"/>
    </row>
    <row r="280" spans="1:29">
      <c r="A280" s="1779"/>
      <c r="B280" s="1779"/>
      <c r="C280" s="1779"/>
      <c r="D280" s="1779"/>
      <c r="E280" s="1779"/>
      <c r="F280" s="1779"/>
      <c r="G280" s="1779"/>
      <c r="H280" s="1779"/>
      <c r="I280" s="1779"/>
      <c r="J280" s="1779"/>
      <c r="K280" s="1780"/>
      <c r="L280" s="1781"/>
      <c r="M280" s="1779"/>
      <c r="N280" s="1779"/>
      <c r="O280" s="1779"/>
      <c r="P280" s="1816"/>
      <c r="Q280" s="1779"/>
      <c r="R280" s="1779"/>
      <c r="S280" s="1779"/>
      <c r="T280" s="1779"/>
      <c r="U280" s="1779"/>
      <c r="V280" s="1779"/>
      <c r="W280" s="1779"/>
      <c r="X280" s="1779"/>
      <c r="Y280" s="1779"/>
      <c r="Z280" s="1779"/>
      <c r="AA280" s="1779"/>
      <c r="AB280" s="1779"/>
      <c r="AC280" s="1779"/>
    </row>
    <row r="281" spans="1:29">
      <c r="A281" s="1779"/>
      <c r="B281" s="1779"/>
      <c r="C281" s="1779"/>
      <c r="D281" s="1779"/>
      <c r="E281" s="1779"/>
      <c r="F281" s="1779"/>
      <c r="G281" s="1779"/>
      <c r="H281" s="1779"/>
      <c r="I281" s="1779"/>
      <c r="J281" s="1779"/>
      <c r="K281" s="1780"/>
      <c r="L281" s="1781"/>
      <c r="M281" s="1779"/>
      <c r="N281" s="1779"/>
      <c r="O281" s="1779"/>
      <c r="P281" s="1816"/>
      <c r="Q281" s="1779"/>
      <c r="R281" s="1779"/>
      <c r="S281" s="1779"/>
      <c r="T281" s="1779"/>
      <c r="U281" s="1779"/>
      <c r="V281" s="1779"/>
      <c r="W281" s="1779"/>
      <c r="X281" s="1779"/>
      <c r="Y281" s="1779"/>
      <c r="Z281" s="1779"/>
      <c r="AA281" s="1779"/>
      <c r="AB281" s="1779"/>
      <c r="AC281" s="1779"/>
    </row>
    <row r="282" spans="1:29">
      <c r="A282" s="1779"/>
      <c r="B282" s="1779"/>
      <c r="C282" s="1779"/>
      <c r="D282" s="1779"/>
      <c r="E282" s="1779"/>
      <c r="F282" s="1779"/>
      <c r="G282" s="1779"/>
      <c r="H282" s="1779"/>
      <c r="I282" s="1779"/>
      <c r="J282" s="1779"/>
      <c r="K282" s="1780"/>
      <c r="L282" s="1781"/>
      <c r="M282" s="1779"/>
      <c r="N282" s="1779"/>
      <c r="O282" s="1779"/>
      <c r="P282" s="1816"/>
      <c r="Q282" s="1779"/>
      <c r="R282" s="1779"/>
      <c r="S282" s="1779"/>
      <c r="T282" s="1779"/>
      <c r="U282" s="1779"/>
      <c r="V282" s="1779"/>
      <c r="W282" s="1779"/>
      <c r="X282" s="1779"/>
      <c r="Y282" s="1779"/>
      <c r="Z282" s="1779"/>
      <c r="AA282" s="1779"/>
      <c r="AB282" s="1779"/>
      <c r="AC282" s="1779"/>
    </row>
    <row r="283" spans="1:29">
      <c r="A283" s="1779"/>
      <c r="B283" s="1779"/>
      <c r="C283" s="1779"/>
      <c r="D283" s="1779"/>
      <c r="E283" s="1779"/>
      <c r="F283" s="1779"/>
      <c r="G283" s="1779"/>
      <c r="H283" s="1779"/>
      <c r="I283" s="1779"/>
      <c r="J283" s="1779"/>
      <c r="K283" s="1780"/>
      <c r="L283" s="1781"/>
      <c r="M283" s="1779"/>
      <c r="N283" s="1779"/>
      <c r="O283" s="1779"/>
      <c r="P283" s="1816"/>
      <c r="Q283" s="1779"/>
      <c r="R283" s="1779"/>
      <c r="S283" s="1779"/>
      <c r="T283" s="1779"/>
      <c r="U283" s="1779"/>
      <c r="V283" s="1779"/>
      <c r="W283" s="1779"/>
      <c r="X283" s="1779"/>
      <c r="Y283" s="1779"/>
      <c r="Z283" s="1779"/>
      <c r="AA283" s="1779"/>
      <c r="AB283" s="1779"/>
      <c r="AC283" s="1779"/>
    </row>
    <row r="284" spans="1:29">
      <c r="A284" s="1779"/>
      <c r="B284" s="1779"/>
      <c r="C284" s="1779"/>
      <c r="D284" s="1779"/>
      <c r="E284" s="1779"/>
      <c r="F284" s="1779"/>
      <c r="G284" s="1779"/>
      <c r="H284" s="1779"/>
      <c r="I284" s="1779"/>
      <c r="J284" s="1779"/>
      <c r="K284" s="1780"/>
      <c r="L284" s="1781"/>
      <c r="M284" s="1779"/>
      <c r="N284" s="1779"/>
      <c r="O284" s="1779"/>
      <c r="P284" s="1816"/>
      <c r="Q284" s="1779"/>
      <c r="R284" s="1779"/>
      <c r="S284" s="1779"/>
      <c r="T284" s="1779"/>
      <c r="U284" s="1779"/>
      <c r="V284" s="1779"/>
      <c r="W284" s="1779"/>
      <c r="X284" s="1779"/>
      <c r="Y284" s="1779"/>
      <c r="Z284" s="1779"/>
      <c r="AA284" s="1779"/>
      <c r="AB284" s="1779"/>
      <c r="AC284" s="1779"/>
    </row>
    <row r="285" spans="1:29">
      <c r="A285" s="1779"/>
      <c r="B285" s="1779"/>
      <c r="C285" s="1779"/>
      <c r="D285" s="1779"/>
      <c r="E285" s="1779"/>
      <c r="F285" s="1779"/>
      <c r="G285" s="1779"/>
      <c r="H285" s="1779"/>
      <c r="I285" s="1779"/>
      <c r="J285" s="1779"/>
      <c r="K285" s="1780"/>
      <c r="L285" s="1781"/>
      <c r="M285" s="1779"/>
      <c r="N285" s="1779"/>
      <c r="O285" s="1779"/>
      <c r="P285" s="1816"/>
      <c r="Q285" s="1779"/>
      <c r="R285" s="1779"/>
      <c r="S285" s="1779"/>
      <c r="T285" s="1779"/>
      <c r="U285" s="1779"/>
      <c r="V285" s="1779"/>
      <c r="W285" s="1779"/>
      <c r="X285" s="1779"/>
      <c r="Y285" s="1779"/>
      <c r="Z285" s="1779"/>
      <c r="AA285" s="1779"/>
      <c r="AB285" s="1779"/>
      <c r="AC285" s="1779"/>
    </row>
    <row r="286" spans="1:29">
      <c r="A286" s="1779"/>
      <c r="B286" s="1779"/>
      <c r="C286" s="1779"/>
      <c r="D286" s="1779"/>
      <c r="E286" s="1779"/>
      <c r="F286" s="1779"/>
      <c r="G286" s="1779"/>
      <c r="H286" s="1779"/>
      <c r="I286" s="1779"/>
      <c r="J286" s="1779"/>
      <c r="K286" s="1780"/>
      <c r="L286" s="1781"/>
      <c r="M286" s="1779"/>
      <c r="N286" s="1779"/>
      <c r="O286" s="1779"/>
      <c r="P286" s="1816"/>
      <c r="Q286" s="1779"/>
      <c r="R286" s="1779"/>
      <c r="S286" s="1779"/>
      <c r="T286" s="1779"/>
      <c r="U286" s="1779"/>
      <c r="V286" s="1779"/>
      <c r="W286" s="1779"/>
      <c r="X286" s="1779"/>
      <c r="Y286" s="1779"/>
      <c r="Z286" s="1779"/>
      <c r="AA286" s="1779"/>
      <c r="AB286" s="1779"/>
      <c r="AC286" s="1779"/>
    </row>
    <row r="287" spans="1:29">
      <c r="A287" s="1779"/>
      <c r="B287" s="1779"/>
      <c r="C287" s="1779"/>
      <c r="D287" s="1779"/>
      <c r="E287" s="1779"/>
      <c r="F287" s="1779"/>
      <c r="G287" s="1779"/>
      <c r="H287" s="1779"/>
      <c r="I287" s="1779"/>
      <c r="J287" s="1779"/>
      <c r="K287" s="1780"/>
      <c r="L287" s="1781"/>
      <c r="M287" s="1779"/>
      <c r="N287" s="1779"/>
      <c r="O287" s="1779"/>
      <c r="P287" s="1816"/>
      <c r="Q287" s="1779"/>
      <c r="R287" s="1779"/>
      <c r="S287" s="1779"/>
      <c r="T287" s="1779"/>
      <c r="U287" s="1779"/>
      <c r="V287" s="1779"/>
      <c r="W287" s="1779"/>
      <c r="X287" s="1779"/>
      <c r="Y287" s="1779"/>
      <c r="Z287" s="1779"/>
      <c r="AA287" s="1779"/>
      <c r="AB287" s="1779"/>
      <c r="AC287" s="1779"/>
    </row>
    <row r="288" spans="1:29">
      <c r="A288" s="1779"/>
      <c r="B288" s="1779"/>
      <c r="C288" s="1779"/>
      <c r="D288" s="1779"/>
      <c r="E288" s="1779"/>
      <c r="F288" s="1779"/>
      <c r="G288" s="1779"/>
      <c r="H288" s="1779"/>
      <c r="I288" s="1779"/>
      <c r="J288" s="1779"/>
      <c r="K288" s="1780"/>
      <c r="L288" s="1781"/>
      <c r="M288" s="1779"/>
      <c r="N288" s="1779"/>
      <c r="O288" s="1779"/>
      <c r="P288" s="1816"/>
      <c r="Q288" s="1779"/>
      <c r="R288" s="1779"/>
      <c r="S288" s="1779"/>
      <c r="T288" s="1779"/>
      <c r="U288" s="1779"/>
      <c r="V288" s="1779"/>
      <c r="W288" s="1779"/>
      <c r="X288" s="1779"/>
      <c r="Y288" s="1779"/>
      <c r="Z288" s="1779"/>
      <c r="AA288" s="1779"/>
      <c r="AB288" s="1779"/>
      <c r="AC288" s="1779"/>
    </row>
    <row r="289" spans="1:29">
      <c r="A289" s="1779"/>
      <c r="B289" s="1779"/>
      <c r="C289" s="1779"/>
      <c r="D289" s="1779"/>
      <c r="E289" s="1779"/>
      <c r="F289" s="1779"/>
      <c r="G289" s="1779"/>
      <c r="H289" s="1779"/>
      <c r="I289" s="1779"/>
      <c r="J289" s="1779"/>
      <c r="K289" s="1780"/>
      <c r="L289" s="1781"/>
      <c r="M289" s="1779"/>
      <c r="N289" s="1779"/>
      <c r="O289" s="1779"/>
      <c r="P289" s="1816"/>
      <c r="Q289" s="1779"/>
      <c r="R289" s="1779"/>
      <c r="S289" s="1779"/>
      <c r="T289" s="1779"/>
      <c r="U289" s="1779"/>
      <c r="V289" s="1779"/>
      <c r="W289" s="1779"/>
      <c r="X289" s="1779"/>
      <c r="Y289" s="1779"/>
      <c r="Z289" s="1779"/>
      <c r="AA289" s="1779"/>
      <c r="AB289" s="1779"/>
      <c r="AC289" s="1779"/>
    </row>
    <row r="290" spans="1:29">
      <c r="A290" s="1779"/>
      <c r="B290" s="1779"/>
      <c r="C290" s="1779"/>
      <c r="D290" s="1779"/>
      <c r="E290" s="1779"/>
      <c r="F290" s="1779"/>
      <c r="G290" s="1779"/>
      <c r="H290" s="1779"/>
      <c r="I290" s="1779"/>
      <c r="J290" s="1779"/>
      <c r="K290" s="1780"/>
      <c r="L290" s="1781"/>
      <c r="M290" s="1779"/>
      <c r="N290" s="1779"/>
      <c r="O290" s="1779"/>
      <c r="P290" s="1816"/>
      <c r="Q290" s="1779"/>
      <c r="R290" s="1779"/>
      <c r="S290" s="1779"/>
      <c r="T290" s="1779"/>
      <c r="U290" s="1779"/>
      <c r="V290" s="1779"/>
      <c r="W290" s="1779"/>
      <c r="X290" s="1779"/>
      <c r="Y290" s="1779"/>
      <c r="Z290" s="1779"/>
      <c r="AA290" s="1779"/>
      <c r="AB290" s="1779"/>
      <c r="AC290" s="1779"/>
    </row>
    <row r="291" spans="1:29">
      <c r="A291" s="1779"/>
      <c r="B291" s="1779"/>
      <c r="C291" s="1779"/>
      <c r="D291" s="1779"/>
      <c r="E291" s="1779"/>
      <c r="F291" s="1779"/>
      <c r="G291" s="1779"/>
      <c r="H291" s="1779"/>
      <c r="I291" s="1779"/>
      <c r="J291" s="1779"/>
      <c r="K291" s="1780"/>
      <c r="L291" s="1781"/>
      <c r="M291" s="1779"/>
      <c r="N291" s="1779"/>
      <c r="O291" s="1779"/>
      <c r="P291" s="1816"/>
      <c r="Q291" s="1779"/>
      <c r="R291" s="1779"/>
      <c r="S291" s="1779"/>
      <c r="T291" s="1779"/>
      <c r="U291" s="1779"/>
      <c r="V291" s="1779"/>
      <c r="W291" s="1779"/>
      <c r="X291" s="1779"/>
      <c r="Y291" s="1779"/>
      <c r="Z291" s="1779"/>
      <c r="AA291" s="1779"/>
      <c r="AB291" s="1779"/>
      <c r="AC291" s="1779"/>
    </row>
    <row r="292" spans="1:29">
      <c r="A292" s="1779"/>
      <c r="B292" s="1779"/>
      <c r="C292" s="1779"/>
      <c r="D292" s="1779"/>
      <c r="E292" s="1779"/>
      <c r="F292" s="1779"/>
      <c r="G292" s="1779"/>
      <c r="H292" s="1779"/>
      <c r="I292" s="1779"/>
      <c r="J292" s="1779"/>
      <c r="K292" s="1780"/>
      <c r="L292" s="1781"/>
      <c r="M292" s="1779"/>
      <c r="N292" s="1779"/>
      <c r="O292" s="1779"/>
      <c r="P292" s="1816"/>
      <c r="Q292" s="1779"/>
      <c r="R292" s="1779"/>
      <c r="S292" s="1779"/>
      <c r="T292" s="1779"/>
      <c r="U292" s="1779"/>
      <c r="V292" s="1779"/>
      <c r="W292" s="1779"/>
      <c r="X292" s="1779"/>
      <c r="Y292" s="1779"/>
      <c r="Z292" s="1779"/>
      <c r="AA292" s="1779"/>
      <c r="AB292" s="1779"/>
      <c r="AC292" s="1779"/>
    </row>
    <row r="293" spans="1:29">
      <c r="A293" s="1779"/>
      <c r="B293" s="1779"/>
      <c r="C293" s="1779"/>
      <c r="D293" s="1779"/>
      <c r="E293" s="1779"/>
      <c r="F293" s="1779"/>
      <c r="G293" s="1779"/>
      <c r="H293" s="1779"/>
      <c r="I293" s="1779"/>
      <c r="J293" s="1779"/>
      <c r="K293" s="1780"/>
      <c r="L293" s="1781"/>
      <c r="M293" s="1779"/>
      <c r="N293" s="1779"/>
      <c r="O293" s="1779"/>
      <c r="P293" s="1816"/>
      <c r="Q293" s="1779"/>
      <c r="R293" s="1779"/>
      <c r="S293" s="1779"/>
      <c r="T293" s="1779"/>
      <c r="U293" s="1779"/>
      <c r="V293" s="1779"/>
      <c r="W293" s="1779"/>
      <c r="X293" s="1779"/>
      <c r="Y293" s="1779"/>
      <c r="Z293" s="1779"/>
      <c r="AA293" s="1779"/>
      <c r="AB293" s="1779"/>
      <c r="AC293" s="1779"/>
    </row>
    <row r="294" spans="1:29">
      <c r="A294" s="1779"/>
      <c r="B294" s="1779"/>
      <c r="C294" s="1779"/>
      <c r="D294" s="1779"/>
      <c r="E294" s="1779"/>
      <c r="F294" s="1779"/>
      <c r="G294" s="1779"/>
      <c r="H294" s="1779"/>
      <c r="I294" s="1779"/>
      <c r="J294" s="1779"/>
      <c r="K294" s="1780"/>
      <c r="L294" s="1781"/>
      <c r="M294" s="1779"/>
      <c r="N294" s="1779"/>
      <c r="O294" s="1779"/>
      <c r="P294" s="1816"/>
      <c r="Q294" s="1779"/>
      <c r="R294" s="1779"/>
      <c r="S294" s="1779"/>
      <c r="T294" s="1779"/>
      <c r="U294" s="1779"/>
      <c r="V294" s="1779"/>
      <c r="W294" s="1779"/>
      <c r="X294" s="1779"/>
      <c r="Y294" s="1779"/>
      <c r="Z294" s="1779"/>
      <c r="AA294" s="1779"/>
      <c r="AB294" s="1779"/>
      <c r="AC294" s="1779"/>
    </row>
    <row r="295" spans="1:29">
      <c r="A295" s="1779"/>
      <c r="B295" s="1779"/>
      <c r="C295" s="1779"/>
      <c r="D295" s="1779"/>
      <c r="E295" s="1779"/>
      <c r="F295" s="1779"/>
      <c r="G295" s="1779"/>
      <c r="H295" s="1779"/>
      <c r="I295" s="1779"/>
      <c r="J295" s="1779"/>
      <c r="K295" s="1780"/>
      <c r="L295" s="1781"/>
      <c r="M295" s="1779"/>
      <c r="N295" s="1779"/>
      <c r="O295" s="1779"/>
      <c r="P295" s="1816"/>
      <c r="Q295" s="1779"/>
      <c r="R295" s="1779"/>
      <c r="S295" s="1779"/>
      <c r="T295" s="1779"/>
      <c r="U295" s="1779"/>
      <c r="V295" s="1779"/>
      <c r="W295" s="1779"/>
      <c r="X295" s="1779"/>
      <c r="Y295" s="1779"/>
      <c r="Z295" s="1779"/>
      <c r="AA295" s="1779"/>
      <c r="AB295" s="1779"/>
      <c r="AC295" s="1779"/>
    </row>
    <row r="296" spans="1:29">
      <c r="A296" s="1779"/>
      <c r="B296" s="1779"/>
      <c r="C296" s="1779"/>
      <c r="D296" s="1779"/>
      <c r="E296" s="1779"/>
      <c r="F296" s="1779"/>
      <c r="G296" s="1779"/>
      <c r="H296" s="1779"/>
      <c r="I296" s="1779"/>
      <c r="J296" s="1779"/>
      <c r="K296" s="1780"/>
      <c r="L296" s="1781"/>
      <c r="M296" s="1779"/>
      <c r="N296" s="1779"/>
      <c r="O296" s="1779"/>
      <c r="P296" s="1816"/>
      <c r="Q296" s="1779"/>
      <c r="R296" s="1779"/>
      <c r="S296" s="1779"/>
      <c r="T296" s="1779"/>
      <c r="U296" s="1779"/>
      <c r="V296" s="1779"/>
      <c r="W296" s="1779"/>
      <c r="X296" s="1779"/>
      <c r="Y296" s="1779"/>
      <c r="Z296" s="1779"/>
      <c r="AA296" s="1779"/>
      <c r="AB296" s="1779"/>
      <c r="AC296" s="1779"/>
    </row>
    <row r="297" spans="1:29">
      <c r="A297" s="1779"/>
      <c r="B297" s="1779"/>
      <c r="C297" s="1779"/>
      <c r="D297" s="1779"/>
      <c r="E297" s="1779"/>
      <c r="F297" s="1779"/>
      <c r="G297" s="1779"/>
      <c r="H297" s="1779"/>
      <c r="I297" s="1779"/>
      <c r="J297" s="1779"/>
      <c r="K297" s="1780"/>
      <c r="L297" s="1781"/>
      <c r="M297" s="1779"/>
      <c r="N297" s="1779"/>
      <c r="O297" s="1779"/>
      <c r="P297" s="1816"/>
      <c r="Q297" s="1779"/>
      <c r="R297" s="1779"/>
      <c r="S297" s="1779"/>
      <c r="T297" s="1779"/>
      <c r="U297" s="1779"/>
      <c r="V297" s="1779"/>
      <c r="W297" s="1779"/>
      <c r="X297" s="1779"/>
      <c r="Y297" s="1779"/>
      <c r="Z297" s="1779"/>
      <c r="AA297" s="1779"/>
      <c r="AB297" s="1779"/>
      <c r="AC297" s="1779"/>
    </row>
    <row r="298" spans="1:29">
      <c r="A298" s="1779"/>
      <c r="B298" s="1779"/>
      <c r="C298" s="1779"/>
      <c r="D298" s="1779"/>
      <c r="E298" s="1779"/>
      <c r="F298" s="1779"/>
      <c r="G298" s="1779"/>
      <c r="H298" s="1779"/>
      <c r="I298" s="1779"/>
      <c r="J298" s="1779"/>
      <c r="K298" s="1780"/>
      <c r="L298" s="1781"/>
      <c r="M298" s="1779"/>
      <c r="N298" s="1779"/>
      <c r="O298" s="1779"/>
      <c r="P298" s="1816"/>
      <c r="Q298" s="1779"/>
      <c r="R298" s="1779"/>
      <c r="S298" s="1779"/>
      <c r="T298" s="1779"/>
      <c r="U298" s="1779"/>
      <c r="V298" s="1779"/>
      <c r="W298" s="1779"/>
      <c r="X298" s="1779"/>
      <c r="Y298" s="1779"/>
      <c r="Z298" s="1779"/>
      <c r="AA298" s="1779"/>
      <c r="AB298" s="1779"/>
      <c r="AC298" s="1779"/>
    </row>
    <row r="299" spans="1:29">
      <c r="A299" s="1779"/>
      <c r="B299" s="1779"/>
      <c r="C299" s="1779"/>
      <c r="D299" s="1779"/>
      <c r="E299" s="1779"/>
      <c r="F299" s="1779"/>
      <c r="G299" s="1779"/>
      <c r="H299" s="1779"/>
      <c r="I299" s="1779"/>
      <c r="J299" s="1779"/>
      <c r="K299" s="1780"/>
      <c r="L299" s="1781"/>
      <c r="M299" s="1779"/>
      <c r="N299" s="1779"/>
      <c r="O299" s="1779"/>
      <c r="P299" s="1816"/>
      <c r="Q299" s="1779"/>
      <c r="R299" s="1779"/>
      <c r="S299" s="1779"/>
      <c r="T299" s="1779"/>
      <c r="U299" s="1779"/>
      <c r="V299" s="1779"/>
      <c r="W299" s="1779"/>
      <c r="X299" s="1779"/>
      <c r="Y299" s="1779"/>
      <c r="Z299" s="1779"/>
      <c r="AA299" s="1779"/>
      <c r="AB299" s="1779"/>
      <c r="AC299" s="1779"/>
    </row>
    <row r="300" spans="1:29">
      <c r="A300" s="1779"/>
      <c r="B300" s="1779"/>
      <c r="C300" s="1779"/>
      <c r="D300" s="1779"/>
      <c r="E300" s="1779"/>
      <c r="F300" s="1779"/>
      <c r="G300" s="1779"/>
      <c r="H300" s="1779"/>
      <c r="I300" s="1779"/>
      <c r="J300" s="1779"/>
      <c r="K300" s="1780"/>
      <c r="L300" s="1781"/>
      <c r="M300" s="1779"/>
      <c r="N300" s="1779"/>
      <c r="O300" s="1779"/>
      <c r="P300" s="1816"/>
      <c r="Q300" s="1779"/>
      <c r="R300" s="1779"/>
      <c r="S300" s="1779"/>
      <c r="T300" s="1779"/>
      <c r="U300" s="1779"/>
      <c r="V300" s="1779"/>
      <c r="W300" s="1779"/>
      <c r="X300" s="1779"/>
      <c r="Y300" s="1779"/>
      <c r="Z300" s="1779"/>
      <c r="AA300" s="1779"/>
      <c r="AB300" s="1779"/>
      <c r="AC300" s="1779"/>
    </row>
    <row r="301" spans="1:29">
      <c r="A301" s="1779"/>
      <c r="B301" s="1779"/>
      <c r="C301" s="1779"/>
      <c r="D301" s="1779"/>
      <c r="E301" s="1779"/>
      <c r="F301" s="1779"/>
      <c r="G301" s="1779"/>
      <c r="H301" s="1779"/>
      <c r="I301" s="1779"/>
      <c r="J301" s="1779"/>
      <c r="K301" s="1780"/>
      <c r="L301" s="1781"/>
      <c r="M301" s="1779"/>
      <c r="N301" s="1779"/>
      <c r="O301" s="1779"/>
      <c r="P301" s="1816"/>
      <c r="Q301" s="1779"/>
      <c r="R301" s="1779"/>
      <c r="S301" s="1779"/>
      <c r="T301" s="1779"/>
      <c r="U301" s="1779"/>
      <c r="V301" s="1779"/>
      <c r="W301" s="1779"/>
      <c r="X301" s="1779"/>
      <c r="Y301" s="1779"/>
      <c r="Z301" s="1779"/>
      <c r="AA301" s="1779"/>
      <c r="AB301" s="1779"/>
      <c r="AC301" s="1779"/>
    </row>
    <row r="302" spans="1:29">
      <c r="A302" s="1779"/>
      <c r="B302" s="1779"/>
      <c r="C302" s="1779"/>
      <c r="D302" s="1779"/>
      <c r="E302" s="1779"/>
      <c r="F302" s="1779"/>
      <c r="G302" s="1779"/>
      <c r="H302" s="1779"/>
      <c r="I302" s="1779"/>
      <c r="J302" s="1779"/>
      <c r="K302" s="1780"/>
      <c r="L302" s="1781"/>
      <c r="M302" s="1779"/>
      <c r="N302" s="1779"/>
      <c r="O302" s="1779"/>
      <c r="P302" s="1816"/>
      <c r="Q302" s="1779"/>
      <c r="R302" s="1779"/>
      <c r="S302" s="1779"/>
      <c r="T302" s="1779"/>
      <c r="U302" s="1779"/>
      <c r="V302" s="1779"/>
      <c r="W302" s="1779"/>
      <c r="X302" s="1779"/>
      <c r="Y302" s="1779"/>
      <c r="Z302" s="1779"/>
      <c r="AA302" s="1779"/>
      <c r="AB302" s="1779"/>
      <c r="AC302" s="1779"/>
    </row>
    <row r="303" spans="1:29">
      <c r="A303" s="1779"/>
      <c r="B303" s="1779"/>
      <c r="C303" s="1779"/>
      <c r="D303" s="1779"/>
      <c r="E303" s="1779"/>
      <c r="F303" s="1779"/>
      <c r="G303" s="1779"/>
      <c r="H303" s="1779"/>
      <c r="I303" s="1779"/>
      <c r="J303" s="1779"/>
      <c r="K303" s="1780"/>
      <c r="L303" s="1781"/>
      <c r="M303" s="1779"/>
      <c r="N303" s="1779"/>
      <c r="O303" s="1779"/>
      <c r="P303" s="1816"/>
      <c r="Q303" s="1779"/>
      <c r="R303" s="1779"/>
      <c r="S303" s="1779"/>
      <c r="T303" s="1779"/>
      <c r="U303" s="1779"/>
      <c r="V303" s="1779"/>
      <c r="W303" s="1779"/>
      <c r="X303" s="1779"/>
      <c r="Y303" s="1779"/>
      <c r="Z303" s="1779"/>
      <c r="AA303" s="1779"/>
      <c r="AB303" s="1779"/>
      <c r="AC303" s="1779"/>
    </row>
    <row r="304" spans="1:29">
      <c r="A304" s="1779"/>
      <c r="B304" s="1779"/>
      <c r="C304" s="1779"/>
      <c r="D304" s="1779"/>
      <c r="E304" s="1779"/>
      <c r="F304" s="1779"/>
      <c r="G304" s="1779"/>
      <c r="H304" s="1779"/>
      <c r="I304" s="1779"/>
      <c r="J304" s="1779"/>
      <c r="K304" s="1780"/>
      <c r="L304" s="1781"/>
      <c r="M304" s="1779"/>
      <c r="N304" s="1779"/>
      <c r="O304" s="1779"/>
      <c r="P304" s="1816"/>
      <c r="Q304" s="1779"/>
      <c r="R304" s="1779"/>
      <c r="S304" s="1779"/>
      <c r="T304" s="1779"/>
      <c r="U304" s="1779"/>
      <c r="V304" s="1779"/>
      <c r="W304" s="1779"/>
      <c r="X304" s="1779"/>
      <c r="Y304" s="1779"/>
      <c r="Z304" s="1779"/>
      <c r="AA304" s="1779"/>
      <c r="AB304" s="1779"/>
      <c r="AC304" s="1779"/>
    </row>
    <row r="305" spans="1:29">
      <c r="A305" s="1779"/>
      <c r="B305" s="1779"/>
      <c r="C305" s="1779"/>
      <c r="D305" s="1779"/>
      <c r="E305" s="1779"/>
      <c r="F305" s="1779"/>
      <c r="G305" s="1779"/>
      <c r="H305" s="1779"/>
      <c r="I305" s="1779"/>
      <c r="J305" s="1779"/>
      <c r="K305" s="1780"/>
      <c r="L305" s="1781"/>
      <c r="M305" s="1779"/>
      <c r="N305" s="1779"/>
      <c r="O305" s="1779"/>
      <c r="P305" s="1816"/>
      <c r="Q305" s="1779"/>
      <c r="R305" s="1779"/>
      <c r="S305" s="1779"/>
      <c r="T305" s="1779"/>
      <c r="U305" s="1779"/>
      <c r="V305" s="1779"/>
      <c r="W305" s="1779"/>
      <c r="X305" s="1779"/>
      <c r="Y305" s="1779"/>
      <c r="Z305" s="1779"/>
      <c r="AA305" s="1779"/>
      <c r="AB305" s="1779"/>
      <c r="AC305" s="1779"/>
    </row>
    <row r="306" spans="1:29">
      <c r="A306" s="1779"/>
      <c r="B306" s="1779"/>
      <c r="C306" s="1779"/>
      <c r="D306" s="1779"/>
      <c r="E306" s="1779"/>
      <c r="F306" s="1779"/>
      <c r="G306" s="1779"/>
      <c r="H306" s="1779"/>
      <c r="I306" s="1779"/>
      <c r="J306" s="1779"/>
      <c r="K306" s="1780"/>
      <c r="L306" s="1781"/>
      <c r="M306" s="1779"/>
      <c r="N306" s="1779"/>
      <c r="O306" s="1779"/>
      <c r="P306" s="1816"/>
      <c r="Q306" s="1779"/>
      <c r="R306" s="1779"/>
      <c r="S306" s="1779"/>
      <c r="T306" s="1779"/>
      <c r="U306" s="1779"/>
      <c r="V306" s="1779"/>
      <c r="W306" s="1779"/>
      <c r="X306" s="1779"/>
      <c r="Y306" s="1779"/>
      <c r="Z306" s="1779"/>
      <c r="AA306" s="1779"/>
      <c r="AB306" s="1779"/>
      <c r="AC306" s="1779"/>
    </row>
    <row r="307" spans="1:29">
      <c r="A307" s="1779"/>
      <c r="B307" s="1779"/>
      <c r="C307" s="1779"/>
      <c r="D307" s="1779"/>
      <c r="E307" s="1779"/>
      <c r="F307" s="1779"/>
      <c r="G307" s="1779"/>
      <c r="H307" s="1779"/>
      <c r="I307" s="1779"/>
      <c r="J307" s="1779"/>
      <c r="K307" s="1780"/>
      <c r="L307" s="1781"/>
      <c r="M307" s="1779"/>
      <c r="N307" s="1779"/>
      <c r="O307" s="1779"/>
      <c r="P307" s="1816"/>
      <c r="Q307" s="1779"/>
      <c r="R307" s="1779"/>
      <c r="S307" s="1779"/>
      <c r="T307" s="1779"/>
      <c r="U307" s="1779"/>
      <c r="V307" s="1779"/>
      <c r="W307" s="1779"/>
      <c r="X307" s="1779"/>
      <c r="Y307" s="1779"/>
      <c r="Z307" s="1779"/>
      <c r="AA307" s="1779"/>
      <c r="AB307" s="1779"/>
      <c r="AC307" s="1779"/>
    </row>
    <row r="308" spans="1:29">
      <c r="A308" s="1779"/>
      <c r="B308" s="1779"/>
      <c r="C308" s="1779"/>
      <c r="D308" s="1779"/>
      <c r="E308" s="1779"/>
      <c r="F308" s="1779"/>
      <c r="G308" s="1779"/>
      <c r="H308" s="1779"/>
      <c r="I308" s="1779"/>
      <c r="J308" s="1779"/>
      <c r="K308" s="1780"/>
      <c r="L308" s="1781"/>
      <c r="M308" s="1779"/>
      <c r="N308" s="1779"/>
      <c r="O308" s="1779"/>
      <c r="P308" s="1816"/>
      <c r="Q308" s="1779"/>
      <c r="R308" s="1779"/>
      <c r="S308" s="1779"/>
      <c r="T308" s="1779"/>
      <c r="U308" s="1779"/>
      <c r="V308" s="1779"/>
      <c r="W308" s="1779"/>
      <c r="X308" s="1779"/>
      <c r="Y308" s="1779"/>
      <c r="Z308" s="1779"/>
      <c r="AA308" s="1779"/>
      <c r="AB308" s="1779"/>
      <c r="AC308" s="1779"/>
    </row>
    <row r="309" spans="1:29">
      <c r="A309" s="1779"/>
      <c r="B309" s="1779"/>
      <c r="C309" s="1779"/>
      <c r="D309" s="1779"/>
      <c r="E309" s="1779"/>
      <c r="F309" s="1779"/>
      <c r="G309" s="1779"/>
      <c r="H309" s="1779"/>
      <c r="I309" s="1779"/>
      <c r="J309" s="1779"/>
      <c r="K309" s="1780"/>
      <c r="L309" s="1781"/>
      <c r="M309" s="1779"/>
      <c r="N309" s="1779"/>
      <c r="O309" s="1779"/>
      <c r="P309" s="1816"/>
      <c r="Q309" s="1779"/>
      <c r="R309" s="1779"/>
      <c r="S309" s="1779"/>
      <c r="T309" s="1779"/>
      <c r="U309" s="1779"/>
      <c r="V309" s="1779"/>
      <c r="W309" s="1779"/>
      <c r="X309" s="1779"/>
      <c r="Y309" s="1779"/>
      <c r="Z309" s="1779"/>
      <c r="AA309" s="1779"/>
      <c r="AB309" s="1779"/>
      <c r="AC309" s="1779"/>
    </row>
    <row r="310" spans="1:29">
      <c r="A310" s="1779"/>
      <c r="B310" s="1779"/>
      <c r="C310" s="1779"/>
      <c r="D310" s="1779"/>
      <c r="E310" s="1779"/>
      <c r="F310" s="1779"/>
      <c r="G310" s="1779"/>
      <c r="H310" s="1779"/>
      <c r="I310" s="1779"/>
      <c r="J310" s="1779"/>
      <c r="K310" s="1780"/>
      <c r="L310" s="1781"/>
      <c r="M310" s="1779"/>
      <c r="N310" s="1779"/>
      <c r="O310" s="1779"/>
      <c r="P310" s="1816"/>
      <c r="Q310" s="1779"/>
      <c r="R310" s="1779"/>
      <c r="S310" s="1779"/>
      <c r="T310" s="1779"/>
      <c r="U310" s="1779"/>
      <c r="V310" s="1779"/>
      <c r="W310" s="1779"/>
      <c r="X310" s="1779"/>
      <c r="Y310" s="1779"/>
      <c r="Z310" s="1779"/>
      <c r="AA310" s="1779"/>
      <c r="AB310" s="1779"/>
      <c r="AC310" s="1779"/>
    </row>
    <row r="311" spans="1:29">
      <c r="A311" s="1779"/>
      <c r="B311" s="1779"/>
      <c r="C311" s="1779"/>
      <c r="D311" s="1779"/>
      <c r="E311" s="1779"/>
      <c r="F311" s="1779"/>
      <c r="G311" s="1779"/>
      <c r="H311" s="1779"/>
      <c r="I311" s="1779"/>
      <c r="J311" s="1779"/>
      <c r="K311" s="1780"/>
      <c r="L311" s="1781"/>
      <c r="M311" s="1779"/>
      <c r="N311" s="1779"/>
      <c r="O311" s="1779"/>
      <c r="P311" s="1816"/>
      <c r="Q311" s="1779"/>
      <c r="R311" s="1779"/>
      <c r="S311" s="1779"/>
      <c r="T311" s="1779"/>
      <c r="U311" s="1779"/>
      <c r="V311" s="1779"/>
      <c r="W311" s="1779"/>
      <c r="X311" s="1779"/>
      <c r="Y311" s="1779"/>
      <c r="Z311" s="1779"/>
      <c r="AA311" s="1779"/>
      <c r="AB311" s="1779"/>
      <c r="AC311" s="1779"/>
    </row>
    <row r="312" spans="1:29">
      <c r="A312" s="1779"/>
      <c r="B312" s="1779"/>
      <c r="C312" s="1779"/>
      <c r="D312" s="1779"/>
      <c r="E312" s="1779"/>
      <c r="F312" s="1779"/>
      <c r="G312" s="1779"/>
      <c r="H312" s="1779"/>
      <c r="I312" s="1779"/>
      <c r="J312" s="1779"/>
      <c r="K312" s="1780"/>
      <c r="L312" s="1781"/>
      <c r="M312" s="1779"/>
      <c r="N312" s="1779"/>
      <c r="O312" s="1779"/>
      <c r="P312" s="1816"/>
      <c r="Q312" s="1779"/>
      <c r="R312" s="1779"/>
      <c r="S312" s="1779"/>
      <c r="T312" s="1779"/>
      <c r="U312" s="1779"/>
      <c r="V312" s="1779"/>
      <c r="W312" s="1779"/>
      <c r="X312" s="1779"/>
      <c r="Y312" s="1779"/>
      <c r="Z312" s="1779"/>
      <c r="AA312" s="1779"/>
      <c r="AB312" s="1779"/>
      <c r="AC312" s="1779"/>
    </row>
    <row r="313" spans="1:29">
      <c r="A313" s="1779"/>
      <c r="B313" s="1779"/>
      <c r="C313" s="1779"/>
      <c r="D313" s="1779"/>
      <c r="E313" s="1779"/>
      <c r="F313" s="1779"/>
      <c r="G313" s="1779"/>
      <c r="H313" s="1779"/>
      <c r="I313" s="1779"/>
      <c r="J313" s="1779"/>
      <c r="K313" s="1780"/>
      <c r="L313" s="1781"/>
      <c r="M313" s="1779"/>
      <c r="N313" s="1779"/>
      <c r="O313" s="1779"/>
      <c r="P313" s="1816"/>
      <c r="Q313" s="1779"/>
      <c r="R313" s="1779"/>
      <c r="S313" s="1779"/>
      <c r="T313" s="1779"/>
      <c r="U313" s="1779"/>
      <c r="V313" s="1779"/>
      <c r="W313" s="1779"/>
      <c r="X313" s="1779"/>
      <c r="Y313" s="1779"/>
      <c r="Z313" s="1779"/>
      <c r="AA313" s="1779"/>
      <c r="AB313" s="1779"/>
      <c r="AC313" s="1779"/>
    </row>
    <row r="314" spans="1:29">
      <c r="A314" s="1779"/>
      <c r="B314" s="1779"/>
      <c r="C314" s="1779"/>
      <c r="D314" s="1779"/>
      <c r="E314" s="1779"/>
      <c r="F314" s="1779"/>
      <c r="G314" s="1779"/>
      <c r="H314" s="1779"/>
      <c r="I314" s="1779"/>
      <c r="J314" s="1779"/>
      <c r="K314" s="1780"/>
      <c r="L314" s="1781"/>
      <c r="M314" s="1779"/>
      <c r="N314" s="1779"/>
      <c r="O314" s="1779"/>
      <c r="P314" s="1816"/>
      <c r="Q314" s="1779"/>
      <c r="R314" s="1779"/>
      <c r="S314" s="1779"/>
      <c r="T314" s="1779"/>
      <c r="U314" s="1779"/>
      <c r="V314" s="1779"/>
      <c r="W314" s="1779"/>
      <c r="X314" s="1779"/>
      <c r="Y314" s="1779"/>
      <c r="Z314" s="1779"/>
      <c r="AA314" s="1779"/>
      <c r="AB314" s="1779"/>
      <c r="AC314" s="1779"/>
    </row>
    <row r="315" spans="1:29">
      <c r="A315" s="1779"/>
      <c r="B315" s="1779"/>
      <c r="C315" s="1779"/>
      <c r="D315" s="1779"/>
      <c r="E315" s="1779"/>
      <c r="F315" s="1779"/>
      <c r="G315" s="1779"/>
      <c r="H315" s="1779"/>
      <c r="I315" s="1779"/>
      <c r="J315" s="1779"/>
      <c r="K315" s="1780"/>
      <c r="L315" s="1781"/>
      <c r="M315" s="1779"/>
      <c r="N315" s="1779"/>
      <c r="O315" s="1779"/>
      <c r="P315" s="1816"/>
      <c r="Q315" s="1779"/>
      <c r="R315" s="1779"/>
      <c r="S315" s="1779"/>
      <c r="T315" s="1779"/>
      <c r="U315" s="1779"/>
      <c r="V315" s="1779"/>
      <c r="W315" s="1779"/>
      <c r="X315" s="1779"/>
      <c r="Y315" s="1779"/>
      <c r="Z315" s="1779"/>
      <c r="AA315" s="1779"/>
      <c r="AB315" s="1779"/>
      <c r="AC315" s="1779"/>
    </row>
    <row r="316" spans="1:29">
      <c r="A316" s="1779"/>
      <c r="B316" s="1779"/>
      <c r="C316" s="1779"/>
      <c r="D316" s="1779"/>
      <c r="E316" s="1779"/>
      <c r="F316" s="1779"/>
      <c r="G316" s="1779"/>
      <c r="H316" s="1779"/>
      <c r="I316" s="1779"/>
      <c r="J316" s="1779"/>
      <c r="K316" s="1780"/>
      <c r="L316" s="1781"/>
      <c r="M316" s="1779"/>
      <c r="N316" s="1779"/>
      <c r="O316" s="1779"/>
      <c r="P316" s="1816"/>
      <c r="Q316" s="1779"/>
      <c r="R316" s="1779"/>
      <c r="S316" s="1779"/>
      <c r="T316" s="1779"/>
      <c r="U316" s="1779"/>
      <c r="V316" s="1779"/>
      <c r="W316" s="1779"/>
      <c r="X316" s="1779"/>
      <c r="Y316" s="1779"/>
      <c r="Z316" s="1779"/>
      <c r="AA316" s="1779"/>
      <c r="AB316" s="1779"/>
      <c r="AC316" s="1779"/>
    </row>
    <row r="317" spans="1:29">
      <c r="A317" s="1779"/>
      <c r="B317" s="1779"/>
      <c r="C317" s="1779"/>
      <c r="D317" s="1779"/>
      <c r="E317" s="1779"/>
      <c r="F317" s="1779"/>
      <c r="G317" s="1779"/>
      <c r="H317" s="1779"/>
      <c r="I317" s="1779"/>
      <c r="J317" s="1779"/>
      <c r="K317" s="1780"/>
      <c r="L317" s="1781"/>
      <c r="M317" s="1779"/>
      <c r="N317" s="1779"/>
      <c r="O317" s="1779"/>
      <c r="P317" s="1816"/>
      <c r="Q317" s="1779"/>
      <c r="R317" s="1779"/>
      <c r="S317" s="1779"/>
      <c r="T317" s="1779"/>
      <c r="U317" s="1779"/>
      <c r="V317" s="1779"/>
      <c r="W317" s="1779"/>
      <c r="X317" s="1779"/>
      <c r="Y317" s="1779"/>
      <c r="Z317" s="1779"/>
      <c r="AA317" s="1779"/>
      <c r="AB317" s="1779"/>
      <c r="AC317" s="1779"/>
    </row>
    <row r="318" spans="1:29">
      <c r="A318" s="1779"/>
      <c r="B318" s="1779"/>
      <c r="C318" s="1779"/>
      <c r="D318" s="1779"/>
      <c r="E318" s="1779"/>
      <c r="F318" s="1779"/>
      <c r="G318" s="1779"/>
      <c r="H318" s="1779"/>
      <c r="I318" s="1779"/>
      <c r="J318" s="1779"/>
      <c r="K318" s="1780"/>
      <c r="L318" s="1781"/>
      <c r="M318" s="1779"/>
      <c r="N318" s="1779"/>
      <c r="O318" s="1779"/>
      <c r="P318" s="1816"/>
      <c r="Q318" s="1779"/>
      <c r="R318" s="1779"/>
      <c r="S318" s="1779"/>
      <c r="T318" s="1779"/>
      <c r="U318" s="1779"/>
      <c r="V318" s="1779"/>
      <c r="W318" s="1779"/>
      <c r="X318" s="1779"/>
      <c r="Y318" s="1779"/>
      <c r="Z318" s="1779"/>
      <c r="AA318" s="1779"/>
      <c r="AB318" s="1779"/>
      <c r="AC318" s="1779"/>
    </row>
    <row r="319" spans="1:29">
      <c r="A319" s="1779"/>
      <c r="B319" s="1779"/>
      <c r="C319" s="1779"/>
      <c r="D319" s="1779"/>
      <c r="E319" s="1779"/>
      <c r="F319" s="1779"/>
      <c r="G319" s="1779"/>
      <c r="H319" s="1779"/>
      <c r="I319" s="1779"/>
      <c r="J319" s="1779"/>
      <c r="K319" s="1780"/>
      <c r="L319" s="1781"/>
      <c r="M319" s="1779"/>
      <c r="N319" s="1779"/>
      <c r="O319" s="1779"/>
      <c r="P319" s="1816"/>
      <c r="Q319" s="1779"/>
      <c r="R319" s="1779"/>
      <c r="S319" s="1779"/>
      <c r="T319" s="1779"/>
      <c r="U319" s="1779"/>
      <c r="V319" s="1779"/>
      <c r="W319" s="1779"/>
      <c r="X319" s="1779"/>
      <c r="Y319" s="1779"/>
      <c r="Z319" s="1779"/>
      <c r="AA319" s="1779"/>
      <c r="AB319" s="1779"/>
      <c r="AC319" s="1779"/>
    </row>
    <row r="320" spans="1:29">
      <c r="A320" s="1779"/>
      <c r="B320" s="1779"/>
      <c r="C320" s="1779"/>
      <c r="D320" s="1779"/>
      <c r="E320" s="1779"/>
      <c r="F320" s="1779"/>
      <c r="G320" s="1779"/>
      <c r="H320" s="1779"/>
      <c r="I320" s="1779"/>
      <c r="J320" s="1779"/>
      <c r="K320" s="1780"/>
      <c r="L320" s="1781"/>
      <c r="M320" s="1779"/>
      <c r="N320" s="1779"/>
      <c r="O320" s="1779"/>
      <c r="P320" s="1816"/>
      <c r="Q320" s="1779"/>
      <c r="R320" s="1779"/>
      <c r="S320" s="1779"/>
      <c r="T320" s="1779"/>
      <c r="U320" s="1779"/>
      <c r="V320" s="1779"/>
      <c r="W320" s="1779"/>
      <c r="X320" s="1779"/>
      <c r="Y320" s="1779"/>
      <c r="Z320" s="1779"/>
      <c r="AA320" s="1779"/>
      <c r="AB320" s="1779"/>
      <c r="AC320" s="1779"/>
    </row>
    <row r="321" spans="1:29">
      <c r="A321" s="1779"/>
      <c r="B321" s="1779"/>
      <c r="C321" s="1779"/>
      <c r="D321" s="1779"/>
      <c r="E321" s="1779"/>
      <c r="F321" s="1779"/>
      <c r="G321" s="1779"/>
      <c r="H321" s="1779"/>
      <c r="I321" s="1779"/>
      <c r="J321" s="1779"/>
      <c r="K321" s="1780"/>
      <c r="L321" s="1781"/>
      <c r="M321" s="1779"/>
      <c r="N321" s="1779"/>
      <c r="O321" s="1779"/>
      <c r="P321" s="1816"/>
      <c r="Q321" s="1779"/>
      <c r="R321" s="1779"/>
      <c r="S321" s="1779"/>
      <c r="T321" s="1779"/>
      <c r="U321" s="1779"/>
      <c r="V321" s="1779"/>
      <c r="W321" s="1779"/>
      <c r="X321" s="1779"/>
      <c r="Y321" s="1779"/>
      <c r="Z321" s="1779"/>
      <c r="AA321" s="1779"/>
      <c r="AB321" s="1779"/>
      <c r="AC321" s="1779"/>
    </row>
    <row r="322" spans="1:29">
      <c r="A322" s="1779"/>
      <c r="B322" s="1779"/>
      <c r="C322" s="1779"/>
      <c r="D322" s="1779"/>
      <c r="E322" s="1779"/>
      <c r="F322" s="1779"/>
      <c r="G322" s="1779"/>
      <c r="H322" s="1779"/>
      <c r="I322" s="1779"/>
      <c r="J322" s="1779"/>
      <c r="K322" s="1780"/>
      <c r="L322" s="1781"/>
      <c r="M322" s="1779"/>
      <c r="N322" s="1779"/>
      <c r="O322" s="1779"/>
      <c r="P322" s="1816"/>
      <c r="Q322" s="1779"/>
      <c r="R322" s="1779"/>
      <c r="S322" s="1779"/>
      <c r="T322" s="1779"/>
      <c r="U322" s="1779"/>
      <c r="V322" s="1779"/>
      <c r="W322" s="1779"/>
      <c r="X322" s="1779"/>
      <c r="Y322" s="1779"/>
      <c r="Z322" s="1779"/>
      <c r="AA322" s="1779"/>
      <c r="AB322" s="1779"/>
      <c r="AC322" s="1779"/>
    </row>
    <row r="323" spans="1:29">
      <c r="A323" s="1779"/>
      <c r="B323" s="1779"/>
      <c r="C323" s="1779"/>
      <c r="D323" s="1779"/>
      <c r="E323" s="1779"/>
      <c r="F323" s="1779"/>
      <c r="G323" s="1779"/>
      <c r="H323" s="1779"/>
      <c r="I323" s="1779"/>
      <c r="J323" s="1779"/>
      <c r="K323" s="1780"/>
      <c r="L323" s="1781"/>
      <c r="M323" s="1779"/>
      <c r="N323" s="1779"/>
      <c r="O323" s="1779"/>
      <c r="P323" s="1816"/>
      <c r="Q323" s="1779"/>
      <c r="R323" s="1779"/>
      <c r="S323" s="1779"/>
      <c r="T323" s="1779"/>
      <c r="U323" s="1779"/>
      <c r="V323" s="1779"/>
      <c r="W323" s="1779"/>
      <c r="X323" s="1779"/>
      <c r="Y323" s="1779"/>
      <c r="Z323" s="1779"/>
      <c r="AA323" s="1779"/>
      <c r="AB323" s="1779"/>
      <c r="AC323" s="1779"/>
    </row>
    <row r="324" spans="1:29">
      <c r="A324" s="1779"/>
      <c r="B324" s="1779"/>
      <c r="C324" s="1779"/>
      <c r="D324" s="1779"/>
      <c r="E324" s="1779"/>
      <c r="F324" s="1779"/>
      <c r="G324" s="1779"/>
      <c r="H324" s="1779"/>
      <c r="I324" s="1779"/>
      <c r="J324" s="1779"/>
      <c r="K324" s="1780"/>
      <c r="L324" s="1781"/>
      <c r="M324" s="1779"/>
      <c r="N324" s="1779"/>
      <c r="O324" s="1779"/>
      <c r="P324" s="1816"/>
      <c r="Q324" s="1779"/>
      <c r="R324" s="1779"/>
      <c r="S324" s="1779"/>
      <c r="T324" s="1779"/>
      <c r="U324" s="1779"/>
      <c r="V324" s="1779"/>
      <c r="W324" s="1779"/>
      <c r="X324" s="1779"/>
      <c r="Y324" s="1779"/>
      <c r="Z324" s="1779"/>
      <c r="AA324" s="1779"/>
      <c r="AB324" s="1779"/>
      <c r="AC324" s="1779"/>
    </row>
    <row r="325" spans="1:29">
      <c r="A325" s="1779"/>
      <c r="B325" s="1779"/>
      <c r="C325" s="1779"/>
      <c r="D325" s="1779"/>
      <c r="E325" s="1779"/>
      <c r="F325" s="1779"/>
      <c r="G325" s="1779"/>
      <c r="H325" s="1779"/>
      <c r="I325" s="1779"/>
      <c r="J325" s="1779"/>
      <c r="K325" s="1780"/>
      <c r="L325" s="1781"/>
      <c r="M325" s="1779"/>
      <c r="N325" s="1779"/>
      <c r="O325" s="1779"/>
      <c r="P325" s="1816"/>
      <c r="Q325" s="1779"/>
      <c r="R325" s="1779"/>
      <c r="S325" s="1779"/>
      <c r="T325" s="1779"/>
      <c r="U325" s="1779"/>
      <c r="V325" s="1779"/>
      <c r="W325" s="1779"/>
      <c r="X325" s="1779"/>
      <c r="Y325" s="1779"/>
      <c r="Z325" s="1779"/>
      <c r="AA325" s="1779"/>
      <c r="AB325" s="1779"/>
      <c r="AC325" s="1779"/>
    </row>
    <row r="326" spans="1:29">
      <c r="A326" s="1779"/>
      <c r="B326" s="1779"/>
      <c r="C326" s="1779"/>
      <c r="D326" s="1779"/>
      <c r="E326" s="1779"/>
      <c r="F326" s="1779"/>
      <c r="G326" s="1779"/>
      <c r="H326" s="1779"/>
      <c r="I326" s="1779"/>
      <c r="J326" s="1779"/>
      <c r="K326" s="1780"/>
      <c r="L326" s="1781"/>
      <c r="M326" s="1779"/>
      <c r="N326" s="1779"/>
      <c r="O326" s="1779"/>
      <c r="P326" s="1816"/>
      <c r="Q326" s="1779"/>
      <c r="R326" s="1779"/>
      <c r="S326" s="1779"/>
      <c r="T326" s="1779"/>
      <c r="U326" s="1779"/>
      <c r="V326" s="1779"/>
      <c r="W326" s="1779"/>
      <c r="X326" s="1779"/>
      <c r="Y326" s="1779"/>
      <c r="Z326" s="1779"/>
      <c r="AA326" s="1779"/>
      <c r="AB326" s="1779"/>
      <c r="AC326" s="1779"/>
    </row>
    <row r="327" spans="1:29">
      <c r="A327" s="1779"/>
      <c r="B327" s="1779"/>
      <c r="C327" s="1779"/>
      <c r="D327" s="1779"/>
      <c r="E327" s="1779"/>
      <c r="F327" s="1779"/>
      <c r="G327" s="1779"/>
      <c r="H327" s="1779"/>
      <c r="I327" s="1779"/>
      <c r="J327" s="1779"/>
      <c r="K327" s="1780"/>
      <c r="L327" s="1781"/>
      <c r="M327" s="1779"/>
      <c r="N327" s="1779"/>
      <c r="O327" s="1779"/>
      <c r="P327" s="1816"/>
      <c r="Q327" s="1779"/>
      <c r="R327" s="1779"/>
      <c r="S327" s="1779"/>
      <c r="T327" s="1779"/>
      <c r="U327" s="1779"/>
      <c r="V327" s="1779"/>
      <c r="W327" s="1779"/>
      <c r="X327" s="1779"/>
      <c r="Y327" s="1779"/>
      <c r="Z327" s="1779"/>
      <c r="AA327" s="1779"/>
      <c r="AB327" s="1779"/>
      <c r="AC327" s="1779"/>
    </row>
    <row r="328" spans="1:29">
      <c r="A328" s="1779"/>
      <c r="B328" s="1779"/>
      <c r="C328" s="1779"/>
      <c r="D328" s="1779"/>
      <c r="E328" s="1779"/>
      <c r="F328" s="1779"/>
      <c r="G328" s="1779"/>
      <c r="H328" s="1779"/>
      <c r="I328" s="1779"/>
      <c r="J328" s="1779"/>
      <c r="K328" s="1780"/>
      <c r="L328" s="1781"/>
      <c r="M328" s="1779"/>
      <c r="N328" s="1779"/>
      <c r="O328" s="1779"/>
      <c r="P328" s="1816"/>
      <c r="Q328" s="1779"/>
      <c r="R328" s="1779"/>
      <c r="S328" s="1779"/>
      <c r="T328" s="1779"/>
      <c r="U328" s="1779"/>
      <c r="V328" s="1779"/>
      <c r="W328" s="1779"/>
      <c r="X328" s="1779"/>
      <c r="Y328" s="1779"/>
      <c r="Z328" s="1779"/>
      <c r="AA328" s="1779"/>
      <c r="AB328" s="1779"/>
      <c r="AC328" s="1779"/>
    </row>
    <row r="329" spans="1:29">
      <c r="A329" s="1779"/>
      <c r="B329" s="1779"/>
      <c r="C329" s="1779"/>
      <c r="D329" s="1779"/>
      <c r="E329" s="1779"/>
      <c r="F329" s="1779"/>
      <c r="G329" s="1779"/>
      <c r="H329" s="1779"/>
      <c r="I329" s="1779"/>
      <c r="J329" s="1779"/>
      <c r="K329" s="1780"/>
      <c r="L329" s="1781"/>
      <c r="M329" s="1779"/>
      <c r="N329" s="1779"/>
      <c r="O329" s="1779"/>
      <c r="P329" s="1816"/>
      <c r="Q329" s="1779"/>
      <c r="R329" s="1779"/>
      <c r="S329" s="1779"/>
      <c r="T329" s="1779"/>
      <c r="U329" s="1779"/>
      <c r="V329" s="1779"/>
      <c r="W329" s="1779"/>
      <c r="X329" s="1779"/>
      <c r="Y329" s="1779"/>
      <c r="Z329" s="1779"/>
      <c r="AA329" s="1779"/>
      <c r="AB329" s="1779"/>
      <c r="AC329" s="1779"/>
    </row>
    <row r="330" spans="1:29">
      <c r="A330" s="1779"/>
      <c r="B330" s="1779"/>
      <c r="C330" s="1779"/>
      <c r="D330" s="1779"/>
      <c r="E330" s="1779"/>
      <c r="F330" s="1779"/>
      <c r="G330" s="1779"/>
      <c r="H330" s="1779"/>
      <c r="I330" s="1779"/>
      <c r="J330" s="1779"/>
      <c r="K330" s="1780"/>
      <c r="L330" s="1781"/>
      <c r="M330" s="1779"/>
      <c r="N330" s="1779"/>
      <c r="O330" s="1779"/>
      <c r="P330" s="1816"/>
      <c r="Q330" s="1779"/>
      <c r="R330" s="1779"/>
      <c r="S330" s="1779"/>
      <c r="T330" s="1779"/>
      <c r="U330" s="1779"/>
      <c r="V330" s="1779"/>
      <c r="W330" s="1779"/>
      <c r="X330" s="1779"/>
      <c r="Y330" s="1779"/>
      <c r="Z330" s="1779"/>
      <c r="AA330" s="1779"/>
      <c r="AB330" s="1779"/>
      <c r="AC330" s="1779"/>
    </row>
    <row r="331" spans="1:29">
      <c r="A331" s="1779"/>
      <c r="B331" s="1779"/>
      <c r="C331" s="1779"/>
      <c r="D331" s="1779"/>
      <c r="E331" s="1779"/>
      <c r="F331" s="1779"/>
      <c r="G331" s="1779"/>
      <c r="H331" s="1779"/>
      <c r="I331" s="1779"/>
      <c r="J331" s="1779"/>
      <c r="K331" s="1780"/>
      <c r="L331" s="1781"/>
      <c r="M331" s="1779"/>
      <c r="N331" s="1779"/>
      <c r="O331" s="1779"/>
      <c r="P331" s="1816"/>
      <c r="Q331" s="1779"/>
      <c r="R331" s="1779"/>
      <c r="S331" s="1779"/>
      <c r="T331" s="1779"/>
      <c r="U331" s="1779"/>
      <c r="V331" s="1779"/>
      <c r="W331" s="1779"/>
      <c r="X331" s="1779"/>
      <c r="Y331" s="1779"/>
      <c r="Z331" s="1779"/>
      <c r="AA331" s="1779"/>
      <c r="AB331" s="1779"/>
      <c r="AC331" s="1779"/>
    </row>
    <row r="332" spans="1:29">
      <c r="A332" s="1779"/>
      <c r="B332" s="1779"/>
      <c r="C332" s="1779"/>
      <c r="D332" s="1779"/>
      <c r="E332" s="1779"/>
      <c r="F332" s="1779"/>
      <c r="G332" s="1779"/>
      <c r="H332" s="1779"/>
      <c r="I332" s="1779"/>
      <c r="J332" s="1779"/>
      <c r="K332" s="1780"/>
      <c r="L332" s="1781"/>
      <c r="M332" s="1779"/>
      <c r="N332" s="1779"/>
      <c r="O332" s="1779"/>
      <c r="P332" s="1816"/>
      <c r="Q332" s="1779"/>
      <c r="R332" s="1779"/>
      <c r="S332" s="1779"/>
      <c r="T332" s="1779"/>
      <c r="U332" s="1779"/>
      <c r="V332" s="1779"/>
      <c r="W332" s="1779"/>
      <c r="X332" s="1779"/>
      <c r="Y332" s="1779"/>
      <c r="Z332" s="1779"/>
      <c r="AA332" s="1779"/>
      <c r="AB332" s="1779"/>
      <c r="AC332" s="1779"/>
    </row>
    <row r="333" spans="1:29">
      <c r="A333" s="1779"/>
      <c r="B333" s="1779"/>
      <c r="C333" s="1779"/>
      <c r="D333" s="1779"/>
      <c r="E333" s="1779"/>
      <c r="F333" s="1779"/>
      <c r="G333" s="1779"/>
      <c r="H333" s="1779"/>
      <c r="I333" s="1779"/>
      <c r="J333" s="1779"/>
      <c r="K333" s="1780"/>
      <c r="L333" s="1781"/>
      <c r="M333" s="1779"/>
      <c r="N333" s="1779"/>
      <c r="O333" s="1779"/>
      <c r="P333" s="1816"/>
      <c r="Q333" s="1779"/>
      <c r="R333" s="1779"/>
      <c r="S333" s="1779"/>
      <c r="T333" s="1779"/>
      <c r="U333" s="1779"/>
      <c r="V333" s="1779"/>
      <c r="W333" s="1779"/>
      <c r="X333" s="1779"/>
      <c r="Y333" s="1779"/>
      <c r="Z333" s="1779"/>
      <c r="AA333" s="1779"/>
      <c r="AB333" s="1779"/>
      <c r="AC333" s="1779"/>
    </row>
    <row r="334" spans="1:29">
      <c r="A334" s="1779"/>
      <c r="B334" s="1779"/>
      <c r="C334" s="1779"/>
      <c r="D334" s="1779"/>
      <c r="E334" s="1779"/>
      <c r="F334" s="1779"/>
      <c r="G334" s="1779"/>
      <c r="H334" s="1779"/>
      <c r="I334" s="1779"/>
      <c r="J334" s="1779"/>
      <c r="K334" s="1780"/>
      <c r="L334" s="1781"/>
      <c r="M334" s="1779"/>
      <c r="N334" s="1779"/>
      <c r="O334" s="1779"/>
      <c r="P334" s="1816"/>
      <c r="Q334" s="1779"/>
      <c r="R334" s="1779"/>
      <c r="S334" s="1779"/>
      <c r="T334" s="1779"/>
      <c r="U334" s="1779"/>
      <c r="V334" s="1779"/>
      <c r="W334" s="1779"/>
      <c r="X334" s="1779"/>
      <c r="Y334" s="1779"/>
      <c r="Z334" s="1779"/>
      <c r="AA334" s="1779"/>
      <c r="AB334" s="1779"/>
      <c r="AC334" s="1779"/>
    </row>
    <row r="335" spans="1:29">
      <c r="A335" s="1779"/>
      <c r="B335" s="1779"/>
      <c r="C335" s="1779"/>
      <c r="D335" s="1779"/>
      <c r="E335" s="1779"/>
      <c r="F335" s="1779"/>
      <c r="G335" s="1779"/>
      <c r="H335" s="1779"/>
      <c r="I335" s="1779"/>
      <c r="J335" s="1779"/>
      <c r="K335" s="1780"/>
      <c r="L335" s="1781"/>
      <c r="M335" s="1779"/>
      <c r="N335" s="1779"/>
      <c r="O335" s="1779"/>
      <c r="P335" s="1816"/>
      <c r="Q335" s="1779"/>
      <c r="R335" s="1779"/>
      <c r="S335" s="1779"/>
      <c r="T335" s="1779"/>
      <c r="U335" s="1779"/>
      <c r="V335" s="1779"/>
      <c r="W335" s="1779"/>
      <c r="X335" s="1779"/>
      <c r="Y335" s="1779"/>
      <c r="Z335" s="1779"/>
      <c r="AA335" s="1779"/>
      <c r="AB335" s="1779"/>
      <c r="AC335" s="1779"/>
    </row>
    <row r="336" spans="1:29">
      <c r="A336" s="1779"/>
      <c r="B336" s="1779"/>
      <c r="C336" s="1779"/>
      <c r="D336" s="1779"/>
      <c r="E336" s="1779"/>
      <c r="F336" s="1779"/>
      <c r="G336" s="1779"/>
      <c r="H336" s="1779"/>
      <c r="I336" s="1779"/>
      <c r="J336" s="1779"/>
      <c r="K336" s="1780"/>
      <c r="L336" s="1781"/>
      <c r="M336" s="1779"/>
      <c r="N336" s="1779"/>
      <c r="O336" s="1779"/>
      <c r="P336" s="1816"/>
      <c r="Q336" s="1779"/>
      <c r="R336" s="1779"/>
      <c r="S336" s="1779"/>
      <c r="T336" s="1779"/>
      <c r="U336" s="1779"/>
      <c r="V336" s="1779"/>
      <c r="W336" s="1779"/>
      <c r="X336" s="1779"/>
      <c r="Y336" s="1779"/>
      <c r="Z336" s="1779"/>
      <c r="AA336" s="1779"/>
      <c r="AB336" s="1779"/>
      <c r="AC336" s="1779"/>
    </row>
    <row r="337" spans="1:29">
      <c r="A337" s="1779"/>
      <c r="B337" s="1779"/>
      <c r="C337" s="1779"/>
      <c r="D337" s="1779"/>
      <c r="E337" s="1779"/>
      <c r="F337" s="1779"/>
      <c r="G337" s="1779"/>
      <c r="H337" s="1779"/>
      <c r="I337" s="1779"/>
      <c r="J337" s="1779"/>
      <c r="K337" s="1780"/>
      <c r="L337" s="1781"/>
      <c r="M337" s="1779"/>
      <c r="N337" s="1779"/>
      <c r="O337" s="1779"/>
      <c r="P337" s="1816"/>
      <c r="Q337" s="1779"/>
      <c r="R337" s="1779"/>
      <c r="S337" s="1779"/>
      <c r="T337" s="1779"/>
      <c r="U337" s="1779"/>
      <c r="V337" s="1779"/>
      <c r="W337" s="1779"/>
      <c r="X337" s="1779"/>
      <c r="Y337" s="1779"/>
      <c r="Z337" s="1779"/>
      <c r="AA337" s="1779"/>
      <c r="AB337" s="1779"/>
      <c r="AC337" s="1779"/>
    </row>
    <row r="338" spans="1:29">
      <c r="A338" s="1779"/>
      <c r="B338" s="1779"/>
      <c r="C338" s="1779"/>
      <c r="D338" s="1779"/>
      <c r="E338" s="1779"/>
      <c r="F338" s="1779"/>
      <c r="G338" s="1779"/>
      <c r="H338" s="1779"/>
      <c r="I338" s="1779"/>
      <c r="J338" s="1779"/>
      <c r="K338" s="1780"/>
      <c r="L338" s="1781"/>
      <c r="M338" s="1779"/>
      <c r="N338" s="1779"/>
      <c r="O338" s="1779"/>
      <c r="P338" s="1816"/>
      <c r="Q338" s="1779"/>
      <c r="R338" s="1779"/>
      <c r="S338" s="1779"/>
      <c r="T338" s="1779"/>
      <c r="U338" s="1779"/>
      <c r="V338" s="1779"/>
      <c r="W338" s="1779"/>
      <c r="X338" s="1779"/>
      <c r="Y338" s="1779"/>
      <c r="Z338" s="1779"/>
      <c r="AA338" s="1779"/>
      <c r="AB338" s="1779"/>
      <c r="AC338" s="1779"/>
    </row>
    <row r="339" spans="1:29">
      <c r="A339" s="1779"/>
      <c r="B339" s="1779"/>
      <c r="C339" s="1779"/>
      <c r="D339" s="1779"/>
      <c r="E339" s="1779"/>
      <c r="F339" s="1779"/>
      <c r="G339" s="1779"/>
      <c r="H339" s="1779"/>
      <c r="I339" s="1779"/>
      <c r="J339" s="1779"/>
      <c r="K339" s="1780"/>
      <c r="L339" s="1781"/>
      <c r="M339" s="1779"/>
      <c r="N339" s="1779"/>
      <c r="O339" s="1779"/>
      <c r="P339" s="1816"/>
      <c r="Q339" s="1779"/>
      <c r="R339" s="1779"/>
      <c r="S339" s="1779"/>
      <c r="T339" s="1779"/>
      <c r="U339" s="1779"/>
      <c r="V339" s="1779"/>
      <c r="W339" s="1779"/>
      <c r="X339" s="1779"/>
      <c r="Y339" s="1779"/>
      <c r="Z339" s="1779"/>
      <c r="AA339" s="1779"/>
      <c r="AB339" s="1779"/>
      <c r="AC339" s="1779"/>
    </row>
    <row r="340" spans="1:29">
      <c r="A340" s="1779"/>
      <c r="B340" s="1779"/>
      <c r="C340" s="1779"/>
      <c r="D340" s="1779"/>
      <c r="E340" s="1779"/>
      <c r="F340" s="1779"/>
      <c r="G340" s="1779"/>
      <c r="H340" s="1779"/>
      <c r="I340" s="1779"/>
      <c r="J340" s="1779"/>
      <c r="K340" s="1780"/>
      <c r="L340" s="1781"/>
      <c r="M340" s="1779"/>
      <c r="N340" s="1779"/>
      <c r="O340" s="1779"/>
      <c r="P340" s="1816"/>
      <c r="Q340" s="1779"/>
      <c r="R340" s="1779"/>
      <c r="S340" s="1779"/>
      <c r="T340" s="1779"/>
      <c r="U340" s="1779"/>
      <c r="V340" s="1779"/>
      <c r="W340" s="1779"/>
      <c r="X340" s="1779"/>
      <c r="Y340" s="1779"/>
      <c r="Z340" s="1779"/>
      <c r="AA340" s="1779"/>
      <c r="AB340" s="1779"/>
      <c r="AC340" s="1779"/>
    </row>
    <row r="341" spans="1:29">
      <c r="A341" s="1779"/>
      <c r="B341" s="1779"/>
      <c r="C341" s="1779"/>
      <c r="D341" s="1779"/>
      <c r="E341" s="1779"/>
      <c r="F341" s="1779"/>
      <c r="G341" s="1779"/>
      <c r="H341" s="1779"/>
      <c r="I341" s="1779"/>
      <c r="J341" s="1779"/>
      <c r="K341" s="1780"/>
      <c r="L341" s="1781"/>
      <c r="M341" s="1779"/>
      <c r="N341" s="1779"/>
      <c r="O341" s="1779"/>
      <c r="P341" s="1816"/>
      <c r="Q341" s="1779"/>
      <c r="R341" s="1779"/>
      <c r="S341" s="1779"/>
      <c r="T341" s="1779"/>
      <c r="U341" s="1779"/>
      <c r="V341" s="1779"/>
      <c r="W341" s="1779"/>
      <c r="X341" s="1779"/>
      <c r="Y341" s="1779"/>
      <c r="Z341" s="1779"/>
      <c r="AA341" s="1779"/>
      <c r="AB341" s="1779"/>
      <c r="AC341" s="1779"/>
    </row>
    <row r="342" spans="1:29">
      <c r="A342" s="1779"/>
      <c r="B342" s="1779"/>
      <c r="C342" s="1779"/>
      <c r="D342" s="1779"/>
      <c r="E342" s="1779"/>
      <c r="F342" s="1779"/>
      <c r="G342" s="1779"/>
      <c r="H342" s="1779"/>
      <c r="I342" s="1779"/>
      <c r="J342" s="1779"/>
      <c r="K342" s="1780"/>
      <c r="L342" s="1781"/>
      <c r="M342" s="1779"/>
      <c r="N342" s="1779"/>
      <c r="O342" s="1779"/>
      <c r="P342" s="1816"/>
      <c r="Q342" s="1779"/>
      <c r="R342" s="1779"/>
      <c r="S342" s="1779"/>
      <c r="T342" s="1779"/>
      <c r="U342" s="1779"/>
      <c r="V342" s="1779"/>
      <c r="W342" s="1779"/>
      <c r="X342" s="1779"/>
      <c r="Y342" s="1779"/>
      <c r="Z342" s="1779"/>
      <c r="AA342" s="1779"/>
      <c r="AB342" s="1779"/>
      <c r="AC342" s="1779"/>
    </row>
    <row r="343" spans="1:29">
      <c r="A343" s="1779"/>
      <c r="B343" s="1779"/>
      <c r="C343" s="1779"/>
      <c r="D343" s="1779"/>
      <c r="E343" s="1779"/>
      <c r="F343" s="1779"/>
      <c r="G343" s="1779"/>
      <c r="H343" s="1779"/>
      <c r="I343" s="1779"/>
      <c r="J343" s="1779"/>
      <c r="K343" s="1780"/>
      <c r="L343" s="1781"/>
      <c r="M343" s="1779"/>
      <c r="N343" s="1779"/>
      <c r="O343" s="1779"/>
      <c r="P343" s="1816"/>
      <c r="Q343" s="1779"/>
      <c r="R343" s="1779"/>
      <c r="S343" s="1779"/>
      <c r="T343" s="1779"/>
      <c r="U343" s="1779"/>
      <c r="V343" s="1779"/>
      <c r="W343" s="1779"/>
      <c r="X343" s="1779"/>
      <c r="Y343" s="1779"/>
      <c r="Z343" s="1779"/>
      <c r="AA343" s="1779"/>
      <c r="AB343" s="1779"/>
      <c r="AC343" s="1779"/>
    </row>
    <row r="344" spans="1:29">
      <c r="A344" s="1779"/>
      <c r="B344" s="1779"/>
      <c r="C344" s="1779"/>
      <c r="D344" s="1779"/>
      <c r="E344" s="1779"/>
      <c r="F344" s="1779"/>
      <c r="G344" s="1779"/>
      <c r="H344" s="1779"/>
      <c r="I344" s="1779"/>
      <c r="J344" s="1779"/>
      <c r="K344" s="1780"/>
      <c r="L344" s="1781"/>
      <c r="M344" s="1779"/>
      <c r="N344" s="1779"/>
      <c r="O344" s="1779"/>
      <c r="P344" s="1816"/>
      <c r="Q344" s="1779"/>
      <c r="R344" s="1779"/>
      <c r="S344" s="1779"/>
      <c r="T344" s="1779"/>
      <c r="U344" s="1779"/>
      <c r="V344" s="1779"/>
      <c r="W344" s="1779"/>
      <c r="X344" s="1779"/>
      <c r="Y344" s="1779"/>
      <c r="Z344" s="1779"/>
      <c r="AA344" s="1779"/>
      <c r="AB344" s="1779"/>
      <c r="AC344" s="1779"/>
    </row>
    <row r="345" spans="1:29">
      <c r="A345" s="1779"/>
      <c r="B345" s="1779"/>
      <c r="C345" s="1779"/>
      <c r="D345" s="1779"/>
      <c r="E345" s="1779"/>
      <c r="F345" s="1779"/>
      <c r="G345" s="1779"/>
      <c r="H345" s="1779"/>
      <c r="I345" s="1779"/>
      <c r="J345" s="1779"/>
      <c r="K345" s="1780"/>
      <c r="L345" s="1781"/>
      <c r="M345" s="1779"/>
      <c r="N345" s="1779"/>
      <c r="O345" s="1779"/>
      <c r="P345" s="1816"/>
      <c r="Q345" s="1779"/>
      <c r="R345" s="1779"/>
      <c r="S345" s="1779"/>
      <c r="T345" s="1779"/>
      <c r="U345" s="1779"/>
      <c r="V345" s="1779"/>
      <c r="W345" s="1779"/>
      <c r="X345" s="1779"/>
      <c r="Y345" s="1779"/>
      <c r="Z345" s="1779"/>
      <c r="AA345" s="1779"/>
      <c r="AB345" s="1779"/>
      <c r="AC345" s="1779"/>
    </row>
    <row r="346" spans="1:29">
      <c r="A346" s="1779"/>
      <c r="B346" s="1779"/>
      <c r="C346" s="1779"/>
      <c r="D346" s="1779"/>
      <c r="E346" s="1779"/>
      <c r="F346" s="1779"/>
      <c r="G346" s="1779"/>
      <c r="H346" s="1779"/>
      <c r="I346" s="1779"/>
      <c r="J346" s="1779"/>
      <c r="K346" s="1780"/>
      <c r="L346" s="1781"/>
      <c r="M346" s="1779"/>
      <c r="N346" s="1779"/>
      <c r="O346" s="1779"/>
      <c r="P346" s="1816"/>
      <c r="Q346" s="1779"/>
      <c r="R346" s="1779"/>
      <c r="S346" s="1779"/>
      <c r="T346" s="1779"/>
      <c r="U346" s="1779"/>
      <c r="V346" s="1779"/>
      <c r="W346" s="1779"/>
      <c r="X346" s="1779"/>
      <c r="Y346" s="1779"/>
      <c r="Z346" s="1779"/>
      <c r="AA346" s="1779"/>
      <c r="AB346" s="1779"/>
      <c r="AC346" s="1779"/>
    </row>
    <row r="347" spans="1:29">
      <c r="A347" s="1779"/>
      <c r="B347" s="1779"/>
      <c r="C347" s="1779"/>
      <c r="D347" s="1779"/>
      <c r="E347" s="1779"/>
      <c r="F347" s="1779"/>
      <c r="G347" s="1779"/>
      <c r="H347" s="1779"/>
      <c r="I347" s="1779"/>
      <c r="J347" s="1779"/>
      <c r="K347" s="1780"/>
      <c r="L347" s="1781"/>
      <c r="M347" s="1779"/>
      <c r="N347" s="1779"/>
      <c r="O347" s="1779"/>
      <c r="P347" s="1816"/>
      <c r="Q347" s="1779"/>
      <c r="R347" s="1779"/>
      <c r="S347" s="1779"/>
      <c r="T347" s="1779"/>
      <c r="U347" s="1779"/>
      <c r="V347" s="1779"/>
      <c r="W347" s="1779"/>
      <c r="X347" s="1779"/>
      <c r="Y347" s="1779"/>
      <c r="Z347" s="1779"/>
      <c r="AA347" s="1779"/>
      <c r="AB347" s="1779"/>
      <c r="AC347" s="1779"/>
    </row>
    <row r="348" spans="1:29">
      <c r="A348" s="1779"/>
      <c r="B348" s="1779"/>
      <c r="C348" s="1779"/>
      <c r="D348" s="1779"/>
      <c r="E348" s="1779"/>
      <c r="F348" s="1779"/>
      <c r="G348" s="1779"/>
      <c r="H348" s="1779"/>
      <c r="I348" s="1779"/>
      <c r="J348" s="1779"/>
      <c r="K348" s="1780"/>
      <c r="L348" s="1781"/>
      <c r="M348" s="1779"/>
      <c r="N348" s="1779"/>
      <c r="O348" s="1779"/>
      <c r="P348" s="1816"/>
      <c r="Q348" s="1779"/>
      <c r="R348" s="1779"/>
      <c r="S348" s="1779"/>
      <c r="T348" s="1779"/>
      <c r="U348" s="1779"/>
      <c r="V348" s="1779"/>
      <c r="W348" s="1779"/>
      <c r="X348" s="1779"/>
      <c r="Y348" s="1779"/>
      <c r="Z348" s="1779"/>
      <c r="AA348" s="1779"/>
      <c r="AB348" s="1779"/>
      <c r="AC348" s="1779"/>
    </row>
    <row r="349" spans="1:29">
      <c r="A349" s="1779"/>
      <c r="B349" s="1779"/>
      <c r="C349" s="1779"/>
      <c r="D349" s="1779"/>
      <c r="E349" s="1779"/>
      <c r="F349" s="1779"/>
      <c r="G349" s="1779"/>
      <c r="H349" s="1779"/>
      <c r="I349" s="1779"/>
      <c r="J349" s="1779"/>
      <c r="K349" s="1780"/>
      <c r="L349" s="1781"/>
      <c r="M349" s="1779"/>
      <c r="N349" s="1779"/>
      <c r="O349" s="1779"/>
      <c r="P349" s="1816"/>
      <c r="Q349" s="1779"/>
      <c r="R349" s="1779"/>
      <c r="S349" s="1779"/>
      <c r="T349" s="1779"/>
      <c r="U349" s="1779"/>
      <c r="V349" s="1779"/>
      <c r="W349" s="1779"/>
      <c r="X349" s="1779"/>
      <c r="Y349" s="1779"/>
      <c r="Z349" s="1779"/>
      <c r="AA349" s="1779"/>
      <c r="AB349" s="1779"/>
      <c r="AC349" s="1779"/>
    </row>
    <row r="350" spans="1:29">
      <c r="A350" s="1779"/>
      <c r="B350" s="1779"/>
      <c r="C350" s="1779"/>
      <c r="D350" s="1779"/>
      <c r="E350" s="1779"/>
      <c r="F350" s="1779"/>
      <c r="G350" s="1779"/>
      <c r="H350" s="1779"/>
      <c r="I350" s="1779"/>
      <c r="J350" s="1779"/>
      <c r="K350" s="1780"/>
      <c r="L350" s="1781"/>
      <c r="M350" s="1779"/>
      <c r="N350" s="1779"/>
      <c r="O350" s="1779"/>
      <c r="P350" s="1816"/>
      <c r="Q350" s="1779"/>
      <c r="R350" s="1779"/>
      <c r="S350" s="1779"/>
      <c r="T350" s="1779"/>
      <c r="U350" s="1779"/>
      <c r="V350" s="1779"/>
      <c r="W350" s="1779"/>
      <c r="X350" s="1779"/>
      <c r="Y350" s="1779"/>
      <c r="Z350" s="1779"/>
      <c r="AA350" s="1779"/>
      <c r="AB350" s="1779"/>
      <c r="AC350" s="1779"/>
    </row>
    <row r="351" spans="1:29">
      <c r="A351" s="1779"/>
      <c r="B351" s="1779"/>
      <c r="C351" s="1779"/>
      <c r="D351" s="1779"/>
      <c r="E351" s="1779"/>
      <c r="F351" s="1779"/>
      <c r="G351" s="1779"/>
      <c r="H351" s="1779"/>
      <c r="I351" s="1779"/>
      <c r="J351" s="1779"/>
      <c r="K351" s="1780"/>
      <c r="L351" s="1781"/>
      <c r="M351" s="1779"/>
      <c r="N351" s="1779"/>
      <c r="O351" s="1779"/>
      <c r="P351" s="1816"/>
      <c r="Q351" s="1779"/>
      <c r="R351" s="1779"/>
      <c r="S351" s="1779"/>
      <c r="T351" s="1779"/>
      <c r="U351" s="1779"/>
      <c r="V351" s="1779"/>
      <c r="W351" s="1779"/>
      <c r="X351" s="1779"/>
      <c r="Y351" s="1779"/>
      <c r="Z351" s="1779"/>
      <c r="AA351" s="1779"/>
      <c r="AB351" s="1779"/>
      <c r="AC351" s="1779"/>
    </row>
    <row r="352" spans="1:29">
      <c r="A352" s="1779"/>
      <c r="B352" s="1779"/>
      <c r="C352" s="1779"/>
      <c r="D352" s="1779"/>
      <c r="E352" s="1779"/>
      <c r="F352" s="1779"/>
      <c r="G352" s="1779"/>
      <c r="H352" s="1779"/>
      <c r="I352" s="1779"/>
      <c r="J352" s="1779"/>
      <c r="K352" s="1780"/>
      <c r="L352" s="1781"/>
      <c r="M352" s="1779"/>
      <c r="N352" s="1779"/>
      <c r="O352" s="1779"/>
      <c r="P352" s="1816"/>
      <c r="Q352" s="1779"/>
      <c r="R352" s="1779"/>
      <c r="S352" s="1779"/>
      <c r="T352" s="1779"/>
      <c r="U352" s="1779"/>
      <c r="V352" s="1779"/>
      <c r="W352" s="1779"/>
      <c r="X352" s="1779"/>
      <c r="Y352" s="1779"/>
      <c r="Z352" s="1779"/>
      <c r="AA352" s="1779"/>
      <c r="AB352" s="1779"/>
      <c r="AC352" s="1779"/>
    </row>
    <row r="353" spans="1:29">
      <c r="A353" s="1779"/>
      <c r="B353" s="1779"/>
      <c r="C353" s="1779"/>
      <c r="D353" s="1779"/>
      <c r="E353" s="1779"/>
      <c r="F353" s="1779"/>
      <c r="G353" s="1779"/>
      <c r="H353" s="1779"/>
      <c r="I353" s="1779"/>
      <c r="J353" s="1779"/>
      <c r="K353" s="1780"/>
      <c r="L353" s="1781"/>
      <c r="M353" s="1779"/>
      <c r="N353" s="1779"/>
      <c r="O353" s="1779"/>
      <c r="P353" s="1816"/>
      <c r="Q353" s="1779"/>
      <c r="R353" s="1779"/>
      <c r="S353" s="1779"/>
      <c r="T353" s="1779"/>
      <c r="U353" s="1779"/>
      <c r="V353" s="1779"/>
      <c r="W353" s="1779"/>
      <c r="X353" s="1779"/>
      <c r="Y353" s="1779"/>
      <c r="Z353" s="1779"/>
      <c r="AA353" s="1779"/>
      <c r="AB353" s="1779"/>
      <c r="AC353" s="1779"/>
    </row>
    <row r="354" spans="1:29">
      <c r="A354" s="1779"/>
      <c r="B354" s="1779"/>
      <c r="C354" s="1779"/>
      <c r="D354" s="1779"/>
      <c r="E354" s="1779"/>
      <c r="F354" s="1779"/>
      <c r="G354" s="1779"/>
      <c r="H354" s="1779"/>
      <c r="I354" s="1779"/>
      <c r="J354" s="1779"/>
      <c r="K354" s="1780"/>
      <c r="L354" s="1781"/>
      <c r="M354" s="1779"/>
      <c r="N354" s="1779"/>
      <c r="O354" s="1779"/>
      <c r="P354" s="1816"/>
      <c r="Q354" s="1779"/>
      <c r="R354" s="1779"/>
      <c r="S354" s="1779"/>
      <c r="T354" s="1779"/>
      <c r="U354" s="1779"/>
      <c r="V354" s="1779"/>
      <c r="W354" s="1779"/>
      <c r="X354" s="1779"/>
      <c r="Y354" s="1779"/>
      <c r="Z354" s="1779"/>
      <c r="AA354" s="1779"/>
      <c r="AB354" s="1779"/>
      <c r="AC354" s="1779"/>
    </row>
    <row r="355" spans="1:29">
      <c r="A355" s="1779"/>
      <c r="B355" s="1779"/>
      <c r="C355" s="1779"/>
      <c r="D355" s="1779"/>
      <c r="E355" s="1779"/>
      <c r="F355" s="1779"/>
      <c r="G355" s="1779"/>
      <c r="H355" s="1779"/>
      <c r="I355" s="1779"/>
      <c r="J355" s="1779"/>
      <c r="K355" s="1780"/>
      <c r="L355" s="1781"/>
      <c r="M355" s="1779"/>
      <c r="N355" s="1779"/>
      <c r="O355" s="1779"/>
      <c r="P355" s="1816"/>
      <c r="Q355" s="1779"/>
      <c r="R355" s="1779"/>
      <c r="S355" s="1779"/>
      <c r="T355" s="1779"/>
      <c r="U355" s="1779"/>
      <c r="V355" s="1779"/>
      <c r="W355" s="1779"/>
      <c r="X355" s="1779"/>
      <c r="Y355" s="1779"/>
      <c r="Z355" s="1779"/>
      <c r="AA355" s="1779"/>
      <c r="AB355" s="1779"/>
      <c r="AC355" s="1779"/>
    </row>
    <row r="356" spans="1:29">
      <c r="A356" s="1779"/>
      <c r="B356" s="1779"/>
      <c r="C356" s="1779"/>
      <c r="D356" s="1779"/>
      <c r="E356" s="1779"/>
      <c r="F356" s="1779"/>
      <c r="G356" s="1779"/>
      <c r="H356" s="1779"/>
      <c r="I356" s="1779"/>
      <c r="J356" s="1779"/>
      <c r="K356" s="1780"/>
      <c r="L356" s="1781"/>
      <c r="M356" s="1779"/>
      <c r="N356" s="1779"/>
      <c r="O356" s="1779"/>
      <c r="P356" s="1816"/>
      <c r="Q356" s="1779"/>
      <c r="R356" s="1779"/>
      <c r="S356" s="1779"/>
      <c r="T356" s="1779"/>
      <c r="U356" s="1779"/>
      <c r="V356" s="1779"/>
      <c r="W356" s="1779"/>
      <c r="X356" s="1779"/>
      <c r="Y356" s="1779"/>
      <c r="Z356" s="1779"/>
      <c r="AA356" s="1779"/>
      <c r="AB356" s="1779"/>
      <c r="AC356" s="1779"/>
    </row>
    <row r="357" spans="1:29">
      <c r="A357" s="1779"/>
      <c r="B357" s="1779"/>
      <c r="C357" s="1779"/>
      <c r="D357" s="1779"/>
      <c r="E357" s="1779"/>
      <c r="F357" s="1779"/>
      <c r="G357" s="1779"/>
      <c r="H357" s="1779"/>
      <c r="I357" s="1779"/>
      <c r="J357" s="1779"/>
      <c r="K357" s="1780"/>
      <c r="L357" s="1781"/>
      <c r="M357" s="1779"/>
      <c r="N357" s="1779"/>
      <c r="O357" s="1779"/>
      <c r="P357" s="1816"/>
      <c r="Q357" s="1779"/>
      <c r="R357" s="1779"/>
      <c r="S357" s="1779"/>
      <c r="T357" s="1779"/>
      <c r="U357" s="1779"/>
      <c r="V357" s="1779"/>
      <c r="W357" s="1779"/>
      <c r="X357" s="1779"/>
      <c r="Y357" s="1779"/>
      <c r="Z357" s="1779"/>
      <c r="AA357" s="1779"/>
      <c r="AB357" s="1779"/>
      <c r="AC357" s="1779"/>
    </row>
    <row r="358" spans="1:29">
      <c r="A358" s="1779"/>
      <c r="B358" s="1779"/>
      <c r="C358" s="1779"/>
      <c r="D358" s="1779"/>
      <c r="E358" s="1779"/>
      <c r="F358" s="1779"/>
      <c r="G358" s="1779"/>
      <c r="H358" s="1779"/>
      <c r="I358" s="1779"/>
      <c r="J358" s="1779"/>
      <c r="K358" s="1780"/>
      <c r="L358" s="1781"/>
      <c r="M358" s="1779"/>
      <c r="N358" s="1779"/>
      <c r="O358" s="1779"/>
      <c r="P358" s="1816"/>
      <c r="Q358" s="1779"/>
      <c r="R358" s="1779"/>
      <c r="S358" s="1779"/>
      <c r="T358" s="1779"/>
      <c r="U358" s="1779"/>
      <c r="V358" s="1779"/>
      <c r="W358" s="1779"/>
      <c r="X358" s="1779"/>
      <c r="Y358" s="1779"/>
      <c r="Z358" s="1779"/>
      <c r="AA358" s="1779"/>
      <c r="AB358" s="1779"/>
      <c r="AC358" s="1779"/>
    </row>
    <row r="359" spans="1:29">
      <c r="A359" s="1779"/>
      <c r="B359" s="1779"/>
      <c r="C359" s="1779"/>
      <c r="D359" s="1779"/>
      <c r="E359" s="1779"/>
      <c r="F359" s="1779"/>
      <c r="G359" s="1779"/>
      <c r="H359" s="1779"/>
      <c r="I359" s="1779"/>
      <c r="J359" s="1779"/>
      <c r="K359" s="1780"/>
      <c r="L359" s="1781"/>
      <c r="M359" s="1779"/>
      <c r="N359" s="1779"/>
      <c r="O359" s="1779"/>
      <c r="P359" s="1816"/>
      <c r="Q359" s="1779"/>
      <c r="R359" s="1779"/>
      <c r="S359" s="1779"/>
      <c r="T359" s="1779"/>
      <c r="U359" s="1779"/>
      <c r="V359" s="1779"/>
      <c r="W359" s="1779"/>
      <c r="X359" s="1779"/>
      <c r="Y359" s="1779"/>
      <c r="Z359" s="1779"/>
      <c r="AA359" s="1779"/>
      <c r="AB359" s="1779"/>
      <c r="AC359" s="1779"/>
    </row>
    <row r="360" spans="1:29">
      <c r="A360" s="1779"/>
      <c r="B360" s="1779"/>
      <c r="C360" s="1779"/>
      <c r="D360" s="1779"/>
      <c r="E360" s="1779"/>
      <c r="F360" s="1779"/>
      <c r="G360" s="1779"/>
      <c r="H360" s="1779"/>
      <c r="I360" s="1779"/>
      <c r="J360" s="1779"/>
      <c r="K360" s="1780"/>
      <c r="L360" s="1781"/>
      <c r="M360" s="1779"/>
      <c r="N360" s="1779"/>
      <c r="O360" s="1779"/>
      <c r="P360" s="1816"/>
      <c r="Q360" s="1779"/>
      <c r="R360" s="1779"/>
      <c r="S360" s="1779"/>
      <c r="T360" s="1779"/>
      <c r="U360" s="1779"/>
      <c r="V360" s="1779"/>
      <c r="W360" s="1779"/>
      <c r="X360" s="1779"/>
      <c r="Y360" s="1779"/>
      <c r="Z360" s="1779"/>
      <c r="AA360" s="1779"/>
      <c r="AB360" s="1779"/>
      <c r="AC360" s="1779"/>
    </row>
    <row r="361" spans="1:29">
      <c r="A361" s="1779"/>
      <c r="B361" s="1779"/>
      <c r="C361" s="1779"/>
      <c r="D361" s="1779"/>
      <c r="E361" s="1779"/>
      <c r="F361" s="1779"/>
      <c r="G361" s="1779"/>
      <c r="H361" s="1779"/>
      <c r="I361" s="1779"/>
      <c r="J361" s="1779"/>
      <c r="K361" s="1780"/>
      <c r="L361" s="1781"/>
      <c r="M361" s="1779"/>
      <c r="N361" s="1779"/>
      <c r="O361" s="1779"/>
      <c r="P361" s="1816"/>
      <c r="Q361" s="1779"/>
      <c r="R361" s="1779"/>
      <c r="S361" s="1779"/>
      <c r="T361" s="1779"/>
      <c r="U361" s="1779"/>
      <c r="V361" s="1779"/>
      <c r="W361" s="1779"/>
      <c r="X361" s="1779"/>
      <c r="Y361" s="1779"/>
      <c r="Z361" s="1779"/>
      <c r="AA361" s="1779"/>
      <c r="AB361" s="1779"/>
      <c r="AC361" s="1779"/>
    </row>
    <row r="362" spans="1:29">
      <c r="A362" s="1779"/>
      <c r="B362" s="1779"/>
      <c r="C362" s="1779"/>
      <c r="D362" s="1779"/>
      <c r="E362" s="1779"/>
      <c r="F362" s="1779"/>
      <c r="G362" s="1779"/>
      <c r="H362" s="1779"/>
      <c r="I362" s="1779"/>
      <c r="J362" s="1779"/>
      <c r="K362" s="1780"/>
      <c r="L362" s="1781"/>
      <c r="M362" s="1779"/>
      <c r="N362" s="1779"/>
      <c r="O362" s="1779"/>
      <c r="P362" s="1816"/>
      <c r="Q362" s="1779"/>
      <c r="R362" s="1779"/>
      <c r="S362" s="1779"/>
      <c r="T362" s="1779"/>
      <c r="U362" s="1779"/>
      <c r="V362" s="1779"/>
      <c r="W362" s="1779"/>
      <c r="X362" s="1779"/>
      <c r="Y362" s="1779"/>
      <c r="Z362" s="1779"/>
      <c r="AA362" s="1779"/>
      <c r="AB362" s="1779"/>
      <c r="AC362" s="1779"/>
    </row>
    <row r="363" spans="1:29">
      <c r="A363" s="1779"/>
      <c r="B363" s="1779"/>
      <c r="C363" s="1779"/>
      <c r="D363" s="1779"/>
      <c r="E363" s="1779"/>
      <c r="F363" s="1779"/>
      <c r="G363" s="1779"/>
      <c r="H363" s="1779"/>
      <c r="I363" s="1779"/>
      <c r="J363" s="1779"/>
      <c r="K363" s="1780"/>
      <c r="L363" s="1781"/>
      <c r="M363" s="1779"/>
      <c r="N363" s="1779"/>
      <c r="O363" s="1779"/>
      <c r="P363" s="1816"/>
      <c r="Q363" s="1779"/>
      <c r="R363" s="1779"/>
      <c r="S363" s="1779"/>
      <c r="T363" s="1779"/>
      <c r="U363" s="1779"/>
      <c r="V363" s="1779"/>
      <c r="W363" s="1779"/>
      <c r="X363" s="1779"/>
      <c r="Y363" s="1779"/>
      <c r="Z363" s="1779"/>
      <c r="AA363" s="1779"/>
      <c r="AB363" s="1779"/>
      <c r="AC363" s="1779"/>
    </row>
    <row r="364" spans="1:29">
      <c r="A364" s="1779"/>
      <c r="B364" s="1779"/>
      <c r="C364" s="1779"/>
      <c r="D364" s="1779"/>
      <c r="E364" s="1779"/>
      <c r="F364" s="1779"/>
      <c r="G364" s="1779"/>
      <c r="H364" s="1779"/>
      <c r="I364" s="1779"/>
      <c r="J364" s="1779"/>
      <c r="K364" s="1780"/>
      <c r="L364" s="1781"/>
      <c r="M364" s="1779"/>
      <c r="N364" s="1779"/>
      <c r="O364" s="1779"/>
      <c r="P364" s="1816"/>
      <c r="Q364" s="1779"/>
      <c r="R364" s="1779"/>
      <c r="S364" s="1779"/>
      <c r="T364" s="1779"/>
      <c r="U364" s="1779"/>
      <c r="V364" s="1779"/>
      <c r="W364" s="1779"/>
      <c r="X364" s="1779"/>
      <c r="Y364" s="1779"/>
      <c r="Z364" s="1779"/>
      <c r="AA364" s="1779"/>
      <c r="AB364" s="1779"/>
      <c r="AC364" s="1779"/>
    </row>
    <row r="365" spans="1:29">
      <c r="A365" s="1779"/>
      <c r="B365" s="1779"/>
      <c r="C365" s="1779"/>
      <c r="D365" s="1779"/>
      <c r="E365" s="1779"/>
      <c r="F365" s="1779"/>
      <c r="G365" s="1779"/>
      <c r="H365" s="1779"/>
      <c r="I365" s="1779"/>
      <c r="J365" s="1779"/>
      <c r="K365" s="1780"/>
      <c r="L365" s="1781"/>
      <c r="M365" s="1779"/>
      <c r="N365" s="1779"/>
      <c r="O365" s="1779"/>
      <c r="P365" s="1816"/>
      <c r="Q365" s="1779"/>
      <c r="R365" s="1779"/>
      <c r="S365" s="1779"/>
      <c r="T365" s="1779"/>
      <c r="U365" s="1779"/>
      <c r="V365" s="1779"/>
      <c r="W365" s="1779"/>
      <c r="X365" s="1779"/>
      <c r="Y365" s="1779"/>
      <c r="Z365" s="1779"/>
      <c r="AA365" s="1779"/>
      <c r="AB365" s="1779"/>
      <c r="AC365" s="1779"/>
    </row>
    <row r="366" spans="1:29">
      <c r="A366" s="1779"/>
      <c r="B366" s="1779"/>
      <c r="C366" s="1779"/>
      <c r="D366" s="1779"/>
      <c r="E366" s="1779"/>
      <c r="F366" s="1779"/>
      <c r="G366" s="1779"/>
      <c r="H366" s="1779"/>
      <c r="I366" s="1779"/>
      <c r="J366" s="1779"/>
      <c r="K366" s="1780"/>
      <c r="L366" s="1781"/>
      <c r="M366" s="1779"/>
      <c r="N366" s="1779"/>
      <c r="O366" s="1779"/>
      <c r="P366" s="1816"/>
      <c r="Q366" s="1779"/>
      <c r="R366" s="1779"/>
      <c r="S366" s="1779"/>
      <c r="T366" s="1779"/>
      <c r="U366" s="1779"/>
      <c r="V366" s="1779"/>
      <c r="W366" s="1779"/>
      <c r="X366" s="1779"/>
      <c r="Y366" s="1779"/>
      <c r="Z366" s="1779"/>
      <c r="AA366" s="1779"/>
      <c r="AB366" s="1779"/>
      <c r="AC366" s="1779"/>
    </row>
    <row r="367" spans="1:29">
      <c r="A367" s="1779"/>
      <c r="B367" s="1779"/>
      <c r="C367" s="1779"/>
      <c r="D367" s="1779"/>
      <c r="E367" s="1779"/>
      <c r="F367" s="1779"/>
      <c r="G367" s="1779"/>
      <c r="H367" s="1779"/>
      <c r="I367" s="1779"/>
      <c r="J367" s="1779"/>
      <c r="K367" s="1780"/>
      <c r="L367" s="1781"/>
      <c r="M367" s="1779"/>
      <c r="N367" s="1779"/>
      <c r="O367" s="1779"/>
      <c r="P367" s="1816"/>
      <c r="Q367" s="1779"/>
      <c r="R367" s="1779"/>
      <c r="S367" s="1779"/>
      <c r="T367" s="1779"/>
      <c r="U367" s="1779"/>
      <c r="V367" s="1779"/>
      <c r="W367" s="1779"/>
      <c r="X367" s="1779"/>
      <c r="Y367" s="1779"/>
      <c r="Z367" s="1779"/>
      <c r="AA367" s="1779"/>
      <c r="AB367" s="1779"/>
      <c r="AC367" s="1779"/>
    </row>
    <row r="368" spans="1:29">
      <c r="A368" s="1779"/>
      <c r="B368" s="1779"/>
      <c r="C368" s="1779"/>
      <c r="D368" s="1779"/>
      <c r="E368" s="1779"/>
      <c r="F368" s="1779"/>
      <c r="G368" s="1779"/>
      <c r="H368" s="1779"/>
      <c r="I368" s="1779"/>
      <c r="J368" s="1779"/>
      <c r="K368" s="1780"/>
      <c r="L368" s="1781"/>
      <c r="M368" s="1779"/>
      <c r="N368" s="1779"/>
      <c r="O368" s="1779"/>
      <c r="P368" s="1816"/>
      <c r="Q368" s="1779"/>
      <c r="R368" s="1779"/>
      <c r="S368" s="1779"/>
      <c r="T368" s="1779"/>
      <c r="U368" s="1779"/>
      <c r="V368" s="1779"/>
      <c r="W368" s="1779"/>
      <c r="X368" s="1779"/>
      <c r="Y368" s="1779"/>
      <c r="Z368" s="1779"/>
      <c r="AA368" s="1779"/>
      <c r="AB368" s="1779"/>
      <c r="AC368" s="1779"/>
    </row>
    <row r="369" spans="1:29">
      <c r="A369" s="1779"/>
      <c r="B369" s="1779"/>
      <c r="C369" s="1779"/>
      <c r="D369" s="1779"/>
      <c r="E369" s="1779"/>
      <c r="F369" s="1779"/>
      <c r="G369" s="1779"/>
      <c r="H369" s="1779"/>
      <c r="I369" s="1779"/>
      <c r="J369" s="1779"/>
      <c r="K369" s="1780"/>
      <c r="L369" s="1781"/>
      <c r="M369" s="1779"/>
      <c r="N369" s="1779"/>
      <c r="O369" s="1779"/>
      <c r="P369" s="1816"/>
      <c r="Q369" s="1779"/>
      <c r="R369" s="1779"/>
      <c r="S369" s="1779"/>
      <c r="T369" s="1779"/>
      <c r="U369" s="1779"/>
      <c r="V369" s="1779"/>
      <c r="W369" s="1779"/>
      <c r="X369" s="1779"/>
      <c r="Y369" s="1779"/>
      <c r="Z369" s="1779"/>
      <c r="AA369" s="1779"/>
      <c r="AB369" s="1779"/>
      <c r="AC369" s="1779"/>
    </row>
    <row r="370" spans="1:29">
      <c r="A370" s="1779"/>
      <c r="B370" s="1779"/>
      <c r="C370" s="1779"/>
      <c r="D370" s="1779"/>
      <c r="E370" s="1779"/>
      <c r="F370" s="1779"/>
      <c r="G370" s="1779"/>
      <c r="H370" s="1779"/>
      <c r="I370" s="1779"/>
      <c r="J370" s="1779"/>
      <c r="K370" s="1780"/>
      <c r="L370" s="1781"/>
      <c r="M370" s="1779"/>
      <c r="N370" s="1779"/>
      <c r="O370" s="1779"/>
      <c r="P370" s="1816"/>
      <c r="Q370" s="1779"/>
      <c r="R370" s="1779"/>
      <c r="S370" s="1779"/>
      <c r="T370" s="1779"/>
      <c r="U370" s="1779"/>
      <c r="V370" s="1779"/>
      <c r="W370" s="1779"/>
      <c r="X370" s="1779"/>
      <c r="Y370" s="1779"/>
      <c r="Z370" s="1779"/>
      <c r="AA370" s="1779"/>
      <c r="AB370" s="1779"/>
      <c r="AC370" s="1779"/>
    </row>
    <row r="371" spans="1:29">
      <c r="A371" s="1779"/>
      <c r="B371" s="1779"/>
      <c r="C371" s="1779"/>
      <c r="D371" s="1779"/>
      <c r="E371" s="1779"/>
      <c r="F371" s="1779"/>
      <c r="G371" s="1779"/>
      <c r="H371" s="1779"/>
      <c r="I371" s="1779"/>
      <c r="J371" s="1779"/>
      <c r="K371" s="1780"/>
      <c r="L371" s="1781"/>
      <c r="M371" s="1779"/>
      <c r="N371" s="1779"/>
      <c r="O371" s="1779"/>
      <c r="P371" s="1816"/>
      <c r="Q371" s="1779"/>
      <c r="R371" s="1779"/>
      <c r="S371" s="1779"/>
      <c r="T371" s="1779"/>
      <c r="U371" s="1779"/>
      <c r="V371" s="1779"/>
      <c r="W371" s="1779"/>
      <c r="X371" s="1779"/>
      <c r="Y371" s="1779"/>
      <c r="Z371" s="1779"/>
      <c r="AA371" s="1779"/>
      <c r="AB371" s="1779"/>
      <c r="AC371" s="1779"/>
    </row>
    <row r="372" spans="1:29">
      <c r="A372" s="1779"/>
      <c r="B372" s="1779"/>
      <c r="C372" s="1779"/>
      <c r="D372" s="1779"/>
      <c r="E372" s="1779"/>
      <c r="F372" s="1779"/>
      <c r="G372" s="1779"/>
      <c r="H372" s="1779"/>
      <c r="I372" s="1779"/>
      <c r="J372" s="1779"/>
      <c r="K372" s="1780"/>
      <c r="L372" s="1781"/>
      <c r="M372" s="1779"/>
      <c r="N372" s="1779"/>
      <c r="O372" s="1779"/>
      <c r="P372" s="1816"/>
      <c r="Q372" s="1779"/>
      <c r="R372" s="1779"/>
      <c r="S372" s="1779"/>
      <c r="T372" s="1779"/>
      <c r="U372" s="1779"/>
      <c r="V372" s="1779"/>
      <c r="W372" s="1779"/>
      <c r="X372" s="1779"/>
      <c r="Y372" s="1779"/>
      <c r="Z372" s="1779"/>
      <c r="AA372" s="1779"/>
      <c r="AB372" s="1779"/>
      <c r="AC372" s="1779"/>
    </row>
    <row r="373" spans="1:29">
      <c r="A373" s="1779"/>
      <c r="B373" s="1779"/>
      <c r="C373" s="1779"/>
      <c r="D373" s="1779"/>
      <c r="E373" s="1779"/>
      <c r="F373" s="1779"/>
      <c r="G373" s="1779"/>
      <c r="H373" s="1779"/>
      <c r="I373" s="1779"/>
      <c r="J373" s="1779"/>
      <c r="K373" s="1780"/>
      <c r="L373" s="1781"/>
      <c r="M373" s="1779"/>
      <c r="N373" s="1779"/>
      <c r="O373" s="1779"/>
      <c r="P373" s="1816"/>
      <c r="Q373" s="1779"/>
      <c r="R373" s="1779"/>
      <c r="S373" s="1779"/>
      <c r="T373" s="1779"/>
      <c r="U373" s="1779"/>
      <c r="V373" s="1779"/>
      <c r="W373" s="1779"/>
      <c r="X373" s="1779"/>
      <c r="Y373" s="1779"/>
      <c r="Z373" s="1779"/>
      <c r="AA373" s="1779"/>
      <c r="AB373" s="1779"/>
      <c r="AC373" s="1779"/>
    </row>
    <row r="374" spans="1:29">
      <c r="A374" s="1779"/>
      <c r="B374" s="1779"/>
      <c r="C374" s="1779"/>
      <c r="D374" s="1779"/>
      <c r="E374" s="1779"/>
      <c r="F374" s="1779"/>
      <c r="G374" s="1779"/>
      <c r="H374" s="1779"/>
      <c r="I374" s="1779"/>
      <c r="J374" s="1779"/>
      <c r="K374" s="1780"/>
      <c r="L374" s="1781"/>
      <c r="M374" s="1779"/>
      <c r="N374" s="1779"/>
      <c r="O374" s="1779"/>
      <c r="P374" s="1816"/>
      <c r="Q374" s="1779"/>
      <c r="R374" s="1779"/>
      <c r="S374" s="1779"/>
      <c r="T374" s="1779"/>
      <c r="U374" s="1779"/>
      <c r="V374" s="1779"/>
      <c r="W374" s="1779"/>
      <c r="X374" s="1779"/>
      <c r="Y374" s="1779"/>
      <c r="Z374" s="1779"/>
      <c r="AA374" s="1779"/>
      <c r="AB374" s="1779"/>
      <c r="AC374" s="1779"/>
    </row>
    <row r="375" spans="1:29">
      <c r="A375" s="1779"/>
      <c r="B375" s="1779"/>
      <c r="C375" s="1779"/>
      <c r="D375" s="1779"/>
      <c r="E375" s="1779"/>
      <c r="F375" s="1779"/>
      <c r="G375" s="1779"/>
      <c r="H375" s="1779"/>
      <c r="I375" s="1779"/>
      <c r="J375" s="1779"/>
      <c r="K375" s="1780"/>
      <c r="L375" s="1781"/>
      <c r="M375" s="1779"/>
      <c r="N375" s="1779"/>
      <c r="O375" s="1779"/>
      <c r="P375" s="1816"/>
      <c r="Q375" s="1779"/>
      <c r="R375" s="1779"/>
      <c r="S375" s="1779"/>
      <c r="T375" s="1779"/>
      <c r="U375" s="1779"/>
      <c r="V375" s="1779"/>
      <c r="W375" s="1779"/>
      <c r="X375" s="1779"/>
      <c r="Y375" s="1779"/>
      <c r="Z375" s="1779"/>
      <c r="AA375" s="1779"/>
      <c r="AB375" s="1779"/>
      <c r="AC375" s="1779"/>
    </row>
    <row r="376" spans="1:29">
      <c r="A376" s="1779"/>
      <c r="B376" s="1779"/>
      <c r="C376" s="1779"/>
      <c r="D376" s="1779"/>
      <c r="E376" s="1779"/>
      <c r="F376" s="1779"/>
      <c r="G376" s="1779"/>
      <c r="H376" s="1779"/>
      <c r="I376" s="1779"/>
      <c r="J376" s="1779"/>
      <c r="K376" s="1780"/>
      <c r="L376" s="1781"/>
      <c r="M376" s="1779"/>
      <c r="N376" s="1779"/>
      <c r="O376" s="1779"/>
      <c r="P376" s="1816"/>
      <c r="Q376" s="1779"/>
      <c r="R376" s="1779"/>
      <c r="S376" s="1779"/>
      <c r="T376" s="1779"/>
      <c r="U376" s="1779"/>
      <c r="V376" s="1779"/>
      <c r="W376" s="1779"/>
      <c r="X376" s="1779"/>
      <c r="Y376" s="1779"/>
      <c r="Z376" s="1779"/>
      <c r="AA376" s="1779"/>
      <c r="AB376" s="1779"/>
      <c r="AC376" s="1779"/>
    </row>
    <row r="377" spans="1:29">
      <c r="A377" s="1779"/>
      <c r="B377" s="1779"/>
      <c r="C377" s="1779"/>
      <c r="D377" s="1779"/>
      <c r="E377" s="1779"/>
      <c r="F377" s="1779"/>
      <c r="G377" s="1779"/>
      <c r="H377" s="1779"/>
      <c r="I377" s="1779"/>
      <c r="J377" s="1779"/>
      <c r="K377" s="1780"/>
      <c r="L377" s="1781"/>
      <c r="M377" s="1779"/>
      <c r="N377" s="1779"/>
      <c r="O377" s="1779"/>
      <c r="P377" s="1816"/>
      <c r="Q377" s="1779"/>
      <c r="R377" s="1779"/>
      <c r="S377" s="1779"/>
      <c r="T377" s="1779"/>
      <c r="U377" s="1779"/>
      <c r="V377" s="1779"/>
      <c r="W377" s="1779"/>
      <c r="X377" s="1779"/>
      <c r="Y377" s="1779"/>
      <c r="Z377" s="1779"/>
      <c r="AA377" s="1779"/>
      <c r="AB377" s="1779"/>
      <c r="AC377" s="1779"/>
    </row>
    <row r="378" spans="1:29">
      <c r="A378" s="1779"/>
      <c r="B378" s="1779"/>
      <c r="C378" s="1779"/>
      <c r="D378" s="1779"/>
      <c r="E378" s="1779"/>
      <c r="F378" s="1779"/>
      <c r="G378" s="1779"/>
      <c r="H378" s="1779"/>
      <c r="I378" s="1779"/>
      <c r="J378" s="1779"/>
      <c r="K378" s="1780"/>
      <c r="L378" s="1781"/>
      <c r="M378" s="1779"/>
      <c r="N378" s="1779"/>
      <c r="O378" s="1779"/>
      <c r="P378" s="1816"/>
      <c r="Q378" s="1779"/>
      <c r="R378" s="1779"/>
      <c r="S378" s="1779"/>
      <c r="T378" s="1779"/>
      <c r="U378" s="1779"/>
      <c r="V378" s="1779"/>
      <c r="W378" s="1779"/>
      <c r="X378" s="1779"/>
      <c r="Y378" s="1779"/>
      <c r="Z378" s="1779"/>
      <c r="AA378" s="1779"/>
      <c r="AB378" s="1779"/>
      <c r="AC378" s="1779"/>
    </row>
    <row r="379" spans="1:29">
      <c r="A379" s="1779"/>
      <c r="B379" s="1779"/>
      <c r="C379" s="1779"/>
      <c r="D379" s="1779"/>
      <c r="E379" s="1779"/>
      <c r="F379" s="1779"/>
      <c r="G379" s="1779"/>
      <c r="H379" s="1779"/>
      <c r="I379" s="1779"/>
      <c r="J379" s="1779"/>
      <c r="K379" s="1780"/>
      <c r="L379" s="1781"/>
      <c r="M379" s="1779"/>
      <c r="N379" s="1779"/>
      <c r="O379" s="1779"/>
      <c r="P379" s="1816"/>
      <c r="Q379" s="1779"/>
      <c r="R379" s="1779"/>
      <c r="S379" s="1779"/>
      <c r="T379" s="1779"/>
      <c r="U379" s="1779"/>
      <c r="V379" s="1779"/>
      <c r="W379" s="1779"/>
      <c r="X379" s="1779"/>
      <c r="Y379" s="1779"/>
      <c r="Z379" s="1779"/>
      <c r="AA379" s="1779"/>
      <c r="AB379" s="1779"/>
      <c r="AC379" s="1779"/>
    </row>
    <row r="380" spans="1:29">
      <c r="A380" s="1779"/>
      <c r="B380" s="1779"/>
      <c r="C380" s="1779"/>
      <c r="D380" s="1779"/>
      <c r="E380" s="1779"/>
      <c r="F380" s="1779"/>
      <c r="G380" s="1779"/>
      <c r="H380" s="1779"/>
      <c r="I380" s="1779"/>
      <c r="J380" s="1779"/>
      <c r="K380" s="1780"/>
      <c r="L380" s="1781"/>
      <c r="M380" s="1779"/>
      <c r="N380" s="1779"/>
      <c r="O380" s="1779"/>
      <c r="P380" s="1816"/>
      <c r="Q380" s="1779"/>
      <c r="R380" s="1779"/>
      <c r="S380" s="1779"/>
      <c r="T380" s="1779"/>
      <c r="U380" s="1779"/>
      <c r="V380" s="1779"/>
      <c r="W380" s="1779"/>
      <c r="X380" s="1779"/>
      <c r="Y380" s="1779"/>
      <c r="Z380" s="1779"/>
      <c r="AA380" s="1779"/>
      <c r="AB380" s="1779"/>
      <c r="AC380" s="1779"/>
    </row>
    <row r="381" spans="1:29">
      <c r="A381" s="1779"/>
      <c r="B381" s="1779"/>
      <c r="C381" s="1779"/>
      <c r="D381" s="1779"/>
      <c r="E381" s="1779"/>
      <c r="F381" s="1779"/>
      <c r="G381" s="1779"/>
      <c r="H381" s="1779"/>
      <c r="I381" s="1779"/>
      <c r="J381" s="1779"/>
      <c r="K381" s="1780"/>
      <c r="L381" s="1781"/>
      <c r="M381" s="1779"/>
      <c r="N381" s="1779"/>
      <c r="O381" s="1779"/>
      <c r="P381" s="1816"/>
      <c r="Q381" s="1779"/>
      <c r="R381" s="1779"/>
      <c r="S381" s="1779"/>
      <c r="T381" s="1779"/>
      <c r="U381" s="1779"/>
      <c r="V381" s="1779"/>
      <c r="W381" s="1779"/>
      <c r="X381" s="1779"/>
      <c r="Y381" s="1779"/>
      <c r="Z381" s="1779"/>
      <c r="AA381" s="1779"/>
      <c r="AB381" s="1779"/>
      <c r="AC381" s="1779"/>
    </row>
    <row r="382" spans="1:29">
      <c r="A382" s="1779"/>
      <c r="B382" s="1779"/>
      <c r="C382" s="1779"/>
      <c r="D382" s="1779"/>
      <c r="E382" s="1779"/>
      <c r="F382" s="1779"/>
      <c r="G382" s="1779"/>
      <c r="H382" s="1779"/>
      <c r="I382" s="1779"/>
      <c r="J382" s="1779"/>
      <c r="K382" s="1780"/>
      <c r="L382" s="1781"/>
      <c r="M382" s="1779"/>
      <c r="N382" s="1779"/>
      <c r="O382" s="1779"/>
      <c r="P382" s="1816"/>
      <c r="Q382" s="1779"/>
      <c r="R382" s="1779"/>
      <c r="S382" s="1779"/>
      <c r="T382" s="1779"/>
      <c r="U382" s="1779"/>
      <c r="V382" s="1779"/>
      <c r="W382" s="1779"/>
      <c r="X382" s="1779"/>
      <c r="Y382" s="1779"/>
      <c r="Z382" s="1779"/>
      <c r="AA382" s="1779"/>
      <c r="AB382" s="1779"/>
      <c r="AC382" s="1779"/>
    </row>
    <row r="383" spans="1:29">
      <c r="A383" s="1779"/>
      <c r="B383" s="1779"/>
      <c r="C383" s="1779"/>
      <c r="D383" s="1779"/>
      <c r="E383" s="1779"/>
      <c r="F383" s="1779"/>
      <c r="G383" s="1779"/>
      <c r="H383" s="1779"/>
      <c r="I383" s="1779"/>
      <c r="J383" s="1779"/>
      <c r="K383" s="1780"/>
      <c r="L383" s="1781"/>
      <c r="M383" s="1779"/>
      <c r="N383" s="1779"/>
      <c r="O383" s="1779"/>
      <c r="P383" s="1816"/>
      <c r="Q383" s="1779"/>
      <c r="R383" s="1779"/>
      <c r="S383" s="1779"/>
      <c r="T383" s="1779"/>
      <c r="U383" s="1779"/>
      <c r="V383" s="1779"/>
      <c r="W383" s="1779"/>
      <c r="X383" s="1779"/>
      <c r="Y383" s="1779"/>
      <c r="Z383" s="1779"/>
      <c r="AA383" s="1779"/>
      <c r="AB383" s="1779"/>
      <c r="AC383" s="1779"/>
    </row>
    <row r="384" spans="1:29">
      <c r="A384" s="1779"/>
      <c r="B384" s="1779"/>
      <c r="C384" s="1779"/>
      <c r="D384" s="1779"/>
      <c r="E384" s="1779"/>
      <c r="F384" s="1779"/>
      <c r="G384" s="1779"/>
      <c r="H384" s="1779"/>
      <c r="I384" s="1779"/>
      <c r="J384" s="1779"/>
      <c r="K384" s="1780"/>
      <c r="L384" s="1781"/>
      <c r="M384" s="1779"/>
      <c r="N384" s="1779"/>
      <c r="O384" s="1779"/>
      <c r="P384" s="1816"/>
      <c r="Q384" s="1779"/>
      <c r="R384" s="1779"/>
      <c r="S384" s="1779"/>
      <c r="T384" s="1779"/>
      <c r="U384" s="1779"/>
      <c r="V384" s="1779"/>
      <c r="W384" s="1779"/>
      <c r="X384" s="1779"/>
      <c r="Y384" s="1779"/>
      <c r="Z384" s="1779"/>
      <c r="AA384" s="1779"/>
      <c r="AB384" s="1779"/>
      <c r="AC384" s="1779"/>
    </row>
    <row r="385" spans="1:29">
      <c r="A385" s="1779"/>
      <c r="B385" s="1779"/>
      <c r="C385" s="1779"/>
      <c r="D385" s="1779"/>
      <c r="E385" s="1779"/>
      <c r="F385" s="1779"/>
      <c r="G385" s="1779"/>
      <c r="H385" s="1779"/>
      <c r="I385" s="1779"/>
      <c r="J385" s="1779"/>
      <c r="K385" s="1780"/>
      <c r="L385" s="1781"/>
      <c r="M385" s="1779"/>
      <c r="N385" s="1779"/>
      <c r="O385" s="1779"/>
      <c r="P385" s="1816"/>
      <c r="Q385" s="1779"/>
      <c r="R385" s="1779"/>
      <c r="S385" s="1779"/>
      <c r="T385" s="1779"/>
      <c r="U385" s="1779"/>
      <c r="V385" s="1779"/>
      <c r="W385" s="1779"/>
      <c r="X385" s="1779"/>
      <c r="Y385" s="1779"/>
      <c r="Z385" s="1779"/>
      <c r="AA385" s="1779"/>
      <c r="AB385" s="1779"/>
      <c r="AC385" s="1779"/>
    </row>
    <row r="386" spans="1:29">
      <c r="A386" s="1779"/>
      <c r="B386" s="1779"/>
      <c r="C386" s="1779"/>
      <c r="D386" s="1779"/>
      <c r="E386" s="1779"/>
      <c r="F386" s="1779"/>
      <c r="G386" s="1779"/>
      <c r="H386" s="1779"/>
      <c r="I386" s="1779"/>
      <c r="J386" s="1779"/>
      <c r="K386" s="1780"/>
      <c r="L386" s="1781"/>
      <c r="M386" s="1779"/>
      <c r="N386" s="1779"/>
      <c r="O386" s="1779"/>
      <c r="P386" s="1816"/>
      <c r="Q386" s="1779"/>
      <c r="R386" s="1779"/>
      <c r="S386" s="1779"/>
      <c r="T386" s="1779"/>
      <c r="U386" s="1779"/>
      <c r="V386" s="1779"/>
      <c r="W386" s="1779"/>
      <c r="X386" s="1779"/>
      <c r="Y386" s="1779"/>
      <c r="Z386" s="1779"/>
      <c r="AA386" s="1779"/>
      <c r="AB386" s="1779"/>
      <c r="AC386" s="1779"/>
    </row>
    <row r="387" spans="1:29">
      <c r="A387" s="1779"/>
      <c r="B387" s="1779"/>
      <c r="C387" s="1779"/>
      <c r="D387" s="1779"/>
      <c r="E387" s="1779"/>
      <c r="F387" s="1779"/>
      <c r="G387" s="1779"/>
      <c r="H387" s="1779"/>
      <c r="I387" s="1779"/>
      <c r="J387" s="1779"/>
      <c r="K387" s="1780"/>
      <c r="L387" s="1781"/>
      <c r="M387" s="1779"/>
      <c r="N387" s="1779"/>
      <c r="O387" s="1779"/>
      <c r="P387" s="1816"/>
      <c r="Q387" s="1779"/>
      <c r="R387" s="1779"/>
      <c r="S387" s="1779"/>
      <c r="T387" s="1779"/>
      <c r="U387" s="1779"/>
      <c r="V387" s="1779"/>
      <c r="W387" s="1779"/>
      <c r="X387" s="1779"/>
      <c r="Y387" s="1779"/>
      <c r="Z387" s="1779"/>
      <c r="AA387" s="1779"/>
      <c r="AB387" s="1779"/>
      <c r="AC387" s="1779"/>
    </row>
    <row r="388" spans="1:29">
      <c r="A388" s="1779"/>
      <c r="B388" s="1779"/>
      <c r="C388" s="1779"/>
      <c r="D388" s="1779"/>
      <c r="E388" s="1779"/>
      <c r="F388" s="1779"/>
      <c r="G388" s="1779"/>
      <c r="H388" s="1779"/>
      <c r="I388" s="1779"/>
      <c r="J388" s="1779"/>
      <c r="K388" s="1780"/>
      <c r="L388" s="1781"/>
      <c r="M388" s="1779"/>
      <c r="N388" s="1779"/>
      <c r="O388" s="1779"/>
      <c r="P388" s="1816"/>
      <c r="Q388" s="1779"/>
      <c r="R388" s="1779"/>
      <c r="S388" s="1779"/>
      <c r="T388" s="1779"/>
      <c r="U388" s="1779"/>
      <c r="V388" s="1779"/>
      <c r="W388" s="1779"/>
      <c r="X388" s="1779"/>
      <c r="Y388" s="1779"/>
      <c r="Z388" s="1779"/>
      <c r="AA388" s="1779"/>
      <c r="AB388" s="1779"/>
      <c r="AC388" s="1779"/>
    </row>
    <row r="389" spans="1:29">
      <c r="A389" s="1779"/>
      <c r="B389" s="1779"/>
      <c r="C389" s="1779"/>
      <c r="D389" s="1779"/>
      <c r="E389" s="1779"/>
      <c r="F389" s="1779"/>
      <c r="G389" s="1779"/>
      <c r="H389" s="1779"/>
      <c r="I389" s="1779"/>
      <c r="J389" s="1779"/>
      <c r="K389" s="1780"/>
      <c r="L389" s="1781"/>
      <c r="M389" s="1779"/>
      <c r="N389" s="1779"/>
      <c r="O389" s="1779"/>
      <c r="P389" s="1816"/>
      <c r="Q389" s="1779"/>
      <c r="R389" s="1779"/>
      <c r="S389" s="1779"/>
      <c r="T389" s="1779"/>
      <c r="U389" s="1779"/>
      <c r="V389" s="1779"/>
      <c r="W389" s="1779"/>
      <c r="X389" s="1779"/>
      <c r="Y389" s="1779"/>
      <c r="Z389" s="1779"/>
      <c r="AA389" s="1779"/>
      <c r="AB389" s="1779"/>
      <c r="AC389" s="1779"/>
    </row>
    <row r="390" spans="1:29">
      <c r="A390" s="1779"/>
      <c r="B390" s="1779"/>
      <c r="C390" s="1779"/>
      <c r="D390" s="1779"/>
      <c r="E390" s="1779"/>
      <c r="F390" s="1779"/>
      <c r="G390" s="1779"/>
      <c r="H390" s="1779"/>
      <c r="I390" s="1779"/>
      <c r="J390" s="1779"/>
      <c r="K390" s="1780"/>
      <c r="L390" s="1781"/>
      <c r="M390" s="1779"/>
      <c r="N390" s="1779"/>
      <c r="O390" s="1779"/>
      <c r="P390" s="1816"/>
      <c r="Q390" s="1779"/>
      <c r="R390" s="1779"/>
      <c r="S390" s="1779"/>
      <c r="T390" s="1779"/>
      <c r="U390" s="1779"/>
      <c r="V390" s="1779"/>
      <c r="W390" s="1779"/>
      <c r="X390" s="1779"/>
      <c r="Y390" s="1779"/>
      <c r="Z390" s="1779"/>
      <c r="AA390" s="1779"/>
      <c r="AB390" s="1779"/>
      <c r="AC390" s="1779"/>
    </row>
    <row r="391" spans="1:29">
      <c r="A391" s="1779"/>
      <c r="B391" s="1779"/>
      <c r="C391" s="1779"/>
      <c r="D391" s="1779"/>
      <c r="E391" s="1779"/>
      <c r="F391" s="1779"/>
      <c r="G391" s="1779"/>
      <c r="H391" s="1779"/>
      <c r="I391" s="1779"/>
      <c r="J391" s="1779"/>
      <c r="K391" s="1780"/>
      <c r="L391" s="1781"/>
      <c r="M391" s="1779"/>
      <c r="N391" s="1779"/>
      <c r="O391" s="1779"/>
      <c r="P391" s="1816"/>
      <c r="Q391" s="1779"/>
      <c r="R391" s="1779"/>
      <c r="S391" s="1779"/>
      <c r="T391" s="1779"/>
      <c r="U391" s="1779"/>
      <c r="V391" s="1779"/>
      <c r="W391" s="1779"/>
      <c r="X391" s="1779"/>
      <c r="Y391" s="1779"/>
      <c r="Z391" s="1779"/>
      <c r="AA391" s="1779"/>
      <c r="AB391" s="1779"/>
      <c r="AC391" s="1779"/>
    </row>
    <row r="392" spans="1:29">
      <c r="A392" s="1779"/>
      <c r="B392" s="1779"/>
      <c r="C392" s="1779"/>
      <c r="D392" s="1779"/>
      <c r="E392" s="1779"/>
      <c r="F392" s="1779"/>
      <c r="G392" s="1779"/>
      <c r="H392" s="1779"/>
      <c r="I392" s="1779"/>
      <c r="J392" s="1779"/>
      <c r="K392" s="1780"/>
      <c r="L392" s="1781"/>
      <c r="M392" s="1779"/>
      <c r="N392" s="1779"/>
      <c r="O392" s="1779"/>
      <c r="P392" s="1816"/>
      <c r="Q392" s="1779"/>
      <c r="R392" s="1779"/>
      <c r="S392" s="1779"/>
      <c r="T392" s="1779"/>
      <c r="U392" s="1779"/>
      <c r="V392" s="1779"/>
      <c r="W392" s="1779"/>
      <c r="X392" s="1779"/>
      <c r="Y392" s="1779"/>
      <c r="Z392" s="1779"/>
      <c r="AA392" s="1779"/>
      <c r="AB392" s="1779"/>
      <c r="AC392" s="1779"/>
    </row>
    <row r="393" spans="1:29">
      <c r="A393" s="1779"/>
      <c r="B393" s="1779"/>
      <c r="C393" s="1779"/>
      <c r="D393" s="1779"/>
      <c r="E393" s="1779"/>
      <c r="F393" s="1779"/>
      <c r="G393" s="1779"/>
      <c r="H393" s="1779"/>
      <c r="I393" s="1779"/>
      <c r="J393" s="1779"/>
      <c r="K393" s="1780"/>
      <c r="L393" s="1781"/>
      <c r="M393" s="1779"/>
      <c r="N393" s="1779"/>
      <c r="O393" s="1779"/>
      <c r="P393" s="1816"/>
      <c r="Q393" s="1779"/>
      <c r="R393" s="1779"/>
      <c r="S393" s="1779"/>
      <c r="T393" s="1779"/>
      <c r="U393" s="1779"/>
      <c r="V393" s="1779"/>
      <c r="W393" s="1779"/>
      <c r="X393" s="1779"/>
      <c r="Y393" s="1779"/>
      <c r="Z393" s="1779"/>
      <c r="AA393" s="1779"/>
      <c r="AB393" s="1779"/>
      <c r="AC393" s="1779"/>
    </row>
    <row r="394" spans="1:29">
      <c r="A394" s="1779"/>
      <c r="B394" s="1779"/>
      <c r="C394" s="1779"/>
      <c r="D394" s="1779"/>
      <c r="E394" s="1779"/>
      <c r="F394" s="1779"/>
      <c r="G394" s="1779"/>
      <c r="H394" s="1779"/>
      <c r="I394" s="1779"/>
      <c r="J394" s="1779"/>
      <c r="K394" s="1780"/>
      <c r="L394" s="1781"/>
      <c r="M394" s="1779"/>
      <c r="N394" s="1779"/>
      <c r="O394" s="1779"/>
      <c r="P394" s="1816"/>
      <c r="Q394" s="1779"/>
      <c r="R394" s="1779"/>
      <c r="S394" s="1779"/>
      <c r="T394" s="1779"/>
      <c r="U394" s="1779"/>
      <c r="V394" s="1779"/>
      <c r="W394" s="1779"/>
      <c r="X394" s="1779"/>
      <c r="Y394" s="1779"/>
      <c r="Z394" s="1779"/>
      <c r="AA394" s="1779"/>
      <c r="AB394" s="1779"/>
      <c r="AC394" s="1779"/>
    </row>
    <row r="395" spans="1:29">
      <c r="A395" s="1779"/>
      <c r="B395" s="1779"/>
      <c r="C395" s="1779"/>
      <c r="D395" s="1779"/>
      <c r="E395" s="1779"/>
      <c r="F395" s="1779"/>
      <c r="G395" s="1779"/>
      <c r="H395" s="1779"/>
      <c r="I395" s="1779"/>
      <c r="J395" s="1779"/>
      <c r="K395" s="1780"/>
      <c r="L395" s="1781"/>
      <c r="M395" s="1779"/>
      <c r="N395" s="1779"/>
      <c r="O395" s="1779"/>
      <c r="P395" s="1816"/>
      <c r="Q395" s="1779"/>
      <c r="R395" s="1779"/>
      <c r="S395" s="1779"/>
      <c r="T395" s="1779"/>
      <c r="U395" s="1779"/>
      <c r="V395" s="1779"/>
      <c r="W395" s="1779"/>
      <c r="X395" s="1779"/>
      <c r="Y395" s="1779"/>
      <c r="Z395" s="1779"/>
      <c r="AA395" s="1779"/>
      <c r="AB395" s="1779"/>
      <c r="AC395" s="1779"/>
    </row>
    <row r="396" spans="1:29">
      <c r="A396" s="1779"/>
      <c r="B396" s="1779"/>
      <c r="C396" s="1779"/>
      <c r="D396" s="1779"/>
      <c r="E396" s="1779"/>
      <c r="F396" s="1779"/>
      <c r="G396" s="1779"/>
      <c r="H396" s="1779"/>
      <c r="I396" s="1779"/>
      <c r="J396" s="1779"/>
      <c r="K396" s="1780"/>
      <c r="L396" s="1781"/>
      <c r="M396" s="1779"/>
      <c r="N396" s="1779"/>
      <c r="O396" s="1779"/>
      <c r="P396" s="1816"/>
      <c r="Q396" s="1779"/>
      <c r="R396" s="1779"/>
      <c r="S396" s="1779"/>
      <c r="T396" s="1779"/>
      <c r="U396" s="1779"/>
      <c r="V396" s="1779"/>
      <c r="W396" s="1779"/>
      <c r="X396" s="1779"/>
      <c r="Y396" s="1779"/>
      <c r="Z396" s="1779"/>
      <c r="AA396" s="1779"/>
      <c r="AB396" s="1779"/>
      <c r="AC396" s="1779"/>
    </row>
    <row r="397" spans="1:29">
      <c r="A397" s="1779"/>
      <c r="B397" s="1779"/>
      <c r="C397" s="1779"/>
      <c r="D397" s="1779"/>
      <c r="E397" s="1779"/>
      <c r="F397" s="1779"/>
      <c r="G397" s="1779"/>
      <c r="H397" s="1779"/>
      <c r="I397" s="1779"/>
      <c r="J397" s="1779"/>
      <c r="K397" s="1780"/>
      <c r="L397" s="1781"/>
      <c r="M397" s="1779"/>
      <c r="N397" s="1779"/>
      <c r="O397" s="1779"/>
      <c r="P397" s="1816"/>
      <c r="Q397" s="1779"/>
      <c r="R397" s="1779"/>
      <c r="S397" s="1779"/>
      <c r="T397" s="1779"/>
      <c r="U397" s="1779"/>
      <c r="V397" s="1779"/>
      <c r="W397" s="1779"/>
      <c r="X397" s="1779"/>
      <c r="Y397" s="1779"/>
      <c r="Z397" s="1779"/>
      <c r="AA397" s="1779"/>
      <c r="AB397" s="1779"/>
      <c r="AC397" s="1779"/>
    </row>
    <row r="398" spans="1:29">
      <c r="A398" s="1779"/>
      <c r="B398" s="1779"/>
      <c r="C398" s="1779"/>
      <c r="D398" s="1779"/>
      <c r="E398" s="1779"/>
      <c r="F398" s="1779"/>
      <c r="G398" s="1779"/>
      <c r="H398" s="1779"/>
      <c r="I398" s="1779"/>
      <c r="J398" s="1779"/>
      <c r="K398" s="1780"/>
      <c r="L398" s="1781"/>
      <c r="M398" s="1779"/>
      <c r="N398" s="1779"/>
      <c r="O398" s="1779"/>
      <c r="P398" s="1816"/>
      <c r="Q398" s="1779"/>
      <c r="R398" s="1779"/>
      <c r="S398" s="1779"/>
      <c r="T398" s="1779"/>
      <c r="U398" s="1779"/>
      <c r="V398" s="1779"/>
      <c r="W398" s="1779"/>
      <c r="X398" s="1779"/>
      <c r="Y398" s="1779"/>
      <c r="Z398" s="1779"/>
      <c r="AA398" s="1779"/>
      <c r="AB398" s="1779"/>
      <c r="AC398" s="1779"/>
    </row>
    <row r="399" spans="1:29">
      <c r="A399" s="1779"/>
      <c r="B399" s="1779"/>
      <c r="C399" s="1779"/>
      <c r="D399" s="1779"/>
      <c r="E399" s="1779"/>
      <c r="F399" s="1779"/>
      <c r="G399" s="1779"/>
      <c r="H399" s="1779"/>
      <c r="I399" s="1779"/>
      <c r="J399" s="1779"/>
      <c r="K399" s="1780"/>
      <c r="L399" s="1781"/>
      <c r="M399" s="1779"/>
      <c r="N399" s="1779"/>
      <c r="O399" s="1779"/>
      <c r="P399" s="1816"/>
      <c r="Q399" s="1779"/>
      <c r="R399" s="1779"/>
      <c r="S399" s="1779"/>
      <c r="T399" s="1779"/>
      <c r="U399" s="1779"/>
      <c r="V399" s="1779"/>
      <c r="W399" s="1779"/>
      <c r="X399" s="1779"/>
      <c r="Y399" s="1779"/>
      <c r="Z399" s="1779"/>
      <c r="AA399" s="1779"/>
      <c r="AB399" s="1779"/>
      <c r="AC399" s="1779"/>
    </row>
    <row r="400" spans="1:29">
      <c r="A400" s="1779"/>
      <c r="B400" s="1779"/>
      <c r="C400" s="1779"/>
      <c r="D400" s="1779"/>
      <c r="E400" s="1779"/>
      <c r="F400" s="1779"/>
      <c r="G400" s="1779"/>
      <c r="H400" s="1779"/>
      <c r="I400" s="1779"/>
      <c r="J400" s="1779"/>
      <c r="K400" s="1780"/>
      <c r="L400" s="1781"/>
      <c r="M400" s="1779"/>
      <c r="N400" s="1779"/>
      <c r="O400" s="1779"/>
      <c r="P400" s="1816"/>
      <c r="Q400" s="1779"/>
      <c r="R400" s="1779"/>
      <c r="S400" s="1779"/>
      <c r="T400" s="1779"/>
      <c r="U400" s="1779"/>
      <c r="V400" s="1779"/>
      <c r="W400" s="1779"/>
      <c r="X400" s="1779"/>
      <c r="Y400" s="1779"/>
      <c r="Z400" s="1779"/>
      <c r="AA400" s="1779"/>
      <c r="AB400" s="1779"/>
      <c r="AC400" s="1779"/>
    </row>
    <row r="401" spans="1:29">
      <c r="A401" s="1779"/>
      <c r="B401" s="1779"/>
      <c r="C401" s="1779"/>
      <c r="D401" s="1779"/>
      <c r="E401" s="1779"/>
      <c r="F401" s="1779"/>
      <c r="G401" s="1779"/>
      <c r="H401" s="1779"/>
      <c r="I401" s="1779"/>
      <c r="J401" s="1779"/>
      <c r="K401" s="1780"/>
      <c r="L401" s="1781"/>
      <c r="M401" s="1779"/>
      <c r="N401" s="1779"/>
      <c r="O401" s="1779"/>
      <c r="P401" s="1816"/>
      <c r="Q401" s="1779"/>
      <c r="R401" s="1779"/>
      <c r="S401" s="1779"/>
      <c r="T401" s="1779"/>
      <c r="U401" s="1779"/>
      <c r="V401" s="1779"/>
      <c r="W401" s="1779"/>
      <c r="X401" s="1779"/>
      <c r="Y401" s="1779"/>
      <c r="Z401" s="1779"/>
      <c r="AA401" s="1779"/>
      <c r="AB401" s="1779"/>
      <c r="AC401" s="1779"/>
    </row>
    <row r="402" spans="1:29">
      <c r="A402" s="1779"/>
      <c r="B402" s="1779"/>
      <c r="C402" s="1779"/>
      <c r="D402" s="1779"/>
      <c r="E402" s="1779"/>
      <c r="F402" s="1779"/>
      <c r="G402" s="1779"/>
      <c r="H402" s="1779"/>
      <c r="I402" s="1779"/>
      <c r="J402" s="1779"/>
      <c r="K402" s="1780"/>
      <c r="L402" s="1781"/>
      <c r="M402" s="1779"/>
      <c r="N402" s="1779"/>
      <c r="O402" s="1779"/>
      <c r="P402" s="1816"/>
      <c r="Q402" s="1779"/>
      <c r="R402" s="1779"/>
      <c r="S402" s="1779"/>
      <c r="T402" s="1779"/>
      <c r="U402" s="1779"/>
      <c r="V402" s="1779"/>
      <c r="W402" s="1779"/>
      <c r="X402" s="1779"/>
      <c r="Y402" s="1779"/>
      <c r="Z402" s="1779"/>
      <c r="AA402" s="1779"/>
      <c r="AB402" s="1779"/>
      <c r="AC402" s="1779"/>
    </row>
    <row r="403" spans="1:29">
      <c r="A403" s="1779"/>
      <c r="B403" s="1779"/>
      <c r="C403" s="1779"/>
      <c r="D403" s="1779"/>
      <c r="E403" s="1779"/>
      <c r="F403" s="1779"/>
      <c r="G403" s="1779"/>
      <c r="H403" s="1779"/>
      <c r="I403" s="1779"/>
      <c r="J403" s="1779"/>
      <c r="K403" s="1780"/>
      <c r="L403" s="1781"/>
      <c r="M403" s="1779"/>
      <c r="N403" s="1779"/>
      <c r="O403" s="1779"/>
      <c r="P403" s="1816"/>
      <c r="Q403" s="1779"/>
      <c r="R403" s="1779"/>
      <c r="S403" s="1779"/>
      <c r="T403" s="1779"/>
      <c r="U403" s="1779"/>
      <c r="V403" s="1779"/>
      <c r="W403" s="1779"/>
      <c r="X403" s="1779"/>
      <c r="Y403" s="1779"/>
      <c r="Z403" s="1779"/>
      <c r="AA403" s="1779"/>
      <c r="AB403" s="1779"/>
      <c r="AC403" s="1779"/>
    </row>
    <row r="404" spans="1:29">
      <c r="A404" s="1779"/>
      <c r="B404" s="1779"/>
      <c r="C404" s="1779"/>
      <c r="D404" s="1779"/>
      <c r="E404" s="1779"/>
      <c r="F404" s="1779"/>
      <c r="G404" s="1779"/>
      <c r="H404" s="1779"/>
      <c r="I404" s="1779"/>
      <c r="J404" s="1779"/>
      <c r="K404" s="1780"/>
      <c r="L404" s="1781"/>
      <c r="M404" s="1779"/>
      <c r="N404" s="1779"/>
      <c r="O404" s="1779"/>
      <c r="P404" s="1816"/>
      <c r="Q404" s="1779"/>
      <c r="R404" s="1779"/>
      <c r="S404" s="1779"/>
      <c r="T404" s="1779"/>
      <c r="U404" s="1779"/>
      <c r="V404" s="1779"/>
      <c r="W404" s="1779"/>
      <c r="X404" s="1779"/>
      <c r="Y404" s="1779"/>
      <c r="Z404" s="1779"/>
      <c r="AA404" s="1779"/>
      <c r="AB404" s="1779"/>
      <c r="AC404" s="1779"/>
    </row>
    <row r="405" spans="1:29">
      <c r="A405" s="1779"/>
      <c r="B405" s="1779"/>
      <c r="C405" s="1779"/>
      <c r="D405" s="1779"/>
      <c r="E405" s="1779"/>
      <c r="F405" s="1779"/>
      <c r="G405" s="1779"/>
      <c r="H405" s="1779"/>
      <c r="I405" s="1779"/>
      <c r="J405" s="1779"/>
      <c r="K405" s="1780"/>
      <c r="L405" s="1781"/>
      <c r="M405" s="1779"/>
      <c r="N405" s="1779"/>
      <c r="O405" s="1779"/>
      <c r="P405" s="1816"/>
      <c r="Q405" s="1779"/>
      <c r="R405" s="1779"/>
      <c r="S405" s="1779"/>
      <c r="T405" s="1779"/>
      <c r="U405" s="1779"/>
      <c r="V405" s="1779"/>
      <c r="W405" s="1779"/>
      <c r="X405" s="1779"/>
      <c r="Y405" s="1779"/>
      <c r="Z405" s="1779"/>
      <c r="AA405" s="1779"/>
      <c r="AB405" s="1779"/>
      <c r="AC405" s="1779"/>
    </row>
    <row r="406" spans="1:29">
      <c r="A406" s="1779"/>
      <c r="B406" s="1779"/>
      <c r="C406" s="1779"/>
      <c r="D406" s="1779"/>
      <c r="E406" s="1779"/>
      <c r="F406" s="1779"/>
      <c r="G406" s="1779"/>
      <c r="H406" s="1779"/>
      <c r="I406" s="1779"/>
      <c r="J406" s="1779"/>
      <c r="K406" s="1780"/>
      <c r="L406" s="1781"/>
      <c r="M406" s="1779"/>
      <c r="N406" s="1779"/>
      <c r="O406" s="1779"/>
      <c r="P406" s="1816"/>
      <c r="Q406" s="1779"/>
      <c r="R406" s="1779"/>
      <c r="S406" s="1779"/>
      <c r="T406" s="1779"/>
      <c r="U406" s="1779"/>
      <c r="V406" s="1779"/>
      <c r="W406" s="1779"/>
      <c r="X406" s="1779"/>
      <c r="Y406" s="1779"/>
      <c r="Z406" s="1779"/>
      <c r="AA406" s="1779"/>
      <c r="AB406" s="1779"/>
      <c r="AC406" s="1779"/>
    </row>
    <row r="407" spans="1:29">
      <c r="A407" s="1779"/>
      <c r="B407" s="1779"/>
      <c r="C407" s="1779"/>
      <c r="D407" s="1779"/>
      <c r="E407" s="1779"/>
      <c r="F407" s="1779"/>
      <c r="G407" s="1779"/>
      <c r="H407" s="1779"/>
      <c r="I407" s="1779"/>
      <c r="J407" s="1779"/>
      <c r="K407" s="1780"/>
      <c r="L407" s="1781"/>
      <c r="M407" s="1779"/>
      <c r="N407" s="1779"/>
      <c r="O407" s="1779"/>
      <c r="P407" s="1816"/>
      <c r="Q407" s="1779"/>
      <c r="R407" s="1779"/>
      <c r="S407" s="1779"/>
      <c r="T407" s="1779"/>
      <c r="U407" s="1779"/>
      <c r="V407" s="1779"/>
      <c r="W407" s="1779"/>
      <c r="X407" s="1779"/>
      <c r="Y407" s="1779"/>
      <c r="Z407" s="1779"/>
      <c r="AA407" s="1779"/>
      <c r="AB407" s="1779"/>
      <c r="AC407" s="1779"/>
    </row>
    <row r="408" spans="1:29">
      <c r="A408" s="1779"/>
      <c r="B408" s="1779"/>
      <c r="C408" s="1779"/>
      <c r="D408" s="1779"/>
      <c r="E408" s="1779"/>
      <c r="F408" s="1779"/>
      <c r="G408" s="1779"/>
      <c r="H408" s="1779"/>
      <c r="I408" s="1779"/>
      <c r="J408" s="1779"/>
      <c r="K408" s="1780"/>
      <c r="L408" s="1781"/>
      <c r="M408" s="1779"/>
      <c r="N408" s="1779"/>
      <c r="O408" s="1779"/>
      <c r="P408" s="1816"/>
      <c r="Q408" s="1779"/>
      <c r="R408" s="1779"/>
      <c r="S408" s="1779"/>
      <c r="T408" s="1779"/>
      <c r="U408" s="1779"/>
      <c r="V408" s="1779"/>
      <c r="W408" s="1779"/>
      <c r="X408" s="1779"/>
      <c r="Y408" s="1779"/>
      <c r="Z408" s="1779"/>
      <c r="AA408" s="1779"/>
      <c r="AB408" s="1779"/>
      <c r="AC408" s="1779"/>
    </row>
    <row r="409" spans="1:29">
      <c r="A409" s="1779"/>
      <c r="B409" s="1779"/>
      <c r="C409" s="1779"/>
      <c r="D409" s="1779"/>
      <c r="E409" s="1779"/>
      <c r="F409" s="1779"/>
      <c r="G409" s="1779"/>
      <c r="H409" s="1779"/>
      <c r="I409" s="1779"/>
      <c r="J409" s="1779"/>
      <c r="K409" s="1780"/>
      <c r="L409" s="1781"/>
      <c r="M409" s="1779"/>
      <c r="N409" s="1779"/>
      <c r="O409" s="1779"/>
      <c r="P409" s="1816"/>
      <c r="Q409" s="1779"/>
      <c r="R409" s="1779"/>
      <c r="S409" s="1779"/>
      <c r="T409" s="1779"/>
      <c r="U409" s="1779"/>
      <c r="V409" s="1779"/>
      <c r="W409" s="1779"/>
      <c r="X409" s="1779"/>
      <c r="Y409" s="1779"/>
      <c r="Z409" s="1779"/>
      <c r="AA409" s="1779"/>
      <c r="AB409" s="1779"/>
      <c r="AC409" s="1779"/>
    </row>
    <row r="410" spans="1:29">
      <c r="A410" s="1779"/>
      <c r="B410" s="1779"/>
      <c r="C410" s="1779"/>
      <c r="D410" s="1779"/>
      <c r="E410" s="1779"/>
      <c r="F410" s="1779"/>
      <c r="G410" s="1779"/>
      <c r="H410" s="1779"/>
      <c r="I410" s="1779"/>
      <c r="J410" s="1779"/>
      <c r="K410" s="1780"/>
      <c r="L410" s="1781"/>
      <c r="M410" s="1779"/>
      <c r="N410" s="1779"/>
      <c r="O410" s="1779"/>
      <c r="P410" s="1816"/>
      <c r="Q410" s="1779"/>
      <c r="R410" s="1779"/>
      <c r="S410" s="1779"/>
      <c r="T410" s="1779"/>
      <c r="U410" s="1779"/>
      <c r="V410" s="1779"/>
      <c r="W410" s="1779"/>
      <c r="X410" s="1779"/>
      <c r="Y410" s="1779"/>
      <c r="Z410" s="1779"/>
      <c r="AA410" s="1779"/>
      <c r="AB410" s="1779"/>
      <c r="AC410" s="1779"/>
    </row>
    <row r="411" spans="1:29">
      <c r="A411" s="1779"/>
      <c r="B411" s="1779"/>
      <c r="C411" s="1779"/>
      <c r="D411" s="1779"/>
      <c r="E411" s="1779"/>
      <c r="F411" s="1779"/>
      <c r="G411" s="1779"/>
      <c r="H411" s="1779"/>
      <c r="I411" s="1779"/>
      <c r="J411" s="1779"/>
      <c r="K411" s="1780"/>
      <c r="L411" s="1781"/>
      <c r="M411" s="1779"/>
      <c r="N411" s="1779"/>
      <c r="O411" s="1779"/>
      <c r="P411" s="1816"/>
      <c r="Q411" s="1779"/>
      <c r="R411" s="1779"/>
      <c r="S411" s="1779"/>
      <c r="T411" s="1779"/>
      <c r="U411" s="1779"/>
      <c r="V411" s="1779"/>
      <c r="W411" s="1779"/>
      <c r="X411" s="1779"/>
      <c r="Y411" s="1779"/>
      <c r="Z411" s="1779"/>
      <c r="AA411" s="1779"/>
      <c r="AB411" s="1779"/>
      <c r="AC411" s="1779"/>
    </row>
    <row r="412" spans="1:29">
      <c r="A412" s="1779"/>
      <c r="B412" s="1779"/>
      <c r="C412" s="1779"/>
      <c r="D412" s="1779"/>
      <c r="E412" s="1779"/>
      <c r="F412" s="1779"/>
      <c r="G412" s="1779"/>
      <c r="H412" s="1779"/>
      <c r="I412" s="1779"/>
      <c r="J412" s="1779"/>
      <c r="K412" s="1780"/>
      <c r="L412" s="1781"/>
      <c r="M412" s="1779"/>
      <c r="N412" s="1779"/>
      <c r="O412" s="1779"/>
      <c r="P412" s="1816"/>
      <c r="Q412" s="1779"/>
      <c r="R412" s="1779"/>
      <c r="S412" s="1779"/>
      <c r="T412" s="1779"/>
      <c r="U412" s="1779"/>
      <c r="V412" s="1779"/>
      <c r="W412" s="1779"/>
      <c r="X412" s="1779"/>
      <c r="Y412" s="1779"/>
      <c r="Z412" s="1779"/>
      <c r="AA412" s="1779"/>
      <c r="AB412" s="1779"/>
      <c r="AC412" s="1779"/>
    </row>
    <row r="413" spans="1:29">
      <c r="A413" s="1779"/>
      <c r="B413" s="1779"/>
      <c r="C413" s="1779"/>
      <c r="D413" s="1779"/>
      <c r="E413" s="1779"/>
      <c r="F413" s="1779"/>
      <c r="G413" s="1779"/>
      <c r="H413" s="1779"/>
      <c r="I413" s="1779"/>
      <c r="J413" s="1779"/>
      <c r="K413" s="1780"/>
      <c r="L413" s="1781"/>
      <c r="M413" s="1779"/>
      <c r="N413" s="1779"/>
      <c r="O413" s="1779"/>
      <c r="P413" s="1816"/>
      <c r="Q413" s="1779"/>
      <c r="R413" s="1779"/>
      <c r="S413" s="1779"/>
      <c r="T413" s="1779"/>
      <c r="U413" s="1779"/>
      <c r="V413" s="1779"/>
      <c r="W413" s="1779"/>
      <c r="X413" s="1779"/>
      <c r="Y413" s="1779"/>
      <c r="Z413" s="1779"/>
      <c r="AA413" s="1779"/>
      <c r="AB413" s="1779"/>
      <c r="AC413" s="1779"/>
    </row>
    <row r="414" spans="1:29">
      <c r="A414" s="1779"/>
      <c r="B414" s="1779"/>
      <c r="C414" s="1779"/>
      <c r="D414" s="1779"/>
      <c r="E414" s="1779"/>
      <c r="F414" s="1779"/>
      <c r="G414" s="1779"/>
      <c r="H414" s="1779"/>
      <c r="I414" s="1779"/>
      <c r="J414" s="1779"/>
      <c r="K414" s="1780"/>
      <c r="L414" s="1781"/>
      <c r="M414" s="1779"/>
      <c r="N414" s="1779"/>
      <c r="O414" s="1779"/>
      <c r="P414" s="1816"/>
      <c r="Q414" s="1779"/>
      <c r="R414" s="1779"/>
      <c r="S414" s="1779"/>
      <c r="T414" s="1779"/>
      <c r="U414" s="1779"/>
      <c r="V414" s="1779"/>
      <c r="W414" s="1779"/>
      <c r="X414" s="1779"/>
      <c r="Y414" s="1779"/>
      <c r="Z414" s="1779"/>
      <c r="AA414" s="1779"/>
      <c r="AB414" s="1779"/>
      <c r="AC414" s="1779"/>
    </row>
    <row r="415" spans="1:29">
      <c r="A415" s="1779"/>
      <c r="B415" s="1779"/>
      <c r="C415" s="1779"/>
      <c r="D415" s="1779"/>
      <c r="E415" s="1779"/>
      <c r="F415" s="1779"/>
      <c r="G415" s="1779"/>
      <c r="H415" s="1779"/>
      <c r="I415" s="1779"/>
      <c r="J415" s="1779"/>
      <c r="K415" s="1780"/>
      <c r="L415" s="1781"/>
      <c r="M415" s="1779"/>
      <c r="N415" s="1779"/>
      <c r="O415" s="1779"/>
      <c r="P415" s="1816"/>
      <c r="Q415" s="1779"/>
      <c r="R415" s="1779"/>
      <c r="S415" s="1779"/>
      <c r="T415" s="1779"/>
      <c r="U415" s="1779"/>
      <c r="V415" s="1779"/>
      <c r="W415" s="1779"/>
      <c r="X415" s="1779"/>
      <c r="Y415" s="1779"/>
      <c r="Z415" s="1779"/>
      <c r="AA415" s="1779"/>
      <c r="AB415" s="1779"/>
      <c r="AC415" s="1779"/>
    </row>
    <row r="416" spans="1:29">
      <c r="A416" s="1779"/>
      <c r="B416" s="1779"/>
      <c r="C416" s="1779"/>
      <c r="D416" s="1779"/>
      <c r="E416" s="1779"/>
      <c r="F416" s="1779"/>
      <c r="G416" s="1779"/>
      <c r="H416" s="1779"/>
      <c r="I416" s="1779"/>
      <c r="J416" s="1779"/>
      <c r="K416" s="1780"/>
      <c r="L416" s="1781"/>
      <c r="M416" s="1779"/>
      <c r="N416" s="1779"/>
      <c r="O416" s="1779"/>
      <c r="P416" s="1816"/>
      <c r="Q416" s="1779"/>
      <c r="R416" s="1779"/>
      <c r="S416" s="1779"/>
      <c r="T416" s="1779"/>
      <c r="U416" s="1779"/>
      <c r="V416" s="1779"/>
      <c r="W416" s="1779"/>
      <c r="X416" s="1779"/>
      <c r="Y416" s="1779"/>
      <c r="Z416" s="1779"/>
      <c r="AA416" s="1779"/>
      <c r="AB416" s="1779"/>
      <c r="AC416" s="1779"/>
    </row>
    <row r="417" spans="1:29">
      <c r="A417" s="1779"/>
      <c r="B417" s="1779"/>
      <c r="C417" s="1779"/>
      <c r="D417" s="1779"/>
      <c r="E417" s="1779"/>
      <c r="F417" s="1779"/>
      <c r="G417" s="1779"/>
      <c r="H417" s="1779"/>
      <c r="I417" s="1779"/>
      <c r="J417" s="1779"/>
      <c r="K417" s="1780"/>
      <c r="L417" s="1781"/>
      <c r="M417" s="1779"/>
      <c r="N417" s="1779"/>
      <c r="O417" s="1779"/>
      <c r="P417" s="1816"/>
      <c r="Q417" s="1779"/>
      <c r="R417" s="1779"/>
      <c r="S417" s="1779"/>
      <c r="T417" s="1779"/>
      <c r="U417" s="1779"/>
      <c r="V417" s="1779"/>
      <c r="W417" s="1779"/>
      <c r="X417" s="1779"/>
      <c r="Y417" s="1779"/>
      <c r="Z417" s="1779"/>
      <c r="AA417" s="1779"/>
      <c r="AB417" s="1779"/>
      <c r="AC417" s="1779"/>
    </row>
    <row r="418" spans="1:29">
      <c r="A418" s="1779"/>
      <c r="B418" s="1779"/>
      <c r="C418" s="1779"/>
      <c r="D418" s="1779"/>
      <c r="E418" s="1779"/>
      <c r="F418" s="1779"/>
      <c r="G418" s="1779"/>
      <c r="H418" s="1779"/>
      <c r="I418" s="1779"/>
      <c r="J418" s="1779"/>
      <c r="K418" s="1780"/>
      <c r="L418" s="1781"/>
      <c r="M418" s="1779"/>
      <c r="N418" s="1779"/>
      <c r="O418" s="1779"/>
      <c r="P418" s="1816"/>
      <c r="Q418" s="1779"/>
      <c r="R418" s="1779"/>
      <c r="S418" s="1779"/>
      <c r="T418" s="1779"/>
      <c r="U418" s="1779"/>
      <c r="V418" s="1779"/>
      <c r="W418" s="1779"/>
      <c r="X418" s="1779"/>
      <c r="Y418" s="1779"/>
      <c r="Z418" s="1779"/>
      <c r="AA418" s="1779"/>
      <c r="AB418" s="1779"/>
      <c r="AC418" s="1779"/>
    </row>
    <row r="419" spans="1:29">
      <c r="A419" s="1779"/>
      <c r="B419" s="1779"/>
      <c r="C419" s="1779"/>
      <c r="D419" s="1779"/>
      <c r="E419" s="1779"/>
      <c r="F419" s="1779"/>
      <c r="G419" s="1779"/>
      <c r="H419" s="1779"/>
      <c r="I419" s="1779"/>
      <c r="J419" s="1779"/>
      <c r="K419" s="1780"/>
      <c r="L419" s="1781"/>
      <c r="M419" s="1779"/>
      <c r="N419" s="1779"/>
      <c r="O419" s="1779"/>
      <c r="P419" s="1816"/>
      <c r="Q419" s="1779"/>
      <c r="R419" s="1779"/>
      <c r="S419" s="1779"/>
      <c r="T419" s="1779"/>
      <c r="U419" s="1779"/>
      <c r="V419" s="1779"/>
      <c r="W419" s="1779"/>
      <c r="X419" s="1779"/>
      <c r="Y419" s="1779"/>
      <c r="Z419" s="1779"/>
      <c r="AA419" s="1779"/>
      <c r="AB419" s="1779"/>
      <c r="AC419" s="1779"/>
    </row>
    <row r="420" spans="1:29">
      <c r="A420" s="1779"/>
      <c r="B420" s="1779"/>
      <c r="C420" s="1779"/>
      <c r="D420" s="1779"/>
      <c r="E420" s="1779"/>
      <c r="F420" s="1779"/>
      <c r="G420" s="1779"/>
      <c r="H420" s="1779"/>
      <c r="I420" s="1779"/>
      <c r="J420" s="1779"/>
      <c r="K420" s="1780"/>
      <c r="L420" s="1781"/>
      <c r="M420" s="1779"/>
      <c r="N420" s="1779"/>
      <c r="O420" s="1779"/>
      <c r="P420" s="1816"/>
      <c r="Q420" s="1779"/>
      <c r="R420" s="1779"/>
      <c r="S420" s="1779"/>
      <c r="T420" s="1779"/>
      <c r="U420" s="1779"/>
      <c r="V420" s="1779"/>
      <c r="W420" s="1779"/>
      <c r="X420" s="1779"/>
      <c r="Y420" s="1779"/>
      <c r="Z420" s="1779"/>
      <c r="AA420" s="1779"/>
      <c r="AB420" s="1779"/>
      <c r="AC420" s="1779"/>
    </row>
    <row r="421" spans="1:29">
      <c r="A421" s="1779"/>
      <c r="B421" s="1779"/>
      <c r="C421" s="1779"/>
      <c r="D421" s="1779"/>
      <c r="E421" s="1779"/>
      <c r="F421" s="1779"/>
      <c r="G421" s="1779"/>
      <c r="H421" s="1779"/>
      <c r="I421" s="1779"/>
      <c r="J421" s="1779"/>
      <c r="K421" s="1780"/>
      <c r="L421" s="1781"/>
      <c r="M421" s="1779"/>
      <c r="N421" s="1779"/>
      <c r="O421" s="1779"/>
      <c r="P421" s="1816"/>
      <c r="Q421" s="1779"/>
      <c r="R421" s="1779"/>
      <c r="S421" s="1779"/>
      <c r="T421" s="1779"/>
      <c r="U421" s="1779"/>
      <c r="V421" s="1779"/>
      <c r="W421" s="1779"/>
      <c r="X421" s="1779"/>
      <c r="Y421" s="1779"/>
      <c r="Z421" s="1779"/>
      <c r="AA421" s="1779"/>
      <c r="AB421" s="1779"/>
      <c r="AC421" s="1779"/>
    </row>
    <row r="422" spans="1:29">
      <c r="A422" s="1779"/>
      <c r="B422" s="1779"/>
      <c r="C422" s="1779"/>
      <c r="D422" s="1779"/>
      <c r="E422" s="1779"/>
      <c r="F422" s="1779"/>
      <c r="G422" s="1779"/>
      <c r="H422" s="1779"/>
      <c r="I422" s="1779"/>
      <c r="J422" s="1779"/>
      <c r="K422" s="1780"/>
      <c r="L422" s="1781"/>
      <c r="M422" s="1779"/>
      <c r="N422" s="1779"/>
      <c r="O422" s="1779"/>
      <c r="P422" s="1816"/>
      <c r="Q422" s="1779"/>
      <c r="R422" s="1779"/>
      <c r="S422" s="1779"/>
      <c r="T422" s="1779"/>
      <c r="U422" s="1779"/>
      <c r="V422" s="1779"/>
      <c r="W422" s="1779"/>
      <c r="X422" s="1779"/>
      <c r="Y422" s="1779"/>
      <c r="Z422" s="1779"/>
      <c r="AA422" s="1779"/>
      <c r="AB422" s="1779"/>
      <c r="AC422" s="1779"/>
    </row>
    <row r="423" spans="1:29">
      <c r="A423" s="1779"/>
      <c r="B423" s="1779"/>
      <c r="C423" s="1779"/>
      <c r="D423" s="1779"/>
      <c r="E423" s="1779"/>
      <c r="F423" s="1779"/>
      <c r="G423" s="1779"/>
      <c r="H423" s="1779"/>
      <c r="I423" s="1779"/>
      <c r="J423" s="1779"/>
      <c r="K423" s="1780"/>
      <c r="L423" s="1781"/>
      <c r="M423" s="1779"/>
      <c r="N423" s="1779"/>
      <c r="O423" s="1779"/>
      <c r="P423" s="1816"/>
      <c r="Q423" s="1779"/>
      <c r="R423" s="1779"/>
      <c r="S423" s="1779"/>
      <c r="T423" s="1779"/>
      <c r="U423" s="1779"/>
      <c r="V423" s="1779"/>
      <c r="W423" s="1779"/>
      <c r="X423" s="1779"/>
      <c r="Y423" s="1779"/>
      <c r="Z423" s="1779"/>
      <c r="AA423" s="1779"/>
      <c r="AB423" s="1779"/>
      <c r="AC423" s="1779"/>
    </row>
    <row r="424" spans="1:29">
      <c r="A424" s="1779"/>
      <c r="B424" s="1779"/>
      <c r="C424" s="1779"/>
      <c r="D424" s="1779"/>
      <c r="E424" s="1779"/>
      <c r="F424" s="1779"/>
      <c r="G424" s="1779"/>
      <c r="H424" s="1779"/>
      <c r="I424" s="1779"/>
      <c r="J424" s="1779"/>
      <c r="K424" s="1780"/>
      <c r="L424" s="1781"/>
      <c r="M424" s="1779"/>
      <c r="N424" s="1779"/>
      <c r="O424" s="1779"/>
      <c r="P424" s="1816"/>
      <c r="Q424" s="1779"/>
      <c r="R424" s="1779"/>
      <c r="S424" s="1779"/>
      <c r="T424" s="1779"/>
      <c r="U424" s="1779"/>
      <c r="V424" s="1779"/>
      <c r="W424" s="1779"/>
      <c r="X424" s="1779"/>
      <c r="Y424" s="1779"/>
      <c r="Z424" s="1779"/>
      <c r="AA424" s="1779"/>
      <c r="AB424" s="1779"/>
      <c r="AC424" s="1779"/>
    </row>
    <row r="425" spans="1:29">
      <c r="A425" s="1779"/>
      <c r="B425" s="1779"/>
      <c r="C425" s="1779"/>
      <c r="D425" s="1779"/>
      <c r="E425" s="1779"/>
      <c r="F425" s="1779"/>
      <c r="G425" s="1779"/>
      <c r="H425" s="1779"/>
      <c r="I425" s="1779"/>
      <c r="J425" s="1779"/>
      <c r="K425" s="1780"/>
      <c r="L425" s="1781"/>
      <c r="M425" s="1779"/>
      <c r="N425" s="1779"/>
      <c r="O425" s="1779"/>
      <c r="P425" s="1816"/>
      <c r="Q425" s="1779"/>
      <c r="R425" s="1779"/>
      <c r="S425" s="1779"/>
      <c r="T425" s="1779"/>
      <c r="U425" s="1779"/>
      <c r="V425" s="1779"/>
      <c r="W425" s="1779"/>
      <c r="X425" s="1779"/>
      <c r="Y425" s="1779"/>
      <c r="Z425" s="1779"/>
      <c r="AA425" s="1779"/>
      <c r="AB425" s="1779"/>
      <c r="AC425" s="1779"/>
    </row>
    <row r="426" spans="1:29">
      <c r="A426" s="1779"/>
      <c r="B426" s="1779"/>
      <c r="C426" s="1779"/>
      <c r="D426" s="1779"/>
      <c r="E426" s="1779"/>
      <c r="F426" s="1779"/>
      <c r="G426" s="1779"/>
      <c r="H426" s="1779"/>
      <c r="I426" s="1779"/>
      <c r="J426" s="1779"/>
      <c r="K426" s="1780"/>
      <c r="L426" s="1781"/>
      <c r="M426" s="1779"/>
      <c r="N426" s="1779"/>
      <c r="O426" s="1779"/>
      <c r="P426" s="1816"/>
      <c r="Q426" s="1779"/>
      <c r="R426" s="1779"/>
      <c r="S426" s="1779"/>
      <c r="T426" s="1779"/>
      <c r="U426" s="1779"/>
      <c r="V426" s="1779"/>
      <c r="W426" s="1779"/>
      <c r="X426" s="1779"/>
      <c r="Y426" s="1779"/>
      <c r="Z426" s="1779"/>
      <c r="AA426" s="1779"/>
      <c r="AB426" s="1779"/>
      <c r="AC426" s="1779"/>
    </row>
    <row r="427" spans="1:29">
      <c r="A427" s="1779"/>
      <c r="B427" s="1779"/>
      <c r="C427" s="1779"/>
      <c r="D427" s="1779"/>
      <c r="E427" s="1779"/>
      <c r="F427" s="1779"/>
      <c r="G427" s="1779"/>
      <c r="H427" s="1779"/>
      <c r="I427" s="1779"/>
      <c r="J427" s="1779"/>
      <c r="K427" s="1780"/>
      <c r="L427" s="1781"/>
      <c r="M427" s="1779"/>
      <c r="N427" s="1779"/>
      <c r="O427" s="1779"/>
      <c r="P427" s="1816"/>
      <c r="Q427" s="1779"/>
      <c r="R427" s="1779"/>
      <c r="S427" s="1779"/>
      <c r="T427" s="1779"/>
      <c r="U427" s="1779"/>
      <c r="V427" s="1779"/>
      <c r="W427" s="1779"/>
      <c r="X427" s="1779"/>
      <c r="Y427" s="1779"/>
      <c r="Z427" s="1779"/>
      <c r="AA427" s="1779"/>
      <c r="AB427" s="1779"/>
      <c r="AC427" s="1779"/>
    </row>
    <row r="428" spans="1:29">
      <c r="A428" s="1779"/>
      <c r="B428" s="1779"/>
      <c r="C428" s="1779"/>
      <c r="D428" s="1779"/>
      <c r="E428" s="1779"/>
      <c r="F428" s="1779"/>
      <c r="G428" s="1779"/>
      <c r="H428" s="1779"/>
      <c r="I428" s="1779"/>
      <c r="J428" s="1779"/>
      <c r="K428" s="1780"/>
      <c r="L428" s="1781"/>
      <c r="M428" s="1779"/>
      <c r="N428" s="1779"/>
      <c r="O428" s="1779"/>
      <c r="P428" s="1816"/>
      <c r="Q428" s="1779"/>
      <c r="R428" s="1779"/>
      <c r="S428" s="1779"/>
      <c r="T428" s="1779"/>
      <c r="U428" s="1779"/>
      <c r="V428" s="1779"/>
      <c r="W428" s="1779"/>
      <c r="X428" s="1779"/>
      <c r="Y428" s="1779"/>
      <c r="Z428" s="1779"/>
      <c r="AA428" s="1779"/>
      <c r="AB428" s="1779"/>
      <c r="AC428" s="1779"/>
    </row>
    <row r="429" spans="1:29">
      <c r="A429" s="1779"/>
      <c r="B429" s="1779"/>
      <c r="C429" s="1779"/>
      <c r="D429" s="1779"/>
      <c r="E429" s="1779"/>
      <c r="F429" s="1779"/>
      <c r="G429" s="1779"/>
      <c r="H429" s="1779"/>
      <c r="I429" s="1779"/>
      <c r="J429" s="1779"/>
      <c r="K429" s="1780"/>
      <c r="L429" s="1781"/>
      <c r="M429" s="1779"/>
      <c r="N429" s="1779"/>
      <c r="O429" s="1779"/>
      <c r="P429" s="1816"/>
      <c r="Q429" s="1779"/>
      <c r="R429" s="1779"/>
      <c r="S429" s="1779"/>
      <c r="T429" s="1779"/>
      <c r="U429" s="1779"/>
      <c r="V429" s="1779"/>
      <c r="W429" s="1779"/>
      <c r="X429" s="1779"/>
      <c r="Y429" s="1779"/>
      <c r="Z429" s="1779"/>
      <c r="AA429" s="1779"/>
      <c r="AB429" s="1779"/>
      <c r="AC429" s="1779"/>
    </row>
    <row r="430" spans="1:29">
      <c r="A430" s="1779"/>
      <c r="B430" s="1779"/>
      <c r="C430" s="1779"/>
      <c r="D430" s="1779"/>
      <c r="E430" s="1779"/>
      <c r="F430" s="1779"/>
      <c r="G430" s="1779"/>
      <c r="H430" s="1779"/>
      <c r="I430" s="1779"/>
      <c r="J430" s="1779"/>
      <c r="K430" s="1780"/>
      <c r="L430" s="1781"/>
      <c r="M430" s="1779"/>
      <c r="N430" s="1779"/>
      <c r="O430" s="1779"/>
      <c r="P430" s="1816"/>
      <c r="Q430" s="1779"/>
      <c r="R430" s="1779"/>
      <c r="S430" s="1779"/>
      <c r="T430" s="1779"/>
      <c r="U430" s="1779"/>
      <c r="V430" s="1779"/>
      <c r="W430" s="1779"/>
      <c r="X430" s="1779"/>
      <c r="Y430" s="1779"/>
      <c r="Z430" s="1779"/>
      <c r="AA430" s="1779"/>
      <c r="AB430" s="1779"/>
      <c r="AC430" s="1779"/>
    </row>
    <row r="431" spans="1:29">
      <c r="A431" s="1779"/>
      <c r="B431" s="1779"/>
      <c r="C431" s="1779"/>
      <c r="D431" s="1779"/>
      <c r="E431" s="1779"/>
      <c r="F431" s="1779"/>
      <c r="G431" s="1779"/>
      <c r="H431" s="1779"/>
      <c r="I431" s="1779"/>
      <c r="J431" s="1779"/>
      <c r="K431" s="1780"/>
      <c r="L431" s="1781"/>
      <c r="M431" s="1779"/>
      <c r="N431" s="1779"/>
      <c r="O431" s="1779"/>
      <c r="P431" s="1816"/>
      <c r="Q431" s="1779"/>
      <c r="R431" s="1779"/>
      <c r="S431" s="1779"/>
      <c r="T431" s="1779"/>
      <c r="U431" s="1779"/>
      <c r="V431" s="1779"/>
      <c r="W431" s="1779"/>
      <c r="X431" s="1779"/>
      <c r="Y431" s="1779"/>
      <c r="Z431" s="1779"/>
      <c r="AA431" s="1779"/>
      <c r="AB431" s="1779"/>
      <c r="AC431" s="1779"/>
    </row>
    <row r="432" spans="1:29">
      <c r="A432" s="1779"/>
      <c r="B432" s="1779"/>
      <c r="C432" s="1779"/>
      <c r="D432" s="1779"/>
      <c r="E432" s="1779"/>
      <c r="F432" s="1779"/>
      <c r="G432" s="1779"/>
      <c r="H432" s="1779"/>
      <c r="I432" s="1779"/>
      <c r="J432" s="1779"/>
      <c r="K432" s="1780"/>
      <c r="L432" s="1781"/>
      <c r="M432" s="1779"/>
      <c r="N432" s="1779"/>
      <c r="O432" s="1779"/>
      <c r="P432" s="1816"/>
      <c r="Q432" s="1779"/>
      <c r="R432" s="1779"/>
      <c r="S432" s="1779"/>
      <c r="T432" s="1779"/>
      <c r="U432" s="1779"/>
      <c r="V432" s="1779"/>
      <c r="W432" s="1779"/>
      <c r="X432" s="1779"/>
      <c r="Y432" s="1779"/>
      <c r="Z432" s="1779"/>
      <c r="AA432" s="1779"/>
      <c r="AB432" s="1779"/>
      <c r="AC432" s="1779"/>
    </row>
    <row r="433" spans="1:29">
      <c r="A433" s="1779"/>
      <c r="B433" s="1779"/>
      <c r="C433" s="1779"/>
      <c r="D433" s="1779"/>
      <c r="E433" s="1779"/>
      <c r="F433" s="1779"/>
      <c r="G433" s="1779"/>
      <c r="H433" s="1779"/>
      <c r="I433" s="1779"/>
      <c r="J433" s="1779"/>
      <c r="K433" s="1780"/>
      <c r="L433" s="1781"/>
      <c r="M433" s="1779"/>
      <c r="N433" s="1779"/>
      <c r="O433" s="1779"/>
      <c r="P433" s="1816"/>
      <c r="Q433" s="1779"/>
      <c r="R433" s="1779"/>
      <c r="S433" s="1779"/>
      <c r="T433" s="1779"/>
      <c r="U433" s="1779"/>
      <c r="V433" s="1779"/>
      <c r="W433" s="1779"/>
      <c r="X433" s="1779"/>
      <c r="Y433" s="1779"/>
      <c r="Z433" s="1779"/>
      <c r="AA433" s="1779"/>
      <c r="AB433" s="1779"/>
      <c r="AC433" s="1779"/>
    </row>
    <row r="434" spans="1:29">
      <c r="A434" s="1779"/>
      <c r="B434" s="1779"/>
      <c r="C434" s="1779"/>
      <c r="D434" s="1779"/>
      <c r="E434" s="1779"/>
      <c r="F434" s="1779"/>
      <c r="G434" s="1779"/>
      <c r="H434" s="1779"/>
      <c r="I434" s="1779"/>
      <c r="J434" s="1779"/>
      <c r="K434" s="1780"/>
      <c r="L434" s="1781"/>
      <c r="M434" s="1779"/>
      <c r="N434" s="1779"/>
      <c r="O434" s="1779"/>
      <c r="P434" s="1816"/>
      <c r="Q434" s="1779"/>
      <c r="R434" s="1779"/>
      <c r="S434" s="1779"/>
      <c r="T434" s="1779"/>
      <c r="U434" s="1779"/>
      <c r="V434" s="1779"/>
      <c r="W434" s="1779"/>
      <c r="X434" s="1779"/>
      <c r="Y434" s="1779"/>
      <c r="Z434" s="1779"/>
      <c r="AA434" s="1779"/>
      <c r="AB434" s="1779"/>
      <c r="AC434" s="1779"/>
    </row>
    <row r="435" spans="1:29">
      <c r="A435" s="1779"/>
      <c r="B435" s="1779"/>
      <c r="C435" s="1779"/>
      <c r="D435" s="1779"/>
      <c r="E435" s="1779"/>
      <c r="F435" s="1779"/>
      <c r="G435" s="1779"/>
      <c r="H435" s="1779"/>
      <c r="I435" s="1779"/>
      <c r="J435" s="1779"/>
      <c r="K435" s="1780"/>
      <c r="L435" s="1781"/>
      <c r="M435" s="1779"/>
      <c r="N435" s="1779"/>
      <c r="O435" s="1779"/>
      <c r="P435" s="1816"/>
      <c r="Q435" s="1779"/>
      <c r="R435" s="1779"/>
      <c r="S435" s="1779"/>
      <c r="T435" s="1779"/>
      <c r="U435" s="1779"/>
      <c r="V435" s="1779"/>
      <c r="W435" s="1779"/>
      <c r="X435" s="1779"/>
      <c r="Y435" s="1779"/>
      <c r="Z435" s="1779"/>
      <c r="AA435" s="1779"/>
      <c r="AB435" s="1779"/>
      <c r="AC435" s="1779"/>
    </row>
    <row r="436" spans="1:29">
      <c r="A436" s="1779"/>
      <c r="B436" s="1779"/>
      <c r="C436" s="1779"/>
      <c r="D436" s="1779"/>
      <c r="E436" s="1779"/>
      <c r="F436" s="1779"/>
      <c r="G436" s="1779"/>
      <c r="H436" s="1779"/>
      <c r="I436" s="1779"/>
      <c r="J436" s="1779"/>
      <c r="K436" s="1780"/>
      <c r="L436" s="1781"/>
      <c r="M436" s="1779"/>
      <c r="N436" s="1779"/>
      <c r="O436" s="1779"/>
      <c r="P436" s="1816"/>
      <c r="Q436" s="1779"/>
      <c r="R436" s="1779"/>
      <c r="S436" s="1779"/>
      <c r="T436" s="1779"/>
      <c r="U436" s="1779"/>
      <c r="V436" s="1779"/>
      <c r="W436" s="1779"/>
      <c r="X436" s="1779"/>
      <c r="Y436" s="1779"/>
      <c r="Z436" s="1779"/>
      <c r="AA436" s="1779"/>
      <c r="AB436" s="1779"/>
      <c r="AC436" s="1779"/>
    </row>
    <row r="437" spans="1:29">
      <c r="A437" s="1779"/>
      <c r="B437" s="1779"/>
      <c r="C437" s="1779"/>
      <c r="D437" s="1779"/>
      <c r="E437" s="1779"/>
      <c r="F437" s="1779"/>
      <c r="G437" s="1779"/>
      <c r="H437" s="1779"/>
      <c r="I437" s="1779"/>
      <c r="J437" s="1779"/>
      <c r="K437" s="1780"/>
      <c r="L437" s="1781"/>
      <c r="M437" s="1779"/>
      <c r="N437" s="1779"/>
      <c r="O437" s="1779"/>
      <c r="P437" s="1816"/>
      <c r="Q437" s="1779"/>
      <c r="R437" s="1779"/>
      <c r="S437" s="1779"/>
      <c r="T437" s="1779"/>
      <c r="U437" s="1779"/>
      <c r="V437" s="1779"/>
      <c r="W437" s="1779"/>
      <c r="X437" s="1779"/>
      <c r="Y437" s="1779"/>
      <c r="Z437" s="1779"/>
      <c r="AA437" s="1779"/>
      <c r="AB437" s="1779"/>
      <c r="AC437" s="1779"/>
    </row>
    <row r="438" spans="1:29">
      <c r="A438" s="1779"/>
      <c r="B438" s="1779"/>
      <c r="C438" s="1779"/>
      <c r="D438" s="1779"/>
      <c r="E438" s="1779"/>
      <c r="F438" s="1779"/>
      <c r="G438" s="1779"/>
      <c r="H438" s="1779"/>
      <c r="I438" s="1779"/>
      <c r="J438" s="1779"/>
      <c r="K438" s="1780"/>
      <c r="L438" s="1781"/>
      <c r="M438" s="1779"/>
      <c r="N438" s="1779"/>
      <c r="O438" s="1779"/>
      <c r="P438" s="1816"/>
      <c r="Q438" s="1779"/>
      <c r="R438" s="1779"/>
      <c r="S438" s="1779"/>
      <c r="T438" s="1779"/>
      <c r="U438" s="1779"/>
      <c r="V438" s="1779"/>
      <c r="W438" s="1779"/>
      <c r="X438" s="1779"/>
      <c r="Y438" s="1779"/>
      <c r="Z438" s="1779"/>
      <c r="AA438" s="1779"/>
      <c r="AB438" s="1779"/>
      <c r="AC438" s="1779"/>
    </row>
    <row r="439" spans="1:29">
      <c r="A439" s="1779"/>
      <c r="B439" s="1779"/>
      <c r="C439" s="1779"/>
      <c r="D439" s="1779"/>
      <c r="E439" s="1779"/>
      <c r="F439" s="1779"/>
      <c r="G439" s="1779"/>
      <c r="H439" s="1779"/>
      <c r="I439" s="1779"/>
      <c r="J439" s="1779"/>
      <c r="K439" s="1780"/>
      <c r="L439" s="1781"/>
      <c r="M439" s="1779"/>
      <c r="N439" s="1779"/>
      <c r="O439" s="1779"/>
      <c r="P439" s="1816"/>
      <c r="Q439" s="1779"/>
      <c r="R439" s="1779"/>
      <c r="S439" s="1779"/>
      <c r="T439" s="1779"/>
      <c r="U439" s="1779"/>
      <c r="V439" s="1779"/>
      <c r="W439" s="1779"/>
      <c r="X439" s="1779"/>
      <c r="Y439" s="1779"/>
      <c r="Z439" s="1779"/>
      <c r="AA439" s="1779"/>
      <c r="AB439" s="1779"/>
      <c r="AC439" s="1779"/>
    </row>
    <row r="440" spans="1:29">
      <c r="A440" s="1779"/>
      <c r="B440" s="1779"/>
      <c r="C440" s="1779"/>
      <c r="D440" s="1779"/>
      <c r="E440" s="1779"/>
      <c r="F440" s="1779"/>
      <c r="G440" s="1779"/>
      <c r="H440" s="1779"/>
      <c r="I440" s="1779"/>
      <c r="J440" s="1779"/>
      <c r="K440" s="1780"/>
      <c r="L440" s="1781"/>
      <c r="M440" s="1779"/>
      <c r="N440" s="1779"/>
      <c r="O440" s="1779"/>
      <c r="P440" s="1816"/>
      <c r="Q440" s="1779"/>
      <c r="R440" s="1779"/>
      <c r="S440" s="1779"/>
      <c r="T440" s="1779"/>
      <c r="U440" s="1779"/>
      <c r="V440" s="1779"/>
      <c r="W440" s="1779"/>
      <c r="X440" s="1779"/>
      <c r="Y440" s="1779"/>
      <c r="Z440" s="1779"/>
      <c r="AA440" s="1779"/>
      <c r="AB440" s="1779"/>
      <c r="AC440" s="1779"/>
    </row>
    <row r="441" spans="1:29">
      <c r="A441" s="1779"/>
      <c r="B441" s="1779"/>
      <c r="C441" s="1779"/>
      <c r="D441" s="1779"/>
      <c r="E441" s="1779"/>
      <c r="F441" s="1779"/>
      <c r="G441" s="1779"/>
      <c r="H441" s="1779"/>
      <c r="I441" s="1779"/>
      <c r="J441" s="1779"/>
      <c r="K441" s="1780"/>
      <c r="L441" s="1781"/>
      <c r="M441" s="1779"/>
      <c r="N441" s="1779"/>
      <c r="O441" s="1779"/>
      <c r="P441" s="1816"/>
      <c r="Q441" s="1779"/>
      <c r="R441" s="1779"/>
      <c r="S441" s="1779"/>
      <c r="T441" s="1779"/>
      <c r="U441" s="1779"/>
      <c r="V441" s="1779"/>
      <c r="W441" s="1779"/>
      <c r="X441" s="1779"/>
      <c r="Y441" s="1779"/>
      <c r="Z441" s="1779"/>
      <c r="AA441" s="1779"/>
      <c r="AB441" s="1779"/>
      <c r="AC441" s="1779"/>
    </row>
    <row r="442" spans="1:29">
      <c r="A442" s="1779"/>
      <c r="B442" s="1779"/>
      <c r="C442" s="1779"/>
      <c r="D442" s="1779"/>
      <c r="E442" s="1779"/>
      <c r="F442" s="1779"/>
      <c r="G442" s="1779"/>
      <c r="H442" s="1779"/>
      <c r="I442" s="1779"/>
      <c r="J442" s="1779"/>
      <c r="K442" s="1780"/>
      <c r="L442" s="1781"/>
      <c r="M442" s="1779"/>
      <c r="N442" s="1779"/>
      <c r="O442" s="1779"/>
      <c r="P442" s="1816"/>
      <c r="Q442" s="1779"/>
      <c r="R442" s="1779"/>
      <c r="S442" s="1779"/>
      <c r="T442" s="1779"/>
      <c r="U442" s="1779"/>
      <c r="V442" s="1779"/>
      <c r="W442" s="1779"/>
      <c r="X442" s="1779"/>
      <c r="Y442" s="1779"/>
      <c r="Z442" s="1779"/>
      <c r="AA442" s="1779"/>
      <c r="AB442" s="1779"/>
      <c r="AC442" s="1779"/>
    </row>
    <row r="443" spans="1:29">
      <c r="A443" s="1779"/>
      <c r="B443" s="1779"/>
      <c r="C443" s="1779"/>
      <c r="D443" s="1779"/>
      <c r="E443" s="1779"/>
      <c r="F443" s="1779"/>
      <c r="G443" s="1779"/>
      <c r="H443" s="1779"/>
      <c r="I443" s="1779"/>
      <c r="J443" s="1779"/>
      <c r="K443" s="1780"/>
      <c r="L443" s="1781"/>
      <c r="M443" s="1779"/>
      <c r="N443" s="1779"/>
      <c r="O443" s="1779"/>
      <c r="P443" s="1816"/>
      <c r="Q443" s="1779"/>
      <c r="R443" s="1779"/>
      <c r="S443" s="1779"/>
      <c r="T443" s="1779"/>
      <c r="U443" s="1779"/>
      <c r="V443" s="1779"/>
      <c r="W443" s="1779"/>
      <c r="X443" s="1779"/>
      <c r="Y443" s="1779"/>
      <c r="Z443" s="1779"/>
      <c r="AA443" s="1779"/>
      <c r="AB443" s="1779"/>
      <c r="AC443" s="1779"/>
    </row>
    <row r="444" spans="1:29">
      <c r="A444" s="1779"/>
      <c r="B444" s="1779"/>
      <c r="C444" s="1779"/>
      <c r="D444" s="1779"/>
      <c r="E444" s="1779"/>
      <c r="F444" s="1779"/>
      <c r="G444" s="1779"/>
      <c r="H444" s="1779"/>
      <c r="I444" s="1779"/>
      <c r="J444" s="1779"/>
      <c r="K444" s="1780"/>
      <c r="L444" s="1781"/>
      <c r="M444" s="1779"/>
      <c r="N444" s="1779"/>
      <c r="O444" s="1779"/>
      <c r="P444" s="1816"/>
      <c r="Q444" s="1779"/>
      <c r="R444" s="1779"/>
      <c r="S444" s="1779"/>
      <c r="T444" s="1779"/>
      <c r="U444" s="1779"/>
      <c r="V444" s="1779"/>
      <c r="W444" s="1779"/>
      <c r="X444" s="1779"/>
      <c r="Y444" s="1779"/>
      <c r="Z444" s="1779"/>
      <c r="AA444" s="1779"/>
      <c r="AB444" s="1779"/>
      <c r="AC444" s="1779"/>
    </row>
    <row r="445" spans="1:29">
      <c r="A445" s="1779"/>
      <c r="B445" s="1779"/>
      <c r="C445" s="1779"/>
      <c r="D445" s="1779"/>
      <c r="E445" s="1779"/>
      <c r="F445" s="1779"/>
      <c r="G445" s="1779"/>
      <c r="H445" s="1779"/>
      <c r="I445" s="1779"/>
      <c r="J445" s="1779"/>
      <c r="K445" s="1780"/>
      <c r="L445" s="1781"/>
      <c r="M445" s="1779"/>
      <c r="N445" s="1779"/>
      <c r="O445" s="1779"/>
      <c r="P445" s="1816"/>
      <c r="Q445" s="1779"/>
      <c r="R445" s="1779"/>
      <c r="S445" s="1779"/>
      <c r="T445" s="1779"/>
      <c r="U445" s="1779"/>
      <c r="V445" s="1779"/>
      <c r="W445" s="1779"/>
      <c r="X445" s="1779"/>
      <c r="Y445" s="1779"/>
      <c r="Z445" s="1779"/>
      <c r="AA445" s="1779"/>
      <c r="AB445" s="1779"/>
      <c r="AC445" s="1779"/>
    </row>
    <row r="446" spans="1:29">
      <c r="A446" s="1779"/>
      <c r="B446" s="1779"/>
      <c r="C446" s="1779"/>
      <c r="D446" s="1779"/>
      <c r="E446" s="1779"/>
      <c r="F446" s="1779"/>
      <c r="G446" s="1779"/>
      <c r="H446" s="1779"/>
      <c r="I446" s="1779"/>
      <c r="J446" s="1779"/>
      <c r="K446" s="1780"/>
      <c r="L446" s="1781"/>
      <c r="M446" s="1779"/>
      <c r="N446" s="1779"/>
      <c r="O446" s="1779"/>
      <c r="P446" s="1816"/>
      <c r="Q446" s="1779"/>
      <c r="R446" s="1779"/>
      <c r="S446" s="1779"/>
      <c r="T446" s="1779"/>
      <c r="U446" s="1779"/>
      <c r="V446" s="1779"/>
      <c r="W446" s="1779"/>
      <c r="X446" s="1779"/>
      <c r="Y446" s="1779"/>
      <c r="Z446" s="1779"/>
      <c r="AA446" s="1779"/>
      <c r="AB446" s="1779"/>
      <c r="AC446" s="1779"/>
    </row>
    <row r="447" spans="1:29">
      <c r="A447" s="1779"/>
      <c r="B447" s="1779"/>
      <c r="C447" s="1779"/>
      <c r="D447" s="1779"/>
      <c r="E447" s="1779"/>
      <c r="F447" s="1779"/>
      <c r="G447" s="1779"/>
      <c r="H447" s="1779"/>
      <c r="I447" s="1779"/>
      <c r="J447" s="1779"/>
      <c r="K447" s="1780"/>
      <c r="L447" s="1781"/>
      <c r="M447" s="1779"/>
      <c r="N447" s="1779"/>
      <c r="O447" s="1779"/>
      <c r="P447" s="1816"/>
      <c r="Q447" s="1779"/>
      <c r="R447" s="1779"/>
      <c r="S447" s="1779"/>
      <c r="T447" s="1779"/>
      <c r="U447" s="1779"/>
      <c r="V447" s="1779"/>
      <c r="W447" s="1779"/>
      <c r="X447" s="1779"/>
      <c r="Y447" s="1779"/>
      <c r="Z447" s="1779"/>
      <c r="AA447" s="1779"/>
      <c r="AB447" s="1779"/>
      <c r="AC447" s="1779"/>
    </row>
    <row r="448" spans="1:29">
      <c r="A448" s="1779"/>
      <c r="B448" s="1779"/>
      <c r="C448" s="1779"/>
      <c r="D448" s="1779"/>
      <c r="E448" s="1779"/>
      <c r="F448" s="1779"/>
      <c r="G448" s="1779"/>
      <c r="H448" s="1779"/>
      <c r="I448" s="1779"/>
      <c r="J448" s="1779"/>
      <c r="K448" s="1780"/>
      <c r="L448" s="1781"/>
      <c r="M448" s="1779"/>
      <c r="N448" s="1779"/>
      <c r="O448" s="1779"/>
      <c r="P448" s="1816"/>
      <c r="Q448" s="1779"/>
      <c r="R448" s="1779"/>
      <c r="S448" s="1779"/>
      <c r="T448" s="1779"/>
      <c r="U448" s="1779"/>
      <c r="V448" s="1779"/>
      <c r="W448" s="1779"/>
      <c r="X448" s="1779"/>
      <c r="Y448" s="1779"/>
      <c r="Z448" s="1779"/>
      <c r="AA448" s="1779"/>
      <c r="AB448" s="1779"/>
      <c r="AC448" s="1779"/>
    </row>
    <row r="449" spans="1:29">
      <c r="A449" s="1779"/>
      <c r="B449" s="1779"/>
      <c r="C449" s="1779"/>
      <c r="D449" s="1779"/>
      <c r="E449" s="1779"/>
      <c r="F449" s="1779"/>
      <c r="G449" s="1779"/>
      <c r="H449" s="1779"/>
      <c r="I449" s="1779"/>
      <c r="J449" s="1779"/>
      <c r="K449" s="1780"/>
      <c r="L449" s="1781"/>
      <c r="M449" s="1779"/>
      <c r="N449" s="1779"/>
      <c r="O449" s="1779"/>
      <c r="P449" s="1816"/>
      <c r="Q449" s="1779"/>
      <c r="R449" s="1779"/>
      <c r="S449" s="1779"/>
      <c r="T449" s="1779"/>
      <c r="U449" s="1779"/>
      <c r="V449" s="1779"/>
      <c r="W449" s="1779"/>
      <c r="X449" s="1779"/>
      <c r="Y449" s="1779"/>
      <c r="Z449" s="1779"/>
      <c r="AA449" s="1779"/>
      <c r="AB449" s="1779"/>
      <c r="AC449" s="1779"/>
    </row>
    <row r="450" spans="1:29">
      <c r="A450" s="1779"/>
      <c r="B450" s="1779"/>
      <c r="C450" s="1779"/>
      <c r="D450" s="1779"/>
      <c r="E450" s="1779"/>
      <c r="F450" s="1779"/>
      <c r="G450" s="1779"/>
      <c r="H450" s="1779"/>
      <c r="I450" s="1779"/>
      <c r="J450" s="1779"/>
      <c r="K450" s="1780"/>
      <c r="L450" s="1781"/>
      <c r="M450" s="1779"/>
      <c r="N450" s="1779"/>
      <c r="O450" s="1779"/>
      <c r="P450" s="1816"/>
      <c r="Q450" s="1779"/>
      <c r="R450" s="1779"/>
      <c r="S450" s="1779"/>
      <c r="T450" s="1779"/>
      <c r="U450" s="1779"/>
      <c r="V450" s="1779"/>
      <c r="W450" s="1779"/>
      <c r="X450" s="1779"/>
      <c r="Y450" s="1779"/>
      <c r="Z450" s="1779"/>
      <c r="AA450" s="1779"/>
      <c r="AB450" s="1779"/>
      <c r="AC450" s="1779"/>
    </row>
    <row r="451" spans="1:29">
      <c r="A451" s="1779"/>
      <c r="B451" s="1779"/>
      <c r="C451" s="1779"/>
      <c r="D451" s="1779"/>
      <c r="E451" s="1779"/>
      <c r="F451" s="1779"/>
      <c r="G451" s="1779"/>
      <c r="H451" s="1779"/>
      <c r="I451" s="1779"/>
      <c r="J451" s="1779"/>
      <c r="K451" s="1780"/>
      <c r="L451" s="1781"/>
      <c r="M451" s="1779"/>
      <c r="N451" s="1779"/>
      <c r="O451" s="1779"/>
      <c r="P451" s="1816"/>
      <c r="Q451" s="1779"/>
      <c r="R451" s="1779"/>
      <c r="S451" s="1779"/>
      <c r="T451" s="1779"/>
      <c r="U451" s="1779"/>
      <c r="V451" s="1779"/>
      <c r="W451" s="1779"/>
      <c r="X451" s="1779"/>
      <c r="Y451" s="1779"/>
      <c r="Z451" s="1779"/>
      <c r="AA451" s="1779"/>
      <c r="AB451" s="1779"/>
      <c r="AC451" s="1779"/>
    </row>
    <row r="452" spans="1:29">
      <c r="A452" s="1779"/>
      <c r="B452" s="1779"/>
      <c r="C452" s="1779"/>
      <c r="D452" s="1779"/>
      <c r="E452" s="1779"/>
      <c r="F452" s="1779"/>
      <c r="G452" s="1779"/>
      <c r="H452" s="1779"/>
      <c r="I452" s="1779"/>
      <c r="J452" s="1779"/>
      <c r="K452" s="1780"/>
      <c r="L452" s="1781"/>
      <c r="M452" s="1779"/>
      <c r="N452" s="1779"/>
      <c r="O452" s="1779"/>
      <c r="P452" s="1816"/>
      <c r="Q452" s="1779"/>
      <c r="R452" s="1779"/>
      <c r="S452" s="1779"/>
      <c r="T452" s="1779"/>
      <c r="U452" s="1779"/>
      <c r="V452" s="1779"/>
      <c r="W452" s="1779"/>
      <c r="X452" s="1779"/>
      <c r="Y452" s="1779"/>
      <c r="Z452" s="1779"/>
      <c r="AA452" s="1779"/>
      <c r="AB452" s="1779"/>
      <c r="AC452" s="1779"/>
    </row>
    <row r="453" spans="1:29">
      <c r="A453" s="1779"/>
      <c r="B453" s="1779"/>
      <c r="C453" s="1779"/>
      <c r="D453" s="1779"/>
      <c r="E453" s="1779"/>
      <c r="F453" s="1779"/>
      <c r="G453" s="1779"/>
      <c r="H453" s="1779"/>
      <c r="I453" s="1779"/>
      <c r="J453" s="1779"/>
      <c r="K453" s="1780"/>
      <c r="L453" s="1781"/>
      <c r="M453" s="1779"/>
      <c r="N453" s="1779"/>
      <c r="O453" s="1779"/>
      <c r="P453" s="1816"/>
      <c r="Q453" s="1779"/>
      <c r="R453" s="1779"/>
      <c r="S453" s="1779"/>
      <c r="T453" s="1779"/>
      <c r="U453" s="1779"/>
      <c r="V453" s="1779"/>
      <c r="W453" s="1779"/>
      <c r="X453" s="1779"/>
      <c r="Y453" s="1779"/>
      <c r="Z453" s="1779"/>
      <c r="AA453" s="1779"/>
      <c r="AB453" s="1779"/>
      <c r="AC453" s="1779"/>
    </row>
    <row r="454" spans="1:29">
      <c r="A454" s="1779"/>
      <c r="B454" s="1779"/>
      <c r="C454" s="1779"/>
      <c r="D454" s="1779"/>
      <c r="E454" s="1779"/>
      <c r="F454" s="1779"/>
      <c r="G454" s="1779"/>
      <c r="H454" s="1779"/>
      <c r="I454" s="1779"/>
      <c r="J454" s="1779"/>
      <c r="K454" s="1780"/>
      <c r="L454" s="1781"/>
      <c r="M454" s="1779"/>
      <c r="N454" s="1779"/>
      <c r="O454" s="1779"/>
      <c r="P454" s="1816"/>
      <c r="Q454" s="1779"/>
      <c r="R454" s="1779"/>
      <c r="S454" s="1779"/>
      <c r="T454" s="1779"/>
      <c r="U454" s="1779"/>
      <c r="V454" s="1779"/>
      <c r="W454" s="1779"/>
      <c r="X454" s="1779"/>
      <c r="Y454" s="1779"/>
      <c r="Z454" s="1779"/>
      <c r="AA454" s="1779"/>
      <c r="AB454" s="1779"/>
      <c r="AC454" s="1779"/>
    </row>
    <row r="455" spans="1:29">
      <c r="A455" s="1779"/>
      <c r="B455" s="1779"/>
      <c r="C455" s="1779"/>
      <c r="D455" s="1779"/>
      <c r="E455" s="1779"/>
      <c r="F455" s="1779"/>
      <c r="G455" s="1779"/>
      <c r="H455" s="1779"/>
      <c r="I455" s="1779"/>
      <c r="J455" s="1779"/>
      <c r="K455" s="1780"/>
      <c r="L455" s="1781"/>
      <c r="M455" s="1779"/>
      <c r="N455" s="1779"/>
      <c r="O455" s="1779"/>
      <c r="P455" s="1816"/>
      <c r="Q455" s="1779"/>
      <c r="R455" s="1779"/>
      <c r="S455" s="1779"/>
      <c r="T455" s="1779"/>
      <c r="U455" s="1779"/>
      <c r="V455" s="1779"/>
      <c r="W455" s="1779"/>
      <c r="X455" s="1779"/>
      <c r="Y455" s="1779"/>
      <c r="Z455" s="1779"/>
      <c r="AA455" s="1779"/>
      <c r="AB455" s="1779"/>
      <c r="AC455" s="1779"/>
    </row>
    <row r="456" spans="1:29">
      <c r="A456" s="1779"/>
      <c r="B456" s="1779"/>
      <c r="C456" s="1779"/>
      <c r="D456" s="1779"/>
      <c r="E456" s="1779"/>
      <c r="F456" s="1779"/>
      <c r="G456" s="1779"/>
      <c r="H456" s="1779"/>
      <c r="I456" s="1779"/>
      <c r="J456" s="1779"/>
      <c r="K456" s="1780"/>
      <c r="L456" s="1781"/>
      <c r="M456" s="1779"/>
      <c r="N456" s="1779"/>
      <c r="O456" s="1779"/>
      <c r="P456" s="1816"/>
      <c r="Q456" s="1779"/>
      <c r="R456" s="1779"/>
      <c r="S456" s="1779"/>
      <c r="T456" s="1779"/>
      <c r="U456" s="1779"/>
      <c r="V456" s="1779"/>
      <c r="W456" s="1779"/>
      <c r="X456" s="1779"/>
      <c r="Y456" s="1779"/>
      <c r="Z456" s="1779"/>
      <c r="AA456" s="1779"/>
      <c r="AB456" s="1779"/>
      <c r="AC456" s="1779"/>
    </row>
    <row r="457" spans="1:29">
      <c r="A457" s="1779"/>
      <c r="B457" s="1779"/>
      <c r="C457" s="1779"/>
      <c r="D457" s="1779"/>
      <c r="E457" s="1779"/>
      <c r="F457" s="1779"/>
      <c r="G457" s="1779"/>
      <c r="H457" s="1779"/>
      <c r="I457" s="1779"/>
      <c r="J457" s="1779"/>
      <c r="K457" s="1780"/>
      <c r="L457" s="1781"/>
      <c r="M457" s="1779"/>
      <c r="N457" s="1779"/>
      <c r="O457" s="1779"/>
      <c r="P457" s="1816"/>
      <c r="Q457" s="1779"/>
      <c r="R457" s="1779"/>
      <c r="S457" s="1779"/>
      <c r="T457" s="1779"/>
      <c r="U457" s="1779"/>
      <c r="V457" s="1779"/>
      <c r="W457" s="1779"/>
      <c r="X457" s="1779"/>
      <c r="Y457" s="1779"/>
      <c r="Z457" s="1779"/>
      <c r="AA457" s="1779"/>
      <c r="AB457" s="1779"/>
      <c r="AC457" s="1779"/>
    </row>
    <row r="458" spans="1:29">
      <c r="A458" s="1779"/>
      <c r="B458" s="1779"/>
      <c r="C458" s="1779"/>
      <c r="D458" s="1779"/>
      <c r="E458" s="1779"/>
      <c r="F458" s="1779"/>
      <c r="G458" s="1779"/>
      <c r="H458" s="1779"/>
      <c r="I458" s="1779"/>
      <c r="J458" s="1779"/>
      <c r="K458" s="1780"/>
      <c r="L458" s="1781"/>
      <c r="M458" s="1779"/>
      <c r="N458" s="1779"/>
      <c r="O458" s="1779"/>
      <c r="P458" s="1816"/>
      <c r="Q458" s="1779"/>
      <c r="R458" s="1779"/>
      <c r="S458" s="1779"/>
      <c r="T458" s="1779"/>
      <c r="U458" s="1779"/>
      <c r="V458" s="1779"/>
      <c r="W458" s="1779"/>
      <c r="X458" s="1779"/>
      <c r="Y458" s="1779"/>
      <c r="Z458" s="1779"/>
      <c r="AA458" s="1779"/>
      <c r="AB458" s="1779"/>
      <c r="AC458" s="1779"/>
    </row>
    <row r="459" spans="1:29">
      <c r="A459" s="1779"/>
      <c r="B459" s="1779"/>
      <c r="C459" s="1779"/>
      <c r="D459" s="1779"/>
      <c r="E459" s="1779"/>
      <c r="F459" s="1779"/>
      <c r="G459" s="1779"/>
      <c r="H459" s="1779"/>
      <c r="I459" s="1779"/>
      <c r="J459" s="1779"/>
      <c r="K459" s="1780"/>
      <c r="L459" s="1781"/>
      <c r="M459" s="1779"/>
      <c r="N459" s="1779"/>
      <c r="O459" s="1779"/>
      <c r="P459" s="1816"/>
      <c r="Q459" s="1779"/>
      <c r="R459" s="1779"/>
      <c r="S459" s="1779"/>
      <c r="T459" s="1779"/>
      <c r="U459" s="1779"/>
      <c r="V459" s="1779"/>
      <c r="W459" s="1779"/>
      <c r="X459" s="1779"/>
      <c r="Y459" s="1779"/>
      <c r="Z459" s="1779"/>
      <c r="AA459" s="1779"/>
      <c r="AB459" s="1779"/>
      <c r="AC459" s="1779"/>
    </row>
    <row r="460" spans="1:29">
      <c r="A460" s="1779"/>
      <c r="B460" s="1779"/>
      <c r="C460" s="1779"/>
      <c r="D460" s="1779"/>
      <c r="E460" s="1779"/>
      <c r="F460" s="1779"/>
      <c r="G460" s="1779"/>
      <c r="H460" s="1779"/>
      <c r="I460" s="1779"/>
      <c r="J460" s="1779"/>
      <c r="K460" s="1780"/>
      <c r="L460" s="1781"/>
      <c r="M460" s="1779"/>
      <c r="N460" s="1779"/>
      <c r="O460" s="1779"/>
      <c r="P460" s="1816"/>
      <c r="Q460" s="1779"/>
      <c r="R460" s="1779"/>
      <c r="S460" s="1779"/>
      <c r="T460" s="1779"/>
      <c r="U460" s="1779"/>
      <c r="V460" s="1779"/>
      <c r="W460" s="1779"/>
      <c r="X460" s="1779"/>
      <c r="Y460" s="1779"/>
      <c r="Z460" s="1779"/>
      <c r="AA460" s="1779"/>
      <c r="AB460" s="1779"/>
      <c r="AC460" s="1779"/>
    </row>
    <row r="461" spans="1:29">
      <c r="A461" s="1779"/>
      <c r="B461" s="1779"/>
      <c r="C461" s="1779"/>
      <c r="D461" s="1779"/>
      <c r="E461" s="1779"/>
      <c r="F461" s="1779"/>
      <c r="G461" s="1779"/>
      <c r="H461" s="1779"/>
      <c r="I461" s="1779"/>
      <c r="J461" s="1779"/>
      <c r="K461" s="1780"/>
      <c r="L461" s="1781"/>
      <c r="M461" s="1779"/>
      <c r="N461" s="1779"/>
      <c r="O461" s="1779"/>
      <c r="P461" s="1816"/>
      <c r="Q461" s="1779"/>
      <c r="R461" s="1779"/>
      <c r="S461" s="1779"/>
      <c r="T461" s="1779"/>
      <c r="U461" s="1779"/>
      <c r="V461" s="1779"/>
      <c r="W461" s="1779"/>
      <c r="X461" s="1779"/>
      <c r="Y461" s="1779"/>
      <c r="Z461" s="1779"/>
      <c r="AA461" s="1779"/>
      <c r="AB461" s="1779"/>
      <c r="AC461" s="1779"/>
    </row>
    <row r="462" spans="1:29">
      <c r="A462" s="1779"/>
      <c r="B462" s="1779"/>
      <c r="C462" s="1779"/>
      <c r="D462" s="1779"/>
      <c r="E462" s="1779"/>
      <c r="F462" s="1779"/>
      <c r="G462" s="1779"/>
      <c r="H462" s="1779"/>
      <c r="I462" s="1779"/>
      <c r="J462" s="1779"/>
      <c r="K462" s="1780"/>
      <c r="L462" s="1781"/>
      <c r="M462" s="1779"/>
      <c r="N462" s="1779"/>
      <c r="O462" s="1779"/>
      <c r="P462" s="1816"/>
      <c r="Q462" s="1779"/>
      <c r="R462" s="1779"/>
      <c r="S462" s="1779"/>
      <c r="T462" s="1779"/>
      <c r="U462" s="1779"/>
      <c r="V462" s="1779"/>
      <c r="W462" s="1779"/>
      <c r="X462" s="1779"/>
      <c r="Y462" s="1779"/>
      <c r="Z462" s="1779"/>
      <c r="AA462" s="1779"/>
      <c r="AB462" s="1779"/>
      <c r="AC462" s="1779"/>
    </row>
    <row r="463" spans="1:29">
      <c r="A463" s="1779"/>
      <c r="B463" s="1779"/>
      <c r="C463" s="1779"/>
      <c r="D463" s="1779"/>
      <c r="E463" s="1779"/>
      <c r="F463" s="1779"/>
      <c r="G463" s="1779"/>
      <c r="H463" s="1779"/>
      <c r="I463" s="1779"/>
      <c r="J463" s="1779"/>
      <c r="K463" s="1780"/>
      <c r="L463" s="1781"/>
      <c r="M463" s="1779"/>
      <c r="N463" s="1779"/>
      <c r="O463" s="1779"/>
      <c r="P463" s="1816"/>
      <c r="Q463" s="1779"/>
      <c r="R463" s="1779"/>
      <c r="S463" s="1779"/>
      <c r="T463" s="1779"/>
      <c r="U463" s="1779"/>
      <c r="V463" s="1779"/>
      <c r="W463" s="1779"/>
      <c r="X463" s="1779"/>
      <c r="Y463" s="1779"/>
      <c r="Z463" s="1779"/>
      <c r="AA463" s="1779"/>
      <c r="AB463" s="1779"/>
      <c r="AC463" s="1779"/>
    </row>
    <row r="464" spans="1:29">
      <c r="A464" s="1779"/>
      <c r="B464" s="1779"/>
      <c r="C464" s="1779"/>
      <c r="D464" s="1779"/>
      <c r="E464" s="1779"/>
      <c r="F464" s="1779"/>
      <c r="G464" s="1779"/>
      <c r="H464" s="1779"/>
      <c r="I464" s="1779"/>
      <c r="J464" s="1779"/>
      <c r="K464" s="1780"/>
      <c r="L464" s="1781"/>
      <c r="M464" s="1779"/>
      <c r="N464" s="1779"/>
      <c r="O464" s="1779"/>
      <c r="P464" s="1816"/>
      <c r="Q464" s="1779"/>
      <c r="R464" s="1779"/>
      <c r="S464" s="1779"/>
      <c r="T464" s="1779"/>
      <c r="U464" s="1779"/>
      <c r="V464" s="1779"/>
      <c r="W464" s="1779"/>
      <c r="X464" s="1779"/>
      <c r="Y464" s="1779"/>
      <c r="Z464" s="1779"/>
      <c r="AA464" s="1779"/>
      <c r="AB464" s="1779"/>
      <c r="AC464" s="1779"/>
    </row>
    <row r="465" spans="1:29">
      <c r="A465" s="1779"/>
      <c r="B465" s="1779"/>
      <c r="C465" s="1779"/>
      <c r="D465" s="1779"/>
      <c r="E465" s="1779"/>
      <c r="F465" s="1779"/>
      <c r="G465" s="1779"/>
      <c r="H465" s="1779"/>
      <c r="I465" s="1779"/>
      <c r="J465" s="1779"/>
      <c r="K465" s="1780"/>
      <c r="L465" s="1781"/>
      <c r="M465" s="1779"/>
      <c r="N465" s="1779"/>
      <c r="O465" s="1779"/>
      <c r="P465" s="1816"/>
      <c r="Q465" s="1779"/>
      <c r="R465" s="1779"/>
      <c r="S465" s="1779"/>
      <c r="T465" s="1779"/>
      <c r="U465" s="1779"/>
      <c r="V465" s="1779"/>
      <c r="W465" s="1779"/>
      <c r="X465" s="1779"/>
      <c r="Y465" s="1779"/>
      <c r="Z465" s="1779"/>
      <c r="AA465" s="1779"/>
      <c r="AB465" s="1779"/>
      <c r="AC465" s="1779"/>
    </row>
    <row r="466" spans="1:29">
      <c r="A466" s="1779"/>
      <c r="B466" s="1779"/>
      <c r="C466" s="1779"/>
      <c r="D466" s="1779"/>
      <c r="E466" s="1779"/>
      <c r="F466" s="1779"/>
      <c r="G466" s="1779"/>
      <c r="H466" s="1779"/>
      <c r="I466" s="1779"/>
      <c r="J466" s="1779"/>
      <c r="K466" s="1780"/>
      <c r="L466" s="1781"/>
      <c r="M466" s="1779"/>
      <c r="N466" s="1779"/>
      <c r="O466" s="1779"/>
      <c r="P466" s="1816"/>
      <c r="Q466" s="1779"/>
      <c r="R466" s="1779"/>
      <c r="S466" s="1779"/>
      <c r="T466" s="1779"/>
      <c r="U466" s="1779"/>
      <c r="V466" s="1779"/>
      <c r="W466" s="1779"/>
      <c r="X466" s="1779"/>
      <c r="Y466" s="1779"/>
      <c r="Z466" s="1779"/>
      <c r="AA466" s="1779"/>
      <c r="AB466" s="1779"/>
      <c r="AC466" s="1779"/>
    </row>
    <row r="467" spans="1:29">
      <c r="A467" s="1779"/>
      <c r="B467" s="1779"/>
      <c r="C467" s="1779"/>
      <c r="D467" s="1779"/>
      <c r="E467" s="1779"/>
      <c r="F467" s="1779"/>
      <c r="G467" s="1779"/>
      <c r="H467" s="1779"/>
      <c r="I467" s="1779"/>
      <c r="J467" s="1779"/>
      <c r="K467" s="1780"/>
      <c r="L467" s="1781"/>
      <c r="M467" s="1779"/>
      <c r="N467" s="1779"/>
      <c r="O467" s="1779"/>
      <c r="P467" s="1816"/>
      <c r="Q467" s="1779"/>
      <c r="R467" s="1779"/>
      <c r="S467" s="1779"/>
      <c r="T467" s="1779"/>
      <c r="U467" s="1779"/>
      <c r="V467" s="1779"/>
      <c r="W467" s="1779"/>
      <c r="X467" s="1779"/>
      <c r="Y467" s="1779"/>
      <c r="Z467" s="1779"/>
      <c r="AA467" s="1779"/>
      <c r="AB467" s="1779"/>
      <c r="AC467" s="1779"/>
    </row>
    <row r="468" spans="1:29">
      <c r="A468" s="1779"/>
      <c r="B468" s="1779"/>
      <c r="C468" s="1779"/>
      <c r="D468" s="1779"/>
      <c r="E468" s="1779"/>
      <c r="F468" s="1779"/>
      <c r="G468" s="1779"/>
      <c r="H468" s="1779"/>
      <c r="I468" s="1779"/>
      <c r="J468" s="1779"/>
      <c r="K468" s="1780"/>
      <c r="L468" s="1781"/>
      <c r="M468" s="1779"/>
      <c r="N468" s="1779"/>
      <c r="O468" s="1779"/>
      <c r="P468" s="1816"/>
      <c r="Q468" s="1779"/>
      <c r="R468" s="1779"/>
      <c r="S468" s="1779"/>
      <c r="T468" s="1779"/>
      <c r="U468" s="1779"/>
      <c r="V468" s="1779"/>
      <c r="W468" s="1779"/>
      <c r="X468" s="1779"/>
      <c r="Y468" s="1779"/>
      <c r="Z468" s="1779"/>
      <c r="AA468" s="1779"/>
      <c r="AB468" s="1779"/>
      <c r="AC468" s="1779"/>
    </row>
    <row r="469" spans="1:29">
      <c r="A469" s="1779"/>
      <c r="B469" s="1779"/>
      <c r="C469" s="1779"/>
      <c r="D469" s="1779"/>
      <c r="E469" s="1779"/>
      <c r="F469" s="1779"/>
      <c r="G469" s="1779"/>
      <c r="H469" s="1779"/>
      <c r="I469" s="1779"/>
      <c r="J469" s="1779"/>
      <c r="K469" s="1780"/>
      <c r="L469" s="1781"/>
      <c r="M469" s="1779"/>
      <c r="N469" s="1779"/>
      <c r="O469" s="1779"/>
      <c r="P469" s="1816"/>
      <c r="Q469" s="1779"/>
      <c r="R469" s="1779"/>
      <c r="S469" s="1779"/>
      <c r="T469" s="1779"/>
      <c r="U469" s="1779"/>
      <c r="V469" s="1779"/>
      <c r="W469" s="1779"/>
      <c r="X469" s="1779"/>
      <c r="Y469" s="1779"/>
      <c r="Z469" s="1779"/>
      <c r="AA469" s="1779"/>
      <c r="AB469" s="1779"/>
      <c r="AC469" s="1779"/>
    </row>
    <row r="470" spans="1:29">
      <c r="A470" s="1779"/>
      <c r="B470" s="1779"/>
      <c r="C470" s="1779"/>
      <c r="D470" s="1779"/>
      <c r="E470" s="1779"/>
      <c r="F470" s="1779"/>
      <c r="G470" s="1779"/>
      <c r="H470" s="1779"/>
      <c r="I470" s="1779"/>
      <c r="J470" s="1779"/>
      <c r="K470" s="1780"/>
      <c r="L470" s="1781"/>
      <c r="M470" s="1779"/>
      <c r="N470" s="1779"/>
      <c r="O470" s="1779"/>
      <c r="P470" s="1816"/>
      <c r="Q470" s="1779"/>
      <c r="R470" s="1779"/>
      <c r="S470" s="1779"/>
      <c r="T470" s="1779"/>
      <c r="U470" s="1779"/>
      <c r="V470" s="1779"/>
      <c r="W470" s="1779"/>
      <c r="X470" s="1779"/>
      <c r="Y470" s="1779"/>
      <c r="Z470" s="1779"/>
      <c r="AA470" s="1779"/>
      <c r="AB470" s="1779"/>
      <c r="AC470" s="1779"/>
    </row>
    <row r="471" spans="1:29">
      <c r="A471" s="1779"/>
      <c r="B471" s="1779"/>
      <c r="C471" s="1779"/>
      <c r="D471" s="1779"/>
      <c r="E471" s="1779"/>
      <c r="F471" s="1779"/>
      <c r="G471" s="1779"/>
      <c r="H471" s="1779"/>
      <c r="I471" s="1779"/>
      <c r="J471" s="1779"/>
      <c r="K471" s="1780"/>
      <c r="L471" s="1781"/>
      <c r="M471" s="1779"/>
      <c r="N471" s="1779"/>
      <c r="O471" s="1779"/>
      <c r="P471" s="1816"/>
      <c r="Q471" s="1779"/>
      <c r="R471" s="1779"/>
      <c r="S471" s="1779"/>
      <c r="T471" s="1779"/>
      <c r="U471" s="1779"/>
      <c r="V471" s="1779"/>
      <c r="W471" s="1779"/>
      <c r="X471" s="1779"/>
      <c r="Y471" s="1779"/>
      <c r="Z471" s="1779"/>
      <c r="AA471" s="1779"/>
      <c r="AB471" s="1779"/>
      <c r="AC471" s="1779"/>
    </row>
    <row r="472" spans="1:29">
      <c r="A472" s="1779"/>
      <c r="B472" s="1779"/>
      <c r="C472" s="1779"/>
      <c r="D472" s="1779"/>
      <c r="E472" s="1779"/>
      <c r="F472" s="1779"/>
      <c r="G472" s="1779"/>
      <c r="H472" s="1779"/>
      <c r="I472" s="1779"/>
      <c r="J472" s="1779"/>
      <c r="K472" s="1780"/>
      <c r="L472" s="1781"/>
      <c r="M472" s="1779"/>
      <c r="N472" s="1779"/>
      <c r="O472" s="1779"/>
      <c r="P472" s="1816"/>
      <c r="Q472" s="1779"/>
      <c r="R472" s="1779"/>
      <c r="S472" s="1779"/>
      <c r="T472" s="1779"/>
      <c r="U472" s="1779"/>
      <c r="V472" s="1779"/>
      <c r="W472" s="1779"/>
      <c r="X472" s="1779"/>
      <c r="Y472" s="1779"/>
      <c r="Z472" s="1779"/>
      <c r="AA472" s="1779"/>
      <c r="AB472" s="1779"/>
      <c r="AC472" s="1779"/>
    </row>
    <row r="473" spans="1:29">
      <c r="A473" s="1779"/>
      <c r="B473" s="1779"/>
      <c r="C473" s="1779"/>
      <c r="D473" s="1779"/>
      <c r="E473" s="1779"/>
      <c r="F473" s="1779"/>
      <c r="G473" s="1779"/>
      <c r="H473" s="1779"/>
      <c r="I473" s="1779"/>
      <c r="J473" s="1779"/>
      <c r="K473" s="1780"/>
      <c r="L473" s="1781"/>
      <c r="M473" s="1779"/>
      <c r="N473" s="1779"/>
      <c r="O473" s="1779"/>
      <c r="P473" s="1816"/>
      <c r="Q473" s="1779"/>
      <c r="R473" s="1779"/>
      <c r="S473" s="1779"/>
      <c r="T473" s="1779"/>
      <c r="U473" s="1779"/>
      <c r="V473" s="1779"/>
      <c r="W473" s="1779"/>
      <c r="X473" s="1779"/>
      <c r="Y473" s="1779"/>
      <c r="Z473" s="1779"/>
      <c r="AA473" s="1779"/>
      <c r="AB473" s="1779"/>
      <c r="AC473" s="1779"/>
    </row>
    <row r="474" spans="1:29">
      <c r="A474" s="1779"/>
      <c r="B474" s="1779"/>
      <c r="C474" s="1779"/>
      <c r="D474" s="1779"/>
      <c r="E474" s="1779"/>
      <c r="F474" s="1779"/>
      <c r="G474" s="1779"/>
      <c r="H474" s="1779"/>
      <c r="I474" s="1779"/>
      <c r="J474" s="1779"/>
      <c r="K474" s="1780"/>
      <c r="L474" s="1781"/>
      <c r="M474" s="1779"/>
      <c r="N474" s="1779"/>
      <c r="O474" s="1779"/>
      <c r="P474" s="1816"/>
      <c r="Q474" s="1779"/>
      <c r="R474" s="1779"/>
      <c r="S474" s="1779"/>
      <c r="T474" s="1779"/>
      <c r="U474" s="1779"/>
      <c r="V474" s="1779"/>
      <c r="W474" s="1779"/>
      <c r="X474" s="1779"/>
      <c r="Y474" s="1779"/>
      <c r="Z474" s="1779"/>
      <c r="AA474" s="1779"/>
      <c r="AB474" s="1779"/>
      <c r="AC474" s="1779"/>
    </row>
    <row r="475" spans="1:29">
      <c r="A475" s="1779"/>
      <c r="B475" s="1779"/>
      <c r="C475" s="1779"/>
      <c r="D475" s="1779"/>
      <c r="E475" s="1779"/>
      <c r="F475" s="1779"/>
      <c r="G475" s="1779"/>
      <c r="H475" s="1779"/>
      <c r="I475" s="1779"/>
      <c r="J475" s="1779"/>
      <c r="K475" s="1780"/>
      <c r="L475" s="1781"/>
      <c r="M475" s="1779"/>
      <c r="N475" s="1779"/>
      <c r="O475" s="1779"/>
      <c r="P475" s="1816"/>
      <c r="Q475" s="1779"/>
      <c r="R475" s="1779"/>
      <c r="S475" s="1779"/>
      <c r="T475" s="1779"/>
      <c r="U475" s="1779"/>
      <c r="V475" s="1779"/>
      <c r="W475" s="1779"/>
      <c r="X475" s="1779"/>
      <c r="Y475" s="1779"/>
      <c r="Z475" s="1779"/>
      <c r="AA475" s="1779"/>
      <c r="AB475" s="1779"/>
      <c r="AC475" s="1779"/>
    </row>
    <row r="476" spans="1:29">
      <c r="A476" s="1779"/>
      <c r="B476" s="1779"/>
      <c r="C476" s="1779"/>
      <c r="D476" s="1779"/>
      <c r="E476" s="1779"/>
      <c r="F476" s="1779"/>
      <c r="G476" s="1779"/>
      <c r="H476" s="1779"/>
      <c r="I476" s="1779"/>
      <c r="J476" s="1779"/>
      <c r="K476" s="1780"/>
      <c r="L476" s="1781"/>
      <c r="M476" s="1779"/>
      <c r="N476" s="1779"/>
      <c r="O476" s="1779"/>
      <c r="P476" s="1816"/>
      <c r="Q476" s="1779"/>
      <c r="R476" s="1779"/>
      <c r="S476" s="1779"/>
      <c r="T476" s="1779"/>
      <c r="U476" s="1779"/>
      <c r="V476" s="1779"/>
      <c r="W476" s="1779"/>
      <c r="X476" s="1779"/>
      <c r="Y476" s="1779"/>
      <c r="Z476" s="1779"/>
      <c r="AA476" s="1779"/>
      <c r="AB476" s="1779"/>
      <c r="AC476" s="1779"/>
    </row>
    <row r="477" spans="1:29">
      <c r="A477" s="1779"/>
      <c r="B477" s="1779"/>
      <c r="C477" s="1779"/>
      <c r="D477" s="1779"/>
      <c r="E477" s="1779"/>
      <c r="F477" s="1779"/>
      <c r="G477" s="1779"/>
      <c r="H477" s="1779"/>
      <c r="I477" s="1779"/>
      <c r="J477" s="1779"/>
      <c r="K477" s="1780"/>
      <c r="L477" s="1781"/>
      <c r="M477" s="1779"/>
      <c r="N477" s="1779"/>
      <c r="O477" s="1779"/>
      <c r="P477" s="1816"/>
      <c r="Q477" s="1779"/>
      <c r="R477" s="1779"/>
      <c r="S477" s="1779"/>
      <c r="T477" s="1779"/>
      <c r="U477" s="1779"/>
      <c r="V477" s="1779"/>
      <c r="W477" s="1779"/>
      <c r="X477" s="1779"/>
      <c r="Y477" s="1779"/>
      <c r="Z477" s="1779"/>
      <c r="AA477" s="1779"/>
      <c r="AB477" s="1779"/>
      <c r="AC477" s="1779"/>
    </row>
    <row r="478" spans="1:29">
      <c r="A478" s="1779"/>
      <c r="B478" s="1779"/>
      <c r="C478" s="1779"/>
      <c r="D478" s="1779"/>
      <c r="E478" s="1779"/>
      <c r="F478" s="1779"/>
      <c r="G478" s="1779"/>
      <c r="H478" s="1779"/>
      <c r="I478" s="1779"/>
      <c r="J478" s="1779"/>
      <c r="K478" s="1780"/>
      <c r="L478" s="1781"/>
      <c r="M478" s="1779"/>
      <c r="N478" s="1779"/>
      <c r="O478" s="1779"/>
      <c r="P478" s="1816"/>
      <c r="Q478" s="1779"/>
      <c r="R478" s="1779"/>
      <c r="S478" s="1779"/>
      <c r="T478" s="1779"/>
      <c r="U478" s="1779"/>
      <c r="V478" s="1779"/>
      <c r="W478" s="1779"/>
      <c r="X478" s="1779"/>
      <c r="Y478" s="1779"/>
      <c r="Z478" s="1779"/>
      <c r="AA478" s="1779"/>
      <c r="AB478" s="1779"/>
      <c r="AC478" s="1779"/>
    </row>
    <row r="479" spans="1:29">
      <c r="A479" s="1779"/>
      <c r="B479" s="1779"/>
      <c r="C479" s="1779"/>
      <c r="D479" s="1779"/>
      <c r="E479" s="1779"/>
      <c r="F479" s="1779"/>
      <c r="G479" s="1779"/>
      <c r="H479" s="1779"/>
      <c r="I479" s="1779"/>
      <c r="J479" s="1779"/>
      <c r="K479" s="1780"/>
      <c r="L479" s="1781"/>
      <c r="M479" s="1779"/>
      <c r="N479" s="1779"/>
      <c r="O479" s="1779"/>
      <c r="P479" s="1816"/>
      <c r="Q479" s="1779"/>
      <c r="R479" s="1779"/>
      <c r="S479" s="1779"/>
      <c r="T479" s="1779"/>
      <c r="U479" s="1779"/>
      <c r="V479" s="1779"/>
      <c r="W479" s="1779"/>
      <c r="X479" s="1779"/>
      <c r="Y479" s="1779"/>
      <c r="Z479" s="1779"/>
      <c r="AA479" s="1779"/>
      <c r="AB479" s="1779"/>
      <c r="AC479" s="1779"/>
    </row>
    <row r="480" spans="1:29">
      <c r="A480" s="1779"/>
      <c r="B480" s="1779"/>
      <c r="C480" s="1779"/>
      <c r="D480" s="1779"/>
      <c r="E480" s="1779"/>
      <c r="F480" s="1779"/>
      <c r="G480" s="1779"/>
      <c r="H480" s="1779"/>
      <c r="I480" s="1779"/>
      <c r="J480" s="1779"/>
      <c r="K480" s="1780"/>
      <c r="L480" s="1781"/>
      <c r="M480" s="1779"/>
      <c r="N480" s="1779"/>
      <c r="O480" s="1779"/>
      <c r="P480" s="1816"/>
      <c r="Q480" s="1779"/>
      <c r="R480" s="1779"/>
      <c r="S480" s="1779"/>
      <c r="T480" s="1779"/>
      <c r="U480" s="1779"/>
      <c r="V480" s="1779"/>
      <c r="W480" s="1779"/>
      <c r="X480" s="1779"/>
      <c r="Y480" s="1779"/>
      <c r="Z480" s="1779"/>
      <c r="AA480" s="1779"/>
      <c r="AB480" s="1779"/>
      <c r="AC480" s="1779"/>
    </row>
    <row r="481" spans="1:29">
      <c r="A481" s="1779"/>
      <c r="B481" s="1779"/>
      <c r="C481" s="1779"/>
      <c r="D481" s="1779"/>
      <c r="E481" s="1779"/>
      <c r="F481" s="1779"/>
      <c r="G481" s="1779"/>
      <c r="H481" s="1779"/>
      <c r="I481" s="1779"/>
      <c r="J481" s="1779"/>
      <c r="K481" s="1780"/>
      <c r="L481" s="1781"/>
      <c r="M481" s="1779"/>
      <c r="N481" s="1779"/>
      <c r="O481" s="1779"/>
      <c r="P481" s="1816"/>
      <c r="Q481" s="1779"/>
      <c r="R481" s="1779"/>
      <c r="S481" s="1779"/>
      <c r="T481" s="1779"/>
      <c r="U481" s="1779"/>
      <c r="V481" s="1779"/>
      <c r="W481" s="1779"/>
      <c r="X481" s="1779"/>
      <c r="Y481" s="1779"/>
      <c r="Z481" s="1779"/>
      <c r="AA481" s="1779"/>
      <c r="AB481" s="1779"/>
      <c r="AC481" s="1779"/>
    </row>
    <row r="482" spans="1:29">
      <c r="A482" s="1779"/>
      <c r="B482" s="1779"/>
      <c r="C482" s="1779"/>
      <c r="D482" s="1779"/>
      <c r="E482" s="1779"/>
      <c r="F482" s="1779"/>
      <c r="G482" s="1779"/>
      <c r="H482" s="1779"/>
      <c r="I482" s="1779"/>
      <c r="J482" s="1779"/>
      <c r="K482" s="1780"/>
      <c r="L482" s="1781"/>
      <c r="M482" s="1779"/>
      <c r="N482" s="1779"/>
      <c r="O482" s="1779"/>
      <c r="P482" s="1816"/>
      <c r="Q482" s="1779"/>
      <c r="R482" s="1779"/>
      <c r="S482" s="1779"/>
      <c r="T482" s="1779"/>
      <c r="U482" s="1779"/>
      <c r="V482" s="1779"/>
      <c r="W482" s="1779"/>
      <c r="X482" s="1779"/>
      <c r="Y482" s="1779"/>
      <c r="Z482" s="1779"/>
      <c r="AA482" s="1779"/>
      <c r="AB482" s="1779"/>
      <c r="AC482" s="1779"/>
    </row>
    <row r="483" spans="1:29">
      <c r="A483" s="1779"/>
      <c r="B483" s="1779"/>
      <c r="C483" s="1779"/>
      <c r="D483" s="1779"/>
      <c r="E483" s="1779"/>
      <c r="F483" s="1779"/>
      <c r="G483" s="1779"/>
      <c r="H483" s="1779"/>
      <c r="I483" s="1779"/>
      <c r="J483" s="1779"/>
      <c r="K483" s="1780"/>
      <c r="L483" s="1781"/>
      <c r="M483" s="1779"/>
      <c r="N483" s="1779"/>
      <c r="O483" s="1779"/>
      <c r="P483" s="1816"/>
      <c r="Q483" s="1779"/>
      <c r="R483" s="1779"/>
      <c r="S483" s="1779"/>
      <c r="T483" s="1779"/>
      <c r="U483" s="1779"/>
      <c r="V483" s="1779"/>
      <c r="W483" s="1779"/>
      <c r="X483" s="1779"/>
      <c r="Y483" s="1779"/>
      <c r="Z483" s="1779"/>
      <c r="AA483" s="1779"/>
      <c r="AB483" s="1779"/>
      <c r="AC483" s="1779"/>
    </row>
    <row r="484" spans="1:29">
      <c r="A484" s="1779"/>
      <c r="B484" s="1779"/>
      <c r="C484" s="1779"/>
      <c r="D484" s="1779"/>
      <c r="E484" s="1779"/>
      <c r="F484" s="1779"/>
      <c r="G484" s="1779"/>
      <c r="H484" s="1779"/>
      <c r="I484" s="1779"/>
      <c r="J484" s="1779"/>
      <c r="K484" s="1780"/>
      <c r="L484" s="1781"/>
      <c r="M484" s="1779"/>
      <c r="N484" s="1779"/>
      <c r="O484" s="1779"/>
      <c r="P484" s="1816"/>
      <c r="Q484" s="1779"/>
      <c r="R484" s="1779"/>
      <c r="S484" s="1779"/>
      <c r="T484" s="1779"/>
      <c r="U484" s="1779"/>
      <c r="V484" s="1779"/>
      <c r="W484" s="1779"/>
      <c r="X484" s="1779"/>
      <c r="Y484" s="1779"/>
      <c r="Z484" s="1779"/>
      <c r="AA484" s="1779"/>
      <c r="AB484" s="1779"/>
      <c r="AC484" s="1779"/>
    </row>
    <row r="485" spans="1:29">
      <c r="A485" s="1779"/>
      <c r="B485" s="1779"/>
      <c r="C485" s="1779"/>
      <c r="D485" s="1779"/>
      <c r="E485" s="1779"/>
      <c r="F485" s="1779"/>
      <c r="G485" s="1779"/>
      <c r="H485" s="1779"/>
      <c r="I485" s="1779"/>
      <c r="J485" s="1779"/>
      <c r="K485" s="1780"/>
      <c r="L485" s="1781"/>
      <c r="M485" s="1779"/>
      <c r="N485" s="1779"/>
      <c r="O485" s="1779"/>
      <c r="P485" s="1816"/>
      <c r="Q485" s="1779"/>
      <c r="R485" s="1779"/>
      <c r="S485" s="1779"/>
      <c r="T485" s="1779"/>
      <c r="U485" s="1779"/>
      <c r="V485" s="1779"/>
      <c r="W485" s="1779"/>
      <c r="X485" s="1779"/>
      <c r="Y485" s="1779"/>
      <c r="Z485" s="1779"/>
      <c r="AA485" s="1779"/>
      <c r="AB485" s="1779"/>
      <c r="AC485" s="1779"/>
    </row>
    <row r="486" spans="1:29">
      <c r="A486" s="1779"/>
      <c r="B486" s="1779"/>
      <c r="C486" s="1779"/>
      <c r="D486" s="1779"/>
      <c r="E486" s="1779"/>
      <c r="F486" s="1779"/>
      <c r="G486" s="1779"/>
      <c r="H486" s="1779"/>
      <c r="I486" s="1779"/>
      <c r="J486" s="1779"/>
      <c r="K486" s="1780"/>
      <c r="L486" s="1781"/>
      <c r="M486" s="1779"/>
      <c r="N486" s="1779"/>
      <c r="O486" s="1779"/>
      <c r="P486" s="1816"/>
      <c r="Q486" s="1779"/>
      <c r="R486" s="1779"/>
      <c r="S486" s="1779"/>
      <c r="T486" s="1779"/>
      <c r="U486" s="1779"/>
      <c r="V486" s="1779"/>
      <c r="W486" s="1779"/>
      <c r="X486" s="1779"/>
      <c r="Y486" s="1779"/>
      <c r="Z486" s="1779"/>
      <c r="AA486" s="1779"/>
      <c r="AB486" s="1779"/>
      <c r="AC486" s="1779"/>
    </row>
    <row r="487" spans="1:29">
      <c r="A487" s="1779"/>
      <c r="B487" s="1779"/>
      <c r="C487" s="1779"/>
      <c r="D487" s="1779"/>
      <c r="E487" s="1779"/>
      <c r="F487" s="1779"/>
      <c r="G487" s="1779"/>
      <c r="H487" s="1779"/>
      <c r="I487" s="1779"/>
      <c r="J487" s="1779"/>
      <c r="K487" s="1780"/>
      <c r="L487" s="1781"/>
      <c r="M487" s="1779"/>
      <c r="N487" s="1779"/>
      <c r="O487" s="1779"/>
      <c r="P487" s="1816"/>
      <c r="Q487" s="1779"/>
      <c r="R487" s="1779"/>
      <c r="S487" s="1779"/>
      <c r="T487" s="1779"/>
      <c r="U487" s="1779"/>
      <c r="V487" s="1779"/>
      <c r="W487" s="1779"/>
      <c r="X487" s="1779"/>
      <c r="Y487" s="1779"/>
      <c r="Z487" s="1779"/>
      <c r="AA487" s="1779"/>
      <c r="AB487" s="1779"/>
      <c r="AC487" s="1779"/>
    </row>
    <row r="488" spans="1:29">
      <c r="A488" s="1779"/>
      <c r="B488" s="1779"/>
      <c r="C488" s="1779"/>
      <c r="D488" s="1779"/>
      <c r="E488" s="1779"/>
      <c r="F488" s="1779"/>
      <c r="G488" s="1779"/>
      <c r="H488" s="1779"/>
      <c r="I488" s="1779"/>
      <c r="J488" s="1779"/>
      <c r="K488" s="1780"/>
      <c r="L488" s="1781"/>
      <c r="M488" s="1779"/>
      <c r="N488" s="1779"/>
      <c r="O488" s="1779"/>
      <c r="P488" s="1816"/>
      <c r="Q488" s="1779"/>
      <c r="R488" s="1779"/>
      <c r="S488" s="1779"/>
      <c r="T488" s="1779"/>
      <c r="U488" s="1779"/>
      <c r="V488" s="1779"/>
      <c r="W488" s="1779"/>
      <c r="X488" s="1779"/>
      <c r="Y488" s="1779"/>
      <c r="Z488" s="1779"/>
      <c r="AA488" s="1779"/>
      <c r="AB488" s="1779"/>
      <c r="AC488" s="1779"/>
    </row>
    <row r="489" spans="1:29">
      <c r="A489" s="1779"/>
      <c r="B489" s="1779"/>
      <c r="C489" s="1779"/>
      <c r="D489" s="1779"/>
      <c r="E489" s="1779"/>
      <c r="F489" s="1779"/>
      <c r="G489" s="1779"/>
      <c r="H489" s="1779"/>
      <c r="I489" s="1779"/>
      <c r="J489" s="1779"/>
      <c r="K489" s="1780"/>
      <c r="L489" s="1781"/>
      <c r="M489" s="1779"/>
      <c r="N489" s="1779"/>
      <c r="O489" s="1779"/>
      <c r="P489" s="1816"/>
      <c r="Q489" s="1779"/>
      <c r="R489" s="1779"/>
      <c r="S489" s="1779"/>
      <c r="T489" s="1779"/>
      <c r="U489" s="1779"/>
      <c r="V489" s="1779"/>
      <c r="W489" s="1779"/>
      <c r="X489" s="1779"/>
      <c r="Y489" s="1779"/>
      <c r="Z489" s="1779"/>
      <c r="AA489" s="1779"/>
      <c r="AB489" s="1779"/>
      <c r="AC489" s="1779"/>
    </row>
    <row r="490" spans="1:29">
      <c r="A490" s="1779"/>
      <c r="B490" s="1779"/>
      <c r="C490" s="1779"/>
      <c r="D490" s="1779"/>
      <c r="E490" s="1779"/>
      <c r="F490" s="1779"/>
      <c r="G490" s="1779"/>
      <c r="H490" s="1779"/>
      <c r="I490" s="1779"/>
      <c r="J490" s="1779"/>
      <c r="K490" s="1780"/>
      <c r="L490" s="1781"/>
      <c r="M490" s="1779"/>
      <c r="N490" s="1779"/>
      <c r="O490" s="1779"/>
      <c r="P490" s="1816"/>
      <c r="Q490" s="1779"/>
      <c r="R490" s="1779"/>
      <c r="S490" s="1779"/>
      <c r="T490" s="1779"/>
      <c r="U490" s="1779"/>
      <c r="V490" s="1779"/>
      <c r="W490" s="1779"/>
      <c r="X490" s="1779"/>
      <c r="Y490" s="1779"/>
      <c r="Z490" s="1779"/>
      <c r="AA490" s="1779"/>
      <c r="AB490" s="1779"/>
      <c r="AC490" s="1779"/>
    </row>
    <row r="491" spans="1:29">
      <c r="A491" s="1779"/>
      <c r="B491" s="1779"/>
      <c r="C491" s="1779"/>
      <c r="D491" s="1779"/>
      <c r="E491" s="1779"/>
      <c r="F491" s="1779"/>
      <c r="G491" s="1779"/>
      <c r="H491" s="1779"/>
      <c r="I491" s="1779"/>
      <c r="J491" s="1779"/>
      <c r="K491" s="1780"/>
      <c r="L491" s="1781"/>
      <c r="M491" s="1779"/>
      <c r="N491" s="1779"/>
      <c r="O491" s="1779"/>
      <c r="P491" s="1816"/>
      <c r="Q491" s="1779"/>
      <c r="R491" s="1779"/>
      <c r="S491" s="1779"/>
      <c r="T491" s="1779"/>
      <c r="U491" s="1779"/>
      <c r="V491" s="1779"/>
      <c r="W491" s="1779"/>
      <c r="X491" s="1779"/>
      <c r="Y491" s="1779"/>
      <c r="Z491" s="1779"/>
      <c r="AA491" s="1779"/>
      <c r="AB491" s="1779"/>
      <c r="AC491" s="1779"/>
    </row>
    <row r="492" spans="1:29">
      <c r="A492" s="1779"/>
      <c r="B492" s="1779"/>
      <c r="C492" s="1779"/>
      <c r="D492" s="1779"/>
      <c r="E492" s="1779"/>
      <c r="F492" s="1779"/>
      <c r="G492" s="1779"/>
      <c r="H492" s="1779"/>
      <c r="I492" s="1779"/>
      <c r="J492" s="1779"/>
      <c r="K492" s="1780"/>
      <c r="L492" s="1781"/>
      <c r="M492" s="1779"/>
      <c r="N492" s="1779"/>
      <c r="O492" s="1779"/>
      <c r="P492" s="1816"/>
      <c r="Q492" s="1779"/>
      <c r="R492" s="1779"/>
      <c r="S492" s="1779"/>
      <c r="T492" s="1779"/>
      <c r="U492" s="1779"/>
      <c r="V492" s="1779"/>
      <c r="W492" s="1779"/>
      <c r="X492" s="1779"/>
      <c r="Y492" s="1779"/>
      <c r="Z492" s="1779"/>
      <c r="AA492" s="1779"/>
      <c r="AB492" s="1779"/>
      <c r="AC492" s="1779"/>
    </row>
    <row r="493" spans="1:29">
      <c r="A493" s="1779"/>
      <c r="B493" s="1779"/>
      <c r="C493" s="1779"/>
      <c r="D493" s="1779"/>
      <c r="E493" s="1779"/>
      <c r="F493" s="1779"/>
      <c r="G493" s="1779"/>
      <c r="H493" s="1779"/>
      <c r="I493" s="1779"/>
      <c r="J493" s="1779"/>
      <c r="K493" s="1780"/>
      <c r="L493" s="1781"/>
      <c r="M493" s="1779"/>
      <c r="N493" s="1779"/>
      <c r="O493" s="1779"/>
      <c r="P493" s="1816"/>
      <c r="Q493" s="1779"/>
      <c r="R493" s="1779"/>
      <c r="S493" s="1779"/>
      <c r="T493" s="1779"/>
      <c r="U493" s="1779"/>
      <c r="V493" s="1779"/>
      <c r="W493" s="1779"/>
      <c r="X493" s="1779"/>
      <c r="Y493" s="1779"/>
      <c r="Z493" s="1779"/>
      <c r="AA493" s="1779"/>
      <c r="AB493" s="1779"/>
      <c r="AC493" s="1779"/>
    </row>
    <row r="494" spans="1:29">
      <c r="A494" s="1779"/>
      <c r="B494" s="1779"/>
      <c r="C494" s="1779"/>
      <c r="D494" s="1779"/>
      <c r="E494" s="1779"/>
      <c r="F494" s="1779"/>
      <c r="G494" s="1779"/>
      <c r="H494" s="1779"/>
      <c r="I494" s="1779"/>
      <c r="J494" s="1779"/>
      <c r="K494" s="1780"/>
      <c r="L494" s="1781"/>
      <c r="M494" s="1779"/>
      <c r="N494" s="1779"/>
      <c r="O494" s="1779"/>
      <c r="P494" s="1816"/>
      <c r="Q494" s="1779"/>
      <c r="R494" s="1779"/>
      <c r="S494" s="1779"/>
      <c r="T494" s="1779"/>
      <c r="U494" s="1779"/>
      <c r="V494" s="1779"/>
      <c r="W494" s="1779"/>
      <c r="X494" s="1779"/>
      <c r="Y494" s="1779"/>
      <c r="Z494" s="1779"/>
      <c r="AA494" s="1779"/>
      <c r="AB494" s="1779"/>
      <c r="AC494" s="1779"/>
    </row>
    <row r="495" spans="1:29">
      <c r="A495" s="1779"/>
      <c r="B495" s="1779"/>
      <c r="C495" s="1779"/>
      <c r="D495" s="1779"/>
      <c r="E495" s="1779"/>
      <c r="F495" s="1779"/>
      <c r="G495" s="1779"/>
      <c r="H495" s="1779"/>
      <c r="I495" s="1779"/>
      <c r="J495" s="1779"/>
      <c r="K495" s="1780"/>
      <c r="L495" s="1781"/>
      <c r="M495" s="1779"/>
      <c r="N495" s="1779"/>
      <c r="O495" s="1779"/>
      <c r="P495" s="1816"/>
      <c r="Q495" s="1779"/>
      <c r="R495" s="1779"/>
      <c r="S495" s="1779"/>
      <c r="T495" s="1779"/>
      <c r="U495" s="1779"/>
      <c r="V495" s="1779"/>
      <c r="W495" s="1779"/>
      <c r="X495" s="1779"/>
      <c r="Y495" s="1779"/>
      <c r="Z495" s="1779"/>
      <c r="AA495" s="1779"/>
      <c r="AB495" s="1779"/>
      <c r="AC495" s="1779"/>
    </row>
    <row r="496" spans="1:29">
      <c r="A496" s="1779"/>
      <c r="B496" s="1779"/>
      <c r="C496" s="1779"/>
      <c r="D496" s="1779"/>
      <c r="E496" s="1779"/>
      <c r="F496" s="1779"/>
      <c r="G496" s="1779"/>
      <c r="H496" s="1779"/>
      <c r="I496" s="1779"/>
      <c r="J496" s="1779"/>
      <c r="K496" s="1780"/>
      <c r="L496" s="1781"/>
      <c r="M496" s="1779"/>
      <c r="N496" s="1779"/>
      <c r="O496" s="1779"/>
      <c r="P496" s="1816"/>
      <c r="Q496" s="1779"/>
      <c r="R496" s="1779"/>
      <c r="S496" s="1779"/>
      <c r="T496" s="1779"/>
      <c r="U496" s="1779"/>
      <c r="V496" s="1779"/>
      <c r="W496" s="1779"/>
      <c r="X496" s="1779"/>
      <c r="Y496" s="1779"/>
      <c r="Z496" s="1779"/>
      <c r="AA496" s="1779"/>
      <c r="AB496" s="1779"/>
      <c r="AC496" s="1779"/>
    </row>
    <row r="497" spans="1:29">
      <c r="A497" s="1779"/>
      <c r="B497" s="1779"/>
      <c r="C497" s="1779"/>
      <c r="D497" s="1779"/>
      <c r="E497" s="1779"/>
      <c r="F497" s="1779"/>
      <c r="G497" s="1779"/>
      <c r="H497" s="1779"/>
      <c r="I497" s="1779"/>
      <c r="J497" s="1779"/>
      <c r="K497" s="1780"/>
      <c r="L497" s="1781"/>
      <c r="M497" s="1779"/>
      <c r="N497" s="1779"/>
      <c r="O497" s="1779"/>
      <c r="P497" s="1816"/>
      <c r="Q497" s="1779"/>
      <c r="R497" s="1779"/>
      <c r="S497" s="1779"/>
      <c r="T497" s="1779"/>
      <c r="U497" s="1779"/>
      <c r="V497" s="1779"/>
      <c r="W497" s="1779"/>
      <c r="X497" s="1779"/>
      <c r="Y497" s="1779"/>
      <c r="Z497" s="1779"/>
      <c r="AA497" s="1779"/>
      <c r="AB497" s="1779"/>
      <c r="AC497" s="1779"/>
    </row>
    <row r="498" spans="1:29">
      <c r="A498" s="1779"/>
      <c r="B498" s="1779"/>
      <c r="C498" s="1779"/>
      <c r="D498" s="1779"/>
      <c r="E498" s="1779"/>
      <c r="F498" s="1779"/>
      <c r="G498" s="1779"/>
      <c r="H498" s="1779"/>
      <c r="I498" s="1779"/>
      <c r="J498" s="1779"/>
      <c r="K498" s="1780"/>
      <c r="L498" s="1781"/>
      <c r="M498" s="1779"/>
      <c r="N498" s="1779"/>
      <c r="O498" s="1779"/>
      <c r="P498" s="1816"/>
      <c r="Q498" s="1779"/>
      <c r="R498" s="1779"/>
      <c r="S498" s="1779"/>
      <c r="T498" s="1779"/>
      <c r="U498" s="1779"/>
      <c r="V498" s="1779"/>
      <c r="W498" s="1779"/>
      <c r="X498" s="1779"/>
      <c r="Y498" s="1779"/>
      <c r="Z498" s="1779"/>
      <c r="AA498" s="1779"/>
      <c r="AB498" s="1779"/>
      <c r="AC498" s="1779"/>
    </row>
    <row r="499" spans="1:29">
      <c r="A499" s="1779"/>
      <c r="B499" s="1779"/>
      <c r="C499" s="1779"/>
      <c r="D499" s="1779"/>
      <c r="E499" s="1779"/>
      <c r="F499" s="1779"/>
      <c r="G499" s="1779"/>
      <c r="H499" s="1779"/>
      <c r="I499" s="1779"/>
      <c r="J499" s="1779"/>
      <c r="K499" s="1780"/>
      <c r="L499" s="1781"/>
      <c r="M499" s="1779"/>
      <c r="N499" s="1779"/>
      <c r="O499" s="1779"/>
      <c r="P499" s="1816"/>
      <c r="Q499" s="1779"/>
      <c r="R499" s="1779"/>
      <c r="S499" s="1779"/>
      <c r="T499" s="1779"/>
      <c r="U499" s="1779"/>
      <c r="V499" s="1779"/>
      <c r="W499" s="1779"/>
      <c r="X499" s="1779"/>
      <c r="Y499" s="1779"/>
      <c r="Z499" s="1779"/>
      <c r="AA499" s="1779"/>
      <c r="AB499" s="1779"/>
      <c r="AC499" s="1779"/>
    </row>
    <row r="500" spans="1:29">
      <c r="A500" s="1779"/>
      <c r="B500" s="1779"/>
      <c r="C500" s="1779"/>
      <c r="D500" s="1779"/>
      <c r="E500" s="1779"/>
      <c r="F500" s="1779"/>
      <c r="G500" s="1779"/>
      <c r="H500" s="1779"/>
      <c r="I500" s="1779"/>
      <c r="J500" s="1779"/>
      <c r="K500" s="1780"/>
      <c r="L500" s="1781"/>
      <c r="M500" s="1779"/>
      <c r="N500" s="1779"/>
      <c r="O500" s="1779"/>
      <c r="P500" s="1816"/>
      <c r="Q500" s="1779"/>
      <c r="R500" s="1779"/>
      <c r="S500" s="1779"/>
      <c r="T500" s="1779"/>
      <c r="U500" s="1779"/>
      <c r="V500" s="1779"/>
      <c r="W500" s="1779"/>
      <c r="X500" s="1779"/>
      <c r="Y500" s="1779"/>
      <c r="Z500" s="1779"/>
      <c r="AA500" s="1779"/>
      <c r="AB500" s="1779"/>
      <c r="AC500" s="1779"/>
    </row>
    <row r="501" spans="1:29">
      <c r="A501" s="1779"/>
      <c r="B501" s="1779"/>
      <c r="C501" s="1779"/>
      <c r="D501" s="1779"/>
      <c r="E501" s="1779"/>
      <c r="F501" s="1779"/>
      <c r="G501" s="1779"/>
      <c r="H501" s="1779"/>
      <c r="I501" s="1779"/>
      <c r="J501" s="1779"/>
      <c r="K501" s="1780"/>
      <c r="L501" s="1781"/>
      <c r="M501" s="1779"/>
      <c r="N501" s="1779"/>
      <c r="O501" s="1779"/>
      <c r="P501" s="1816"/>
      <c r="Q501" s="1779"/>
      <c r="R501" s="1779"/>
      <c r="S501" s="1779"/>
      <c r="T501" s="1779"/>
      <c r="U501" s="1779"/>
      <c r="V501" s="1779"/>
      <c r="W501" s="1779"/>
      <c r="X501" s="1779"/>
      <c r="Y501" s="1779"/>
      <c r="Z501" s="1779"/>
      <c r="AA501" s="1779"/>
      <c r="AB501" s="1779"/>
      <c r="AC501" s="1779"/>
    </row>
    <row r="502" spans="1:29">
      <c r="A502" s="1779"/>
      <c r="B502" s="1779"/>
      <c r="C502" s="1779"/>
      <c r="D502" s="1779"/>
      <c r="E502" s="1779"/>
      <c r="F502" s="1779"/>
      <c r="G502" s="1779"/>
      <c r="H502" s="1779"/>
      <c r="I502" s="1779"/>
      <c r="J502" s="1779"/>
      <c r="K502" s="1780"/>
      <c r="L502" s="1781"/>
      <c r="M502" s="1779"/>
      <c r="N502" s="1779"/>
      <c r="O502" s="1779"/>
      <c r="P502" s="1816"/>
      <c r="Q502" s="1779"/>
      <c r="R502" s="1779"/>
      <c r="S502" s="1779"/>
      <c r="T502" s="1779"/>
      <c r="U502" s="1779"/>
      <c r="V502" s="1779"/>
      <c r="W502" s="1779"/>
      <c r="X502" s="1779"/>
      <c r="Y502" s="1779"/>
      <c r="Z502" s="1779"/>
      <c r="AA502" s="1779"/>
      <c r="AB502" s="1779"/>
      <c r="AC502" s="1779"/>
    </row>
    <row r="503" spans="1:29">
      <c r="A503" s="1779"/>
      <c r="B503" s="1779"/>
      <c r="C503" s="1779"/>
      <c r="D503" s="1779"/>
      <c r="E503" s="1779"/>
      <c r="F503" s="1779"/>
      <c r="G503" s="1779"/>
      <c r="H503" s="1779"/>
      <c r="I503" s="1779"/>
      <c r="J503" s="1779"/>
      <c r="K503" s="1780"/>
      <c r="L503" s="1781"/>
      <c r="M503" s="1779"/>
      <c r="N503" s="1779"/>
      <c r="O503" s="1779"/>
      <c r="P503" s="1816"/>
      <c r="Q503" s="1779"/>
      <c r="R503" s="1779"/>
      <c r="S503" s="1779"/>
      <c r="T503" s="1779"/>
      <c r="U503" s="1779"/>
      <c r="V503" s="1779"/>
      <c r="W503" s="1779"/>
      <c r="X503" s="1779"/>
      <c r="Y503" s="1779"/>
      <c r="Z503" s="1779"/>
      <c r="AA503" s="1779"/>
      <c r="AB503" s="1779"/>
      <c r="AC503" s="1779"/>
    </row>
    <row r="504" spans="1:29">
      <c r="A504" s="1779"/>
      <c r="B504" s="1779"/>
      <c r="C504" s="1779"/>
      <c r="D504" s="1779"/>
      <c r="E504" s="1779"/>
      <c r="F504" s="1779"/>
      <c r="G504" s="1779"/>
      <c r="H504" s="1779"/>
      <c r="I504" s="1779"/>
      <c r="J504" s="1779"/>
      <c r="K504" s="1780"/>
      <c r="L504" s="1781"/>
      <c r="M504" s="1779"/>
      <c r="N504" s="1779"/>
      <c r="O504" s="1779"/>
      <c r="P504" s="1816"/>
      <c r="Q504" s="1779"/>
      <c r="R504" s="1779"/>
      <c r="S504" s="1779"/>
      <c r="T504" s="1779"/>
      <c r="U504" s="1779"/>
      <c r="V504" s="1779"/>
      <c r="W504" s="1779"/>
      <c r="X504" s="1779"/>
      <c r="Y504" s="1779"/>
      <c r="Z504" s="1779"/>
      <c r="AA504" s="1779"/>
      <c r="AB504" s="1779"/>
      <c r="AC504" s="1779"/>
    </row>
    <row r="505" spans="1:29">
      <c r="A505" s="1779"/>
      <c r="B505" s="1779"/>
      <c r="C505" s="1779"/>
      <c r="D505" s="1779"/>
      <c r="E505" s="1779"/>
      <c r="F505" s="1779"/>
      <c r="G505" s="1779"/>
      <c r="H505" s="1779"/>
      <c r="I505" s="1779"/>
      <c r="J505" s="1779"/>
      <c r="K505" s="1780"/>
      <c r="L505" s="1781"/>
      <c r="M505" s="1779"/>
      <c r="N505" s="1779"/>
      <c r="O505" s="1779"/>
      <c r="P505" s="1816"/>
      <c r="Q505" s="1779"/>
      <c r="R505" s="1779"/>
      <c r="S505" s="1779"/>
      <c r="T505" s="1779"/>
      <c r="U505" s="1779"/>
      <c r="V505" s="1779"/>
      <c r="W505" s="1779"/>
      <c r="X505" s="1779"/>
      <c r="Y505" s="1779"/>
      <c r="Z505" s="1779"/>
      <c r="AA505" s="1779"/>
      <c r="AB505" s="1779"/>
      <c r="AC505" s="1779"/>
    </row>
    <row r="506" spans="1:29">
      <c r="A506" s="1779"/>
      <c r="B506" s="1779"/>
      <c r="C506" s="1779"/>
      <c r="D506" s="1779"/>
      <c r="E506" s="1779"/>
      <c r="F506" s="1779"/>
      <c r="G506" s="1779"/>
      <c r="H506" s="1779"/>
      <c r="I506" s="1779"/>
      <c r="J506" s="1779"/>
      <c r="K506" s="1780"/>
      <c r="L506" s="1781"/>
      <c r="M506" s="1779"/>
      <c r="N506" s="1779"/>
      <c r="O506" s="1779"/>
      <c r="P506" s="1816"/>
      <c r="Q506" s="1779"/>
      <c r="R506" s="1779"/>
      <c r="S506" s="1779"/>
      <c r="T506" s="1779"/>
      <c r="U506" s="1779"/>
      <c r="V506" s="1779"/>
      <c r="W506" s="1779"/>
      <c r="X506" s="1779"/>
      <c r="Y506" s="1779"/>
      <c r="Z506" s="1779"/>
      <c r="AA506" s="1779"/>
      <c r="AB506" s="1779"/>
      <c r="AC506" s="1779"/>
    </row>
    <row r="507" spans="1:29">
      <c r="A507" s="1779"/>
      <c r="B507" s="1779"/>
      <c r="C507" s="1779"/>
      <c r="D507" s="1779"/>
      <c r="E507" s="1779"/>
      <c r="F507" s="1779"/>
      <c r="G507" s="1779"/>
      <c r="H507" s="1779"/>
      <c r="I507" s="1779"/>
      <c r="J507" s="1779"/>
      <c r="K507" s="1780"/>
      <c r="L507" s="1781"/>
      <c r="M507" s="1779"/>
      <c r="N507" s="1779"/>
      <c r="O507" s="1779"/>
      <c r="P507" s="1816"/>
      <c r="Q507" s="1779"/>
      <c r="R507" s="1779"/>
      <c r="S507" s="1779"/>
      <c r="T507" s="1779"/>
      <c r="U507" s="1779"/>
      <c r="V507" s="1779"/>
      <c r="W507" s="1779"/>
      <c r="X507" s="1779"/>
      <c r="Y507" s="1779"/>
      <c r="Z507" s="1779"/>
      <c r="AA507" s="1779"/>
      <c r="AB507" s="1779"/>
      <c r="AC507" s="1779"/>
    </row>
    <row r="508" spans="1:29">
      <c r="A508" s="1779"/>
      <c r="B508" s="1779"/>
      <c r="C508" s="1779"/>
      <c r="D508" s="1779"/>
      <c r="E508" s="1779"/>
      <c r="F508" s="1779"/>
      <c r="G508" s="1779"/>
      <c r="H508" s="1779"/>
      <c r="I508" s="1779"/>
      <c r="J508" s="1779"/>
      <c r="K508" s="1780"/>
      <c r="L508" s="1781"/>
      <c r="M508" s="1779"/>
      <c r="N508" s="1779"/>
      <c r="O508" s="1779"/>
      <c r="P508" s="1816"/>
      <c r="Q508" s="1779"/>
      <c r="R508" s="1779"/>
      <c r="S508" s="1779"/>
      <c r="T508" s="1779"/>
      <c r="U508" s="1779"/>
      <c r="V508" s="1779"/>
      <c r="W508" s="1779"/>
      <c r="X508" s="1779"/>
      <c r="Y508" s="1779"/>
      <c r="Z508" s="1779"/>
      <c r="AA508" s="1779"/>
      <c r="AB508" s="1779"/>
      <c r="AC508" s="1779"/>
    </row>
    <row r="509" spans="1:29">
      <c r="A509" s="1779"/>
      <c r="B509" s="1779"/>
      <c r="C509" s="1779"/>
      <c r="D509" s="1779"/>
      <c r="E509" s="1779"/>
      <c r="F509" s="1779"/>
      <c r="G509" s="1779"/>
      <c r="H509" s="1779"/>
      <c r="I509" s="1779"/>
      <c r="J509" s="1779"/>
      <c r="K509" s="1780"/>
      <c r="L509" s="1781"/>
      <c r="M509" s="1779"/>
      <c r="N509" s="1779"/>
      <c r="O509" s="1779"/>
      <c r="P509" s="1816"/>
      <c r="Q509" s="1779"/>
      <c r="R509" s="1779"/>
      <c r="S509" s="1779"/>
      <c r="T509" s="1779"/>
      <c r="U509" s="1779"/>
      <c r="V509" s="1779"/>
      <c r="W509" s="1779"/>
      <c r="X509" s="1779"/>
      <c r="Y509" s="1779"/>
      <c r="Z509" s="1779"/>
      <c r="AA509" s="1779"/>
      <c r="AB509" s="1779"/>
      <c r="AC509" s="1779"/>
    </row>
    <row r="510" spans="1:29">
      <c r="A510" s="1779"/>
      <c r="B510" s="1779"/>
      <c r="C510" s="1779"/>
      <c r="D510" s="1779"/>
      <c r="E510" s="1779"/>
      <c r="F510" s="1779"/>
      <c r="G510" s="1779"/>
      <c r="H510" s="1779"/>
      <c r="I510" s="1779"/>
      <c r="J510" s="1779"/>
      <c r="K510" s="1780"/>
      <c r="L510" s="1781"/>
      <c r="M510" s="1779"/>
      <c r="N510" s="1779"/>
      <c r="O510" s="1779"/>
      <c r="P510" s="1816"/>
      <c r="Q510" s="1779"/>
      <c r="R510" s="1779"/>
      <c r="S510" s="1779"/>
      <c r="T510" s="1779"/>
      <c r="U510" s="1779"/>
      <c r="V510" s="1779"/>
      <c r="W510" s="1779"/>
      <c r="X510" s="1779"/>
      <c r="Y510" s="1779"/>
      <c r="Z510" s="1779"/>
      <c r="AA510" s="1779"/>
      <c r="AB510" s="1779"/>
      <c r="AC510" s="1779"/>
    </row>
    <row r="511" spans="1:29">
      <c r="A511" s="1779"/>
      <c r="B511" s="1779"/>
      <c r="C511" s="1779"/>
      <c r="D511" s="1779"/>
      <c r="E511" s="1779"/>
      <c r="F511" s="1779"/>
      <c r="G511" s="1779"/>
      <c r="H511" s="1779"/>
      <c r="I511" s="1779"/>
      <c r="J511" s="1779"/>
      <c r="K511" s="1780"/>
      <c r="L511" s="1781"/>
      <c r="M511" s="1779"/>
      <c r="N511" s="1779"/>
      <c r="O511" s="1779"/>
      <c r="P511" s="1816"/>
      <c r="Q511" s="1779"/>
      <c r="R511" s="1779"/>
      <c r="S511" s="1779"/>
      <c r="T511" s="1779"/>
      <c r="U511" s="1779"/>
      <c r="V511" s="1779"/>
      <c r="W511" s="1779"/>
      <c r="X511" s="1779"/>
      <c r="Y511" s="1779"/>
      <c r="Z511" s="1779"/>
      <c r="AA511" s="1779"/>
      <c r="AB511" s="1779"/>
      <c r="AC511" s="1779"/>
    </row>
    <row r="512" spans="1:29">
      <c r="A512" s="1779"/>
      <c r="B512" s="1779"/>
      <c r="C512" s="1779"/>
      <c r="D512" s="1779"/>
      <c r="E512" s="1779"/>
      <c r="F512" s="1779"/>
      <c r="G512" s="1779"/>
      <c r="H512" s="1779"/>
      <c r="I512" s="1779"/>
      <c r="J512" s="1779"/>
      <c r="K512" s="1780"/>
      <c r="L512" s="1781"/>
      <c r="M512" s="1779"/>
      <c r="N512" s="1779"/>
      <c r="O512" s="1779"/>
      <c r="P512" s="1816"/>
      <c r="Q512" s="1779"/>
      <c r="R512" s="1779"/>
      <c r="S512" s="1779"/>
      <c r="T512" s="1779"/>
      <c r="U512" s="1779"/>
      <c r="V512" s="1779"/>
      <c r="W512" s="1779"/>
      <c r="X512" s="1779"/>
      <c r="Y512" s="1779"/>
      <c r="Z512" s="1779"/>
      <c r="AA512" s="1779"/>
      <c r="AB512" s="1779"/>
      <c r="AC512" s="1779"/>
    </row>
    <row r="513" spans="1:29">
      <c r="A513" s="1779"/>
      <c r="B513" s="1779"/>
      <c r="C513" s="1779"/>
      <c r="D513" s="1779"/>
      <c r="E513" s="1779"/>
      <c r="F513" s="1779"/>
      <c r="G513" s="1779"/>
      <c r="H513" s="1779"/>
      <c r="I513" s="1779"/>
      <c r="J513" s="1779"/>
      <c r="K513" s="1780"/>
      <c r="L513" s="1781"/>
      <c r="M513" s="1779"/>
      <c r="N513" s="1779"/>
      <c r="O513" s="1779"/>
      <c r="P513" s="1816"/>
      <c r="Q513" s="1779"/>
      <c r="R513" s="1779"/>
      <c r="S513" s="1779"/>
      <c r="T513" s="1779"/>
      <c r="U513" s="1779"/>
      <c r="V513" s="1779"/>
      <c r="W513" s="1779"/>
      <c r="X513" s="1779"/>
      <c r="Y513" s="1779"/>
      <c r="Z513" s="1779"/>
      <c r="AA513" s="1779"/>
      <c r="AB513" s="1779"/>
      <c r="AC513" s="1779"/>
    </row>
    <row r="514" spans="1:29">
      <c r="A514" s="1779"/>
      <c r="B514" s="1779"/>
      <c r="C514" s="1779"/>
      <c r="D514" s="1779"/>
      <c r="E514" s="1779"/>
      <c r="F514" s="1779"/>
      <c r="G514" s="1779"/>
      <c r="H514" s="1779"/>
      <c r="I514" s="1779"/>
      <c r="J514" s="1779"/>
      <c r="K514" s="1780"/>
      <c r="L514" s="1781"/>
      <c r="M514" s="1779"/>
      <c r="N514" s="1779"/>
      <c r="O514" s="1779"/>
      <c r="P514" s="1816"/>
      <c r="Q514" s="1779"/>
      <c r="R514" s="1779"/>
      <c r="S514" s="1779"/>
      <c r="T514" s="1779"/>
      <c r="U514" s="1779"/>
      <c r="V514" s="1779"/>
      <c r="W514" s="1779"/>
      <c r="X514" s="1779"/>
      <c r="Y514" s="1779"/>
      <c r="Z514" s="1779"/>
      <c r="AA514" s="1779"/>
      <c r="AB514" s="1779"/>
      <c r="AC514" s="1779"/>
    </row>
    <row r="515" spans="1:29">
      <c r="A515" s="1779"/>
      <c r="B515" s="1779"/>
      <c r="C515" s="1779"/>
      <c r="D515" s="1779"/>
      <c r="E515" s="1779"/>
      <c r="F515" s="1779"/>
      <c r="G515" s="1779"/>
      <c r="H515" s="1779"/>
      <c r="I515" s="1779"/>
      <c r="J515" s="1779"/>
      <c r="K515" s="1780"/>
      <c r="L515" s="1781"/>
      <c r="M515" s="1779"/>
      <c r="N515" s="1779"/>
      <c r="O515" s="1779"/>
      <c r="P515" s="1816"/>
      <c r="Q515" s="1779"/>
      <c r="R515" s="1779"/>
      <c r="S515" s="1779"/>
      <c r="T515" s="1779"/>
      <c r="U515" s="1779"/>
      <c r="V515" s="1779"/>
      <c r="W515" s="1779"/>
      <c r="X515" s="1779"/>
      <c r="Y515" s="1779"/>
      <c r="Z515" s="1779"/>
      <c r="AA515" s="1779"/>
      <c r="AB515" s="1779"/>
      <c r="AC515" s="1779"/>
    </row>
    <row r="516" spans="1:29">
      <c r="A516" s="1779"/>
      <c r="B516" s="1779"/>
      <c r="C516" s="1779"/>
      <c r="D516" s="1779"/>
      <c r="E516" s="1779"/>
      <c r="F516" s="1779"/>
      <c r="G516" s="1779"/>
      <c r="H516" s="1779"/>
      <c r="I516" s="1779"/>
      <c r="J516" s="1779"/>
      <c r="K516" s="1780"/>
      <c r="L516" s="1781"/>
      <c r="M516" s="1779"/>
      <c r="N516" s="1779"/>
      <c r="O516" s="1779"/>
      <c r="P516" s="1816"/>
      <c r="Q516" s="1779"/>
      <c r="R516" s="1779"/>
      <c r="S516" s="1779"/>
      <c r="T516" s="1779"/>
      <c r="U516" s="1779"/>
      <c r="V516" s="1779"/>
      <c r="W516" s="1779"/>
      <c r="X516" s="1779"/>
      <c r="Y516" s="1779"/>
      <c r="Z516" s="1779"/>
      <c r="AA516" s="1779"/>
      <c r="AB516" s="1779"/>
      <c r="AC516" s="1779"/>
    </row>
    <row r="517" spans="1:29">
      <c r="A517" s="1779"/>
      <c r="B517" s="1779"/>
      <c r="C517" s="1779"/>
      <c r="D517" s="1779"/>
      <c r="E517" s="1779"/>
      <c r="F517" s="1779"/>
      <c r="G517" s="1779"/>
      <c r="H517" s="1779"/>
      <c r="I517" s="1779"/>
      <c r="J517" s="1779"/>
      <c r="K517" s="1780"/>
      <c r="L517" s="1781"/>
      <c r="M517" s="1779"/>
      <c r="N517" s="1779"/>
      <c r="O517" s="1779"/>
      <c r="P517" s="1816"/>
      <c r="Q517" s="1779"/>
      <c r="R517" s="1779"/>
      <c r="S517" s="1779"/>
      <c r="T517" s="1779"/>
      <c r="U517" s="1779"/>
      <c r="V517" s="1779"/>
      <c r="W517" s="1779"/>
      <c r="X517" s="1779"/>
      <c r="Y517" s="1779"/>
      <c r="Z517" s="1779"/>
      <c r="AA517" s="1779"/>
      <c r="AB517" s="1779"/>
      <c r="AC517" s="1779"/>
    </row>
    <row r="518" spans="1:29">
      <c r="A518" s="1779"/>
      <c r="B518" s="1779"/>
      <c r="C518" s="1779"/>
      <c r="D518" s="1779"/>
      <c r="E518" s="1779"/>
      <c r="F518" s="1779"/>
      <c r="G518" s="1779"/>
      <c r="H518" s="1779"/>
      <c r="I518" s="1779"/>
      <c r="J518" s="1779"/>
      <c r="K518" s="1780"/>
      <c r="L518" s="1781"/>
      <c r="M518" s="1779"/>
      <c r="N518" s="1779"/>
      <c r="O518" s="1779"/>
      <c r="P518" s="1816"/>
      <c r="Q518" s="1779"/>
      <c r="R518" s="1779"/>
      <c r="S518" s="1779"/>
      <c r="T518" s="1779"/>
      <c r="U518" s="1779"/>
      <c r="V518" s="1779"/>
      <c r="W518" s="1779"/>
      <c r="X518" s="1779"/>
      <c r="Y518" s="1779"/>
      <c r="Z518" s="1779"/>
      <c r="AA518" s="1779"/>
      <c r="AB518" s="1779"/>
      <c r="AC518" s="1779"/>
    </row>
    <row r="519" spans="1:29">
      <c r="A519" s="1779"/>
      <c r="B519" s="1779"/>
      <c r="C519" s="1779"/>
      <c r="D519" s="1779"/>
      <c r="E519" s="1779"/>
      <c r="F519" s="1779"/>
      <c r="G519" s="1779"/>
      <c r="H519" s="1779"/>
      <c r="I519" s="1779"/>
      <c r="J519" s="1779"/>
      <c r="K519" s="1780"/>
      <c r="L519" s="1781"/>
      <c r="M519" s="1779"/>
      <c r="N519" s="1779"/>
      <c r="O519" s="1779"/>
      <c r="P519" s="1816"/>
      <c r="Q519" s="1779"/>
      <c r="R519" s="1779"/>
      <c r="S519" s="1779"/>
      <c r="T519" s="1779"/>
      <c r="U519" s="1779"/>
      <c r="V519" s="1779"/>
      <c r="W519" s="1779"/>
      <c r="X519" s="1779"/>
      <c r="Y519" s="1779"/>
      <c r="Z519" s="1779"/>
      <c r="AA519" s="1779"/>
      <c r="AB519" s="1779"/>
      <c r="AC519" s="1779"/>
    </row>
    <row r="520" spans="1:29">
      <c r="A520" s="1779"/>
      <c r="B520" s="1779"/>
      <c r="C520" s="1779"/>
      <c r="D520" s="1779"/>
      <c r="E520" s="1779"/>
      <c r="F520" s="1779"/>
      <c r="G520" s="1779"/>
      <c r="H520" s="1779"/>
      <c r="I520" s="1779"/>
      <c r="J520" s="1779"/>
      <c r="K520" s="1780"/>
      <c r="L520" s="1781"/>
      <c r="M520" s="1779"/>
      <c r="N520" s="1779"/>
      <c r="O520" s="1779"/>
      <c r="P520" s="1816"/>
      <c r="Q520" s="1779"/>
      <c r="R520" s="1779"/>
      <c r="S520" s="1779"/>
      <c r="T520" s="1779"/>
      <c r="U520" s="1779"/>
      <c r="V520" s="1779"/>
      <c r="W520" s="1779"/>
      <c r="X520" s="1779"/>
      <c r="Y520" s="1779"/>
      <c r="Z520" s="1779"/>
      <c r="AA520" s="1779"/>
      <c r="AB520" s="1779"/>
      <c r="AC520" s="1779"/>
    </row>
    <row r="521" spans="1:29">
      <c r="A521" s="1779"/>
      <c r="B521" s="1779"/>
      <c r="C521" s="1779"/>
      <c r="D521" s="1779"/>
      <c r="E521" s="1779"/>
      <c r="F521" s="1779"/>
      <c r="G521" s="1779"/>
      <c r="H521" s="1779"/>
      <c r="I521" s="1779"/>
      <c r="J521" s="1779"/>
      <c r="K521" s="1780"/>
      <c r="L521" s="1781"/>
      <c r="M521" s="1779"/>
      <c r="N521" s="1779"/>
      <c r="O521" s="1779"/>
      <c r="P521" s="1816"/>
      <c r="Q521" s="1779"/>
      <c r="R521" s="1779"/>
      <c r="S521" s="1779"/>
      <c r="T521" s="1779"/>
      <c r="U521" s="1779"/>
      <c r="V521" s="1779"/>
      <c r="W521" s="1779"/>
      <c r="X521" s="1779"/>
      <c r="Y521" s="1779"/>
      <c r="Z521" s="1779"/>
      <c r="AA521" s="1779"/>
      <c r="AB521" s="1779"/>
      <c r="AC521" s="1779"/>
    </row>
    <row r="522" spans="1:29">
      <c r="A522" s="1779"/>
      <c r="B522" s="1779"/>
      <c r="C522" s="1779"/>
      <c r="D522" s="1779"/>
      <c r="E522" s="1779"/>
      <c r="F522" s="1779"/>
      <c r="G522" s="1779"/>
      <c r="H522" s="1779"/>
      <c r="I522" s="1779"/>
      <c r="J522" s="1779"/>
      <c r="K522" s="1780"/>
      <c r="L522" s="1781"/>
      <c r="M522" s="1779"/>
      <c r="N522" s="1779"/>
      <c r="O522" s="1779"/>
      <c r="P522" s="1816"/>
      <c r="Q522" s="1779"/>
      <c r="R522" s="1779"/>
      <c r="S522" s="1779"/>
      <c r="T522" s="1779"/>
      <c r="U522" s="1779"/>
      <c r="V522" s="1779"/>
      <c r="W522" s="1779"/>
      <c r="X522" s="1779"/>
      <c r="Y522" s="1779"/>
      <c r="Z522" s="1779"/>
      <c r="AA522" s="1779"/>
      <c r="AB522" s="1779"/>
      <c r="AC522" s="1779"/>
    </row>
    <row r="523" spans="1:29">
      <c r="A523" s="1779"/>
      <c r="B523" s="1779"/>
      <c r="C523" s="1779"/>
      <c r="D523" s="1779"/>
      <c r="E523" s="1779"/>
      <c r="F523" s="1779"/>
      <c r="G523" s="1779"/>
      <c r="H523" s="1779"/>
      <c r="I523" s="1779"/>
      <c r="J523" s="1779"/>
      <c r="K523" s="1780"/>
      <c r="L523" s="1781"/>
      <c r="M523" s="1779"/>
      <c r="N523" s="1779"/>
      <c r="O523" s="1779"/>
      <c r="P523" s="1816"/>
      <c r="Q523" s="1779"/>
      <c r="R523" s="1779"/>
      <c r="S523" s="1779"/>
      <c r="T523" s="1779"/>
      <c r="U523" s="1779"/>
      <c r="V523" s="1779"/>
      <c r="W523" s="1779"/>
      <c r="X523" s="1779"/>
      <c r="Y523" s="1779"/>
      <c r="Z523" s="1779"/>
      <c r="AA523" s="1779"/>
      <c r="AB523" s="1779"/>
      <c r="AC523" s="1779"/>
    </row>
    <row r="524" spans="1:29">
      <c r="A524" s="1779"/>
      <c r="B524" s="1779"/>
      <c r="C524" s="1779"/>
      <c r="D524" s="1779"/>
      <c r="E524" s="1779"/>
      <c r="F524" s="1779"/>
      <c r="G524" s="1779"/>
      <c r="H524" s="1779"/>
      <c r="I524" s="1779"/>
      <c r="J524" s="1779"/>
      <c r="K524" s="1780"/>
      <c r="L524" s="1781"/>
      <c r="M524" s="1779"/>
      <c r="N524" s="1779"/>
      <c r="O524" s="1779"/>
      <c r="P524" s="1816"/>
      <c r="Q524" s="1779"/>
      <c r="R524" s="1779"/>
      <c r="S524" s="1779"/>
      <c r="T524" s="1779"/>
      <c r="U524" s="1779"/>
      <c r="V524" s="1779"/>
      <c r="W524" s="1779"/>
      <c r="X524" s="1779"/>
      <c r="Y524" s="1779"/>
      <c r="Z524" s="1779"/>
      <c r="AA524" s="1779"/>
      <c r="AB524" s="1779"/>
      <c r="AC524" s="1779"/>
    </row>
    <row r="525" spans="1:29">
      <c r="A525" s="1779"/>
      <c r="B525" s="1779"/>
      <c r="C525" s="1779"/>
      <c r="D525" s="1779"/>
      <c r="E525" s="1779"/>
      <c r="F525" s="1779"/>
      <c r="G525" s="1779"/>
      <c r="H525" s="1779"/>
      <c r="I525" s="1779"/>
      <c r="J525" s="1779"/>
      <c r="K525" s="1780"/>
      <c r="L525" s="1781"/>
      <c r="M525" s="1779"/>
      <c r="N525" s="1779"/>
      <c r="O525" s="1779"/>
      <c r="P525" s="1816"/>
      <c r="Q525" s="1779"/>
      <c r="R525" s="1779"/>
      <c r="S525" s="1779"/>
      <c r="T525" s="1779"/>
      <c r="U525" s="1779"/>
      <c r="V525" s="1779"/>
      <c r="W525" s="1779"/>
      <c r="X525" s="1779"/>
      <c r="Y525" s="1779"/>
      <c r="Z525" s="1779"/>
      <c r="AA525" s="1779"/>
      <c r="AB525" s="1779"/>
      <c r="AC525" s="1779"/>
    </row>
    <row r="526" spans="1:29">
      <c r="A526" s="1779"/>
      <c r="B526" s="1779"/>
      <c r="C526" s="1779"/>
      <c r="D526" s="1779"/>
      <c r="E526" s="1779"/>
      <c r="F526" s="1779"/>
      <c r="G526" s="1779"/>
      <c r="H526" s="1779"/>
      <c r="I526" s="1779"/>
      <c r="J526" s="1779"/>
      <c r="K526" s="1780"/>
      <c r="L526" s="1781"/>
      <c r="M526" s="1779"/>
      <c r="N526" s="1779"/>
      <c r="O526" s="1779"/>
      <c r="P526" s="1816"/>
      <c r="Q526" s="1779"/>
      <c r="R526" s="1779"/>
      <c r="S526" s="1779"/>
      <c r="T526" s="1779"/>
      <c r="U526" s="1779"/>
      <c r="V526" s="1779"/>
      <c r="W526" s="1779"/>
      <c r="X526" s="1779"/>
      <c r="Y526" s="1779"/>
      <c r="Z526" s="1779"/>
      <c r="AA526" s="1779"/>
      <c r="AB526" s="1779"/>
      <c r="AC526" s="1779"/>
    </row>
    <row r="527" spans="1:29">
      <c r="A527" s="1779"/>
      <c r="B527" s="1779"/>
      <c r="C527" s="1779"/>
      <c r="D527" s="1779"/>
      <c r="E527" s="1779"/>
      <c r="F527" s="1779"/>
      <c r="G527" s="1779"/>
      <c r="H527" s="1779"/>
      <c r="I527" s="1779"/>
      <c r="J527" s="1779"/>
      <c r="K527" s="1780"/>
      <c r="L527" s="1781"/>
      <c r="M527" s="1779"/>
      <c r="N527" s="1779"/>
      <c r="O527" s="1779"/>
      <c r="P527" s="1816"/>
      <c r="Q527" s="1779"/>
      <c r="R527" s="1779"/>
      <c r="S527" s="1779"/>
      <c r="T527" s="1779"/>
      <c r="U527" s="1779"/>
      <c r="V527" s="1779"/>
      <c r="W527" s="1779"/>
      <c r="X527" s="1779"/>
      <c r="Y527" s="1779"/>
      <c r="Z527" s="1779"/>
      <c r="AA527" s="1779"/>
      <c r="AB527" s="1779"/>
      <c r="AC527" s="1779"/>
    </row>
    <row r="528" spans="1:29">
      <c r="A528" s="1779"/>
      <c r="B528" s="1779"/>
      <c r="C528" s="1779"/>
      <c r="D528" s="1779"/>
      <c r="E528" s="1779"/>
      <c r="F528" s="1779"/>
      <c r="G528" s="1779"/>
      <c r="H528" s="1779"/>
      <c r="I528" s="1779"/>
      <c r="J528" s="1779"/>
      <c r="K528" s="1780"/>
      <c r="L528" s="1781"/>
      <c r="M528" s="1779"/>
      <c r="N528" s="1779"/>
      <c r="O528" s="1779"/>
      <c r="P528" s="1816"/>
      <c r="Q528" s="1779"/>
      <c r="R528" s="1779"/>
      <c r="S528" s="1779"/>
      <c r="T528" s="1779"/>
      <c r="U528" s="1779"/>
      <c r="V528" s="1779"/>
      <c r="W528" s="1779"/>
      <c r="X528" s="1779"/>
      <c r="Y528" s="1779"/>
      <c r="Z528" s="1779"/>
      <c r="AA528" s="1779"/>
      <c r="AB528" s="1779"/>
      <c r="AC528" s="1779"/>
    </row>
    <row r="529" spans="1:29">
      <c r="A529" s="1779"/>
      <c r="B529" s="1779"/>
      <c r="C529" s="1779"/>
      <c r="D529" s="1779"/>
      <c r="E529" s="1779"/>
      <c r="F529" s="1779"/>
      <c r="G529" s="1779"/>
      <c r="H529" s="1779"/>
      <c r="I529" s="1779"/>
      <c r="J529" s="1779"/>
      <c r="K529" s="1780"/>
      <c r="L529" s="1781"/>
      <c r="M529" s="1779"/>
      <c r="N529" s="1779"/>
      <c r="O529" s="1779"/>
      <c r="P529" s="1816"/>
      <c r="Q529" s="1779"/>
      <c r="R529" s="1779"/>
      <c r="S529" s="1779"/>
      <c r="T529" s="1779"/>
      <c r="U529" s="1779"/>
      <c r="V529" s="1779"/>
      <c r="W529" s="1779"/>
      <c r="X529" s="1779"/>
      <c r="Y529" s="1779"/>
      <c r="Z529" s="1779"/>
      <c r="AA529" s="1779"/>
      <c r="AB529" s="1779"/>
      <c r="AC529" s="1779"/>
    </row>
    <row r="530" spans="1:29">
      <c r="A530" s="1779"/>
      <c r="B530" s="1779"/>
      <c r="C530" s="1779"/>
      <c r="D530" s="1779"/>
      <c r="E530" s="1779"/>
      <c r="F530" s="1779"/>
      <c r="G530" s="1779"/>
      <c r="H530" s="1779"/>
      <c r="I530" s="1779"/>
      <c r="J530" s="1779"/>
      <c r="K530" s="1780"/>
      <c r="L530" s="1781"/>
      <c r="M530" s="1779"/>
      <c r="N530" s="1779"/>
      <c r="O530" s="1779"/>
      <c r="P530" s="1816"/>
      <c r="Q530" s="1779"/>
      <c r="R530" s="1779"/>
      <c r="S530" s="1779"/>
      <c r="T530" s="1779"/>
      <c r="U530" s="1779"/>
      <c r="V530" s="1779"/>
      <c r="W530" s="1779"/>
      <c r="X530" s="1779"/>
      <c r="Y530" s="1779"/>
      <c r="Z530" s="1779"/>
      <c r="AA530" s="1779"/>
      <c r="AB530" s="1779"/>
      <c r="AC530" s="1779"/>
    </row>
    <row r="531" spans="1:29">
      <c r="A531" s="1779"/>
      <c r="B531" s="1779"/>
      <c r="C531" s="1779"/>
      <c r="D531" s="1779"/>
      <c r="E531" s="1779"/>
      <c r="F531" s="1779"/>
      <c r="G531" s="1779"/>
      <c r="H531" s="1779"/>
      <c r="I531" s="1779"/>
      <c r="J531" s="1779"/>
      <c r="K531" s="1780"/>
      <c r="L531" s="1781"/>
      <c r="M531" s="1779"/>
      <c r="N531" s="1779"/>
      <c r="O531" s="1779"/>
      <c r="P531" s="1816"/>
      <c r="Q531" s="1779"/>
      <c r="R531" s="1779"/>
      <c r="S531" s="1779"/>
      <c r="T531" s="1779"/>
      <c r="U531" s="1779"/>
      <c r="V531" s="1779"/>
      <c r="W531" s="1779"/>
      <c r="X531" s="1779"/>
      <c r="Y531" s="1779"/>
      <c r="Z531" s="1779"/>
      <c r="AA531" s="1779"/>
      <c r="AB531" s="1779"/>
      <c r="AC531" s="1779"/>
    </row>
    <row r="532" spans="1:29">
      <c r="A532" s="1779"/>
      <c r="B532" s="1779"/>
      <c r="C532" s="1779"/>
      <c r="D532" s="1779"/>
      <c r="E532" s="1779"/>
      <c r="F532" s="1779"/>
      <c r="G532" s="1779"/>
      <c r="H532" s="1779"/>
      <c r="I532" s="1779"/>
      <c r="J532" s="1779"/>
      <c r="K532" s="1780"/>
      <c r="L532" s="1781"/>
      <c r="M532" s="1779"/>
      <c r="N532" s="1779"/>
      <c r="O532" s="1779"/>
      <c r="P532" s="1816"/>
      <c r="Q532" s="1779"/>
      <c r="R532" s="1779"/>
      <c r="S532" s="1779"/>
      <c r="T532" s="1779"/>
      <c r="U532" s="1779"/>
      <c r="V532" s="1779"/>
      <c r="W532" s="1779"/>
      <c r="X532" s="1779"/>
      <c r="Y532" s="1779"/>
      <c r="Z532" s="1779"/>
      <c r="AA532" s="1779"/>
      <c r="AB532" s="1779"/>
      <c r="AC532" s="1779"/>
    </row>
    <row r="533" spans="1:29">
      <c r="A533" s="1779"/>
      <c r="B533" s="1779"/>
      <c r="C533" s="1779"/>
      <c r="D533" s="1779"/>
      <c r="E533" s="1779"/>
      <c r="F533" s="1779"/>
      <c r="G533" s="1779"/>
      <c r="H533" s="1779"/>
      <c r="I533" s="1779"/>
      <c r="J533" s="1779"/>
      <c r="K533" s="1780"/>
      <c r="L533" s="1781"/>
      <c r="M533" s="1779"/>
      <c r="N533" s="1779"/>
      <c r="O533" s="1779"/>
      <c r="P533" s="1816"/>
      <c r="Q533" s="1779"/>
      <c r="R533" s="1779"/>
      <c r="S533" s="1779"/>
      <c r="T533" s="1779"/>
      <c r="U533" s="1779"/>
      <c r="V533" s="1779"/>
      <c r="W533" s="1779"/>
      <c r="X533" s="1779"/>
      <c r="Y533" s="1779"/>
      <c r="Z533" s="1779"/>
      <c r="AA533" s="1779"/>
      <c r="AB533" s="1779"/>
      <c r="AC533" s="1779"/>
    </row>
    <row r="534" spans="1:29">
      <c r="A534" s="1779"/>
      <c r="B534" s="1779"/>
      <c r="C534" s="1779"/>
      <c r="D534" s="1779"/>
      <c r="E534" s="1779"/>
      <c r="F534" s="1779"/>
      <c r="G534" s="1779"/>
      <c r="H534" s="1779"/>
      <c r="I534" s="1779"/>
      <c r="J534" s="1779"/>
      <c r="K534" s="1780"/>
      <c r="L534" s="1781"/>
      <c r="M534" s="1779"/>
      <c r="N534" s="1779"/>
      <c r="O534" s="1779"/>
      <c r="P534" s="1816"/>
      <c r="Q534" s="1779"/>
      <c r="R534" s="1779"/>
      <c r="S534" s="1779"/>
      <c r="T534" s="1779"/>
      <c r="U534" s="1779"/>
      <c r="V534" s="1779"/>
      <c r="W534" s="1779"/>
      <c r="X534" s="1779"/>
      <c r="Y534" s="1779"/>
      <c r="Z534" s="1779"/>
      <c r="AA534" s="1779"/>
      <c r="AB534" s="1779"/>
      <c r="AC534" s="1779"/>
    </row>
    <row r="535" spans="1:29">
      <c r="A535" s="1779"/>
      <c r="B535" s="1779"/>
      <c r="C535" s="1779"/>
      <c r="D535" s="1779"/>
      <c r="E535" s="1779"/>
      <c r="F535" s="1779"/>
      <c r="G535" s="1779"/>
      <c r="H535" s="1779"/>
      <c r="I535" s="1779"/>
      <c r="J535" s="1779"/>
      <c r="K535" s="1780"/>
      <c r="L535" s="1781"/>
      <c r="M535" s="1779"/>
      <c r="N535" s="1779"/>
      <c r="O535" s="1779"/>
      <c r="P535" s="1816"/>
      <c r="Q535" s="1779"/>
      <c r="R535" s="1779"/>
      <c r="S535" s="1779"/>
      <c r="T535" s="1779"/>
      <c r="U535" s="1779"/>
      <c r="V535" s="1779"/>
      <c r="W535" s="1779"/>
      <c r="X535" s="1779"/>
      <c r="Y535" s="1779"/>
      <c r="Z535" s="1779"/>
      <c r="AA535" s="1779"/>
      <c r="AB535" s="1779"/>
      <c r="AC535" s="1779"/>
    </row>
    <row r="536" spans="1:29">
      <c r="A536" s="1779"/>
      <c r="B536" s="1779"/>
      <c r="C536" s="1779"/>
      <c r="D536" s="1779"/>
      <c r="E536" s="1779"/>
      <c r="F536" s="1779"/>
      <c r="G536" s="1779"/>
      <c r="H536" s="1779"/>
      <c r="I536" s="1779"/>
      <c r="J536" s="1779"/>
      <c r="K536" s="1780"/>
      <c r="L536" s="1781"/>
      <c r="M536" s="1779"/>
      <c r="N536" s="1779"/>
      <c r="O536" s="1779"/>
      <c r="P536" s="1816"/>
      <c r="Q536" s="1779"/>
      <c r="R536" s="1779"/>
      <c r="S536" s="1779"/>
      <c r="T536" s="1779"/>
      <c r="U536" s="1779"/>
      <c r="V536" s="1779"/>
      <c r="W536" s="1779"/>
      <c r="X536" s="1779"/>
      <c r="Y536" s="1779"/>
      <c r="Z536" s="1779"/>
      <c r="AA536" s="1779"/>
      <c r="AB536" s="1779"/>
      <c r="AC536" s="1779"/>
    </row>
    <row r="537" spans="1:29">
      <c r="A537" s="1779"/>
      <c r="B537" s="1779"/>
      <c r="C537" s="1779"/>
      <c r="D537" s="1779"/>
      <c r="E537" s="1779"/>
      <c r="F537" s="1779"/>
      <c r="G537" s="1779"/>
      <c r="H537" s="1779"/>
      <c r="I537" s="1779"/>
      <c r="J537" s="1779"/>
      <c r="K537" s="1780"/>
      <c r="L537" s="1781"/>
      <c r="M537" s="1779"/>
      <c r="N537" s="1779"/>
      <c r="O537" s="1779"/>
      <c r="P537" s="1816"/>
      <c r="Q537" s="1779"/>
      <c r="R537" s="1779"/>
      <c r="S537" s="1779"/>
      <c r="T537" s="1779"/>
      <c r="U537" s="1779"/>
      <c r="V537" s="1779"/>
      <c r="W537" s="1779"/>
      <c r="X537" s="1779"/>
      <c r="Y537" s="1779"/>
      <c r="Z537" s="1779"/>
      <c r="AA537" s="1779"/>
      <c r="AB537" s="1779"/>
      <c r="AC537" s="1779"/>
    </row>
    <row r="538" spans="1:29">
      <c r="A538" s="1779"/>
      <c r="B538" s="1779"/>
      <c r="C538" s="1779"/>
      <c r="D538" s="1779"/>
      <c r="E538" s="1779"/>
      <c r="F538" s="1779"/>
      <c r="G538" s="1779"/>
      <c r="H538" s="1779"/>
      <c r="I538" s="1779"/>
      <c r="J538" s="1779"/>
      <c r="K538" s="1780"/>
      <c r="L538" s="1781"/>
      <c r="M538" s="1779"/>
      <c r="N538" s="1779"/>
      <c r="O538" s="1779"/>
      <c r="P538" s="1816"/>
      <c r="Q538" s="1779"/>
      <c r="R538" s="1779"/>
      <c r="S538" s="1779"/>
      <c r="T538" s="1779"/>
      <c r="U538" s="1779"/>
      <c r="V538" s="1779"/>
      <c r="W538" s="1779"/>
      <c r="X538" s="1779"/>
      <c r="Y538" s="1779"/>
      <c r="Z538" s="1779"/>
      <c r="AA538" s="1779"/>
      <c r="AB538" s="1779"/>
      <c r="AC538" s="1779"/>
    </row>
    <row r="539" spans="1:29">
      <c r="A539" s="1779"/>
      <c r="B539" s="1779"/>
      <c r="C539" s="1779"/>
      <c r="D539" s="1779"/>
      <c r="E539" s="1779"/>
      <c r="F539" s="1779"/>
      <c r="G539" s="1779"/>
      <c r="H539" s="1779"/>
      <c r="I539" s="1779"/>
      <c r="J539" s="1779"/>
      <c r="K539" s="1780"/>
      <c r="L539" s="1781"/>
      <c r="M539" s="1779"/>
      <c r="N539" s="1779"/>
      <c r="O539" s="1779"/>
      <c r="P539" s="1816"/>
      <c r="Q539" s="1779"/>
      <c r="R539" s="1779"/>
      <c r="S539" s="1779"/>
      <c r="T539" s="1779"/>
      <c r="U539" s="1779"/>
      <c r="V539" s="1779"/>
      <c r="W539" s="1779"/>
      <c r="X539" s="1779"/>
      <c r="Y539" s="1779"/>
      <c r="Z539" s="1779"/>
      <c r="AA539" s="1779"/>
      <c r="AB539" s="1779"/>
      <c r="AC539" s="1779"/>
    </row>
    <row r="540" spans="1:29">
      <c r="A540" s="1779"/>
      <c r="B540" s="1779"/>
      <c r="C540" s="1779"/>
      <c r="D540" s="1779"/>
      <c r="E540" s="1779"/>
      <c r="F540" s="1779"/>
      <c r="G540" s="1779"/>
      <c r="H540" s="1779"/>
      <c r="I540" s="1779"/>
      <c r="J540" s="1779"/>
      <c r="K540" s="1780"/>
      <c r="L540" s="1781"/>
      <c r="M540" s="1779"/>
      <c r="N540" s="1779"/>
      <c r="O540" s="1779"/>
      <c r="P540" s="1816"/>
      <c r="Q540" s="1779"/>
      <c r="R540" s="1779"/>
      <c r="S540" s="1779"/>
      <c r="T540" s="1779"/>
      <c r="U540" s="1779"/>
      <c r="V540" s="1779"/>
      <c r="W540" s="1779"/>
      <c r="X540" s="1779"/>
      <c r="Y540" s="1779"/>
      <c r="Z540" s="1779"/>
      <c r="AA540" s="1779"/>
      <c r="AB540" s="1779"/>
      <c r="AC540" s="1779"/>
    </row>
    <row r="541" spans="1:29">
      <c r="A541" s="1779"/>
      <c r="B541" s="1779"/>
      <c r="C541" s="1779"/>
      <c r="D541" s="1779"/>
      <c r="E541" s="1779"/>
      <c r="F541" s="1779"/>
      <c r="G541" s="1779"/>
      <c r="H541" s="1779"/>
      <c r="I541" s="1779"/>
      <c r="J541" s="1779"/>
      <c r="K541" s="1780"/>
      <c r="L541" s="1781"/>
      <c r="M541" s="1779"/>
      <c r="N541" s="1779"/>
      <c r="O541" s="1779"/>
      <c r="P541" s="1816"/>
      <c r="Q541" s="1779"/>
      <c r="R541" s="1779"/>
      <c r="S541" s="1779"/>
      <c r="T541" s="1779"/>
      <c r="U541" s="1779"/>
      <c r="V541" s="1779"/>
      <c r="W541" s="1779"/>
      <c r="X541" s="1779"/>
      <c r="Y541" s="1779"/>
      <c r="Z541" s="1779"/>
      <c r="AA541" s="1779"/>
      <c r="AB541" s="1779"/>
      <c r="AC541" s="1779"/>
    </row>
    <row r="542" spans="1:29">
      <c r="A542" s="1779"/>
      <c r="B542" s="1779"/>
      <c r="C542" s="1779"/>
      <c r="D542" s="1779"/>
      <c r="E542" s="1779"/>
      <c r="F542" s="1779"/>
      <c r="G542" s="1779"/>
      <c r="H542" s="1779"/>
      <c r="I542" s="1779"/>
      <c r="J542" s="1779"/>
      <c r="K542" s="1780"/>
      <c r="L542" s="1781"/>
      <c r="M542" s="1779"/>
      <c r="N542" s="1779"/>
      <c r="O542" s="1779"/>
      <c r="P542" s="1816"/>
      <c r="Q542" s="1779"/>
      <c r="R542" s="1779"/>
      <c r="S542" s="1779"/>
      <c r="T542" s="1779"/>
      <c r="U542" s="1779"/>
      <c r="V542" s="1779"/>
      <c r="W542" s="1779"/>
      <c r="X542" s="1779"/>
      <c r="Y542" s="1779"/>
      <c r="Z542" s="1779"/>
      <c r="AA542" s="1779"/>
      <c r="AB542" s="1779"/>
      <c r="AC542" s="1779"/>
    </row>
    <row r="543" spans="1:29">
      <c r="A543" s="1779"/>
      <c r="B543" s="1779"/>
      <c r="C543" s="1779"/>
      <c r="D543" s="1779"/>
      <c r="E543" s="1779"/>
      <c r="F543" s="1779"/>
      <c r="G543" s="1779"/>
      <c r="H543" s="1779"/>
      <c r="I543" s="1779"/>
      <c r="J543" s="1779"/>
      <c r="K543" s="1780"/>
      <c r="L543" s="1781"/>
      <c r="M543" s="1779"/>
      <c r="N543" s="1779"/>
      <c r="O543" s="1779"/>
      <c r="P543" s="1816"/>
      <c r="Q543" s="1779"/>
      <c r="R543" s="1779"/>
      <c r="S543" s="1779"/>
      <c r="T543" s="1779"/>
      <c r="U543" s="1779"/>
      <c r="V543" s="1779"/>
      <c r="W543" s="1779"/>
      <c r="X543" s="1779"/>
      <c r="Y543" s="1779"/>
      <c r="Z543" s="1779"/>
      <c r="AA543" s="1779"/>
      <c r="AB543" s="1779"/>
      <c r="AC543" s="1779"/>
    </row>
    <row r="544" spans="1:29">
      <c r="A544" s="1779"/>
      <c r="B544" s="1779"/>
      <c r="C544" s="1779"/>
      <c r="D544" s="1779"/>
      <c r="E544" s="1779"/>
      <c r="F544" s="1779"/>
      <c r="G544" s="1779"/>
      <c r="H544" s="1779"/>
      <c r="I544" s="1779"/>
      <c r="J544" s="1779"/>
      <c r="K544" s="1780"/>
      <c r="L544" s="1781"/>
      <c r="M544" s="1779"/>
      <c r="N544" s="1779"/>
      <c r="O544" s="1779"/>
      <c r="P544" s="1816"/>
      <c r="Q544" s="1779"/>
      <c r="R544" s="1779"/>
      <c r="S544" s="1779"/>
      <c r="T544" s="1779"/>
      <c r="U544" s="1779"/>
      <c r="V544" s="1779"/>
      <c r="W544" s="1779"/>
      <c r="X544" s="1779"/>
      <c r="Y544" s="1779"/>
      <c r="Z544" s="1779"/>
      <c r="AA544" s="1779"/>
      <c r="AB544" s="1779"/>
      <c r="AC544" s="1779"/>
    </row>
    <row r="545" spans="1:29">
      <c r="A545" s="1779"/>
      <c r="B545" s="1779"/>
      <c r="C545" s="1779"/>
      <c r="D545" s="1779"/>
      <c r="E545" s="1779"/>
      <c r="F545" s="1779"/>
      <c r="G545" s="1779"/>
      <c r="H545" s="1779"/>
      <c r="I545" s="1779"/>
      <c r="J545" s="1779"/>
      <c r="K545" s="1780"/>
      <c r="L545" s="1781"/>
      <c r="M545" s="1779"/>
      <c r="N545" s="1779"/>
      <c r="O545" s="1779"/>
      <c r="P545" s="1816"/>
      <c r="Q545" s="1779"/>
      <c r="R545" s="1779"/>
      <c r="S545" s="1779"/>
      <c r="T545" s="1779"/>
      <c r="U545" s="1779"/>
      <c r="V545" s="1779"/>
      <c r="W545" s="1779"/>
      <c r="X545" s="1779"/>
      <c r="Y545" s="1779"/>
      <c r="Z545" s="1779"/>
      <c r="AA545" s="1779"/>
      <c r="AB545" s="1779"/>
      <c r="AC545" s="1779"/>
    </row>
    <row r="546" spans="1:29">
      <c r="A546" s="1779"/>
      <c r="B546" s="1779"/>
      <c r="C546" s="1779"/>
      <c r="D546" s="1779"/>
      <c r="E546" s="1779"/>
      <c r="F546" s="1779"/>
      <c r="G546" s="1779"/>
      <c r="H546" s="1779"/>
      <c r="I546" s="1779"/>
      <c r="J546" s="1779"/>
      <c r="K546" s="1780"/>
      <c r="L546" s="1781"/>
      <c r="M546" s="1779"/>
      <c r="N546" s="1779"/>
      <c r="O546" s="1779"/>
      <c r="P546" s="1816"/>
      <c r="Q546" s="1779"/>
      <c r="R546" s="1779"/>
      <c r="S546" s="1779"/>
      <c r="T546" s="1779"/>
      <c r="U546" s="1779"/>
      <c r="V546" s="1779"/>
      <c r="W546" s="1779"/>
      <c r="X546" s="1779"/>
      <c r="Y546" s="1779"/>
      <c r="Z546" s="1779"/>
      <c r="AA546" s="1779"/>
      <c r="AB546" s="1779"/>
      <c r="AC546" s="1779"/>
    </row>
    <row r="547" spans="1:29">
      <c r="A547" s="1779"/>
      <c r="B547" s="1779"/>
      <c r="C547" s="1779"/>
      <c r="D547" s="1779"/>
      <c r="E547" s="1779"/>
      <c r="F547" s="1779"/>
      <c r="G547" s="1779"/>
      <c r="H547" s="1779"/>
      <c r="I547" s="1779"/>
      <c r="J547" s="1779"/>
      <c r="K547" s="1780"/>
      <c r="L547" s="1781"/>
      <c r="M547" s="1779"/>
      <c r="N547" s="1779"/>
      <c r="O547" s="1779"/>
      <c r="P547" s="1816"/>
      <c r="Q547" s="1779"/>
      <c r="R547" s="1779"/>
      <c r="S547" s="1779"/>
      <c r="T547" s="1779"/>
      <c r="U547" s="1779"/>
      <c r="V547" s="1779"/>
      <c r="W547" s="1779"/>
      <c r="X547" s="1779"/>
      <c r="Y547" s="1779"/>
      <c r="Z547" s="1779"/>
      <c r="AA547" s="1779"/>
      <c r="AB547" s="1779"/>
      <c r="AC547" s="1779"/>
    </row>
    <row r="548" spans="1:29">
      <c r="A548" s="1779"/>
      <c r="B548" s="1779"/>
      <c r="C548" s="1779"/>
      <c r="D548" s="1779"/>
      <c r="E548" s="1779"/>
      <c r="F548" s="1779"/>
      <c r="G548" s="1779"/>
      <c r="H548" s="1779"/>
      <c r="I548" s="1779"/>
      <c r="J548" s="1779"/>
      <c r="K548" s="1780"/>
      <c r="L548" s="1781"/>
      <c r="M548" s="1779"/>
      <c r="N548" s="1779"/>
      <c r="O548" s="1779"/>
      <c r="P548" s="1816"/>
      <c r="Q548" s="1779"/>
      <c r="R548" s="1779"/>
      <c r="S548" s="1779"/>
      <c r="T548" s="1779"/>
      <c r="U548" s="1779"/>
      <c r="V548" s="1779"/>
      <c r="W548" s="1779"/>
      <c r="X548" s="1779"/>
      <c r="Y548" s="1779"/>
      <c r="Z548" s="1779"/>
      <c r="AA548" s="1779"/>
      <c r="AB548" s="1779"/>
      <c r="AC548" s="1779"/>
    </row>
    <row r="549" spans="1:29">
      <c r="A549" s="1779"/>
      <c r="B549" s="1779"/>
      <c r="C549" s="1779"/>
      <c r="D549" s="1779"/>
      <c r="E549" s="1779"/>
      <c r="F549" s="1779"/>
      <c r="G549" s="1779"/>
      <c r="H549" s="1779"/>
      <c r="I549" s="1779"/>
      <c r="J549" s="1779"/>
      <c r="K549" s="1780"/>
      <c r="L549" s="1781"/>
      <c r="M549" s="1779"/>
      <c r="N549" s="1779"/>
      <c r="O549" s="1779"/>
      <c r="P549" s="1816"/>
      <c r="Q549" s="1779"/>
      <c r="R549" s="1779"/>
      <c r="S549" s="1779"/>
      <c r="T549" s="1779"/>
      <c r="U549" s="1779"/>
      <c r="V549" s="1779"/>
      <c r="W549" s="1779"/>
      <c r="X549" s="1779"/>
      <c r="Y549" s="1779"/>
      <c r="Z549" s="1779"/>
      <c r="AA549" s="1779"/>
      <c r="AB549" s="1779"/>
      <c r="AC549" s="1779"/>
    </row>
    <row r="550" spans="1:29">
      <c r="A550" s="1779"/>
      <c r="B550" s="1779"/>
      <c r="C550" s="1779"/>
      <c r="D550" s="1779"/>
      <c r="E550" s="1779"/>
      <c r="F550" s="1779"/>
      <c r="G550" s="1779"/>
      <c r="H550" s="1779"/>
      <c r="I550" s="1779"/>
      <c r="J550" s="1779"/>
      <c r="K550" s="1780"/>
      <c r="L550" s="1781"/>
      <c r="M550" s="1779"/>
      <c r="N550" s="1779"/>
      <c r="O550" s="1779"/>
      <c r="P550" s="1816"/>
      <c r="Q550" s="1779"/>
      <c r="R550" s="1779"/>
      <c r="S550" s="1779"/>
      <c r="T550" s="1779"/>
      <c r="U550" s="1779"/>
      <c r="V550" s="1779"/>
      <c r="W550" s="1779"/>
      <c r="X550" s="1779"/>
      <c r="Y550" s="1779"/>
      <c r="Z550" s="1779"/>
      <c r="AA550" s="1779"/>
      <c r="AB550" s="1779"/>
      <c r="AC550" s="1779"/>
    </row>
    <row r="551" spans="1:29">
      <c r="A551" s="1779"/>
      <c r="B551" s="1779"/>
      <c r="C551" s="1779"/>
      <c r="D551" s="1779"/>
      <c r="E551" s="1779"/>
      <c r="F551" s="1779"/>
      <c r="G551" s="1779"/>
      <c r="H551" s="1779"/>
      <c r="I551" s="1779"/>
      <c r="J551" s="1779"/>
      <c r="K551" s="1780"/>
      <c r="L551" s="1781"/>
      <c r="M551" s="1779"/>
      <c r="N551" s="1779"/>
      <c r="O551" s="1779"/>
      <c r="P551" s="1816"/>
      <c r="Q551" s="1779"/>
      <c r="R551" s="1779"/>
      <c r="S551" s="1779"/>
      <c r="T551" s="1779"/>
      <c r="U551" s="1779"/>
      <c r="V551" s="1779"/>
      <c r="W551" s="1779"/>
      <c r="X551" s="1779"/>
      <c r="Y551" s="1779"/>
      <c r="Z551" s="1779"/>
      <c r="AA551" s="1779"/>
      <c r="AB551" s="1779"/>
      <c r="AC551" s="1779"/>
    </row>
    <row r="552" spans="1:29">
      <c r="A552" s="1779"/>
      <c r="B552" s="1779"/>
      <c r="C552" s="1779"/>
      <c r="D552" s="1779"/>
      <c r="E552" s="1779"/>
      <c r="F552" s="1779"/>
      <c r="G552" s="1779"/>
      <c r="H552" s="1779"/>
      <c r="I552" s="1779"/>
      <c r="J552" s="1779"/>
      <c r="K552" s="1780"/>
      <c r="L552" s="1781"/>
      <c r="M552" s="1779"/>
      <c r="N552" s="1779"/>
      <c r="O552" s="1779"/>
      <c r="P552" s="1816"/>
      <c r="Q552" s="1779"/>
      <c r="R552" s="1779"/>
      <c r="S552" s="1779"/>
      <c r="T552" s="1779"/>
      <c r="U552" s="1779"/>
      <c r="V552" s="1779"/>
      <c r="W552" s="1779"/>
      <c r="X552" s="1779"/>
      <c r="Y552" s="1779"/>
      <c r="Z552" s="1779"/>
      <c r="AA552" s="1779"/>
      <c r="AB552" s="1779"/>
      <c r="AC552" s="1779"/>
    </row>
    <row r="553" spans="1:29">
      <c r="A553" s="1779"/>
      <c r="B553" s="1779"/>
      <c r="C553" s="1779"/>
      <c r="D553" s="1779"/>
      <c r="E553" s="1779"/>
      <c r="F553" s="1779"/>
      <c r="G553" s="1779"/>
      <c r="H553" s="1779"/>
      <c r="I553" s="1779"/>
      <c r="J553" s="1779"/>
      <c r="K553" s="1780"/>
      <c r="L553" s="1781"/>
      <c r="M553" s="1779"/>
      <c r="N553" s="1779"/>
      <c r="O553" s="1779"/>
      <c r="P553" s="1816"/>
      <c r="Q553" s="1779"/>
      <c r="R553" s="1779"/>
      <c r="S553" s="1779"/>
      <c r="T553" s="1779"/>
      <c r="U553" s="1779"/>
      <c r="V553" s="1779"/>
      <c r="W553" s="1779"/>
      <c r="X553" s="1779"/>
      <c r="Y553" s="1779"/>
      <c r="Z553" s="1779"/>
      <c r="AA553" s="1779"/>
      <c r="AB553" s="1779"/>
      <c r="AC553" s="1779"/>
    </row>
    <row r="554" spans="1:29">
      <c r="A554" s="1779"/>
      <c r="B554" s="1779"/>
      <c r="C554" s="1779"/>
      <c r="D554" s="1779"/>
      <c r="E554" s="1779"/>
      <c r="F554" s="1779"/>
      <c r="G554" s="1779"/>
      <c r="H554" s="1779"/>
      <c r="I554" s="1779"/>
      <c r="J554" s="1779"/>
      <c r="K554" s="1780"/>
      <c r="L554" s="1781"/>
      <c r="M554" s="1779"/>
      <c r="N554" s="1779"/>
      <c r="O554" s="1779"/>
      <c r="P554" s="1816"/>
      <c r="Q554" s="1779"/>
      <c r="R554" s="1779"/>
      <c r="S554" s="1779"/>
      <c r="T554" s="1779"/>
      <c r="U554" s="1779"/>
      <c r="V554" s="1779"/>
      <c r="W554" s="1779"/>
      <c r="X554" s="1779"/>
      <c r="Y554" s="1779"/>
      <c r="Z554" s="1779"/>
      <c r="AA554" s="1779"/>
      <c r="AB554" s="1779"/>
      <c r="AC554" s="1779"/>
    </row>
    <row r="555" spans="1:29">
      <c r="A555" s="1779"/>
      <c r="B555" s="1779"/>
      <c r="C555" s="1779"/>
      <c r="D555" s="1779"/>
      <c r="E555" s="1779"/>
      <c r="F555" s="1779"/>
      <c r="G555" s="1779"/>
      <c r="H555" s="1779"/>
      <c r="I555" s="1779"/>
      <c r="J555" s="1779"/>
      <c r="K555" s="1780"/>
      <c r="L555" s="1781"/>
      <c r="M555" s="1779"/>
      <c r="N555" s="1779"/>
      <c r="O555" s="1779"/>
      <c r="P555" s="1816"/>
      <c r="Q555" s="1779"/>
      <c r="R555" s="1779"/>
      <c r="S555" s="1779"/>
      <c r="T555" s="1779"/>
      <c r="U555" s="1779"/>
      <c r="V555" s="1779"/>
      <c r="W555" s="1779"/>
      <c r="X555" s="1779"/>
      <c r="Y555" s="1779"/>
      <c r="Z555" s="1779"/>
      <c r="AA555" s="1779"/>
      <c r="AB555" s="1779"/>
      <c r="AC555" s="1779"/>
    </row>
    <row r="556" spans="1:29">
      <c r="A556" s="1779"/>
      <c r="B556" s="1779"/>
      <c r="C556" s="1779"/>
      <c r="D556" s="1779"/>
      <c r="E556" s="1779"/>
      <c r="F556" s="1779"/>
      <c r="G556" s="1779"/>
      <c r="H556" s="1779"/>
      <c r="I556" s="1779"/>
      <c r="J556" s="1779"/>
      <c r="K556" s="1780"/>
      <c r="L556" s="1781"/>
      <c r="M556" s="1779"/>
      <c r="N556" s="1779"/>
      <c r="O556" s="1779"/>
      <c r="P556" s="1816"/>
      <c r="Q556" s="1779"/>
      <c r="R556" s="1779"/>
      <c r="S556" s="1779"/>
      <c r="T556" s="1779"/>
      <c r="U556" s="1779"/>
      <c r="V556" s="1779"/>
      <c r="W556" s="1779"/>
      <c r="X556" s="1779"/>
      <c r="Y556" s="1779"/>
      <c r="Z556" s="1779"/>
      <c r="AA556" s="1779"/>
      <c r="AB556" s="1779"/>
      <c r="AC556" s="1779"/>
    </row>
    <row r="557" spans="1:29">
      <c r="A557" s="1779"/>
      <c r="B557" s="1779"/>
      <c r="C557" s="1779"/>
      <c r="D557" s="1779"/>
      <c r="E557" s="1779"/>
      <c r="F557" s="1779"/>
      <c r="G557" s="1779"/>
      <c r="H557" s="1779"/>
      <c r="I557" s="1779"/>
      <c r="J557" s="1779"/>
      <c r="K557" s="1780"/>
      <c r="L557" s="1781"/>
      <c r="M557" s="1779"/>
      <c r="N557" s="1779"/>
      <c r="O557" s="1779"/>
      <c r="P557" s="1816"/>
      <c r="Q557" s="1779"/>
      <c r="R557" s="1779"/>
      <c r="S557" s="1779"/>
      <c r="T557" s="1779"/>
      <c r="U557" s="1779"/>
      <c r="V557" s="1779"/>
      <c r="W557" s="1779"/>
      <c r="X557" s="1779"/>
      <c r="Y557" s="1779"/>
      <c r="Z557" s="1779"/>
      <c r="AA557" s="1779"/>
      <c r="AB557" s="1779"/>
      <c r="AC557" s="1779"/>
    </row>
    <row r="558" spans="1:29">
      <c r="A558" s="1779"/>
      <c r="B558" s="1779"/>
      <c r="C558" s="1779"/>
      <c r="D558" s="1779"/>
      <c r="E558" s="1779"/>
      <c r="F558" s="1779"/>
      <c r="G558" s="1779"/>
      <c r="H558" s="1779"/>
      <c r="I558" s="1779"/>
      <c r="J558" s="1779"/>
      <c r="K558" s="1780"/>
      <c r="L558" s="1781"/>
      <c r="M558" s="1779"/>
      <c r="N558" s="1779"/>
      <c r="O558" s="1779"/>
      <c r="P558" s="1816"/>
      <c r="Q558" s="1779"/>
      <c r="R558" s="1779"/>
      <c r="S558" s="1779"/>
      <c r="T558" s="1779"/>
      <c r="U558" s="1779"/>
      <c r="V558" s="1779"/>
      <c r="W558" s="1779"/>
      <c r="X558" s="1779"/>
      <c r="Y558" s="1779"/>
      <c r="Z558" s="1779"/>
      <c r="AA558" s="1779"/>
      <c r="AB558" s="1779"/>
      <c r="AC558" s="1779"/>
    </row>
    <row r="559" spans="1:29">
      <c r="A559" s="1779"/>
      <c r="B559" s="1779"/>
      <c r="C559" s="1779"/>
      <c r="D559" s="1779"/>
      <c r="E559" s="1779"/>
      <c r="F559" s="1779"/>
      <c r="G559" s="1779"/>
      <c r="H559" s="1779"/>
      <c r="I559" s="1779"/>
      <c r="J559" s="1779"/>
      <c r="K559" s="1780"/>
      <c r="L559" s="1781"/>
      <c r="M559" s="1779"/>
      <c r="N559" s="1779"/>
      <c r="O559" s="1779"/>
      <c r="P559" s="1816"/>
      <c r="Q559" s="1779"/>
      <c r="R559" s="1779"/>
      <c r="S559" s="1779"/>
      <c r="T559" s="1779"/>
      <c r="U559" s="1779"/>
      <c r="V559" s="1779"/>
      <c r="W559" s="1779"/>
      <c r="X559" s="1779"/>
      <c r="Y559" s="1779"/>
      <c r="Z559" s="1779"/>
      <c r="AA559" s="1779"/>
      <c r="AB559" s="1779"/>
      <c r="AC559" s="1779"/>
    </row>
    <row r="560" spans="1:29">
      <c r="A560" s="1779"/>
      <c r="B560" s="1779"/>
      <c r="C560" s="1779"/>
      <c r="D560" s="1779"/>
      <c r="E560" s="1779"/>
      <c r="F560" s="1779"/>
      <c r="G560" s="1779"/>
      <c r="H560" s="1779"/>
      <c r="I560" s="1779"/>
      <c r="J560" s="1779"/>
      <c r="K560" s="1780"/>
      <c r="L560" s="1781"/>
      <c r="M560" s="1779"/>
      <c r="N560" s="1779"/>
      <c r="O560" s="1779"/>
      <c r="P560" s="1816"/>
      <c r="Q560" s="1779"/>
      <c r="R560" s="1779"/>
      <c r="S560" s="1779"/>
      <c r="T560" s="1779"/>
      <c r="U560" s="1779"/>
      <c r="V560" s="1779"/>
      <c r="W560" s="1779"/>
      <c r="X560" s="1779"/>
      <c r="Y560" s="1779"/>
      <c r="Z560" s="1779"/>
      <c r="AA560" s="1779"/>
      <c r="AB560" s="1779"/>
      <c r="AC560" s="1779"/>
    </row>
    <row r="561" spans="1:29">
      <c r="A561" s="1779"/>
      <c r="B561" s="1779"/>
      <c r="C561" s="1779"/>
      <c r="D561" s="1779"/>
      <c r="E561" s="1779"/>
      <c r="F561" s="1779"/>
      <c r="G561" s="1779"/>
      <c r="H561" s="1779"/>
      <c r="I561" s="1779"/>
      <c r="J561" s="1779"/>
      <c r="K561" s="1780"/>
      <c r="L561" s="1781"/>
      <c r="M561" s="1779"/>
      <c r="N561" s="1779"/>
      <c r="O561" s="1779"/>
      <c r="P561" s="1816"/>
      <c r="Q561" s="1779"/>
      <c r="R561" s="1779"/>
      <c r="S561" s="1779"/>
      <c r="T561" s="1779"/>
      <c r="U561" s="1779"/>
      <c r="V561" s="1779"/>
      <c r="W561" s="1779"/>
      <c r="X561" s="1779"/>
      <c r="Y561" s="1779"/>
      <c r="Z561" s="1779"/>
      <c r="AA561" s="1779"/>
      <c r="AB561" s="1779"/>
      <c r="AC561" s="1779"/>
    </row>
    <row r="562" spans="1:29">
      <c r="A562" s="1779"/>
      <c r="B562" s="1779"/>
      <c r="C562" s="1779"/>
      <c r="D562" s="1779"/>
      <c r="E562" s="1779"/>
      <c r="F562" s="1779"/>
      <c r="G562" s="1779"/>
      <c r="H562" s="1779"/>
      <c r="I562" s="1779"/>
      <c r="J562" s="1779"/>
      <c r="K562" s="1780"/>
      <c r="L562" s="1781"/>
      <c r="M562" s="1779"/>
      <c r="N562" s="1779"/>
      <c r="O562" s="1779"/>
      <c r="P562" s="1816"/>
      <c r="Q562" s="1779"/>
      <c r="R562" s="1779"/>
      <c r="S562" s="1779"/>
      <c r="T562" s="1779"/>
      <c r="U562" s="1779"/>
      <c r="V562" s="1779"/>
      <c r="W562" s="1779"/>
      <c r="X562" s="1779"/>
      <c r="Y562" s="1779"/>
      <c r="Z562" s="1779"/>
      <c r="AA562" s="1779"/>
      <c r="AB562" s="1779"/>
      <c r="AC562" s="1779"/>
    </row>
    <row r="563" spans="1:29">
      <c r="A563" s="1779"/>
      <c r="B563" s="1779"/>
      <c r="C563" s="1779"/>
      <c r="D563" s="1779"/>
      <c r="E563" s="1779"/>
      <c r="F563" s="1779"/>
      <c r="G563" s="1779"/>
      <c r="H563" s="1779"/>
      <c r="I563" s="1779"/>
      <c r="J563" s="1779"/>
      <c r="K563" s="1780"/>
      <c r="L563" s="1781"/>
      <c r="M563" s="1779"/>
      <c r="N563" s="1779"/>
      <c r="O563" s="1779"/>
      <c r="P563" s="1816"/>
      <c r="Q563" s="1779"/>
      <c r="R563" s="1779"/>
      <c r="S563" s="1779"/>
      <c r="T563" s="1779"/>
      <c r="U563" s="1779"/>
      <c r="V563" s="1779"/>
      <c r="W563" s="1779"/>
      <c r="X563" s="1779"/>
      <c r="Y563" s="1779"/>
      <c r="Z563" s="1779"/>
      <c r="AA563" s="1779"/>
      <c r="AB563" s="1779"/>
      <c r="AC563" s="1779"/>
    </row>
    <row r="564" spans="1:29">
      <c r="A564" s="1779"/>
      <c r="B564" s="1779"/>
      <c r="C564" s="1779"/>
      <c r="D564" s="1779"/>
      <c r="E564" s="1779"/>
      <c r="F564" s="1779"/>
      <c r="G564" s="1779"/>
      <c r="H564" s="1779"/>
      <c r="I564" s="1779"/>
      <c r="J564" s="1779"/>
      <c r="K564" s="1780"/>
      <c r="L564" s="1781"/>
      <c r="M564" s="1779"/>
      <c r="N564" s="1779"/>
      <c r="O564" s="1779"/>
      <c r="P564" s="1816"/>
      <c r="Q564" s="1779"/>
      <c r="R564" s="1779"/>
      <c r="S564" s="1779"/>
      <c r="T564" s="1779"/>
      <c r="U564" s="1779"/>
      <c r="V564" s="1779"/>
      <c r="W564" s="1779"/>
      <c r="X564" s="1779"/>
      <c r="Y564" s="1779"/>
      <c r="Z564" s="1779"/>
      <c r="AA564" s="1779"/>
      <c r="AB564" s="1779"/>
      <c r="AC564" s="1779"/>
    </row>
    <row r="565" spans="1:29">
      <c r="A565" s="1779"/>
      <c r="B565" s="1779"/>
      <c r="C565" s="1779"/>
      <c r="D565" s="1779"/>
      <c r="E565" s="1779"/>
      <c r="F565" s="1779"/>
      <c r="G565" s="1779"/>
      <c r="H565" s="1779"/>
      <c r="I565" s="1779"/>
      <c r="J565" s="1779"/>
      <c r="K565" s="1780"/>
      <c r="L565" s="1781"/>
      <c r="M565" s="1779"/>
      <c r="N565" s="1779"/>
      <c r="O565" s="1779"/>
      <c r="P565" s="1816"/>
      <c r="Q565" s="1779"/>
      <c r="R565" s="1779"/>
      <c r="S565" s="1779"/>
      <c r="T565" s="1779"/>
      <c r="U565" s="1779"/>
      <c r="V565" s="1779"/>
      <c r="W565" s="1779"/>
      <c r="X565" s="1779"/>
      <c r="Y565" s="1779"/>
      <c r="Z565" s="1779"/>
      <c r="AA565" s="1779"/>
      <c r="AB565" s="1779"/>
      <c r="AC565" s="1779"/>
    </row>
    <row r="566" spans="1:29">
      <c r="A566" s="1779"/>
      <c r="B566" s="1779"/>
      <c r="C566" s="1779"/>
      <c r="D566" s="1779"/>
      <c r="E566" s="1779"/>
      <c r="F566" s="1779"/>
      <c r="G566" s="1779"/>
      <c r="H566" s="1779"/>
      <c r="I566" s="1779"/>
      <c r="J566" s="1779"/>
      <c r="K566" s="1780"/>
      <c r="L566" s="1781"/>
      <c r="M566" s="1779"/>
      <c r="N566" s="1779"/>
      <c r="O566" s="1779"/>
      <c r="P566" s="1816"/>
      <c r="Q566" s="1779"/>
      <c r="R566" s="1779"/>
      <c r="S566" s="1779"/>
      <c r="T566" s="1779"/>
      <c r="U566" s="1779"/>
      <c r="V566" s="1779"/>
      <c r="W566" s="1779"/>
      <c r="X566" s="1779"/>
      <c r="Y566" s="1779"/>
      <c r="Z566" s="1779"/>
      <c r="AA566" s="1779"/>
      <c r="AB566" s="1779"/>
      <c r="AC566" s="1779"/>
    </row>
    <row r="567" spans="1:29">
      <c r="A567" s="1779"/>
      <c r="B567" s="1779"/>
      <c r="C567" s="1779"/>
      <c r="D567" s="1779"/>
      <c r="E567" s="1779"/>
      <c r="F567" s="1779"/>
      <c r="G567" s="1779"/>
      <c r="H567" s="1779"/>
      <c r="I567" s="1779"/>
      <c r="J567" s="1779"/>
      <c r="K567" s="1780"/>
      <c r="L567" s="1781"/>
      <c r="M567" s="1779"/>
      <c r="N567" s="1779"/>
      <c r="O567" s="1779"/>
      <c r="P567" s="1816"/>
      <c r="Q567" s="1779"/>
      <c r="R567" s="1779"/>
      <c r="S567" s="1779"/>
      <c r="T567" s="1779"/>
      <c r="U567" s="1779"/>
      <c r="V567" s="1779"/>
      <c r="W567" s="1779"/>
      <c r="X567" s="1779"/>
      <c r="Y567" s="1779"/>
      <c r="Z567" s="1779"/>
      <c r="AA567" s="1779"/>
      <c r="AB567" s="1779"/>
      <c r="AC567" s="1779"/>
    </row>
    <row r="568" spans="1:29">
      <c r="A568" s="1779"/>
      <c r="B568" s="1779"/>
      <c r="C568" s="1779"/>
      <c r="D568" s="1779"/>
      <c r="E568" s="1779"/>
      <c r="F568" s="1779"/>
      <c r="G568" s="1779"/>
      <c r="H568" s="1779"/>
      <c r="I568" s="1779"/>
      <c r="J568" s="1779"/>
      <c r="K568" s="1780"/>
      <c r="L568" s="1781"/>
      <c r="M568" s="1779"/>
      <c r="N568" s="1779"/>
      <c r="O568" s="1779"/>
      <c r="P568" s="1816"/>
      <c r="Q568" s="1779"/>
      <c r="R568" s="1779"/>
      <c r="S568" s="1779"/>
      <c r="T568" s="1779"/>
      <c r="U568" s="1779"/>
      <c r="V568" s="1779"/>
      <c r="W568" s="1779"/>
      <c r="X568" s="1779"/>
      <c r="Y568" s="1779"/>
      <c r="Z568" s="1779"/>
      <c r="AA568" s="1779"/>
      <c r="AB568" s="1779"/>
      <c r="AC568" s="1779"/>
    </row>
    <row r="569" spans="1:29">
      <c r="A569" s="1779"/>
      <c r="B569" s="1779"/>
      <c r="C569" s="1779"/>
      <c r="D569" s="1779"/>
      <c r="E569" s="1779"/>
      <c r="F569" s="1779"/>
      <c r="G569" s="1779"/>
      <c r="H569" s="1779"/>
      <c r="I569" s="1779"/>
      <c r="J569" s="1779"/>
      <c r="K569" s="1780"/>
      <c r="L569" s="1781"/>
      <c r="M569" s="1779"/>
      <c r="N569" s="1779"/>
      <c r="O569" s="1779"/>
      <c r="P569" s="1816"/>
      <c r="Q569" s="1779"/>
      <c r="R569" s="1779"/>
      <c r="S569" s="1779"/>
      <c r="T569" s="1779"/>
      <c r="U569" s="1779"/>
      <c r="V569" s="1779"/>
      <c r="W569" s="1779"/>
      <c r="X569" s="1779"/>
      <c r="Y569" s="1779"/>
      <c r="Z569" s="1779"/>
      <c r="AA569" s="1779"/>
      <c r="AB569" s="1779"/>
      <c r="AC569" s="1779"/>
    </row>
    <row r="570" spans="1:29">
      <c r="A570" s="1779"/>
      <c r="B570" s="1779"/>
      <c r="C570" s="1779"/>
      <c r="D570" s="1779"/>
      <c r="E570" s="1779"/>
      <c r="F570" s="1779"/>
      <c r="G570" s="1779"/>
      <c r="H570" s="1779"/>
      <c r="I570" s="1779"/>
      <c r="J570" s="1779"/>
      <c r="K570" s="1780"/>
      <c r="L570" s="1781"/>
      <c r="M570" s="1779"/>
      <c r="N570" s="1779"/>
      <c r="O570" s="1779"/>
      <c r="P570" s="1816"/>
      <c r="Q570" s="1779"/>
      <c r="R570" s="1779"/>
      <c r="S570" s="1779"/>
      <c r="T570" s="1779"/>
      <c r="U570" s="1779"/>
      <c r="V570" s="1779"/>
      <c r="W570" s="1779"/>
      <c r="X570" s="1779"/>
      <c r="Y570" s="1779"/>
      <c r="Z570" s="1779"/>
      <c r="AA570" s="1779"/>
      <c r="AB570" s="1779"/>
      <c r="AC570" s="1779"/>
    </row>
    <row r="571" spans="1:29">
      <c r="A571" s="1779"/>
      <c r="B571" s="1779"/>
      <c r="C571" s="1779"/>
      <c r="D571" s="1779"/>
      <c r="E571" s="1779"/>
      <c r="F571" s="1779"/>
      <c r="G571" s="1779"/>
      <c r="H571" s="1779"/>
      <c r="I571" s="1779"/>
      <c r="J571" s="1779"/>
      <c r="K571" s="1780"/>
      <c r="L571" s="1781"/>
      <c r="M571" s="1779"/>
      <c r="N571" s="1779"/>
      <c r="O571" s="1779"/>
      <c r="P571" s="1816"/>
      <c r="Q571" s="1779"/>
      <c r="R571" s="1779"/>
      <c r="S571" s="1779"/>
      <c r="T571" s="1779"/>
      <c r="U571" s="1779"/>
      <c r="V571" s="1779"/>
      <c r="W571" s="1779"/>
      <c r="X571" s="1779"/>
      <c r="Y571" s="1779"/>
      <c r="Z571" s="1779"/>
      <c r="AA571" s="1779"/>
      <c r="AB571" s="1779"/>
      <c r="AC571" s="1779"/>
    </row>
    <row r="572" spans="1:29">
      <c r="A572" s="1779"/>
      <c r="B572" s="1779"/>
      <c r="C572" s="1779"/>
      <c r="D572" s="1779"/>
      <c r="E572" s="1779"/>
      <c r="F572" s="1779"/>
      <c r="G572" s="1779"/>
      <c r="H572" s="1779"/>
      <c r="I572" s="1779"/>
      <c r="J572" s="1779"/>
      <c r="K572" s="1780"/>
      <c r="L572" s="1781"/>
      <c r="M572" s="1779"/>
      <c r="N572" s="1779"/>
      <c r="O572" s="1779"/>
      <c r="P572" s="1816"/>
      <c r="Q572" s="1779"/>
      <c r="R572" s="1779"/>
      <c r="S572" s="1779"/>
      <c r="T572" s="1779"/>
      <c r="U572" s="1779"/>
      <c r="V572" s="1779"/>
      <c r="W572" s="1779"/>
      <c r="X572" s="1779"/>
      <c r="Y572" s="1779"/>
      <c r="Z572" s="1779"/>
      <c r="AA572" s="1779"/>
      <c r="AB572" s="1779"/>
      <c r="AC572" s="1779"/>
    </row>
    <row r="573" spans="1:29">
      <c r="A573" s="1779"/>
      <c r="B573" s="1779"/>
      <c r="C573" s="1779"/>
      <c r="D573" s="1779"/>
      <c r="E573" s="1779"/>
      <c r="F573" s="1779"/>
      <c r="G573" s="1779"/>
      <c r="H573" s="1779"/>
      <c r="I573" s="1779"/>
      <c r="J573" s="1779"/>
      <c r="K573" s="1780"/>
      <c r="L573" s="1781"/>
      <c r="M573" s="1779"/>
      <c r="N573" s="1779"/>
      <c r="O573" s="1779"/>
      <c r="P573" s="1816"/>
      <c r="Q573" s="1779"/>
      <c r="R573" s="1779"/>
      <c r="S573" s="1779"/>
      <c r="T573" s="1779"/>
      <c r="U573" s="1779"/>
      <c r="V573" s="1779"/>
      <c r="W573" s="1779"/>
      <c r="X573" s="1779"/>
      <c r="Y573" s="1779"/>
      <c r="Z573" s="1779"/>
      <c r="AA573" s="1779"/>
      <c r="AB573" s="1779"/>
      <c r="AC573" s="1779"/>
    </row>
    <row r="574" spans="1:29">
      <c r="A574" s="1779"/>
      <c r="B574" s="1779"/>
      <c r="C574" s="1779"/>
      <c r="D574" s="1779"/>
      <c r="E574" s="1779"/>
      <c r="F574" s="1779"/>
      <c r="G574" s="1779"/>
      <c r="H574" s="1779"/>
      <c r="I574" s="1779"/>
      <c r="J574" s="1779"/>
      <c r="K574" s="1780"/>
      <c r="L574" s="1781"/>
      <c r="M574" s="1779"/>
      <c r="N574" s="1779"/>
      <c r="O574" s="1779"/>
      <c r="P574" s="1816"/>
      <c r="Q574" s="1779"/>
      <c r="R574" s="1779"/>
      <c r="S574" s="1779"/>
      <c r="T574" s="1779"/>
      <c r="U574" s="1779"/>
      <c r="V574" s="1779"/>
      <c r="W574" s="1779"/>
      <c r="X574" s="1779"/>
      <c r="Y574" s="1779"/>
      <c r="Z574" s="1779"/>
      <c r="AA574" s="1779"/>
      <c r="AB574" s="1779"/>
      <c r="AC574" s="1779"/>
    </row>
    <row r="575" spans="1:29">
      <c r="A575" s="1779"/>
      <c r="B575" s="1779"/>
      <c r="C575" s="1779"/>
      <c r="D575" s="1779"/>
      <c r="E575" s="1779"/>
      <c r="F575" s="1779"/>
      <c r="G575" s="1779"/>
      <c r="H575" s="1779"/>
      <c r="I575" s="1779"/>
      <c r="J575" s="1779"/>
      <c r="K575" s="1780"/>
      <c r="L575" s="1781"/>
      <c r="M575" s="1779"/>
      <c r="N575" s="1779"/>
      <c r="O575" s="1779"/>
      <c r="P575" s="1816"/>
      <c r="Q575" s="1779"/>
      <c r="R575" s="1779"/>
      <c r="S575" s="1779"/>
      <c r="T575" s="1779"/>
      <c r="U575" s="1779"/>
      <c r="V575" s="1779"/>
      <c r="W575" s="1779"/>
      <c r="X575" s="1779"/>
      <c r="Y575" s="1779"/>
      <c r="Z575" s="1779"/>
      <c r="AA575" s="1779"/>
      <c r="AB575" s="1779"/>
      <c r="AC575" s="1779"/>
    </row>
    <row r="576" spans="1:29">
      <c r="A576" s="1779"/>
      <c r="B576" s="1779"/>
      <c r="C576" s="1779"/>
      <c r="D576" s="1779"/>
      <c r="E576" s="1779"/>
      <c r="F576" s="1779"/>
      <c r="G576" s="1779"/>
      <c r="H576" s="1779"/>
      <c r="I576" s="1779"/>
      <c r="J576" s="1779"/>
      <c r="K576" s="1780"/>
      <c r="L576" s="1781"/>
      <c r="M576" s="1779"/>
      <c r="N576" s="1779"/>
      <c r="O576" s="1779"/>
      <c r="P576" s="1816"/>
      <c r="Q576" s="1779"/>
      <c r="R576" s="1779"/>
      <c r="S576" s="1779"/>
      <c r="T576" s="1779"/>
      <c r="U576" s="1779"/>
      <c r="V576" s="1779"/>
      <c r="W576" s="1779"/>
      <c r="X576" s="1779"/>
      <c r="Y576" s="1779"/>
      <c r="Z576" s="1779"/>
      <c r="AA576" s="1779"/>
      <c r="AB576" s="1779"/>
      <c r="AC576" s="1779"/>
    </row>
    <row r="577" spans="1:29">
      <c r="A577" s="1779"/>
      <c r="B577" s="1779"/>
      <c r="C577" s="1779"/>
      <c r="D577" s="1779"/>
      <c r="E577" s="1779"/>
      <c r="F577" s="1779"/>
      <c r="G577" s="1779"/>
      <c r="H577" s="1779"/>
      <c r="I577" s="1779"/>
      <c r="J577" s="1779"/>
      <c r="K577" s="1780"/>
      <c r="L577" s="1781"/>
      <c r="M577" s="1779"/>
      <c r="N577" s="1779"/>
      <c r="O577" s="1779"/>
      <c r="P577" s="1816"/>
      <c r="Q577" s="1779"/>
      <c r="R577" s="1779"/>
      <c r="S577" s="1779"/>
      <c r="T577" s="1779"/>
      <c r="U577" s="1779"/>
      <c r="V577" s="1779"/>
      <c r="W577" s="1779"/>
      <c r="X577" s="1779"/>
      <c r="Y577" s="1779"/>
      <c r="Z577" s="1779"/>
      <c r="AA577" s="1779"/>
      <c r="AB577" s="1779"/>
      <c r="AC577" s="1779"/>
    </row>
    <row r="578" spans="1:29">
      <c r="A578" s="1779"/>
      <c r="B578" s="1779"/>
      <c r="C578" s="1779"/>
      <c r="D578" s="1779"/>
      <c r="E578" s="1779"/>
      <c r="F578" s="1779"/>
      <c r="G578" s="1779"/>
      <c r="H578" s="1779"/>
      <c r="I578" s="1779"/>
      <c r="J578" s="1779"/>
      <c r="K578" s="1780"/>
      <c r="L578" s="1781"/>
      <c r="M578" s="1779"/>
      <c r="N578" s="1779"/>
      <c r="O578" s="1779"/>
      <c r="P578" s="1816"/>
      <c r="Q578" s="1779"/>
      <c r="R578" s="1779"/>
      <c r="S578" s="1779"/>
      <c r="T578" s="1779"/>
      <c r="U578" s="1779"/>
      <c r="V578" s="1779"/>
      <c r="W578" s="1779"/>
      <c r="X578" s="1779"/>
      <c r="Y578" s="1779"/>
      <c r="Z578" s="1779"/>
      <c r="AA578" s="1779"/>
      <c r="AB578" s="1779"/>
      <c r="AC578" s="1779"/>
    </row>
    <row r="579" spans="1:29">
      <c r="A579" s="1779"/>
      <c r="B579" s="1779"/>
      <c r="C579" s="1779"/>
      <c r="D579" s="1779"/>
      <c r="E579" s="1779"/>
      <c r="F579" s="1779"/>
      <c r="G579" s="1779"/>
      <c r="H579" s="1779"/>
      <c r="I579" s="1779"/>
      <c r="J579" s="1779"/>
      <c r="K579" s="1780"/>
      <c r="L579" s="1781"/>
      <c r="M579" s="1779"/>
      <c r="N579" s="1779"/>
      <c r="O579" s="1779"/>
      <c r="P579" s="1816"/>
      <c r="Q579" s="1779"/>
      <c r="R579" s="1779"/>
      <c r="S579" s="1779"/>
      <c r="T579" s="1779"/>
      <c r="U579" s="1779"/>
      <c r="V579" s="1779"/>
      <c r="W579" s="1779"/>
      <c r="X579" s="1779"/>
      <c r="Y579" s="1779"/>
      <c r="Z579" s="1779"/>
      <c r="AA579" s="1779"/>
      <c r="AB579" s="1779"/>
      <c r="AC579" s="1779"/>
    </row>
    <row r="580" spans="1:29">
      <c r="A580" s="1779"/>
      <c r="B580" s="1779"/>
      <c r="C580" s="1779"/>
      <c r="D580" s="1779"/>
      <c r="E580" s="1779"/>
      <c r="F580" s="1779"/>
      <c r="G580" s="1779"/>
      <c r="H580" s="1779"/>
      <c r="I580" s="1779"/>
      <c r="J580" s="1779"/>
      <c r="K580" s="1780"/>
      <c r="L580" s="1781"/>
      <c r="M580" s="1779"/>
      <c r="N580" s="1779"/>
      <c r="O580" s="1779"/>
      <c r="P580" s="1816"/>
      <c r="Q580" s="1779"/>
      <c r="R580" s="1779"/>
      <c r="S580" s="1779"/>
      <c r="T580" s="1779"/>
      <c r="U580" s="1779"/>
      <c r="V580" s="1779"/>
      <c r="W580" s="1779"/>
      <c r="X580" s="1779"/>
      <c r="Y580" s="1779"/>
      <c r="Z580" s="1779"/>
      <c r="AA580" s="1779"/>
      <c r="AB580" s="1779"/>
      <c r="AC580" s="1779"/>
    </row>
    <row r="581" spans="1:29">
      <c r="A581" s="1779"/>
      <c r="B581" s="1779"/>
      <c r="C581" s="1779"/>
      <c r="D581" s="1779"/>
      <c r="E581" s="1779"/>
      <c r="F581" s="1779"/>
      <c r="G581" s="1779"/>
      <c r="H581" s="1779"/>
      <c r="I581" s="1779"/>
      <c r="J581" s="1779"/>
      <c r="K581" s="1780"/>
      <c r="L581" s="1781"/>
      <c r="M581" s="1779"/>
      <c r="N581" s="1779"/>
      <c r="O581" s="1779"/>
      <c r="P581" s="1816"/>
      <c r="Q581" s="1779"/>
      <c r="R581" s="1779"/>
      <c r="S581" s="1779"/>
      <c r="T581" s="1779"/>
      <c r="U581" s="1779"/>
      <c r="V581" s="1779"/>
      <c r="W581" s="1779"/>
      <c r="X581" s="1779"/>
      <c r="Y581" s="1779"/>
      <c r="Z581" s="1779"/>
      <c r="AA581" s="1779"/>
      <c r="AB581" s="1779"/>
      <c r="AC581" s="1779"/>
    </row>
    <row r="582" spans="1:29">
      <c r="A582" s="1779"/>
      <c r="B582" s="1779"/>
      <c r="C582" s="1779"/>
      <c r="D582" s="1779"/>
      <c r="E582" s="1779"/>
      <c r="F582" s="1779"/>
      <c r="G582" s="1779"/>
      <c r="H582" s="1779"/>
      <c r="I582" s="1779"/>
      <c r="J582" s="1779"/>
      <c r="K582" s="1780"/>
      <c r="L582" s="1781"/>
      <c r="M582" s="1779"/>
      <c r="N582" s="1779"/>
      <c r="O582" s="1779"/>
      <c r="P582" s="1816"/>
      <c r="Q582" s="1779"/>
      <c r="R582" s="1779"/>
      <c r="S582" s="1779"/>
      <c r="T582" s="1779"/>
      <c r="U582" s="1779"/>
      <c r="V582" s="1779"/>
      <c r="W582" s="1779"/>
      <c r="X582" s="1779"/>
      <c r="Y582" s="1779"/>
      <c r="Z582" s="1779"/>
      <c r="AA582" s="1779"/>
      <c r="AB582" s="1779"/>
      <c r="AC582" s="1779"/>
    </row>
    <row r="583" spans="1:29">
      <c r="A583" s="1779"/>
      <c r="B583" s="1779"/>
      <c r="C583" s="1779"/>
      <c r="D583" s="1779"/>
      <c r="E583" s="1779"/>
      <c r="F583" s="1779"/>
      <c r="G583" s="1779"/>
      <c r="H583" s="1779"/>
      <c r="I583" s="1779"/>
      <c r="J583" s="1779"/>
      <c r="K583" s="1780"/>
      <c r="L583" s="1781"/>
      <c r="M583" s="1779"/>
      <c r="N583" s="1779"/>
      <c r="O583" s="1779"/>
      <c r="P583" s="1816"/>
      <c r="Q583" s="1779"/>
      <c r="R583" s="1779"/>
      <c r="S583" s="1779"/>
      <c r="T583" s="1779"/>
      <c r="U583" s="1779"/>
      <c r="V583" s="1779"/>
      <c r="W583" s="1779"/>
      <c r="X583" s="1779"/>
      <c r="Y583" s="1779"/>
      <c r="Z583" s="1779"/>
      <c r="AA583" s="1779"/>
      <c r="AB583" s="1779"/>
      <c r="AC583" s="1779"/>
    </row>
    <row r="584" spans="1:29">
      <c r="A584" s="1779"/>
      <c r="B584" s="1779"/>
      <c r="C584" s="1779"/>
      <c r="D584" s="1779"/>
      <c r="E584" s="1779"/>
      <c r="F584" s="1779"/>
      <c r="G584" s="1779"/>
      <c r="H584" s="1779"/>
      <c r="I584" s="1779"/>
      <c r="J584" s="1779"/>
      <c r="K584" s="1780"/>
      <c r="L584" s="1781"/>
      <c r="M584" s="1779"/>
      <c r="N584" s="1779"/>
      <c r="O584" s="1779"/>
      <c r="P584" s="1816"/>
      <c r="Q584" s="1779"/>
      <c r="R584" s="1779"/>
      <c r="S584" s="1779"/>
      <c r="T584" s="1779"/>
      <c r="U584" s="1779"/>
      <c r="V584" s="1779"/>
      <c r="W584" s="1779"/>
      <c r="X584" s="1779"/>
      <c r="Y584" s="1779"/>
      <c r="Z584" s="1779"/>
      <c r="AA584" s="1779"/>
      <c r="AB584" s="1779"/>
      <c r="AC584" s="1779"/>
    </row>
    <row r="585" spans="1:29">
      <c r="A585" s="1779"/>
      <c r="B585" s="1779"/>
      <c r="C585" s="1779"/>
      <c r="D585" s="1779"/>
      <c r="E585" s="1779"/>
      <c r="F585" s="1779"/>
      <c r="G585" s="1779"/>
      <c r="H585" s="1779"/>
      <c r="I585" s="1779"/>
      <c r="J585" s="1779"/>
      <c r="K585" s="1780"/>
      <c r="L585" s="1781"/>
      <c r="M585" s="1779"/>
      <c r="N585" s="1779"/>
      <c r="O585" s="1779"/>
      <c r="P585" s="1816"/>
      <c r="Q585" s="1779"/>
      <c r="R585" s="1779"/>
      <c r="S585" s="1779"/>
      <c r="T585" s="1779"/>
      <c r="U585" s="1779"/>
      <c r="V585" s="1779"/>
      <c r="W585" s="1779"/>
      <c r="X585" s="1779"/>
      <c r="Y585" s="1779"/>
      <c r="Z585" s="1779"/>
      <c r="AA585" s="1779"/>
      <c r="AB585" s="1779"/>
      <c r="AC585" s="1779"/>
    </row>
    <row r="586" spans="1:29">
      <c r="A586" s="1779"/>
      <c r="B586" s="1779"/>
      <c r="C586" s="1779"/>
      <c r="D586" s="1779"/>
      <c r="E586" s="1779"/>
      <c r="F586" s="1779"/>
      <c r="G586" s="1779"/>
      <c r="H586" s="1779"/>
      <c r="I586" s="1779"/>
      <c r="J586" s="1779"/>
      <c r="K586" s="1780"/>
      <c r="L586" s="1781"/>
      <c r="M586" s="1779"/>
      <c r="N586" s="1779"/>
      <c r="O586" s="1779"/>
      <c r="P586" s="1816"/>
      <c r="Q586" s="1779"/>
      <c r="R586" s="1779"/>
      <c r="S586" s="1779"/>
      <c r="T586" s="1779"/>
      <c r="U586" s="1779"/>
      <c r="V586" s="1779"/>
      <c r="W586" s="1779"/>
      <c r="X586" s="1779"/>
      <c r="Y586" s="1779"/>
      <c r="Z586" s="1779"/>
      <c r="AA586" s="1779"/>
      <c r="AB586" s="1779"/>
      <c r="AC586" s="1779"/>
    </row>
    <row r="587" spans="1:29">
      <c r="A587" s="1779"/>
      <c r="B587" s="1779"/>
      <c r="C587" s="1779"/>
      <c r="D587" s="1779"/>
      <c r="E587" s="1779"/>
      <c r="F587" s="1779"/>
      <c r="G587" s="1779"/>
      <c r="H587" s="1779"/>
      <c r="I587" s="1779"/>
      <c r="J587" s="1779"/>
      <c r="K587" s="1780"/>
      <c r="L587" s="1781"/>
      <c r="M587" s="1779"/>
      <c r="N587" s="1779"/>
      <c r="O587" s="1779"/>
      <c r="P587" s="1816"/>
      <c r="Q587" s="1779"/>
      <c r="R587" s="1779"/>
      <c r="S587" s="1779"/>
      <c r="T587" s="1779"/>
      <c r="U587" s="1779"/>
      <c r="V587" s="1779"/>
      <c r="W587" s="1779"/>
      <c r="X587" s="1779"/>
      <c r="Y587" s="1779"/>
      <c r="Z587" s="1779"/>
      <c r="AA587" s="1779"/>
      <c r="AB587" s="1779"/>
      <c r="AC587" s="1779"/>
    </row>
    <row r="588" spans="1:29">
      <c r="A588" s="1779"/>
      <c r="B588" s="1779"/>
      <c r="C588" s="1779"/>
      <c r="D588" s="1779"/>
      <c r="E588" s="1779"/>
      <c r="F588" s="1779"/>
      <c r="G588" s="1779"/>
      <c r="H588" s="1779"/>
      <c r="I588" s="1779"/>
      <c r="J588" s="1779"/>
      <c r="K588" s="1780"/>
      <c r="L588" s="1781"/>
      <c r="M588" s="1779"/>
      <c r="N588" s="1779"/>
      <c r="O588" s="1779"/>
      <c r="P588" s="1816"/>
      <c r="Q588" s="1779"/>
      <c r="R588" s="1779"/>
      <c r="S588" s="1779"/>
      <c r="T588" s="1779"/>
      <c r="U588" s="1779"/>
      <c r="V588" s="1779"/>
      <c r="W588" s="1779"/>
      <c r="X588" s="1779"/>
      <c r="Y588" s="1779"/>
      <c r="Z588" s="1779"/>
      <c r="AA588" s="1779"/>
      <c r="AB588" s="1779"/>
      <c r="AC588" s="1779"/>
    </row>
    <row r="589" spans="1:29">
      <c r="A589" s="1779"/>
      <c r="B589" s="1779"/>
      <c r="C589" s="1779"/>
      <c r="D589" s="1779"/>
      <c r="E589" s="1779"/>
      <c r="F589" s="1779"/>
      <c r="G589" s="1779"/>
      <c r="H589" s="1779"/>
      <c r="I589" s="1779"/>
      <c r="J589" s="1779"/>
      <c r="K589" s="1780"/>
      <c r="L589" s="1781"/>
      <c r="M589" s="1779"/>
      <c r="N589" s="1779"/>
      <c r="O589" s="1779"/>
      <c r="P589" s="1816"/>
      <c r="Q589" s="1779"/>
      <c r="R589" s="1779"/>
      <c r="S589" s="1779"/>
      <c r="T589" s="1779"/>
      <c r="U589" s="1779"/>
      <c r="V589" s="1779"/>
      <c r="W589" s="1779"/>
      <c r="X589" s="1779"/>
      <c r="Y589" s="1779"/>
      <c r="Z589" s="1779"/>
      <c r="AA589" s="1779"/>
      <c r="AB589" s="1779"/>
      <c r="AC589" s="1779"/>
    </row>
    <row r="590" spans="1:29">
      <c r="A590" s="1779"/>
      <c r="B590" s="1779"/>
      <c r="C590" s="1779"/>
      <c r="D590" s="1779"/>
      <c r="E590" s="1779"/>
      <c r="F590" s="1779"/>
      <c r="G590" s="1779"/>
      <c r="H590" s="1779"/>
      <c r="I590" s="1779"/>
      <c r="J590" s="1779"/>
      <c r="K590" s="1780"/>
      <c r="L590" s="1781"/>
      <c r="M590" s="1779"/>
      <c r="N590" s="1779"/>
      <c r="O590" s="1779"/>
      <c r="P590" s="1816"/>
      <c r="Q590" s="1779"/>
      <c r="R590" s="1779"/>
      <c r="S590" s="1779"/>
      <c r="T590" s="1779"/>
      <c r="U590" s="1779"/>
      <c r="V590" s="1779"/>
      <c r="W590" s="1779"/>
      <c r="X590" s="1779"/>
      <c r="Y590" s="1779"/>
      <c r="Z590" s="1779"/>
      <c r="AA590" s="1779"/>
      <c r="AB590" s="1779"/>
      <c r="AC590" s="1779"/>
    </row>
    <row r="591" spans="1:29">
      <c r="A591" s="1779"/>
      <c r="B591" s="1779"/>
      <c r="C591" s="1779"/>
      <c r="D591" s="1779"/>
      <c r="E591" s="1779"/>
      <c r="F591" s="1779"/>
      <c r="G591" s="1779"/>
      <c r="H591" s="1779"/>
      <c r="I591" s="1779"/>
      <c r="J591" s="1779"/>
      <c r="K591" s="1780"/>
      <c r="L591" s="1781"/>
      <c r="M591" s="1779"/>
      <c r="N591" s="1779"/>
      <c r="O591" s="1779"/>
      <c r="P591" s="1816"/>
      <c r="Q591" s="1779"/>
      <c r="R591" s="1779"/>
      <c r="S591" s="1779"/>
      <c r="T591" s="1779"/>
      <c r="U591" s="1779"/>
      <c r="V591" s="1779"/>
      <c r="W591" s="1779"/>
      <c r="X591" s="1779"/>
      <c r="Y591" s="1779"/>
      <c r="Z591" s="1779"/>
      <c r="AA591" s="1779"/>
      <c r="AB591" s="1779"/>
      <c r="AC591" s="1779"/>
    </row>
    <row r="592" spans="1:29">
      <c r="A592" s="1779"/>
      <c r="B592" s="1779"/>
      <c r="C592" s="1779"/>
      <c r="D592" s="1779"/>
      <c r="E592" s="1779"/>
      <c r="F592" s="1779"/>
      <c r="G592" s="1779"/>
      <c r="H592" s="1779"/>
      <c r="I592" s="1779"/>
      <c r="J592" s="1779"/>
      <c r="K592" s="1780"/>
      <c r="L592" s="1781"/>
      <c r="M592" s="1779"/>
      <c r="N592" s="1779"/>
      <c r="O592" s="1779"/>
      <c r="P592" s="1816"/>
      <c r="Q592" s="1779"/>
      <c r="R592" s="1779"/>
      <c r="S592" s="1779"/>
      <c r="T592" s="1779"/>
      <c r="U592" s="1779"/>
      <c r="V592" s="1779"/>
      <c r="W592" s="1779"/>
      <c r="X592" s="1779"/>
      <c r="Y592" s="1779"/>
      <c r="Z592" s="1779"/>
      <c r="AA592" s="1779"/>
      <c r="AB592" s="1779"/>
      <c r="AC592" s="1779"/>
    </row>
    <row r="593" spans="1:29">
      <c r="A593" s="1779"/>
      <c r="B593" s="1779"/>
      <c r="C593" s="1779"/>
      <c r="D593" s="1779"/>
      <c r="E593" s="1779"/>
      <c r="F593" s="1779"/>
      <c r="G593" s="1779"/>
      <c r="H593" s="1779"/>
      <c r="I593" s="1779"/>
      <c r="J593" s="1779"/>
      <c r="K593" s="1780"/>
      <c r="L593" s="1781"/>
      <c r="M593" s="1779"/>
      <c r="N593" s="1779"/>
      <c r="O593" s="1779"/>
      <c r="P593" s="1816"/>
      <c r="Q593" s="1779"/>
      <c r="R593" s="1779"/>
      <c r="S593" s="1779"/>
      <c r="T593" s="1779"/>
      <c r="U593" s="1779"/>
      <c r="V593" s="1779"/>
      <c r="W593" s="1779"/>
      <c r="X593" s="1779"/>
      <c r="Y593" s="1779"/>
      <c r="Z593" s="1779"/>
      <c r="AA593" s="1779"/>
      <c r="AB593" s="1779"/>
      <c r="AC593" s="1779"/>
    </row>
    <row r="594" spans="1:29">
      <c r="A594" s="1779"/>
      <c r="B594" s="1779"/>
      <c r="C594" s="1779"/>
      <c r="D594" s="1779"/>
      <c r="E594" s="1779"/>
      <c r="F594" s="1779"/>
      <c r="G594" s="1779"/>
      <c r="H594" s="1779"/>
      <c r="I594" s="1779"/>
      <c r="J594" s="1779"/>
      <c r="K594" s="1780"/>
      <c r="L594" s="1781"/>
      <c r="M594" s="1779"/>
      <c r="N594" s="1779"/>
      <c r="O594" s="1779"/>
      <c r="P594" s="1816"/>
      <c r="Q594" s="1779"/>
      <c r="R594" s="1779"/>
      <c r="S594" s="1779"/>
      <c r="T594" s="1779"/>
      <c r="U594" s="1779"/>
      <c r="V594" s="1779"/>
      <c r="W594" s="1779"/>
      <c r="X594" s="1779"/>
      <c r="Y594" s="1779"/>
      <c r="Z594" s="1779"/>
      <c r="AA594" s="1779"/>
      <c r="AB594" s="1779"/>
      <c r="AC594" s="1779"/>
    </row>
    <row r="595" spans="1:29">
      <c r="A595" s="1779"/>
      <c r="B595" s="1779"/>
      <c r="C595" s="1779"/>
      <c r="D595" s="1779"/>
      <c r="E595" s="1779"/>
      <c r="F595" s="1779"/>
      <c r="G595" s="1779"/>
      <c r="H595" s="1779"/>
      <c r="I595" s="1779"/>
      <c r="J595" s="1779"/>
      <c r="K595" s="1780"/>
      <c r="L595" s="1781"/>
      <c r="M595" s="1779"/>
      <c r="N595" s="1779"/>
      <c r="O595" s="1779"/>
      <c r="P595" s="1816"/>
      <c r="Q595" s="1779"/>
      <c r="R595" s="1779"/>
      <c r="S595" s="1779"/>
      <c r="T595" s="1779"/>
      <c r="U595" s="1779"/>
      <c r="V595" s="1779"/>
      <c r="W595" s="1779"/>
      <c r="X595" s="1779"/>
      <c r="Y595" s="1779"/>
      <c r="Z595" s="1779"/>
      <c r="AA595" s="1779"/>
      <c r="AB595" s="1779"/>
      <c r="AC595" s="1779"/>
    </row>
    <row r="596" spans="1:29">
      <c r="A596" s="1779"/>
      <c r="B596" s="1779"/>
      <c r="C596" s="1779"/>
      <c r="D596" s="1779"/>
      <c r="E596" s="1779"/>
      <c r="F596" s="1779"/>
      <c r="G596" s="1779"/>
      <c r="H596" s="1779"/>
      <c r="I596" s="1779"/>
      <c r="J596" s="1779"/>
      <c r="K596" s="1780"/>
      <c r="L596" s="1781"/>
      <c r="M596" s="1779"/>
      <c r="N596" s="1779"/>
      <c r="O596" s="1779"/>
      <c r="P596" s="1816"/>
      <c r="Q596" s="1779"/>
      <c r="R596" s="1779"/>
      <c r="S596" s="1779"/>
      <c r="T596" s="1779"/>
      <c r="U596" s="1779"/>
      <c r="V596" s="1779"/>
      <c r="W596" s="1779"/>
      <c r="X596" s="1779"/>
      <c r="Y596" s="1779"/>
      <c r="Z596" s="1779"/>
      <c r="AA596" s="1779"/>
      <c r="AB596" s="1779"/>
      <c r="AC596" s="1779"/>
    </row>
    <row r="597" spans="1:29">
      <c r="A597" s="1779"/>
      <c r="B597" s="1779"/>
      <c r="C597" s="1779"/>
      <c r="D597" s="1779"/>
      <c r="E597" s="1779"/>
      <c r="F597" s="1779"/>
      <c r="G597" s="1779"/>
      <c r="H597" s="1779"/>
      <c r="I597" s="1779"/>
      <c r="J597" s="1779"/>
      <c r="K597" s="1780"/>
      <c r="L597" s="1781"/>
      <c r="M597" s="1779"/>
      <c r="N597" s="1779"/>
      <c r="O597" s="1779"/>
      <c r="P597" s="1816"/>
      <c r="Q597" s="1779"/>
      <c r="R597" s="1779"/>
      <c r="S597" s="1779"/>
      <c r="T597" s="1779"/>
      <c r="U597" s="1779"/>
      <c r="V597" s="1779"/>
      <c r="W597" s="1779"/>
      <c r="X597" s="1779"/>
      <c r="Y597" s="1779"/>
      <c r="Z597" s="1779"/>
      <c r="AA597" s="1779"/>
      <c r="AB597" s="1779"/>
      <c r="AC597" s="1779"/>
    </row>
    <row r="598" spans="1:29">
      <c r="A598" s="1779"/>
      <c r="B598" s="1779"/>
      <c r="C598" s="1779"/>
      <c r="D598" s="1779"/>
      <c r="E598" s="1779"/>
      <c r="F598" s="1779"/>
      <c r="G598" s="1779"/>
      <c r="H598" s="1779"/>
      <c r="I598" s="1779"/>
      <c r="J598" s="1779"/>
      <c r="K598" s="1780"/>
      <c r="L598" s="1781"/>
      <c r="M598" s="1779"/>
      <c r="N598" s="1779"/>
      <c r="O598" s="1779"/>
      <c r="P598" s="1816"/>
      <c r="Q598" s="1779"/>
      <c r="R598" s="1779"/>
      <c r="S598" s="1779"/>
      <c r="T598" s="1779"/>
      <c r="U598" s="1779"/>
      <c r="V598" s="1779"/>
      <c r="W598" s="1779"/>
      <c r="X598" s="1779"/>
      <c r="Y598" s="1779"/>
      <c r="Z598" s="1779"/>
      <c r="AA598" s="1779"/>
      <c r="AB598" s="1779"/>
      <c r="AC598" s="1779"/>
    </row>
    <row r="599" spans="1:29">
      <c r="A599" s="1779"/>
      <c r="B599" s="1779"/>
      <c r="C599" s="1779"/>
      <c r="D599" s="1779"/>
      <c r="E599" s="1779"/>
      <c r="F599" s="1779"/>
      <c r="G599" s="1779"/>
      <c r="H599" s="1779"/>
      <c r="I599" s="1779"/>
      <c r="J599" s="1779"/>
      <c r="K599" s="1780"/>
      <c r="L599" s="1781"/>
      <c r="M599" s="1779"/>
      <c r="N599" s="1779"/>
      <c r="O599" s="1779"/>
      <c r="P599" s="1816"/>
      <c r="Q599" s="1779"/>
      <c r="R599" s="1779"/>
      <c r="S599" s="1779"/>
      <c r="T599" s="1779"/>
      <c r="U599" s="1779"/>
      <c r="V599" s="1779"/>
      <c r="W599" s="1779"/>
      <c r="X599" s="1779"/>
      <c r="Y599" s="1779"/>
      <c r="Z599" s="1779"/>
      <c r="AA599" s="1779"/>
      <c r="AB599" s="1779"/>
      <c r="AC599" s="1779"/>
    </row>
    <row r="600" spans="1:29">
      <c r="A600" s="1779"/>
      <c r="B600" s="1779"/>
      <c r="C600" s="1779"/>
      <c r="D600" s="1779"/>
      <c r="E600" s="1779"/>
      <c r="F600" s="1779"/>
      <c r="G600" s="1779"/>
      <c r="H600" s="1779"/>
      <c r="I600" s="1779"/>
      <c r="J600" s="1779"/>
      <c r="K600" s="1780"/>
      <c r="L600" s="1781"/>
      <c r="M600" s="1779"/>
      <c r="N600" s="1779"/>
      <c r="O600" s="1779"/>
      <c r="P600" s="1816"/>
      <c r="Q600" s="1779"/>
      <c r="R600" s="1779"/>
      <c r="S600" s="1779"/>
      <c r="T600" s="1779"/>
      <c r="U600" s="1779"/>
      <c r="V600" s="1779"/>
      <c r="W600" s="1779"/>
      <c r="X600" s="1779"/>
      <c r="Y600" s="1779"/>
      <c r="Z600" s="1779"/>
      <c r="AA600" s="1779"/>
      <c r="AB600" s="1779"/>
      <c r="AC600" s="1779"/>
    </row>
    <row r="601" spans="1:29">
      <c r="A601" s="1779"/>
      <c r="B601" s="1779"/>
      <c r="C601" s="1779"/>
      <c r="D601" s="1779"/>
      <c r="E601" s="1779"/>
      <c r="F601" s="1779"/>
      <c r="G601" s="1779"/>
      <c r="H601" s="1779"/>
      <c r="I601" s="1779"/>
      <c r="J601" s="1779"/>
      <c r="K601" s="1780"/>
      <c r="L601" s="1781"/>
      <c r="M601" s="1779"/>
      <c r="N601" s="1779"/>
      <c r="O601" s="1779"/>
      <c r="P601" s="1816"/>
      <c r="Q601" s="1779"/>
      <c r="R601" s="1779"/>
      <c r="S601" s="1779"/>
      <c r="T601" s="1779"/>
      <c r="U601" s="1779"/>
      <c r="V601" s="1779"/>
      <c r="W601" s="1779"/>
      <c r="X601" s="1779"/>
      <c r="Y601" s="1779"/>
      <c r="Z601" s="1779"/>
      <c r="AA601" s="1779"/>
      <c r="AB601" s="1779"/>
      <c r="AC601" s="1779"/>
    </row>
    <row r="602" spans="1:29">
      <c r="A602" s="1779"/>
      <c r="B602" s="1779"/>
      <c r="C602" s="1779"/>
      <c r="D602" s="1779"/>
      <c r="E602" s="1779"/>
      <c r="F602" s="1779"/>
      <c r="G602" s="1779"/>
      <c r="H602" s="1779"/>
      <c r="I602" s="1779"/>
      <c r="J602" s="1779"/>
      <c r="K602" s="1780"/>
      <c r="L602" s="1781"/>
      <c r="M602" s="1779"/>
      <c r="N602" s="1779"/>
      <c r="O602" s="1779"/>
      <c r="P602" s="1816"/>
      <c r="Q602" s="1779"/>
      <c r="R602" s="1779"/>
      <c r="S602" s="1779"/>
      <c r="T602" s="1779"/>
      <c r="U602" s="1779"/>
      <c r="V602" s="1779"/>
      <c r="W602" s="1779"/>
      <c r="X602" s="1779"/>
      <c r="Y602" s="1779"/>
      <c r="Z602" s="1779"/>
      <c r="AA602" s="1779"/>
      <c r="AB602" s="1779"/>
      <c r="AC602" s="1779"/>
    </row>
    <row r="603" spans="1:29">
      <c r="A603" s="1779"/>
      <c r="B603" s="1779"/>
      <c r="C603" s="1779"/>
      <c r="D603" s="1779"/>
      <c r="E603" s="1779"/>
      <c r="F603" s="1779"/>
      <c r="G603" s="1779"/>
      <c r="H603" s="1779"/>
      <c r="I603" s="1779"/>
      <c r="J603" s="1779"/>
      <c r="K603" s="1780"/>
      <c r="L603" s="1781"/>
      <c r="M603" s="1779"/>
      <c r="N603" s="1779"/>
      <c r="O603" s="1779"/>
      <c r="P603" s="1816"/>
      <c r="Q603" s="1779"/>
      <c r="R603" s="1779"/>
      <c r="S603" s="1779"/>
      <c r="T603" s="1779"/>
      <c r="U603" s="1779"/>
      <c r="V603" s="1779"/>
      <c r="W603" s="1779"/>
      <c r="X603" s="1779"/>
      <c r="Y603" s="1779"/>
      <c r="Z603" s="1779"/>
      <c r="AA603" s="1779"/>
      <c r="AB603" s="1779"/>
      <c r="AC603" s="1779"/>
    </row>
    <row r="604" spans="1:29">
      <c r="A604" s="1779"/>
      <c r="B604" s="1779"/>
      <c r="C604" s="1779"/>
      <c r="D604" s="1779"/>
      <c r="E604" s="1779"/>
      <c r="F604" s="1779"/>
      <c r="G604" s="1779"/>
      <c r="H604" s="1779"/>
      <c r="I604" s="1779"/>
      <c r="J604" s="1779"/>
      <c r="K604" s="1780"/>
      <c r="L604" s="1781"/>
      <c r="M604" s="1779"/>
      <c r="N604" s="1779"/>
      <c r="O604" s="1779"/>
      <c r="P604" s="1816"/>
      <c r="Q604" s="1779"/>
      <c r="R604" s="1779"/>
      <c r="S604" s="1779"/>
      <c r="T604" s="1779"/>
      <c r="U604" s="1779"/>
      <c r="V604" s="1779"/>
      <c r="W604" s="1779"/>
      <c r="X604" s="1779"/>
      <c r="Y604" s="1779"/>
      <c r="Z604" s="1779"/>
      <c r="AA604" s="1779"/>
      <c r="AB604" s="1779"/>
      <c r="AC604" s="1779"/>
    </row>
    <row r="605" spans="1:29">
      <c r="A605" s="1779"/>
      <c r="B605" s="1779"/>
      <c r="C605" s="1779"/>
      <c r="D605" s="1779"/>
      <c r="E605" s="1779"/>
      <c r="F605" s="1779"/>
      <c r="G605" s="1779"/>
      <c r="H605" s="1779"/>
      <c r="I605" s="1779"/>
      <c r="J605" s="1779"/>
      <c r="K605" s="1780"/>
      <c r="L605" s="1781"/>
      <c r="M605" s="1779"/>
      <c r="N605" s="1779"/>
      <c r="O605" s="1779"/>
      <c r="P605" s="1816"/>
      <c r="Q605" s="1779"/>
      <c r="R605" s="1779"/>
      <c r="S605" s="1779"/>
      <c r="T605" s="1779"/>
      <c r="U605" s="1779"/>
      <c r="V605" s="1779"/>
      <c r="W605" s="1779"/>
      <c r="X605" s="1779"/>
      <c r="Y605" s="1779"/>
      <c r="Z605" s="1779"/>
      <c r="AA605" s="1779"/>
      <c r="AB605" s="1779"/>
      <c r="AC605" s="1779"/>
    </row>
    <row r="606" spans="1:29">
      <c r="A606" s="1779"/>
      <c r="B606" s="1779"/>
      <c r="C606" s="1779"/>
      <c r="D606" s="1779"/>
      <c r="E606" s="1779"/>
      <c r="F606" s="1779"/>
      <c r="G606" s="1779"/>
      <c r="H606" s="1779"/>
      <c r="I606" s="1779"/>
      <c r="J606" s="1779"/>
      <c r="K606" s="1780"/>
      <c r="L606" s="1781"/>
      <c r="M606" s="1779"/>
      <c r="N606" s="1779"/>
      <c r="O606" s="1779"/>
      <c r="P606" s="1816"/>
      <c r="Q606" s="1779"/>
      <c r="R606" s="1779"/>
      <c r="S606" s="1779"/>
      <c r="T606" s="1779"/>
      <c r="U606" s="1779"/>
      <c r="V606" s="1779"/>
      <c r="W606" s="1779"/>
      <c r="X606" s="1779"/>
      <c r="Y606" s="1779"/>
      <c r="Z606" s="1779"/>
      <c r="AA606" s="1779"/>
      <c r="AB606" s="1779"/>
      <c r="AC606" s="1779"/>
    </row>
    <row r="607" spans="1:29">
      <c r="A607" s="1779"/>
      <c r="B607" s="1779"/>
      <c r="C607" s="1779"/>
      <c r="D607" s="1779"/>
      <c r="E607" s="1779"/>
      <c r="F607" s="1779"/>
      <c r="G607" s="1779"/>
      <c r="H607" s="1779"/>
      <c r="I607" s="1779"/>
      <c r="J607" s="1779"/>
      <c r="K607" s="1780"/>
      <c r="L607" s="1781"/>
      <c r="M607" s="1779"/>
      <c r="N607" s="1779"/>
      <c r="O607" s="1779"/>
      <c r="P607" s="1816"/>
      <c r="Q607" s="1779"/>
      <c r="R607" s="1779"/>
      <c r="S607" s="1779"/>
      <c r="T607" s="1779"/>
      <c r="U607" s="1779"/>
      <c r="V607" s="1779"/>
      <c r="W607" s="1779"/>
      <c r="X607" s="1779"/>
      <c r="Y607" s="1779"/>
      <c r="Z607" s="1779"/>
      <c r="AA607" s="1779"/>
      <c r="AB607" s="1779"/>
      <c r="AC607" s="1779"/>
    </row>
    <row r="608" spans="1:29">
      <c r="A608" s="1779"/>
      <c r="B608" s="1779"/>
      <c r="C608" s="1779"/>
      <c r="D608" s="1779"/>
      <c r="E608" s="1779"/>
      <c r="F608" s="1779"/>
      <c r="G608" s="1779"/>
      <c r="H608" s="1779"/>
      <c r="I608" s="1779"/>
      <c r="J608" s="1779"/>
      <c r="K608" s="1780"/>
      <c r="L608" s="1781"/>
      <c r="M608" s="1779"/>
      <c r="N608" s="1779"/>
      <c r="O608" s="1779"/>
      <c r="P608" s="1816"/>
      <c r="Q608" s="1779"/>
      <c r="R608" s="1779"/>
      <c r="S608" s="1779"/>
      <c r="T608" s="1779"/>
      <c r="U608" s="1779"/>
      <c r="V608" s="1779"/>
      <c r="W608" s="1779"/>
      <c r="X608" s="1779"/>
      <c r="Y608" s="1779"/>
      <c r="Z608" s="1779"/>
      <c r="AA608" s="1779"/>
      <c r="AB608" s="1779"/>
      <c r="AC608" s="1779"/>
    </row>
    <row r="609" spans="1:29">
      <c r="A609" s="1779"/>
      <c r="B609" s="1779"/>
      <c r="C609" s="1779"/>
      <c r="D609" s="1779"/>
      <c r="E609" s="1779"/>
      <c r="F609" s="1779"/>
      <c r="G609" s="1779"/>
      <c r="H609" s="1779"/>
      <c r="I609" s="1779"/>
      <c r="J609" s="1779"/>
      <c r="K609" s="1780"/>
      <c r="L609" s="1781"/>
      <c r="M609" s="1779"/>
      <c r="N609" s="1779"/>
      <c r="O609" s="1779"/>
      <c r="P609" s="1816"/>
      <c r="Q609" s="1779"/>
      <c r="R609" s="1779"/>
      <c r="S609" s="1779"/>
      <c r="T609" s="1779"/>
      <c r="U609" s="1779"/>
      <c r="V609" s="1779"/>
      <c r="W609" s="1779"/>
      <c r="X609" s="1779"/>
      <c r="Y609" s="1779"/>
      <c r="Z609" s="1779"/>
      <c r="AA609" s="1779"/>
      <c r="AB609" s="1779"/>
      <c r="AC609" s="1779"/>
    </row>
    <row r="610" spans="1:29">
      <c r="A610" s="1779"/>
      <c r="B610" s="1779"/>
      <c r="C610" s="1779"/>
      <c r="D610" s="1779"/>
      <c r="E610" s="1779"/>
      <c r="F610" s="1779"/>
      <c r="G610" s="1779"/>
      <c r="H610" s="1779"/>
      <c r="I610" s="1779"/>
      <c r="J610" s="1779"/>
      <c r="K610" s="1780"/>
      <c r="L610" s="1781"/>
      <c r="M610" s="1779"/>
      <c r="N610" s="1779"/>
      <c r="O610" s="1779"/>
      <c r="P610" s="1816"/>
      <c r="Q610" s="1779"/>
      <c r="R610" s="1779"/>
      <c r="S610" s="1779"/>
      <c r="T610" s="1779"/>
      <c r="U610" s="1779"/>
      <c r="V610" s="1779"/>
      <c r="W610" s="1779"/>
      <c r="X610" s="1779"/>
      <c r="Y610" s="1779"/>
      <c r="Z610" s="1779"/>
      <c r="AA610" s="1779"/>
      <c r="AB610" s="1779"/>
      <c r="AC610" s="1779"/>
    </row>
    <row r="611" spans="1:29">
      <c r="A611" s="1779"/>
      <c r="B611" s="1779"/>
      <c r="C611" s="1779"/>
      <c r="D611" s="1779"/>
      <c r="E611" s="1779"/>
      <c r="F611" s="1779"/>
      <c r="G611" s="1779"/>
      <c r="H611" s="1779"/>
      <c r="I611" s="1779"/>
      <c r="J611" s="1779"/>
      <c r="K611" s="1780"/>
      <c r="L611" s="1781"/>
      <c r="M611" s="1779"/>
      <c r="N611" s="1779"/>
      <c r="O611" s="1779"/>
      <c r="P611" s="1816"/>
      <c r="Q611" s="1779"/>
      <c r="R611" s="1779"/>
      <c r="S611" s="1779"/>
      <c r="T611" s="1779"/>
      <c r="U611" s="1779"/>
      <c r="V611" s="1779"/>
      <c r="W611" s="1779"/>
      <c r="X611" s="1779"/>
      <c r="Y611" s="1779"/>
      <c r="Z611" s="1779"/>
      <c r="AA611" s="1779"/>
      <c r="AB611" s="1779"/>
      <c r="AC611" s="1779"/>
    </row>
    <row r="612" spans="1:29">
      <c r="A612" s="1779"/>
      <c r="B612" s="1779"/>
      <c r="C612" s="1779"/>
      <c r="D612" s="1779"/>
      <c r="E612" s="1779"/>
      <c r="F612" s="1779"/>
      <c r="G612" s="1779"/>
      <c r="H612" s="1779"/>
      <c r="I612" s="1779"/>
      <c r="J612" s="1779"/>
      <c r="K612" s="1780"/>
      <c r="L612" s="1781"/>
      <c r="M612" s="1779"/>
      <c r="N612" s="1779"/>
      <c r="O612" s="1779"/>
      <c r="P612" s="1816"/>
      <c r="Q612" s="1779"/>
      <c r="R612" s="1779"/>
      <c r="S612" s="1779"/>
      <c r="T612" s="1779"/>
      <c r="U612" s="1779"/>
      <c r="V612" s="1779"/>
      <c r="W612" s="1779"/>
      <c r="X612" s="1779"/>
      <c r="Y612" s="1779"/>
      <c r="Z612" s="1779"/>
      <c r="AA612" s="1779"/>
      <c r="AB612" s="1779"/>
      <c r="AC612" s="1779"/>
    </row>
    <row r="613" spans="1:29">
      <c r="A613" s="1779"/>
      <c r="B613" s="1779"/>
      <c r="C613" s="1779"/>
      <c r="D613" s="1779"/>
      <c r="E613" s="1779"/>
      <c r="F613" s="1779"/>
      <c r="G613" s="1779"/>
      <c r="H613" s="1779"/>
      <c r="I613" s="1779"/>
      <c r="J613" s="1779"/>
      <c r="K613" s="1780"/>
      <c r="L613" s="1781"/>
      <c r="M613" s="1779"/>
      <c r="N613" s="1779"/>
      <c r="O613" s="1779"/>
      <c r="P613" s="1816"/>
      <c r="Q613" s="1779"/>
      <c r="R613" s="1779"/>
      <c r="S613" s="1779"/>
      <c r="T613" s="1779"/>
      <c r="U613" s="1779"/>
      <c r="V613" s="1779"/>
      <c r="W613" s="1779"/>
      <c r="X613" s="1779"/>
      <c r="Y613" s="1779"/>
      <c r="Z613" s="1779"/>
      <c r="AA613" s="1779"/>
      <c r="AB613" s="1779"/>
      <c r="AC613" s="1779"/>
    </row>
    <row r="614" spans="1:29">
      <c r="A614" s="1779"/>
      <c r="B614" s="1779"/>
      <c r="C614" s="1779"/>
      <c r="D614" s="1779"/>
      <c r="E614" s="1779"/>
      <c r="F614" s="1779"/>
      <c r="G614" s="1779"/>
      <c r="H614" s="1779"/>
      <c r="I614" s="1779"/>
      <c r="J614" s="1779"/>
      <c r="K614" s="1780"/>
      <c r="L614" s="1781"/>
      <c r="M614" s="1779"/>
      <c r="N614" s="1779"/>
      <c r="O614" s="1779"/>
      <c r="P614" s="1816"/>
      <c r="Q614" s="1779"/>
      <c r="R614" s="1779"/>
      <c r="S614" s="1779"/>
      <c r="T614" s="1779"/>
      <c r="U614" s="1779"/>
      <c r="V614" s="1779"/>
      <c r="W614" s="1779"/>
      <c r="X614" s="1779"/>
      <c r="Y614" s="1779"/>
      <c r="Z614" s="1779"/>
      <c r="AA614" s="1779"/>
      <c r="AB614" s="1779"/>
      <c r="AC614" s="1779"/>
    </row>
    <row r="615" spans="1:29">
      <c r="A615" s="1779"/>
      <c r="B615" s="1779"/>
      <c r="C615" s="1779"/>
      <c r="D615" s="1779"/>
      <c r="E615" s="1779"/>
      <c r="F615" s="1779"/>
      <c r="G615" s="1779"/>
      <c r="H615" s="1779"/>
      <c r="I615" s="1779"/>
      <c r="J615" s="1779"/>
      <c r="K615" s="1780"/>
      <c r="L615" s="1781"/>
      <c r="M615" s="1779"/>
      <c r="N615" s="1779"/>
      <c r="O615" s="1779"/>
      <c r="P615" s="1816"/>
      <c r="Q615" s="1779"/>
      <c r="R615" s="1779"/>
      <c r="S615" s="1779"/>
      <c r="T615" s="1779"/>
      <c r="U615" s="1779"/>
      <c r="V615" s="1779"/>
      <c r="W615" s="1779"/>
      <c r="X615" s="1779"/>
      <c r="Y615" s="1779"/>
      <c r="Z615" s="1779"/>
      <c r="AA615" s="1779"/>
      <c r="AB615" s="1779"/>
      <c r="AC615" s="1779"/>
    </row>
    <row r="616" spans="1:29">
      <c r="A616" s="1779"/>
      <c r="B616" s="1779"/>
      <c r="C616" s="1779"/>
      <c r="D616" s="1779"/>
      <c r="E616" s="1779"/>
      <c r="F616" s="1779"/>
      <c r="G616" s="1779"/>
      <c r="H616" s="1779"/>
      <c r="I616" s="1779"/>
      <c r="J616" s="1779"/>
      <c r="K616" s="1780"/>
      <c r="L616" s="1781"/>
      <c r="M616" s="1779"/>
      <c r="N616" s="1779"/>
      <c r="O616" s="1779"/>
      <c r="P616" s="1816"/>
      <c r="Q616" s="1779"/>
      <c r="R616" s="1779"/>
      <c r="S616" s="1779"/>
      <c r="T616" s="1779"/>
      <c r="U616" s="1779"/>
      <c r="V616" s="1779"/>
      <c r="W616" s="1779"/>
      <c r="X616" s="1779"/>
      <c r="Y616" s="1779"/>
      <c r="Z616" s="1779"/>
      <c r="AA616" s="1779"/>
      <c r="AB616" s="1779"/>
      <c r="AC616" s="1779"/>
    </row>
    <row r="617" spans="1:29">
      <c r="A617" s="1779"/>
      <c r="B617" s="1779"/>
      <c r="C617" s="1779"/>
      <c r="D617" s="1779"/>
      <c r="E617" s="1779"/>
      <c r="F617" s="1779"/>
      <c r="G617" s="1779"/>
      <c r="H617" s="1779"/>
      <c r="I617" s="1779"/>
      <c r="J617" s="1779"/>
      <c r="K617" s="1780"/>
      <c r="L617" s="1781"/>
      <c r="M617" s="1779"/>
      <c r="N617" s="1779"/>
      <c r="O617" s="1779"/>
      <c r="P617" s="1816"/>
      <c r="Q617" s="1779"/>
      <c r="R617" s="1779"/>
      <c r="S617" s="1779"/>
      <c r="T617" s="1779"/>
      <c r="U617" s="1779"/>
      <c r="V617" s="1779"/>
      <c r="W617" s="1779"/>
      <c r="X617" s="1779"/>
      <c r="Y617" s="1779"/>
      <c r="Z617" s="1779"/>
      <c r="AA617" s="1779"/>
      <c r="AB617" s="1779"/>
      <c r="AC617" s="1779"/>
    </row>
    <row r="618" spans="1:29">
      <c r="A618" s="1779"/>
      <c r="B618" s="1779"/>
      <c r="C618" s="1779"/>
      <c r="D618" s="1779"/>
      <c r="E618" s="1779"/>
      <c r="F618" s="1779"/>
      <c r="G618" s="1779"/>
      <c r="H618" s="1779"/>
      <c r="I618" s="1779"/>
      <c r="J618" s="1779"/>
      <c r="K618" s="1780"/>
      <c r="L618" s="1781"/>
      <c r="M618" s="1779"/>
      <c r="N618" s="1779"/>
      <c r="O618" s="1779"/>
      <c r="P618" s="1816"/>
      <c r="Q618" s="1779"/>
      <c r="R618" s="1779"/>
      <c r="S618" s="1779"/>
      <c r="T618" s="1779"/>
      <c r="U618" s="1779"/>
      <c r="V618" s="1779"/>
      <c r="W618" s="1779"/>
      <c r="X618" s="1779"/>
      <c r="Y618" s="1779"/>
      <c r="Z618" s="1779"/>
      <c r="AA618" s="1779"/>
      <c r="AB618" s="1779"/>
      <c r="AC618" s="1779"/>
    </row>
    <row r="619" spans="1:29">
      <c r="A619" s="1779"/>
      <c r="B619" s="1779"/>
      <c r="C619" s="1779"/>
      <c r="D619" s="1779"/>
      <c r="E619" s="1779"/>
      <c r="F619" s="1779"/>
      <c r="G619" s="1779"/>
      <c r="H619" s="1779"/>
      <c r="I619" s="1779"/>
      <c r="J619" s="1779"/>
      <c r="K619" s="1780"/>
      <c r="L619" s="1781"/>
      <c r="M619" s="1779"/>
      <c r="N619" s="1779"/>
      <c r="O619" s="1779"/>
      <c r="P619" s="1816"/>
      <c r="Q619" s="1779"/>
      <c r="R619" s="1779"/>
      <c r="S619" s="1779"/>
      <c r="T619" s="1779"/>
      <c r="U619" s="1779"/>
      <c r="V619" s="1779"/>
      <c r="W619" s="1779"/>
      <c r="X619" s="1779"/>
      <c r="Y619" s="1779"/>
      <c r="Z619" s="1779"/>
      <c r="AA619" s="1779"/>
      <c r="AB619" s="1779"/>
      <c r="AC619" s="1779"/>
    </row>
    <row r="620" spans="1:29">
      <c r="A620" s="1779"/>
      <c r="B620" s="1779"/>
      <c r="C620" s="1779"/>
      <c r="D620" s="1779"/>
      <c r="E620" s="1779"/>
      <c r="F620" s="1779"/>
      <c r="G620" s="1779"/>
      <c r="H620" s="1779"/>
      <c r="I620" s="1779"/>
      <c r="J620" s="1779"/>
      <c r="K620" s="1780"/>
      <c r="L620" s="1781"/>
      <c r="M620" s="1779"/>
      <c r="N620" s="1779"/>
      <c r="O620" s="1779"/>
      <c r="P620" s="1816"/>
      <c r="Q620" s="1779"/>
      <c r="R620" s="1779"/>
      <c r="S620" s="1779"/>
      <c r="T620" s="1779"/>
      <c r="U620" s="1779"/>
      <c r="V620" s="1779"/>
      <c r="W620" s="1779"/>
      <c r="X620" s="1779"/>
      <c r="Y620" s="1779"/>
      <c r="Z620" s="1779"/>
      <c r="AA620" s="1779"/>
      <c r="AB620" s="1779"/>
      <c r="AC620" s="1779"/>
    </row>
    <row r="621" spans="1:29">
      <c r="A621" s="1779"/>
      <c r="B621" s="1779"/>
      <c r="C621" s="1779"/>
      <c r="D621" s="1779"/>
      <c r="E621" s="1779"/>
      <c r="F621" s="1779"/>
      <c r="G621" s="1779"/>
      <c r="H621" s="1779"/>
      <c r="I621" s="1779"/>
      <c r="J621" s="1779"/>
      <c r="K621" s="1780"/>
      <c r="L621" s="1781"/>
      <c r="M621" s="1779"/>
      <c r="N621" s="1779"/>
      <c r="O621" s="1779"/>
      <c r="P621" s="1816"/>
      <c r="Q621" s="1779"/>
      <c r="R621" s="1779"/>
      <c r="S621" s="1779"/>
      <c r="T621" s="1779"/>
      <c r="U621" s="1779"/>
      <c r="V621" s="1779"/>
      <c r="W621" s="1779"/>
      <c r="X621" s="1779"/>
      <c r="Y621" s="1779"/>
      <c r="Z621" s="1779"/>
      <c r="AA621" s="1779"/>
      <c r="AB621" s="1779"/>
      <c r="AC621" s="1779"/>
    </row>
    <row r="622" spans="1:29">
      <c r="A622" s="1779"/>
      <c r="B622" s="1779"/>
      <c r="C622" s="1779"/>
      <c r="D622" s="1779"/>
      <c r="E622" s="1779"/>
      <c r="F622" s="1779"/>
      <c r="G622" s="1779"/>
      <c r="H622" s="1779"/>
      <c r="I622" s="1779"/>
      <c r="J622" s="1779"/>
      <c r="K622" s="1780"/>
      <c r="L622" s="1781"/>
      <c r="M622" s="1779"/>
      <c r="N622" s="1779"/>
      <c r="O622" s="1779"/>
      <c r="P622" s="1816"/>
      <c r="Q622" s="1779"/>
      <c r="R622" s="1779"/>
      <c r="S622" s="1779"/>
      <c r="T622" s="1779"/>
      <c r="U622" s="1779"/>
      <c r="V622" s="1779"/>
      <c r="W622" s="1779"/>
      <c r="X622" s="1779"/>
      <c r="Y622" s="1779"/>
      <c r="Z622" s="1779"/>
      <c r="AA622" s="1779"/>
      <c r="AB622" s="1779"/>
      <c r="AC622" s="1779"/>
    </row>
    <row r="623" spans="1:29">
      <c r="A623" s="1779"/>
      <c r="B623" s="1779"/>
      <c r="C623" s="1779"/>
      <c r="D623" s="1779"/>
      <c r="E623" s="1779"/>
      <c r="F623" s="1779"/>
      <c r="G623" s="1779"/>
      <c r="H623" s="1779"/>
      <c r="I623" s="1779"/>
      <c r="J623" s="1779"/>
      <c r="K623" s="1780"/>
      <c r="L623" s="1781"/>
      <c r="M623" s="1779"/>
      <c r="N623" s="1779"/>
      <c r="O623" s="1779"/>
      <c r="P623" s="1816"/>
      <c r="Q623" s="1779"/>
      <c r="R623" s="1779"/>
      <c r="S623" s="1779"/>
      <c r="T623" s="1779"/>
      <c r="U623" s="1779"/>
      <c r="V623" s="1779"/>
      <c r="W623" s="1779"/>
      <c r="X623" s="1779"/>
      <c r="Y623" s="1779"/>
      <c r="Z623" s="1779"/>
      <c r="AA623" s="1779"/>
      <c r="AB623" s="1779"/>
      <c r="AC623" s="1779"/>
    </row>
    <row r="624" spans="1:29">
      <c r="A624" s="1779"/>
      <c r="B624" s="1779"/>
      <c r="C624" s="1779"/>
      <c r="D624" s="1779"/>
      <c r="E624" s="1779"/>
      <c r="F624" s="1779"/>
      <c r="G624" s="1779"/>
      <c r="H624" s="1779"/>
      <c r="I624" s="1779"/>
      <c r="J624" s="1779"/>
      <c r="K624" s="1780"/>
      <c r="L624" s="1781"/>
      <c r="M624" s="1779"/>
      <c r="N624" s="1779"/>
      <c r="O624" s="1779"/>
      <c r="P624" s="1816"/>
      <c r="Q624" s="1779"/>
      <c r="R624" s="1779"/>
      <c r="S624" s="1779"/>
      <c r="T624" s="1779"/>
      <c r="U624" s="1779"/>
      <c r="V624" s="1779"/>
      <c r="W624" s="1779"/>
      <c r="X624" s="1779"/>
      <c r="Y624" s="1779"/>
      <c r="Z624" s="1779"/>
      <c r="AA624" s="1779"/>
      <c r="AB624" s="1779"/>
      <c r="AC624" s="1779"/>
    </row>
    <row r="625" spans="1:29">
      <c r="A625" s="1779"/>
      <c r="B625" s="1779"/>
      <c r="C625" s="1779"/>
      <c r="D625" s="1779"/>
      <c r="E625" s="1779"/>
      <c r="F625" s="1779"/>
      <c r="G625" s="1779"/>
      <c r="H625" s="1779"/>
      <c r="I625" s="1779"/>
      <c r="J625" s="1779"/>
      <c r="K625" s="1780"/>
      <c r="L625" s="1781"/>
      <c r="M625" s="1779"/>
      <c r="N625" s="1779"/>
      <c r="O625" s="1779"/>
      <c r="P625" s="1816"/>
      <c r="Q625" s="1779"/>
      <c r="R625" s="1779"/>
      <c r="S625" s="1779"/>
      <c r="T625" s="1779"/>
      <c r="U625" s="1779"/>
      <c r="V625" s="1779"/>
      <c r="W625" s="1779"/>
      <c r="X625" s="1779"/>
      <c r="Y625" s="1779"/>
      <c r="Z625" s="1779"/>
      <c r="AA625" s="1779"/>
      <c r="AB625" s="1779"/>
      <c r="AC625" s="1779"/>
    </row>
    <row r="626" spans="1:29">
      <c r="A626" s="1779"/>
      <c r="B626" s="1779"/>
      <c r="C626" s="1779"/>
      <c r="D626" s="1779"/>
      <c r="E626" s="1779"/>
      <c r="F626" s="1779"/>
      <c r="G626" s="1779"/>
      <c r="H626" s="1779"/>
      <c r="I626" s="1779"/>
      <c r="J626" s="1779"/>
      <c r="K626" s="1780"/>
      <c r="L626" s="1781"/>
      <c r="M626" s="1779"/>
      <c r="N626" s="1779"/>
      <c r="O626" s="1779"/>
      <c r="P626" s="1816"/>
      <c r="Q626" s="1779"/>
      <c r="R626" s="1779"/>
      <c r="S626" s="1779"/>
      <c r="T626" s="1779"/>
      <c r="U626" s="1779"/>
      <c r="V626" s="1779"/>
      <c r="W626" s="1779"/>
      <c r="X626" s="1779"/>
      <c r="Y626" s="1779"/>
      <c r="Z626" s="1779"/>
      <c r="AA626" s="1779"/>
      <c r="AB626" s="1779"/>
      <c r="AC626" s="1779"/>
    </row>
    <row r="627" spans="1:29">
      <c r="A627" s="1779"/>
      <c r="B627" s="1779"/>
      <c r="C627" s="1779"/>
      <c r="D627" s="1779"/>
      <c r="E627" s="1779"/>
      <c r="F627" s="1779"/>
      <c r="G627" s="1779"/>
      <c r="H627" s="1779"/>
      <c r="I627" s="1779"/>
      <c r="J627" s="1779"/>
      <c r="K627" s="1780"/>
      <c r="L627" s="1781"/>
      <c r="M627" s="1779"/>
      <c r="N627" s="1779"/>
      <c r="O627" s="1779"/>
      <c r="P627" s="1816"/>
      <c r="Q627" s="1779"/>
      <c r="R627" s="1779"/>
      <c r="S627" s="1779"/>
      <c r="T627" s="1779"/>
      <c r="U627" s="1779"/>
      <c r="V627" s="1779"/>
      <c r="W627" s="1779"/>
      <c r="X627" s="1779"/>
      <c r="Y627" s="1779"/>
      <c r="Z627" s="1779"/>
      <c r="AA627" s="1779"/>
      <c r="AB627" s="1779"/>
      <c r="AC627" s="1779"/>
    </row>
    <row r="628" spans="1:29">
      <c r="A628" s="1779"/>
      <c r="B628" s="1779"/>
      <c r="C628" s="1779"/>
      <c r="D628" s="1779"/>
      <c r="E628" s="1779"/>
      <c r="F628" s="1779"/>
      <c r="G628" s="1779"/>
      <c r="H628" s="1779"/>
      <c r="I628" s="1779"/>
      <c r="J628" s="1779"/>
      <c r="K628" s="1780"/>
      <c r="L628" s="1781"/>
      <c r="M628" s="1779"/>
      <c r="N628" s="1779"/>
      <c r="O628" s="1779"/>
      <c r="P628" s="1816"/>
      <c r="Q628" s="1779"/>
      <c r="R628" s="1779"/>
      <c r="S628" s="1779"/>
      <c r="T628" s="1779"/>
      <c r="U628" s="1779"/>
      <c r="V628" s="1779"/>
      <c r="W628" s="1779"/>
      <c r="X628" s="1779"/>
      <c r="Y628" s="1779"/>
      <c r="Z628" s="1779"/>
      <c r="AA628" s="1779"/>
      <c r="AB628" s="1779"/>
      <c r="AC628" s="1779"/>
    </row>
    <row r="629" spans="1:29">
      <c r="A629" s="1779"/>
      <c r="B629" s="1779"/>
      <c r="C629" s="1779"/>
      <c r="D629" s="1779"/>
      <c r="E629" s="1779"/>
      <c r="F629" s="1779"/>
      <c r="G629" s="1779"/>
      <c r="H629" s="1779"/>
      <c r="I629" s="1779"/>
      <c r="J629" s="1779"/>
      <c r="K629" s="1780"/>
      <c r="L629" s="1781"/>
      <c r="M629" s="1779"/>
      <c r="N629" s="1779"/>
      <c r="O629" s="1779"/>
      <c r="P629" s="1816"/>
      <c r="Q629" s="1779"/>
      <c r="R629" s="1779"/>
      <c r="S629" s="1779"/>
      <c r="T629" s="1779"/>
      <c r="U629" s="1779"/>
      <c r="V629" s="1779"/>
      <c r="W629" s="1779"/>
      <c r="X629" s="1779"/>
      <c r="Y629" s="1779"/>
      <c r="Z629" s="1779"/>
      <c r="AA629" s="1779"/>
      <c r="AB629" s="1779"/>
      <c r="AC629" s="1779"/>
    </row>
    <row r="630" spans="1:29">
      <c r="A630" s="1779"/>
      <c r="B630" s="1779"/>
      <c r="C630" s="1779"/>
      <c r="D630" s="1779"/>
      <c r="E630" s="1779"/>
      <c r="F630" s="1779"/>
      <c r="G630" s="1779"/>
      <c r="H630" s="1779"/>
      <c r="I630" s="1779"/>
      <c r="J630" s="1779"/>
      <c r="K630" s="1780"/>
      <c r="L630" s="1781"/>
      <c r="M630" s="1779"/>
      <c r="N630" s="1779"/>
      <c r="O630" s="1779"/>
      <c r="P630" s="1816"/>
      <c r="Q630" s="1779"/>
      <c r="R630" s="1779"/>
      <c r="S630" s="1779"/>
      <c r="T630" s="1779"/>
      <c r="U630" s="1779"/>
      <c r="V630" s="1779"/>
      <c r="W630" s="1779"/>
      <c r="X630" s="1779"/>
      <c r="Y630" s="1779"/>
      <c r="Z630" s="1779"/>
      <c r="AA630" s="1779"/>
      <c r="AB630" s="1779"/>
      <c r="AC630" s="1779"/>
    </row>
    <row r="631" spans="1:29">
      <c r="A631" s="1779"/>
      <c r="B631" s="1779"/>
      <c r="C631" s="1779"/>
      <c r="D631" s="1779"/>
      <c r="E631" s="1779"/>
      <c r="F631" s="1779"/>
      <c r="G631" s="1779"/>
      <c r="H631" s="1779"/>
      <c r="I631" s="1779"/>
      <c r="J631" s="1779"/>
      <c r="K631" s="1780"/>
      <c r="L631" s="1781"/>
      <c r="M631" s="1779"/>
      <c r="N631" s="1779"/>
      <c r="O631" s="1779"/>
      <c r="P631" s="1816"/>
      <c r="Q631" s="1779"/>
      <c r="R631" s="1779"/>
      <c r="S631" s="1779"/>
      <c r="T631" s="1779"/>
      <c r="U631" s="1779"/>
      <c r="V631" s="1779"/>
      <c r="W631" s="1779"/>
      <c r="X631" s="1779"/>
      <c r="Y631" s="1779"/>
      <c r="Z631" s="1779"/>
      <c r="AA631" s="1779"/>
      <c r="AB631" s="1779"/>
      <c r="AC631" s="1779"/>
    </row>
    <row r="632" spans="1:29">
      <c r="A632" s="1779"/>
      <c r="B632" s="1779"/>
      <c r="C632" s="1779"/>
      <c r="D632" s="1779"/>
      <c r="E632" s="1779"/>
      <c r="F632" s="1779"/>
      <c r="G632" s="1779"/>
      <c r="H632" s="1779"/>
      <c r="I632" s="1779"/>
      <c r="J632" s="1779"/>
      <c r="K632" s="1780"/>
      <c r="L632" s="1781"/>
      <c r="M632" s="1779"/>
      <c r="N632" s="1779"/>
      <c r="O632" s="1779"/>
      <c r="P632" s="1816"/>
      <c r="Q632" s="1779"/>
      <c r="R632" s="1779"/>
      <c r="S632" s="1779"/>
      <c r="T632" s="1779"/>
      <c r="U632" s="1779"/>
      <c r="V632" s="1779"/>
      <c r="W632" s="1779"/>
      <c r="X632" s="1779"/>
      <c r="Y632" s="1779"/>
      <c r="Z632" s="1779"/>
      <c r="AA632" s="1779"/>
      <c r="AB632" s="1779"/>
      <c r="AC632" s="1779"/>
    </row>
    <row r="633" spans="1:29">
      <c r="A633" s="1779"/>
      <c r="B633" s="1779"/>
      <c r="C633" s="1779"/>
      <c r="D633" s="1779"/>
      <c r="E633" s="1779"/>
      <c r="F633" s="1779"/>
      <c r="G633" s="1779"/>
      <c r="H633" s="1779"/>
      <c r="I633" s="1779"/>
      <c r="J633" s="1779"/>
      <c r="K633" s="1780"/>
      <c r="L633" s="1781"/>
      <c r="M633" s="1779"/>
      <c r="N633" s="1779"/>
      <c r="O633" s="1779"/>
      <c r="P633" s="1816"/>
      <c r="Q633" s="1779"/>
      <c r="R633" s="1779"/>
      <c r="S633" s="1779"/>
      <c r="T633" s="1779"/>
      <c r="U633" s="1779"/>
      <c r="V633" s="1779"/>
      <c r="W633" s="1779"/>
      <c r="X633" s="1779"/>
      <c r="Y633" s="1779"/>
      <c r="Z633" s="1779"/>
      <c r="AA633" s="1779"/>
      <c r="AB633" s="1779"/>
      <c r="AC633" s="1779"/>
    </row>
    <row r="634" spans="1:29">
      <c r="A634" s="1779"/>
      <c r="B634" s="1779"/>
      <c r="C634" s="1779"/>
      <c r="D634" s="1779"/>
      <c r="E634" s="1779"/>
      <c r="F634" s="1779"/>
      <c r="G634" s="1779"/>
      <c r="H634" s="1779"/>
      <c r="I634" s="1779"/>
      <c r="J634" s="1779"/>
      <c r="K634" s="1780"/>
      <c r="L634" s="1781"/>
      <c r="M634" s="1779"/>
      <c r="N634" s="1779"/>
      <c r="O634" s="1779"/>
      <c r="P634" s="1816"/>
      <c r="Q634" s="1779"/>
      <c r="R634" s="1779"/>
      <c r="S634" s="1779"/>
      <c r="T634" s="1779"/>
      <c r="U634" s="1779"/>
      <c r="V634" s="1779"/>
      <c r="W634" s="1779"/>
      <c r="X634" s="1779"/>
      <c r="Y634" s="1779"/>
      <c r="Z634" s="1779"/>
      <c r="AA634" s="1779"/>
      <c r="AB634" s="1779"/>
      <c r="AC634" s="1779"/>
    </row>
    <row r="635" spans="1:29">
      <c r="A635" s="1779"/>
      <c r="B635" s="1779"/>
      <c r="C635" s="1779"/>
      <c r="D635" s="1779"/>
      <c r="E635" s="1779"/>
      <c r="F635" s="1779"/>
      <c r="G635" s="1779"/>
      <c r="H635" s="1779"/>
      <c r="I635" s="1779"/>
      <c r="J635" s="1779"/>
      <c r="K635" s="1780"/>
      <c r="L635" s="1781"/>
      <c r="M635" s="1779"/>
      <c r="N635" s="1779"/>
      <c r="O635" s="1779"/>
      <c r="P635" s="1816"/>
      <c r="Q635" s="1779"/>
      <c r="R635" s="1779"/>
      <c r="S635" s="1779"/>
      <c r="T635" s="1779"/>
      <c r="U635" s="1779"/>
      <c r="V635" s="1779"/>
      <c r="W635" s="1779"/>
      <c r="X635" s="1779"/>
      <c r="Y635" s="1779"/>
      <c r="Z635" s="1779"/>
      <c r="AA635" s="1779"/>
      <c r="AB635" s="1779"/>
      <c r="AC635" s="1779"/>
    </row>
    <row r="636" spans="1:29">
      <c r="A636" s="1779"/>
      <c r="B636" s="1779"/>
      <c r="C636" s="1779"/>
      <c r="D636" s="1779"/>
      <c r="E636" s="1779"/>
      <c r="F636" s="1779"/>
      <c r="G636" s="1779"/>
      <c r="H636" s="1779"/>
      <c r="I636" s="1779"/>
      <c r="J636" s="1779"/>
      <c r="K636" s="1780"/>
      <c r="L636" s="1781"/>
      <c r="M636" s="1779"/>
      <c r="N636" s="1779"/>
      <c r="O636" s="1779"/>
      <c r="P636" s="1816"/>
      <c r="Q636" s="1779"/>
      <c r="R636" s="1779"/>
      <c r="S636" s="1779"/>
      <c r="T636" s="1779"/>
      <c r="U636" s="1779"/>
      <c r="V636" s="1779"/>
      <c r="W636" s="1779"/>
      <c r="X636" s="1779"/>
      <c r="Y636" s="1779"/>
      <c r="Z636" s="1779"/>
      <c r="AA636" s="1779"/>
      <c r="AB636" s="1779"/>
      <c r="AC636" s="1779"/>
    </row>
    <row r="637" spans="1:29">
      <c r="A637" s="1779"/>
      <c r="B637" s="1779"/>
      <c r="C637" s="1779"/>
      <c r="D637" s="1779"/>
      <c r="E637" s="1779"/>
      <c r="F637" s="1779"/>
      <c r="G637" s="1779"/>
      <c r="H637" s="1779"/>
      <c r="I637" s="1779"/>
      <c r="J637" s="1779"/>
      <c r="K637" s="1780"/>
      <c r="L637" s="1781"/>
      <c r="M637" s="1779"/>
      <c r="N637" s="1779"/>
      <c r="O637" s="1779"/>
      <c r="P637" s="1816"/>
      <c r="Q637" s="1779"/>
      <c r="R637" s="1779"/>
      <c r="S637" s="1779"/>
      <c r="T637" s="1779"/>
      <c r="U637" s="1779"/>
      <c r="V637" s="1779"/>
      <c r="W637" s="1779"/>
      <c r="X637" s="1779"/>
      <c r="Y637" s="1779"/>
      <c r="Z637" s="1779"/>
      <c r="AA637" s="1779"/>
      <c r="AB637" s="1779"/>
      <c r="AC637" s="1779"/>
    </row>
    <row r="638" spans="1:29">
      <c r="A638" s="1779"/>
      <c r="B638" s="1779"/>
      <c r="C638" s="1779"/>
      <c r="D638" s="1779"/>
      <c r="E638" s="1779"/>
      <c r="F638" s="1779"/>
      <c r="G638" s="1779"/>
      <c r="H638" s="1779"/>
      <c r="I638" s="1779"/>
      <c r="J638" s="1779"/>
      <c r="K638" s="1780"/>
      <c r="L638" s="1781"/>
      <c r="M638" s="1779"/>
      <c r="N638" s="1779"/>
      <c r="O638" s="1779"/>
      <c r="P638" s="1816"/>
      <c r="Q638" s="1779"/>
      <c r="R638" s="1779"/>
      <c r="S638" s="1779"/>
      <c r="T638" s="1779"/>
      <c r="U638" s="1779"/>
      <c r="V638" s="1779"/>
      <c r="W638" s="1779"/>
      <c r="X638" s="1779"/>
      <c r="Y638" s="1779"/>
      <c r="Z638" s="1779"/>
      <c r="AA638" s="1779"/>
      <c r="AB638" s="1779"/>
      <c r="AC638" s="1779"/>
    </row>
    <row r="639" spans="1:29">
      <c r="A639" s="1779"/>
      <c r="B639" s="1779"/>
      <c r="C639" s="1779"/>
      <c r="D639" s="1779"/>
      <c r="E639" s="1779"/>
      <c r="F639" s="1779"/>
      <c r="G639" s="1779"/>
      <c r="H639" s="1779"/>
      <c r="I639" s="1779"/>
      <c r="J639" s="1779"/>
      <c r="K639" s="1780"/>
      <c r="L639" s="1781"/>
      <c r="M639" s="1779"/>
      <c r="N639" s="1779"/>
      <c r="O639" s="1779"/>
      <c r="P639" s="1816"/>
      <c r="Q639" s="1779"/>
      <c r="R639" s="1779"/>
      <c r="S639" s="1779"/>
      <c r="T639" s="1779"/>
      <c r="U639" s="1779"/>
      <c r="V639" s="1779"/>
      <c r="W639" s="1779"/>
      <c r="X639" s="1779"/>
      <c r="Y639" s="1779"/>
      <c r="Z639" s="1779"/>
      <c r="AA639" s="1779"/>
      <c r="AB639" s="1779"/>
      <c r="AC639" s="1779"/>
    </row>
    <row r="640" spans="1:29">
      <c r="A640" s="1779"/>
      <c r="B640" s="1779"/>
      <c r="C640" s="1779"/>
      <c r="D640" s="1779"/>
      <c r="E640" s="1779"/>
      <c r="F640" s="1779"/>
      <c r="G640" s="1779"/>
      <c r="H640" s="1779"/>
      <c r="I640" s="1779"/>
      <c r="J640" s="1779"/>
      <c r="K640" s="1780"/>
      <c r="L640" s="1781"/>
      <c r="M640" s="1779"/>
      <c r="N640" s="1779"/>
      <c r="O640" s="1779"/>
      <c r="P640" s="1816"/>
      <c r="Q640" s="1779"/>
      <c r="R640" s="1779"/>
      <c r="S640" s="1779"/>
      <c r="T640" s="1779"/>
      <c r="U640" s="1779"/>
      <c r="V640" s="1779"/>
      <c r="W640" s="1779"/>
      <c r="X640" s="1779"/>
      <c r="Y640" s="1779"/>
      <c r="Z640" s="1779"/>
      <c r="AA640" s="1779"/>
      <c r="AB640" s="1779"/>
      <c r="AC640" s="1779"/>
    </row>
    <row r="641" spans="1:29">
      <c r="A641" s="1779"/>
      <c r="B641" s="1779"/>
      <c r="C641" s="1779"/>
      <c r="D641" s="1779"/>
      <c r="E641" s="1779"/>
      <c r="F641" s="1779"/>
      <c r="G641" s="1779"/>
      <c r="H641" s="1779"/>
      <c r="I641" s="1779"/>
      <c r="J641" s="1779"/>
      <c r="K641" s="1780"/>
      <c r="L641" s="1781"/>
      <c r="M641" s="1779"/>
      <c r="N641" s="1779"/>
      <c r="O641" s="1779"/>
      <c r="P641" s="1816"/>
      <c r="Q641" s="1779"/>
      <c r="R641" s="1779"/>
      <c r="S641" s="1779"/>
      <c r="T641" s="1779"/>
      <c r="U641" s="1779"/>
      <c r="V641" s="1779"/>
      <c r="W641" s="1779"/>
      <c r="X641" s="1779"/>
      <c r="Y641" s="1779"/>
      <c r="Z641" s="1779"/>
      <c r="AA641" s="1779"/>
      <c r="AB641" s="1779"/>
      <c r="AC641" s="1779"/>
    </row>
    <row r="642" spans="1:29">
      <c r="A642" s="1779"/>
      <c r="B642" s="1779"/>
      <c r="C642" s="1779"/>
      <c r="D642" s="1779"/>
      <c r="E642" s="1779"/>
      <c r="F642" s="1779"/>
      <c r="G642" s="1779"/>
      <c r="H642" s="1779"/>
      <c r="I642" s="1779"/>
      <c r="J642" s="1779"/>
      <c r="K642" s="1780"/>
      <c r="L642" s="1781"/>
      <c r="M642" s="1779"/>
      <c r="N642" s="1779"/>
      <c r="O642" s="1779"/>
      <c r="P642" s="1816"/>
      <c r="Q642" s="1779"/>
      <c r="R642" s="1779"/>
      <c r="S642" s="1779"/>
      <c r="T642" s="1779"/>
      <c r="U642" s="1779"/>
      <c r="V642" s="1779"/>
      <c r="W642" s="1779"/>
      <c r="X642" s="1779"/>
      <c r="Y642" s="1779"/>
      <c r="Z642" s="1779"/>
      <c r="AA642" s="1779"/>
      <c r="AB642" s="1779"/>
      <c r="AC642" s="1779"/>
    </row>
    <row r="643" spans="1:29">
      <c r="A643" s="1779"/>
      <c r="B643" s="1779"/>
      <c r="C643" s="1779"/>
      <c r="D643" s="1779"/>
      <c r="E643" s="1779"/>
      <c r="F643" s="1779"/>
      <c r="G643" s="1779"/>
      <c r="H643" s="1779"/>
      <c r="I643" s="1779"/>
      <c r="J643" s="1779"/>
      <c r="K643" s="1780"/>
      <c r="L643" s="1781"/>
      <c r="M643" s="1779"/>
      <c r="N643" s="1779"/>
      <c r="O643" s="1779"/>
      <c r="P643" s="1816"/>
      <c r="Q643" s="1779"/>
      <c r="R643" s="1779"/>
      <c r="S643" s="1779"/>
      <c r="T643" s="1779"/>
      <c r="U643" s="1779"/>
      <c r="V643" s="1779"/>
      <c r="W643" s="1779"/>
      <c r="X643" s="1779"/>
      <c r="Y643" s="1779"/>
      <c r="Z643" s="1779"/>
      <c r="AA643" s="1779"/>
      <c r="AB643" s="1779"/>
      <c r="AC643" s="1779"/>
    </row>
    <row r="644" spans="1:29">
      <c r="A644" s="1779"/>
      <c r="B644" s="1779"/>
      <c r="C644" s="1779"/>
      <c r="D644" s="1779"/>
      <c r="E644" s="1779"/>
      <c r="F644" s="1779"/>
      <c r="G644" s="1779"/>
      <c r="H644" s="1779"/>
      <c r="I644" s="1779"/>
      <c r="J644" s="1779"/>
      <c r="K644" s="1780"/>
      <c r="L644" s="1781"/>
      <c r="M644" s="1779"/>
      <c r="N644" s="1779"/>
      <c r="O644" s="1779"/>
      <c r="P644" s="1816"/>
      <c r="Q644" s="1779"/>
      <c r="R644" s="1779"/>
      <c r="S644" s="1779"/>
      <c r="T644" s="1779"/>
      <c r="U644" s="1779"/>
      <c r="V644" s="1779"/>
      <c r="W644" s="1779"/>
      <c r="X644" s="1779"/>
      <c r="Y644" s="1779"/>
      <c r="Z644" s="1779"/>
      <c r="AA644" s="1779"/>
      <c r="AB644" s="1779"/>
      <c r="AC644" s="1779"/>
    </row>
    <row r="645" spans="1:29">
      <c r="A645" s="1779"/>
      <c r="B645" s="1779"/>
      <c r="C645" s="1779"/>
      <c r="D645" s="1779"/>
      <c r="E645" s="1779"/>
      <c r="F645" s="1779"/>
      <c r="G645" s="1779"/>
      <c r="H645" s="1779"/>
      <c r="I645" s="1779"/>
      <c r="J645" s="1779"/>
      <c r="K645" s="1780"/>
      <c r="L645" s="1781"/>
      <c r="M645" s="1779"/>
      <c r="N645" s="1779"/>
      <c r="O645" s="1779"/>
      <c r="P645" s="1816"/>
      <c r="Q645" s="1779"/>
      <c r="R645" s="1779"/>
      <c r="S645" s="1779"/>
      <c r="T645" s="1779"/>
      <c r="U645" s="1779"/>
      <c r="V645" s="1779"/>
      <c r="W645" s="1779"/>
      <c r="X645" s="1779"/>
      <c r="Y645" s="1779"/>
      <c r="Z645" s="1779"/>
      <c r="AA645" s="1779"/>
      <c r="AB645" s="1779"/>
      <c r="AC645" s="1779"/>
    </row>
    <row r="646" spans="1:29">
      <c r="A646" s="1779"/>
      <c r="B646" s="1779"/>
      <c r="C646" s="1779"/>
      <c r="D646" s="1779"/>
      <c r="E646" s="1779"/>
      <c r="F646" s="1779"/>
      <c r="G646" s="1779"/>
      <c r="H646" s="1779"/>
      <c r="I646" s="1779"/>
      <c r="J646" s="1779"/>
      <c r="K646" s="1780"/>
      <c r="L646" s="1781"/>
      <c r="M646" s="1779"/>
      <c r="N646" s="1779"/>
      <c r="O646" s="1779"/>
      <c r="P646" s="1816"/>
      <c r="Q646" s="1779"/>
      <c r="R646" s="1779"/>
      <c r="S646" s="1779"/>
      <c r="T646" s="1779"/>
      <c r="U646" s="1779"/>
      <c r="V646" s="1779"/>
      <c r="W646" s="1779"/>
      <c r="X646" s="1779"/>
      <c r="Y646" s="1779"/>
      <c r="Z646" s="1779"/>
      <c r="AA646" s="1779"/>
      <c r="AB646" s="1779"/>
      <c r="AC646" s="1779"/>
    </row>
    <row r="647" spans="1:29">
      <c r="A647" s="1779"/>
      <c r="B647" s="1779"/>
      <c r="C647" s="1779"/>
      <c r="D647" s="1779"/>
      <c r="E647" s="1779"/>
      <c r="F647" s="1779"/>
      <c r="G647" s="1779"/>
      <c r="H647" s="1779"/>
      <c r="I647" s="1779"/>
      <c r="J647" s="1779"/>
      <c r="K647" s="1780"/>
      <c r="L647" s="1781"/>
      <c r="M647" s="1779"/>
      <c r="N647" s="1779"/>
      <c r="O647" s="1779"/>
      <c r="P647" s="1816"/>
      <c r="Q647" s="1779"/>
      <c r="R647" s="1779"/>
      <c r="S647" s="1779"/>
      <c r="T647" s="1779"/>
      <c r="U647" s="1779"/>
      <c r="V647" s="1779"/>
      <c r="W647" s="1779"/>
      <c r="X647" s="1779"/>
      <c r="Y647" s="1779"/>
      <c r="Z647" s="1779"/>
      <c r="AA647" s="1779"/>
      <c r="AB647" s="1779"/>
      <c r="AC647" s="1779"/>
    </row>
    <row r="648" spans="1:29">
      <c r="A648" s="1779"/>
      <c r="B648" s="1779"/>
      <c r="C648" s="1779"/>
      <c r="D648" s="1779"/>
      <c r="E648" s="1779"/>
      <c r="F648" s="1779"/>
      <c r="G648" s="1779"/>
      <c r="H648" s="1779"/>
      <c r="I648" s="1779"/>
      <c r="J648" s="1779"/>
      <c r="K648" s="1780"/>
      <c r="L648" s="1781"/>
      <c r="M648" s="1779"/>
      <c r="N648" s="1779"/>
      <c r="O648" s="1779"/>
      <c r="P648" s="1816"/>
      <c r="Q648" s="1779"/>
      <c r="R648" s="1779"/>
      <c r="S648" s="1779"/>
      <c r="T648" s="1779"/>
      <c r="U648" s="1779"/>
      <c r="V648" s="1779"/>
      <c r="W648" s="1779"/>
      <c r="X648" s="1779"/>
      <c r="Y648" s="1779"/>
      <c r="Z648" s="1779"/>
      <c r="AA648" s="1779"/>
      <c r="AB648" s="1779"/>
      <c r="AC648" s="1779"/>
    </row>
    <row r="649" spans="1:29">
      <c r="A649" s="1779"/>
      <c r="B649" s="1779"/>
      <c r="C649" s="1779"/>
      <c r="D649" s="1779"/>
      <c r="E649" s="1779"/>
      <c r="F649" s="1779"/>
      <c r="G649" s="1779"/>
      <c r="H649" s="1779"/>
      <c r="I649" s="1779"/>
      <c r="J649" s="1779"/>
      <c r="K649" s="1780"/>
      <c r="L649" s="1781"/>
      <c r="M649" s="1779"/>
      <c r="N649" s="1779"/>
      <c r="O649" s="1779"/>
      <c r="P649" s="1816"/>
      <c r="Q649" s="1779"/>
      <c r="R649" s="1779"/>
      <c r="S649" s="1779"/>
      <c r="T649" s="1779"/>
      <c r="U649" s="1779"/>
      <c r="V649" s="1779"/>
      <c r="W649" s="1779"/>
      <c r="X649" s="1779"/>
      <c r="Y649" s="1779"/>
      <c r="Z649" s="1779"/>
      <c r="AA649" s="1779"/>
      <c r="AB649" s="1779"/>
      <c r="AC649" s="1779"/>
    </row>
    <row r="650" spans="1:29">
      <c r="A650" s="1779"/>
      <c r="B650" s="1779"/>
      <c r="C650" s="1779"/>
      <c r="D650" s="1779"/>
      <c r="E650" s="1779"/>
      <c r="F650" s="1779"/>
      <c r="G650" s="1779"/>
      <c r="H650" s="1779"/>
      <c r="I650" s="1779"/>
      <c r="J650" s="1779"/>
      <c r="K650" s="1780"/>
      <c r="L650" s="1781"/>
      <c r="M650" s="1779"/>
      <c r="N650" s="1779"/>
      <c r="O650" s="1779"/>
      <c r="P650" s="1816"/>
      <c r="Q650" s="1779"/>
      <c r="R650" s="1779"/>
      <c r="S650" s="1779"/>
      <c r="T650" s="1779"/>
      <c r="U650" s="1779"/>
      <c r="V650" s="1779"/>
      <c r="W650" s="1779"/>
      <c r="X650" s="1779"/>
      <c r="Y650" s="1779"/>
      <c r="Z650" s="1779"/>
      <c r="AA650" s="1779"/>
      <c r="AB650" s="1779"/>
      <c r="AC650" s="1779"/>
    </row>
    <row r="651" spans="1:29">
      <c r="A651" s="1779"/>
      <c r="B651" s="1779"/>
      <c r="C651" s="1779"/>
      <c r="D651" s="1779"/>
      <c r="E651" s="1779"/>
      <c r="F651" s="1779"/>
      <c r="G651" s="1779"/>
      <c r="H651" s="1779"/>
      <c r="I651" s="1779"/>
      <c r="J651" s="1779"/>
      <c r="K651" s="1780"/>
      <c r="L651" s="1781"/>
      <c r="M651" s="1779"/>
      <c r="N651" s="1779"/>
      <c r="O651" s="1779"/>
      <c r="P651" s="1816"/>
      <c r="Q651" s="1779"/>
      <c r="R651" s="1779"/>
      <c r="S651" s="1779"/>
      <c r="T651" s="1779"/>
      <c r="U651" s="1779"/>
      <c r="V651" s="1779"/>
      <c r="W651" s="1779"/>
      <c r="X651" s="1779"/>
      <c r="Y651" s="1779"/>
      <c r="Z651" s="1779"/>
      <c r="AA651" s="1779"/>
      <c r="AB651" s="1779"/>
      <c r="AC651" s="1779"/>
    </row>
    <row r="652" spans="1:29">
      <c r="A652" s="1779"/>
      <c r="B652" s="1779"/>
      <c r="C652" s="1779"/>
      <c r="D652" s="1779"/>
      <c r="E652" s="1779"/>
      <c r="F652" s="1779"/>
      <c r="G652" s="1779"/>
      <c r="H652" s="1779"/>
      <c r="I652" s="1779"/>
      <c r="J652" s="1779"/>
      <c r="K652" s="1780"/>
      <c r="L652" s="1781"/>
      <c r="M652" s="1779"/>
      <c r="N652" s="1779"/>
      <c r="O652" s="1779"/>
      <c r="P652" s="1816"/>
      <c r="Q652" s="1779"/>
      <c r="R652" s="1779"/>
      <c r="S652" s="1779"/>
      <c r="T652" s="1779"/>
      <c r="U652" s="1779"/>
      <c r="V652" s="1779"/>
      <c r="W652" s="1779"/>
      <c r="X652" s="1779"/>
      <c r="Y652" s="1779"/>
      <c r="Z652" s="1779"/>
      <c r="AA652" s="1779"/>
      <c r="AB652" s="1779"/>
      <c r="AC652" s="1779"/>
    </row>
    <row r="653" spans="1:29">
      <c r="A653" s="1779"/>
      <c r="B653" s="1779"/>
      <c r="C653" s="1779"/>
      <c r="D653" s="1779"/>
      <c r="E653" s="1779"/>
      <c r="F653" s="1779"/>
      <c r="G653" s="1779"/>
      <c r="H653" s="1779"/>
      <c r="I653" s="1779"/>
      <c r="J653" s="1779"/>
      <c r="K653" s="1780"/>
      <c r="L653" s="1781"/>
      <c r="M653" s="1779"/>
      <c r="N653" s="1779"/>
      <c r="O653" s="1779"/>
      <c r="P653" s="1816"/>
      <c r="Q653" s="1779"/>
      <c r="R653" s="1779"/>
      <c r="S653" s="1779"/>
      <c r="T653" s="1779"/>
      <c r="U653" s="1779"/>
      <c r="V653" s="1779"/>
      <c r="W653" s="1779"/>
      <c r="X653" s="1779"/>
      <c r="Y653" s="1779"/>
      <c r="Z653" s="1779"/>
      <c r="AA653" s="1779"/>
      <c r="AB653" s="1779"/>
      <c r="AC653" s="1779"/>
    </row>
    <row r="654" spans="1:29">
      <c r="A654" s="1779"/>
      <c r="B654" s="1779"/>
      <c r="C654" s="1779"/>
      <c r="D654" s="1779"/>
      <c r="E654" s="1779"/>
      <c r="F654" s="1779"/>
      <c r="G654" s="1779"/>
      <c r="H654" s="1779"/>
      <c r="I654" s="1779"/>
      <c r="J654" s="1779"/>
      <c r="K654" s="1780"/>
      <c r="L654" s="1781"/>
      <c r="M654" s="1779"/>
      <c r="N654" s="1779"/>
      <c r="O654" s="1779"/>
      <c r="P654" s="1816"/>
      <c r="Q654" s="1779"/>
      <c r="R654" s="1779"/>
      <c r="S654" s="1779"/>
      <c r="T654" s="1779"/>
      <c r="U654" s="1779"/>
      <c r="V654" s="1779"/>
      <c r="W654" s="1779"/>
      <c r="X654" s="1779"/>
      <c r="Y654" s="1779"/>
      <c r="Z654" s="1779"/>
      <c r="AA654" s="1779"/>
      <c r="AB654" s="1779"/>
      <c r="AC654" s="1779"/>
    </row>
    <row r="655" spans="1:29">
      <c r="A655" s="1779"/>
      <c r="B655" s="1779"/>
      <c r="C655" s="1779"/>
      <c r="D655" s="1779"/>
      <c r="E655" s="1779"/>
      <c r="F655" s="1779"/>
      <c r="G655" s="1779"/>
      <c r="H655" s="1779"/>
      <c r="I655" s="1779"/>
      <c r="J655" s="1779"/>
      <c r="K655" s="1780"/>
      <c r="L655" s="1781"/>
      <c r="M655" s="1779"/>
      <c r="N655" s="1779"/>
      <c r="O655" s="1779"/>
      <c r="P655" s="1816"/>
      <c r="Q655" s="1779"/>
      <c r="R655" s="1779"/>
      <c r="S655" s="1779"/>
      <c r="T655" s="1779"/>
      <c r="U655" s="1779"/>
      <c r="V655" s="1779"/>
      <c r="W655" s="1779"/>
      <c r="X655" s="1779"/>
      <c r="Y655" s="1779"/>
      <c r="Z655" s="1779"/>
      <c r="AA655" s="1779"/>
      <c r="AB655" s="1779"/>
      <c r="AC655" s="1779"/>
    </row>
    <row r="656" spans="1:29">
      <c r="A656" s="1779"/>
      <c r="B656" s="1779"/>
      <c r="C656" s="1779"/>
      <c r="D656" s="1779"/>
      <c r="E656" s="1779"/>
      <c r="F656" s="1779"/>
      <c r="G656" s="1779"/>
      <c r="H656" s="1779"/>
      <c r="I656" s="1779"/>
      <c r="J656" s="1779"/>
      <c r="K656" s="1780"/>
      <c r="L656" s="1781"/>
      <c r="M656" s="1779"/>
      <c r="N656" s="1779"/>
      <c r="O656" s="1779"/>
      <c r="P656" s="1816"/>
      <c r="Q656" s="1779"/>
      <c r="R656" s="1779"/>
      <c r="S656" s="1779"/>
      <c r="T656" s="1779"/>
      <c r="U656" s="1779"/>
      <c r="V656" s="1779"/>
      <c r="W656" s="1779"/>
      <c r="X656" s="1779"/>
      <c r="Y656" s="1779"/>
      <c r="Z656" s="1779"/>
      <c r="AA656" s="1779"/>
      <c r="AB656" s="1779"/>
      <c r="AC656" s="1779"/>
    </row>
    <row r="657" spans="1:29">
      <c r="A657" s="1779"/>
      <c r="B657" s="1779"/>
      <c r="C657" s="1779"/>
      <c r="D657" s="1779"/>
      <c r="E657" s="1779"/>
      <c r="F657" s="1779"/>
      <c r="G657" s="1779"/>
      <c r="H657" s="1779"/>
      <c r="I657" s="1779"/>
      <c r="J657" s="1779"/>
      <c r="K657" s="1780"/>
      <c r="L657" s="1781"/>
      <c r="M657" s="1779"/>
      <c r="N657" s="1779"/>
      <c r="O657" s="1779"/>
      <c r="P657" s="1816"/>
      <c r="Q657" s="1779"/>
      <c r="R657" s="1779"/>
      <c r="S657" s="1779"/>
      <c r="T657" s="1779"/>
      <c r="U657" s="1779"/>
      <c r="V657" s="1779"/>
      <c r="W657" s="1779"/>
      <c r="X657" s="1779"/>
      <c r="Y657" s="1779"/>
      <c r="Z657" s="1779"/>
      <c r="AA657" s="1779"/>
      <c r="AB657" s="1779"/>
      <c r="AC657" s="1779"/>
    </row>
    <row r="658" spans="1:29">
      <c r="A658" s="1779"/>
      <c r="B658" s="1779"/>
      <c r="C658" s="1779"/>
      <c r="D658" s="1779"/>
      <c r="E658" s="1779"/>
      <c r="F658" s="1779"/>
      <c r="G658" s="1779"/>
      <c r="H658" s="1779"/>
      <c r="I658" s="1779"/>
      <c r="J658" s="1779"/>
      <c r="K658" s="1780"/>
      <c r="L658" s="1781"/>
      <c r="M658" s="1779"/>
      <c r="N658" s="1779"/>
      <c r="O658" s="1779"/>
      <c r="P658" s="1816"/>
      <c r="Q658" s="1779"/>
      <c r="R658" s="1779"/>
      <c r="S658" s="1779"/>
      <c r="T658" s="1779"/>
      <c r="U658" s="1779"/>
      <c r="V658" s="1779"/>
      <c r="W658" s="1779"/>
      <c r="X658" s="1779"/>
      <c r="Y658" s="1779"/>
      <c r="Z658" s="1779"/>
      <c r="AA658" s="1779"/>
      <c r="AB658" s="1779"/>
      <c r="AC658" s="1779"/>
    </row>
    <row r="659" spans="1:29">
      <c r="A659" s="1779"/>
      <c r="B659" s="1779"/>
      <c r="C659" s="1779"/>
      <c r="D659" s="1779"/>
      <c r="E659" s="1779"/>
      <c r="F659" s="1779"/>
      <c r="G659" s="1779"/>
      <c r="H659" s="1779"/>
      <c r="I659" s="1779"/>
      <c r="J659" s="1779"/>
      <c r="K659" s="1780"/>
      <c r="L659" s="1781"/>
      <c r="M659" s="1779"/>
      <c r="N659" s="1779"/>
      <c r="O659" s="1779"/>
      <c r="P659" s="1816"/>
      <c r="Q659" s="1779"/>
      <c r="R659" s="1779"/>
      <c r="S659" s="1779"/>
      <c r="T659" s="1779"/>
      <c r="U659" s="1779"/>
      <c r="V659" s="1779"/>
      <c r="W659" s="1779"/>
      <c r="X659" s="1779"/>
      <c r="Y659" s="1779"/>
      <c r="Z659" s="1779"/>
      <c r="AA659" s="1779"/>
      <c r="AB659" s="1779"/>
      <c r="AC659" s="1779"/>
    </row>
    <row r="660" spans="1:29">
      <c r="A660" s="1779"/>
      <c r="B660" s="1779"/>
      <c r="C660" s="1779"/>
      <c r="D660" s="1779"/>
      <c r="E660" s="1779"/>
      <c r="F660" s="1779"/>
      <c r="G660" s="1779"/>
      <c r="H660" s="1779"/>
      <c r="I660" s="1779"/>
      <c r="J660" s="1779"/>
      <c r="K660" s="1780"/>
      <c r="L660" s="1781"/>
      <c r="M660" s="1779"/>
      <c r="N660" s="1779"/>
      <c r="O660" s="1779"/>
      <c r="P660" s="1816"/>
      <c r="Q660" s="1779"/>
      <c r="R660" s="1779"/>
      <c r="S660" s="1779"/>
      <c r="T660" s="1779"/>
      <c r="U660" s="1779"/>
      <c r="V660" s="1779"/>
      <c r="W660" s="1779"/>
      <c r="X660" s="1779"/>
      <c r="Y660" s="1779"/>
      <c r="Z660" s="1779"/>
      <c r="AA660" s="1779"/>
      <c r="AB660" s="1779"/>
      <c r="AC660" s="1779"/>
    </row>
    <row r="661" spans="1:29">
      <c r="A661" s="1779"/>
      <c r="B661" s="1779"/>
      <c r="C661" s="1779"/>
      <c r="D661" s="1779"/>
      <c r="E661" s="1779"/>
      <c r="F661" s="1779"/>
      <c r="G661" s="1779"/>
      <c r="H661" s="1779"/>
      <c r="I661" s="1779"/>
      <c r="J661" s="1779"/>
      <c r="K661" s="1780"/>
      <c r="L661" s="1781"/>
      <c r="M661" s="1779"/>
      <c r="N661" s="1779"/>
      <c r="O661" s="1779"/>
      <c r="P661" s="1816"/>
      <c r="Q661" s="1779"/>
      <c r="R661" s="1779"/>
      <c r="S661" s="1779"/>
      <c r="T661" s="1779"/>
      <c r="U661" s="1779"/>
      <c r="V661" s="1779"/>
      <c r="W661" s="1779"/>
      <c r="X661" s="1779"/>
      <c r="Y661" s="1779"/>
      <c r="Z661" s="1779"/>
      <c r="AA661" s="1779"/>
      <c r="AB661" s="1779"/>
      <c r="AC661" s="1779"/>
    </row>
    <row r="662" spans="1:29">
      <c r="A662" s="1779"/>
      <c r="B662" s="1779"/>
      <c r="C662" s="1779"/>
      <c r="D662" s="1779"/>
      <c r="E662" s="1779"/>
      <c r="F662" s="1779"/>
      <c r="G662" s="1779"/>
      <c r="H662" s="1779"/>
      <c r="I662" s="1779"/>
      <c r="J662" s="1779"/>
      <c r="K662" s="1780"/>
      <c r="L662" s="1781"/>
      <c r="M662" s="1779"/>
      <c r="N662" s="1779"/>
      <c r="O662" s="1779"/>
      <c r="P662" s="1816"/>
      <c r="Q662" s="1779"/>
      <c r="R662" s="1779"/>
      <c r="S662" s="1779"/>
      <c r="T662" s="1779"/>
      <c r="U662" s="1779"/>
      <c r="V662" s="1779"/>
      <c r="W662" s="1779"/>
      <c r="X662" s="1779"/>
      <c r="Y662" s="1779"/>
      <c r="Z662" s="1779"/>
      <c r="AA662" s="1779"/>
      <c r="AB662" s="1779"/>
      <c r="AC662" s="1779"/>
    </row>
    <row r="663" spans="1:29">
      <c r="A663" s="1779"/>
      <c r="B663" s="1779"/>
      <c r="C663" s="1779"/>
      <c r="D663" s="1779"/>
      <c r="E663" s="1779"/>
      <c r="F663" s="1779"/>
      <c r="G663" s="1779"/>
      <c r="H663" s="1779"/>
      <c r="I663" s="1779"/>
      <c r="J663" s="1779"/>
      <c r="K663" s="1780"/>
      <c r="L663" s="1781"/>
      <c r="M663" s="1779"/>
      <c r="N663" s="1779"/>
      <c r="O663" s="1779"/>
      <c r="P663" s="1816"/>
      <c r="Q663" s="1779"/>
      <c r="R663" s="1779"/>
      <c r="S663" s="1779"/>
      <c r="T663" s="1779"/>
      <c r="U663" s="1779"/>
      <c r="V663" s="1779"/>
      <c r="W663" s="1779"/>
      <c r="X663" s="1779"/>
      <c r="Y663" s="1779"/>
      <c r="Z663" s="1779"/>
      <c r="AA663" s="1779"/>
      <c r="AB663" s="1779"/>
      <c r="AC663" s="1779"/>
    </row>
    <row r="664" spans="1:29">
      <c r="A664" s="1779"/>
      <c r="B664" s="1779"/>
      <c r="C664" s="1779"/>
      <c r="D664" s="1779"/>
      <c r="E664" s="1779"/>
      <c r="F664" s="1779"/>
      <c r="G664" s="1779"/>
      <c r="H664" s="1779"/>
      <c r="I664" s="1779"/>
      <c r="J664" s="1779"/>
      <c r="K664" s="1780"/>
      <c r="L664" s="1781"/>
      <c r="M664" s="1779"/>
      <c r="N664" s="1779"/>
      <c r="O664" s="1779"/>
      <c r="P664" s="1816"/>
      <c r="Q664" s="1779"/>
      <c r="R664" s="1779"/>
      <c r="S664" s="1779"/>
      <c r="T664" s="1779"/>
      <c r="U664" s="1779"/>
      <c r="V664" s="1779"/>
      <c r="W664" s="1779"/>
      <c r="X664" s="1779"/>
      <c r="Y664" s="1779"/>
      <c r="Z664" s="1779"/>
      <c r="AA664" s="1779"/>
      <c r="AB664" s="1779"/>
      <c r="AC664" s="1779"/>
    </row>
    <row r="665" spans="1:29">
      <c r="A665" s="1779"/>
      <c r="B665" s="1779"/>
      <c r="C665" s="1779"/>
      <c r="D665" s="1779"/>
      <c r="E665" s="1779"/>
      <c r="F665" s="1779"/>
      <c r="G665" s="1779"/>
      <c r="H665" s="1779"/>
      <c r="I665" s="1779"/>
      <c r="J665" s="1779"/>
      <c r="K665" s="1780"/>
      <c r="L665" s="1781"/>
      <c r="M665" s="1779"/>
      <c r="N665" s="1779"/>
      <c r="O665" s="1779"/>
      <c r="P665" s="1816"/>
      <c r="Q665" s="1779"/>
      <c r="R665" s="1779"/>
      <c r="S665" s="1779"/>
      <c r="T665" s="1779"/>
      <c r="U665" s="1779"/>
      <c r="V665" s="1779"/>
      <c r="W665" s="1779"/>
      <c r="X665" s="1779"/>
      <c r="Y665" s="1779"/>
      <c r="Z665" s="1779"/>
      <c r="AA665" s="1779"/>
      <c r="AB665" s="1779"/>
      <c r="AC665" s="1779"/>
    </row>
    <row r="666" spans="1:29">
      <c r="A666" s="1779"/>
      <c r="B666" s="1779"/>
      <c r="C666" s="1779"/>
      <c r="D666" s="1779"/>
      <c r="E666" s="1779"/>
      <c r="F666" s="1779"/>
      <c r="G666" s="1779"/>
      <c r="H666" s="1779"/>
      <c r="I666" s="1779"/>
      <c r="J666" s="1779"/>
      <c r="K666" s="1780"/>
      <c r="L666" s="1781"/>
      <c r="M666" s="1779"/>
      <c r="N666" s="1779"/>
      <c r="O666" s="1779"/>
      <c r="P666" s="1816"/>
      <c r="Q666" s="1779"/>
      <c r="R666" s="1779"/>
      <c r="S666" s="1779"/>
      <c r="T666" s="1779"/>
      <c r="U666" s="1779"/>
      <c r="V666" s="1779"/>
      <c r="W666" s="1779"/>
      <c r="X666" s="1779"/>
      <c r="Y666" s="1779"/>
      <c r="Z666" s="1779"/>
      <c r="AA666" s="1779"/>
      <c r="AB666" s="1779"/>
      <c r="AC666" s="1779"/>
    </row>
    <row r="667" spans="1:29">
      <c r="A667" s="1779"/>
      <c r="B667" s="1779"/>
      <c r="C667" s="1779"/>
      <c r="D667" s="1779"/>
      <c r="E667" s="1779"/>
      <c r="F667" s="1779"/>
      <c r="G667" s="1779"/>
      <c r="H667" s="1779"/>
      <c r="I667" s="1779"/>
      <c r="J667" s="1779"/>
      <c r="K667" s="1780"/>
      <c r="L667" s="1781"/>
      <c r="M667" s="1779"/>
      <c r="N667" s="1779"/>
      <c r="O667" s="1779"/>
      <c r="P667" s="1816"/>
      <c r="Q667" s="1779"/>
      <c r="R667" s="1779"/>
      <c r="S667" s="1779"/>
      <c r="T667" s="1779"/>
      <c r="U667" s="1779"/>
      <c r="V667" s="1779"/>
      <c r="W667" s="1779"/>
      <c r="X667" s="1779"/>
      <c r="Y667" s="1779"/>
      <c r="Z667" s="1779"/>
      <c r="AA667" s="1779"/>
      <c r="AB667" s="1779"/>
      <c r="AC667" s="1779"/>
    </row>
    <row r="668" spans="1:29">
      <c r="A668" s="1779"/>
      <c r="B668" s="1779"/>
      <c r="C668" s="1779"/>
      <c r="D668" s="1779"/>
      <c r="E668" s="1779"/>
      <c r="F668" s="1779"/>
      <c r="G668" s="1779"/>
      <c r="H668" s="1779"/>
      <c r="I668" s="1779"/>
      <c r="J668" s="1779"/>
      <c r="K668" s="1780"/>
      <c r="L668" s="1781"/>
      <c r="M668" s="1779"/>
      <c r="N668" s="1779"/>
      <c r="O668" s="1779"/>
      <c r="P668" s="1816"/>
      <c r="Q668" s="1779"/>
      <c r="R668" s="1779"/>
      <c r="S668" s="1779"/>
      <c r="T668" s="1779"/>
      <c r="U668" s="1779"/>
      <c r="V668" s="1779"/>
      <c r="W668" s="1779"/>
      <c r="X668" s="1779"/>
      <c r="Y668" s="1779"/>
      <c r="Z668" s="1779"/>
      <c r="AA668" s="1779"/>
      <c r="AB668" s="1779"/>
      <c r="AC668" s="1779"/>
    </row>
    <row r="669" spans="1:29">
      <c r="A669" s="1779"/>
      <c r="B669" s="1779"/>
      <c r="C669" s="1779"/>
      <c r="D669" s="1779"/>
      <c r="E669" s="1779"/>
      <c r="F669" s="1779"/>
      <c r="G669" s="1779"/>
      <c r="H669" s="1779"/>
      <c r="I669" s="1779"/>
      <c r="J669" s="1779"/>
      <c r="K669" s="1780"/>
      <c r="L669" s="1781"/>
      <c r="M669" s="1779"/>
      <c r="N669" s="1779"/>
      <c r="O669" s="1779"/>
      <c r="P669" s="1816"/>
      <c r="Q669" s="1779"/>
      <c r="R669" s="1779"/>
      <c r="S669" s="1779"/>
      <c r="T669" s="1779"/>
      <c r="U669" s="1779"/>
      <c r="V669" s="1779"/>
      <c r="W669" s="1779"/>
      <c r="X669" s="1779"/>
      <c r="Y669" s="1779"/>
      <c r="Z669" s="1779"/>
      <c r="AA669" s="1779"/>
      <c r="AB669" s="1779"/>
      <c r="AC669" s="1779"/>
    </row>
    <row r="670" spans="1:29">
      <c r="A670" s="1779"/>
      <c r="B670" s="1779"/>
      <c r="C670" s="1779"/>
      <c r="D670" s="1779"/>
      <c r="E670" s="1779"/>
      <c r="F670" s="1779"/>
      <c r="G670" s="1779"/>
      <c r="H670" s="1779"/>
      <c r="I670" s="1779"/>
      <c r="J670" s="1779"/>
      <c r="K670" s="1780"/>
      <c r="L670" s="1781"/>
      <c r="M670" s="1779"/>
      <c r="N670" s="1779"/>
      <c r="O670" s="1779"/>
      <c r="P670" s="1816"/>
      <c r="Q670" s="1779"/>
      <c r="R670" s="1779"/>
      <c r="S670" s="1779"/>
      <c r="T670" s="1779"/>
      <c r="U670" s="1779"/>
      <c r="V670" s="1779"/>
      <c r="W670" s="1779"/>
      <c r="X670" s="1779"/>
      <c r="Y670" s="1779"/>
      <c r="Z670" s="1779"/>
      <c r="AA670" s="1779"/>
      <c r="AB670" s="1779"/>
      <c r="AC670" s="1779"/>
    </row>
    <row r="671" spans="1:29">
      <c r="A671" s="1779"/>
      <c r="B671" s="1779"/>
      <c r="C671" s="1779"/>
      <c r="D671" s="1779"/>
      <c r="E671" s="1779"/>
      <c r="F671" s="1779"/>
      <c r="G671" s="1779"/>
      <c r="H671" s="1779"/>
      <c r="I671" s="1779"/>
      <c r="J671" s="1779"/>
      <c r="K671" s="1780"/>
      <c r="L671" s="1781"/>
      <c r="M671" s="1779"/>
      <c r="N671" s="1779"/>
      <c r="O671" s="1779"/>
      <c r="P671" s="1816"/>
      <c r="Q671" s="1779"/>
      <c r="R671" s="1779"/>
      <c r="S671" s="1779"/>
      <c r="T671" s="1779"/>
      <c r="U671" s="1779"/>
      <c r="V671" s="1779"/>
      <c r="W671" s="1779"/>
      <c r="X671" s="1779"/>
      <c r="Y671" s="1779"/>
      <c r="Z671" s="1779"/>
      <c r="AA671" s="1779"/>
      <c r="AB671" s="1779"/>
      <c r="AC671" s="1779"/>
    </row>
    <row r="672" spans="1:29">
      <c r="A672" s="1779"/>
      <c r="B672" s="1779"/>
      <c r="C672" s="1779"/>
      <c r="D672" s="1779"/>
      <c r="E672" s="1779"/>
      <c r="F672" s="1779"/>
      <c r="G672" s="1779"/>
      <c r="H672" s="1779"/>
      <c r="I672" s="1779"/>
      <c r="J672" s="1779"/>
      <c r="K672" s="1780"/>
      <c r="L672" s="1781"/>
      <c r="M672" s="1779"/>
      <c r="N672" s="1779"/>
      <c r="O672" s="1779"/>
      <c r="P672" s="1816"/>
      <c r="Q672" s="1779"/>
      <c r="R672" s="1779"/>
      <c r="S672" s="1779"/>
      <c r="T672" s="1779"/>
      <c r="U672" s="1779"/>
      <c r="V672" s="1779"/>
      <c r="W672" s="1779"/>
      <c r="X672" s="1779"/>
      <c r="Y672" s="1779"/>
      <c r="Z672" s="1779"/>
      <c r="AA672" s="1779"/>
      <c r="AB672" s="1779"/>
      <c r="AC672" s="1779"/>
    </row>
    <row r="673" spans="1:29">
      <c r="A673" s="1779"/>
      <c r="B673" s="1779"/>
      <c r="C673" s="1779"/>
      <c r="D673" s="1779"/>
      <c r="E673" s="1779"/>
      <c r="F673" s="1779"/>
      <c r="G673" s="1779"/>
      <c r="H673" s="1779"/>
      <c r="I673" s="1779"/>
      <c r="J673" s="1779"/>
      <c r="K673" s="1780"/>
      <c r="L673" s="1781"/>
      <c r="M673" s="1779"/>
      <c r="N673" s="1779"/>
      <c r="O673" s="1779"/>
      <c r="P673" s="1816"/>
      <c r="Q673" s="1779"/>
      <c r="R673" s="1779"/>
      <c r="S673" s="1779"/>
      <c r="T673" s="1779"/>
      <c r="U673" s="1779"/>
      <c r="V673" s="1779"/>
      <c r="W673" s="1779"/>
      <c r="X673" s="1779"/>
      <c r="Y673" s="1779"/>
      <c r="Z673" s="1779"/>
      <c r="AA673" s="1779"/>
      <c r="AB673" s="1779"/>
      <c r="AC673" s="1779"/>
    </row>
    <row r="674" spans="1:29">
      <c r="A674" s="1779"/>
      <c r="B674" s="1779"/>
      <c r="C674" s="1779"/>
      <c r="D674" s="1779"/>
      <c r="E674" s="1779"/>
      <c r="F674" s="1779"/>
      <c r="G674" s="1779"/>
      <c r="H674" s="1779"/>
      <c r="I674" s="1779"/>
      <c r="J674" s="1779"/>
      <c r="K674" s="1780"/>
      <c r="L674" s="1781"/>
      <c r="M674" s="1779"/>
      <c r="N674" s="1779"/>
      <c r="O674" s="1779"/>
      <c r="P674" s="1816"/>
      <c r="Q674" s="1779"/>
      <c r="R674" s="1779"/>
      <c r="S674" s="1779"/>
      <c r="T674" s="1779"/>
      <c r="U674" s="1779"/>
      <c r="V674" s="1779"/>
      <c r="W674" s="1779"/>
      <c r="X674" s="1779"/>
      <c r="Y674" s="1779"/>
      <c r="Z674" s="1779"/>
      <c r="AA674" s="1779"/>
      <c r="AB674" s="1779"/>
      <c r="AC674" s="1779"/>
    </row>
    <row r="675" spans="1:29">
      <c r="A675" s="1779"/>
      <c r="B675" s="1779"/>
      <c r="C675" s="1779"/>
      <c r="D675" s="1779"/>
      <c r="E675" s="1779"/>
      <c r="F675" s="1779"/>
      <c r="G675" s="1779"/>
      <c r="H675" s="1779"/>
      <c r="I675" s="1779"/>
      <c r="J675" s="1779"/>
      <c r="K675" s="1780"/>
      <c r="L675" s="1781"/>
      <c r="M675" s="1779"/>
      <c r="N675" s="1779"/>
      <c r="O675" s="1779"/>
      <c r="P675" s="1816"/>
      <c r="Q675" s="1779"/>
      <c r="R675" s="1779"/>
      <c r="S675" s="1779"/>
      <c r="T675" s="1779"/>
      <c r="U675" s="1779"/>
      <c r="V675" s="1779"/>
      <c r="W675" s="1779"/>
      <c r="X675" s="1779"/>
      <c r="Y675" s="1779"/>
      <c r="Z675" s="1779"/>
      <c r="AA675" s="1779"/>
      <c r="AB675" s="1779"/>
      <c r="AC675" s="1779"/>
    </row>
    <row r="676" spans="1:29">
      <c r="A676" s="1779"/>
      <c r="B676" s="1779"/>
      <c r="C676" s="1779"/>
      <c r="D676" s="1779"/>
      <c r="E676" s="1779"/>
      <c r="F676" s="1779"/>
      <c r="G676" s="1779"/>
      <c r="H676" s="1779"/>
      <c r="I676" s="1779"/>
      <c r="J676" s="1779"/>
      <c r="K676" s="1780"/>
      <c r="L676" s="1781"/>
      <c r="M676" s="1779"/>
      <c r="N676" s="1779"/>
      <c r="O676" s="1779"/>
      <c r="P676" s="1816"/>
      <c r="Q676" s="1779"/>
      <c r="R676" s="1779"/>
      <c r="S676" s="1779"/>
      <c r="T676" s="1779"/>
      <c r="U676" s="1779"/>
      <c r="V676" s="1779"/>
      <c r="W676" s="1779"/>
      <c r="X676" s="1779"/>
      <c r="Y676" s="1779"/>
      <c r="Z676" s="1779"/>
      <c r="AA676" s="1779"/>
      <c r="AB676" s="1779"/>
      <c r="AC676" s="1779"/>
    </row>
    <row r="677" spans="1:29">
      <c r="A677" s="1779"/>
      <c r="B677" s="1779"/>
      <c r="C677" s="1779"/>
      <c r="D677" s="1779"/>
      <c r="E677" s="1779"/>
      <c r="F677" s="1779"/>
      <c r="G677" s="1779"/>
      <c r="H677" s="1779"/>
      <c r="I677" s="1779"/>
      <c r="J677" s="1779"/>
      <c r="K677" s="1780"/>
      <c r="L677" s="1781"/>
      <c r="M677" s="1779"/>
      <c r="N677" s="1779"/>
      <c r="O677" s="1779"/>
      <c r="P677" s="1816"/>
      <c r="Q677" s="1779"/>
      <c r="R677" s="1779"/>
      <c r="S677" s="1779"/>
      <c r="T677" s="1779"/>
      <c r="U677" s="1779"/>
      <c r="V677" s="1779"/>
      <c r="W677" s="1779"/>
      <c r="X677" s="1779"/>
      <c r="Y677" s="1779"/>
      <c r="Z677" s="1779"/>
      <c r="AA677" s="1779"/>
      <c r="AB677" s="1779"/>
      <c r="AC677" s="1779"/>
    </row>
    <row r="678" spans="1:29">
      <c r="A678" s="1779"/>
      <c r="B678" s="1779"/>
      <c r="C678" s="1779"/>
      <c r="D678" s="1779"/>
      <c r="E678" s="1779"/>
      <c r="F678" s="1779"/>
      <c r="G678" s="1779"/>
      <c r="H678" s="1779"/>
      <c r="I678" s="1779"/>
      <c r="J678" s="1779"/>
      <c r="K678" s="1780"/>
      <c r="L678" s="1781"/>
      <c r="M678" s="1779"/>
      <c r="N678" s="1779"/>
      <c r="O678" s="1779"/>
      <c r="P678" s="1816"/>
      <c r="Q678" s="1779"/>
      <c r="R678" s="1779"/>
      <c r="S678" s="1779"/>
      <c r="T678" s="1779"/>
      <c r="U678" s="1779"/>
      <c r="V678" s="1779"/>
      <c r="W678" s="1779"/>
      <c r="X678" s="1779"/>
      <c r="Y678" s="1779"/>
      <c r="Z678" s="1779"/>
      <c r="AA678" s="1779"/>
      <c r="AB678" s="1779"/>
      <c r="AC678" s="1779"/>
    </row>
    <row r="679" spans="1:29">
      <c r="A679" s="1779"/>
      <c r="B679" s="1779"/>
      <c r="C679" s="1779"/>
      <c r="D679" s="1779"/>
      <c r="E679" s="1779"/>
      <c r="F679" s="1779"/>
      <c r="G679" s="1779"/>
      <c r="H679" s="1779"/>
      <c r="I679" s="1779"/>
      <c r="J679" s="1779"/>
      <c r="K679" s="1780"/>
      <c r="L679" s="1781"/>
      <c r="M679" s="1779"/>
      <c r="N679" s="1779"/>
      <c r="O679" s="1779"/>
      <c r="P679" s="1816"/>
      <c r="Q679" s="1779"/>
      <c r="R679" s="1779"/>
      <c r="S679" s="1779"/>
      <c r="T679" s="1779"/>
      <c r="U679" s="1779"/>
      <c r="V679" s="1779"/>
      <c r="W679" s="1779"/>
      <c r="X679" s="1779"/>
      <c r="Y679" s="1779"/>
      <c r="Z679" s="1779"/>
      <c r="AA679" s="1779"/>
      <c r="AB679" s="1779"/>
      <c r="AC679" s="1779"/>
    </row>
    <row r="680" spans="1:29">
      <c r="A680" s="1779"/>
      <c r="B680" s="1779"/>
      <c r="C680" s="1779"/>
      <c r="D680" s="1779"/>
      <c r="E680" s="1779"/>
      <c r="F680" s="1779"/>
      <c r="G680" s="1779"/>
      <c r="H680" s="1779"/>
      <c r="I680" s="1779"/>
      <c r="J680" s="1779"/>
      <c r="K680" s="1780"/>
      <c r="L680" s="1781"/>
      <c r="M680" s="1779"/>
      <c r="N680" s="1779"/>
      <c r="O680" s="1779"/>
      <c r="P680" s="1816"/>
      <c r="Q680" s="1779"/>
      <c r="R680" s="1779"/>
      <c r="S680" s="1779"/>
      <c r="T680" s="1779"/>
      <c r="U680" s="1779"/>
      <c r="V680" s="1779"/>
      <c r="W680" s="1779"/>
      <c r="X680" s="1779"/>
      <c r="Y680" s="1779"/>
      <c r="Z680" s="1779"/>
      <c r="AA680" s="1779"/>
      <c r="AB680" s="1779"/>
      <c r="AC680" s="1779"/>
    </row>
    <row r="681" spans="1:29">
      <c r="A681" s="1779"/>
      <c r="B681" s="1779"/>
      <c r="C681" s="1779"/>
      <c r="D681" s="1779"/>
      <c r="E681" s="1779"/>
      <c r="F681" s="1779"/>
      <c r="G681" s="1779"/>
      <c r="H681" s="1779"/>
      <c r="I681" s="1779"/>
      <c r="J681" s="1779"/>
      <c r="K681" s="1780"/>
      <c r="L681" s="1781"/>
      <c r="M681" s="1779"/>
      <c r="N681" s="1779"/>
      <c r="O681" s="1779"/>
      <c r="P681" s="1816"/>
      <c r="Q681" s="1779"/>
      <c r="R681" s="1779"/>
      <c r="S681" s="1779"/>
      <c r="T681" s="1779"/>
      <c r="U681" s="1779"/>
      <c r="V681" s="1779"/>
      <c r="W681" s="1779"/>
      <c r="X681" s="1779"/>
      <c r="Y681" s="1779"/>
      <c r="Z681" s="1779"/>
      <c r="AA681" s="1779"/>
      <c r="AB681" s="1779"/>
      <c r="AC681" s="1779"/>
    </row>
    <row r="682" spans="1:29">
      <c r="A682" s="1779"/>
      <c r="B682" s="1779"/>
      <c r="C682" s="1779"/>
      <c r="D682" s="1779"/>
      <c r="E682" s="1779"/>
      <c r="F682" s="1779"/>
      <c r="G682" s="1779"/>
      <c r="H682" s="1779"/>
      <c r="I682" s="1779"/>
      <c r="J682" s="1779"/>
      <c r="K682" s="1780"/>
      <c r="L682" s="1781"/>
      <c r="M682" s="1779"/>
      <c r="N682" s="1779"/>
      <c r="O682" s="1779"/>
      <c r="P682" s="1816"/>
      <c r="Q682" s="1779"/>
      <c r="R682" s="1779"/>
      <c r="S682" s="1779"/>
      <c r="T682" s="1779"/>
      <c r="U682" s="1779"/>
      <c r="V682" s="1779"/>
      <c r="W682" s="1779"/>
      <c r="X682" s="1779"/>
      <c r="Y682" s="1779"/>
      <c r="Z682" s="1779"/>
      <c r="AA682" s="1779"/>
      <c r="AB682" s="1779"/>
      <c r="AC682" s="1779"/>
    </row>
    <row r="683" spans="1:29">
      <c r="A683" s="1779"/>
      <c r="B683" s="1779"/>
      <c r="C683" s="1779"/>
      <c r="D683" s="1779"/>
      <c r="E683" s="1779"/>
      <c r="F683" s="1779"/>
      <c r="G683" s="1779"/>
      <c r="H683" s="1779"/>
      <c r="I683" s="1779"/>
      <c r="J683" s="1779"/>
      <c r="K683" s="1780"/>
      <c r="L683" s="1781"/>
      <c r="M683" s="1779"/>
      <c r="N683" s="1779"/>
      <c r="O683" s="1779"/>
      <c r="P683" s="1816"/>
      <c r="Q683" s="1779"/>
      <c r="R683" s="1779"/>
      <c r="S683" s="1779"/>
      <c r="T683" s="1779"/>
      <c r="U683" s="1779"/>
      <c r="V683" s="1779"/>
      <c r="W683" s="1779"/>
      <c r="X683" s="1779"/>
      <c r="Y683" s="1779"/>
      <c r="Z683" s="1779"/>
      <c r="AA683" s="1779"/>
      <c r="AB683" s="1779"/>
      <c r="AC683" s="1779"/>
    </row>
    <row r="684" spans="1:29">
      <c r="A684" s="1779"/>
      <c r="B684" s="1779"/>
      <c r="C684" s="1779"/>
      <c r="D684" s="1779"/>
      <c r="E684" s="1779"/>
      <c r="F684" s="1779"/>
      <c r="G684" s="1779"/>
      <c r="H684" s="1779"/>
      <c r="I684" s="1779"/>
      <c r="J684" s="1779"/>
      <c r="K684" s="1780"/>
      <c r="L684" s="1781"/>
      <c r="M684" s="1779"/>
      <c r="N684" s="1779"/>
      <c r="O684" s="1779"/>
      <c r="P684" s="1816"/>
      <c r="Q684" s="1779"/>
      <c r="R684" s="1779"/>
      <c r="S684" s="1779"/>
      <c r="T684" s="1779"/>
      <c r="U684" s="1779"/>
      <c r="V684" s="1779"/>
      <c r="W684" s="1779"/>
      <c r="X684" s="1779"/>
      <c r="Y684" s="1779"/>
      <c r="Z684" s="1779"/>
      <c r="AA684" s="1779"/>
      <c r="AB684" s="1779"/>
      <c r="AC684" s="1779"/>
    </row>
    <row r="685" spans="1:29">
      <c r="A685" s="1779"/>
      <c r="B685" s="1779"/>
      <c r="C685" s="1779"/>
      <c r="D685" s="1779"/>
      <c r="E685" s="1779"/>
      <c r="F685" s="1779"/>
      <c r="G685" s="1779"/>
      <c r="H685" s="1779"/>
      <c r="I685" s="1779"/>
      <c r="J685" s="1779"/>
      <c r="K685" s="1780"/>
      <c r="L685" s="1781"/>
      <c r="M685" s="1779"/>
      <c r="N685" s="1779"/>
      <c r="O685" s="1779"/>
      <c r="P685" s="1816"/>
      <c r="Q685" s="1779"/>
      <c r="R685" s="1779"/>
      <c r="S685" s="1779"/>
      <c r="T685" s="1779"/>
      <c r="U685" s="1779"/>
      <c r="V685" s="1779"/>
      <c r="W685" s="1779"/>
      <c r="X685" s="1779"/>
      <c r="Y685" s="1779"/>
      <c r="Z685" s="1779"/>
      <c r="AA685" s="1779"/>
      <c r="AB685" s="1779"/>
      <c r="AC685" s="1779"/>
    </row>
    <row r="686" spans="1:29">
      <c r="A686" s="1779"/>
      <c r="B686" s="1779"/>
      <c r="C686" s="1779"/>
      <c r="D686" s="1779"/>
      <c r="E686" s="1779"/>
      <c r="F686" s="1779"/>
      <c r="G686" s="1779"/>
      <c r="H686" s="1779"/>
      <c r="I686" s="1779"/>
      <c r="J686" s="1779"/>
      <c r="K686" s="1780"/>
      <c r="L686" s="1781"/>
      <c r="M686" s="1779"/>
      <c r="N686" s="1779"/>
      <c r="O686" s="1779"/>
      <c r="P686" s="1816"/>
      <c r="Q686" s="1779"/>
      <c r="R686" s="1779"/>
      <c r="S686" s="1779"/>
      <c r="T686" s="1779"/>
      <c r="U686" s="1779"/>
      <c r="V686" s="1779"/>
      <c r="W686" s="1779"/>
      <c r="X686" s="1779"/>
      <c r="Y686" s="1779"/>
      <c r="Z686" s="1779"/>
      <c r="AA686" s="1779"/>
      <c r="AB686" s="1779"/>
      <c r="AC686" s="1779"/>
    </row>
    <row r="687" spans="1:29">
      <c r="A687" s="1779"/>
      <c r="B687" s="1779"/>
      <c r="C687" s="1779"/>
      <c r="D687" s="1779"/>
      <c r="E687" s="1779"/>
      <c r="F687" s="1779"/>
      <c r="G687" s="1779"/>
      <c r="H687" s="1779"/>
      <c r="I687" s="1779"/>
      <c r="J687" s="1779"/>
      <c r="K687" s="1780"/>
      <c r="L687" s="1781"/>
      <c r="M687" s="1779"/>
      <c r="N687" s="1779"/>
      <c r="O687" s="1779"/>
      <c r="P687" s="1816"/>
      <c r="Q687" s="1779"/>
      <c r="R687" s="1779"/>
      <c r="S687" s="1779"/>
      <c r="T687" s="1779"/>
      <c r="U687" s="1779"/>
      <c r="V687" s="1779"/>
      <c r="W687" s="1779"/>
      <c r="X687" s="1779"/>
      <c r="Y687" s="1779"/>
      <c r="Z687" s="1779"/>
      <c r="AA687" s="1779"/>
      <c r="AB687" s="1779"/>
      <c r="AC687" s="1779"/>
    </row>
    <row r="688" spans="1:29">
      <c r="A688" s="1779"/>
      <c r="B688" s="1779"/>
      <c r="C688" s="1779"/>
      <c r="D688" s="1779"/>
      <c r="E688" s="1779"/>
      <c r="F688" s="1779"/>
      <c r="G688" s="1779"/>
      <c r="H688" s="1779"/>
      <c r="I688" s="1779"/>
      <c r="J688" s="1779"/>
      <c r="K688" s="1780"/>
      <c r="L688" s="1781"/>
      <c r="M688" s="1779"/>
      <c r="N688" s="1779"/>
      <c r="O688" s="1779"/>
      <c r="P688" s="1816"/>
      <c r="Q688" s="1779"/>
      <c r="R688" s="1779"/>
      <c r="S688" s="1779"/>
      <c r="T688" s="1779"/>
      <c r="U688" s="1779"/>
      <c r="V688" s="1779"/>
      <c r="W688" s="1779"/>
      <c r="X688" s="1779"/>
      <c r="Y688" s="1779"/>
      <c r="Z688" s="1779"/>
      <c r="AA688" s="1779"/>
      <c r="AB688" s="1779"/>
      <c r="AC688" s="1779"/>
    </row>
    <row r="689" spans="1:29">
      <c r="A689" s="1779"/>
      <c r="B689" s="1779"/>
      <c r="C689" s="1779"/>
      <c r="D689" s="1779"/>
      <c r="E689" s="1779"/>
      <c r="F689" s="1779"/>
      <c r="G689" s="1779"/>
      <c r="H689" s="1779"/>
      <c r="I689" s="1779"/>
      <c r="J689" s="1779"/>
      <c r="K689" s="1780"/>
      <c r="L689" s="1781"/>
      <c r="M689" s="1779"/>
      <c r="N689" s="1779"/>
      <c r="O689" s="1779"/>
      <c r="P689" s="1816"/>
      <c r="Q689" s="1779"/>
      <c r="R689" s="1779"/>
      <c r="S689" s="1779"/>
      <c r="T689" s="1779"/>
      <c r="U689" s="1779"/>
      <c r="V689" s="1779"/>
      <c r="W689" s="1779"/>
      <c r="X689" s="1779"/>
      <c r="Y689" s="1779"/>
      <c r="Z689" s="1779"/>
      <c r="AA689" s="1779"/>
      <c r="AB689" s="1779"/>
      <c r="AC689" s="1779"/>
    </row>
    <row r="690" spans="1:29">
      <c r="A690" s="1779"/>
      <c r="B690" s="1779"/>
      <c r="C690" s="1779"/>
      <c r="D690" s="1779"/>
      <c r="E690" s="1779"/>
      <c r="F690" s="1779"/>
      <c r="G690" s="1779"/>
      <c r="H690" s="1779"/>
      <c r="I690" s="1779"/>
      <c r="J690" s="1779"/>
      <c r="K690" s="1780"/>
      <c r="L690" s="1781"/>
      <c r="M690" s="1779"/>
      <c r="N690" s="1779"/>
      <c r="O690" s="1779"/>
      <c r="P690" s="1816"/>
      <c r="Q690" s="1779"/>
      <c r="R690" s="1779"/>
      <c r="S690" s="1779"/>
      <c r="T690" s="1779"/>
      <c r="U690" s="1779"/>
      <c r="V690" s="1779"/>
      <c r="W690" s="1779"/>
      <c r="X690" s="1779"/>
      <c r="Y690" s="1779"/>
      <c r="Z690" s="1779"/>
      <c r="AA690" s="1779"/>
      <c r="AB690" s="1779"/>
      <c r="AC690" s="1779"/>
    </row>
    <row r="691" spans="1:29">
      <c r="A691" s="1779"/>
      <c r="B691" s="1779"/>
      <c r="C691" s="1779"/>
      <c r="D691" s="1779"/>
      <c r="E691" s="1779"/>
      <c r="F691" s="1779"/>
      <c r="G691" s="1779"/>
      <c r="H691" s="1779"/>
      <c r="I691" s="1779"/>
      <c r="J691" s="1779"/>
      <c r="K691" s="1780"/>
      <c r="L691" s="1781"/>
      <c r="M691" s="1779"/>
      <c r="N691" s="1779"/>
      <c r="O691" s="1779"/>
      <c r="P691" s="1816"/>
      <c r="Q691" s="1779"/>
      <c r="R691" s="1779"/>
      <c r="S691" s="1779"/>
      <c r="T691" s="1779"/>
      <c r="U691" s="1779"/>
      <c r="V691" s="1779"/>
      <c r="W691" s="1779"/>
      <c r="X691" s="1779"/>
      <c r="Y691" s="1779"/>
      <c r="Z691" s="1779"/>
      <c r="AA691" s="1779"/>
      <c r="AB691" s="1779"/>
      <c r="AC691" s="1779"/>
    </row>
    <row r="692" spans="1:29">
      <c r="A692" s="1779"/>
      <c r="B692" s="1779"/>
      <c r="C692" s="1779"/>
      <c r="D692" s="1779"/>
      <c r="E692" s="1779"/>
      <c r="F692" s="1779"/>
      <c r="G692" s="1779"/>
      <c r="H692" s="1779"/>
      <c r="I692" s="1779"/>
      <c r="J692" s="1779"/>
      <c r="K692" s="1780"/>
      <c r="L692" s="1781"/>
      <c r="M692" s="1779"/>
      <c r="N692" s="1779"/>
      <c r="O692" s="1779"/>
      <c r="P692" s="1816"/>
      <c r="Q692" s="1779"/>
      <c r="R692" s="1779"/>
      <c r="S692" s="1779"/>
      <c r="T692" s="1779"/>
      <c r="U692" s="1779"/>
      <c r="V692" s="1779"/>
      <c r="W692" s="1779"/>
      <c r="X692" s="1779"/>
      <c r="Y692" s="1779"/>
      <c r="Z692" s="1779"/>
      <c r="AA692" s="1779"/>
      <c r="AB692" s="1779"/>
      <c r="AC692" s="1779"/>
    </row>
    <row r="693" spans="1:29">
      <c r="A693" s="1779"/>
      <c r="B693" s="1779"/>
      <c r="C693" s="1779"/>
      <c r="D693" s="1779"/>
      <c r="E693" s="1779"/>
      <c r="F693" s="1779"/>
      <c r="G693" s="1779"/>
      <c r="H693" s="1779"/>
      <c r="I693" s="1779"/>
      <c r="J693" s="1779"/>
      <c r="K693" s="1780"/>
      <c r="L693" s="1781"/>
      <c r="M693" s="1779"/>
      <c r="N693" s="1779"/>
      <c r="O693" s="1779"/>
      <c r="P693" s="1816"/>
      <c r="Q693" s="1779"/>
      <c r="R693" s="1779"/>
      <c r="S693" s="1779"/>
      <c r="T693" s="1779"/>
      <c r="U693" s="1779"/>
      <c r="V693" s="1779"/>
      <c r="W693" s="1779"/>
      <c r="X693" s="1779"/>
      <c r="Y693" s="1779"/>
      <c r="Z693" s="1779"/>
      <c r="AA693" s="1779"/>
      <c r="AB693" s="1779"/>
      <c r="AC693" s="1779"/>
    </row>
    <row r="694" spans="1:29">
      <c r="A694" s="1779"/>
      <c r="B694" s="1779"/>
      <c r="C694" s="1779"/>
      <c r="D694" s="1779"/>
      <c r="E694" s="1779"/>
      <c r="F694" s="1779"/>
      <c r="G694" s="1779"/>
      <c r="H694" s="1779"/>
      <c r="I694" s="1779"/>
      <c r="J694" s="1779"/>
      <c r="K694" s="1780"/>
      <c r="L694" s="1781"/>
      <c r="M694" s="1779"/>
      <c r="N694" s="1779"/>
      <c r="O694" s="1779"/>
      <c r="P694" s="1816"/>
      <c r="Q694" s="1779"/>
      <c r="R694" s="1779"/>
      <c r="S694" s="1779"/>
      <c r="T694" s="1779"/>
      <c r="U694" s="1779"/>
      <c r="V694" s="1779"/>
      <c r="W694" s="1779"/>
      <c r="X694" s="1779"/>
      <c r="Y694" s="1779"/>
      <c r="Z694" s="1779"/>
      <c r="AA694" s="1779"/>
      <c r="AB694" s="1779"/>
      <c r="AC694" s="1779"/>
    </row>
    <row r="695" spans="1:29">
      <c r="A695" s="1779"/>
      <c r="B695" s="1779"/>
      <c r="C695" s="1779"/>
      <c r="D695" s="1779"/>
      <c r="E695" s="1779"/>
      <c r="F695" s="1779"/>
      <c r="G695" s="1779"/>
      <c r="H695" s="1779"/>
      <c r="I695" s="1779"/>
      <c r="J695" s="1779"/>
      <c r="K695" s="1780"/>
      <c r="L695" s="1781"/>
      <c r="M695" s="1779"/>
      <c r="N695" s="1779"/>
      <c r="O695" s="1779"/>
      <c r="P695" s="1816"/>
      <c r="Q695" s="1779"/>
      <c r="R695" s="1779"/>
      <c r="S695" s="1779"/>
      <c r="T695" s="1779"/>
      <c r="U695" s="1779"/>
      <c r="V695" s="1779"/>
      <c r="W695" s="1779"/>
      <c r="X695" s="1779"/>
      <c r="Y695" s="1779"/>
      <c r="Z695" s="1779"/>
      <c r="AA695" s="1779"/>
      <c r="AB695" s="1779"/>
      <c r="AC695" s="1779"/>
    </row>
    <row r="696" spans="1:29">
      <c r="A696" s="1779"/>
      <c r="B696" s="1779"/>
      <c r="C696" s="1779"/>
      <c r="D696" s="1779"/>
      <c r="E696" s="1779"/>
      <c r="F696" s="1779"/>
      <c r="G696" s="1779"/>
      <c r="H696" s="1779"/>
      <c r="I696" s="1779"/>
      <c r="J696" s="1779"/>
      <c r="K696" s="1780"/>
      <c r="L696" s="1781"/>
      <c r="M696" s="1779"/>
      <c r="N696" s="1779"/>
      <c r="O696" s="1779"/>
      <c r="P696" s="1816"/>
      <c r="Q696" s="1779"/>
      <c r="R696" s="1779"/>
      <c r="S696" s="1779"/>
      <c r="T696" s="1779"/>
      <c r="U696" s="1779"/>
      <c r="V696" s="1779"/>
      <c r="W696" s="1779"/>
      <c r="X696" s="1779"/>
      <c r="Y696" s="1779"/>
      <c r="Z696" s="1779"/>
      <c r="AA696" s="1779"/>
      <c r="AB696" s="1779"/>
      <c r="AC696" s="1779"/>
    </row>
    <row r="697" spans="1:29">
      <c r="A697" s="1779"/>
      <c r="B697" s="1779"/>
      <c r="C697" s="1779"/>
      <c r="D697" s="1779"/>
      <c r="E697" s="1779"/>
      <c r="F697" s="1779"/>
      <c r="G697" s="1779"/>
      <c r="H697" s="1779"/>
      <c r="I697" s="1779"/>
      <c r="J697" s="1779"/>
      <c r="K697" s="1780"/>
      <c r="L697" s="1781"/>
      <c r="M697" s="1779"/>
      <c r="N697" s="1779"/>
      <c r="O697" s="1779"/>
      <c r="P697" s="1816"/>
      <c r="Q697" s="1779"/>
      <c r="R697" s="1779"/>
      <c r="S697" s="1779"/>
      <c r="T697" s="1779"/>
      <c r="U697" s="1779"/>
      <c r="V697" s="1779"/>
      <c r="W697" s="1779"/>
      <c r="X697" s="1779"/>
      <c r="Y697" s="1779"/>
      <c r="Z697" s="1779"/>
      <c r="AA697" s="1779"/>
      <c r="AB697" s="1779"/>
      <c r="AC697" s="1779"/>
    </row>
    <row r="698" spans="1:29">
      <c r="A698" s="1779"/>
      <c r="B698" s="1779"/>
      <c r="C698" s="1779"/>
      <c r="D698" s="1779"/>
      <c r="E698" s="1779"/>
      <c r="F698" s="1779"/>
      <c r="G698" s="1779"/>
      <c r="H698" s="1779"/>
      <c r="I698" s="1779"/>
      <c r="J698" s="1779"/>
      <c r="K698" s="1780"/>
      <c r="L698" s="1781"/>
      <c r="M698" s="1779"/>
      <c r="N698" s="1779"/>
      <c r="O698" s="1779"/>
      <c r="P698" s="1816"/>
      <c r="Q698" s="1779"/>
      <c r="R698" s="1779"/>
      <c r="S698" s="1779"/>
      <c r="T698" s="1779"/>
      <c r="U698" s="1779"/>
      <c r="V698" s="1779"/>
      <c r="W698" s="1779"/>
      <c r="X698" s="1779"/>
      <c r="Y698" s="1779"/>
      <c r="Z698" s="1779"/>
      <c r="AA698" s="1779"/>
      <c r="AB698" s="1779"/>
      <c r="AC698" s="1779"/>
    </row>
    <row r="699" spans="1:29">
      <c r="A699" s="1779"/>
      <c r="B699" s="1779"/>
      <c r="C699" s="1779"/>
      <c r="D699" s="1779"/>
      <c r="E699" s="1779"/>
      <c r="F699" s="1779"/>
      <c r="G699" s="1779"/>
      <c r="H699" s="1779"/>
      <c r="I699" s="1779"/>
      <c r="J699" s="1779"/>
      <c r="K699" s="1780"/>
      <c r="L699" s="1781"/>
      <c r="M699" s="1779"/>
      <c r="N699" s="1779"/>
      <c r="O699" s="1779"/>
      <c r="P699" s="1816"/>
      <c r="Q699" s="1779"/>
      <c r="R699" s="1779"/>
      <c r="S699" s="1779"/>
      <c r="T699" s="1779"/>
      <c r="U699" s="1779"/>
      <c r="V699" s="1779"/>
      <c r="W699" s="1779"/>
      <c r="X699" s="1779"/>
      <c r="Y699" s="1779"/>
      <c r="Z699" s="1779"/>
      <c r="AA699" s="1779"/>
      <c r="AB699" s="1779"/>
      <c r="AC699" s="1779"/>
    </row>
    <row r="700" spans="1:29">
      <c r="A700" s="1779"/>
      <c r="B700" s="1779"/>
      <c r="C700" s="1779"/>
      <c r="D700" s="1779"/>
      <c r="E700" s="1779"/>
      <c r="F700" s="1779"/>
      <c r="G700" s="1779"/>
      <c r="H700" s="1779"/>
      <c r="I700" s="1779"/>
      <c r="J700" s="1779"/>
      <c r="K700" s="1780"/>
      <c r="L700" s="1781"/>
      <c r="M700" s="1779"/>
      <c r="N700" s="1779"/>
      <c r="O700" s="1779"/>
      <c r="P700" s="1816"/>
      <c r="Q700" s="1779"/>
      <c r="R700" s="1779"/>
      <c r="S700" s="1779"/>
      <c r="T700" s="1779"/>
      <c r="U700" s="1779"/>
      <c r="V700" s="1779"/>
      <c r="W700" s="1779"/>
      <c r="X700" s="1779"/>
      <c r="Y700" s="1779"/>
      <c r="Z700" s="1779"/>
      <c r="AA700" s="1779"/>
      <c r="AB700" s="1779"/>
      <c r="AC700" s="1779"/>
    </row>
    <row r="701" spans="1:29">
      <c r="A701" s="1779"/>
      <c r="B701" s="1779"/>
      <c r="C701" s="1779"/>
      <c r="D701" s="1779"/>
      <c r="E701" s="1779"/>
      <c r="F701" s="1779"/>
      <c r="G701" s="1779"/>
      <c r="H701" s="1779"/>
      <c r="I701" s="1779"/>
      <c r="J701" s="1779"/>
      <c r="K701" s="1780"/>
      <c r="L701" s="1781"/>
      <c r="M701" s="1779"/>
      <c r="N701" s="1779"/>
      <c r="O701" s="1779"/>
      <c r="P701" s="1816"/>
      <c r="Q701" s="1779"/>
      <c r="R701" s="1779"/>
      <c r="S701" s="1779"/>
      <c r="T701" s="1779"/>
      <c r="U701" s="1779"/>
      <c r="V701" s="1779"/>
      <c r="W701" s="1779"/>
      <c r="X701" s="1779"/>
      <c r="Y701" s="1779"/>
      <c r="Z701" s="1779"/>
      <c r="AA701" s="1779"/>
      <c r="AB701" s="1779"/>
      <c r="AC701" s="1779"/>
    </row>
    <row r="702" spans="1:29">
      <c r="A702" s="1779"/>
      <c r="B702" s="1779"/>
      <c r="C702" s="1779"/>
      <c r="D702" s="1779"/>
      <c r="E702" s="1779"/>
      <c r="F702" s="1779"/>
      <c r="G702" s="1779"/>
      <c r="H702" s="1779"/>
      <c r="I702" s="1779"/>
      <c r="J702" s="1779"/>
      <c r="K702" s="1780"/>
      <c r="L702" s="1781"/>
      <c r="M702" s="1779"/>
      <c r="N702" s="1779"/>
      <c r="O702" s="1779"/>
      <c r="P702" s="1816"/>
      <c r="Q702" s="1779"/>
      <c r="R702" s="1779"/>
      <c r="S702" s="1779"/>
      <c r="T702" s="1779"/>
      <c r="U702" s="1779"/>
      <c r="V702" s="1779"/>
      <c r="W702" s="1779"/>
      <c r="X702" s="1779"/>
      <c r="Y702" s="1779"/>
      <c r="Z702" s="1779"/>
      <c r="AA702" s="1779"/>
      <c r="AB702" s="1779"/>
      <c r="AC702" s="1779"/>
    </row>
    <row r="703" spans="1:29">
      <c r="A703" s="1779"/>
      <c r="B703" s="1779"/>
      <c r="C703" s="1779"/>
      <c r="D703" s="1779"/>
      <c r="E703" s="1779"/>
      <c r="F703" s="1779"/>
      <c r="G703" s="1779"/>
      <c r="H703" s="1779"/>
      <c r="I703" s="1779"/>
      <c r="J703" s="1779"/>
      <c r="K703" s="1780"/>
      <c r="L703" s="1781"/>
      <c r="M703" s="1779"/>
      <c r="N703" s="1779"/>
      <c r="O703" s="1779"/>
      <c r="P703" s="1816"/>
      <c r="Q703" s="1779"/>
      <c r="R703" s="1779"/>
      <c r="S703" s="1779"/>
      <c r="T703" s="1779"/>
      <c r="U703" s="1779"/>
      <c r="V703" s="1779"/>
      <c r="W703" s="1779"/>
      <c r="X703" s="1779"/>
      <c r="Y703" s="1779"/>
      <c r="Z703" s="1779"/>
      <c r="AA703" s="1779"/>
      <c r="AB703" s="1779"/>
      <c r="AC703" s="1779"/>
    </row>
    <row r="704" spans="1:29">
      <c r="A704" s="1779"/>
      <c r="B704" s="1779"/>
      <c r="C704" s="1779"/>
      <c r="D704" s="1779"/>
      <c r="E704" s="1779"/>
      <c r="F704" s="1779"/>
      <c r="G704" s="1779"/>
      <c r="H704" s="1779"/>
      <c r="I704" s="1779"/>
      <c r="J704" s="1779"/>
      <c r="K704" s="1780"/>
      <c r="L704" s="1781"/>
      <c r="M704" s="1779"/>
      <c r="N704" s="1779"/>
      <c r="O704" s="1779"/>
      <c r="P704" s="1816"/>
      <c r="Q704" s="1779"/>
      <c r="R704" s="1779"/>
      <c r="S704" s="1779"/>
      <c r="T704" s="1779"/>
      <c r="U704" s="1779"/>
      <c r="V704" s="1779"/>
      <c r="W704" s="1779"/>
      <c r="X704" s="1779"/>
      <c r="Y704" s="1779"/>
      <c r="Z704" s="1779"/>
      <c r="AA704" s="1779"/>
      <c r="AB704" s="1779"/>
      <c r="AC704" s="1779"/>
    </row>
    <row r="705" spans="1:29">
      <c r="A705" s="1779"/>
      <c r="B705" s="1779"/>
      <c r="C705" s="1779"/>
      <c r="D705" s="1779"/>
      <c r="E705" s="1779"/>
      <c r="F705" s="1779"/>
      <c r="G705" s="1779"/>
      <c r="H705" s="1779"/>
      <c r="I705" s="1779"/>
      <c r="J705" s="1779"/>
      <c r="K705" s="1780"/>
      <c r="L705" s="1781"/>
      <c r="M705" s="1779"/>
      <c r="N705" s="1779"/>
      <c r="O705" s="1779"/>
      <c r="P705" s="1816"/>
      <c r="Q705" s="1779"/>
      <c r="R705" s="1779"/>
      <c r="S705" s="1779"/>
      <c r="T705" s="1779"/>
      <c r="U705" s="1779"/>
      <c r="V705" s="1779"/>
      <c r="W705" s="1779"/>
      <c r="X705" s="1779"/>
      <c r="Y705" s="1779"/>
      <c r="Z705" s="1779"/>
      <c r="AA705" s="1779"/>
      <c r="AB705" s="1779"/>
      <c r="AC705" s="1779"/>
    </row>
    <row r="706" spans="1:29">
      <c r="A706" s="1779"/>
      <c r="B706" s="1779"/>
      <c r="C706" s="1779"/>
      <c r="D706" s="1779"/>
      <c r="E706" s="1779"/>
      <c r="F706" s="1779"/>
      <c r="G706" s="1779"/>
      <c r="H706" s="1779"/>
      <c r="I706" s="1779"/>
      <c r="J706" s="1779"/>
      <c r="K706" s="1780"/>
      <c r="L706" s="1781"/>
      <c r="M706" s="1779"/>
      <c r="N706" s="1779"/>
      <c r="O706" s="1779"/>
      <c r="P706" s="1816"/>
      <c r="Q706" s="1779"/>
      <c r="R706" s="1779"/>
      <c r="S706" s="1779"/>
      <c r="T706" s="1779"/>
      <c r="U706" s="1779"/>
      <c r="V706" s="1779"/>
      <c r="W706" s="1779"/>
      <c r="X706" s="1779"/>
      <c r="Y706" s="1779"/>
      <c r="Z706" s="1779"/>
      <c r="AA706" s="1779"/>
      <c r="AB706" s="1779"/>
      <c r="AC706" s="1779"/>
    </row>
    <row r="707" spans="1:29">
      <c r="A707" s="1779"/>
      <c r="B707" s="1779"/>
      <c r="C707" s="1779"/>
      <c r="D707" s="1779"/>
      <c r="E707" s="1779"/>
      <c r="F707" s="1779"/>
      <c r="G707" s="1779"/>
      <c r="H707" s="1779"/>
      <c r="I707" s="1779"/>
      <c r="J707" s="1779"/>
      <c r="K707" s="1780"/>
      <c r="L707" s="1781"/>
      <c r="M707" s="1779"/>
      <c r="N707" s="1779"/>
      <c r="O707" s="1779"/>
      <c r="P707" s="1816"/>
      <c r="Q707" s="1779"/>
      <c r="R707" s="1779"/>
      <c r="S707" s="1779"/>
      <c r="T707" s="1779"/>
      <c r="U707" s="1779"/>
      <c r="V707" s="1779"/>
      <c r="W707" s="1779"/>
      <c r="X707" s="1779"/>
      <c r="Y707" s="1779"/>
      <c r="Z707" s="1779"/>
      <c r="AA707" s="1779"/>
      <c r="AB707" s="1779"/>
      <c r="AC707" s="1779"/>
    </row>
    <row r="708" spans="1:29">
      <c r="A708" s="1779"/>
      <c r="B708" s="1779"/>
      <c r="C708" s="1779"/>
      <c r="D708" s="1779"/>
      <c r="E708" s="1779"/>
      <c r="F708" s="1779"/>
      <c r="G708" s="1779"/>
      <c r="H708" s="1779"/>
      <c r="I708" s="1779"/>
      <c r="J708" s="1779"/>
      <c r="K708" s="1780"/>
      <c r="L708" s="1781"/>
      <c r="M708" s="1779"/>
      <c r="N708" s="1779"/>
      <c r="O708" s="1779"/>
      <c r="P708" s="1816"/>
      <c r="Q708" s="1779"/>
      <c r="R708" s="1779"/>
      <c r="S708" s="1779"/>
      <c r="T708" s="1779"/>
      <c r="U708" s="1779"/>
      <c r="V708" s="1779"/>
      <c r="W708" s="1779"/>
      <c r="X708" s="1779"/>
      <c r="Y708" s="1779"/>
      <c r="Z708" s="1779"/>
      <c r="AA708" s="1779"/>
      <c r="AB708" s="1779"/>
      <c r="AC708" s="1779"/>
    </row>
    <row r="709" spans="1:29">
      <c r="A709" s="1779"/>
      <c r="B709" s="1779"/>
      <c r="C709" s="1779"/>
      <c r="D709" s="1779"/>
      <c r="E709" s="1779"/>
      <c r="F709" s="1779"/>
      <c r="G709" s="1779"/>
      <c r="H709" s="1779"/>
      <c r="I709" s="1779"/>
      <c r="J709" s="1779"/>
      <c r="K709" s="1780"/>
      <c r="L709" s="1781"/>
      <c r="M709" s="1779"/>
      <c r="N709" s="1779"/>
      <c r="O709" s="1779"/>
      <c r="P709" s="1816"/>
      <c r="Q709" s="1779"/>
      <c r="R709" s="1779"/>
      <c r="S709" s="1779"/>
      <c r="T709" s="1779"/>
      <c r="U709" s="1779"/>
      <c r="V709" s="1779"/>
      <c r="W709" s="1779"/>
      <c r="X709" s="1779"/>
      <c r="Y709" s="1779"/>
      <c r="Z709" s="1779"/>
      <c r="AA709" s="1779"/>
      <c r="AB709" s="1779"/>
      <c r="AC709" s="1779"/>
    </row>
    <row r="710" spans="1:29">
      <c r="A710" s="1779"/>
      <c r="B710" s="1779"/>
      <c r="C710" s="1779"/>
      <c r="D710" s="1779"/>
      <c r="E710" s="1779"/>
      <c r="F710" s="1779"/>
      <c r="G710" s="1779"/>
      <c r="H710" s="1779"/>
      <c r="I710" s="1779"/>
      <c r="J710" s="1779"/>
      <c r="K710" s="1780"/>
      <c r="L710" s="1781"/>
      <c r="M710" s="1779"/>
      <c r="N710" s="1779"/>
      <c r="O710" s="1779"/>
      <c r="P710" s="1816"/>
      <c r="Q710" s="1779"/>
      <c r="R710" s="1779"/>
      <c r="S710" s="1779"/>
      <c r="T710" s="1779"/>
      <c r="U710" s="1779"/>
      <c r="V710" s="1779"/>
      <c r="W710" s="1779"/>
      <c r="X710" s="1779"/>
      <c r="Y710" s="1779"/>
      <c r="Z710" s="1779"/>
      <c r="AA710" s="1779"/>
      <c r="AB710" s="1779"/>
      <c r="AC710" s="1779"/>
    </row>
    <row r="711" spans="1:29">
      <c r="A711" s="1779"/>
      <c r="B711" s="1779"/>
      <c r="C711" s="1779"/>
      <c r="D711" s="1779"/>
      <c r="E711" s="1779"/>
      <c r="F711" s="1779"/>
      <c r="G711" s="1779"/>
      <c r="H711" s="1779"/>
      <c r="I711" s="1779"/>
      <c r="J711" s="1779"/>
      <c r="K711" s="1780"/>
      <c r="L711" s="1781"/>
      <c r="M711" s="1779"/>
      <c r="N711" s="1779"/>
      <c r="O711" s="1779"/>
      <c r="P711" s="1816"/>
      <c r="Q711" s="1779"/>
      <c r="R711" s="1779"/>
      <c r="S711" s="1779"/>
      <c r="T711" s="1779"/>
      <c r="U711" s="1779"/>
      <c r="V711" s="1779"/>
      <c r="W711" s="1779"/>
      <c r="X711" s="1779"/>
      <c r="Y711" s="1779"/>
      <c r="Z711" s="1779"/>
      <c r="AA711" s="1779"/>
      <c r="AB711" s="1779"/>
      <c r="AC711" s="1779"/>
    </row>
    <row r="712" spans="1:29">
      <c r="A712" s="1779"/>
      <c r="B712" s="1779"/>
      <c r="C712" s="1779"/>
      <c r="D712" s="1779"/>
      <c r="E712" s="1779"/>
      <c r="F712" s="1779"/>
      <c r="G712" s="1779"/>
      <c r="H712" s="1779"/>
      <c r="I712" s="1779"/>
      <c r="J712" s="1779"/>
      <c r="K712" s="1780"/>
      <c r="L712" s="1781"/>
      <c r="M712" s="1779"/>
      <c r="N712" s="1779"/>
      <c r="O712" s="1779"/>
      <c r="P712" s="1816"/>
      <c r="Q712" s="1779"/>
      <c r="R712" s="1779"/>
      <c r="S712" s="1779"/>
      <c r="T712" s="1779"/>
      <c r="U712" s="1779"/>
      <c r="V712" s="1779"/>
      <c r="W712" s="1779"/>
      <c r="X712" s="1779"/>
      <c r="Y712" s="1779"/>
      <c r="Z712" s="1779"/>
      <c r="AA712" s="1779"/>
      <c r="AB712" s="1779"/>
      <c r="AC712" s="1779"/>
    </row>
    <row r="713" spans="1:29">
      <c r="A713" s="1779"/>
      <c r="B713" s="1779"/>
      <c r="C713" s="1779"/>
      <c r="D713" s="1779"/>
      <c r="E713" s="1779"/>
      <c r="F713" s="1779"/>
      <c r="G713" s="1779"/>
      <c r="H713" s="1779"/>
      <c r="I713" s="1779"/>
      <c r="J713" s="1779"/>
      <c r="K713" s="1780"/>
      <c r="L713" s="1781"/>
      <c r="M713" s="1779"/>
      <c r="N713" s="1779"/>
      <c r="O713" s="1779"/>
      <c r="P713" s="1816"/>
      <c r="Q713" s="1779"/>
      <c r="R713" s="1779"/>
      <c r="S713" s="1779"/>
      <c r="T713" s="1779"/>
      <c r="U713" s="1779"/>
      <c r="V713" s="1779"/>
      <c r="W713" s="1779"/>
      <c r="X713" s="1779"/>
      <c r="Y713" s="1779"/>
      <c r="Z713" s="1779"/>
      <c r="AA713" s="1779"/>
      <c r="AB713" s="1779"/>
      <c r="AC713" s="1779"/>
    </row>
    <row r="714" spans="1:29">
      <c r="A714" s="1779"/>
      <c r="B714" s="1779"/>
      <c r="C714" s="1779"/>
      <c r="D714" s="1779"/>
      <c r="E714" s="1779"/>
      <c r="F714" s="1779"/>
      <c r="G714" s="1779"/>
      <c r="H714" s="1779"/>
      <c r="I714" s="1779"/>
      <c r="J714" s="1779"/>
      <c r="K714" s="1780"/>
      <c r="L714" s="1781"/>
      <c r="M714" s="1779"/>
      <c r="N714" s="1779"/>
      <c r="O714" s="1779"/>
      <c r="P714" s="1816"/>
      <c r="Q714" s="1779"/>
      <c r="R714" s="1779"/>
      <c r="S714" s="1779"/>
      <c r="T714" s="1779"/>
      <c r="U714" s="1779"/>
      <c r="V714" s="1779"/>
      <c r="W714" s="1779"/>
      <c r="X714" s="1779"/>
      <c r="Y714" s="1779"/>
      <c r="Z714" s="1779"/>
      <c r="AA714" s="1779"/>
      <c r="AB714" s="1779"/>
      <c r="AC714" s="1779"/>
    </row>
    <row r="715" spans="1:29">
      <c r="A715" s="1779"/>
      <c r="B715" s="1779"/>
      <c r="C715" s="1779"/>
      <c r="D715" s="1779"/>
      <c r="E715" s="1779"/>
      <c r="F715" s="1779"/>
      <c r="G715" s="1779"/>
      <c r="H715" s="1779"/>
      <c r="I715" s="1779"/>
      <c r="J715" s="1779"/>
      <c r="K715" s="1780"/>
      <c r="L715" s="1781"/>
      <c r="M715" s="1779"/>
      <c r="N715" s="1779"/>
      <c r="O715" s="1779"/>
      <c r="P715" s="1816"/>
      <c r="Q715" s="1779"/>
      <c r="R715" s="1779"/>
      <c r="S715" s="1779"/>
      <c r="T715" s="1779"/>
      <c r="U715" s="1779"/>
      <c r="V715" s="1779"/>
      <c r="W715" s="1779"/>
      <c r="X715" s="1779"/>
      <c r="Y715" s="1779"/>
      <c r="Z715" s="1779"/>
      <c r="AA715" s="1779"/>
      <c r="AB715" s="1779"/>
      <c r="AC715" s="1779"/>
    </row>
    <row r="716" spans="1:29">
      <c r="A716" s="1779"/>
      <c r="B716" s="1779"/>
      <c r="C716" s="1779"/>
      <c r="D716" s="1779"/>
      <c r="E716" s="1779"/>
      <c r="F716" s="1779"/>
      <c r="G716" s="1779"/>
      <c r="H716" s="1779"/>
      <c r="I716" s="1779"/>
      <c r="J716" s="1779"/>
      <c r="K716" s="1780"/>
      <c r="L716" s="1781"/>
      <c r="M716" s="1779"/>
      <c r="N716" s="1779"/>
      <c r="O716" s="1779"/>
      <c r="P716" s="1816"/>
      <c r="Q716" s="1779"/>
      <c r="R716" s="1779"/>
      <c r="S716" s="1779"/>
      <c r="T716" s="1779"/>
      <c r="U716" s="1779"/>
      <c r="V716" s="1779"/>
      <c r="W716" s="1779"/>
      <c r="X716" s="1779"/>
      <c r="Y716" s="1779"/>
      <c r="Z716" s="1779"/>
      <c r="AA716" s="1779"/>
      <c r="AB716" s="1779"/>
      <c r="AC716" s="1779"/>
    </row>
    <row r="717" spans="1:29">
      <c r="A717" s="1779"/>
      <c r="B717" s="1779"/>
      <c r="C717" s="1779"/>
      <c r="D717" s="1779"/>
      <c r="E717" s="1779"/>
      <c r="F717" s="1779"/>
      <c r="G717" s="1779"/>
      <c r="H717" s="1779"/>
      <c r="I717" s="1779"/>
      <c r="J717" s="1779"/>
      <c r="K717" s="1780"/>
      <c r="L717" s="1781"/>
      <c r="M717" s="1779"/>
      <c r="N717" s="1779"/>
      <c r="O717" s="1779"/>
      <c r="P717" s="1816"/>
      <c r="Q717" s="1779"/>
      <c r="R717" s="1779"/>
      <c r="S717" s="1779"/>
      <c r="T717" s="1779"/>
      <c r="U717" s="1779"/>
      <c r="V717" s="1779"/>
      <c r="W717" s="1779"/>
      <c r="X717" s="1779"/>
      <c r="Y717" s="1779"/>
      <c r="Z717" s="1779"/>
      <c r="AA717" s="1779"/>
      <c r="AB717" s="1779"/>
      <c r="AC717" s="1779"/>
    </row>
    <row r="718" spans="1:29">
      <c r="A718" s="1779"/>
      <c r="B718" s="1779"/>
      <c r="C718" s="1779"/>
      <c r="D718" s="1779"/>
      <c r="E718" s="1779"/>
      <c r="F718" s="1779"/>
      <c r="G718" s="1779"/>
      <c r="H718" s="1779"/>
      <c r="I718" s="1779"/>
      <c r="J718" s="1779"/>
      <c r="K718" s="1780"/>
      <c r="L718" s="1781"/>
      <c r="M718" s="1779"/>
      <c r="N718" s="1779"/>
      <c r="O718" s="1779"/>
      <c r="P718" s="1816"/>
      <c r="Q718" s="1779"/>
      <c r="R718" s="1779"/>
      <c r="S718" s="1779"/>
      <c r="T718" s="1779"/>
      <c r="U718" s="1779"/>
      <c r="V718" s="1779"/>
      <c r="W718" s="1779"/>
      <c r="X718" s="1779"/>
      <c r="Y718" s="1779"/>
      <c r="Z718" s="1779"/>
      <c r="AA718" s="1779"/>
      <c r="AB718" s="1779"/>
      <c r="AC718" s="1779"/>
    </row>
    <row r="719" spans="1:29">
      <c r="A719" s="1779"/>
      <c r="B719" s="1779"/>
      <c r="C719" s="1779"/>
      <c r="D719" s="1779"/>
      <c r="E719" s="1779"/>
      <c r="F719" s="1779"/>
      <c r="G719" s="1779"/>
      <c r="H719" s="1779"/>
      <c r="I719" s="1779"/>
      <c r="J719" s="1779"/>
      <c r="K719" s="1780"/>
      <c r="L719" s="1781"/>
      <c r="M719" s="1779"/>
      <c r="N719" s="1779"/>
      <c r="O719" s="1779"/>
      <c r="P719" s="1816"/>
      <c r="Q719" s="1779"/>
      <c r="R719" s="1779"/>
      <c r="S719" s="1779"/>
      <c r="T719" s="1779"/>
      <c r="U719" s="1779"/>
      <c r="V719" s="1779"/>
      <c r="W719" s="1779"/>
      <c r="X719" s="1779"/>
      <c r="Y719" s="1779"/>
      <c r="Z719" s="1779"/>
      <c r="AA719" s="1779"/>
      <c r="AB719" s="1779"/>
      <c r="AC719" s="1779"/>
    </row>
    <row r="720" spans="1:29">
      <c r="A720" s="1779"/>
      <c r="B720" s="1779"/>
      <c r="C720" s="1779"/>
      <c r="D720" s="1779"/>
      <c r="E720" s="1779"/>
      <c r="F720" s="1779"/>
      <c r="G720" s="1779"/>
      <c r="H720" s="1779"/>
      <c r="I720" s="1779"/>
      <c r="J720" s="1779"/>
      <c r="K720" s="1780"/>
      <c r="L720" s="1781"/>
      <c r="M720" s="1779"/>
      <c r="N720" s="1779"/>
      <c r="O720" s="1779"/>
      <c r="P720" s="1816"/>
      <c r="Q720" s="1779"/>
      <c r="R720" s="1779"/>
      <c r="S720" s="1779"/>
      <c r="T720" s="1779"/>
      <c r="U720" s="1779"/>
      <c r="V720" s="1779"/>
      <c r="W720" s="1779"/>
      <c r="X720" s="1779"/>
      <c r="Y720" s="1779"/>
      <c r="Z720" s="1779"/>
      <c r="AA720" s="1779"/>
      <c r="AB720" s="1779"/>
      <c r="AC720" s="1779"/>
    </row>
    <row r="721" spans="1:29">
      <c r="A721" s="1779"/>
      <c r="B721" s="1779"/>
      <c r="C721" s="1779"/>
      <c r="D721" s="1779"/>
      <c r="E721" s="1779"/>
      <c r="F721" s="1779"/>
      <c r="G721" s="1779"/>
      <c r="H721" s="1779"/>
      <c r="I721" s="1779"/>
      <c r="J721" s="1779"/>
      <c r="K721" s="1780"/>
      <c r="L721" s="1781"/>
      <c r="M721" s="1779"/>
      <c r="N721" s="1779"/>
      <c r="O721" s="1779"/>
      <c r="P721" s="1816"/>
      <c r="Q721" s="1779"/>
      <c r="R721" s="1779"/>
      <c r="S721" s="1779"/>
      <c r="T721" s="1779"/>
      <c r="U721" s="1779"/>
      <c r="V721" s="1779"/>
      <c r="W721" s="1779"/>
      <c r="X721" s="1779"/>
      <c r="Y721" s="1779"/>
      <c r="Z721" s="1779"/>
      <c r="AA721" s="1779"/>
      <c r="AB721" s="1779"/>
      <c r="AC721" s="1779"/>
    </row>
    <row r="722" spans="1:29">
      <c r="A722" s="1779"/>
      <c r="B722" s="1779"/>
      <c r="C722" s="1779"/>
      <c r="D722" s="1779"/>
      <c r="E722" s="1779"/>
      <c r="F722" s="1779"/>
      <c r="G722" s="1779"/>
      <c r="H722" s="1779"/>
      <c r="I722" s="1779"/>
      <c r="J722" s="1779"/>
      <c r="K722" s="1780"/>
      <c r="L722" s="1781"/>
      <c r="M722" s="1779"/>
      <c r="N722" s="1779"/>
      <c r="O722" s="1779"/>
      <c r="P722" s="1816"/>
      <c r="Q722" s="1779"/>
      <c r="R722" s="1779"/>
      <c r="S722" s="1779"/>
      <c r="T722" s="1779"/>
      <c r="U722" s="1779"/>
      <c r="V722" s="1779"/>
      <c r="W722" s="1779"/>
      <c r="X722" s="1779"/>
      <c r="Y722" s="1779"/>
      <c r="Z722" s="1779"/>
      <c r="AA722" s="1779"/>
      <c r="AB722" s="1779"/>
      <c r="AC722" s="1779"/>
    </row>
    <row r="723" spans="1:29">
      <c r="A723" s="1779"/>
      <c r="B723" s="1779"/>
      <c r="C723" s="1779"/>
      <c r="D723" s="1779"/>
      <c r="E723" s="1779"/>
      <c r="F723" s="1779"/>
      <c r="G723" s="1779"/>
      <c r="H723" s="1779"/>
      <c r="I723" s="1779"/>
      <c r="J723" s="1779"/>
      <c r="K723" s="1780"/>
      <c r="L723" s="1781"/>
      <c r="M723" s="1779"/>
      <c r="N723" s="1779"/>
      <c r="O723" s="1779"/>
      <c r="P723" s="1816"/>
      <c r="Q723" s="1779"/>
      <c r="R723" s="1779"/>
      <c r="S723" s="1779"/>
      <c r="T723" s="1779"/>
      <c r="U723" s="1779"/>
      <c r="V723" s="1779"/>
      <c r="W723" s="1779"/>
      <c r="X723" s="1779"/>
      <c r="Y723" s="1779"/>
      <c r="Z723" s="1779"/>
      <c r="AA723" s="1779"/>
      <c r="AB723" s="1779"/>
      <c r="AC723" s="1779"/>
    </row>
    <row r="724" spans="1:29">
      <c r="A724" s="1779"/>
      <c r="B724" s="1779"/>
      <c r="C724" s="1779"/>
      <c r="D724" s="1779"/>
      <c r="E724" s="1779"/>
      <c r="F724" s="1779"/>
      <c r="G724" s="1779"/>
      <c r="H724" s="1779"/>
      <c r="I724" s="1779"/>
      <c r="J724" s="1779"/>
      <c r="K724" s="1780"/>
      <c r="L724" s="1781"/>
      <c r="M724" s="1779"/>
      <c r="N724" s="1779"/>
      <c r="O724" s="1779"/>
      <c r="P724" s="1816"/>
      <c r="Q724" s="1779"/>
      <c r="R724" s="1779"/>
      <c r="S724" s="1779"/>
      <c r="T724" s="1779"/>
      <c r="U724" s="1779"/>
      <c r="V724" s="1779"/>
      <c r="W724" s="1779"/>
      <c r="X724" s="1779"/>
      <c r="Y724" s="1779"/>
      <c r="Z724" s="1779"/>
      <c r="AA724" s="1779"/>
      <c r="AB724" s="1779"/>
      <c r="AC724" s="1779"/>
    </row>
    <row r="725" spans="1:29">
      <c r="A725" s="1779"/>
      <c r="B725" s="1779"/>
      <c r="C725" s="1779"/>
      <c r="D725" s="1779"/>
      <c r="E725" s="1779"/>
      <c r="F725" s="1779"/>
      <c r="G725" s="1779"/>
      <c r="H725" s="1779"/>
      <c r="I725" s="1779"/>
      <c r="J725" s="1779"/>
      <c r="K725" s="1780"/>
      <c r="L725" s="1781"/>
      <c r="M725" s="1779"/>
      <c r="N725" s="1779"/>
      <c r="O725" s="1779"/>
      <c r="P725" s="1816"/>
      <c r="Q725" s="1779"/>
      <c r="R725" s="1779"/>
      <c r="S725" s="1779"/>
      <c r="T725" s="1779"/>
      <c r="U725" s="1779"/>
      <c r="V725" s="1779"/>
      <c r="W725" s="1779"/>
      <c r="X725" s="1779"/>
      <c r="Y725" s="1779"/>
      <c r="Z725" s="1779"/>
      <c r="AA725" s="1779"/>
      <c r="AB725" s="1779"/>
      <c r="AC725" s="1779"/>
    </row>
    <row r="726" spans="1:29">
      <c r="A726" s="1779"/>
      <c r="B726" s="1779"/>
      <c r="C726" s="1779"/>
      <c r="D726" s="1779"/>
      <c r="E726" s="1779"/>
      <c r="F726" s="1779"/>
      <c r="G726" s="1779"/>
      <c r="H726" s="1779"/>
      <c r="I726" s="1779"/>
      <c r="J726" s="1779"/>
      <c r="K726" s="1780"/>
      <c r="L726" s="1781"/>
      <c r="M726" s="1779"/>
      <c r="N726" s="1779"/>
      <c r="O726" s="1779"/>
      <c r="P726" s="1816"/>
      <c r="Q726" s="1779"/>
      <c r="R726" s="1779"/>
      <c r="S726" s="1779"/>
      <c r="T726" s="1779"/>
      <c r="U726" s="1779"/>
      <c r="V726" s="1779"/>
      <c r="W726" s="1779"/>
      <c r="X726" s="1779"/>
      <c r="Y726" s="1779"/>
      <c r="Z726" s="1779"/>
      <c r="AA726" s="1779"/>
      <c r="AB726" s="1779"/>
      <c r="AC726" s="1779"/>
    </row>
    <row r="727" spans="1:29">
      <c r="A727" s="1779"/>
      <c r="B727" s="1779"/>
      <c r="C727" s="1779"/>
      <c r="D727" s="1779"/>
      <c r="E727" s="1779"/>
      <c r="F727" s="1779"/>
      <c r="G727" s="1779"/>
      <c r="H727" s="1779"/>
      <c r="I727" s="1779"/>
      <c r="J727" s="1779"/>
      <c r="K727" s="1780"/>
      <c r="L727" s="1781"/>
      <c r="M727" s="1779"/>
      <c r="N727" s="1779"/>
      <c r="O727" s="1779"/>
      <c r="P727" s="1816"/>
      <c r="Q727" s="1779"/>
      <c r="R727" s="1779"/>
      <c r="S727" s="1779"/>
      <c r="T727" s="1779"/>
      <c r="U727" s="1779"/>
      <c r="V727" s="1779"/>
      <c r="W727" s="1779"/>
      <c r="X727" s="1779"/>
      <c r="Y727" s="1779"/>
      <c r="Z727" s="1779"/>
      <c r="AA727" s="1779"/>
      <c r="AB727" s="1779"/>
      <c r="AC727" s="1779"/>
    </row>
    <row r="728" spans="1:29">
      <c r="A728" s="1779"/>
      <c r="B728" s="1779"/>
      <c r="C728" s="1779"/>
      <c r="D728" s="1779"/>
      <c r="E728" s="1779"/>
      <c r="F728" s="1779"/>
      <c r="G728" s="1779"/>
      <c r="H728" s="1779"/>
      <c r="I728" s="1779"/>
      <c r="J728" s="1779"/>
      <c r="K728" s="1780"/>
      <c r="L728" s="1781"/>
      <c r="M728" s="1779"/>
      <c r="N728" s="1779"/>
      <c r="O728" s="1779"/>
      <c r="P728" s="1816"/>
      <c r="Q728" s="1779"/>
      <c r="R728" s="1779"/>
      <c r="S728" s="1779"/>
      <c r="T728" s="1779"/>
      <c r="U728" s="1779"/>
      <c r="V728" s="1779"/>
      <c r="W728" s="1779"/>
      <c r="X728" s="1779"/>
      <c r="Y728" s="1779"/>
      <c r="Z728" s="1779"/>
      <c r="AA728" s="1779"/>
      <c r="AB728" s="1779"/>
      <c r="AC728" s="1779"/>
    </row>
    <row r="729" spans="1:29">
      <c r="A729" s="1779"/>
      <c r="B729" s="1779"/>
      <c r="C729" s="1779"/>
      <c r="D729" s="1779"/>
      <c r="E729" s="1779"/>
      <c r="F729" s="1779"/>
      <c r="G729" s="1779"/>
      <c r="H729" s="1779"/>
      <c r="I729" s="1779"/>
      <c r="J729" s="1779"/>
      <c r="K729" s="1780"/>
      <c r="L729" s="1781"/>
      <c r="M729" s="1779"/>
      <c r="N729" s="1779"/>
      <c r="O729" s="1779"/>
      <c r="P729" s="1816"/>
      <c r="Q729" s="1779"/>
      <c r="R729" s="1779"/>
      <c r="S729" s="1779"/>
      <c r="T729" s="1779"/>
      <c r="U729" s="1779"/>
      <c r="V729" s="1779"/>
      <c r="W729" s="1779"/>
      <c r="X729" s="1779"/>
      <c r="Y729" s="1779"/>
      <c r="Z729" s="1779"/>
      <c r="AA729" s="1779"/>
      <c r="AB729" s="1779"/>
      <c r="AC729" s="1779"/>
    </row>
    <row r="730" spans="1:29">
      <c r="A730" s="1779"/>
      <c r="B730" s="1779"/>
      <c r="C730" s="1779"/>
      <c r="D730" s="1779"/>
      <c r="E730" s="1779"/>
      <c r="F730" s="1779"/>
      <c r="G730" s="1779"/>
      <c r="H730" s="1779"/>
      <c r="I730" s="1779"/>
      <c r="J730" s="1779"/>
      <c r="K730" s="1780"/>
      <c r="L730" s="1781"/>
      <c r="M730" s="1779"/>
      <c r="N730" s="1779"/>
      <c r="O730" s="1779"/>
      <c r="P730" s="1816"/>
      <c r="Q730" s="1779"/>
      <c r="R730" s="1779"/>
      <c r="S730" s="1779"/>
      <c r="T730" s="1779"/>
      <c r="U730" s="1779"/>
      <c r="V730" s="1779"/>
      <c r="W730" s="1779"/>
      <c r="X730" s="1779"/>
      <c r="Y730" s="1779"/>
      <c r="Z730" s="1779"/>
      <c r="AA730" s="1779"/>
      <c r="AB730" s="1779"/>
      <c r="AC730" s="1779"/>
    </row>
    <row r="731" spans="1:29">
      <c r="A731" s="1779"/>
      <c r="B731" s="1779"/>
      <c r="C731" s="1779"/>
      <c r="D731" s="1779"/>
      <c r="E731" s="1779"/>
      <c r="F731" s="1779"/>
      <c r="G731" s="1779"/>
      <c r="H731" s="1779"/>
      <c r="I731" s="1779"/>
      <c r="J731" s="1779"/>
      <c r="K731" s="1780"/>
      <c r="L731" s="1781"/>
      <c r="M731" s="1779"/>
      <c r="N731" s="1779"/>
      <c r="O731" s="1779"/>
      <c r="P731" s="1816"/>
      <c r="Q731" s="1779"/>
      <c r="R731" s="1779"/>
      <c r="S731" s="1779"/>
      <c r="T731" s="1779"/>
      <c r="U731" s="1779"/>
      <c r="V731" s="1779"/>
      <c r="W731" s="1779"/>
      <c r="X731" s="1779"/>
      <c r="Y731" s="1779"/>
      <c r="Z731" s="1779"/>
      <c r="AA731" s="1779"/>
      <c r="AB731" s="1779"/>
      <c r="AC731" s="1779"/>
    </row>
    <row r="732" spans="1:29">
      <c r="A732" s="1779"/>
      <c r="B732" s="1779"/>
      <c r="C732" s="1779"/>
      <c r="D732" s="1779"/>
      <c r="E732" s="1779"/>
      <c r="F732" s="1779"/>
      <c r="G732" s="1779"/>
      <c r="H732" s="1779"/>
      <c r="I732" s="1779"/>
      <c r="J732" s="1779"/>
      <c r="K732" s="1780"/>
      <c r="L732" s="1781"/>
      <c r="M732" s="1779"/>
      <c r="N732" s="1779"/>
      <c r="O732" s="1779"/>
      <c r="P732" s="1816"/>
      <c r="Q732" s="1779"/>
      <c r="R732" s="1779"/>
      <c r="S732" s="1779"/>
      <c r="T732" s="1779"/>
      <c r="U732" s="1779"/>
      <c r="V732" s="1779"/>
      <c r="W732" s="1779"/>
      <c r="X732" s="1779"/>
      <c r="Y732" s="1779"/>
      <c r="Z732" s="1779"/>
      <c r="AA732" s="1779"/>
      <c r="AB732" s="1779"/>
      <c r="AC732" s="1779"/>
    </row>
    <row r="733" spans="1:29">
      <c r="A733" s="1779"/>
      <c r="B733" s="1779"/>
      <c r="C733" s="1779"/>
      <c r="D733" s="1779"/>
      <c r="E733" s="1779"/>
      <c r="F733" s="1779"/>
      <c r="G733" s="1779"/>
      <c r="H733" s="1779"/>
      <c r="I733" s="1779"/>
      <c r="J733" s="1779"/>
      <c r="K733" s="1780"/>
      <c r="L733" s="1781"/>
      <c r="M733" s="1779"/>
      <c r="N733" s="1779"/>
      <c r="O733" s="1779"/>
      <c r="P733" s="1816"/>
      <c r="Q733" s="1779"/>
      <c r="R733" s="1779"/>
      <c r="S733" s="1779"/>
      <c r="T733" s="1779"/>
      <c r="U733" s="1779"/>
      <c r="V733" s="1779"/>
      <c r="W733" s="1779"/>
      <c r="X733" s="1779"/>
      <c r="Y733" s="1779"/>
      <c r="Z733" s="1779"/>
      <c r="AA733" s="1779"/>
      <c r="AB733" s="1779"/>
      <c r="AC733" s="1779"/>
    </row>
    <row r="734" spans="1:29">
      <c r="A734" s="1779"/>
      <c r="B734" s="1779"/>
      <c r="C734" s="1779"/>
      <c r="D734" s="1779"/>
      <c r="E734" s="1779"/>
      <c r="F734" s="1779"/>
      <c r="G734" s="1779"/>
      <c r="H734" s="1779"/>
      <c r="I734" s="1779"/>
      <c r="J734" s="1779"/>
      <c r="K734" s="1780"/>
      <c r="L734" s="1781"/>
      <c r="M734" s="1779"/>
      <c r="N734" s="1779"/>
      <c r="O734" s="1779"/>
      <c r="P734" s="1816"/>
      <c r="Q734" s="1779"/>
      <c r="R734" s="1779"/>
      <c r="S734" s="1779"/>
      <c r="T734" s="1779"/>
      <c r="U734" s="1779"/>
      <c r="V734" s="1779"/>
      <c r="W734" s="1779"/>
      <c r="X734" s="1779"/>
      <c r="Y734" s="1779"/>
      <c r="Z734" s="1779"/>
      <c r="AA734" s="1779"/>
      <c r="AB734" s="1779"/>
      <c r="AC734" s="1779"/>
    </row>
    <row r="735" spans="1:29">
      <c r="A735" s="1779"/>
      <c r="B735" s="1779"/>
      <c r="C735" s="1779"/>
      <c r="D735" s="1779"/>
      <c r="E735" s="1779"/>
      <c r="F735" s="1779"/>
      <c r="G735" s="1779"/>
      <c r="H735" s="1779"/>
      <c r="I735" s="1779"/>
      <c r="J735" s="1779"/>
      <c r="K735" s="1780"/>
      <c r="L735" s="1781"/>
      <c r="M735" s="1779"/>
      <c r="N735" s="1779"/>
      <c r="O735" s="1779"/>
      <c r="P735" s="1816"/>
      <c r="Q735" s="1779"/>
      <c r="R735" s="1779"/>
      <c r="S735" s="1779"/>
      <c r="T735" s="1779"/>
      <c r="U735" s="1779"/>
      <c r="V735" s="1779"/>
      <c r="W735" s="1779"/>
      <c r="X735" s="1779"/>
      <c r="Y735" s="1779"/>
      <c r="Z735" s="1779"/>
      <c r="AA735" s="1779"/>
      <c r="AB735" s="1779"/>
      <c r="AC735" s="1779"/>
    </row>
    <row r="736" spans="1:29">
      <c r="A736" s="1779"/>
      <c r="B736" s="1779"/>
      <c r="C736" s="1779"/>
      <c r="D736" s="1779"/>
      <c r="E736" s="1779"/>
      <c r="F736" s="1779"/>
      <c r="G736" s="1779"/>
      <c r="H736" s="1779"/>
      <c r="I736" s="1779"/>
      <c r="J736" s="1779"/>
      <c r="K736" s="1780"/>
      <c r="L736" s="1781"/>
      <c r="M736" s="1779"/>
      <c r="N736" s="1779"/>
      <c r="O736" s="1779"/>
      <c r="P736" s="1816"/>
      <c r="Q736" s="1779"/>
      <c r="R736" s="1779"/>
      <c r="S736" s="1779"/>
      <c r="T736" s="1779"/>
      <c r="U736" s="1779"/>
      <c r="V736" s="1779"/>
      <c r="W736" s="1779"/>
      <c r="X736" s="1779"/>
      <c r="Y736" s="1779"/>
      <c r="Z736" s="1779"/>
      <c r="AA736" s="1779"/>
      <c r="AB736" s="1779"/>
      <c r="AC736" s="1779"/>
    </row>
    <row r="737" spans="1:29">
      <c r="A737" s="1779"/>
      <c r="B737" s="1779"/>
      <c r="C737" s="1779"/>
      <c r="D737" s="1779"/>
      <c r="E737" s="1779"/>
      <c r="F737" s="1779"/>
      <c r="G737" s="1779"/>
      <c r="H737" s="1779"/>
      <c r="I737" s="1779"/>
      <c r="J737" s="1779"/>
      <c r="K737" s="1780"/>
      <c r="L737" s="1781"/>
      <c r="M737" s="1779"/>
      <c r="N737" s="1779"/>
      <c r="O737" s="1779"/>
      <c r="P737" s="1816"/>
      <c r="Q737" s="1779"/>
      <c r="R737" s="1779"/>
      <c r="S737" s="1779"/>
      <c r="T737" s="1779"/>
      <c r="U737" s="1779"/>
      <c r="V737" s="1779"/>
      <c r="W737" s="1779"/>
      <c r="X737" s="1779"/>
      <c r="Y737" s="1779"/>
      <c r="Z737" s="1779"/>
      <c r="AA737" s="1779"/>
      <c r="AB737" s="1779"/>
      <c r="AC737" s="1779"/>
    </row>
    <row r="738" spans="1:29">
      <c r="A738" s="1779"/>
      <c r="B738" s="1779"/>
      <c r="C738" s="1779"/>
      <c r="D738" s="1779"/>
      <c r="E738" s="1779"/>
      <c r="F738" s="1779"/>
      <c r="G738" s="1779"/>
      <c r="H738" s="1779"/>
      <c r="I738" s="1779"/>
      <c r="J738" s="1779"/>
      <c r="K738" s="1780"/>
      <c r="L738" s="1781"/>
      <c r="M738" s="1779"/>
      <c r="N738" s="1779"/>
      <c r="O738" s="1779"/>
      <c r="P738" s="1816"/>
      <c r="Q738" s="1779"/>
      <c r="R738" s="1779"/>
      <c r="S738" s="1779"/>
      <c r="T738" s="1779"/>
      <c r="U738" s="1779"/>
      <c r="V738" s="1779"/>
      <c r="W738" s="1779"/>
      <c r="X738" s="1779"/>
      <c r="Y738" s="1779"/>
      <c r="Z738" s="1779"/>
      <c r="AA738" s="1779"/>
      <c r="AB738" s="1779"/>
      <c r="AC738" s="1779"/>
    </row>
    <row r="739" spans="1:29">
      <c r="A739" s="1779"/>
      <c r="B739" s="1779"/>
      <c r="C739" s="1779"/>
      <c r="D739" s="1779"/>
      <c r="E739" s="1779"/>
      <c r="F739" s="1779"/>
      <c r="G739" s="1779"/>
      <c r="H739" s="1779"/>
      <c r="I739" s="1779"/>
      <c r="J739" s="1779"/>
      <c r="K739" s="1780"/>
      <c r="L739" s="1781"/>
      <c r="M739" s="1779"/>
      <c r="N739" s="1779"/>
      <c r="O739" s="1779"/>
      <c r="P739" s="1816"/>
      <c r="Q739" s="1779"/>
      <c r="R739" s="1779"/>
      <c r="S739" s="1779"/>
      <c r="T739" s="1779"/>
      <c r="U739" s="1779"/>
      <c r="V739" s="1779"/>
      <c r="W739" s="1779"/>
      <c r="X739" s="1779"/>
      <c r="Y739" s="1779"/>
      <c r="Z739" s="1779"/>
      <c r="AA739" s="1779"/>
      <c r="AB739" s="1779"/>
      <c r="AC739" s="1779"/>
    </row>
    <row r="740" spans="1:29">
      <c r="A740" s="1779"/>
      <c r="B740" s="1779"/>
      <c r="C740" s="1779"/>
      <c r="D740" s="1779"/>
      <c r="E740" s="1779"/>
      <c r="F740" s="1779"/>
      <c r="G740" s="1779"/>
      <c r="H740" s="1779"/>
      <c r="I740" s="1779"/>
      <c r="J740" s="1779"/>
      <c r="K740" s="1780"/>
      <c r="L740" s="1781"/>
      <c r="M740" s="1779"/>
      <c r="N740" s="1779"/>
      <c r="O740" s="1779"/>
      <c r="P740" s="1816"/>
      <c r="Q740" s="1779"/>
      <c r="R740" s="1779"/>
      <c r="S740" s="1779"/>
      <c r="T740" s="1779"/>
      <c r="U740" s="1779"/>
      <c r="V740" s="1779"/>
      <c r="W740" s="1779"/>
      <c r="X740" s="1779"/>
      <c r="Y740" s="1779"/>
      <c r="Z740" s="1779"/>
      <c r="AA740" s="1779"/>
      <c r="AB740" s="1779"/>
      <c r="AC740" s="1779"/>
    </row>
    <row r="741" spans="1:29">
      <c r="A741" s="1779"/>
      <c r="B741" s="1779"/>
      <c r="C741" s="1779"/>
      <c r="D741" s="1779"/>
      <c r="E741" s="1779"/>
      <c r="F741" s="1779"/>
      <c r="G741" s="1779"/>
      <c r="H741" s="1779"/>
      <c r="I741" s="1779"/>
      <c r="J741" s="1779"/>
      <c r="K741" s="1780"/>
      <c r="L741" s="1781"/>
      <c r="M741" s="1779"/>
      <c r="N741" s="1779"/>
      <c r="O741" s="1779"/>
      <c r="P741" s="1816"/>
      <c r="Q741" s="1779"/>
      <c r="R741" s="1779"/>
      <c r="S741" s="1779"/>
      <c r="T741" s="1779"/>
      <c r="U741" s="1779"/>
      <c r="V741" s="1779"/>
      <c r="W741" s="1779"/>
      <c r="X741" s="1779"/>
      <c r="Y741" s="1779"/>
      <c r="Z741" s="1779"/>
      <c r="AA741" s="1779"/>
      <c r="AB741" s="1779"/>
      <c r="AC741" s="1779"/>
    </row>
    <row r="742" spans="1:29">
      <c r="A742" s="1779"/>
      <c r="B742" s="1779"/>
      <c r="C742" s="1779"/>
      <c r="D742" s="1779"/>
      <c r="E742" s="1779"/>
      <c r="F742" s="1779"/>
      <c r="G742" s="1779"/>
      <c r="H742" s="1779"/>
      <c r="I742" s="1779"/>
      <c r="J742" s="1779"/>
      <c r="K742" s="1780"/>
      <c r="L742" s="1781"/>
      <c r="M742" s="1779"/>
      <c r="N742" s="1779"/>
      <c r="O742" s="1779"/>
      <c r="P742" s="1816"/>
      <c r="Q742" s="1779"/>
      <c r="R742" s="1779"/>
      <c r="S742" s="1779"/>
      <c r="T742" s="1779"/>
      <c r="U742" s="1779"/>
      <c r="V742" s="1779"/>
      <c r="W742" s="1779"/>
      <c r="X742" s="1779"/>
      <c r="Y742" s="1779"/>
      <c r="Z742" s="1779"/>
      <c r="AA742" s="1779"/>
      <c r="AB742" s="1779"/>
      <c r="AC742" s="1779"/>
    </row>
    <row r="743" spans="1:29">
      <c r="A743" s="1779"/>
      <c r="B743" s="1779"/>
      <c r="C743" s="1779"/>
      <c r="D743" s="1779"/>
      <c r="E743" s="1779"/>
      <c r="F743" s="1779"/>
      <c r="G743" s="1779"/>
      <c r="H743" s="1779"/>
      <c r="I743" s="1779"/>
      <c r="J743" s="1779"/>
      <c r="K743" s="1780"/>
      <c r="L743" s="1781"/>
      <c r="M743" s="1779"/>
      <c r="N743" s="1779"/>
      <c r="O743" s="1779"/>
      <c r="P743" s="1816"/>
      <c r="Q743" s="1779"/>
      <c r="R743" s="1779"/>
      <c r="S743" s="1779"/>
      <c r="T743" s="1779"/>
      <c r="U743" s="1779"/>
      <c r="V743" s="1779"/>
      <c r="W743" s="1779"/>
      <c r="X743" s="1779"/>
      <c r="Y743" s="1779"/>
      <c r="Z743" s="1779"/>
      <c r="AA743" s="1779"/>
      <c r="AB743" s="1779"/>
      <c r="AC743" s="1779"/>
    </row>
    <row r="744" spans="1:29">
      <c r="A744" s="1779"/>
      <c r="B744" s="1779"/>
      <c r="C744" s="1779"/>
      <c r="D744" s="1779"/>
      <c r="E744" s="1779"/>
      <c r="F744" s="1779"/>
      <c r="G744" s="1779"/>
      <c r="H744" s="1779"/>
      <c r="I744" s="1779"/>
      <c r="J744" s="1779"/>
      <c r="K744" s="1780"/>
      <c r="L744" s="1781"/>
      <c r="M744" s="1779"/>
      <c r="N744" s="1779"/>
      <c r="O744" s="1779"/>
      <c r="P744" s="1816"/>
      <c r="Q744" s="1779"/>
      <c r="R744" s="1779"/>
      <c r="S744" s="1779"/>
      <c r="T744" s="1779"/>
      <c r="U744" s="1779"/>
      <c r="V744" s="1779"/>
      <c r="W744" s="1779"/>
      <c r="X744" s="1779"/>
      <c r="Y744" s="1779"/>
      <c r="Z744" s="1779"/>
      <c r="AA744" s="1779"/>
      <c r="AB744" s="1779"/>
      <c r="AC744" s="1779"/>
    </row>
    <row r="745" spans="1:29">
      <c r="A745" s="1779"/>
      <c r="B745" s="1779"/>
      <c r="C745" s="1779"/>
      <c r="D745" s="1779"/>
      <c r="E745" s="1779"/>
      <c r="F745" s="1779"/>
      <c r="G745" s="1779"/>
      <c r="H745" s="1779"/>
      <c r="I745" s="1779"/>
      <c r="J745" s="1779"/>
      <c r="K745" s="1780"/>
      <c r="L745" s="1781"/>
      <c r="M745" s="1779"/>
      <c r="N745" s="1779"/>
      <c r="O745" s="1779"/>
      <c r="P745" s="1816"/>
      <c r="Q745" s="1779"/>
      <c r="R745" s="1779"/>
      <c r="S745" s="1779"/>
      <c r="T745" s="1779"/>
      <c r="U745" s="1779"/>
      <c r="V745" s="1779"/>
      <c r="W745" s="1779"/>
      <c r="X745" s="1779"/>
      <c r="Y745" s="1779"/>
      <c r="Z745" s="1779"/>
      <c r="AA745" s="1779"/>
      <c r="AB745" s="1779"/>
      <c r="AC745" s="1779"/>
    </row>
    <row r="746" spans="1:29">
      <c r="A746" s="1779"/>
      <c r="B746" s="1779"/>
      <c r="C746" s="1779"/>
      <c r="D746" s="1779"/>
      <c r="E746" s="1779"/>
      <c r="F746" s="1779"/>
      <c r="G746" s="1779"/>
      <c r="H746" s="1779"/>
      <c r="I746" s="1779"/>
      <c r="J746" s="1779"/>
      <c r="K746" s="1780"/>
      <c r="L746" s="1781"/>
      <c r="M746" s="1779"/>
      <c r="N746" s="1779"/>
      <c r="O746" s="1779"/>
      <c r="P746" s="1816"/>
      <c r="Q746" s="1779"/>
      <c r="R746" s="1779"/>
      <c r="S746" s="1779"/>
      <c r="T746" s="1779"/>
      <c r="U746" s="1779"/>
      <c r="V746" s="1779"/>
      <c r="W746" s="1779"/>
      <c r="X746" s="1779"/>
      <c r="Y746" s="1779"/>
      <c r="Z746" s="1779"/>
      <c r="AA746" s="1779"/>
      <c r="AB746" s="1779"/>
      <c r="AC746" s="1779"/>
    </row>
    <row r="747" spans="1:29">
      <c r="A747" s="1779"/>
      <c r="B747" s="1779"/>
      <c r="C747" s="1779"/>
      <c r="D747" s="1779"/>
      <c r="E747" s="1779"/>
      <c r="F747" s="1779"/>
      <c r="G747" s="1779"/>
      <c r="H747" s="1779"/>
      <c r="I747" s="1779"/>
      <c r="J747" s="1779"/>
      <c r="K747" s="1780"/>
      <c r="L747" s="1781"/>
      <c r="M747" s="1779"/>
      <c r="N747" s="1779"/>
      <c r="O747" s="1779"/>
      <c r="P747" s="1816"/>
      <c r="Q747" s="1779"/>
      <c r="R747" s="1779"/>
      <c r="S747" s="1779"/>
      <c r="T747" s="1779"/>
      <c r="U747" s="1779"/>
      <c r="V747" s="1779"/>
      <c r="W747" s="1779"/>
      <c r="X747" s="1779"/>
      <c r="Y747" s="1779"/>
      <c r="Z747" s="1779"/>
      <c r="AA747" s="1779"/>
      <c r="AB747" s="1779"/>
      <c r="AC747" s="1779"/>
    </row>
    <row r="748" spans="1:29">
      <c r="A748" s="1779"/>
      <c r="B748" s="1779"/>
      <c r="C748" s="1779"/>
      <c r="D748" s="1779"/>
      <c r="E748" s="1779"/>
      <c r="F748" s="1779"/>
      <c r="G748" s="1779"/>
      <c r="H748" s="1779"/>
      <c r="I748" s="1779"/>
      <c r="J748" s="1779"/>
      <c r="K748" s="1780"/>
      <c r="L748" s="1781"/>
      <c r="M748" s="1779"/>
      <c r="N748" s="1779"/>
      <c r="O748" s="1779"/>
      <c r="P748" s="1816"/>
      <c r="Q748" s="1779"/>
      <c r="R748" s="1779"/>
      <c r="S748" s="1779"/>
      <c r="T748" s="1779"/>
      <c r="U748" s="1779"/>
      <c r="V748" s="1779"/>
      <c r="W748" s="1779"/>
      <c r="X748" s="1779"/>
      <c r="Y748" s="1779"/>
      <c r="Z748" s="1779"/>
      <c r="AA748" s="1779"/>
      <c r="AB748" s="1779"/>
      <c r="AC748" s="1779"/>
    </row>
    <row r="749" spans="1:29">
      <c r="A749" s="1779"/>
      <c r="B749" s="1779"/>
      <c r="C749" s="1779"/>
      <c r="D749" s="1779"/>
      <c r="E749" s="1779"/>
      <c r="F749" s="1779"/>
      <c r="G749" s="1779"/>
      <c r="H749" s="1779"/>
      <c r="I749" s="1779"/>
      <c r="J749" s="1779"/>
      <c r="K749" s="1780"/>
      <c r="L749" s="1781"/>
      <c r="M749" s="1779"/>
      <c r="N749" s="1779"/>
      <c r="O749" s="1779"/>
      <c r="P749" s="1816"/>
      <c r="Q749" s="1779"/>
      <c r="R749" s="1779"/>
      <c r="S749" s="1779"/>
      <c r="T749" s="1779"/>
      <c r="U749" s="1779"/>
      <c r="V749" s="1779"/>
      <c r="W749" s="1779"/>
      <c r="X749" s="1779"/>
      <c r="Y749" s="1779"/>
      <c r="Z749" s="1779"/>
      <c r="AA749" s="1779"/>
      <c r="AB749" s="1779"/>
      <c r="AC749" s="1779"/>
    </row>
    <row r="750" spans="1:29">
      <c r="A750" s="1779"/>
      <c r="B750" s="1779"/>
      <c r="C750" s="1779"/>
      <c r="D750" s="1779"/>
      <c r="E750" s="1779"/>
      <c r="F750" s="1779"/>
      <c r="G750" s="1779"/>
      <c r="H750" s="1779"/>
      <c r="I750" s="1779"/>
      <c r="J750" s="1779"/>
      <c r="K750" s="1780"/>
      <c r="L750" s="1781"/>
      <c r="M750" s="1779"/>
      <c r="N750" s="1779"/>
      <c r="O750" s="1779"/>
      <c r="P750" s="1816"/>
      <c r="Q750" s="1779"/>
      <c r="R750" s="1779"/>
      <c r="S750" s="1779"/>
      <c r="T750" s="1779"/>
      <c r="U750" s="1779"/>
      <c r="V750" s="1779"/>
      <c r="W750" s="1779"/>
      <c r="X750" s="1779"/>
      <c r="Y750" s="1779"/>
      <c r="Z750" s="1779"/>
      <c r="AA750" s="1779"/>
      <c r="AB750" s="1779"/>
      <c r="AC750" s="1779"/>
    </row>
    <row r="751" spans="1:29">
      <c r="A751" s="1779"/>
      <c r="B751" s="1779"/>
      <c r="C751" s="1779"/>
      <c r="D751" s="1779"/>
      <c r="E751" s="1779"/>
      <c r="F751" s="1779"/>
      <c r="G751" s="1779"/>
      <c r="H751" s="1779"/>
      <c r="I751" s="1779"/>
      <c r="J751" s="1779"/>
      <c r="K751" s="1780"/>
      <c r="L751" s="1781"/>
      <c r="M751" s="1779"/>
      <c r="N751" s="1779"/>
      <c r="O751" s="1779"/>
      <c r="P751" s="1816"/>
      <c r="Q751" s="1779"/>
      <c r="R751" s="1779"/>
      <c r="S751" s="1779"/>
      <c r="T751" s="1779"/>
      <c r="U751" s="1779"/>
      <c r="V751" s="1779"/>
      <c r="W751" s="1779"/>
      <c r="X751" s="1779"/>
      <c r="Y751" s="1779"/>
      <c r="Z751" s="1779"/>
      <c r="AA751" s="1779"/>
      <c r="AB751" s="1779"/>
      <c r="AC751" s="1779"/>
    </row>
    <row r="752" spans="1:29">
      <c r="A752" s="1779"/>
      <c r="B752" s="1779"/>
      <c r="C752" s="1779"/>
      <c r="D752" s="1779"/>
      <c r="E752" s="1779"/>
      <c r="F752" s="1779"/>
      <c r="G752" s="1779"/>
      <c r="H752" s="1779"/>
      <c r="I752" s="1779"/>
      <c r="J752" s="1779"/>
      <c r="K752" s="1780"/>
      <c r="L752" s="1781"/>
      <c r="M752" s="1779"/>
      <c r="N752" s="1779"/>
      <c r="O752" s="1779"/>
      <c r="P752" s="1816"/>
      <c r="Q752" s="1779"/>
      <c r="R752" s="1779"/>
      <c r="S752" s="1779"/>
      <c r="T752" s="1779"/>
      <c r="U752" s="1779"/>
      <c r="V752" s="1779"/>
      <c r="W752" s="1779"/>
      <c r="X752" s="1779"/>
      <c r="Y752" s="1779"/>
      <c r="Z752" s="1779"/>
      <c r="AA752" s="1779"/>
      <c r="AB752" s="1779"/>
      <c r="AC752" s="1779"/>
    </row>
    <row r="753" spans="1:29">
      <c r="A753" s="1779"/>
      <c r="B753" s="1779"/>
      <c r="C753" s="1779"/>
      <c r="D753" s="1779"/>
      <c r="E753" s="1779"/>
      <c r="F753" s="1779"/>
      <c r="G753" s="1779"/>
      <c r="H753" s="1779"/>
      <c r="I753" s="1779"/>
      <c r="J753" s="1779"/>
      <c r="K753" s="1780"/>
      <c r="L753" s="1781"/>
      <c r="M753" s="1779"/>
      <c r="N753" s="1779"/>
      <c r="O753" s="1779"/>
      <c r="P753" s="1816"/>
      <c r="Q753" s="1779"/>
      <c r="R753" s="1779"/>
      <c r="S753" s="1779"/>
      <c r="T753" s="1779"/>
      <c r="U753" s="1779"/>
      <c r="V753" s="1779"/>
      <c r="W753" s="1779"/>
      <c r="X753" s="1779"/>
      <c r="Y753" s="1779"/>
      <c r="Z753" s="1779"/>
      <c r="AA753" s="1779"/>
      <c r="AB753" s="1779"/>
      <c r="AC753" s="1779"/>
    </row>
    <row r="754" spans="1:29">
      <c r="A754" s="1779"/>
      <c r="B754" s="1779"/>
      <c r="C754" s="1779"/>
      <c r="D754" s="1779"/>
      <c r="E754" s="1779"/>
      <c r="F754" s="1779"/>
      <c r="G754" s="1779"/>
      <c r="H754" s="1779"/>
      <c r="I754" s="1779"/>
      <c r="J754" s="1779"/>
      <c r="K754" s="1780"/>
      <c r="L754" s="1781"/>
      <c r="M754" s="1779"/>
      <c r="N754" s="1779"/>
      <c r="O754" s="1779"/>
      <c r="P754" s="1816"/>
      <c r="Q754" s="1779"/>
      <c r="R754" s="1779"/>
      <c r="S754" s="1779"/>
      <c r="T754" s="1779"/>
      <c r="U754" s="1779"/>
      <c r="V754" s="1779"/>
      <c r="W754" s="1779"/>
      <c r="X754" s="1779"/>
      <c r="Y754" s="1779"/>
      <c r="Z754" s="1779"/>
      <c r="AA754" s="1779"/>
      <c r="AB754" s="1779"/>
      <c r="AC754" s="1779"/>
    </row>
    <row r="755" spans="1:29">
      <c r="A755" s="1779"/>
      <c r="B755" s="1779"/>
      <c r="C755" s="1779"/>
      <c r="D755" s="1779"/>
      <c r="E755" s="1779"/>
      <c r="F755" s="1779"/>
      <c r="G755" s="1779"/>
      <c r="H755" s="1779"/>
      <c r="I755" s="1779"/>
      <c r="J755" s="1779"/>
      <c r="K755" s="1780"/>
      <c r="L755" s="1781"/>
      <c r="M755" s="1779"/>
      <c r="N755" s="1779"/>
      <c r="O755" s="1779"/>
      <c r="P755" s="1816"/>
      <c r="Q755" s="1779"/>
      <c r="R755" s="1779"/>
      <c r="S755" s="1779"/>
      <c r="T755" s="1779"/>
      <c r="U755" s="1779"/>
      <c r="V755" s="1779"/>
      <c r="W755" s="1779"/>
      <c r="X755" s="1779"/>
      <c r="Y755" s="1779"/>
      <c r="Z755" s="1779"/>
      <c r="AA755" s="1779"/>
      <c r="AB755" s="1779"/>
      <c r="AC755" s="1779"/>
    </row>
    <row r="756" spans="1:29">
      <c r="A756" s="1779"/>
      <c r="B756" s="1779"/>
      <c r="C756" s="1779"/>
      <c r="D756" s="1779"/>
      <c r="E756" s="1779"/>
      <c r="F756" s="1779"/>
      <c r="G756" s="1779"/>
      <c r="H756" s="1779"/>
      <c r="I756" s="1779"/>
      <c r="J756" s="1779"/>
      <c r="K756" s="1780"/>
      <c r="L756" s="1781"/>
      <c r="M756" s="1779"/>
      <c r="N756" s="1779"/>
      <c r="O756" s="1779"/>
      <c r="P756" s="1816"/>
      <c r="Q756" s="1779"/>
      <c r="R756" s="1779"/>
      <c r="S756" s="1779"/>
      <c r="T756" s="1779"/>
      <c r="U756" s="1779"/>
      <c r="V756" s="1779"/>
      <c r="W756" s="1779"/>
      <c r="X756" s="1779"/>
      <c r="Y756" s="1779"/>
      <c r="Z756" s="1779"/>
      <c r="AA756" s="1779"/>
      <c r="AB756" s="1779"/>
      <c r="AC756" s="1779"/>
    </row>
    <row r="757" spans="1:29">
      <c r="A757" s="1779"/>
      <c r="B757" s="1779"/>
      <c r="C757" s="1779"/>
      <c r="D757" s="1779"/>
      <c r="E757" s="1779"/>
      <c r="F757" s="1779"/>
      <c r="G757" s="1779"/>
      <c r="H757" s="1779"/>
      <c r="I757" s="1779"/>
      <c r="J757" s="1779"/>
      <c r="K757" s="1780"/>
      <c r="L757" s="1781"/>
      <c r="M757" s="1779"/>
      <c r="N757" s="1779"/>
      <c r="O757" s="1779"/>
      <c r="P757" s="1816"/>
      <c r="Q757" s="1779"/>
      <c r="R757" s="1779"/>
      <c r="S757" s="1779"/>
      <c r="T757" s="1779"/>
      <c r="U757" s="1779"/>
      <c r="V757" s="1779"/>
      <c r="W757" s="1779"/>
      <c r="X757" s="1779"/>
      <c r="Y757" s="1779"/>
      <c r="Z757" s="1779"/>
      <c r="AA757" s="1779"/>
      <c r="AB757" s="1779"/>
      <c r="AC757" s="1779"/>
    </row>
    <row r="758" spans="1:29">
      <c r="A758" s="1779"/>
      <c r="B758" s="1779"/>
      <c r="C758" s="1779"/>
      <c r="D758" s="1779"/>
      <c r="E758" s="1779"/>
      <c r="F758" s="1779"/>
      <c r="G758" s="1779"/>
      <c r="H758" s="1779"/>
      <c r="I758" s="1779"/>
      <c r="J758" s="1779"/>
      <c r="K758" s="1780"/>
      <c r="L758" s="1781"/>
      <c r="M758" s="1779"/>
      <c r="N758" s="1779"/>
      <c r="O758" s="1779"/>
      <c r="P758" s="1816"/>
      <c r="Q758" s="1779"/>
      <c r="R758" s="1779"/>
      <c r="S758" s="1779"/>
      <c r="T758" s="1779"/>
      <c r="U758" s="1779"/>
      <c r="V758" s="1779"/>
      <c r="W758" s="1779"/>
      <c r="X758" s="1779"/>
      <c r="Y758" s="1779"/>
      <c r="Z758" s="1779"/>
      <c r="AA758" s="1779"/>
      <c r="AB758" s="1779"/>
      <c r="AC758" s="1779"/>
    </row>
    <row r="759" spans="1:29">
      <c r="A759" s="1779"/>
      <c r="B759" s="1779"/>
      <c r="C759" s="1779"/>
      <c r="D759" s="1779"/>
      <c r="E759" s="1779"/>
      <c r="F759" s="1779"/>
      <c r="G759" s="1779"/>
      <c r="H759" s="1779"/>
      <c r="I759" s="1779"/>
      <c r="J759" s="1779"/>
      <c r="K759" s="1780"/>
      <c r="L759" s="1781"/>
      <c r="M759" s="1779"/>
      <c r="N759" s="1779"/>
      <c r="O759" s="1779"/>
      <c r="P759" s="1816"/>
      <c r="Q759" s="1779"/>
      <c r="R759" s="1779"/>
      <c r="S759" s="1779"/>
      <c r="T759" s="1779"/>
      <c r="U759" s="1779"/>
      <c r="V759" s="1779"/>
      <c r="W759" s="1779"/>
      <c r="X759" s="1779"/>
      <c r="Y759" s="1779"/>
      <c r="Z759" s="1779"/>
      <c r="AA759" s="1779"/>
      <c r="AB759" s="1779"/>
      <c r="AC759" s="1779"/>
    </row>
    <row r="760" spans="1:29">
      <c r="A760" s="1779"/>
      <c r="B760" s="1779"/>
      <c r="C760" s="1779"/>
      <c r="D760" s="1779"/>
      <c r="E760" s="1779"/>
      <c r="F760" s="1779"/>
      <c r="G760" s="1779"/>
      <c r="H760" s="1779"/>
      <c r="I760" s="1779"/>
      <c r="J760" s="1779"/>
      <c r="K760" s="1780"/>
      <c r="L760" s="1781"/>
      <c r="M760" s="1779"/>
      <c r="N760" s="1779"/>
      <c r="O760" s="1779"/>
      <c r="P760" s="1816"/>
      <c r="Q760" s="1779"/>
      <c r="R760" s="1779"/>
      <c r="S760" s="1779"/>
      <c r="T760" s="1779"/>
      <c r="U760" s="1779"/>
      <c r="V760" s="1779"/>
      <c r="W760" s="1779"/>
      <c r="X760" s="1779"/>
      <c r="Y760" s="1779"/>
      <c r="Z760" s="1779"/>
      <c r="AA760" s="1779"/>
      <c r="AB760" s="1779"/>
      <c r="AC760" s="1779"/>
    </row>
    <row r="761" spans="1:29">
      <c r="A761" s="1779"/>
      <c r="B761" s="1779"/>
      <c r="C761" s="1779"/>
      <c r="D761" s="1779"/>
      <c r="E761" s="1779"/>
      <c r="F761" s="1779"/>
      <c r="G761" s="1779"/>
      <c r="H761" s="1779"/>
      <c r="I761" s="1779"/>
      <c r="J761" s="1779"/>
      <c r="K761" s="1780"/>
      <c r="L761" s="1781"/>
      <c r="M761" s="1779"/>
      <c r="N761" s="1779"/>
      <c r="O761" s="1779"/>
      <c r="P761" s="1816"/>
      <c r="Q761" s="1779"/>
      <c r="R761" s="1779"/>
      <c r="S761" s="1779"/>
      <c r="T761" s="1779"/>
      <c r="U761" s="1779"/>
      <c r="V761" s="1779"/>
      <c r="W761" s="1779"/>
      <c r="X761" s="1779"/>
      <c r="Y761" s="1779"/>
      <c r="Z761" s="1779"/>
      <c r="AA761" s="1779"/>
      <c r="AB761" s="1779"/>
      <c r="AC761" s="1779"/>
    </row>
    <row r="762" spans="1:29">
      <c r="A762" s="1779"/>
      <c r="B762" s="1779"/>
      <c r="C762" s="1779"/>
      <c r="D762" s="1779"/>
      <c r="E762" s="1779"/>
      <c r="F762" s="1779"/>
      <c r="G762" s="1779"/>
      <c r="H762" s="1779"/>
      <c r="I762" s="1779"/>
      <c r="J762" s="1779"/>
      <c r="K762" s="1780"/>
      <c r="L762" s="1781"/>
      <c r="M762" s="1779"/>
      <c r="N762" s="1779"/>
      <c r="O762" s="1779"/>
      <c r="P762" s="1816"/>
      <c r="Q762" s="1779"/>
      <c r="R762" s="1779"/>
      <c r="S762" s="1779"/>
      <c r="T762" s="1779"/>
      <c r="U762" s="1779"/>
      <c r="V762" s="1779"/>
      <c r="W762" s="1779"/>
      <c r="X762" s="1779"/>
      <c r="Y762" s="1779"/>
      <c r="Z762" s="1779"/>
      <c r="AA762" s="1779"/>
      <c r="AB762" s="1779"/>
      <c r="AC762" s="1779"/>
    </row>
    <row r="763" spans="1:29">
      <c r="A763" s="1779"/>
      <c r="B763" s="1779"/>
      <c r="C763" s="1779"/>
      <c r="D763" s="1779"/>
      <c r="E763" s="1779"/>
      <c r="F763" s="1779"/>
      <c r="G763" s="1779"/>
      <c r="H763" s="1779"/>
      <c r="I763" s="1779"/>
      <c r="J763" s="1779"/>
      <c r="K763" s="1780"/>
      <c r="L763" s="1781"/>
      <c r="M763" s="1779"/>
      <c r="N763" s="1779"/>
      <c r="O763" s="1779"/>
      <c r="P763" s="1816"/>
      <c r="Q763" s="1779"/>
      <c r="R763" s="1779"/>
      <c r="S763" s="1779"/>
      <c r="T763" s="1779"/>
      <c r="U763" s="1779"/>
      <c r="V763" s="1779"/>
      <c r="W763" s="1779"/>
      <c r="X763" s="1779"/>
      <c r="Y763" s="1779"/>
      <c r="Z763" s="1779"/>
      <c r="AA763" s="1779"/>
      <c r="AB763" s="1779"/>
      <c r="AC763" s="1779"/>
    </row>
    <row r="764" spans="1:29">
      <c r="A764" s="1779"/>
      <c r="B764" s="1779"/>
      <c r="C764" s="1779"/>
      <c r="D764" s="1779"/>
      <c r="E764" s="1779"/>
      <c r="F764" s="1779"/>
      <c r="G764" s="1779"/>
      <c r="H764" s="1779"/>
      <c r="I764" s="1779"/>
      <c r="J764" s="1779"/>
      <c r="K764" s="1780"/>
      <c r="L764" s="1781"/>
      <c r="M764" s="1779"/>
      <c r="N764" s="1779"/>
      <c r="O764" s="1779"/>
      <c r="P764" s="1816"/>
      <c r="Q764" s="1779"/>
      <c r="R764" s="1779"/>
      <c r="S764" s="1779"/>
      <c r="T764" s="1779"/>
      <c r="U764" s="1779"/>
      <c r="V764" s="1779"/>
      <c r="W764" s="1779"/>
      <c r="X764" s="1779"/>
      <c r="Y764" s="1779"/>
      <c r="Z764" s="1779"/>
      <c r="AA764" s="1779"/>
      <c r="AB764" s="1779"/>
      <c r="AC764" s="1779"/>
    </row>
    <row r="765" spans="1:29">
      <c r="A765" s="1779"/>
      <c r="B765" s="1779"/>
      <c r="C765" s="1779"/>
      <c r="D765" s="1779"/>
      <c r="E765" s="1779"/>
      <c r="F765" s="1779"/>
      <c r="G765" s="1779"/>
      <c r="H765" s="1779"/>
      <c r="I765" s="1779"/>
      <c r="J765" s="1779"/>
      <c r="K765" s="1780"/>
      <c r="L765" s="1781"/>
      <c r="M765" s="1779"/>
      <c r="N765" s="1779"/>
      <c r="O765" s="1779"/>
      <c r="P765" s="1816"/>
      <c r="Q765" s="1779"/>
      <c r="R765" s="1779"/>
      <c r="S765" s="1779"/>
      <c r="T765" s="1779"/>
      <c r="U765" s="1779"/>
      <c r="V765" s="1779"/>
      <c r="W765" s="1779"/>
      <c r="X765" s="1779"/>
      <c r="Y765" s="1779"/>
      <c r="Z765" s="1779"/>
      <c r="AA765" s="1779"/>
      <c r="AB765" s="1779"/>
      <c r="AC765" s="1779"/>
    </row>
    <row r="766" spans="1:29">
      <c r="A766" s="1779"/>
      <c r="B766" s="1779"/>
      <c r="C766" s="1779"/>
      <c r="D766" s="1779"/>
      <c r="E766" s="1779"/>
      <c r="F766" s="1779"/>
      <c r="G766" s="1779"/>
      <c r="H766" s="1779"/>
      <c r="I766" s="1779"/>
      <c r="J766" s="1779"/>
      <c r="K766" s="1780"/>
      <c r="L766" s="1781"/>
      <c r="M766" s="1779"/>
      <c r="N766" s="1779"/>
      <c r="O766" s="1779"/>
      <c r="P766" s="1816"/>
      <c r="Q766" s="1779"/>
      <c r="R766" s="1779"/>
      <c r="S766" s="1779"/>
      <c r="T766" s="1779"/>
      <c r="U766" s="1779"/>
      <c r="V766" s="1779"/>
      <c r="W766" s="1779"/>
      <c r="X766" s="1779"/>
      <c r="Y766" s="1779"/>
      <c r="Z766" s="1779"/>
      <c r="AA766" s="1779"/>
      <c r="AB766" s="1779"/>
      <c r="AC766" s="1779"/>
    </row>
    <row r="767" spans="1:29">
      <c r="A767" s="1779"/>
      <c r="B767" s="1779"/>
      <c r="C767" s="1779"/>
      <c r="D767" s="1779"/>
      <c r="E767" s="1779"/>
      <c r="F767" s="1779"/>
      <c r="G767" s="1779"/>
      <c r="H767" s="1779"/>
      <c r="I767" s="1779"/>
      <c r="J767" s="1779"/>
      <c r="K767" s="1780"/>
      <c r="L767" s="1781"/>
      <c r="M767" s="1779"/>
      <c r="N767" s="1779"/>
      <c r="O767" s="1779"/>
      <c r="P767" s="1816"/>
      <c r="Q767" s="1779"/>
      <c r="R767" s="1779"/>
      <c r="S767" s="1779"/>
      <c r="T767" s="1779"/>
      <c r="U767" s="1779"/>
      <c r="V767" s="1779"/>
      <c r="W767" s="1779"/>
      <c r="X767" s="1779"/>
      <c r="Y767" s="1779"/>
      <c r="Z767" s="1779"/>
      <c r="AA767" s="1779"/>
      <c r="AB767" s="1779"/>
      <c r="AC767" s="1779"/>
    </row>
    <row r="768" spans="1:29">
      <c r="A768" s="1779"/>
      <c r="B768" s="1779"/>
      <c r="C768" s="1779"/>
      <c r="D768" s="1779"/>
      <c r="E768" s="1779"/>
      <c r="F768" s="1779"/>
      <c r="G768" s="1779"/>
      <c r="H768" s="1779"/>
      <c r="I768" s="1779"/>
      <c r="J768" s="1779"/>
      <c r="K768" s="1780"/>
      <c r="L768" s="1781"/>
      <c r="M768" s="1779"/>
      <c r="N768" s="1779"/>
      <c r="O768" s="1779"/>
      <c r="P768" s="1816"/>
      <c r="Q768" s="1779"/>
      <c r="R768" s="1779"/>
      <c r="S768" s="1779"/>
      <c r="T768" s="1779"/>
      <c r="U768" s="1779"/>
      <c r="V768" s="1779"/>
      <c r="W768" s="1779"/>
      <c r="X768" s="1779"/>
      <c r="Y768" s="1779"/>
      <c r="Z768" s="1779"/>
      <c r="AA768" s="1779"/>
      <c r="AB768" s="1779"/>
      <c r="AC768" s="1779"/>
    </row>
    <row r="769" spans="1:29">
      <c r="A769" s="1779"/>
      <c r="B769" s="1779"/>
      <c r="C769" s="1779"/>
      <c r="D769" s="1779"/>
      <c r="E769" s="1779"/>
      <c r="F769" s="1779"/>
      <c r="G769" s="1779"/>
      <c r="H769" s="1779"/>
      <c r="I769" s="1779"/>
      <c r="J769" s="1779"/>
      <c r="K769" s="1780"/>
      <c r="L769" s="1781"/>
      <c r="M769" s="1779"/>
      <c r="N769" s="1779"/>
      <c r="O769" s="1779"/>
      <c r="P769" s="1816"/>
      <c r="Q769" s="1779"/>
      <c r="R769" s="1779"/>
      <c r="S769" s="1779"/>
      <c r="T769" s="1779"/>
      <c r="U769" s="1779"/>
      <c r="V769" s="1779"/>
      <c r="W769" s="1779"/>
      <c r="X769" s="1779"/>
      <c r="Y769" s="1779"/>
      <c r="Z769" s="1779"/>
      <c r="AA769" s="1779"/>
      <c r="AB769" s="1779"/>
      <c r="AC769" s="1779"/>
    </row>
    <row r="770" spans="1:29">
      <c r="A770" s="1779"/>
      <c r="B770" s="1779"/>
      <c r="C770" s="1779"/>
      <c r="D770" s="1779"/>
      <c r="E770" s="1779"/>
      <c r="F770" s="1779"/>
      <c r="G770" s="1779"/>
      <c r="H770" s="1779"/>
      <c r="I770" s="1779"/>
      <c r="J770" s="1779"/>
      <c r="K770" s="1780"/>
      <c r="L770" s="1781"/>
      <c r="M770" s="1779"/>
      <c r="N770" s="1779"/>
      <c r="O770" s="1779"/>
      <c r="P770" s="1816"/>
      <c r="Q770" s="1779"/>
      <c r="R770" s="1779"/>
      <c r="S770" s="1779"/>
      <c r="T770" s="1779"/>
      <c r="U770" s="1779"/>
      <c r="V770" s="1779"/>
      <c r="W770" s="1779"/>
      <c r="X770" s="1779"/>
      <c r="Y770" s="1779"/>
      <c r="Z770" s="1779"/>
      <c r="AA770" s="1779"/>
      <c r="AB770" s="1779"/>
      <c r="AC770" s="1779"/>
    </row>
    <row r="771" spans="1:29">
      <c r="A771" s="1779"/>
      <c r="B771" s="1779"/>
      <c r="C771" s="1779"/>
      <c r="D771" s="1779"/>
      <c r="E771" s="1779"/>
      <c r="F771" s="1779"/>
      <c r="G771" s="1779"/>
      <c r="H771" s="1779"/>
      <c r="I771" s="1779"/>
      <c r="J771" s="1779"/>
      <c r="K771" s="1780"/>
      <c r="L771" s="1781"/>
      <c r="M771" s="1779"/>
      <c r="N771" s="1779"/>
      <c r="O771" s="1779"/>
      <c r="P771" s="1816"/>
      <c r="Q771" s="1779"/>
      <c r="R771" s="1779"/>
      <c r="S771" s="1779"/>
      <c r="T771" s="1779"/>
      <c r="U771" s="1779"/>
      <c r="V771" s="1779"/>
      <c r="W771" s="1779"/>
      <c r="X771" s="1779"/>
      <c r="Y771" s="1779"/>
      <c r="Z771" s="1779"/>
      <c r="AA771" s="1779"/>
      <c r="AB771" s="1779"/>
      <c r="AC771" s="1779"/>
    </row>
    <row r="772" spans="1:29">
      <c r="A772" s="1779"/>
      <c r="B772" s="1779"/>
      <c r="C772" s="1779"/>
      <c r="D772" s="1779"/>
      <c r="E772" s="1779"/>
      <c r="F772" s="1779"/>
      <c r="G772" s="1779"/>
      <c r="H772" s="1779"/>
      <c r="I772" s="1779"/>
      <c r="J772" s="1779"/>
      <c r="K772" s="1780"/>
      <c r="L772" s="1781"/>
      <c r="M772" s="1779"/>
      <c r="N772" s="1779"/>
      <c r="O772" s="1779"/>
      <c r="P772" s="1816"/>
      <c r="Q772" s="1779"/>
      <c r="R772" s="1779"/>
      <c r="S772" s="1779"/>
      <c r="T772" s="1779"/>
      <c r="U772" s="1779"/>
      <c r="V772" s="1779"/>
      <c r="W772" s="1779"/>
      <c r="X772" s="1779"/>
      <c r="Y772" s="1779"/>
      <c r="Z772" s="1779"/>
      <c r="AA772" s="1779"/>
      <c r="AB772" s="1779"/>
      <c r="AC772" s="1779"/>
    </row>
    <row r="773" spans="1:29">
      <c r="A773" s="1779"/>
      <c r="B773" s="1779"/>
      <c r="C773" s="1779"/>
      <c r="D773" s="1779"/>
      <c r="E773" s="1779"/>
      <c r="F773" s="1779"/>
      <c r="G773" s="1779"/>
      <c r="H773" s="1779"/>
      <c r="I773" s="1779"/>
      <c r="J773" s="1779"/>
      <c r="K773" s="1780"/>
      <c r="L773" s="1781"/>
      <c r="M773" s="1779"/>
      <c r="N773" s="1779"/>
      <c r="O773" s="1779"/>
      <c r="P773" s="1816"/>
      <c r="Q773" s="1779"/>
      <c r="R773" s="1779"/>
      <c r="S773" s="1779"/>
      <c r="T773" s="1779"/>
      <c r="U773" s="1779"/>
      <c r="V773" s="1779"/>
      <c r="W773" s="1779"/>
      <c r="X773" s="1779"/>
      <c r="Y773" s="1779"/>
      <c r="Z773" s="1779"/>
      <c r="AA773" s="1779"/>
      <c r="AB773" s="1779"/>
      <c r="AC773" s="1779"/>
    </row>
    <row r="774" spans="1:29">
      <c r="A774" s="1779"/>
      <c r="B774" s="1779"/>
      <c r="C774" s="1779"/>
      <c r="D774" s="1779"/>
      <c r="E774" s="1779"/>
      <c r="F774" s="1779"/>
      <c r="G774" s="1779"/>
      <c r="H774" s="1779"/>
      <c r="I774" s="1779"/>
      <c r="J774" s="1779"/>
      <c r="K774" s="1780"/>
      <c r="L774" s="1781"/>
      <c r="M774" s="1779"/>
      <c r="N774" s="1779"/>
      <c r="O774" s="1779"/>
      <c r="P774" s="1816"/>
      <c r="Q774" s="1779"/>
      <c r="R774" s="1779"/>
      <c r="S774" s="1779"/>
      <c r="T774" s="1779"/>
      <c r="U774" s="1779"/>
      <c r="V774" s="1779"/>
      <c r="W774" s="1779"/>
      <c r="X774" s="1779"/>
      <c r="Y774" s="1779"/>
      <c r="Z774" s="1779"/>
      <c r="AA774" s="1779"/>
      <c r="AB774" s="1779"/>
      <c r="AC774" s="1779"/>
    </row>
    <row r="775" spans="1:29">
      <c r="A775" s="1779"/>
      <c r="B775" s="1779"/>
      <c r="C775" s="1779"/>
      <c r="D775" s="1779"/>
      <c r="E775" s="1779"/>
      <c r="F775" s="1779"/>
      <c r="G775" s="1779"/>
      <c r="H775" s="1779"/>
      <c r="I775" s="1779"/>
      <c r="J775" s="1779"/>
      <c r="K775" s="1780"/>
      <c r="L775" s="1781"/>
      <c r="M775" s="1779"/>
      <c r="N775" s="1779"/>
      <c r="O775" s="1779"/>
      <c r="P775" s="1816"/>
      <c r="Q775" s="1779"/>
      <c r="R775" s="1779"/>
      <c r="S775" s="1779"/>
      <c r="T775" s="1779"/>
      <c r="U775" s="1779"/>
      <c r="V775" s="1779"/>
      <c r="W775" s="1779"/>
      <c r="X775" s="1779"/>
      <c r="Y775" s="1779"/>
      <c r="Z775" s="1779"/>
      <c r="AA775" s="1779"/>
      <c r="AB775" s="1779"/>
      <c r="AC775" s="1779"/>
    </row>
    <row r="776" spans="1:29">
      <c r="A776" s="1779"/>
      <c r="B776" s="1779"/>
      <c r="C776" s="1779"/>
      <c r="D776" s="1779"/>
      <c r="E776" s="1779"/>
      <c r="F776" s="1779"/>
      <c r="G776" s="1779"/>
      <c r="H776" s="1779"/>
      <c r="I776" s="1779"/>
      <c r="J776" s="1779"/>
      <c r="K776" s="1780"/>
      <c r="L776" s="1781"/>
      <c r="M776" s="1779"/>
      <c r="N776" s="1779"/>
      <c r="O776" s="1779"/>
      <c r="P776" s="1816"/>
      <c r="Q776" s="1779"/>
      <c r="R776" s="1779"/>
      <c r="S776" s="1779"/>
      <c r="T776" s="1779"/>
      <c r="U776" s="1779"/>
      <c r="V776" s="1779"/>
      <c r="W776" s="1779"/>
      <c r="X776" s="1779"/>
      <c r="Y776" s="1779"/>
      <c r="Z776" s="1779"/>
      <c r="AA776" s="1779"/>
      <c r="AB776" s="1779"/>
      <c r="AC776" s="1779"/>
    </row>
    <row r="777" spans="1:29">
      <c r="A777" s="1779"/>
      <c r="B777" s="1779"/>
      <c r="C777" s="1779"/>
      <c r="D777" s="1779"/>
      <c r="E777" s="1779"/>
      <c r="F777" s="1779"/>
      <c r="G777" s="1779"/>
      <c r="H777" s="1779"/>
      <c r="I777" s="1779"/>
      <c r="J777" s="1779"/>
      <c r="K777" s="1780"/>
      <c r="L777" s="1781"/>
      <c r="M777" s="1779"/>
      <c r="N777" s="1779"/>
      <c r="O777" s="1779"/>
      <c r="P777" s="1816"/>
      <c r="Q777" s="1779"/>
      <c r="R777" s="1779"/>
      <c r="S777" s="1779"/>
      <c r="T777" s="1779"/>
      <c r="U777" s="1779"/>
      <c r="V777" s="1779"/>
      <c r="W777" s="1779"/>
      <c r="X777" s="1779"/>
      <c r="Y777" s="1779"/>
      <c r="Z777" s="1779"/>
      <c r="AA777" s="1779"/>
      <c r="AB777" s="1779"/>
      <c r="AC777" s="1779"/>
    </row>
    <row r="778" spans="1:29">
      <c r="A778" s="1779"/>
      <c r="B778" s="1779"/>
      <c r="C778" s="1779"/>
      <c r="D778" s="1779"/>
      <c r="E778" s="1779"/>
      <c r="F778" s="1779"/>
      <c r="G778" s="1779"/>
      <c r="H778" s="1779"/>
      <c r="I778" s="1779"/>
      <c r="J778" s="1779"/>
      <c r="K778" s="1780"/>
      <c r="L778" s="1781"/>
      <c r="M778" s="1779"/>
      <c r="N778" s="1779"/>
      <c r="O778" s="1779"/>
      <c r="P778" s="1816"/>
      <c r="Q778" s="1779"/>
      <c r="R778" s="1779"/>
      <c r="S778" s="1779"/>
      <c r="T778" s="1779"/>
      <c r="U778" s="1779"/>
      <c r="V778" s="1779"/>
      <c r="W778" s="1779"/>
      <c r="X778" s="1779"/>
      <c r="Y778" s="1779"/>
      <c r="Z778" s="1779"/>
      <c r="AA778" s="1779"/>
      <c r="AB778" s="1779"/>
      <c r="AC778" s="1779"/>
    </row>
    <row r="779" spans="1:29">
      <c r="A779" s="1779"/>
      <c r="B779" s="1779"/>
      <c r="C779" s="1779"/>
      <c r="D779" s="1779"/>
      <c r="E779" s="1779"/>
      <c r="F779" s="1779"/>
      <c r="G779" s="1779"/>
      <c r="H779" s="1779"/>
      <c r="I779" s="1779"/>
      <c r="J779" s="1779"/>
      <c r="K779" s="1780"/>
      <c r="L779" s="1781"/>
      <c r="M779" s="1779"/>
      <c r="N779" s="1779"/>
      <c r="O779" s="1779"/>
      <c r="P779" s="1816"/>
      <c r="Q779" s="1779"/>
      <c r="R779" s="1779"/>
      <c r="S779" s="1779"/>
      <c r="T779" s="1779"/>
      <c r="U779" s="1779"/>
      <c r="V779" s="1779"/>
      <c r="W779" s="1779"/>
      <c r="X779" s="1779"/>
      <c r="Y779" s="1779"/>
      <c r="Z779" s="1779"/>
      <c r="AA779" s="1779"/>
      <c r="AB779" s="1779"/>
      <c r="AC779" s="1779"/>
    </row>
    <row r="780" spans="1:29">
      <c r="A780" s="1779"/>
      <c r="B780" s="1779"/>
      <c r="C780" s="1779"/>
      <c r="D780" s="1779"/>
      <c r="E780" s="1779"/>
      <c r="F780" s="1779"/>
      <c r="G780" s="1779"/>
      <c r="H780" s="1779"/>
      <c r="I780" s="1779"/>
      <c r="J780" s="1779"/>
      <c r="K780" s="1780"/>
      <c r="L780" s="1781"/>
      <c r="M780" s="1779"/>
      <c r="N780" s="1779"/>
      <c r="O780" s="1779"/>
      <c r="P780" s="1816"/>
      <c r="Q780" s="1779"/>
      <c r="R780" s="1779"/>
      <c r="S780" s="1779"/>
      <c r="T780" s="1779"/>
      <c r="U780" s="1779"/>
      <c r="V780" s="1779"/>
      <c r="W780" s="1779"/>
      <c r="X780" s="1779"/>
      <c r="Y780" s="1779"/>
      <c r="Z780" s="1779"/>
      <c r="AA780" s="1779"/>
      <c r="AB780" s="1779"/>
      <c r="AC780" s="1779"/>
    </row>
    <row r="781" spans="1:29">
      <c r="A781" s="1779"/>
      <c r="B781" s="1779"/>
      <c r="C781" s="1779"/>
      <c r="D781" s="1779"/>
      <c r="E781" s="1779"/>
      <c r="F781" s="1779"/>
      <c r="G781" s="1779"/>
      <c r="H781" s="1779"/>
      <c r="I781" s="1779"/>
      <c r="J781" s="1779"/>
      <c r="K781" s="1780"/>
      <c r="L781" s="1781"/>
      <c r="M781" s="1779"/>
      <c r="N781" s="1779"/>
      <c r="O781" s="1779"/>
      <c r="P781" s="1816"/>
      <c r="Q781" s="1779"/>
      <c r="R781" s="1779"/>
      <c r="S781" s="1779"/>
      <c r="T781" s="1779"/>
      <c r="U781" s="1779"/>
      <c r="V781" s="1779"/>
      <c r="W781" s="1779"/>
      <c r="X781" s="1779"/>
      <c r="Y781" s="1779"/>
      <c r="Z781" s="1779"/>
      <c r="AA781" s="1779"/>
      <c r="AB781" s="1779"/>
      <c r="AC781" s="1779"/>
    </row>
    <row r="782" spans="1:29">
      <c r="A782" s="1779"/>
      <c r="B782" s="1779"/>
      <c r="C782" s="1779"/>
      <c r="D782" s="1779"/>
      <c r="E782" s="1779"/>
      <c r="F782" s="1779"/>
      <c r="G782" s="1779"/>
      <c r="H782" s="1779"/>
      <c r="I782" s="1779"/>
      <c r="J782" s="1779"/>
      <c r="K782" s="1780"/>
      <c r="L782" s="1781"/>
      <c r="M782" s="1779"/>
      <c r="N782" s="1779"/>
      <c r="O782" s="1779"/>
      <c r="P782" s="1816"/>
      <c r="Q782" s="1779"/>
      <c r="R782" s="1779"/>
      <c r="S782" s="1779"/>
      <c r="T782" s="1779"/>
      <c r="U782" s="1779"/>
      <c r="V782" s="1779"/>
      <c r="W782" s="1779"/>
      <c r="X782" s="1779"/>
      <c r="Y782" s="1779"/>
      <c r="Z782" s="1779"/>
      <c r="AA782" s="1779"/>
      <c r="AB782" s="1779"/>
      <c r="AC782" s="1779"/>
    </row>
    <row r="783" spans="1:29">
      <c r="A783" s="1779"/>
      <c r="B783" s="1779"/>
      <c r="C783" s="1779"/>
      <c r="D783" s="1779"/>
      <c r="E783" s="1779"/>
      <c r="F783" s="1779"/>
      <c r="G783" s="1779"/>
      <c r="H783" s="1779"/>
      <c r="I783" s="1779"/>
      <c r="J783" s="1779"/>
      <c r="K783" s="1780"/>
      <c r="L783" s="1781"/>
      <c r="M783" s="1779"/>
      <c r="N783" s="1779"/>
      <c r="O783" s="1779"/>
      <c r="P783" s="1816"/>
      <c r="Q783" s="1779"/>
      <c r="R783" s="1779"/>
      <c r="S783" s="1779"/>
      <c r="T783" s="1779"/>
      <c r="U783" s="1779"/>
      <c r="V783" s="1779"/>
      <c r="W783" s="1779"/>
      <c r="X783" s="1779"/>
      <c r="Y783" s="1779"/>
      <c r="Z783" s="1779"/>
      <c r="AA783" s="1779"/>
      <c r="AB783" s="1779"/>
      <c r="AC783" s="1779"/>
    </row>
    <row r="784" spans="1:29">
      <c r="A784" s="1779"/>
      <c r="B784" s="1779"/>
      <c r="C784" s="1779"/>
      <c r="D784" s="1779"/>
      <c r="E784" s="1779"/>
      <c r="F784" s="1779"/>
      <c r="G784" s="1779"/>
      <c r="H784" s="1779"/>
      <c r="I784" s="1779"/>
      <c r="J784" s="1779"/>
      <c r="K784" s="1780"/>
      <c r="L784" s="1781"/>
      <c r="M784" s="1779"/>
      <c r="N784" s="1779"/>
      <c r="O784" s="1779"/>
      <c r="P784" s="1816"/>
      <c r="Q784" s="1779"/>
      <c r="R784" s="1779"/>
      <c r="S784" s="1779"/>
      <c r="T784" s="1779"/>
      <c r="U784" s="1779"/>
      <c r="V784" s="1779"/>
      <c r="W784" s="1779"/>
      <c r="X784" s="1779"/>
      <c r="Y784" s="1779"/>
      <c r="Z784" s="1779"/>
      <c r="AA784" s="1779"/>
      <c r="AB784" s="1779"/>
      <c r="AC784" s="1779"/>
    </row>
    <row r="785" spans="1:29">
      <c r="A785" s="1779"/>
      <c r="B785" s="1779"/>
      <c r="C785" s="1779"/>
      <c r="D785" s="1779"/>
      <c r="E785" s="1779"/>
      <c r="F785" s="1779"/>
      <c r="G785" s="1779"/>
      <c r="H785" s="1779"/>
      <c r="I785" s="1779"/>
      <c r="J785" s="1779"/>
      <c r="K785" s="1780"/>
      <c r="L785" s="1781"/>
      <c r="M785" s="1779"/>
      <c r="N785" s="1779"/>
      <c r="O785" s="1779"/>
      <c r="P785" s="1816"/>
      <c r="Q785" s="1779"/>
      <c r="R785" s="1779"/>
      <c r="S785" s="1779"/>
      <c r="T785" s="1779"/>
      <c r="U785" s="1779"/>
      <c r="V785" s="1779"/>
      <c r="W785" s="1779"/>
      <c r="X785" s="1779"/>
      <c r="Y785" s="1779"/>
      <c r="Z785" s="1779"/>
      <c r="AA785" s="1779"/>
      <c r="AB785" s="1779"/>
      <c r="AC785" s="1779"/>
    </row>
    <row r="786" spans="1:29">
      <c r="A786" s="1779"/>
      <c r="B786" s="1779"/>
      <c r="C786" s="1779"/>
      <c r="D786" s="1779"/>
      <c r="E786" s="1779"/>
      <c r="F786" s="1779"/>
      <c r="G786" s="1779"/>
      <c r="H786" s="1779"/>
      <c r="I786" s="1779"/>
      <c r="J786" s="1779"/>
      <c r="K786" s="1780"/>
      <c r="L786" s="1781"/>
      <c r="M786" s="1779"/>
      <c r="N786" s="1779"/>
      <c r="O786" s="1779"/>
      <c r="P786" s="1816"/>
      <c r="Q786" s="1779"/>
      <c r="R786" s="1779"/>
      <c r="S786" s="1779"/>
      <c r="T786" s="1779"/>
      <c r="U786" s="1779"/>
      <c r="V786" s="1779"/>
      <c r="W786" s="1779"/>
      <c r="X786" s="1779"/>
      <c r="Y786" s="1779"/>
      <c r="Z786" s="1779"/>
      <c r="AA786" s="1779"/>
      <c r="AB786" s="1779"/>
      <c r="AC786" s="1779"/>
    </row>
    <row r="787" spans="1:29">
      <c r="A787" s="1779"/>
      <c r="B787" s="1779"/>
      <c r="C787" s="1779"/>
      <c r="D787" s="1779"/>
      <c r="E787" s="1779"/>
      <c r="F787" s="1779"/>
      <c r="G787" s="1779"/>
      <c r="H787" s="1779"/>
      <c r="I787" s="1779"/>
      <c r="J787" s="1779"/>
      <c r="K787" s="1780"/>
      <c r="L787" s="1781"/>
      <c r="M787" s="1779"/>
      <c r="N787" s="1779"/>
      <c r="O787" s="1779"/>
      <c r="P787" s="1816"/>
      <c r="Q787" s="1779"/>
      <c r="R787" s="1779"/>
      <c r="S787" s="1779"/>
      <c r="T787" s="1779"/>
      <c r="U787" s="1779"/>
      <c r="V787" s="1779"/>
      <c r="W787" s="1779"/>
      <c r="X787" s="1779"/>
      <c r="Y787" s="1779"/>
      <c r="Z787" s="1779"/>
      <c r="AA787" s="1779"/>
      <c r="AB787" s="1779"/>
      <c r="AC787" s="1779"/>
    </row>
    <row r="788" spans="1:29">
      <c r="A788" s="1779"/>
      <c r="B788" s="1779"/>
      <c r="C788" s="1779"/>
      <c r="D788" s="1779"/>
      <c r="E788" s="1779"/>
      <c r="F788" s="1779"/>
      <c r="G788" s="1779"/>
      <c r="H788" s="1779"/>
      <c r="I788" s="1779"/>
      <c r="J788" s="1779"/>
      <c r="K788" s="1780"/>
      <c r="L788" s="1781"/>
      <c r="M788" s="1779"/>
      <c r="N788" s="1779"/>
      <c r="O788" s="1779"/>
      <c r="P788" s="1816"/>
      <c r="Q788" s="1779"/>
      <c r="R788" s="1779"/>
      <c r="S788" s="1779"/>
      <c r="T788" s="1779"/>
      <c r="U788" s="1779"/>
      <c r="V788" s="1779"/>
      <c r="W788" s="1779"/>
      <c r="X788" s="1779"/>
      <c r="Y788" s="1779"/>
      <c r="Z788" s="1779"/>
      <c r="AA788" s="1779"/>
      <c r="AB788" s="1779"/>
      <c r="AC788" s="1779"/>
    </row>
    <row r="789" spans="1:29">
      <c r="A789" s="1779"/>
      <c r="B789" s="1779"/>
      <c r="C789" s="1779"/>
      <c r="D789" s="1779"/>
      <c r="E789" s="1779"/>
      <c r="F789" s="1779"/>
      <c r="G789" s="1779"/>
      <c r="H789" s="1779"/>
      <c r="I789" s="1779"/>
      <c r="J789" s="1779"/>
      <c r="K789" s="1780"/>
      <c r="L789" s="1781"/>
      <c r="M789" s="1779"/>
      <c r="N789" s="1779"/>
      <c r="O789" s="1779"/>
      <c r="P789" s="1816"/>
      <c r="Q789" s="1779"/>
      <c r="R789" s="1779"/>
      <c r="S789" s="1779"/>
      <c r="T789" s="1779"/>
      <c r="U789" s="1779"/>
      <c r="V789" s="1779"/>
      <c r="W789" s="1779"/>
      <c r="X789" s="1779"/>
      <c r="Y789" s="1779"/>
      <c r="Z789" s="1779"/>
      <c r="AA789" s="1779"/>
      <c r="AB789" s="1779"/>
      <c r="AC789" s="1779"/>
    </row>
    <row r="790" spans="1:29">
      <c r="A790" s="1779"/>
      <c r="B790" s="1779"/>
      <c r="C790" s="1779"/>
      <c r="D790" s="1779"/>
      <c r="E790" s="1779"/>
      <c r="F790" s="1779"/>
      <c r="G790" s="1779"/>
      <c r="H790" s="1779"/>
      <c r="I790" s="1779"/>
      <c r="J790" s="1779"/>
      <c r="K790" s="1780"/>
      <c r="L790" s="1781"/>
      <c r="M790" s="1779"/>
      <c r="N790" s="1779"/>
      <c r="O790" s="1779"/>
      <c r="P790" s="1816"/>
      <c r="Q790" s="1779"/>
      <c r="R790" s="1779"/>
      <c r="S790" s="1779"/>
      <c r="T790" s="1779"/>
      <c r="U790" s="1779"/>
      <c r="V790" s="1779"/>
      <c r="W790" s="1779"/>
      <c r="X790" s="1779"/>
      <c r="Y790" s="1779"/>
      <c r="Z790" s="1779"/>
      <c r="AA790" s="1779"/>
      <c r="AB790" s="1779"/>
      <c r="AC790" s="1779"/>
    </row>
    <row r="791" spans="1:29">
      <c r="A791" s="1779"/>
      <c r="B791" s="1779"/>
      <c r="C791" s="1779"/>
      <c r="D791" s="1779"/>
      <c r="E791" s="1779"/>
      <c r="F791" s="1779"/>
      <c r="G791" s="1779"/>
      <c r="H791" s="1779"/>
      <c r="I791" s="1779"/>
      <c r="J791" s="1779"/>
      <c r="K791" s="1780"/>
      <c r="L791" s="1781"/>
      <c r="M791" s="1779"/>
      <c r="N791" s="1779"/>
      <c r="O791" s="1779"/>
      <c r="P791" s="1816"/>
      <c r="Q791" s="1779"/>
      <c r="R791" s="1779"/>
      <c r="S791" s="1779"/>
      <c r="T791" s="1779"/>
      <c r="U791" s="1779"/>
      <c r="V791" s="1779"/>
      <c r="W791" s="1779"/>
      <c r="X791" s="1779"/>
      <c r="Y791" s="1779"/>
      <c r="Z791" s="1779"/>
      <c r="AA791" s="1779"/>
      <c r="AB791" s="1779"/>
      <c r="AC791" s="1779"/>
    </row>
    <row r="792" spans="1:29">
      <c r="A792" s="1779"/>
      <c r="B792" s="1779"/>
      <c r="C792" s="1779"/>
      <c r="D792" s="1779"/>
      <c r="E792" s="1779"/>
      <c r="F792" s="1779"/>
      <c r="G792" s="1779"/>
      <c r="H792" s="1779"/>
      <c r="I792" s="1779"/>
      <c r="J792" s="1779"/>
      <c r="K792" s="1780"/>
      <c r="L792" s="1781"/>
      <c r="M792" s="1779"/>
      <c r="N792" s="1779"/>
      <c r="O792" s="1779"/>
      <c r="P792" s="1816"/>
      <c r="Q792" s="1779"/>
      <c r="R792" s="1779"/>
      <c r="S792" s="1779"/>
      <c r="T792" s="1779"/>
      <c r="U792" s="1779"/>
      <c r="V792" s="1779"/>
      <c r="W792" s="1779"/>
      <c r="X792" s="1779"/>
      <c r="Y792" s="1779"/>
      <c r="Z792" s="1779"/>
      <c r="AA792" s="1779"/>
      <c r="AB792" s="1779"/>
      <c r="AC792" s="1779"/>
    </row>
    <row r="793" spans="1:29">
      <c r="A793" s="1779"/>
      <c r="B793" s="1779"/>
      <c r="C793" s="1779"/>
      <c r="D793" s="1779"/>
      <c r="E793" s="1779"/>
      <c r="F793" s="1779"/>
      <c r="G793" s="1779"/>
      <c r="H793" s="1779"/>
      <c r="I793" s="1779"/>
      <c r="J793" s="1779"/>
      <c r="K793" s="1780"/>
      <c r="L793" s="1781"/>
      <c r="M793" s="1779"/>
      <c r="N793" s="1779"/>
      <c r="O793" s="1779"/>
      <c r="P793" s="1816"/>
      <c r="Q793" s="1779"/>
      <c r="R793" s="1779"/>
      <c r="S793" s="1779"/>
      <c r="T793" s="1779"/>
      <c r="U793" s="1779"/>
      <c r="V793" s="1779"/>
      <c r="W793" s="1779"/>
      <c r="X793" s="1779"/>
      <c r="Y793" s="1779"/>
      <c r="Z793" s="1779"/>
      <c r="AA793" s="1779"/>
      <c r="AB793" s="1779"/>
      <c r="AC793" s="1779"/>
    </row>
    <row r="794" spans="1:29">
      <c r="A794" s="1779"/>
      <c r="B794" s="1779"/>
      <c r="C794" s="1779"/>
      <c r="D794" s="1779"/>
      <c r="E794" s="1779"/>
      <c r="F794" s="1779"/>
      <c r="G794" s="1779"/>
      <c r="H794" s="1779"/>
      <c r="I794" s="1779"/>
      <c r="J794" s="1779"/>
      <c r="K794" s="1780"/>
      <c r="L794" s="1781"/>
      <c r="M794" s="1779"/>
      <c r="N794" s="1779"/>
      <c r="O794" s="1779"/>
      <c r="P794" s="1816"/>
      <c r="Q794" s="1779"/>
      <c r="R794" s="1779"/>
      <c r="S794" s="1779"/>
      <c r="T794" s="1779"/>
      <c r="U794" s="1779"/>
      <c r="V794" s="1779"/>
      <c r="W794" s="1779"/>
      <c r="X794" s="1779"/>
      <c r="Y794" s="1779"/>
      <c r="Z794" s="1779"/>
      <c r="AA794" s="1779"/>
      <c r="AB794" s="1779"/>
      <c r="AC794" s="1779"/>
    </row>
    <row r="795" spans="1:29">
      <c r="A795" s="1779"/>
      <c r="B795" s="1779"/>
      <c r="C795" s="1779"/>
      <c r="D795" s="1779"/>
      <c r="E795" s="1779"/>
      <c r="F795" s="1779"/>
      <c r="G795" s="1779"/>
      <c r="H795" s="1779"/>
      <c r="I795" s="1779"/>
      <c r="J795" s="1779"/>
      <c r="K795" s="1780"/>
      <c r="L795" s="1781"/>
      <c r="M795" s="1779"/>
      <c r="N795" s="1779"/>
      <c r="O795" s="1779"/>
      <c r="P795" s="1816"/>
      <c r="Q795" s="1779"/>
      <c r="R795" s="1779"/>
      <c r="S795" s="1779"/>
      <c r="T795" s="1779"/>
      <c r="U795" s="1779"/>
      <c r="V795" s="1779"/>
      <c r="W795" s="1779"/>
      <c r="X795" s="1779"/>
      <c r="Y795" s="1779"/>
      <c r="Z795" s="1779"/>
      <c r="AA795" s="1779"/>
      <c r="AB795" s="1779"/>
      <c r="AC795" s="1779"/>
    </row>
    <row r="796" spans="1:29">
      <c r="A796" s="1779"/>
      <c r="B796" s="1779"/>
      <c r="C796" s="1779"/>
      <c r="D796" s="1779"/>
      <c r="E796" s="1779"/>
      <c r="F796" s="1779"/>
      <c r="G796" s="1779"/>
      <c r="H796" s="1779"/>
      <c r="I796" s="1779"/>
      <c r="J796" s="1779"/>
      <c r="K796" s="1780"/>
      <c r="L796" s="1781"/>
      <c r="M796" s="1779"/>
      <c r="N796" s="1779"/>
      <c r="O796" s="1779"/>
      <c r="P796" s="1816"/>
      <c r="Q796" s="1779"/>
      <c r="R796" s="1779"/>
      <c r="S796" s="1779"/>
      <c r="T796" s="1779"/>
      <c r="U796" s="1779"/>
      <c r="V796" s="1779"/>
      <c r="W796" s="1779"/>
      <c r="X796" s="1779"/>
      <c r="Y796" s="1779"/>
      <c r="Z796" s="1779"/>
      <c r="AA796" s="1779"/>
      <c r="AB796" s="1779"/>
      <c r="AC796" s="1779"/>
    </row>
    <row r="797" spans="1:29">
      <c r="A797" s="1779"/>
      <c r="B797" s="1779"/>
      <c r="C797" s="1779"/>
      <c r="D797" s="1779"/>
      <c r="E797" s="1779"/>
      <c r="F797" s="1779"/>
      <c r="G797" s="1779"/>
      <c r="H797" s="1779"/>
      <c r="I797" s="1779"/>
      <c r="J797" s="1779"/>
      <c r="K797" s="1780"/>
      <c r="L797" s="1781"/>
      <c r="M797" s="1779"/>
      <c r="N797" s="1779"/>
      <c r="O797" s="1779"/>
      <c r="P797" s="1816"/>
      <c r="Q797" s="1779"/>
      <c r="R797" s="1779"/>
      <c r="S797" s="1779"/>
      <c r="T797" s="1779"/>
      <c r="U797" s="1779"/>
      <c r="V797" s="1779"/>
      <c r="W797" s="1779"/>
      <c r="X797" s="1779"/>
      <c r="Y797" s="1779"/>
      <c r="Z797" s="1779"/>
      <c r="AA797" s="1779"/>
      <c r="AB797" s="1779"/>
      <c r="AC797" s="1779"/>
    </row>
    <row r="798" spans="1:29">
      <c r="A798" s="1779"/>
      <c r="B798" s="1779"/>
      <c r="C798" s="1779"/>
      <c r="D798" s="1779"/>
      <c r="E798" s="1779"/>
      <c r="F798" s="1779"/>
      <c r="G798" s="1779"/>
      <c r="H798" s="1779"/>
      <c r="I798" s="1779"/>
      <c r="J798" s="1779"/>
      <c r="K798" s="1780"/>
      <c r="L798" s="1781"/>
      <c r="M798" s="1779"/>
      <c r="N798" s="1779"/>
      <c r="O798" s="1779"/>
      <c r="P798" s="1816"/>
      <c r="Q798" s="1779"/>
      <c r="R798" s="1779"/>
      <c r="S798" s="1779"/>
      <c r="T798" s="1779"/>
      <c r="U798" s="1779"/>
      <c r="V798" s="1779"/>
      <c r="W798" s="1779"/>
      <c r="X798" s="1779"/>
      <c r="Y798" s="1779"/>
      <c r="Z798" s="1779"/>
      <c r="AA798" s="1779"/>
      <c r="AB798" s="1779"/>
      <c r="AC798" s="1779"/>
    </row>
    <row r="799" spans="1:29">
      <c r="A799" s="1779"/>
      <c r="B799" s="1779"/>
      <c r="C799" s="1779"/>
      <c r="D799" s="1779"/>
      <c r="E799" s="1779"/>
      <c r="F799" s="1779"/>
      <c r="G799" s="1779"/>
      <c r="H799" s="1779"/>
      <c r="I799" s="1779"/>
      <c r="J799" s="1779"/>
      <c r="K799" s="1780"/>
      <c r="L799" s="1781"/>
      <c r="M799" s="1779"/>
      <c r="N799" s="1779"/>
      <c r="O799" s="1779"/>
      <c r="P799" s="1816"/>
      <c r="Q799" s="1779"/>
      <c r="R799" s="1779"/>
      <c r="S799" s="1779"/>
      <c r="T799" s="1779"/>
      <c r="U799" s="1779"/>
      <c r="V799" s="1779"/>
      <c r="W799" s="1779"/>
      <c r="X799" s="1779"/>
      <c r="Y799" s="1779"/>
      <c r="Z799" s="1779"/>
      <c r="AA799" s="1779"/>
      <c r="AB799" s="1779"/>
      <c r="AC799" s="1779"/>
    </row>
    <row r="800" spans="1:29">
      <c r="A800" s="1779"/>
      <c r="B800" s="1779"/>
      <c r="C800" s="1779"/>
      <c r="D800" s="1779"/>
      <c r="E800" s="1779"/>
      <c r="F800" s="1779"/>
      <c r="G800" s="1779"/>
      <c r="H800" s="1779"/>
      <c r="I800" s="1779"/>
      <c r="J800" s="1779"/>
      <c r="K800" s="1780"/>
      <c r="L800" s="1781"/>
      <c r="M800" s="1779"/>
      <c r="N800" s="1779"/>
      <c r="O800" s="1779"/>
      <c r="P800" s="1816"/>
      <c r="Q800" s="1779"/>
      <c r="R800" s="1779"/>
      <c r="S800" s="1779"/>
      <c r="T800" s="1779"/>
      <c r="U800" s="1779"/>
      <c r="V800" s="1779"/>
      <c r="W800" s="1779"/>
      <c r="X800" s="1779"/>
      <c r="Y800" s="1779"/>
      <c r="Z800" s="1779"/>
      <c r="AA800" s="1779"/>
      <c r="AB800" s="1779"/>
      <c r="AC800" s="1779"/>
    </row>
    <row r="801" spans="1:29">
      <c r="A801" s="1779"/>
      <c r="B801" s="1779"/>
      <c r="C801" s="1779"/>
      <c r="D801" s="1779"/>
      <c r="E801" s="1779"/>
      <c r="F801" s="1779"/>
      <c r="G801" s="1779"/>
      <c r="H801" s="1779"/>
      <c r="I801" s="1779"/>
      <c r="J801" s="1779"/>
      <c r="K801" s="1780"/>
      <c r="L801" s="1781"/>
      <c r="M801" s="1779"/>
      <c r="N801" s="1779"/>
      <c r="O801" s="1779"/>
      <c r="P801" s="1816"/>
      <c r="Q801" s="1779"/>
      <c r="R801" s="1779"/>
      <c r="S801" s="1779"/>
      <c r="T801" s="1779"/>
      <c r="U801" s="1779"/>
      <c r="V801" s="1779"/>
      <c r="W801" s="1779"/>
      <c r="X801" s="1779"/>
      <c r="Y801" s="1779"/>
      <c r="Z801" s="1779"/>
      <c r="AA801" s="1779"/>
      <c r="AB801" s="1779"/>
      <c r="AC801" s="1779"/>
    </row>
    <row r="802" spans="1:29">
      <c r="A802" s="1779"/>
      <c r="B802" s="1779"/>
      <c r="C802" s="1779"/>
      <c r="D802" s="1779"/>
      <c r="E802" s="1779"/>
      <c r="F802" s="1779"/>
      <c r="G802" s="1779"/>
      <c r="H802" s="1779"/>
      <c r="I802" s="1779"/>
      <c r="J802" s="1779"/>
      <c r="K802" s="1780"/>
      <c r="L802" s="1781"/>
      <c r="M802" s="1779"/>
      <c r="N802" s="1779"/>
      <c r="O802" s="1779"/>
      <c r="P802" s="1816"/>
      <c r="Q802" s="1779"/>
      <c r="R802" s="1779"/>
      <c r="S802" s="1779"/>
      <c r="T802" s="1779"/>
      <c r="U802" s="1779"/>
      <c r="V802" s="1779"/>
      <c r="W802" s="1779"/>
      <c r="X802" s="1779"/>
      <c r="Y802" s="1779"/>
      <c r="Z802" s="1779"/>
      <c r="AA802" s="1779"/>
      <c r="AB802" s="1779"/>
      <c r="AC802" s="1779"/>
    </row>
    <row r="803" spans="1:29">
      <c r="A803" s="1779"/>
      <c r="B803" s="1779"/>
      <c r="C803" s="1779"/>
      <c r="D803" s="1779"/>
      <c r="E803" s="1779"/>
      <c r="F803" s="1779"/>
      <c r="G803" s="1779"/>
      <c r="H803" s="1779"/>
      <c r="I803" s="1779"/>
      <c r="J803" s="1779"/>
      <c r="K803" s="1780"/>
      <c r="L803" s="1781"/>
      <c r="M803" s="1779"/>
      <c r="N803" s="1779"/>
      <c r="O803" s="1779"/>
      <c r="P803" s="1816"/>
      <c r="Q803" s="1779"/>
      <c r="R803" s="1779"/>
      <c r="S803" s="1779"/>
      <c r="T803" s="1779"/>
      <c r="U803" s="1779"/>
      <c r="V803" s="1779"/>
      <c r="W803" s="1779"/>
      <c r="X803" s="1779"/>
      <c r="Y803" s="1779"/>
      <c r="Z803" s="1779"/>
      <c r="AA803" s="1779"/>
      <c r="AB803" s="1779"/>
      <c r="AC803" s="1779"/>
    </row>
    <row r="804" spans="1:29">
      <c r="A804" s="1779"/>
      <c r="B804" s="1779"/>
      <c r="C804" s="1779"/>
      <c r="D804" s="1779"/>
      <c r="E804" s="1779"/>
      <c r="F804" s="1779"/>
      <c r="G804" s="1779"/>
      <c r="H804" s="1779"/>
      <c r="I804" s="1779"/>
      <c r="J804" s="1779"/>
      <c r="K804" s="1780"/>
      <c r="L804" s="1781"/>
      <c r="M804" s="1779"/>
      <c r="N804" s="1779"/>
      <c r="O804" s="1779"/>
      <c r="P804" s="1816"/>
      <c r="Q804" s="1779"/>
      <c r="R804" s="1779"/>
      <c r="S804" s="1779"/>
      <c r="T804" s="1779"/>
      <c r="U804" s="1779"/>
      <c r="V804" s="1779"/>
      <c r="W804" s="1779"/>
      <c r="X804" s="1779"/>
      <c r="Y804" s="1779"/>
      <c r="Z804" s="1779"/>
      <c r="AA804" s="1779"/>
      <c r="AB804" s="1779"/>
      <c r="AC804" s="1779"/>
    </row>
    <row r="805" spans="1:29">
      <c r="A805" s="1779"/>
      <c r="B805" s="1779"/>
      <c r="C805" s="1779"/>
      <c r="D805" s="1779"/>
      <c r="E805" s="1779"/>
      <c r="F805" s="1779"/>
      <c r="G805" s="1779"/>
      <c r="H805" s="1779"/>
      <c r="I805" s="1779"/>
      <c r="J805" s="1779"/>
      <c r="K805" s="1780"/>
      <c r="L805" s="1781"/>
      <c r="M805" s="1779"/>
      <c r="N805" s="1779"/>
      <c r="O805" s="1779"/>
      <c r="P805" s="1816"/>
      <c r="Q805" s="1779"/>
      <c r="R805" s="1779"/>
      <c r="S805" s="1779"/>
      <c r="T805" s="1779"/>
      <c r="U805" s="1779"/>
      <c r="V805" s="1779"/>
      <c r="W805" s="1779"/>
      <c r="X805" s="1779"/>
      <c r="Y805" s="1779"/>
      <c r="Z805" s="1779"/>
      <c r="AA805" s="1779"/>
      <c r="AB805" s="1779"/>
      <c r="AC805" s="1779"/>
    </row>
    <row r="806" spans="1:29">
      <c r="A806" s="1779"/>
      <c r="B806" s="1779"/>
      <c r="C806" s="1779"/>
      <c r="D806" s="1779"/>
      <c r="E806" s="1779"/>
      <c r="F806" s="1779"/>
      <c r="G806" s="1779"/>
      <c r="H806" s="1779"/>
      <c r="I806" s="1779"/>
      <c r="J806" s="1779"/>
      <c r="K806" s="1780"/>
      <c r="L806" s="1781"/>
      <c r="M806" s="1779"/>
      <c r="N806" s="1779"/>
      <c r="O806" s="1779"/>
      <c r="P806" s="1816"/>
      <c r="Q806" s="1779"/>
      <c r="R806" s="1779"/>
      <c r="S806" s="1779"/>
      <c r="T806" s="1779"/>
      <c r="U806" s="1779"/>
      <c r="V806" s="1779"/>
      <c r="W806" s="1779"/>
      <c r="X806" s="1779"/>
      <c r="Y806" s="1779"/>
      <c r="Z806" s="1779"/>
      <c r="AA806" s="1779"/>
      <c r="AB806" s="1779"/>
      <c r="AC806" s="1779"/>
    </row>
    <row r="807" spans="1:29">
      <c r="A807" s="1779"/>
      <c r="B807" s="1779"/>
      <c r="C807" s="1779"/>
      <c r="D807" s="1779"/>
      <c r="E807" s="1779"/>
      <c r="F807" s="1779"/>
      <c r="G807" s="1779"/>
      <c r="H807" s="1779"/>
      <c r="I807" s="1779"/>
      <c r="J807" s="1779"/>
      <c r="K807" s="1780"/>
      <c r="L807" s="1781"/>
      <c r="M807" s="1779"/>
      <c r="N807" s="1779"/>
      <c r="O807" s="1779"/>
      <c r="P807" s="1816"/>
      <c r="Q807" s="1779"/>
      <c r="R807" s="1779"/>
      <c r="S807" s="1779"/>
      <c r="T807" s="1779"/>
      <c r="U807" s="1779"/>
      <c r="V807" s="1779"/>
      <c r="W807" s="1779"/>
      <c r="X807" s="1779"/>
      <c r="Y807" s="1779"/>
      <c r="Z807" s="1779"/>
      <c r="AA807" s="1779"/>
      <c r="AB807" s="1779"/>
      <c r="AC807" s="1779"/>
    </row>
    <row r="808" spans="1:29">
      <c r="A808" s="1779"/>
      <c r="B808" s="1779"/>
      <c r="C808" s="1779"/>
      <c r="D808" s="1779"/>
      <c r="E808" s="1779"/>
      <c r="F808" s="1779"/>
      <c r="G808" s="1779"/>
      <c r="H808" s="1779"/>
      <c r="I808" s="1779"/>
      <c r="J808" s="1779"/>
      <c r="K808" s="1780"/>
      <c r="L808" s="1781"/>
      <c r="M808" s="1779"/>
      <c r="N808" s="1779"/>
      <c r="O808" s="1779"/>
      <c r="P808" s="1816"/>
      <c r="Q808" s="1779"/>
      <c r="R808" s="1779"/>
      <c r="S808" s="1779"/>
      <c r="T808" s="1779"/>
      <c r="U808" s="1779"/>
      <c r="V808" s="1779"/>
      <c r="W808" s="1779"/>
      <c r="X808" s="1779"/>
      <c r="Y808" s="1779"/>
      <c r="Z808" s="1779"/>
      <c r="AA808" s="1779"/>
      <c r="AB808" s="1779"/>
      <c r="AC808" s="1779"/>
    </row>
    <row r="809" spans="1:29">
      <c r="A809" s="1779"/>
      <c r="B809" s="1779"/>
      <c r="C809" s="1779"/>
      <c r="D809" s="1779"/>
      <c r="E809" s="1779"/>
      <c r="F809" s="1779"/>
      <c r="G809" s="1779"/>
      <c r="H809" s="1779"/>
      <c r="I809" s="1779"/>
      <c r="J809" s="1779"/>
      <c r="K809" s="1780"/>
      <c r="L809" s="1781"/>
      <c r="M809" s="1779"/>
      <c r="N809" s="1779"/>
      <c r="O809" s="1779"/>
      <c r="P809" s="1816"/>
      <c r="Q809" s="1779"/>
      <c r="R809" s="1779"/>
      <c r="S809" s="1779"/>
      <c r="T809" s="1779"/>
      <c r="U809" s="1779"/>
      <c r="V809" s="1779"/>
      <c r="W809" s="1779"/>
      <c r="X809" s="1779"/>
      <c r="Y809" s="1779"/>
      <c r="Z809" s="1779"/>
      <c r="AA809" s="1779"/>
      <c r="AB809" s="1779"/>
      <c r="AC809" s="1779"/>
    </row>
    <row r="810" spans="1:29">
      <c r="A810" s="1779"/>
      <c r="B810" s="1779"/>
      <c r="C810" s="1779"/>
      <c r="D810" s="1779"/>
      <c r="E810" s="1779"/>
      <c r="F810" s="1779"/>
      <c r="G810" s="1779"/>
      <c r="H810" s="1779"/>
      <c r="I810" s="1779"/>
      <c r="J810" s="1779"/>
      <c r="K810" s="1780"/>
      <c r="L810" s="1781"/>
      <c r="M810" s="1779"/>
      <c r="N810" s="1779"/>
      <c r="O810" s="1779"/>
      <c r="P810" s="1816"/>
      <c r="Q810" s="1779"/>
      <c r="R810" s="1779"/>
      <c r="S810" s="1779"/>
      <c r="T810" s="1779"/>
      <c r="U810" s="1779"/>
      <c r="V810" s="1779"/>
      <c r="W810" s="1779"/>
      <c r="X810" s="1779"/>
      <c r="Y810" s="1779"/>
      <c r="Z810" s="1779"/>
      <c r="AA810" s="1779"/>
      <c r="AB810" s="1779"/>
      <c r="AC810" s="1779"/>
    </row>
    <row r="811" spans="1:29">
      <c r="A811" s="1779"/>
      <c r="B811" s="1779"/>
      <c r="C811" s="1779"/>
      <c r="D811" s="1779"/>
      <c r="E811" s="1779"/>
      <c r="F811" s="1779"/>
      <c r="G811" s="1779"/>
      <c r="H811" s="1779"/>
      <c r="I811" s="1779"/>
      <c r="J811" s="1779"/>
      <c r="K811" s="1780"/>
      <c r="L811" s="1781"/>
      <c r="M811" s="1779"/>
      <c r="N811" s="1779"/>
      <c r="O811" s="1779"/>
      <c r="P811" s="1816"/>
      <c r="Q811" s="1779"/>
      <c r="R811" s="1779"/>
      <c r="S811" s="1779"/>
      <c r="T811" s="1779"/>
      <c r="U811" s="1779"/>
      <c r="V811" s="1779"/>
      <c r="W811" s="1779"/>
      <c r="X811" s="1779"/>
      <c r="Y811" s="1779"/>
      <c r="Z811" s="1779"/>
      <c r="AA811" s="1779"/>
      <c r="AB811" s="1779"/>
      <c r="AC811" s="1779"/>
    </row>
    <row r="812" spans="1:29">
      <c r="A812" s="1779"/>
      <c r="B812" s="1779"/>
      <c r="C812" s="1779"/>
      <c r="D812" s="1779"/>
      <c r="E812" s="1779"/>
      <c r="F812" s="1779"/>
      <c r="G812" s="1779"/>
      <c r="H812" s="1779"/>
      <c r="I812" s="1779"/>
      <c r="J812" s="1779"/>
      <c r="K812" s="1780"/>
      <c r="L812" s="1781"/>
      <c r="M812" s="1779"/>
      <c r="N812" s="1779"/>
      <c r="O812" s="1779"/>
      <c r="P812" s="1816"/>
      <c r="Q812" s="1779"/>
      <c r="R812" s="1779"/>
      <c r="S812" s="1779"/>
      <c r="T812" s="1779"/>
      <c r="U812" s="1779"/>
      <c r="V812" s="1779"/>
      <c r="W812" s="1779"/>
      <c r="X812" s="1779"/>
      <c r="Y812" s="1779"/>
      <c r="Z812" s="1779"/>
      <c r="AA812" s="1779"/>
      <c r="AB812" s="1779"/>
      <c r="AC812" s="1779"/>
    </row>
    <row r="813" spans="1:29">
      <c r="A813" s="1779"/>
      <c r="B813" s="1779"/>
      <c r="C813" s="1779"/>
      <c r="D813" s="1779"/>
      <c r="E813" s="1779"/>
      <c r="F813" s="1779"/>
      <c r="G813" s="1779"/>
      <c r="H813" s="1779"/>
      <c r="I813" s="1779"/>
      <c r="J813" s="1779"/>
      <c r="K813" s="1780"/>
      <c r="L813" s="1781"/>
      <c r="M813" s="1779"/>
      <c r="N813" s="1779"/>
      <c r="O813" s="1779"/>
      <c r="P813" s="1816"/>
      <c r="Q813" s="1779"/>
      <c r="R813" s="1779"/>
      <c r="S813" s="1779"/>
      <c r="T813" s="1779"/>
      <c r="U813" s="1779"/>
      <c r="V813" s="1779"/>
      <c r="W813" s="1779"/>
      <c r="X813" s="1779"/>
      <c r="Y813" s="1779"/>
      <c r="Z813" s="1779"/>
      <c r="AA813" s="1779"/>
      <c r="AB813" s="1779"/>
      <c r="AC813" s="1779"/>
    </row>
    <row r="814" spans="1:29">
      <c r="A814" s="1779"/>
      <c r="B814" s="1779"/>
      <c r="C814" s="1779"/>
      <c r="D814" s="1779"/>
      <c r="E814" s="1779"/>
      <c r="F814" s="1779"/>
      <c r="G814" s="1779"/>
      <c r="H814" s="1779"/>
      <c r="I814" s="1779"/>
      <c r="J814" s="1779"/>
      <c r="K814" s="1780"/>
      <c r="L814" s="1781"/>
      <c r="M814" s="1779"/>
      <c r="N814" s="1779"/>
      <c r="O814" s="1779"/>
      <c r="P814" s="1816"/>
      <c r="Q814" s="1779"/>
      <c r="R814" s="1779"/>
      <c r="S814" s="1779"/>
      <c r="T814" s="1779"/>
      <c r="U814" s="1779"/>
      <c r="V814" s="1779"/>
      <c r="W814" s="1779"/>
      <c r="X814" s="1779"/>
      <c r="Y814" s="1779"/>
      <c r="Z814" s="1779"/>
      <c r="AA814" s="1779"/>
      <c r="AB814" s="1779"/>
      <c r="AC814" s="1779"/>
    </row>
    <row r="815" spans="1:29">
      <c r="A815" s="1779"/>
      <c r="B815" s="1779"/>
      <c r="C815" s="1779"/>
      <c r="D815" s="1779"/>
      <c r="E815" s="1779"/>
      <c r="F815" s="1779"/>
      <c r="G815" s="1779"/>
      <c r="H815" s="1779"/>
      <c r="I815" s="1779"/>
      <c r="J815" s="1779"/>
      <c r="K815" s="1780"/>
      <c r="L815" s="1781"/>
      <c r="M815" s="1779"/>
      <c r="N815" s="1779"/>
      <c r="O815" s="1779"/>
      <c r="P815" s="1816"/>
      <c r="Q815" s="1779"/>
      <c r="R815" s="1779"/>
      <c r="S815" s="1779"/>
      <c r="T815" s="1779"/>
      <c r="U815" s="1779"/>
      <c r="V815" s="1779"/>
      <c r="W815" s="1779"/>
      <c r="X815" s="1779"/>
      <c r="Y815" s="1779"/>
      <c r="Z815" s="1779"/>
      <c r="AA815" s="1779"/>
      <c r="AB815" s="1779"/>
      <c r="AC815" s="1779"/>
    </row>
    <row r="816" spans="1:29">
      <c r="A816" s="1779"/>
      <c r="B816" s="1779"/>
      <c r="C816" s="1779"/>
      <c r="D816" s="1779"/>
      <c r="E816" s="1779"/>
      <c r="F816" s="1779"/>
      <c r="G816" s="1779"/>
      <c r="H816" s="1779"/>
      <c r="I816" s="1779"/>
      <c r="J816" s="1779"/>
      <c r="K816" s="1780"/>
      <c r="L816" s="1781"/>
      <c r="M816" s="1779"/>
      <c r="N816" s="1779"/>
      <c r="O816" s="1779"/>
      <c r="P816" s="1816"/>
      <c r="Q816" s="1779"/>
      <c r="R816" s="1779"/>
      <c r="S816" s="1779"/>
      <c r="T816" s="1779"/>
      <c r="U816" s="1779"/>
      <c r="V816" s="1779"/>
      <c r="W816" s="1779"/>
      <c r="X816" s="1779"/>
      <c r="Y816" s="1779"/>
      <c r="Z816" s="1779"/>
      <c r="AA816" s="1779"/>
      <c r="AB816" s="1779"/>
      <c r="AC816" s="1779"/>
    </row>
    <row r="817" spans="1:29">
      <c r="A817" s="1779"/>
      <c r="B817" s="1779"/>
      <c r="C817" s="1779"/>
      <c r="D817" s="1779"/>
      <c r="E817" s="1779"/>
      <c r="F817" s="1779"/>
      <c r="G817" s="1779"/>
      <c r="H817" s="1779"/>
      <c r="I817" s="1779"/>
      <c r="J817" s="1779"/>
      <c r="K817" s="1780"/>
      <c r="L817" s="1781"/>
      <c r="M817" s="1779"/>
      <c r="N817" s="1779"/>
      <c r="O817" s="1779"/>
      <c r="P817" s="1816"/>
      <c r="Q817" s="1779"/>
      <c r="R817" s="1779"/>
      <c r="S817" s="1779"/>
      <c r="T817" s="1779"/>
      <c r="U817" s="1779"/>
      <c r="V817" s="1779"/>
      <c r="W817" s="1779"/>
      <c r="X817" s="1779"/>
      <c r="Y817" s="1779"/>
      <c r="Z817" s="1779"/>
      <c r="AA817" s="1779"/>
      <c r="AB817" s="1779"/>
      <c r="AC817" s="1779"/>
    </row>
    <row r="818" spans="1:29">
      <c r="A818" s="1779"/>
      <c r="B818" s="1779"/>
      <c r="C818" s="1779"/>
      <c r="D818" s="1779"/>
      <c r="E818" s="1779"/>
      <c r="F818" s="1779"/>
      <c r="G818" s="1779"/>
      <c r="H818" s="1779"/>
      <c r="I818" s="1779"/>
      <c r="J818" s="1779"/>
      <c r="K818" s="1780"/>
      <c r="L818" s="1781"/>
      <c r="M818" s="1779"/>
      <c r="N818" s="1779"/>
      <c r="O818" s="1779"/>
      <c r="P818" s="1816"/>
      <c r="Q818" s="1779"/>
      <c r="R818" s="1779"/>
      <c r="S818" s="1779"/>
      <c r="T818" s="1779"/>
      <c r="U818" s="1779"/>
      <c r="V818" s="1779"/>
      <c r="W818" s="1779"/>
      <c r="X818" s="1779"/>
      <c r="Y818" s="1779"/>
      <c r="Z818" s="1779"/>
      <c r="AA818" s="1779"/>
      <c r="AB818" s="1779"/>
      <c r="AC818" s="1779"/>
    </row>
    <row r="819" spans="1:29">
      <c r="A819" s="1779"/>
      <c r="B819" s="1779"/>
      <c r="C819" s="1779"/>
      <c r="D819" s="1779"/>
      <c r="E819" s="1779"/>
      <c r="F819" s="1779"/>
      <c r="G819" s="1779"/>
      <c r="H819" s="1779"/>
      <c r="I819" s="1779"/>
      <c r="J819" s="1779"/>
      <c r="K819" s="1780"/>
      <c r="L819" s="1781"/>
      <c r="M819" s="1779"/>
      <c r="N819" s="1779"/>
      <c r="O819" s="1779"/>
      <c r="P819" s="1816"/>
      <c r="Q819" s="1779"/>
      <c r="R819" s="1779"/>
      <c r="S819" s="1779"/>
      <c r="T819" s="1779"/>
      <c r="U819" s="1779"/>
      <c r="V819" s="1779"/>
      <c r="W819" s="1779"/>
      <c r="X819" s="1779"/>
      <c r="Y819" s="1779"/>
      <c r="Z819" s="1779"/>
      <c r="AA819" s="1779"/>
      <c r="AB819" s="1779"/>
      <c r="AC819" s="1779"/>
    </row>
    <row r="820" spans="1:29">
      <c r="A820" s="1779"/>
      <c r="B820" s="1779"/>
      <c r="C820" s="1779"/>
      <c r="D820" s="1779"/>
      <c r="E820" s="1779"/>
      <c r="F820" s="1779"/>
      <c r="G820" s="1779"/>
      <c r="H820" s="1779"/>
      <c r="I820" s="1779"/>
      <c r="J820" s="1779"/>
      <c r="K820" s="1780"/>
      <c r="L820" s="1781"/>
      <c r="M820" s="1779"/>
      <c r="N820" s="1779"/>
      <c r="O820" s="1779"/>
      <c r="P820" s="1816"/>
      <c r="Q820" s="1779"/>
      <c r="R820" s="1779"/>
      <c r="S820" s="1779"/>
      <c r="T820" s="1779"/>
      <c r="U820" s="1779"/>
      <c r="V820" s="1779"/>
      <c r="W820" s="1779"/>
      <c r="X820" s="1779"/>
      <c r="Y820" s="1779"/>
      <c r="Z820" s="1779"/>
      <c r="AA820" s="1779"/>
      <c r="AB820" s="1779"/>
      <c r="AC820" s="1779"/>
    </row>
    <row r="821" spans="1:29">
      <c r="A821" s="1779"/>
      <c r="B821" s="1779"/>
      <c r="C821" s="1779"/>
      <c r="D821" s="1779"/>
      <c r="E821" s="1779"/>
      <c r="F821" s="1779"/>
      <c r="G821" s="1779"/>
      <c r="H821" s="1779"/>
      <c r="I821" s="1779"/>
      <c r="J821" s="1779"/>
      <c r="K821" s="1780"/>
      <c r="L821" s="1781"/>
      <c r="M821" s="1779"/>
      <c r="N821" s="1779"/>
      <c r="O821" s="1779"/>
      <c r="P821" s="1816"/>
      <c r="Q821" s="1779"/>
      <c r="R821" s="1779"/>
      <c r="S821" s="1779"/>
      <c r="T821" s="1779"/>
      <c r="U821" s="1779"/>
      <c r="V821" s="1779"/>
      <c r="W821" s="1779"/>
      <c r="X821" s="1779"/>
      <c r="Y821" s="1779"/>
      <c r="Z821" s="1779"/>
      <c r="AA821" s="1779"/>
      <c r="AB821" s="1779"/>
      <c r="AC821" s="1779"/>
    </row>
    <row r="822" spans="1:29">
      <c r="A822" s="1779"/>
      <c r="B822" s="1779"/>
      <c r="C822" s="1779"/>
      <c r="D822" s="1779"/>
      <c r="E822" s="1779"/>
      <c r="F822" s="1779"/>
      <c r="G822" s="1779"/>
      <c r="H822" s="1779"/>
      <c r="I822" s="1779"/>
      <c r="J822" s="1779"/>
      <c r="K822" s="1780"/>
      <c r="L822" s="1781"/>
      <c r="M822" s="1779"/>
      <c r="N822" s="1779"/>
      <c r="O822" s="1779"/>
      <c r="P822" s="1816"/>
      <c r="Q822" s="1779"/>
      <c r="R822" s="1779"/>
      <c r="S822" s="1779"/>
      <c r="T822" s="1779"/>
      <c r="U822" s="1779"/>
      <c r="V822" s="1779"/>
      <c r="W822" s="1779"/>
      <c r="X822" s="1779"/>
      <c r="Y822" s="1779"/>
      <c r="Z822" s="1779"/>
      <c r="AA822" s="1779"/>
      <c r="AB822" s="1779"/>
      <c r="AC822" s="1779"/>
    </row>
    <row r="823" spans="1:29">
      <c r="A823" s="1779"/>
      <c r="B823" s="1779"/>
      <c r="C823" s="1779"/>
      <c r="D823" s="1779"/>
      <c r="E823" s="1779"/>
      <c r="F823" s="1779"/>
      <c r="G823" s="1779"/>
      <c r="H823" s="1779"/>
      <c r="I823" s="1779"/>
      <c r="J823" s="1779"/>
      <c r="K823" s="1780"/>
      <c r="L823" s="1781"/>
      <c r="M823" s="1779"/>
      <c r="N823" s="1779"/>
      <c r="O823" s="1779"/>
      <c r="P823" s="1816"/>
      <c r="Q823" s="1779"/>
      <c r="R823" s="1779"/>
      <c r="S823" s="1779"/>
      <c r="T823" s="1779"/>
      <c r="U823" s="1779"/>
      <c r="V823" s="1779"/>
      <c r="W823" s="1779"/>
      <c r="X823" s="1779"/>
      <c r="Y823" s="1779"/>
      <c r="Z823" s="1779"/>
      <c r="AA823" s="1779"/>
      <c r="AB823" s="1779"/>
      <c r="AC823" s="1779"/>
    </row>
    <row r="824" spans="1:29">
      <c r="A824" s="1779"/>
      <c r="B824" s="1779"/>
      <c r="C824" s="1779"/>
      <c r="D824" s="1779"/>
      <c r="E824" s="1779"/>
      <c r="F824" s="1779"/>
      <c r="G824" s="1779"/>
      <c r="H824" s="1779"/>
      <c r="I824" s="1779"/>
      <c r="J824" s="1779"/>
      <c r="K824" s="1780"/>
      <c r="L824" s="1781"/>
      <c r="M824" s="1779"/>
      <c r="N824" s="1779"/>
      <c r="O824" s="1779"/>
      <c r="P824" s="1816"/>
      <c r="Q824" s="1779"/>
      <c r="R824" s="1779"/>
      <c r="S824" s="1779"/>
      <c r="T824" s="1779"/>
      <c r="U824" s="1779"/>
      <c r="V824" s="1779"/>
      <c r="W824" s="1779"/>
      <c r="X824" s="1779"/>
      <c r="Y824" s="1779"/>
      <c r="Z824" s="1779"/>
      <c r="AA824" s="1779"/>
      <c r="AB824" s="1779"/>
      <c r="AC824" s="1779"/>
    </row>
    <row r="825" spans="1:29">
      <c r="A825" s="1779"/>
      <c r="B825" s="1779"/>
      <c r="C825" s="1779"/>
      <c r="D825" s="1779"/>
      <c r="E825" s="1779"/>
      <c r="F825" s="1779"/>
      <c r="G825" s="1779"/>
      <c r="H825" s="1779"/>
      <c r="I825" s="1779"/>
      <c r="J825" s="1779"/>
      <c r="K825" s="1780"/>
      <c r="L825" s="1781"/>
      <c r="M825" s="1779"/>
      <c r="N825" s="1779"/>
      <c r="O825" s="1779"/>
      <c r="P825" s="1816"/>
      <c r="Q825" s="1779"/>
      <c r="R825" s="1779"/>
      <c r="S825" s="1779"/>
      <c r="T825" s="1779"/>
      <c r="U825" s="1779"/>
      <c r="V825" s="1779"/>
      <c r="W825" s="1779"/>
      <c r="X825" s="1779"/>
      <c r="Y825" s="1779"/>
      <c r="Z825" s="1779"/>
      <c r="AA825" s="1779"/>
      <c r="AB825" s="1779"/>
      <c r="AC825" s="1779"/>
    </row>
    <row r="826" spans="1:29">
      <c r="A826" s="1779"/>
      <c r="B826" s="1779"/>
      <c r="C826" s="1779"/>
      <c r="D826" s="1779"/>
      <c r="E826" s="1779"/>
      <c r="F826" s="1779"/>
      <c r="G826" s="1779"/>
      <c r="H826" s="1779"/>
      <c r="I826" s="1779"/>
      <c r="J826" s="1779"/>
      <c r="K826" s="1780"/>
      <c r="L826" s="1781"/>
      <c r="M826" s="1779"/>
      <c r="N826" s="1779"/>
      <c r="O826" s="1779"/>
      <c r="P826" s="1816"/>
      <c r="Q826" s="1779"/>
      <c r="R826" s="1779"/>
      <c r="S826" s="1779"/>
      <c r="T826" s="1779"/>
      <c r="U826" s="1779"/>
      <c r="V826" s="1779"/>
      <c r="W826" s="1779"/>
      <c r="X826" s="1779"/>
      <c r="Y826" s="1779"/>
      <c r="Z826" s="1779"/>
      <c r="AA826" s="1779"/>
      <c r="AB826" s="1779"/>
      <c r="AC826" s="1779"/>
    </row>
    <row r="827" spans="1:29">
      <c r="A827" s="1779"/>
      <c r="B827" s="1779"/>
      <c r="C827" s="1779"/>
      <c r="D827" s="1779"/>
      <c r="E827" s="1779"/>
      <c r="F827" s="1779"/>
      <c r="G827" s="1779"/>
      <c r="H827" s="1779"/>
      <c r="I827" s="1779"/>
      <c r="J827" s="1779"/>
      <c r="K827" s="1780"/>
      <c r="L827" s="1781"/>
      <c r="M827" s="1779"/>
      <c r="N827" s="1779"/>
      <c r="O827" s="1779"/>
      <c r="P827" s="1816"/>
      <c r="Q827" s="1779"/>
      <c r="R827" s="1779"/>
      <c r="S827" s="1779"/>
      <c r="T827" s="1779"/>
      <c r="U827" s="1779"/>
      <c r="V827" s="1779"/>
      <c r="W827" s="1779"/>
      <c r="X827" s="1779"/>
      <c r="Y827" s="1779"/>
      <c r="Z827" s="1779"/>
      <c r="AA827" s="1779"/>
      <c r="AB827" s="1779"/>
      <c r="AC827" s="1779"/>
    </row>
    <row r="828" spans="1:29">
      <c r="A828" s="1779"/>
      <c r="B828" s="1779"/>
      <c r="C828" s="1779"/>
      <c r="D828" s="1779"/>
      <c r="E828" s="1779"/>
      <c r="F828" s="1779"/>
      <c r="G828" s="1779"/>
      <c r="H828" s="1779"/>
      <c r="I828" s="1779"/>
      <c r="J828" s="1779"/>
      <c r="K828" s="1780"/>
      <c r="L828" s="1781"/>
      <c r="M828" s="1779"/>
      <c r="N828" s="1779"/>
      <c r="O828" s="1779"/>
      <c r="P828" s="1816"/>
      <c r="Q828" s="1779"/>
      <c r="R828" s="1779"/>
      <c r="S828" s="1779"/>
      <c r="T828" s="1779"/>
      <c r="U828" s="1779"/>
      <c r="V828" s="1779"/>
      <c r="W828" s="1779"/>
      <c r="X828" s="1779"/>
      <c r="Y828" s="1779"/>
      <c r="Z828" s="1779"/>
      <c r="AA828" s="1779"/>
      <c r="AB828" s="1779"/>
      <c r="AC828" s="1779"/>
    </row>
    <row r="829" spans="1:29">
      <c r="A829" s="1779"/>
      <c r="B829" s="1779"/>
      <c r="C829" s="1779"/>
      <c r="D829" s="1779"/>
      <c r="E829" s="1779"/>
      <c r="F829" s="1779"/>
      <c r="G829" s="1779"/>
      <c r="H829" s="1779"/>
      <c r="I829" s="1779"/>
      <c r="J829" s="1779"/>
      <c r="K829" s="1780"/>
      <c r="L829" s="1781"/>
      <c r="M829" s="1779"/>
      <c r="N829" s="1779"/>
      <c r="O829" s="1779"/>
      <c r="P829" s="1816"/>
      <c r="Q829" s="1779"/>
      <c r="R829" s="1779"/>
      <c r="S829" s="1779"/>
      <c r="T829" s="1779"/>
      <c r="U829" s="1779"/>
      <c r="V829" s="1779"/>
      <c r="W829" s="1779"/>
      <c r="X829" s="1779"/>
      <c r="Y829" s="1779"/>
      <c r="Z829" s="1779"/>
      <c r="AA829" s="1779"/>
      <c r="AB829" s="1779"/>
      <c r="AC829" s="1779"/>
    </row>
    <row r="830" spans="1:29">
      <c r="A830" s="1779"/>
      <c r="B830" s="1779"/>
      <c r="C830" s="1779"/>
      <c r="D830" s="1779"/>
      <c r="E830" s="1779"/>
      <c r="F830" s="1779"/>
      <c r="G830" s="1779"/>
      <c r="H830" s="1779"/>
      <c r="I830" s="1779"/>
      <c r="J830" s="1779"/>
      <c r="K830" s="1780"/>
      <c r="L830" s="1781"/>
      <c r="M830" s="1779"/>
      <c r="N830" s="1779"/>
      <c r="O830" s="1779"/>
      <c r="P830" s="1816"/>
      <c r="Q830" s="1779"/>
      <c r="R830" s="1779"/>
      <c r="S830" s="1779"/>
      <c r="T830" s="1779"/>
      <c r="U830" s="1779"/>
      <c r="V830" s="1779"/>
      <c r="W830" s="1779"/>
      <c r="X830" s="1779"/>
      <c r="Y830" s="1779"/>
      <c r="Z830" s="1779"/>
      <c r="AA830" s="1779"/>
      <c r="AB830" s="1779"/>
      <c r="AC830" s="1779"/>
    </row>
    <row r="831" spans="1:29">
      <c r="A831" s="1779"/>
      <c r="B831" s="1779"/>
      <c r="C831" s="1779"/>
      <c r="D831" s="1779"/>
      <c r="E831" s="1779"/>
      <c r="F831" s="1779"/>
      <c r="G831" s="1779"/>
      <c r="H831" s="1779"/>
      <c r="I831" s="1779"/>
      <c r="J831" s="1779"/>
      <c r="K831" s="1780"/>
      <c r="L831" s="1781"/>
      <c r="M831" s="1779"/>
      <c r="N831" s="1779"/>
      <c r="O831" s="1779"/>
      <c r="P831" s="1816"/>
      <c r="Q831" s="1779"/>
      <c r="R831" s="1779"/>
      <c r="S831" s="1779"/>
      <c r="T831" s="1779"/>
      <c r="U831" s="1779"/>
      <c r="V831" s="1779"/>
      <c r="W831" s="1779"/>
      <c r="X831" s="1779"/>
      <c r="Y831" s="1779"/>
      <c r="Z831" s="1779"/>
      <c r="AA831" s="1779"/>
      <c r="AB831" s="1779"/>
      <c r="AC831" s="1779"/>
    </row>
    <row r="832" spans="1:29">
      <c r="A832" s="1779"/>
      <c r="B832" s="1779"/>
      <c r="C832" s="1779"/>
      <c r="D832" s="1779"/>
      <c r="E832" s="1779"/>
      <c r="F832" s="1779"/>
      <c r="G832" s="1779"/>
      <c r="H832" s="1779"/>
      <c r="I832" s="1779"/>
      <c r="J832" s="1779"/>
      <c r="K832" s="1780"/>
      <c r="L832" s="1781"/>
      <c r="M832" s="1779"/>
      <c r="N832" s="1779"/>
      <c r="O832" s="1779"/>
      <c r="P832" s="1816"/>
      <c r="Q832" s="1779"/>
      <c r="R832" s="1779"/>
      <c r="S832" s="1779"/>
      <c r="T832" s="1779"/>
      <c r="U832" s="1779"/>
      <c r="V832" s="1779"/>
      <c r="W832" s="1779"/>
      <c r="X832" s="1779"/>
      <c r="Y832" s="1779"/>
      <c r="Z832" s="1779"/>
      <c r="AA832" s="1779"/>
      <c r="AB832" s="1779"/>
      <c r="AC832" s="1779"/>
    </row>
    <row r="833" spans="1:29">
      <c r="A833" s="1779"/>
      <c r="B833" s="1779"/>
      <c r="C833" s="1779"/>
      <c r="D833" s="1779"/>
      <c r="E833" s="1779"/>
      <c r="F833" s="1779"/>
      <c r="G833" s="1779"/>
      <c r="H833" s="1779"/>
      <c r="I833" s="1779"/>
      <c r="J833" s="1779"/>
      <c r="K833" s="1780"/>
      <c r="L833" s="1781"/>
      <c r="M833" s="1779"/>
      <c r="N833" s="1779"/>
      <c r="O833" s="1779"/>
      <c r="P833" s="1816"/>
      <c r="Q833" s="1779"/>
      <c r="R833" s="1779"/>
      <c r="S833" s="1779"/>
      <c r="T833" s="1779"/>
      <c r="U833" s="1779"/>
      <c r="V833" s="1779"/>
      <c r="W833" s="1779"/>
      <c r="X833" s="1779"/>
      <c r="Y833" s="1779"/>
      <c r="Z833" s="1779"/>
      <c r="AA833" s="1779"/>
      <c r="AB833" s="1779"/>
      <c r="AC833" s="1779"/>
    </row>
    <row r="834" spans="1:29">
      <c r="A834" s="1779"/>
      <c r="B834" s="1779"/>
      <c r="C834" s="1779"/>
      <c r="D834" s="1779"/>
      <c r="E834" s="1779"/>
      <c r="F834" s="1779"/>
      <c r="G834" s="1779"/>
      <c r="H834" s="1779"/>
      <c r="I834" s="1779"/>
      <c r="J834" s="1779"/>
      <c r="K834" s="1780"/>
      <c r="L834" s="1781"/>
      <c r="M834" s="1779"/>
      <c r="N834" s="1779"/>
      <c r="O834" s="1779"/>
      <c r="P834" s="1816"/>
      <c r="Q834" s="1779"/>
      <c r="R834" s="1779"/>
      <c r="S834" s="1779"/>
      <c r="T834" s="1779"/>
      <c r="U834" s="1779"/>
      <c r="V834" s="1779"/>
      <c r="W834" s="1779"/>
      <c r="X834" s="1779"/>
      <c r="Y834" s="1779"/>
      <c r="Z834" s="1779"/>
      <c r="AA834" s="1779"/>
      <c r="AB834" s="1779"/>
      <c r="AC834" s="1779"/>
    </row>
    <row r="835" spans="1:29">
      <c r="A835" s="1779"/>
      <c r="B835" s="1779"/>
      <c r="C835" s="1779"/>
      <c r="D835" s="1779"/>
      <c r="E835" s="1779"/>
      <c r="F835" s="1779"/>
      <c r="G835" s="1779"/>
      <c r="H835" s="1779"/>
      <c r="I835" s="1779"/>
      <c r="J835" s="1779"/>
      <c r="K835" s="1780"/>
      <c r="L835" s="1781"/>
      <c r="M835" s="1779"/>
      <c r="N835" s="1779"/>
      <c r="O835" s="1779"/>
      <c r="P835" s="1816"/>
      <c r="Q835" s="1779"/>
      <c r="R835" s="1779"/>
      <c r="S835" s="1779"/>
      <c r="T835" s="1779"/>
      <c r="U835" s="1779"/>
      <c r="V835" s="1779"/>
      <c r="W835" s="1779"/>
      <c r="X835" s="1779"/>
      <c r="Y835" s="1779"/>
      <c r="Z835" s="1779"/>
      <c r="AA835" s="1779"/>
      <c r="AB835" s="1779"/>
      <c r="AC835" s="1779"/>
    </row>
    <row r="836" spans="1:29">
      <c r="A836" s="1779"/>
      <c r="B836" s="1779"/>
      <c r="C836" s="1779"/>
      <c r="D836" s="1779"/>
      <c r="E836" s="1779"/>
      <c r="F836" s="1779"/>
      <c r="G836" s="1779"/>
      <c r="H836" s="1779"/>
      <c r="I836" s="1779"/>
      <c r="J836" s="1779"/>
      <c r="K836" s="1780"/>
      <c r="L836" s="1781"/>
      <c r="M836" s="1779"/>
      <c r="N836" s="1779"/>
      <c r="O836" s="1779"/>
      <c r="P836" s="1816"/>
      <c r="Q836" s="1779"/>
      <c r="R836" s="1779"/>
      <c r="S836" s="1779"/>
      <c r="T836" s="1779"/>
      <c r="U836" s="1779"/>
      <c r="V836" s="1779"/>
      <c r="W836" s="1779"/>
      <c r="X836" s="1779"/>
      <c r="Y836" s="1779"/>
      <c r="Z836" s="1779"/>
      <c r="AA836" s="1779"/>
      <c r="AB836" s="1779"/>
      <c r="AC836" s="1779"/>
    </row>
    <row r="837" spans="1:29">
      <c r="A837" s="1779"/>
      <c r="B837" s="1779"/>
      <c r="C837" s="1779"/>
      <c r="D837" s="1779"/>
      <c r="E837" s="1779"/>
      <c r="F837" s="1779"/>
      <c r="G837" s="1779"/>
      <c r="H837" s="1779"/>
      <c r="I837" s="1779"/>
      <c r="J837" s="1779"/>
      <c r="K837" s="1780"/>
      <c r="L837" s="1781"/>
      <c r="M837" s="1779"/>
      <c r="N837" s="1779"/>
      <c r="O837" s="1779"/>
      <c r="P837" s="1816"/>
      <c r="Q837" s="1779"/>
      <c r="R837" s="1779"/>
      <c r="S837" s="1779"/>
      <c r="T837" s="1779"/>
      <c r="U837" s="1779"/>
      <c r="V837" s="1779"/>
      <c r="W837" s="1779"/>
      <c r="X837" s="1779"/>
      <c r="Y837" s="1779"/>
      <c r="Z837" s="1779"/>
      <c r="AA837" s="1779"/>
      <c r="AB837" s="1779"/>
      <c r="AC837" s="1779"/>
    </row>
    <row r="838" spans="1:29">
      <c r="A838" s="1779"/>
      <c r="B838" s="1779"/>
      <c r="C838" s="1779"/>
      <c r="D838" s="1779"/>
      <c r="E838" s="1779"/>
      <c r="F838" s="1779"/>
      <c r="G838" s="1779"/>
      <c r="H838" s="1779"/>
      <c r="I838" s="1779"/>
      <c r="J838" s="1779"/>
      <c r="K838" s="1780"/>
      <c r="L838" s="1781"/>
      <c r="M838" s="1779"/>
      <c r="N838" s="1779"/>
      <c r="O838" s="1779"/>
      <c r="P838" s="1816"/>
      <c r="Q838" s="1779"/>
      <c r="R838" s="1779"/>
      <c r="S838" s="1779"/>
      <c r="T838" s="1779"/>
      <c r="U838" s="1779"/>
      <c r="V838" s="1779"/>
      <c r="W838" s="1779"/>
      <c r="X838" s="1779"/>
      <c r="Y838" s="1779"/>
      <c r="Z838" s="1779"/>
      <c r="AA838" s="1779"/>
      <c r="AB838" s="1779"/>
      <c r="AC838" s="1779"/>
    </row>
    <row r="839" spans="1:29">
      <c r="A839" s="1779"/>
      <c r="B839" s="1779"/>
      <c r="C839" s="1779"/>
      <c r="D839" s="1779"/>
      <c r="E839" s="1779"/>
      <c r="F839" s="1779"/>
      <c r="G839" s="1779"/>
      <c r="H839" s="1779"/>
      <c r="I839" s="1779"/>
      <c r="J839" s="1779"/>
      <c r="K839" s="1780"/>
      <c r="L839" s="1781"/>
      <c r="M839" s="1779"/>
      <c r="N839" s="1779"/>
      <c r="O839" s="1779"/>
      <c r="P839" s="1816"/>
      <c r="Q839" s="1779"/>
      <c r="R839" s="1779"/>
      <c r="S839" s="1779"/>
      <c r="T839" s="1779"/>
      <c r="U839" s="1779"/>
      <c r="V839" s="1779"/>
      <c r="W839" s="1779"/>
      <c r="X839" s="1779"/>
      <c r="Y839" s="1779"/>
      <c r="Z839" s="1779"/>
      <c r="AA839" s="1779"/>
      <c r="AB839" s="1779"/>
      <c r="AC839" s="1779"/>
    </row>
    <row r="840" spans="1:29">
      <c r="A840" s="1779"/>
      <c r="B840" s="1779"/>
      <c r="C840" s="1779"/>
      <c r="D840" s="1779"/>
      <c r="E840" s="1779"/>
      <c r="F840" s="1779"/>
      <c r="G840" s="1779"/>
      <c r="H840" s="1779"/>
      <c r="I840" s="1779"/>
      <c r="J840" s="1779"/>
      <c r="K840" s="1780"/>
      <c r="L840" s="1781"/>
      <c r="M840" s="1779"/>
      <c r="N840" s="1779"/>
      <c r="O840" s="1779"/>
      <c r="P840" s="1816"/>
      <c r="Q840" s="1779"/>
      <c r="R840" s="1779"/>
      <c r="S840" s="1779"/>
      <c r="T840" s="1779"/>
      <c r="U840" s="1779"/>
      <c r="V840" s="1779"/>
      <c r="W840" s="1779"/>
      <c r="X840" s="1779"/>
      <c r="Y840" s="1779"/>
      <c r="Z840" s="1779"/>
      <c r="AA840" s="1779"/>
      <c r="AB840" s="1779"/>
      <c r="AC840" s="1779"/>
    </row>
    <row r="841" spans="1:29">
      <c r="A841" s="1779"/>
      <c r="B841" s="1779"/>
      <c r="C841" s="1779"/>
      <c r="D841" s="1779"/>
      <c r="E841" s="1779"/>
      <c r="F841" s="1779"/>
      <c r="G841" s="1779"/>
      <c r="H841" s="1779"/>
      <c r="I841" s="1779"/>
      <c r="J841" s="1779"/>
      <c r="K841" s="1780"/>
      <c r="L841" s="1781"/>
      <c r="M841" s="1779"/>
      <c r="N841" s="1779"/>
      <c r="O841" s="1779"/>
      <c r="P841" s="1816"/>
      <c r="Q841" s="1779"/>
      <c r="R841" s="1779"/>
      <c r="S841" s="1779"/>
      <c r="T841" s="1779"/>
      <c r="U841" s="1779"/>
      <c r="V841" s="1779"/>
      <c r="W841" s="1779"/>
      <c r="X841" s="1779"/>
      <c r="Y841" s="1779"/>
      <c r="Z841" s="1779"/>
      <c r="AA841" s="1779"/>
      <c r="AB841" s="1779"/>
      <c r="AC841" s="1779"/>
    </row>
    <row r="842" spans="1:29">
      <c r="A842" s="1779"/>
      <c r="B842" s="1779"/>
      <c r="C842" s="1779"/>
      <c r="D842" s="1779"/>
      <c r="E842" s="1779"/>
      <c r="F842" s="1779"/>
      <c r="G842" s="1779"/>
      <c r="H842" s="1779"/>
      <c r="I842" s="1779"/>
      <c r="J842" s="1779"/>
      <c r="K842" s="1780"/>
      <c r="L842" s="1781"/>
      <c r="M842" s="1779"/>
      <c r="N842" s="1779"/>
      <c r="O842" s="1779"/>
      <c r="P842" s="1816"/>
      <c r="Q842" s="1779"/>
      <c r="R842" s="1779"/>
      <c r="S842" s="1779"/>
      <c r="T842" s="1779"/>
      <c r="U842" s="1779"/>
      <c r="V842" s="1779"/>
      <c r="W842" s="1779"/>
      <c r="X842" s="1779"/>
      <c r="Y842" s="1779"/>
      <c r="Z842" s="1779"/>
      <c r="AA842" s="1779"/>
      <c r="AB842" s="1779"/>
      <c r="AC842" s="1779"/>
    </row>
    <row r="843" spans="1:29">
      <c r="A843" s="1779"/>
      <c r="B843" s="1779"/>
      <c r="C843" s="1779"/>
      <c r="D843" s="1779"/>
      <c r="E843" s="1779"/>
      <c r="F843" s="1779"/>
      <c r="G843" s="1779"/>
      <c r="H843" s="1779"/>
      <c r="I843" s="1779"/>
      <c r="J843" s="1779"/>
      <c r="K843" s="1780"/>
      <c r="L843" s="1781"/>
      <c r="M843" s="1779"/>
      <c r="N843" s="1779"/>
      <c r="O843" s="1779"/>
      <c r="P843" s="1816"/>
      <c r="Q843" s="1779"/>
      <c r="R843" s="1779"/>
      <c r="S843" s="1779"/>
      <c r="T843" s="1779"/>
      <c r="U843" s="1779"/>
      <c r="V843" s="1779"/>
      <c r="W843" s="1779"/>
      <c r="X843" s="1779"/>
      <c r="Y843" s="1779"/>
      <c r="Z843" s="1779"/>
      <c r="AA843" s="1779"/>
      <c r="AB843" s="1779"/>
      <c r="AC843" s="1779"/>
    </row>
    <row r="844" spans="1:29">
      <c r="A844" s="1779"/>
      <c r="B844" s="1779"/>
      <c r="C844" s="1779"/>
      <c r="D844" s="1779"/>
      <c r="E844" s="1779"/>
      <c r="F844" s="1779"/>
      <c r="G844" s="1779"/>
      <c r="H844" s="1779"/>
      <c r="I844" s="1779"/>
      <c r="J844" s="1779"/>
      <c r="K844" s="1780"/>
      <c r="L844" s="1781"/>
      <c r="M844" s="1779"/>
      <c r="N844" s="1779"/>
      <c r="O844" s="1779"/>
      <c r="P844" s="1816"/>
      <c r="Q844" s="1779"/>
      <c r="R844" s="1779"/>
      <c r="S844" s="1779"/>
      <c r="T844" s="1779"/>
      <c r="U844" s="1779"/>
      <c r="V844" s="1779"/>
      <c r="W844" s="1779"/>
      <c r="X844" s="1779"/>
      <c r="Y844" s="1779"/>
      <c r="Z844" s="1779"/>
      <c r="AA844" s="1779"/>
      <c r="AB844" s="1779"/>
      <c r="AC844" s="1779"/>
    </row>
    <row r="845" spans="1:29">
      <c r="A845" s="1779"/>
      <c r="B845" s="1779"/>
      <c r="C845" s="1779"/>
      <c r="D845" s="1779"/>
      <c r="E845" s="1779"/>
      <c r="F845" s="1779"/>
      <c r="G845" s="1779"/>
      <c r="H845" s="1779"/>
      <c r="I845" s="1779"/>
      <c r="J845" s="1779"/>
      <c r="K845" s="1780"/>
      <c r="L845" s="1781"/>
      <c r="M845" s="1779"/>
      <c r="N845" s="1779"/>
      <c r="O845" s="1779"/>
      <c r="P845" s="1816"/>
      <c r="Q845" s="1779"/>
      <c r="R845" s="1779"/>
      <c r="S845" s="1779"/>
      <c r="T845" s="1779"/>
      <c r="U845" s="1779"/>
      <c r="V845" s="1779"/>
      <c r="W845" s="1779"/>
      <c r="X845" s="1779"/>
      <c r="Y845" s="1779"/>
      <c r="Z845" s="1779"/>
      <c r="AA845" s="1779"/>
      <c r="AB845" s="1779"/>
      <c r="AC845" s="1779"/>
    </row>
    <row r="846" spans="1:29">
      <c r="A846" s="1779"/>
      <c r="B846" s="1779"/>
      <c r="C846" s="1779"/>
      <c r="D846" s="1779"/>
      <c r="E846" s="1779"/>
      <c r="F846" s="1779"/>
      <c r="G846" s="1779"/>
      <c r="H846" s="1779"/>
      <c r="I846" s="1779"/>
      <c r="J846" s="1779"/>
      <c r="K846" s="1780"/>
      <c r="L846" s="1781"/>
      <c r="M846" s="1779"/>
      <c r="N846" s="1779"/>
      <c r="O846" s="1779"/>
      <c r="P846" s="1816"/>
      <c r="Q846" s="1779"/>
      <c r="R846" s="1779"/>
      <c r="S846" s="1779"/>
      <c r="T846" s="1779"/>
      <c r="U846" s="1779"/>
      <c r="V846" s="1779"/>
      <c r="W846" s="1779"/>
      <c r="X846" s="1779"/>
      <c r="Y846" s="1779"/>
      <c r="Z846" s="1779"/>
      <c r="AA846" s="1779"/>
      <c r="AB846" s="1779"/>
      <c r="AC846" s="1779"/>
    </row>
    <row r="847" spans="1:29">
      <c r="A847" s="1779"/>
      <c r="B847" s="1779"/>
      <c r="C847" s="1779"/>
      <c r="D847" s="1779"/>
      <c r="E847" s="1779"/>
      <c r="F847" s="1779"/>
      <c r="G847" s="1779"/>
      <c r="H847" s="1779"/>
      <c r="I847" s="1779"/>
      <c r="J847" s="1779"/>
      <c r="K847" s="1780"/>
      <c r="L847" s="1781"/>
      <c r="M847" s="1779"/>
      <c r="N847" s="1779"/>
      <c r="O847" s="1779"/>
      <c r="P847" s="1816"/>
      <c r="Q847" s="1779"/>
      <c r="R847" s="1779"/>
      <c r="S847" s="1779"/>
      <c r="T847" s="1779"/>
      <c r="U847" s="1779"/>
      <c r="V847" s="1779"/>
      <c r="W847" s="1779"/>
      <c r="X847" s="1779"/>
      <c r="Y847" s="1779"/>
      <c r="Z847" s="1779"/>
      <c r="AA847" s="1779"/>
      <c r="AB847" s="1779"/>
      <c r="AC847" s="1779"/>
    </row>
    <row r="848" spans="1:29">
      <c r="A848" s="1779"/>
      <c r="B848" s="1779"/>
      <c r="C848" s="1779"/>
      <c r="D848" s="1779"/>
      <c r="E848" s="1779"/>
      <c r="F848" s="1779"/>
      <c r="G848" s="1779"/>
      <c r="H848" s="1779"/>
      <c r="I848" s="1779"/>
      <c r="J848" s="1779"/>
      <c r="K848" s="1780"/>
      <c r="L848" s="1781"/>
      <c r="M848" s="1779"/>
      <c r="N848" s="1779"/>
      <c r="O848" s="1779"/>
      <c r="P848" s="1816"/>
      <c r="Q848" s="1779"/>
      <c r="R848" s="1779"/>
      <c r="S848" s="1779"/>
      <c r="T848" s="1779"/>
      <c r="U848" s="1779"/>
      <c r="V848" s="1779"/>
      <c r="W848" s="1779"/>
      <c r="X848" s="1779"/>
      <c r="Y848" s="1779"/>
      <c r="Z848" s="1779"/>
      <c r="AA848" s="1779"/>
      <c r="AB848" s="1779"/>
      <c r="AC848" s="1779"/>
    </row>
    <row r="849" spans="1:29">
      <c r="A849" s="1779"/>
      <c r="B849" s="1779"/>
      <c r="C849" s="1779"/>
      <c r="D849" s="1779"/>
      <c r="E849" s="1779"/>
      <c r="F849" s="1779"/>
      <c r="G849" s="1779"/>
      <c r="H849" s="1779"/>
      <c r="I849" s="1779"/>
      <c r="J849" s="1779"/>
      <c r="K849" s="1780"/>
      <c r="L849" s="1781"/>
      <c r="M849" s="1779"/>
      <c r="N849" s="1779"/>
      <c r="O849" s="1779"/>
      <c r="P849" s="1816"/>
      <c r="Q849" s="1779"/>
      <c r="R849" s="1779"/>
      <c r="S849" s="1779"/>
      <c r="T849" s="1779"/>
      <c r="U849" s="1779"/>
      <c r="V849" s="1779"/>
      <c r="W849" s="1779"/>
      <c r="X849" s="1779"/>
      <c r="Y849" s="1779"/>
      <c r="Z849" s="1779"/>
      <c r="AA849" s="1779"/>
      <c r="AB849" s="1779"/>
      <c r="AC849" s="1779"/>
    </row>
    <row r="850" spans="1:29">
      <c r="A850" s="1779"/>
      <c r="B850" s="1779"/>
      <c r="C850" s="1779"/>
      <c r="D850" s="1779"/>
      <c r="E850" s="1779"/>
      <c r="F850" s="1779"/>
      <c r="G850" s="1779"/>
      <c r="H850" s="1779"/>
      <c r="I850" s="1779"/>
      <c r="J850" s="1779"/>
      <c r="K850" s="1780"/>
      <c r="L850" s="1781"/>
      <c r="M850" s="1779"/>
      <c r="N850" s="1779"/>
      <c r="O850" s="1779"/>
      <c r="P850" s="1816"/>
      <c r="Q850" s="1779"/>
      <c r="R850" s="1779"/>
      <c r="S850" s="1779"/>
      <c r="T850" s="1779"/>
      <c r="U850" s="1779"/>
      <c r="V850" s="1779"/>
      <c r="W850" s="1779"/>
      <c r="X850" s="1779"/>
      <c r="Y850" s="1779"/>
      <c r="Z850" s="1779"/>
      <c r="AA850" s="1779"/>
      <c r="AB850" s="1779"/>
      <c r="AC850" s="1779"/>
    </row>
    <row r="851" spans="1:29">
      <c r="A851" s="1779"/>
      <c r="B851" s="1779"/>
      <c r="C851" s="1779"/>
      <c r="D851" s="1779"/>
      <c r="E851" s="1779"/>
      <c r="F851" s="1779"/>
      <c r="G851" s="1779"/>
      <c r="H851" s="1779"/>
      <c r="I851" s="1779"/>
      <c r="J851" s="1779"/>
      <c r="K851" s="1780"/>
      <c r="L851" s="1781"/>
      <c r="M851" s="1779"/>
      <c r="N851" s="1779"/>
      <c r="O851" s="1779"/>
      <c r="P851" s="1816"/>
      <c r="Q851" s="1779"/>
      <c r="R851" s="1779"/>
      <c r="S851" s="1779"/>
      <c r="T851" s="1779"/>
      <c r="U851" s="1779"/>
      <c r="V851" s="1779"/>
      <c r="W851" s="1779"/>
      <c r="X851" s="1779"/>
      <c r="Y851" s="1779"/>
      <c r="Z851" s="1779"/>
      <c r="AA851" s="1779"/>
      <c r="AB851" s="1779"/>
      <c r="AC851" s="1779"/>
    </row>
    <row r="852" spans="1:29">
      <c r="A852" s="1779"/>
      <c r="B852" s="1779"/>
      <c r="C852" s="1779"/>
      <c r="D852" s="1779"/>
      <c r="E852" s="1779"/>
      <c r="F852" s="1779"/>
      <c r="G852" s="1779"/>
      <c r="H852" s="1779"/>
      <c r="I852" s="1779"/>
      <c r="J852" s="1779"/>
      <c r="K852" s="1780"/>
      <c r="L852" s="1781"/>
      <c r="M852" s="1779"/>
      <c r="N852" s="1779"/>
      <c r="O852" s="1779"/>
      <c r="P852" s="1816"/>
      <c r="Q852" s="1779"/>
      <c r="R852" s="1779"/>
      <c r="S852" s="1779"/>
      <c r="T852" s="1779"/>
      <c r="U852" s="1779"/>
      <c r="V852" s="1779"/>
      <c r="W852" s="1779"/>
      <c r="X852" s="1779"/>
      <c r="Y852" s="1779"/>
      <c r="Z852" s="1779"/>
      <c r="AA852" s="1779"/>
      <c r="AB852" s="1779"/>
      <c r="AC852" s="1779"/>
    </row>
    <row r="853" spans="1:29">
      <c r="A853" s="1779"/>
      <c r="B853" s="1779"/>
      <c r="C853" s="1779"/>
      <c r="D853" s="1779"/>
      <c r="E853" s="1779"/>
      <c r="F853" s="1779"/>
      <c r="G853" s="1779"/>
      <c r="H853" s="1779"/>
      <c r="I853" s="1779"/>
      <c r="J853" s="1779"/>
      <c r="K853" s="1780"/>
      <c r="L853" s="1781"/>
      <c r="M853" s="1779"/>
      <c r="N853" s="1779"/>
      <c r="O853" s="1779"/>
      <c r="P853" s="1816"/>
      <c r="Q853" s="1779"/>
      <c r="R853" s="1779"/>
      <c r="S853" s="1779"/>
      <c r="T853" s="1779"/>
      <c r="U853" s="1779"/>
      <c r="V853" s="1779"/>
      <c r="W853" s="1779"/>
      <c r="X853" s="1779"/>
      <c r="Y853" s="1779"/>
      <c r="Z853" s="1779"/>
      <c r="AA853" s="1779"/>
      <c r="AB853" s="1779"/>
      <c r="AC853" s="1779"/>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E53">
    <cfRule type="expression" dxfId="65" priority="16" stopIfTrue="1">
      <formula>$F$53="超过30%"</formula>
    </cfRule>
  </conditionalFormatting>
  <conditionalFormatting sqref="E54">
    <cfRule type="expression" dxfId="64" priority="15" stopIfTrue="1">
      <formula>$F$54="超过20%"</formula>
    </cfRule>
  </conditionalFormatting>
  <conditionalFormatting sqref="E55">
    <cfRule type="expression" dxfId="63" priority="14" stopIfTrue="1">
      <formula>$F$55="超过30%"</formula>
    </cfRule>
  </conditionalFormatting>
  <conditionalFormatting sqref="F7:F47 H7:H47 J7:J47">
    <cfRule type="cellIs" dxfId="62" priority="1" operator="notEqual">
      <formula>100</formula>
    </cfRule>
  </conditionalFormatting>
  <conditionalFormatting sqref="F49">
    <cfRule type="expression" dxfId="61" priority="4">
      <formula>$D$49="简单平均"</formula>
    </cfRule>
  </conditionalFormatting>
  <conditionalFormatting sqref="F53:F55 H53:H55">
    <cfRule type="containsText" dxfId="60" priority="17" stopIfTrue="1" operator="containsText" text="超过">
      <formula>NOT(ISERROR(SEARCH("超过",F53)))</formula>
    </cfRule>
  </conditionalFormatting>
  <conditionalFormatting sqref="G53">
    <cfRule type="expression" dxfId="59" priority="12" stopIfTrue="1">
      <formula>$H$53="超过30%"</formula>
    </cfRule>
  </conditionalFormatting>
  <conditionalFormatting sqref="G54">
    <cfRule type="expression" dxfId="58" priority="11" stopIfTrue="1">
      <formula>$H$54="超过20%"</formula>
    </cfRule>
  </conditionalFormatting>
  <conditionalFormatting sqref="G55">
    <cfRule type="expression" dxfId="57" priority="13" stopIfTrue="1">
      <formula>$H$55="超过30%"</formula>
    </cfRule>
  </conditionalFormatting>
  <conditionalFormatting sqref="H49">
    <cfRule type="expression" dxfId="56" priority="3">
      <formula>$D$49="简单平均"</formula>
    </cfRule>
  </conditionalFormatting>
  <conditionalFormatting sqref="I53">
    <cfRule type="expression" dxfId="55" priority="7" stopIfTrue="1">
      <formula>$J$53="超过30%"</formula>
    </cfRule>
  </conditionalFormatting>
  <conditionalFormatting sqref="I54">
    <cfRule type="expression" dxfId="54" priority="6" stopIfTrue="1">
      <formula>$J$53+$J$54="超过20%"</formula>
    </cfRule>
  </conditionalFormatting>
  <conditionalFormatting sqref="I55">
    <cfRule type="expression" dxfId="53" priority="5" stopIfTrue="1">
      <formula>$J$55="超过30%"</formula>
    </cfRule>
  </conditionalFormatting>
  <conditionalFormatting sqref="J49">
    <cfRule type="expression" dxfId="52" priority="2">
      <formula>$D$49="简单平均"</formula>
    </cfRule>
  </conditionalFormatting>
  <conditionalFormatting sqref="J53:J55">
    <cfRule type="containsText" dxfId="51" priority="8" stopIfTrue="1" operator="containsText" text="超过">
      <formula>NOT(ISERROR(SEARCH("超过",J53)))</formula>
    </cfRule>
  </conditionalFormatting>
  <dataValidations count="22">
    <dataValidation type="list" allowBlank="1" showInputMessage="1" showErrorMessage="1" sqref="C35 E35 G35 I35" xr:uid="{00000000-0002-0000-2400-000000000000}">
      <formula1>办公建筑结构</formula1>
    </dataValidation>
    <dataValidation type="list" allowBlank="1" showInputMessage="1" showErrorMessage="1" sqref="E24 G24 I24 C24" xr:uid="{00000000-0002-0000-2400-000001000000}">
      <formula1>环境</formula1>
    </dataValidation>
    <dataValidation type="list" allowBlank="1" showInputMessage="1" showErrorMessage="1" sqref="E18 G18 I18 C18" xr:uid="{00000000-0002-0000-2400-000002000000}">
      <formula1>交通便捷度</formula1>
    </dataValidation>
    <dataValidation type="list" allowBlank="1" showInputMessage="1" showErrorMessage="1" sqref="C20 G20 I20 E20" xr:uid="{00000000-0002-0000-2400-000003000000}">
      <formula1>公共配套设施</formula1>
    </dataValidation>
    <dataValidation type="list" allowBlank="1" showInputMessage="1" showErrorMessage="1" sqref="C44 E44 G44 I44" xr:uid="{00000000-0002-0000-2400-000004000000}">
      <formula1>内部装修维护情况</formula1>
    </dataValidation>
    <dataValidation type="list" allowBlank="1" showInputMessage="1" showErrorMessage="1" sqref="D1" xr:uid="{00000000-0002-0000-2400-000005000000}">
      <formula1>项目类型</formula1>
    </dataValidation>
    <dataValidation type="list" allowBlank="1" showInputMessage="1" showErrorMessage="1" sqref="E9 G9 I9" xr:uid="{00000000-0002-0000-2400-000006000000}">
      <formula1>办公用途</formula1>
    </dataValidation>
    <dataValidation type="list" allowBlank="1" showInputMessage="1" showErrorMessage="1" sqref="C16 E16 G16 I16" xr:uid="{00000000-0002-0000-2400-000007000000}">
      <formula1>办公集聚程度</formula1>
    </dataValidation>
    <dataValidation type="list" allowBlank="1" showInputMessage="1" showErrorMessage="1" sqref="G26 C26 E26 I26" xr:uid="{00000000-0002-0000-2400-000008000000}">
      <formula1>办公道路级别</formula1>
    </dataValidation>
    <dataValidation type="list" allowBlank="1" showInputMessage="1" showErrorMessage="1" sqref="C28 E28 G28 I28" xr:uid="{00000000-0002-0000-2400-000009000000}">
      <formula1>办公朝向</formula1>
    </dataValidation>
    <dataValidation type="list" allowBlank="1" showInputMessage="1" showErrorMessage="1" sqref="C27 E27 G27 I27" xr:uid="{00000000-0002-0000-2400-00000A000000}">
      <formula1>办公楼层</formula1>
    </dataValidation>
    <dataValidation type="list" allowBlank="1" showInputMessage="1" showErrorMessage="1" sqref="C33 E33 G33 I33" xr:uid="{00000000-0002-0000-2400-00000B000000}">
      <formula1>办公建筑类型</formula1>
    </dataValidation>
    <dataValidation type="list" allowBlank="1" showInputMessage="1" showErrorMessage="1" sqref="C36 E36 G36 I36" xr:uid="{00000000-0002-0000-2400-00000C000000}">
      <formula1>办公公共部分装修</formula1>
    </dataValidation>
    <dataValidation type="list" allowBlank="1" showInputMessage="1" showErrorMessage="1" sqref="C38 E38 G38 I38" xr:uid="{00000000-0002-0000-2400-00000D000000}">
      <formula1>写字楼等级</formula1>
    </dataValidation>
    <dataValidation type="list" allowBlank="1" showInputMessage="1" showErrorMessage="1" sqref="C39 E39 G39 I39" xr:uid="{00000000-0002-0000-2400-00000E000000}">
      <formula1>办公物业管理</formula1>
    </dataValidation>
    <dataValidation type="list" allowBlank="1" showInputMessage="1" showErrorMessage="1" sqref="C40 E40 G40 I40" xr:uid="{00000000-0002-0000-2400-00000F000000}">
      <formula1>办公基础设施水平</formula1>
    </dataValidation>
    <dataValidation type="list" allowBlank="1" showInputMessage="1" showErrorMessage="1" sqref="C41 E41 G41 I41" xr:uid="{00000000-0002-0000-2400-000010000000}">
      <formula1>办公层高</formula1>
    </dataValidation>
    <dataValidation type="list" allowBlank="1" showInputMessage="1" showErrorMessage="1" sqref="C43 E43 G43 I43" xr:uid="{00000000-0002-0000-2400-000011000000}">
      <formula1>办公内部装修</formula1>
    </dataValidation>
    <dataValidation type="list" allowBlank="1" showInputMessage="1" showErrorMessage="1" sqref="C8 E8 G8 I8" xr:uid="{00000000-0002-0000-2400-000012000000}">
      <formula1>办公交易情况</formula1>
    </dataValidation>
    <dataValidation type="list" allowBlank="1" showInputMessage="1" showErrorMessage="1" sqref="C22 E22 G22 I22" xr:uid="{00000000-0002-0000-2400-000013000000}">
      <formula1>基础设施水平</formula1>
    </dataValidation>
    <dataValidation type="list" allowBlank="1" showInputMessage="1" showErrorMessage="1" sqref="F1" xr:uid="{00000000-0002-0000-2400-000014000000}">
      <formula1>"售价,租金"</formula1>
    </dataValidation>
    <dataValidation type="list" allowBlank="1" showInputMessage="1" showErrorMessage="1" sqref="D49" xr:uid="{00000000-0002-0000-2400-000015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7">
    <tabColor rgb="FF92D050"/>
    <pageSetUpPr fitToPage="1"/>
  </sheetPr>
  <dimension ref="A1:AC236"/>
  <sheetViews>
    <sheetView view="pageBreakPreview" topLeftCell="A31" zoomScale="60" zoomScaleNormal="60" workbookViewId="0">
      <selection activeCell="F10" sqref="F10"/>
    </sheetView>
  </sheetViews>
  <sheetFormatPr defaultColWidth="9" defaultRowHeight="14.25"/>
  <cols>
    <col min="1" max="1" width="10.5" style="1132" customWidth="1"/>
    <col min="2" max="2" width="15.75" style="1132" customWidth="1"/>
    <col min="3" max="3" width="14.375" style="1132" customWidth="1"/>
    <col min="4" max="4" width="12.25" style="1132" customWidth="1"/>
    <col min="5" max="5" width="14.375" style="1132" customWidth="1"/>
    <col min="6" max="6" width="12.25" style="1132" customWidth="1"/>
    <col min="7" max="7" width="14.5" style="1132" customWidth="1"/>
    <col min="8" max="8" width="12.25" style="1132" customWidth="1"/>
    <col min="9" max="9" width="14.5" style="1132" customWidth="1"/>
    <col min="10" max="10" width="12.25" style="1132" customWidth="1"/>
    <col min="11" max="11" width="12.25" style="1137" customWidth="1"/>
    <col min="12" max="12" width="12.25" style="1138" customWidth="1"/>
    <col min="13" max="15" width="12.25" style="1132" customWidth="1"/>
    <col min="16" max="16" width="4.75" style="1132" customWidth="1"/>
    <col min="17" max="17" width="19.5" style="1132" customWidth="1"/>
    <col min="18" max="22" width="6.125" style="1132" customWidth="1"/>
    <col min="23" max="23" width="5.75" style="1132" customWidth="1"/>
    <col min="24" max="24" width="4.25" style="1132" customWidth="1"/>
    <col min="25" max="25" width="3.5" style="1132" customWidth="1"/>
    <col min="26" max="26" width="19.75" style="1132" customWidth="1"/>
    <col min="27" max="28" width="9.375" style="1132" customWidth="1"/>
    <col min="29" max="16384" width="9" style="1132"/>
  </cols>
  <sheetData>
    <row r="1" spans="1:29" s="1131" customFormat="1" ht="28.5" customHeight="1">
      <c r="A1" s="453" t="s">
        <v>665</v>
      </c>
      <c r="B1" s="454" t="s">
        <v>728</v>
      </c>
      <c r="C1" s="455" t="s">
        <v>667</v>
      </c>
      <c r="D1" s="783"/>
      <c r="E1" s="457"/>
      <c r="F1" s="2118"/>
      <c r="G1" s="1328" t="s">
        <v>668</v>
      </c>
      <c r="H1" s="457"/>
      <c r="I1" s="457"/>
      <c r="J1" s="457"/>
      <c r="K1" s="458"/>
      <c r="L1" s="2717"/>
      <c r="M1" s="2718"/>
      <c r="N1" s="2718"/>
      <c r="O1" s="2718"/>
      <c r="P1" s="1740"/>
      <c r="Q1" s="1740"/>
      <c r="R1" s="1740"/>
      <c r="S1" s="1740"/>
      <c r="T1" s="1740"/>
      <c r="U1" s="1740"/>
      <c r="V1" s="1740"/>
      <c r="W1" s="1740"/>
      <c r="X1" s="1740"/>
      <c r="Y1" s="1740"/>
      <c r="Z1" s="1740"/>
      <c r="AA1" s="1740"/>
      <c r="AB1" s="1740"/>
      <c r="AC1" s="1674"/>
    </row>
    <row r="2" spans="1:29" s="1131" customFormat="1" ht="28.5" customHeight="1">
      <c r="A2" s="393" t="s">
        <v>427</v>
      </c>
      <c r="B2" s="784" t="e">
        <f>ROUND(B3*D3/10000,0)</f>
        <v>#DIV/0!</v>
      </c>
      <c r="C2" s="1735"/>
      <c r="D2" s="1735"/>
      <c r="E2" s="1736"/>
      <c r="F2" s="1737"/>
      <c r="G2" s="1736"/>
      <c r="H2" s="1736"/>
      <c r="I2" s="1736"/>
      <c r="J2" s="1736"/>
      <c r="K2" s="1736"/>
      <c r="L2" s="1739"/>
      <c r="M2" s="1740"/>
      <c r="N2" s="1740"/>
      <c r="O2" s="1740"/>
      <c r="P2" s="1740"/>
      <c r="Q2" s="1740"/>
      <c r="R2" s="1740"/>
      <c r="S2" s="1740"/>
      <c r="T2" s="1740"/>
      <c r="U2" s="1740"/>
      <c r="V2" s="1740"/>
      <c r="W2" s="1740"/>
      <c r="X2" s="1740"/>
      <c r="Y2" s="1740"/>
      <c r="Z2" s="1740"/>
      <c r="AA2" s="1740"/>
      <c r="AB2" s="1740"/>
      <c r="AC2" s="1674"/>
    </row>
    <row r="3" spans="1:29" s="1131" customFormat="1" ht="28.5" customHeight="1" thickBot="1">
      <c r="A3" s="460" t="s">
        <v>468</v>
      </c>
      <c r="B3" s="461" t="e">
        <f>C43</f>
        <v>#DIV/0!</v>
      </c>
      <c r="C3" s="786" t="s">
        <v>669</v>
      </c>
      <c r="D3" s="785">
        <f>SUMIF('数据-汇总表'!$C19:$C33,D1,'数据-汇总表'!$E19:$E33)</f>
        <v>0</v>
      </c>
      <c r="E3" s="1736"/>
      <c r="F3" s="1737"/>
      <c r="G3" s="1736"/>
      <c r="H3" s="1736"/>
      <c r="I3" s="1736"/>
      <c r="J3" s="1736"/>
      <c r="K3" s="1738"/>
      <c r="L3" s="1739"/>
      <c r="M3" s="1740"/>
      <c r="N3" s="1740"/>
      <c r="O3" s="1740"/>
      <c r="P3" s="1740"/>
      <c r="Q3" s="1740"/>
      <c r="R3" s="1740"/>
      <c r="S3" s="1740"/>
      <c r="T3" s="1740"/>
      <c r="U3" s="1740"/>
      <c r="V3" s="1740"/>
      <c r="W3" s="1740"/>
      <c r="X3" s="1740"/>
      <c r="Y3" s="1740"/>
      <c r="Z3" s="1740"/>
      <c r="AA3" s="1740"/>
      <c r="AB3" s="2719"/>
      <c r="AC3" s="1674"/>
    </row>
    <row r="4" spans="1:29" ht="15">
      <c r="A4" s="463" t="s">
        <v>470</v>
      </c>
      <c r="B4" s="464"/>
      <c r="C4" s="3631" t="s">
        <v>471</v>
      </c>
      <c r="D4" s="3632"/>
      <c r="E4" s="3707" t="s">
        <v>472</v>
      </c>
      <c r="F4" s="3708"/>
      <c r="G4" s="3631" t="s">
        <v>473</v>
      </c>
      <c r="H4" s="3632"/>
      <c r="I4" s="3631" t="s">
        <v>474</v>
      </c>
      <c r="J4" s="3632"/>
      <c r="K4" s="465" t="s">
        <v>475</v>
      </c>
      <c r="L4" s="1741"/>
      <c r="M4" s="1742"/>
      <c r="N4" s="1742"/>
      <c r="O4" s="1742"/>
      <c r="P4" s="3633" t="s">
        <v>476</v>
      </c>
      <c r="Q4" s="3634"/>
      <c r="R4" s="3617" t="s">
        <v>472</v>
      </c>
      <c r="S4" s="3618"/>
      <c r="T4" s="3617" t="s">
        <v>473</v>
      </c>
      <c r="U4" s="3618"/>
      <c r="V4" s="3639" t="s">
        <v>474</v>
      </c>
      <c r="W4" s="3639"/>
      <c r="X4" s="1302"/>
      <c r="Y4" s="3617" t="s">
        <v>476</v>
      </c>
      <c r="Z4" s="3618"/>
      <c r="AA4" s="3612" t="s">
        <v>472</v>
      </c>
      <c r="AB4" s="3613" t="s">
        <v>473</v>
      </c>
      <c r="AC4" s="3612" t="s">
        <v>474</v>
      </c>
    </row>
    <row r="5" spans="1:29" ht="15">
      <c r="A5" s="466"/>
      <c r="B5" s="467"/>
      <c r="C5" s="3642" t="s">
        <v>2192</v>
      </c>
      <c r="D5" s="3643"/>
      <c r="E5" s="3709" t="s">
        <v>2193</v>
      </c>
      <c r="F5" s="3710"/>
      <c r="G5" s="3642" t="s">
        <v>2194</v>
      </c>
      <c r="H5" s="3643"/>
      <c r="I5" s="3642" t="s">
        <v>2195</v>
      </c>
      <c r="J5" s="3643"/>
      <c r="K5" s="465"/>
      <c r="L5" s="1741"/>
      <c r="M5" s="1742"/>
      <c r="N5" s="1742"/>
      <c r="O5" s="1742"/>
      <c r="P5" s="3635"/>
      <c r="Q5" s="3636"/>
      <c r="R5" s="3619"/>
      <c r="S5" s="3620"/>
      <c r="T5" s="3619"/>
      <c r="U5" s="3620"/>
      <c r="V5" s="3639"/>
      <c r="W5" s="3639"/>
      <c r="X5" s="1302"/>
      <c r="Y5" s="3619"/>
      <c r="Z5" s="3620"/>
      <c r="AA5" s="3613"/>
      <c r="AB5" s="3613"/>
      <c r="AC5" s="3613"/>
    </row>
    <row r="6" spans="1:29" ht="15.75" thickBot="1">
      <c r="A6" s="468"/>
      <c r="B6" s="469"/>
      <c r="C6" s="3640" t="s">
        <v>2196</v>
      </c>
      <c r="D6" s="3641"/>
      <c r="E6" s="3711" t="s">
        <v>2196</v>
      </c>
      <c r="F6" s="3712"/>
      <c r="G6" s="3640" t="s">
        <v>2196</v>
      </c>
      <c r="H6" s="3641"/>
      <c r="I6" s="3640" t="s">
        <v>2196</v>
      </c>
      <c r="J6" s="3641"/>
      <c r="K6" s="465" t="s">
        <v>477</v>
      </c>
      <c r="L6" s="1741"/>
      <c r="M6" s="1742"/>
      <c r="N6" s="1742"/>
      <c r="O6" s="1742"/>
      <c r="P6" s="3637"/>
      <c r="Q6" s="3638"/>
      <c r="R6" s="3619"/>
      <c r="S6" s="3620"/>
      <c r="T6" s="3621"/>
      <c r="U6" s="3622"/>
      <c r="V6" s="3639"/>
      <c r="W6" s="3639"/>
      <c r="X6" s="1302"/>
      <c r="Y6" s="3621"/>
      <c r="Z6" s="3622"/>
      <c r="AA6" s="3614"/>
      <c r="AB6" s="3614"/>
      <c r="AC6" s="3614"/>
    </row>
    <row r="7" spans="1:29" s="1060" customFormat="1" ht="15.75" thickBot="1">
      <c r="A7" s="2209"/>
      <c r="B7" s="2216" t="s">
        <v>478</v>
      </c>
      <c r="C7" s="470">
        <f>'数据-取费表'!B2</f>
        <v>45483</v>
      </c>
      <c r="D7" s="471">
        <v>100</v>
      </c>
      <c r="E7" s="472"/>
      <c r="F7" s="473">
        <f>SUMIF(52:52,YEAR(E7)&amp;"-"&amp;MONTH(E7),53:53)</f>
        <v>0</v>
      </c>
      <c r="G7" s="472"/>
      <c r="H7" s="471">
        <f>SUMIF(52:52,YEAR(G7)&amp;"-"&amp;MONTH(G7),53:53)</f>
        <v>0</v>
      </c>
      <c r="I7" s="472"/>
      <c r="J7" s="471">
        <f>SUMIF(52:52,YEAR(I7)&amp;"-"&amp;MONTH(I7),53:53)</f>
        <v>0</v>
      </c>
      <c r="K7" s="88"/>
      <c r="L7" s="1743"/>
      <c r="M7" s="1640"/>
      <c r="N7" s="1640"/>
      <c r="O7" s="1640"/>
      <c r="P7" s="3615" t="s">
        <v>479</v>
      </c>
      <c r="Q7" s="3624"/>
      <c r="R7" s="1303" t="s">
        <v>5</v>
      </c>
      <c r="S7" s="1304">
        <f t="shared" ref="S7:S15" si="0">F7</f>
        <v>0</v>
      </c>
      <c r="T7" s="1303" t="s">
        <v>5</v>
      </c>
      <c r="U7" s="1304">
        <f t="shared" ref="U7:U15" si="1">H7</f>
        <v>0</v>
      </c>
      <c r="V7" s="1303" t="s">
        <v>5</v>
      </c>
      <c r="W7" s="1304">
        <f t="shared" ref="W7:W15" si="2">J7</f>
        <v>0</v>
      </c>
      <c r="X7" s="1305"/>
      <c r="Y7" s="3615" t="s">
        <v>479</v>
      </c>
      <c r="Z7" s="3616"/>
      <c r="AA7" s="997" t="e">
        <f>D7/F7</f>
        <v>#DIV/0!</v>
      </c>
      <c r="AB7" s="997" t="e">
        <f>D7/H7</f>
        <v>#DIV/0!</v>
      </c>
      <c r="AC7" s="997" t="e">
        <f>D7/J7</f>
        <v>#DIV/0!</v>
      </c>
    </row>
    <row r="8" spans="1:29" s="1060" customFormat="1" ht="15.75" thickBot="1">
      <c r="A8" s="2210"/>
      <c r="B8" s="2217" t="s">
        <v>480</v>
      </c>
      <c r="C8" s="475" t="s">
        <v>524</v>
      </c>
      <c r="D8" s="471">
        <v>100</v>
      </c>
      <c r="E8" s="475"/>
      <c r="F8" s="473">
        <f>SUMIF(55:55,E8,56:56)-SUMIF(55:55,C8,56:56)+100</f>
        <v>0</v>
      </c>
      <c r="G8" s="475"/>
      <c r="H8" s="471">
        <f>SUMIF(55:55,G8,56:56)-SUMIF(55:55,C8,56:56)+100</f>
        <v>0</v>
      </c>
      <c r="I8" s="475"/>
      <c r="J8" s="471">
        <f>SUMIF(55:55,I8,56:56)-SUMIF(55:55,C8,56:56)+100</f>
        <v>0</v>
      </c>
      <c r="K8" s="88"/>
      <c r="L8" s="1743"/>
      <c r="M8" s="1640"/>
      <c r="N8" s="1640"/>
      <c r="O8" s="1640"/>
      <c r="P8" s="3615" t="s">
        <v>482</v>
      </c>
      <c r="Q8" s="3616"/>
      <c r="R8" s="1303" t="s">
        <v>5</v>
      </c>
      <c r="S8" s="1304">
        <f t="shared" si="0"/>
        <v>0</v>
      </c>
      <c r="T8" s="1303" t="s">
        <v>5</v>
      </c>
      <c r="U8" s="1304">
        <f t="shared" si="1"/>
        <v>0</v>
      </c>
      <c r="V8" s="1303" t="s">
        <v>5</v>
      </c>
      <c r="W8" s="1304">
        <f t="shared" si="2"/>
        <v>0</v>
      </c>
      <c r="X8" s="1305"/>
      <c r="Y8" s="3615" t="s">
        <v>482</v>
      </c>
      <c r="Z8" s="3616"/>
      <c r="AA8" s="997" t="e">
        <f t="shared" ref="AA8:AA40" si="3">D8/F8</f>
        <v>#DIV/0!</v>
      </c>
      <c r="AB8" s="997" t="e">
        <f t="shared" ref="AB8:AB40" si="4">D8/H8</f>
        <v>#DIV/0!</v>
      </c>
      <c r="AC8" s="997" t="e">
        <f t="shared" ref="AC8:AC40" si="5">D8/J8</f>
        <v>#DIV/0!</v>
      </c>
    </row>
    <row r="9" spans="1:29" s="1060" customFormat="1" ht="15">
      <c r="A9" s="2211"/>
      <c r="B9" s="2218" t="s">
        <v>2038</v>
      </c>
      <c r="C9" s="791"/>
      <c r="D9" s="154">
        <v>100</v>
      </c>
      <c r="E9" s="793"/>
      <c r="F9" s="154">
        <f>SUMIF(57:57,E9,58:58)-SUMIF(57:57,C9,58:58)+100</f>
        <v>100</v>
      </c>
      <c r="G9" s="792"/>
      <c r="H9" s="154">
        <f>SUMIF(57:57,G9,58:58)-SUMIF(57:57,C9,58:58)+100</f>
        <v>100</v>
      </c>
      <c r="I9" s="792"/>
      <c r="J9" s="154">
        <f>SUMIF(57:57,I9,58:58)-SUMIF(57:57,C9,58:58)+100</f>
        <v>100</v>
      </c>
      <c r="K9" s="88"/>
      <c r="L9" s="1743"/>
      <c r="M9" s="1640"/>
      <c r="N9" s="1640"/>
      <c r="O9" s="1744"/>
      <c r="P9" s="3623" t="s">
        <v>484</v>
      </c>
      <c r="Q9" s="818" t="str">
        <f t="shared" ref="Q9:Q15" si="6">B9</f>
        <v>用途</v>
      </c>
      <c r="R9" s="1303" t="s">
        <v>5</v>
      </c>
      <c r="S9" s="1304">
        <f t="shared" si="0"/>
        <v>100</v>
      </c>
      <c r="T9" s="1303" t="s">
        <v>5</v>
      </c>
      <c r="U9" s="1304">
        <f t="shared" si="1"/>
        <v>100</v>
      </c>
      <c r="V9" s="1303" t="s">
        <v>5</v>
      </c>
      <c r="W9" s="1304">
        <f t="shared" si="2"/>
        <v>100</v>
      </c>
      <c r="X9" s="1305"/>
      <c r="Y9" s="3575" t="s">
        <v>485</v>
      </c>
      <c r="Z9" s="997" t="str">
        <f t="shared" ref="Z9:Z15" si="7">Q9</f>
        <v>用途</v>
      </c>
      <c r="AA9" s="997">
        <f t="shared" si="3"/>
        <v>1</v>
      </c>
      <c r="AB9" s="997">
        <f t="shared" si="4"/>
        <v>1</v>
      </c>
      <c r="AC9" s="997">
        <f t="shared" si="5"/>
        <v>1</v>
      </c>
    </row>
    <row r="10" spans="1:29" s="1133" customFormat="1" ht="27">
      <c r="A10" s="2212"/>
      <c r="B10" s="2217" t="s">
        <v>2039</v>
      </c>
      <c r="C10" s="3386"/>
      <c r="D10" s="235">
        <v>100</v>
      </c>
      <c r="E10" s="3386"/>
      <c r="F10" s="235">
        <f>SUMIF(59:59,E10,60:60)-SUMIF(59:59,C10,60:60)+100</f>
        <v>100</v>
      </c>
      <c r="G10" s="3387"/>
      <c r="H10" s="235">
        <f>SUMIF(59:59,G10,60:60)-SUMIF(59:59,C10,60:60)+100</f>
        <v>100</v>
      </c>
      <c r="I10" s="3386"/>
      <c r="J10" s="235">
        <f>SUMIF(59:59,I10,60:60)-SUMIF(59:59,C10,60:60)+100</f>
        <v>100</v>
      </c>
      <c r="K10" s="88"/>
      <c r="L10" s="1745"/>
      <c r="M10" s="1778"/>
      <c r="N10" s="1778"/>
      <c r="O10" s="1746"/>
      <c r="P10" s="3623"/>
      <c r="Q10" s="818" t="str">
        <f t="shared" si="6"/>
        <v>土地使用年限（年）</v>
      </c>
      <c r="R10" s="1303" t="s">
        <v>5</v>
      </c>
      <c r="S10" s="1304">
        <f t="shared" si="0"/>
        <v>100</v>
      </c>
      <c r="T10" s="1303" t="s">
        <v>5</v>
      </c>
      <c r="U10" s="1304">
        <f t="shared" si="1"/>
        <v>100</v>
      </c>
      <c r="V10" s="1303" t="s">
        <v>5</v>
      </c>
      <c r="W10" s="1304">
        <f t="shared" si="2"/>
        <v>100</v>
      </c>
      <c r="X10" s="1305"/>
      <c r="Y10" s="3575"/>
      <c r="Z10" s="997" t="str">
        <f t="shared" si="7"/>
        <v>土地使用年限（年）</v>
      </c>
      <c r="AA10" s="997">
        <f t="shared" si="3"/>
        <v>1</v>
      </c>
      <c r="AB10" s="997">
        <f t="shared" si="4"/>
        <v>1</v>
      </c>
      <c r="AC10" s="997">
        <f t="shared" si="5"/>
        <v>1</v>
      </c>
    </row>
    <row r="11" spans="1:29" ht="15">
      <c r="A11" s="2213"/>
      <c r="B11" s="2217" t="s">
        <v>2040</v>
      </c>
      <c r="C11" s="483"/>
      <c r="D11" s="235">
        <v>100</v>
      </c>
      <c r="E11" s="483"/>
      <c r="F11" s="235" t="e">
        <f>LOOKUP(E11,62:62,63:63)-LOOKUP(C11,62:62,63:63)+100</f>
        <v>#N/A</v>
      </c>
      <c r="G11" s="484"/>
      <c r="H11" s="235" t="e">
        <f>LOOKUP(G11,62:62,63:63)-LOOKUP(C11,62:62,63:63)+100</f>
        <v>#N/A</v>
      </c>
      <c r="I11" s="483"/>
      <c r="J11" s="235" t="e">
        <f>LOOKUP(I11,62:62,63:63)-LOOKUP(C11,62:62,63:63)+100</f>
        <v>#N/A</v>
      </c>
      <c r="K11" s="533"/>
      <c r="L11" s="1747"/>
      <c r="M11" s="1742"/>
      <c r="N11" s="1742"/>
      <c r="O11" s="1748"/>
      <c r="P11" s="3623"/>
      <c r="Q11" s="818" t="str">
        <f t="shared" si="6"/>
        <v>容积率</v>
      </c>
      <c r="R11" s="1303" t="s">
        <v>5</v>
      </c>
      <c r="S11" s="1304" t="e">
        <f t="shared" si="0"/>
        <v>#N/A</v>
      </c>
      <c r="T11" s="1303" t="s">
        <v>5</v>
      </c>
      <c r="U11" s="1304" t="e">
        <f t="shared" si="1"/>
        <v>#N/A</v>
      </c>
      <c r="V11" s="1303" t="s">
        <v>5</v>
      </c>
      <c r="W11" s="1304" t="e">
        <f t="shared" si="2"/>
        <v>#N/A</v>
      </c>
      <c r="X11" s="1305"/>
      <c r="Y11" s="3575"/>
      <c r="Z11" s="997" t="str">
        <f t="shared" si="7"/>
        <v>容积率</v>
      </c>
      <c r="AA11" s="997" t="e">
        <f t="shared" si="3"/>
        <v>#N/A</v>
      </c>
      <c r="AB11" s="997" t="e">
        <f t="shared" si="4"/>
        <v>#N/A</v>
      </c>
      <c r="AC11" s="997" t="e">
        <f t="shared" si="5"/>
        <v>#N/A</v>
      </c>
    </row>
    <row r="12" spans="1:29" s="1060" customFormat="1" ht="15">
      <c r="A12" s="2214"/>
      <c r="B12" s="2220">
        <v>111</v>
      </c>
      <c r="C12" s="478"/>
      <c r="D12" s="488">
        <v>100</v>
      </c>
      <c r="E12" s="489"/>
      <c r="F12" s="235">
        <f>SUMIF(64:64,E12,65:65)-SUMIF(64:64,C12,65:65)+100</f>
        <v>100</v>
      </c>
      <c r="G12" s="842"/>
      <c r="H12" s="235">
        <f>SUMIF(64:64,G12,65:65)-SUMIF(64:64,C12,65:65)+100</f>
        <v>100</v>
      </c>
      <c r="I12" s="806"/>
      <c r="J12" s="235">
        <f>SUMIF(64:64,I12,65:65)-SUMIF(64:64,C12,65:65)+100</f>
        <v>100</v>
      </c>
      <c r="K12" s="531"/>
      <c r="L12" s="1743"/>
      <c r="M12" s="1640"/>
      <c r="N12" s="1640"/>
      <c r="O12" s="1744"/>
      <c r="P12" s="3623"/>
      <c r="Q12" s="818">
        <f t="shared" si="6"/>
        <v>111</v>
      </c>
      <c r="R12" s="1303" t="s">
        <v>5</v>
      </c>
      <c r="S12" s="1304">
        <f t="shared" si="0"/>
        <v>100</v>
      </c>
      <c r="T12" s="1303" t="s">
        <v>5</v>
      </c>
      <c r="U12" s="1304">
        <f t="shared" si="1"/>
        <v>100</v>
      </c>
      <c r="V12" s="1303" t="s">
        <v>5</v>
      </c>
      <c r="W12" s="1304">
        <f t="shared" si="2"/>
        <v>100</v>
      </c>
      <c r="X12" s="1305"/>
      <c r="Y12" s="3575"/>
      <c r="Z12" s="997">
        <f t="shared" si="7"/>
        <v>111</v>
      </c>
      <c r="AA12" s="997">
        <f>D12/F12</f>
        <v>1</v>
      </c>
      <c r="AB12" s="997">
        <f>D12/H12</f>
        <v>1</v>
      </c>
      <c r="AC12" s="997">
        <f>D12/J12</f>
        <v>1</v>
      </c>
    </row>
    <row r="13" spans="1:29" ht="15">
      <c r="A13" s="2214"/>
      <c r="B13" s="2220">
        <v>111</v>
      </c>
      <c r="C13" s="489"/>
      <c r="D13" s="490">
        <v>100</v>
      </c>
      <c r="E13" s="489"/>
      <c r="F13" s="235">
        <f>SUMIF(66:66,E13,67:67)-SUMIF(66:66,C13,67:67)+100</f>
        <v>100</v>
      </c>
      <c r="G13" s="842"/>
      <c r="H13" s="490">
        <f>SUMIF(66:66,G13,67:67)-SUMIF(66:66,C13,67:67)+100</f>
        <v>100</v>
      </c>
      <c r="I13" s="806"/>
      <c r="J13" s="490">
        <f>SUMIF(66:66,I13,67:67)-SUMIF(66:66,C13,67:67)+100</f>
        <v>100</v>
      </c>
      <c r="K13" s="531"/>
      <c r="L13" s="1749"/>
      <c r="M13" s="1742"/>
      <c r="N13" s="1742"/>
      <c r="O13" s="1748"/>
      <c r="P13" s="3623"/>
      <c r="Q13" s="818">
        <f t="shared" si="6"/>
        <v>111</v>
      </c>
      <c r="R13" s="1303" t="s">
        <v>5</v>
      </c>
      <c r="S13" s="1304">
        <f t="shared" si="0"/>
        <v>100</v>
      </c>
      <c r="T13" s="1303" t="s">
        <v>5</v>
      </c>
      <c r="U13" s="1304">
        <f t="shared" si="1"/>
        <v>100</v>
      </c>
      <c r="V13" s="1303" t="s">
        <v>5</v>
      </c>
      <c r="W13" s="1304">
        <f t="shared" si="2"/>
        <v>100</v>
      </c>
      <c r="X13" s="1305"/>
      <c r="Y13" s="3575"/>
      <c r="Z13" s="997">
        <f t="shared" si="7"/>
        <v>111</v>
      </c>
      <c r="AA13" s="997">
        <f t="shared" si="3"/>
        <v>1</v>
      </c>
      <c r="AB13" s="997">
        <f t="shared" si="4"/>
        <v>1</v>
      </c>
      <c r="AC13" s="997">
        <f t="shared" si="5"/>
        <v>1</v>
      </c>
    </row>
    <row r="14" spans="1:29" ht="15.75" thickBot="1">
      <c r="A14" s="2215"/>
      <c r="B14" s="2221">
        <v>111</v>
      </c>
      <c r="C14" s="495"/>
      <c r="D14" s="496">
        <v>100</v>
      </c>
      <c r="E14" s="495"/>
      <c r="F14" s="496">
        <f>SUMIF(68:68,E14,69:69)-SUMIF(68:68,C14,69:69)+100</f>
        <v>100</v>
      </c>
      <c r="G14" s="842"/>
      <c r="H14" s="496">
        <f>SUMIF(68:68,G14,69:69)-SUMIF(68:68,C14,69:69)+100</f>
        <v>100</v>
      </c>
      <c r="I14" s="806"/>
      <c r="J14" s="496">
        <f>SUMIF(68:68,I14,69:69)-SUMIF(68:68,C14,69:69)+100</f>
        <v>100</v>
      </c>
      <c r="K14" s="531"/>
      <c r="L14" s="1749"/>
      <c r="M14" s="1742"/>
      <c r="N14" s="1742"/>
      <c r="O14" s="1748"/>
      <c r="P14" s="3623"/>
      <c r="Q14" s="818">
        <f t="shared" si="6"/>
        <v>111</v>
      </c>
      <c r="R14" s="1303" t="s">
        <v>5</v>
      </c>
      <c r="S14" s="1304">
        <f t="shared" si="0"/>
        <v>100</v>
      </c>
      <c r="T14" s="1303" t="s">
        <v>5</v>
      </c>
      <c r="U14" s="1304">
        <f t="shared" si="1"/>
        <v>100</v>
      </c>
      <c r="V14" s="1303" t="s">
        <v>5</v>
      </c>
      <c r="W14" s="1304">
        <f t="shared" si="2"/>
        <v>100</v>
      </c>
      <c r="X14" s="1305"/>
      <c r="Y14" s="3575"/>
      <c r="Z14" s="997">
        <f t="shared" si="7"/>
        <v>111</v>
      </c>
      <c r="AA14" s="997">
        <f t="shared" si="3"/>
        <v>1</v>
      </c>
      <c r="AB14" s="997">
        <f t="shared" si="4"/>
        <v>1</v>
      </c>
      <c r="AC14" s="997">
        <f t="shared" si="5"/>
        <v>1</v>
      </c>
    </row>
    <row r="15" spans="1:29" ht="57">
      <c r="A15" s="2207" t="s">
        <v>2036</v>
      </c>
      <c r="B15" s="150" t="s">
        <v>729</v>
      </c>
      <c r="C15" s="843" t="str">
        <f>估价对象房地状况!G3</f>
        <v>估价对象位于XX开发区，园区建设成熟度XX，产业集聚程度XX</v>
      </c>
      <c r="D15" s="499">
        <v>100</v>
      </c>
      <c r="E15" s="500"/>
      <c r="F15" s="501">
        <f>SUMIF(70:70,E16,71:71)-SUMIF(70:70,C16,71:71)+100</f>
        <v>100</v>
      </c>
      <c r="G15" s="502"/>
      <c r="H15" s="499">
        <f>SUMIF(70:70,G16,71:71)-SUMIF(70:70,C16,71:71)+100</f>
        <v>100</v>
      </c>
      <c r="I15" s="500"/>
      <c r="J15" s="499">
        <f>SUMIF(70:70,I16,71:71)-SUMIF(70:70,C16,71:71)+100</f>
        <v>100</v>
      </c>
      <c r="K15" s="822"/>
      <c r="L15" s="1749"/>
      <c r="M15" s="1742"/>
      <c r="N15" s="1742"/>
      <c r="O15" s="1748"/>
      <c r="P15" s="3625" t="s">
        <v>489</v>
      </c>
      <c r="Q15" s="1306" t="str">
        <f t="shared" si="6"/>
        <v>产业集聚程度</v>
      </c>
      <c r="R15" s="1307" t="s">
        <v>5</v>
      </c>
      <c r="S15" s="1308">
        <f t="shared" si="0"/>
        <v>100</v>
      </c>
      <c r="T15" s="1307" t="s">
        <v>5</v>
      </c>
      <c r="U15" s="1308">
        <f t="shared" si="1"/>
        <v>100</v>
      </c>
      <c r="V15" s="1307" t="s">
        <v>5</v>
      </c>
      <c r="W15" s="1308">
        <f t="shared" si="2"/>
        <v>100</v>
      </c>
      <c r="X15" s="1302"/>
      <c r="Y15" s="3625" t="s">
        <v>489</v>
      </c>
      <c r="Z15" s="1309" t="str">
        <f t="shared" si="7"/>
        <v>产业集聚程度</v>
      </c>
      <c r="AA15" s="1309">
        <f t="shared" si="3"/>
        <v>1</v>
      </c>
      <c r="AB15" s="1309">
        <f t="shared" si="4"/>
        <v>1</v>
      </c>
      <c r="AC15" s="1309">
        <f t="shared" si="5"/>
        <v>1</v>
      </c>
    </row>
    <row r="16" spans="1:29" ht="15">
      <c r="A16" s="482"/>
      <c r="B16" s="799"/>
      <c r="C16" s="526"/>
      <c r="D16" s="505"/>
      <c r="E16" s="526"/>
      <c r="F16" s="507"/>
      <c r="G16" s="526"/>
      <c r="H16" s="509"/>
      <c r="I16" s="526"/>
      <c r="J16" s="505"/>
      <c r="K16" s="823"/>
      <c r="L16" s="1749"/>
      <c r="M16" s="1742"/>
      <c r="N16" s="1742"/>
      <c r="O16" s="1748"/>
      <c r="P16" s="3626"/>
      <c r="Q16" s="1306"/>
      <c r="R16" s="1307"/>
      <c r="S16" s="1308"/>
      <c r="T16" s="1307"/>
      <c r="U16" s="1308"/>
      <c r="V16" s="1307"/>
      <c r="W16" s="1308"/>
      <c r="X16" s="1302"/>
      <c r="Y16" s="3626"/>
      <c r="Z16" s="1309"/>
      <c r="AA16" s="1309">
        <v>1</v>
      </c>
      <c r="AB16" s="1309">
        <v>1</v>
      </c>
      <c r="AC16" s="1309">
        <v>1</v>
      </c>
    </row>
    <row r="17" spans="1:29" ht="85.5">
      <c r="A17" s="482"/>
      <c r="B17" s="677" t="s">
        <v>262</v>
      </c>
      <c r="C17" s="801" t="str">
        <f>估价对象房地状况!G4</f>
        <v>估价对象周边道路状况、公共交通通达情况、停车便捷程度，综合评价交通便捷度较好</v>
      </c>
      <c r="D17" s="509">
        <v>100</v>
      </c>
      <c r="E17" s="512"/>
      <c r="F17" s="513">
        <f>SUMIF(72:72,E18,73:73)-SUMIF(72:72,C18,73:73)+100</f>
        <v>100</v>
      </c>
      <c r="G17" s="514"/>
      <c r="H17" s="515">
        <f>SUMIF(72:72,G18,73:73)-SUMIF(72:72,C18,73:73)+100</f>
        <v>100</v>
      </c>
      <c r="I17" s="512"/>
      <c r="J17" s="515">
        <f>SUMIF(72:72,I18,73:73)-SUMIF(72:72,C18,73:73)+100</f>
        <v>100</v>
      </c>
      <c r="K17" s="822"/>
      <c r="L17" s="1749"/>
      <c r="M17" s="1742"/>
      <c r="N17" s="1742"/>
      <c r="O17" s="1748"/>
      <c r="P17" s="3626"/>
      <c r="Q17" s="1306" t="str">
        <f>B17</f>
        <v>交通便捷度</v>
      </c>
      <c r="R17" s="1307" t="s">
        <v>5</v>
      </c>
      <c r="S17" s="1308">
        <f>F17</f>
        <v>100</v>
      </c>
      <c r="T17" s="1307" t="s">
        <v>5</v>
      </c>
      <c r="U17" s="1308">
        <f>H17</f>
        <v>100</v>
      </c>
      <c r="V17" s="1307" t="s">
        <v>5</v>
      </c>
      <c r="W17" s="1308">
        <f>J17</f>
        <v>100</v>
      </c>
      <c r="X17" s="1302"/>
      <c r="Y17" s="3626"/>
      <c r="Z17" s="1309" t="str">
        <f>Q17</f>
        <v>交通便捷度</v>
      </c>
      <c r="AA17" s="1309">
        <f t="shared" si="3"/>
        <v>1</v>
      </c>
      <c r="AB17" s="1309">
        <f t="shared" si="4"/>
        <v>1</v>
      </c>
      <c r="AC17" s="1309">
        <f t="shared" si="5"/>
        <v>1</v>
      </c>
    </row>
    <row r="18" spans="1:29" ht="15">
      <c r="A18" s="482"/>
      <c r="B18" s="544"/>
      <c r="C18" s="802"/>
      <c r="D18" s="509"/>
      <c r="E18" s="518"/>
      <c r="F18" s="513"/>
      <c r="G18" s="519"/>
      <c r="H18" s="505"/>
      <c r="I18" s="518"/>
      <c r="J18" s="505"/>
      <c r="K18" s="823"/>
      <c r="L18" s="1749"/>
      <c r="M18" s="1742"/>
      <c r="N18" s="1742"/>
      <c r="O18" s="1748"/>
      <c r="P18" s="3626"/>
      <c r="Q18" s="1306"/>
      <c r="R18" s="1307"/>
      <c r="S18" s="1308"/>
      <c r="T18" s="1307"/>
      <c r="U18" s="1308"/>
      <c r="V18" s="1307"/>
      <c r="W18" s="1308"/>
      <c r="X18" s="1302"/>
      <c r="Y18" s="3626"/>
      <c r="Z18" s="1309"/>
      <c r="AA18" s="1309">
        <v>1</v>
      </c>
      <c r="AB18" s="1309">
        <v>1</v>
      </c>
      <c r="AC18" s="1309">
        <v>1</v>
      </c>
    </row>
    <row r="19" spans="1:29" ht="42.75">
      <c r="A19" s="482"/>
      <c r="B19" s="2062" t="s">
        <v>1829</v>
      </c>
      <c r="C19" s="801" t="str">
        <f>估价对象房地状况!G5</f>
        <v>估价对象所在区域公共配套设施齐备情况</v>
      </c>
      <c r="D19" s="515">
        <v>100</v>
      </c>
      <c r="E19" s="520"/>
      <c r="F19" s="521">
        <f>SUMIF(74:74,E20,75:75)-SUMIF(74:74,C20,75:75)+100</f>
        <v>100</v>
      </c>
      <c r="G19" s="522"/>
      <c r="H19" s="509">
        <f>SUMIF(74:74,G20,75:75)-SUMIF(74:74,C20,75:75)+100</f>
        <v>100</v>
      </c>
      <c r="I19" s="520"/>
      <c r="J19" s="509">
        <f>SUMIF(74:74,I20,75:75)-SUMIF(74:74,C20,75:75)+100</f>
        <v>100</v>
      </c>
      <c r="K19" s="822"/>
      <c r="L19" s="1749"/>
      <c r="M19" s="1742"/>
      <c r="N19" s="1742"/>
      <c r="O19" s="1748"/>
      <c r="P19" s="3626"/>
      <c r="Q19" s="1306" t="str">
        <f>B19</f>
        <v>公共配套设施</v>
      </c>
      <c r="R19" s="1307" t="s">
        <v>5</v>
      </c>
      <c r="S19" s="1308">
        <f>F19</f>
        <v>100</v>
      </c>
      <c r="T19" s="1307" t="s">
        <v>5</v>
      </c>
      <c r="U19" s="1308">
        <f>H19</f>
        <v>100</v>
      </c>
      <c r="V19" s="1307" t="s">
        <v>5</v>
      </c>
      <c r="W19" s="1308">
        <f>J19</f>
        <v>100</v>
      </c>
      <c r="X19" s="1302"/>
      <c r="Y19" s="3626"/>
      <c r="Z19" s="1309" t="str">
        <f>Q19</f>
        <v>公共配套设施</v>
      </c>
      <c r="AA19" s="1309">
        <f t="shared" si="3"/>
        <v>1</v>
      </c>
      <c r="AB19" s="1309">
        <f t="shared" si="4"/>
        <v>1</v>
      </c>
      <c r="AC19" s="1309">
        <f t="shared" si="5"/>
        <v>1</v>
      </c>
    </row>
    <row r="20" spans="1:29" ht="15">
      <c r="A20" s="482"/>
      <c r="B20" s="516"/>
      <c r="C20" s="526"/>
      <c r="D20" s="505"/>
      <c r="E20" s="506"/>
      <c r="F20" s="507"/>
      <c r="G20" s="508"/>
      <c r="H20" s="505"/>
      <c r="I20" s="506"/>
      <c r="J20" s="505"/>
      <c r="K20" s="823"/>
      <c r="L20" s="1749"/>
      <c r="M20" s="1742"/>
      <c r="N20" s="1742"/>
      <c r="O20" s="1748"/>
      <c r="P20" s="3626"/>
      <c r="Q20" s="1306"/>
      <c r="R20" s="1307"/>
      <c r="S20" s="1308"/>
      <c r="T20" s="1307"/>
      <c r="U20" s="1308"/>
      <c r="V20" s="1307"/>
      <c r="W20" s="1308"/>
      <c r="X20" s="1302"/>
      <c r="Y20" s="3626"/>
      <c r="Z20" s="1309"/>
      <c r="AA20" s="1309">
        <v>1</v>
      </c>
      <c r="AB20" s="1309">
        <v>1</v>
      </c>
      <c r="AC20" s="1309">
        <v>1</v>
      </c>
    </row>
    <row r="21" spans="1:29" ht="28.5">
      <c r="A21" s="482"/>
      <c r="B21" s="2050" t="s">
        <v>1841</v>
      </c>
      <c r="C21" s="801" t="str">
        <f>估价对象房地状况!G6</f>
        <v>估价对象所在区域基础设施水平</v>
      </c>
      <c r="D21" s="515">
        <v>100</v>
      </c>
      <c r="E21" s="522"/>
      <c r="F21" s="521">
        <f>SUMIF(76:76,E22,77:77)-SUMIF(76:76,C22,77:77)+100</f>
        <v>100</v>
      </c>
      <c r="G21" s="522"/>
      <c r="H21" s="515">
        <f>SUMIF(76:76,G22,77:77)-SUMIF(76:76,C22,77:77)+100</f>
        <v>100</v>
      </c>
      <c r="I21" s="520"/>
      <c r="J21" s="515">
        <f>SUMIF(76:76,I22,77:77)-SUMIF(76:76,C22,77:77)+100</f>
        <v>100</v>
      </c>
      <c r="K21" s="822"/>
      <c r="L21" s="1749"/>
      <c r="M21" s="1742"/>
      <c r="N21" s="1742"/>
      <c r="O21" s="1748"/>
      <c r="P21" s="3626"/>
      <c r="Q21" s="1306" t="str">
        <f>B21</f>
        <v>基础设施水平</v>
      </c>
      <c r="R21" s="1307" t="s">
        <v>5</v>
      </c>
      <c r="S21" s="1308">
        <f>F21</f>
        <v>100</v>
      </c>
      <c r="T21" s="1307" t="s">
        <v>5</v>
      </c>
      <c r="U21" s="1308">
        <f>H21</f>
        <v>100</v>
      </c>
      <c r="V21" s="1307" t="s">
        <v>5</v>
      </c>
      <c r="W21" s="1308">
        <f>J21</f>
        <v>100</v>
      </c>
      <c r="X21" s="1302"/>
      <c r="Y21" s="3626"/>
      <c r="Z21" s="1309" t="str">
        <f>Q21</f>
        <v>基础设施水平</v>
      </c>
      <c r="AA21" s="1309">
        <f>D21/F21</f>
        <v>1</v>
      </c>
      <c r="AB21" s="1309">
        <f>D21/H21</f>
        <v>1</v>
      </c>
      <c r="AC21" s="1309">
        <f>D21/J21</f>
        <v>1</v>
      </c>
    </row>
    <row r="22" spans="1:29" ht="15">
      <c r="A22" s="482"/>
      <c r="B22" s="528"/>
      <c r="C22" s="802"/>
      <c r="D22" s="505"/>
      <c r="E22" s="526"/>
      <c r="F22" s="507"/>
      <c r="G22" s="526"/>
      <c r="H22" s="505"/>
      <c r="I22" s="526"/>
      <c r="J22" s="505"/>
      <c r="K22" s="2061"/>
      <c r="L22" s="1749"/>
      <c r="M22" s="1742"/>
      <c r="N22" s="1742"/>
      <c r="O22" s="1748"/>
      <c r="P22" s="3626"/>
      <c r="Q22" s="1306"/>
      <c r="R22" s="1307"/>
      <c r="S22" s="1308"/>
      <c r="T22" s="1307"/>
      <c r="U22" s="1308"/>
      <c r="V22" s="1307"/>
      <c r="W22" s="1308"/>
      <c r="X22" s="1302"/>
      <c r="Y22" s="3626"/>
      <c r="Z22" s="1309"/>
      <c r="AA22" s="1309">
        <v>1</v>
      </c>
      <c r="AB22" s="1309">
        <v>1</v>
      </c>
      <c r="AC22" s="1309">
        <v>1</v>
      </c>
    </row>
    <row r="23" spans="1:29" ht="71.25">
      <c r="A23" s="482"/>
      <c r="B23" s="677" t="s">
        <v>718</v>
      </c>
      <c r="C23" s="801" t="str">
        <f>估价对象房地状况!G7</f>
        <v>该园区内是否有污染型企业，绿化情况，卫生条件，整体环境状况判断</v>
      </c>
      <c r="D23" s="509">
        <v>100</v>
      </c>
      <c r="E23" s="512"/>
      <c r="F23" s="513">
        <f>SUMIF(78:78,E24,79:79)-SUMIF(78:78,C24,79:79)+100</f>
        <v>100</v>
      </c>
      <c r="G23" s="514"/>
      <c r="H23" s="509">
        <f>SUMIF(78:78,G24,79:79)-SUMIF(78:78,C24,79:79)+100</f>
        <v>100</v>
      </c>
      <c r="I23" s="512"/>
      <c r="J23" s="509">
        <f>SUMIF(78:78,I24,79:79)-SUMIF(78:78,C24,79:79)+100</f>
        <v>100</v>
      </c>
      <c r="K23" s="822"/>
      <c r="L23" s="1749"/>
      <c r="M23" s="1742"/>
      <c r="N23" s="1742"/>
      <c r="O23" s="1748"/>
      <c r="P23" s="3626"/>
      <c r="Q23" s="1306" t="str">
        <f>B23</f>
        <v>环境质量</v>
      </c>
      <c r="R23" s="1307" t="s">
        <v>5</v>
      </c>
      <c r="S23" s="1308">
        <f>F23</f>
        <v>100</v>
      </c>
      <c r="T23" s="1307" t="s">
        <v>5</v>
      </c>
      <c r="U23" s="1308">
        <f>H23</f>
        <v>100</v>
      </c>
      <c r="V23" s="1307" t="s">
        <v>5</v>
      </c>
      <c r="W23" s="1308">
        <f>J23</f>
        <v>100</v>
      </c>
      <c r="X23" s="1302"/>
      <c r="Y23" s="3626"/>
      <c r="Z23" s="1309" t="str">
        <f>Q23</f>
        <v>环境质量</v>
      </c>
      <c r="AA23" s="1309">
        <f t="shared" si="3"/>
        <v>1</v>
      </c>
      <c r="AB23" s="1309">
        <f t="shared" si="4"/>
        <v>1</v>
      </c>
      <c r="AC23" s="1309">
        <f t="shared" si="5"/>
        <v>1</v>
      </c>
    </row>
    <row r="24" spans="1:29" ht="15">
      <c r="A24" s="482"/>
      <c r="B24" s="844"/>
      <c r="C24" s="526"/>
      <c r="D24" s="505"/>
      <c r="E24" s="506"/>
      <c r="F24" s="507"/>
      <c r="G24" s="508"/>
      <c r="H24" s="505"/>
      <c r="I24" s="506"/>
      <c r="J24" s="505"/>
      <c r="K24" s="823"/>
      <c r="L24" s="1749"/>
      <c r="M24" s="1742"/>
      <c r="N24" s="1742"/>
      <c r="O24" s="1748"/>
      <c r="P24" s="3626"/>
      <c r="Q24" s="1306"/>
      <c r="R24" s="1307"/>
      <c r="S24" s="1308"/>
      <c r="T24" s="1307"/>
      <c r="U24" s="1308"/>
      <c r="V24" s="1307"/>
      <c r="W24" s="1308"/>
      <c r="X24" s="1302"/>
      <c r="Y24" s="3626"/>
      <c r="Z24" s="1309"/>
      <c r="AA24" s="1309">
        <v>1</v>
      </c>
      <c r="AB24" s="1309">
        <v>1</v>
      </c>
      <c r="AC24" s="1309">
        <v>1</v>
      </c>
    </row>
    <row r="25" spans="1:29" ht="15">
      <c r="A25" s="466"/>
      <c r="B25" s="91">
        <v>111</v>
      </c>
      <c r="C25" s="489"/>
      <c r="D25" s="490">
        <v>100</v>
      </c>
      <c r="E25" s="489"/>
      <c r="F25" s="525">
        <f>SUMIF(80:80,E25,81:81)-SUMIF(80:80,C25,81:81)+100</f>
        <v>100</v>
      </c>
      <c r="G25" s="489"/>
      <c r="H25" s="490">
        <f>SUMIF(80:80,G25,81:81)-SUMIF(80:80,C25,81:81)+100</f>
        <v>100</v>
      </c>
      <c r="I25" s="489"/>
      <c r="J25" s="490">
        <f>SUMIF(80:80,I25,81:81)-SUMIF(80:80,C25,81:81)+100</f>
        <v>100</v>
      </c>
      <c r="K25" s="531"/>
      <c r="L25" s="1749"/>
      <c r="M25" s="1742"/>
      <c r="N25" s="1742"/>
      <c r="O25" s="1748"/>
      <c r="P25" s="3626"/>
      <c r="Q25" s="1306">
        <f>B25</f>
        <v>111</v>
      </c>
      <c r="R25" s="1307" t="s">
        <v>5</v>
      </c>
      <c r="S25" s="1308">
        <f>F25</f>
        <v>100</v>
      </c>
      <c r="T25" s="1307" t="s">
        <v>5</v>
      </c>
      <c r="U25" s="1308">
        <f>H25</f>
        <v>100</v>
      </c>
      <c r="V25" s="1307" t="s">
        <v>5</v>
      </c>
      <c r="W25" s="1308">
        <f>J25</f>
        <v>100</v>
      </c>
      <c r="X25" s="1302"/>
      <c r="Y25" s="3626"/>
      <c r="Z25" s="1309">
        <f>Q25</f>
        <v>111</v>
      </c>
      <c r="AA25" s="1309">
        <f t="shared" si="3"/>
        <v>1</v>
      </c>
      <c r="AB25" s="1309">
        <f t="shared" si="4"/>
        <v>1</v>
      </c>
      <c r="AC25" s="1309">
        <f t="shared" si="5"/>
        <v>1</v>
      </c>
    </row>
    <row r="26" spans="1:29" ht="15">
      <c r="A26" s="482"/>
      <c r="B26" s="91">
        <v>111</v>
      </c>
      <c r="C26" s="489"/>
      <c r="D26" s="490">
        <v>100</v>
      </c>
      <c r="E26" s="489"/>
      <c r="F26" s="525">
        <f>SUMIF(82:82,E26,83:83)-SUMIF(82:82,C26,83:83)+100</f>
        <v>100</v>
      </c>
      <c r="G26" s="489"/>
      <c r="H26" s="490">
        <f>SUMIF(82:82,G26,83:83)-SUMIF(82:82,C26,83:83)+100</f>
        <v>100</v>
      </c>
      <c r="I26" s="489"/>
      <c r="J26" s="490">
        <f>SUMIF(82:82,I26,83:83)-SUMIF(82:82,C26,83:83)+100</f>
        <v>100</v>
      </c>
      <c r="K26" s="531"/>
      <c r="L26" s="1749"/>
      <c r="M26" s="1742"/>
      <c r="N26" s="1742"/>
      <c r="O26" s="1748"/>
      <c r="P26" s="3626"/>
      <c r="Q26" s="1306">
        <f t="shared" ref="Q26:Q40" si="8">B26</f>
        <v>111</v>
      </c>
      <c r="R26" s="1307" t="s">
        <v>5</v>
      </c>
      <c r="S26" s="1308">
        <f>F26</f>
        <v>100</v>
      </c>
      <c r="T26" s="1307" t="s">
        <v>5</v>
      </c>
      <c r="U26" s="1308">
        <f>H26</f>
        <v>100</v>
      </c>
      <c r="V26" s="1307" t="s">
        <v>5</v>
      </c>
      <c r="W26" s="1308">
        <f>J26</f>
        <v>100</v>
      </c>
      <c r="X26" s="1302"/>
      <c r="Y26" s="3626"/>
      <c r="Z26" s="1309">
        <f>Q26</f>
        <v>111</v>
      </c>
      <c r="AA26" s="1309">
        <f t="shared" si="3"/>
        <v>1</v>
      </c>
      <c r="AB26" s="1309">
        <f t="shared" si="4"/>
        <v>1</v>
      </c>
      <c r="AC26" s="1309">
        <f t="shared" si="5"/>
        <v>1</v>
      </c>
    </row>
    <row r="27" spans="1:29" s="1060" customFormat="1" ht="15">
      <c r="A27" s="486"/>
      <c r="B27" s="91">
        <v>111</v>
      </c>
      <c r="C27" s="489"/>
      <c r="D27" s="516">
        <v>100</v>
      </c>
      <c r="E27" s="489"/>
      <c r="F27" s="544">
        <f>SUMIF(84:84,E27,85:85)-SUMIF(84:84,C27,85:85)+100</f>
        <v>100</v>
      </c>
      <c r="G27" s="489"/>
      <c r="H27" s="516">
        <f>SUMIF(84:84,G27,85:85)-SUMIF(84:84,C27,85:85)+100</f>
        <v>100</v>
      </c>
      <c r="I27" s="489"/>
      <c r="J27" s="516">
        <f>SUMIF(84:84,I27,85:85)-SUMIF(84:84,C27,85:85)+100</f>
        <v>100</v>
      </c>
      <c r="K27" s="531"/>
      <c r="L27" s="1743"/>
      <c r="M27" s="1640"/>
      <c r="N27" s="1640"/>
      <c r="O27" s="1744"/>
      <c r="P27" s="3626"/>
      <c r="Q27" s="818">
        <f t="shared" si="8"/>
        <v>111</v>
      </c>
      <c r="R27" s="1303" t="s">
        <v>5</v>
      </c>
      <c r="S27" s="1304">
        <f>F27</f>
        <v>100</v>
      </c>
      <c r="T27" s="1303" t="s">
        <v>5</v>
      </c>
      <c r="U27" s="1304">
        <f>H27</f>
        <v>100</v>
      </c>
      <c r="V27" s="1303" t="s">
        <v>5</v>
      </c>
      <c r="W27" s="1304">
        <f>J27</f>
        <v>100</v>
      </c>
      <c r="X27" s="1305"/>
      <c r="Y27" s="3626"/>
      <c r="Z27" s="997">
        <f>Q27</f>
        <v>111</v>
      </c>
      <c r="AA27" s="1309">
        <f>D27/F27</f>
        <v>1</v>
      </c>
      <c r="AB27" s="1309">
        <f>D27/H27</f>
        <v>1</v>
      </c>
      <c r="AC27" s="1309">
        <f>D27/J27</f>
        <v>1</v>
      </c>
    </row>
    <row r="28" spans="1:29" ht="15.75" thickBot="1">
      <c r="A28" s="493"/>
      <c r="B28" s="91">
        <v>111</v>
      </c>
      <c r="C28" s="495"/>
      <c r="D28" s="496">
        <v>100</v>
      </c>
      <c r="E28" s="489"/>
      <c r="F28" s="796">
        <f>SUMIF(86:86,E28,87:87)-SUMIF(86:86,C28,87:87)+100</f>
        <v>100</v>
      </c>
      <c r="G28" s="806"/>
      <c r="H28" s="496">
        <f>SUMIF(86:86,G28,87:87)-SUMIF(86:86,C28,87:87)+100</f>
        <v>100</v>
      </c>
      <c r="I28" s="806"/>
      <c r="J28" s="496">
        <f>SUMIF(86:86,I28,87:87)-SUMIF(86:86,C28,87:87)+100</f>
        <v>100</v>
      </c>
      <c r="K28" s="531"/>
      <c r="L28" s="1749"/>
      <c r="M28" s="1742"/>
      <c r="N28" s="1742"/>
      <c r="O28" s="1748"/>
      <c r="P28" s="3626"/>
      <c r="Q28" s="1306">
        <f t="shared" si="8"/>
        <v>111</v>
      </c>
      <c r="R28" s="1307" t="s">
        <v>5</v>
      </c>
      <c r="S28" s="1308">
        <f t="shared" ref="S28:S40" si="9">F28</f>
        <v>100</v>
      </c>
      <c r="T28" s="1307" t="s">
        <v>5</v>
      </c>
      <c r="U28" s="1308">
        <f t="shared" ref="U28:U40" si="10">H28</f>
        <v>100</v>
      </c>
      <c r="V28" s="1307" t="s">
        <v>5</v>
      </c>
      <c r="W28" s="1308">
        <f t="shared" ref="W28:W40" si="11">J28</f>
        <v>100</v>
      </c>
      <c r="X28" s="1302"/>
      <c r="Y28" s="3626"/>
      <c r="Z28" s="1309">
        <f t="shared" ref="Z28:Z40" si="12">Q28</f>
        <v>111</v>
      </c>
      <c r="AA28" s="1309">
        <f t="shared" si="3"/>
        <v>1</v>
      </c>
      <c r="AB28" s="1309">
        <f t="shared" si="4"/>
        <v>1</v>
      </c>
      <c r="AC28" s="1309">
        <f t="shared" si="5"/>
        <v>1</v>
      </c>
    </row>
    <row r="29" spans="1:29" ht="15">
      <c r="A29" s="2204" t="s">
        <v>2037</v>
      </c>
      <c r="B29" s="156" t="s">
        <v>720</v>
      </c>
      <c r="C29" s="804"/>
      <c r="D29" s="546">
        <v>100</v>
      </c>
      <c r="E29" s="804"/>
      <c r="F29" s="525">
        <f>SUMIF(88:88,E29,89:89)-SUMIF(88:88,C29,89:89)+100</f>
        <v>100</v>
      </c>
      <c r="G29" s="804"/>
      <c r="H29" s="490">
        <f>SUMIF(88:88,G29,89:89)-SUMIF(88:88,C29,89:89)+100</f>
        <v>100</v>
      </c>
      <c r="I29" s="804"/>
      <c r="J29" s="546">
        <f>SUMIF(88:88,I29,89:89)-SUMIF(88:88,C29,89:89)+100</f>
        <v>100</v>
      </c>
      <c r="K29" s="533"/>
      <c r="L29" s="1749"/>
      <c r="M29" s="1742"/>
      <c r="N29" s="1742"/>
      <c r="O29" s="1748"/>
      <c r="P29" s="3627" t="s">
        <v>499</v>
      </c>
      <c r="Q29" s="1306" t="str">
        <f t="shared" si="8"/>
        <v>建筑类型</v>
      </c>
      <c r="R29" s="1307" t="s">
        <v>5</v>
      </c>
      <c r="S29" s="1308">
        <f t="shared" si="9"/>
        <v>100</v>
      </c>
      <c r="T29" s="1307" t="s">
        <v>5</v>
      </c>
      <c r="U29" s="1308">
        <f t="shared" si="10"/>
        <v>100</v>
      </c>
      <c r="V29" s="1307" t="s">
        <v>5</v>
      </c>
      <c r="W29" s="1308">
        <f t="shared" si="11"/>
        <v>100</v>
      </c>
      <c r="X29" s="1302"/>
      <c r="Y29" s="3628" t="s">
        <v>499</v>
      </c>
      <c r="Z29" s="1309" t="str">
        <f t="shared" si="12"/>
        <v>建筑类型</v>
      </c>
      <c r="AA29" s="1309">
        <f t="shared" si="3"/>
        <v>1</v>
      </c>
      <c r="AB29" s="1309">
        <f t="shared" si="4"/>
        <v>1</v>
      </c>
      <c r="AC29" s="1309">
        <f t="shared" si="5"/>
        <v>1</v>
      </c>
    </row>
    <row r="30" spans="1:29" s="1134" customFormat="1" ht="15">
      <c r="A30" s="552"/>
      <c r="B30" s="477" t="s">
        <v>673</v>
      </c>
      <c r="C30" s="806"/>
      <c r="D30" s="235">
        <v>100</v>
      </c>
      <c r="E30" s="484"/>
      <c r="F30" s="477" t="e">
        <f>LOOKUP(E30,91:91,92:92)-LOOKUP(C30,91:91,92:92)+100</f>
        <v>#N/A</v>
      </c>
      <c r="G30" s="483"/>
      <c r="H30" s="235" t="e">
        <f>LOOKUP(G30,91:91,92:92)-LOOKUP(C30,91:91,92:92)+100</f>
        <v>#N/A</v>
      </c>
      <c r="I30" s="483"/>
      <c r="J30" s="235" t="e">
        <f>LOOKUP(I30,91:91,92:92)-LOOKUP(C30,91:91,92:92)+100</f>
        <v>#N/A</v>
      </c>
      <c r="K30" s="531"/>
      <c r="L30" s="1747"/>
      <c r="M30" s="1771"/>
      <c r="N30" s="1771"/>
      <c r="O30" s="1750"/>
      <c r="P30" s="3628"/>
      <c r="Q30" s="819" t="str">
        <f t="shared" si="8"/>
        <v>项目建筑规模</v>
      </c>
      <c r="R30" s="1310" t="s">
        <v>5</v>
      </c>
      <c r="S30" s="1311" t="e">
        <f t="shared" si="9"/>
        <v>#N/A</v>
      </c>
      <c r="T30" s="1310" t="s">
        <v>5</v>
      </c>
      <c r="U30" s="1311" t="e">
        <f t="shared" si="10"/>
        <v>#N/A</v>
      </c>
      <c r="V30" s="1310" t="s">
        <v>5</v>
      </c>
      <c r="W30" s="1311" t="e">
        <f t="shared" si="11"/>
        <v>#N/A</v>
      </c>
      <c r="X30" s="1312"/>
      <c r="Y30" s="3628"/>
      <c r="Z30" s="1313" t="str">
        <f t="shared" si="12"/>
        <v>项目建筑规模</v>
      </c>
      <c r="AA30" s="1309" t="e">
        <f t="shared" si="3"/>
        <v>#N/A</v>
      </c>
      <c r="AB30" s="1309" t="e">
        <f t="shared" si="4"/>
        <v>#N/A</v>
      </c>
      <c r="AC30" s="1309" t="e">
        <f t="shared" si="5"/>
        <v>#N/A</v>
      </c>
    </row>
    <row r="31" spans="1:29" ht="15">
      <c r="A31" s="543"/>
      <c r="B31" s="477" t="s">
        <v>674</v>
      </c>
      <c r="C31" s="524"/>
      <c r="D31" s="490">
        <v>100</v>
      </c>
      <c r="E31" s="524"/>
      <c r="F31" s="525">
        <f>SUMIF(93:93,E31,94:94)-SUMIF(93:93,C31,94:94)+100</f>
        <v>100</v>
      </c>
      <c r="G31" s="524"/>
      <c r="H31" s="490">
        <f>SUMIF(93:93,G31,94:94)-SUMIF(93:93,C31,94:94)+100</f>
        <v>100</v>
      </c>
      <c r="I31" s="524"/>
      <c r="J31" s="490">
        <f>SUMIF(93:93,I31,94:94)-SUMIF(93:93,C31,94:94)+100</f>
        <v>100</v>
      </c>
      <c r="K31" s="533"/>
      <c r="L31" s="1749"/>
      <c r="M31" s="1742"/>
      <c r="N31" s="1742"/>
      <c r="O31" s="1748"/>
      <c r="P31" s="3628"/>
      <c r="Q31" s="1306" t="str">
        <f t="shared" si="8"/>
        <v>建筑结构</v>
      </c>
      <c r="R31" s="1307" t="s">
        <v>5</v>
      </c>
      <c r="S31" s="1308">
        <f t="shared" si="9"/>
        <v>100</v>
      </c>
      <c r="T31" s="1307" t="s">
        <v>5</v>
      </c>
      <c r="U31" s="1308">
        <f t="shared" si="10"/>
        <v>100</v>
      </c>
      <c r="V31" s="1307" t="s">
        <v>5</v>
      </c>
      <c r="W31" s="1308">
        <f t="shared" si="11"/>
        <v>100</v>
      </c>
      <c r="X31" s="1302"/>
      <c r="Y31" s="3628"/>
      <c r="Z31" s="1309" t="str">
        <f t="shared" si="12"/>
        <v>建筑结构</v>
      </c>
      <c r="AA31" s="1309">
        <f t="shared" si="3"/>
        <v>1</v>
      </c>
      <c r="AB31" s="1309">
        <f t="shared" si="4"/>
        <v>1</v>
      </c>
      <c r="AC31" s="1309">
        <f t="shared" si="5"/>
        <v>1</v>
      </c>
    </row>
    <row r="32" spans="1:29" ht="15">
      <c r="A32" s="543"/>
      <c r="B32" s="477" t="s">
        <v>703</v>
      </c>
      <c r="C32" s="524"/>
      <c r="D32" s="490">
        <v>100</v>
      </c>
      <c r="E32" s="524"/>
      <c r="F32" s="525">
        <f>SUMIF(95:95,E32,96:96)-SUMIF(95:95,C32,96:96)+100</f>
        <v>100</v>
      </c>
      <c r="G32" s="524"/>
      <c r="H32" s="490">
        <f>SUMIF(95:95,G32,96:96)-SUMIF(95:95,C32,96:96)+100</f>
        <v>100</v>
      </c>
      <c r="I32" s="524"/>
      <c r="J32" s="490">
        <f>SUMIF(95:95,I32,96:96)-SUMIF(95:95,C32,96:96)+100</f>
        <v>100</v>
      </c>
      <c r="K32" s="533"/>
      <c r="L32" s="1749"/>
      <c r="M32" s="1742"/>
      <c r="N32" s="1742"/>
      <c r="O32" s="1748"/>
      <c r="P32" s="3628"/>
      <c r="Q32" s="1306" t="str">
        <f t="shared" si="8"/>
        <v>公共部分装修</v>
      </c>
      <c r="R32" s="1307" t="s">
        <v>5</v>
      </c>
      <c r="S32" s="1308">
        <f t="shared" si="9"/>
        <v>100</v>
      </c>
      <c r="T32" s="1307" t="s">
        <v>5</v>
      </c>
      <c r="U32" s="1308">
        <f t="shared" si="10"/>
        <v>100</v>
      </c>
      <c r="V32" s="1307" t="s">
        <v>5</v>
      </c>
      <c r="W32" s="1308">
        <f t="shared" si="11"/>
        <v>100</v>
      </c>
      <c r="X32" s="1302"/>
      <c r="Y32" s="3628"/>
      <c r="Z32" s="1309" t="str">
        <f t="shared" si="12"/>
        <v>公共部分装修</v>
      </c>
      <c r="AA32" s="1309">
        <f t="shared" si="3"/>
        <v>1</v>
      </c>
      <c r="AB32" s="1309">
        <f t="shared" si="4"/>
        <v>1</v>
      </c>
      <c r="AC32" s="1309">
        <f t="shared" si="5"/>
        <v>1</v>
      </c>
    </row>
    <row r="33" spans="1:29" ht="15">
      <c r="A33" s="543"/>
      <c r="B33" s="477" t="s">
        <v>704</v>
      </c>
      <c r="C33" s="806"/>
      <c r="D33" s="490">
        <v>100</v>
      </c>
      <c r="E33" s="808"/>
      <c r="F33" s="525" t="e">
        <f>LOOKUP(E33,98:98,99:99)-LOOKUP(C33,98:98,99:99)+100</f>
        <v>#N/A</v>
      </c>
      <c r="G33" s="808"/>
      <c r="H33" s="525" t="e">
        <f>LOOKUP(G33,98:98,99:99)-LOOKUP(C33,98:98,99:99)+100</f>
        <v>#N/A</v>
      </c>
      <c r="I33" s="808"/>
      <c r="J33" s="490" t="e">
        <f>LOOKUP(I33,98:98,99:99)-LOOKUP(C33,98:98,99:99)+100</f>
        <v>#N/A</v>
      </c>
      <c r="K33" s="533"/>
      <c r="L33" s="1749"/>
      <c r="M33" s="1742"/>
      <c r="N33" s="1742"/>
      <c r="O33" s="1748"/>
      <c r="P33" s="3628"/>
      <c r="Q33" s="1306" t="str">
        <f t="shared" si="8"/>
        <v>成新度</v>
      </c>
      <c r="R33" s="1307" t="s">
        <v>5</v>
      </c>
      <c r="S33" s="1308" t="e">
        <f t="shared" si="9"/>
        <v>#N/A</v>
      </c>
      <c r="T33" s="1307" t="s">
        <v>5</v>
      </c>
      <c r="U33" s="1308" t="e">
        <f t="shared" si="10"/>
        <v>#N/A</v>
      </c>
      <c r="V33" s="1307" t="s">
        <v>5</v>
      </c>
      <c r="W33" s="1308" t="e">
        <f t="shared" si="11"/>
        <v>#N/A</v>
      </c>
      <c r="X33" s="1302"/>
      <c r="Y33" s="3628"/>
      <c r="Z33" s="1309" t="str">
        <f t="shared" si="12"/>
        <v>成新度</v>
      </c>
      <c r="AA33" s="1309" t="e">
        <f t="shared" si="3"/>
        <v>#N/A</v>
      </c>
      <c r="AB33" s="1309" t="e">
        <f t="shared" si="4"/>
        <v>#N/A</v>
      </c>
      <c r="AC33" s="1309" t="e">
        <f t="shared" si="5"/>
        <v>#N/A</v>
      </c>
    </row>
    <row r="34" spans="1:29" s="1060" customFormat="1" ht="15">
      <c r="A34" s="549"/>
      <c r="B34" s="477" t="s">
        <v>722</v>
      </c>
      <c r="C34" s="524"/>
      <c r="D34" s="235">
        <v>100</v>
      </c>
      <c r="E34" s="524"/>
      <c r="F34" s="525">
        <f>SUMIF(100:100,E34,101:101)-SUMIF(100:100,C34,101:101)+100</f>
        <v>100</v>
      </c>
      <c r="G34" s="524"/>
      <c r="H34" s="490">
        <f>SUMIF(100:100,G34,101:101)-SUMIF(100:100,C34,101:101)+100</f>
        <v>100</v>
      </c>
      <c r="I34" s="524"/>
      <c r="J34" s="490">
        <f>SUMIF(100:100,I34,101:101)-SUMIF(100:100,C34,101:101)+100</f>
        <v>100</v>
      </c>
      <c r="K34" s="533"/>
      <c r="L34" s="1743"/>
      <c r="M34" s="1640"/>
      <c r="N34" s="1640"/>
      <c r="O34" s="1744"/>
      <c r="P34" s="3628"/>
      <c r="Q34" s="818" t="str">
        <f t="shared" si="8"/>
        <v>物业管理</v>
      </c>
      <c r="R34" s="1303" t="s">
        <v>5</v>
      </c>
      <c r="S34" s="1304">
        <f t="shared" si="9"/>
        <v>100</v>
      </c>
      <c r="T34" s="1303" t="s">
        <v>5</v>
      </c>
      <c r="U34" s="1304">
        <f t="shared" si="10"/>
        <v>100</v>
      </c>
      <c r="V34" s="1303" t="s">
        <v>5</v>
      </c>
      <c r="W34" s="1304">
        <f t="shared" si="11"/>
        <v>100</v>
      </c>
      <c r="X34" s="1305"/>
      <c r="Y34" s="3628"/>
      <c r="Z34" s="997" t="str">
        <f t="shared" si="12"/>
        <v>物业管理</v>
      </c>
      <c r="AA34" s="997">
        <f t="shared" si="3"/>
        <v>1</v>
      </c>
      <c r="AB34" s="997">
        <f t="shared" si="4"/>
        <v>1</v>
      </c>
      <c r="AC34" s="997">
        <f t="shared" si="5"/>
        <v>1</v>
      </c>
    </row>
    <row r="35" spans="1:29" ht="15">
      <c r="A35" s="543"/>
      <c r="B35" s="1554" t="s">
        <v>1848</v>
      </c>
      <c r="C35" s="524"/>
      <c r="D35" s="490">
        <v>100</v>
      </c>
      <c r="E35" s="524"/>
      <c r="F35" s="525">
        <f>SUMIF(102:102,E35,103:103)-SUMIF(102:102,C35,103:103)+100</f>
        <v>100</v>
      </c>
      <c r="G35" s="524"/>
      <c r="H35" s="490">
        <f>SUMIF(102:102,G35,103:103)-SUMIF(102:102,C35,103:103)+100</f>
        <v>100</v>
      </c>
      <c r="I35" s="524"/>
      <c r="J35" s="490">
        <f>SUMIF(102:102,I35,103:103)-SUMIF(102:102,C35,103:103)+100</f>
        <v>100</v>
      </c>
      <c r="K35" s="533"/>
      <c r="L35" s="1749"/>
      <c r="M35" s="1742"/>
      <c r="N35" s="1742"/>
      <c r="O35" s="1748"/>
      <c r="P35" s="3628" t="s">
        <v>499</v>
      </c>
      <c r="Q35" s="1306" t="str">
        <f t="shared" si="8"/>
        <v>市政基础设施</v>
      </c>
      <c r="R35" s="1307" t="s">
        <v>5</v>
      </c>
      <c r="S35" s="1308">
        <f t="shared" si="9"/>
        <v>100</v>
      </c>
      <c r="T35" s="1307" t="s">
        <v>5</v>
      </c>
      <c r="U35" s="1308">
        <f t="shared" si="10"/>
        <v>100</v>
      </c>
      <c r="V35" s="1307" t="s">
        <v>5</v>
      </c>
      <c r="W35" s="1308">
        <f t="shared" si="11"/>
        <v>100</v>
      </c>
      <c r="X35" s="1302"/>
      <c r="Y35" s="3628" t="s">
        <v>499</v>
      </c>
      <c r="Z35" s="1309" t="str">
        <f t="shared" si="12"/>
        <v>市政基础设施</v>
      </c>
      <c r="AA35" s="1309">
        <f t="shared" si="3"/>
        <v>1</v>
      </c>
      <c r="AB35" s="1309">
        <f t="shared" si="4"/>
        <v>1</v>
      </c>
      <c r="AC35" s="1309">
        <f t="shared" si="5"/>
        <v>1</v>
      </c>
    </row>
    <row r="36" spans="1:29" ht="15">
      <c r="A36" s="543"/>
      <c r="B36" s="477" t="s">
        <v>710</v>
      </c>
      <c r="C36" s="524"/>
      <c r="D36" s="490">
        <v>100</v>
      </c>
      <c r="E36" s="524"/>
      <c r="F36" s="525">
        <f>SUMIF(104:104,E36,105:105)-SUMIF(104:104,C36,105:105)+100</f>
        <v>100</v>
      </c>
      <c r="G36" s="524"/>
      <c r="H36" s="490">
        <f>SUMIF(104:104,G36,105:105)-SUMIF(104:104,C36,105:105)+100</f>
        <v>100</v>
      </c>
      <c r="I36" s="524"/>
      <c r="J36" s="490">
        <f>SUMIF(104:104,I36,105:105)-SUMIF(104:104,C36,105:105)+100</f>
        <v>100</v>
      </c>
      <c r="K36" s="533"/>
      <c r="L36" s="1749"/>
      <c r="M36" s="1742"/>
      <c r="N36" s="1742"/>
      <c r="O36" s="1748"/>
      <c r="P36" s="3628"/>
      <c r="Q36" s="1306" t="str">
        <f t="shared" si="8"/>
        <v>内部装修</v>
      </c>
      <c r="R36" s="1307" t="s">
        <v>5</v>
      </c>
      <c r="S36" s="1308">
        <f t="shared" si="9"/>
        <v>100</v>
      </c>
      <c r="T36" s="1307" t="s">
        <v>5</v>
      </c>
      <c r="U36" s="1308">
        <f t="shared" si="10"/>
        <v>100</v>
      </c>
      <c r="V36" s="1307" t="s">
        <v>5</v>
      </c>
      <c r="W36" s="1308">
        <f t="shared" si="11"/>
        <v>100</v>
      </c>
      <c r="X36" s="1302"/>
      <c r="Y36" s="3628"/>
      <c r="Z36" s="1309" t="str">
        <f t="shared" si="12"/>
        <v>内部装修</v>
      </c>
      <c r="AA36" s="1309">
        <f t="shared" si="3"/>
        <v>1</v>
      </c>
      <c r="AB36" s="1309">
        <f t="shared" si="4"/>
        <v>1</v>
      </c>
      <c r="AC36" s="1309">
        <f t="shared" si="5"/>
        <v>1</v>
      </c>
    </row>
    <row r="37" spans="1:29" ht="15">
      <c r="A37" s="543"/>
      <c r="B37" s="477" t="s">
        <v>730</v>
      </c>
      <c r="C37" s="532"/>
      <c r="D37" s="490">
        <v>100</v>
      </c>
      <c r="E37" s="532"/>
      <c r="F37" s="525">
        <f>SUMIF(106:106,E37,107:107)-SUMIF(106:106,C37,107:107)+100</f>
        <v>100</v>
      </c>
      <c r="G37" s="532"/>
      <c r="H37" s="490">
        <f>SUMIF(106:106,G37,107:107)-SUMIF(106:106,C37,107:107)+100</f>
        <v>100</v>
      </c>
      <c r="I37" s="532"/>
      <c r="J37" s="490">
        <f>SUMIF(106:106,I37,107:107)-SUMIF(106:106,C37,107:107)+100</f>
        <v>100</v>
      </c>
      <c r="K37" s="533"/>
      <c r="L37" s="1749"/>
      <c r="M37" s="1742"/>
      <c r="N37" s="1742"/>
      <c r="O37" s="1748"/>
      <c r="P37" s="3628"/>
      <c r="Q37" s="1306" t="str">
        <f t="shared" si="8"/>
        <v>内部装修状况</v>
      </c>
      <c r="R37" s="1307" t="s">
        <v>5</v>
      </c>
      <c r="S37" s="1308">
        <f t="shared" si="9"/>
        <v>100</v>
      </c>
      <c r="T37" s="1307" t="s">
        <v>5</v>
      </c>
      <c r="U37" s="1308">
        <f t="shared" si="10"/>
        <v>100</v>
      </c>
      <c r="V37" s="1307" t="s">
        <v>5</v>
      </c>
      <c r="W37" s="1308">
        <f t="shared" si="11"/>
        <v>100</v>
      </c>
      <c r="X37" s="1302"/>
      <c r="Y37" s="3628"/>
      <c r="Z37" s="1309" t="str">
        <f t="shared" si="12"/>
        <v>内部装修状况</v>
      </c>
      <c r="AA37" s="1309">
        <f t="shared" si="3"/>
        <v>1</v>
      </c>
      <c r="AB37" s="1309">
        <f t="shared" si="4"/>
        <v>1</v>
      </c>
      <c r="AC37" s="1309">
        <f t="shared" si="5"/>
        <v>1</v>
      </c>
    </row>
    <row r="38" spans="1:29" s="1134" customFormat="1" ht="15">
      <c r="A38" s="552"/>
      <c r="B38" s="91">
        <v>111</v>
      </c>
      <c r="C38" s="806"/>
      <c r="D38" s="490">
        <v>100</v>
      </c>
      <c r="E38" s="489"/>
      <c r="F38" s="525">
        <f>SUMIF(108:108,E38,109:109)-SUMIF(108:108,C38,109:109)+100</f>
        <v>100</v>
      </c>
      <c r="G38" s="806"/>
      <c r="H38" s="490">
        <f>SUMIF(108:108,G38,109:109)-SUMIF(108:108,C38,109:109)+100</f>
        <v>100</v>
      </c>
      <c r="I38" s="806"/>
      <c r="J38" s="490">
        <f>SUMIF(108:108,I38,109:1038)-SUMIF(108:108,C38,109:109)+100</f>
        <v>100</v>
      </c>
      <c r="K38" s="531"/>
      <c r="L38" s="1747"/>
      <c r="M38" s="1771"/>
      <c r="N38" s="1771"/>
      <c r="O38" s="1750"/>
      <c r="P38" s="3628"/>
      <c r="Q38" s="819">
        <f t="shared" si="8"/>
        <v>111</v>
      </c>
      <c r="R38" s="1310" t="s">
        <v>5</v>
      </c>
      <c r="S38" s="1311">
        <f t="shared" si="9"/>
        <v>100</v>
      </c>
      <c r="T38" s="1310" t="s">
        <v>5</v>
      </c>
      <c r="U38" s="1311">
        <f t="shared" si="10"/>
        <v>100</v>
      </c>
      <c r="V38" s="1310" t="s">
        <v>5</v>
      </c>
      <c r="W38" s="1311">
        <f t="shared" si="11"/>
        <v>100</v>
      </c>
      <c r="X38" s="1312"/>
      <c r="Y38" s="3628"/>
      <c r="Z38" s="1313">
        <f t="shared" si="12"/>
        <v>111</v>
      </c>
      <c r="AA38" s="1309">
        <f t="shared" si="3"/>
        <v>1</v>
      </c>
      <c r="AB38" s="1309">
        <f t="shared" si="4"/>
        <v>1</v>
      </c>
      <c r="AC38" s="1309">
        <f t="shared" si="5"/>
        <v>1</v>
      </c>
    </row>
    <row r="39" spans="1:29" ht="15">
      <c r="A39" s="543"/>
      <c r="B39" s="91">
        <v>111</v>
      </c>
      <c r="C39" s="806"/>
      <c r="D39" s="490">
        <v>100</v>
      </c>
      <c r="E39" s="489"/>
      <c r="F39" s="525">
        <f>SUMIF(110:110,E39,111:111)-SUMIF(110:110,C39,111:111)+100</f>
        <v>100</v>
      </c>
      <c r="G39" s="806"/>
      <c r="H39" s="490">
        <f>SUMIF(110:110,G39,111:111)-SUMIF(110:110,C39,111:111)+100</f>
        <v>100</v>
      </c>
      <c r="I39" s="806"/>
      <c r="J39" s="490">
        <f>SUMIF(110:110,I39,111:111)-SUMIF(110:110,C39,111:111)+100</f>
        <v>100</v>
      </c>
      <c r="K39" s="531"/>
      <c r="L39" s="1749"/>
      <c r="M39" s="1742"/>
      <c r="N39" s="1742"/>
      <c r="O39" s="1748"/>
      <c r="P39" s="3628"/>
      <c r="Q39" s="1306">
        <f t="shared" si="8"/>
        <v>111</v>
      </c>
      <c r="R39" s="1307" t="s">
        <v>5</v>
      </c>
      <c r="S39" s="1308">
        <f t="shared" si="9"/>
        <v>100</v>
      </c>
      <c r="T39" s="1307" t="s">
        <v>5</v>
      </c>
      <c r="U39" s="1308">
        <f t="shared" si="10"/>
        <v>100</v>
      </c>
      <c r="V39" s="1307" t="s">
        <v>5</v>
      </c>
      <c r="W39" s="1308">
        <f t="shared" si="11"/>
        <v>100</v>
      </c>
      <c r="X39" s="1302"/>
      <c r="Y39" s="3628"/>
      <c r="Z39" s="1309">
        <f t="shared" si="12"/>
        <v>111</v>
      </c>
      <c r="AA39" s="1309">
        <f t="shared" si="3"/>
        <v>1</v>
      </c>
      <c r="AB39" s="1309">
        <f t="shared" si="4"/>
        <v>1</v>
      </c>
      <c r="AC39" s="1309">
        <f t="shared" si="5"/>
        <v>1</v>
      </c>
    </row>
    <row r="40" spans="1:29" ht="15.75" thickBot="1">
      <c r="A40" s="811"/>
      <c r="B40" s="494">
        <v>111</v>
      </c>
      <c r="C40" s="495"/>
      <c r="D40" s="496">
        <v>100</v>
      </c>
      <c r="E40" s="489"/>
      <c r="F40" s="796">
        <f>SUMIF(112:112,E40,113:113)-SUMIF(112:112,C40,113:113)+100</f>
        <v>100</v>
      </c>
      <c r="G40" s="806"/>
      <c r="H40" s="496">
        <f>SUMIF(112:112,G40,113:113)-SUMIF(112:112,C40,113:113)+100</f>
        <v>100</v>
      </c>
      <c r="I40" s="806"/>
      <c r="J40" s="496">
        <f>SUMIF(112:112,I40,113:113)-SUMIF(112:112,C40,113:113)+100</f>
        <v>100</v>
      </c>
      <c r="K40" s="531"/>
      <c r="L40" s="1749"/>
      <c r="M40" s="1742"/>
      <c r="N40" s="1742"/>
      <c r="O40" s="1748"/>
      <c r="P40" s="3740"/>
      <c r="Q40" s="1306">
        <f t="shared" si="8"/>
        <v>111</v>
      </c>
      <c r="R40" s="1307" t="s">
        <v>5</v>
      </c>
      <c r="S40" s="1308">
        <f t="shared" si="9"/>
        <v>100</v>
      </c>
      <c r="T40" s="1307" t="s">
        <v>5</v>
      </c>
      <c r="U40" s="1308">
        <f t="shared" si="10"/>
        <v>100</v>
      </c>
      <c r="V40" s="1307" t="s">
        <v>5</v>
      </c>
      <c r="W40" s="1308">
        <f t="shared" si="11"/>
        <v>100</v>
      </c>
      <c r="X40" s="1302"/>
      <c r="Y40" s="3740"/>
      <c r="Z40" s="1309">
        <f t="shared" si="12"/>
        <v>111</v>
      </c>
      <c r="AA40" s="1309">
        <f t="shared" si="3"/>
        <v>1</v>
      </c>
      <c r="AB40" s="1309">
        <f t="shared" si="4"/>
        <v>1</v>
      </c>
      <c r="AC40" s="1309">
        <f t="shared" si="5"/>
        <v>1</v>
      </c>
    </row>
    <row r="41" spans="1:29" ht="15">
      <c r="A41" s="556" t="s">
        <v>683</v>
      </c>
      <c r="B41" s="812"/>
      <c r="C41" s="2081" t="s">
        <v>0</v>
      </c>
      <c r="D41" s="559"/>
      <c r="E41" s="560"/>
      <c r="F41" s="561"/>
      <c r="G41" s="562"/>
      <c r="H41" s="563"/>
      <c r="I41" s="560"/>
      <c r="J41" s="563"/>
      <c r="K41" s="1335"/>
      <c r="L41" s="1751"/>
      <c r="M41" s="1742"/>
      <c r="N41" s="1742"/>
      <c r="O41" s="1742"/>
      <c r="P41" s="3623" t="str">
        <f>A41</f>
        <v>成交单价（元/平方米）</v>
      </c>
      <c r="Q41" s="3623"/>
      <c r="R41" s="3639">
        <f>E41</f>
        <v>0</v>
      </c>
      <c r="S41" s="3639"/>
      <c r="T41" s="3639">
        <f>G41</f>
        <v>0</v>
      </c>
      <c r="U41" s="3639"/>
      <c r="V41" s="3639">
        <f>I41</f>
        <v>0</v>
      </c>
      <c r="W41" s="3639"/>
      <c r="X41" s="799"/>
      <c r="Y41" s="1314"/>
      <c r="Z41" s="799"/>
      <c r="AA41" s="799"/>
      <c r="AB41" s="799"/>
      <c r="AC41" s="799"/>
    </row>
    <row r="42" spans="1:29" ht="15.75" thickBot="1">
      <c r="A42" s="564" t="s">
        <v>2042</v>
      </c>
      <c r="B42" s="813"/>
      <c r="C42" s="2082" t="e">
        <f>R43</f>
        <v>#DIV/0!</v>
      </c>
      <c r="D42" s="2550" t="s">
        <v>2261</v>
      </c>
      <c r="E42" s="2083" t="e">
        <f>R42</f>
        <v>#DIV/0!</v>
      </c>
      <c r="F42" s="2551"/>
      <c r="G42" s="2082" t="e">
        <f>T42</f>
        <v>#DIV/0!</v>
      </c>
      <c r="H42" s="2551"/>
      <c r="I42" s="2083" t="e">
        <f>V42</f>
        <v>#DIV/0!</v>
      </c>
      <c r="J42" s="2551"/>
      <c r="K42" s="2558">
        <f>F42+H42+J42</f>
        <v>0</v>
      </c>
      <c r="L42" s="1751"/>
      <c r="M42" s="1742"/>
      <c r="N42" s="1742"/>
      <c r="O42" s="1742"/>
      <c r="P42" s="3623" t="str">
        <f>A42</f>
        <v>比较价格（元/平方米）</v>
      </c>
      <c r="Q42" s="3623"/>
      <c r="R42" s="3639" t="e">
        <f>IF(F1="售价",ROUND(PRODUCT(R41,AA7:AA40),0),ROUND(PRODUCT(R41,AA7:AA40),1))</f>
        <v>#DIV/0!</v>
      </c>
      <c r="S42" s="3639"/>
      <c r="T42" s="3639" t="e">
        <f>IF(F1="售价",ROUND(PRODUCT(T41,AB7:AB40),0),ROUND(PRODUCT(T41,AB7:AB40),1))</f>
        <v>#DIV/0!</v>
      </c>
      <c r="U42" s="3639"/>
      <c r="V42" s="3639" t="e">
        <f>IF(F1="售价",ROUND(PRODUCT(V41,AC7:AC40),0),ROUND(PRODUCT(V41,AC7:AC40),1))</f>
        <v>#DIV/0!</v>
      </c>
      <c r="W42" s="3639"/>
      <c r="X42" s="799"/>
      <c r="Y42" s="799"/>
      <c r="Z42" s="799"/>
      <c r="AA42" s="799"/>
      <c r="AB42" s="799"/>
      <c r="AC42" s="799"/>
    </row>
    <row r="43" spans="1:29" ht="15.75" thickBot="1">
      <c r="A43" s="568" t="s">
        <v>2198</v>
      </c>
      <c r="B43" s="569"/>
      <c r="C43" s="469" t="e">
        <f>R43</f>
        <v>#DIV/0!</v>
      </c>
      <c r="D43" s="469"/>
      <c r="E43" s="469"/>
      <c r="F43" s="469"/>
      <c r="G43" s="469"/>
      <c r="H43" s="469"/>
      <c r="I43" s="469"/>
      <c r="J43" s="469"/>
      <c r="K43" s="1336"/>
      <c r="L43" s="1751"/>
      <c r="M43" s="1742"/>
      <c r="N43" s="1742"/>
      <c r="O43" s="1742"/>
      <c r="P43" s="3629" t="str">
        <f>A43</f>
        <v>估价对象XX用房的比较价格（楼面单价，元/平方米）</v>
      </c>
      <c r="Q43" s="3630"/>
      <c r="R43" s="3739" t="e">
        <f>IF(F1="售价",ROUND(IF(D42="简单平均",AVERAGE(R42:V42),R42*F42+T42*H42+V42*J42),0),ROUND(IF(D42="简单平均",AVERAGE(R42:V42),R42*F42+T42*H42+V42*J42),1))</f>
        <v>#DIV/0!</v>
      </c>
      <c r="S43" s="3739"/>
      <c r="T43" s="3739"/>
      <c r="U43" s="3739"/>
      <c r="V43" s="3739"/>
      <c r="W43" s="3739"/>
      <c r="X43" s="799"/>
      <c r="Y43" s="799"/>
      <c r="Z43" s="799"/>
      <c r="AA43" s="799"/>
      <c r="AB43" s="799"/>
      <c r="AC43" s="799"/>
    </row>
    <row r="44" spans="1:29">
      <c r="A44" s="2720"/>
      <c r="B44" s="2720"/>
      <c r="C44" s="2720"/>
      <c r="D44" s="2720"/>
      <c r="E44" s="2720"/>
      <c r="F44" s="2720"/>
      <c r="G44" s="2722"/>
      <c r="H44" s="2720"/>
      <c r="I44" s="2720"/>
      <c r="J44" s="2720"/>
      <c r="K44" s="2723"/>
      <c r="L44" s="1755"/>
      <c r="M44" s="1742"/>
      <c r="N44" s="1742"/>
      <c r="O44" s="1742"/>
      <c r="P44" s="1742"/>
      <c r="Q44" s="1742"/>
      <c r="R44" s="1742"/>
      <c r="S44" s="1742"/>
      <c r="T44" s="1742"/>
      <c r="U44" s="1742"/>
      <c r="V44" s="1742"/>
      <c r="W44" s="1742"/>
      <c r="X44" s="1742"/>
      <c r="Y44" s="1742"/>
      <c r="Z44" s="1742"/>
      <c r="AA44" s="1742"/>
      <c r="AB44" s="1742"/>
      <c r="AC44" s="1742"/>
    </row>
    <row r="45" spans="1:29">
      <c r="A45" s="2720"/>
      <c r="B45" s="2720"/>
      <c r="C45" s="2720"/>
      <c r="D45" s="2720"/>
      <c r="E45" s="2720"/>
      <c r="F45" s="2720"/>
      <c r="G45" s="2720"/>
      <c r="H45" s="2720"/>
      <c r="I45" s="2720"/>
      <c r="J45" s="2720"/>
      <c r="K45" s="2723"/>
      <c r="L45" s="1755"/>
      <c r="M45" s="1742"/>
      <c r="N45" s="1742"/>
      <c r="O45" s="1742"/>
      <c r="P45" s="1742"/>
      <c r="Q45" s="1742"/>
      <c r="R45" s="1742"/>
      <c r="S45" s="1742"/>
      <c r="T45" s="1742"/>
      <c r="U45" s="1742"/>
      <c r="V45" s="1742"/>
      <c r="W45" s="1742"/>
      <c r="X45" s="1742"/>
      <c r="Y45" s="1742"/>
      <c r="Z45" s="1742"/>
      <c r="AA45" s="1742"/>
      <c r="AB45" s="1742"/>
      <c r="AC45" s="1742"/>
    </row>
    <row r="46" spans="1:29" ht="13.5" customHeight="1">
      <c r="A46" s="2720"/>
      <c r="B46" s="2720"/>
      <c r="C46" s="571" t="s">
        <v>506</v>
      </c>
      <c r="D46" s="572"/>
      <c r="E46" s="573" t="e">
        <f>IF(E41&lt;E42,E42/E41-1,E41/E42-1)</f>
        <v>#DIV/0!</v>
      </c>
      <c r="F46" s="574" t="e">
        <f>IF(OR(E46&gt;=0.3,E46&lt;=-0.3),"超过30%","")</f>
        <v>#DIV/0!</v>
      </c>
      <c r="G46" s="573" t="e">
        <f>IF(G41&lt;G42,G42/G41-1,G41/G42-1)</f>
        <v>#DIV/0!</v>
      </c>
      <c r="H46" s="574" t="e">
        <f>IF(OR(G46&gt;=0.3,G46&lt;=-0.3),"超过30%","")</f>
        <v>#DIV/0!</v>
      </c>
      <c r="I46" s="573" t="e">
        <f>IF(I41&lt;I42,I42/I41-1,I41/I42-1)</f>
        <v>#DIV/0!</v>
      </c>
      <c r="J46" s="574" t="e">
        <f>IF(OR(I46&gt;=0.3,I46&lt;=-0.3),"超过30%","")</f>
        <v>#DIV/0!</v>
      </c>
      <c r="K46" s="2723"/>
      <c r="L46" s="1755"/>
      <c r="M46" s="1742"/>
      <c r="N46" s="1742"/>
      <c r="O46" s="1742"/>
      <c r="P46" s="1742"/>
      <c r="Q46" s="1742"/>
      <c r="R46" s="1742"/>
      <c r="S46" s="1742"/>
      <c r="T46" s="1742"/>
      <c r="U46" s="1742"/>
      <c r="V46" s="1742"/>
      <c r="W46" s="1742"/>
      <c r="X46" s="1742"/>
      <c r="Y46" s="1742"/>
      <c r="Z46" s="1742"/>
      <c r="AA46" s="1742"/>
      <c r="AB46" s="1742"/>
      <c r="AC46" s="1742"/>
    </row>
    <row r="47" spans="1:29" ht="13.5" customHeight="1">
      <c r="A47" s="2720"/>
      <c r="B47" s="2720"/>
      <c r="C47" s="571" t="s">
        <v>507</v>
      </c>
      <c r="D47" s="575"/>
      <c r="E47" s="573" t="e">
        <f>IF(E42&lt;G42,G42/E42-1,E42/G42-1)</f>
        <v>#DIV/0!</v>
      </c>
      <c r="F47" s="574" t="e">
        <f>IF(OR(E47&gt;=0.2,E47&lt;=-0.2),"超过20%","")</f>
        <v>#DIV/0!</v>
      </c>
      <c r="G47" s="573" t="e">
        <f>IF(G42&lt;I42,I42/G42-1,G42/I42-1)</f>
        <v>#DIV/0!</v>
      </c>
      <c r="H47" s="574" t="e">
        <f>IF(OR(G47&gt;=0.2,G47&lt;=-0.2),"超过20%","")</f>
        <v>#DIV/0!</v>
      </c>
      <c r="I47" s="573" t="e">
        <f>IF(I42&lt;E42,E42/I42-1,I42/E42-1)</f>
        <v>#DIV/0!</v>
      </c>
      <c r="J47" s="574" t="e">
        <f>IF(OR(I47&gt;=0.2,I47&lt;=-0.2),"超过20%","")</f>
        <v>#DIV/0!</v>
      </c>
      <c r="K47" s="2723"/>
      <c r="L47" s="1755"/>
      <c r="M47" s="1742"/>
      <c r="N47" s="1742"/>
      <c r="O47" s="1742"/>
      <c r="P47" s="1742"/>
      <c r="Q47" s="1742"/>
      <c r="R47" s="1742"/>
      <c r="S47" s="1742"/>
      <c r="T47" s="1742"/>
      <c r="U47" s="1742"/>
      <c r="V47" s="1742"/>
      <c r="W47" s="1742"/>
      <c r="X47" s="1742"/>
      <c r="Y47" s="1742"/>
      <c r="Z47" s="1742"/>
      <c r="AA47" s="1742"/>
      <c r="AB47" s="1742"/>
      <c r="AC47" s="1742"/>
    </row>
    <row r="48" spans="1:29" s="1139" customFormat="1" ht="13.5" customHeight="1">
      <c r="A48" s="2721"/>
      <c r="B48" s="2721"/>
      <c r="C48" s="571" t="s">
        <v>508</v>
      </c>
      <c r="D48" s="575"/>
      <c r="E48" s="573" t="e">
        <f>IF(E41&lt;G41,G41/E41-1,E41/G41-1)</f>
        <v>#DIV/0!</v>
      </c>
      <c r="F48" s="574" t="e">
        <f>IF(OR(E48&gt;=0.3,E48&lt;=-0.3),"超过30%","")</f>
        <v>#DIV/0!</v>
      </c>
      <c r="G48" s="573" t="e">
        <f>IF(G41&lt;I41,I41/G41-1,G41/I41-1)</f>
        <v>#DIV/0!</v>
      </c>
      <c r="H48" s="574" t="e">
        <f>IF(OR(G48&gt;=0.3,G48&lt;=-0.3),"超过30%","")</f>
        <v>#DIV/0!</v>
      </c>
      <c r="I48" s="573" t="e">
        <f>IF(I41&lt;E41,E41/I41-1,I41/E41-1)</f>
        <v>#DIV/0!</v>
      </c>
      <c r="J48" s="574" t="e">
        <f>IF(OR(I48&gt;=0.3,I48&lt;=-0.3),"超过30%","")</f>
        <v>#DIV/0!</v>
      </c>
      <c r="K48" s="2724"/>
      <c r="L48" s="1758"/>
      <c r="M48" s="1752"/>
      <c r="N48" s="1752"/>
      <c r="O48" s="1752"/>
      <c r="P48" s="1752"/>
      <c r="Q48" s="1752"/>
      <c r="R48" s="1752"/>
      <c r="S48" s="1752"/>
      <c r="T48" s="1752"/>
      <c r="U48" s="1752"/>
      <c r="V48" s="1752"/>
      <c r="W48" s="1752"/>
      <c r="X48" s="1752"/>
      <c r="Y48" s="1752"/>
      <c r="Z48" s="1752"/>
      <c r="AA48" s="1752"/>
      <c r="AB48" s="1752"/>
      <c r="AC48" s="1752"/>
    </row>
    <row r="49" spans="1:29" s="1139" customFormat="1">
      <c r="A49" s="1752"/>
      <c r="B49" s="1753"/>
      <c r="C49" s="1756"/>
      <c r="D49" s="1752"/>
      <c r="E49" s="1752"/>
      <c r="F49" s="1752"/>
      <c r="G49" s="1752"/>
      <c r="H49" s="1752"/>
      <c r="I49" s="1752"/>
      <c r="J49" s="1752"/>
      <c r="K49" s="1757"/>
      <c r="L49" s="1758"/>
      <c r="M49" s="1752"/>
      <c r="N49" s="1752"/>
      <c r="O49" s="1752"/>
      <c r="P49" s="1752"/>
      <c r="Q49" s="1752"/>
      <c r="R49" s="1752"/>
      <c r="S49" s="1752"/>
      <c r="T49" s="1752"/>
      <c r="U49" s="1752"/>
      <c r="V49" s="1752"/>
      <c r="W49" s="1752"/>
      <c r="X49" s="1752"/>
      <c r="Y49" s="1752"/>
      <c r="Z49" s="1752"/>
      <c r="AA49" s="1752"/>
      <c r="AB49" s="1752"/>
      <c r="AC49" s="1752"/>
    </row>
    <row r="50" spans="1:29">
      <c r="A50" s="1742"/>
      <c r="B50" s="1753"/>
      <c r="C50" s="1756"/>
      <c r="D50" s="1742"/>
      <c r="E50" s="1742"/>
      <c r="F50" s="1742"/>
      <c r="G50" s="1742"/>
      <c r="H50" s="1742"/>
      <c r="I50" s="1742"/>
      <c r="J50" s="1742"/>
      <c r="K50" s="1754"/>
      <c r="L50" s="1755"/>
      <c r="M50" s="1742"/>
      <c r="N50" s="1742"/>
      <c r="O50" s="1742"/>
      <c r="P50" s="1742"/>
      <c r="Q50" s="1742"/>
      <c r="R50" s="1742"/>
      <c r="S50" s="1742"/>
      <c r="T50" s="1742"/>
      <c r="U50" s="1742"/>
      <c r="V50" s="1742"/>
      <c r="W50" s="1742"/>
      <c r="X50" s="1742"/>
      <c r="Y50" s="1742"/>
      <c r="Z50" s="1742"/>
      <c r="AA50" s="1742"/>
      <c r="AB50" s="1742"/>
      <c r="AC50" s="1742"/>
    </row>
    <row r="51" spans="1:29" ht="21.75" thickBot="1">
      <c r="A51" s="1317" t="s">
        <v>522</v>
      </c>
      <c r="B51" s="799"/>
      <c r="C51" s="1316"/>
      <c r="D51" s="1316"/>
      <c r="E51" s="1316"/>
      <c r="F51" s="1318"/>
      <c r="G51" s="1318"/>
      <c r="H51" s="1316"/>
      <c r="I51" s="1316"/>
      <c r="J51" s="1316"/>
      <c r="K51" s="1319"/>
      <c r="L51" s="1315"/>
      <c r="M51" s="1316"/>
      <c r="N51" s="1762"/>
      <c r="O51" s="1762"/>
      <c r="P51" s="1762"/>
      <c r="Q51" s="1763"/>
      <c r="R51" s="1742"/>
      <c r="S51" s="1742"/>
      <c r="T51" s="1742"/>
      <c r="U51" s="1742"/>
      <c r="V51" s="1742"/>
      <c r="W51" s="1742"/>
      <c r="X51" s="1742"/>
      <c r="Y51" s="1742"/>
      <c r="Z51" s="1742"/>
      <c r="AA51" s="1742"/>
      <c r="AB51" s="1742"/>
      <c r="AC51" s="1742"/>
    </row>
    <row r="52" spans="1:29" s="1141" customFormat="1" ht="15">
      <c r="A52" s="592" t="s">
        <v>478</v>
      </c>
      <c r="B52" s="593"/>
      <c r="C52" s="2113" t="str">
        <f>YEAR(C7)&amp;"-"&amp;MONTH(C7)</f>
        <v>2024-7</v>
      </c>
      <c r="D52" s="2115">
        <f>EDATE(C52,-1)</f>
        <v>45444</v>
      </c>
      <c r="E52" s="2115">
        <f t="shared" ref="E52:O52" si="13">EDATE(D52,-1)</f>
        <v>45413</v>
      </c>
      <c r="F52" s="2115">
        <f t="shared" si="13"/>
        <v>45383</v>
      </c>
      <c r="G52" s="2115">
        <f t="shared" si="13"/>
        <v>45352</v>
      </c>
      <c r="H52" s="2115">
        <f t="shared" si="13"/>
        <v>45323</v>
      </c>
      <c r="I52" s="2115">
        <f t="shared" si="13"/>
        <v>45292</v>
      </c>
      <c r="J52" s="2115">
        <f t="shared" si="13"/>
        <v>45261</v>
      </c>
      <c r="K52" s="2115">
        <f t="shared" si="13"/>
        <v>45231</v>
      </c>
      <c r="L52" s="2115">
        <f t="shared" si="13"/>
        <v>45200</v>
      </c>
      <c r="M52" s="2115">
        <f t="shared" si="13"/>
        <v>45170</v>
      </c>
      <c r="N52" s="2115">
        <f t="shared" si="13"/>
        <v>45139</v>
      </c>
      <c r="O52" s="2115">
        <f t="shared" si="13"/>
        <v>45108</v>
      </c>
      <c r="P52" s="1765"/>
      <c r="Q52" s="1765"/>
      <c r="R52" s="1765"/>
      <c r="S52" s="1765"/>
      <c r="T52" s="1765"/>
      <c r="U52" s="1765"/>
      <c r="V52" s="1765"/>
      <c r="W52" s="1765"/>
      <c r="X52" s="1765"/>
      <c r="Y52" s="1765"/>
      <c r="Z52" s="1765"/>
      <c r="AA52" s="1765"/>
      <c r="AB52" s="1765"/>
      <c r="AC52" s="1765"/>
    </row>
    <row r="53" spans="1:29" s="1060" customFormat="1" ht="15">
      <c r="A53" s="527"/>
      <c r="B53" s="594"/>
      <c r="C53" s="595">
        <v>100</v>
      </c>
      <c r="D53" s="596"/>
      <c r="E53" s="596"/>
      <c r="F53" s="596"/>
      <c r="G53" s="596"/>
      <c r="H53" s="596"/>
      <c r="I53" s="596"/>
      <c r="J53" s="596"/>
      <c r="K53" s="596"/>
      <c r="L53" s="596"/>
      <c r="M53" s="487"/>
      <c r="N53" s="596"/>
      <c r="O53" s="597"/>
      <c r="P53" s="1763"/>
      <c r="Q53" s="1640"/>
      <c r="R53" s="1640"/>
      <c r="S53" s="1640"/>
      <c r="T53" s="1640"/>
      <c r="U53" s="1640"/>
      <c r="V53" s="1640"/>
      <c r="W53" s="1640"/>
      <c r="X53" s="1640"/>
      <c r="Y53" s="1640"/>
      <c r="Z53" s="1640"/>
      <c r="AA53" s="1640"/>
      <c r="AB53" s="1640"/>
      <c r="AC53" s="1640"/>
    </row>
    <row r="54" spans="1:29" s="1060" customFormat="1" ht="15.75" thickBot="1">
      <c r="A54" s="262" t="s">
        <v>523</v>
      </c>
      <c r="B54" s="598"/>
      <c r="C54" s="599"/>
      <c r="D54" s="600"/>
      <c r="E54" s="600"/>
      <c r="F54" s="600"/>
      <c r="G54" s="600"/>
      <c r="H54" s="600"/>
      <c r="I54" s="600"/>
      <c r="J54" s="600"/>
      <c r="K54" s="600"/>
      <c r="L54" s="600"/>
      <c r="M54" s="601"/>
      <c r="N54" s="600"/>
      <c r="O54" s="602"/>
      <c r="P54" s="1763"/>
      <c r="Q54" s="1763"/>
      <c r="R54" s="1640"/>
      <c r="S54" s="1640"/>
      <c r="T54" s="1640"/>
      <c r="U54" s="1640"/>
      <c r="V54" s="1640"/>
      <c r="W54" s="1640"/>
      <c r="X54" s="1640"/>
      <c r="Y54" s="1640"/>
      <c r="Z54" s="1640"/>
      <c r="AA54" s="1640"/>
      <c r="AB54" s="1640"/>
      <c r="AC54" s="1640"/>
    </row>
    <row r="55" spans="1:29" s="1060" customFormat="1" ht="15">
      <c r="A55" s="603" t="s">
        <v>480</v>
      </c>
      <c r="B55" s="594"/>
      <c r="C55" s="604" t="s">
        <v>524</v>
      </c>
      <c r="D55" s="80"/>
      <c r="E55" s="80"/>
      <c r="F55" s="80"/>
      <c r="G55" s="80"/>
      <c r="H55" s="80"/>
      <c r="I55" s="80"/>
      <c r="J55" s="80"/>
      <c r="K55" s="80"/>
      <c r="L55" s="605"/>
      <c r="M55" s="606"/>
      <c r="N55" s="1766"/>
      <c r="O55" s="1766"/>
      <c r="P55" s="1647"/>
      <c r="Q55" s="1763"/>
      <c r="R55" s="1640"/>
      <c r="S55" s="1640"/>
      <c r="T55" s="1640"/>
      <c r="U55" s="1640"/>
      <c r="V55" s="1640"/>
      <c r="W55" s="1640"/>
      <c r="X55" s="1640"/>
      <c r="Y55" s="1640"/>
      <c r="Z55" s="1640"/>
      <c r="AA55" s="1640"/>
      <c r="AB55" s="1640"/>
      <c r="AC55" s="1640"/>
    </row>
    <row r="56" spans="1:29" s="1060" customFormat="1" ht="15.75" thickBot="1">
      <c r="A56" s="603"/>
      <c r="B56" s="594"/>
      <c r="C56" s="595">
        <v>100</v>
      </c>
      <c r="D56" s="596"/>
      <c r="E56" s="596"/>
      <c r="F56" s="596"/>
      <c r="G56" s="596"/>
      <c r="H56" s="596"/>
      <c r="I56" s="596"/>
      <c r="J56" s="596"/>
      <c r="K56" s="596"/>
      <c r="L56" s="596"/>
      <c r="M56" s="597"/>
      <c r="N56" s="1766"/>
      <c r="O56" s="1766"/>
      <c r="P56" s="1763"/>
      <c r="Q56" s="1763"/>
      <c r="R56" s="1640"/>
      <c r="S56" s="1640"/>
      <c r="T56" s="1640"/>
      <c r="U56" s="1640"/>
      <c r="V56" s="1640"/>
      <c r="W56" s="1640"/>
      <c r="X56" s="1640"/>
      <c r="Y56" s="1640"/>
      <c r="Z56" s="1640"/>
      <c r="AA56" s="1640"/>
      <c r="AB56" s="1640"/>
      <c r="AC56" s="1640"/>
    </row>
    <row r="57" spans="1:29">
      <c r="A57" s="607" t="s">
        <v>525</v>
      </c>
      <c r="B57" s="608" t="s">
        <v>483</v>
      </c>
      <c r="C57" s="645">
        <f>C9</f>
        <v>0</v>
      </c>
      <c r="D57" s="547"/>
      <c r="E57" s="547"/>
      <c r="F57" s="547"/>
      <c r="G57" s="547"/>
      <c r="H57" s="547"/>
      <c r="I57" s="547"/>
      <c r="J57" s="547"/>
      <c r="K57" s="609"/>
      <c r="L57" s="610"/>
      <c r="M57" s="611"/>
      <c r="N57" s="1767"/>
      <c r="O57" s="1767"/>
      <c r="P57" s="1766"/>
      <c r="Q57" s="1763"/>
      <c r="R57" s="1742"/>
      <c r="S57" s="1742"/>
      <c r="T57" s="1742"/>
      <c r="U57" s="1742"/>
      <c r="V57" s="1742"/>
      <c r="W57" s="1742"/>
      <c r="X57" s="1742"/>
      <c r="Y57" s="1742"/>
      <c r="Z57" s="1742"/>
      <c r="AA57" s="1742"/>
      <c r="AB57" s="1742"/>
      <c r="AC57" s="1742"/>
    </row>
    <row r="58" spans="1:29" ht="15.75" thickBot="1">
      <c r="A58" s="482"/>
      <c r="B58" s="612"/>
      <c r="C58" s="613"/>
      <c r="D58" s="613"/>
      <c r="E58" s="613"/>
      <c r="F58" s="613"/>
      <c r="G58" s="613"/>
      <c r="H58" s="613"/>
      <c r="I58" s="613"/>
      <c r="J58" s="613"/>
      <c r="K58" s="613"/>
      <c r="L58" s="613"/>
      <c r="M58" s="614"/>
      <c r="N58" s="1768"/>
      <c r="O58" s="1768"/>
      <c r="P58" s="1766"/>
      <c r="Q58" s="1763"/>
      <c r="R58" s="1742"/>
      <c r="S58" s="1742"/>
      <c r="T58" s="1742"/>
      <c r="U58" s="1742"/>
      <c r="V58" s="1742"/>
      <c r="W58" s="1742"/>
      <c r="X58" s="1742"/>
      <c r="Y58" s="1742"/>
      <c r="Z58" s="1742"/>
      <c r="AA58" s="1742"/>
      <c r="AB58" s="1742"/>
      <c r="AC58" s="1742"/>
    </row>
    <row r="59" spans="1:29" ht="27.75" thickTop="1">
      <c r="A59" s="482"/>
      <c r="B59" s="615" t="s">
        <v>486</v>
      </c>
      <c r="C59" s="658"/>
      <c r="D59" s="658"/>
      <c r="E59" s="658"/>
      <c r="F59" s="658"/>
      <c r="G59" s="658"/>
      <c r="H59" s="658"/>
      <c r="I59" s="658"/>
      <c r="J59" s="658"/>
      <c r="K59" s="659"/>
      <c r="L59" s="660"/>
      <c r="M59" s="661"/>
      <c r="N59" s="1767"/>
      <c r="O59" s="1767"/>
      <c r="P59" s="1766"/>
      <c r="Q59" s="1763"/>
      <c r="R59" s="1742"/>
      <c r="S59" s="1742"/>
      <c r="T59" s="1742"/>
      <c r="U59" s="1742"/>
      <c r="V59" s="1742"/>
      <c r="W59" s="1742"/>
      <c r="X59" s="1742"/>
      <c r="Y59" s="1742"/>
      <c r="Z59" s="1742"/>
      <c r="AA59" s="1742"/>
      <c r="AB59" s="1742"/>
      <c r="AC59" s="1742"/>
    </row>
    <row r="60" spans="1:29" ht="15.75" thickBot="1">
      <c r="A60" s="482"/>
      <c r="B60" s="620"/>
      <c r="C60" s="613"/>
      <c r="D60" s="613"/>
      <c r="E60" s="613"/>
      <c r="F60" s="613"/>
      <c r="G60" s="613"/>
      <c r="H60" s="613"/>
      <c r="I60" s="613"/>
      <c r="J60" s="613"/>
      <c r="K60" s="613"/>
      <c r="L60" s="613"/>
      <c r="M60" s="614"/>
      <c r="N60" s="1768"/>
      <c r="O60" s="1768"/>
      <c r="P60" s="1766"/>
      <c r="Q60" s="1763"/>
      <c r="R60" s="1742"/>
      <c r="S60" s="1742"/>
      <c r="T60" s="1742"/>
      <c r="U60" s="1742"/>
      <c r="V60" s="1742"/>
      <c r="W60" s="1742"/>
      <c r="X60" s="1742"/>
      <c r="Y60" s="1742"/>
      <c r="Z60" s="1742"/>
      <c r="AA60" s="1742"/>
      <c r="AB60" s="1742"/>
      <c r="AC60" s="1742"/>
    </row>
    <row r="61" spans="1:29" ht="15.75" thickTop="1">
      <c r="A61" s="482"/>
      <c r="B61" s="623" t="s">
        <v>487</v>
      </c>
      <c r="C61" s="624" t="str">
        <f>C62&amp;"（含）"&amp;"-"&amp;D62</f>
        <v>（含）-</v>
      </c>
      <c r="D61" s="624" t="str">
        <f t="shared" ref="D61:L61" si="14">D62&amp;"（含）"&amp;"-"&amp;E62</f>
        <v>（含）-</v>
      </c>
      <c r="E61" s="624" t="str">
        <f t="shared" si="14"/>
        <v>（含）-</v>
      </c>
      <c r="F61" s="624" t="str">
        <f t="shared" si="14"/>
        <v>（含）-</v>
      </c>
      <c r="G61" s="624" t="str">
        <f t="shared" si="14"/>
        <v>（含）-</v>
      </c>
      <c r="H61" s="624" t="str">
        <f t="shared" si="14"/>
        <v>（含）-</v>
      </c>
      <c r="I61" s="624" t="str">
        <f t="shared" si="14"/>
        <v>（含）-</v>
      </c>
      <c r="J61" s="624" t="str">
        <f t="shared" si="14"/>
        <v>（含）-</v>
      </c>
      <c r="K61" s="624" t="str">
        <f t="shared" si="14"/>
        <v>（含）-</v>
      </c>
      <c r="L61" s="624" t="str">
        <f t="shared" si="14"/>
        <v>（含）-</v>
      </c>
      <c r="M61" s="505" t="str">
        <f>M62&amp;"（含）"&amp;"-"&amp;P62</f>
        <v>（含）-</v>
      </c>
      <c r="N61" s="1768"/>
      <c r="O61" s="1768"/>
      <c r="P61" s="1766"/>
      <c r="Q61" s="1763"/>
      <c r="R61" s="1742"/>
      <c r="S61" s="1742"/>
      <c r="T61" s="1742"/>
      <c r="U61" s="1742"/>
      <c r="V61" s="1742"/>
      <c r="W61" s="1742"/>
      <c r="X61" s="1742"/>
      <c r="Y61" s="1742"/>
      <c r="Z61" s="1742"/>
      <c r="AA61" s="1742"/>
      <c r="AB61" s="1742"/>
      <c r="AC61" s="1742"/>
    </row>
    <row r="62" spans="1:29" ht="15">
      <c r="A62" s="482"/>
      <c r="B62" s="625"/>
      <c r="C62" s="491"/>
      <c r="D62" s="491"/>
      <c r="E62" s="491"/>
      <c r="F62" s="491"/>
      <c r="G62" s="491"/>
      <c r="H62" s="491"/>
      <c r="I62" s="491"/>
      <c r="J62" s="491"/>
      <c r="K62" s="626"/>
      <c r="L62" s="627"/>
      <c r="M62" s="628"/>
      <c r="N62" s="1767"/>
      <c r="O62" s="1767"/>
      <c r="P62" s="1766"/>
      <c r="Q62" s="1763"/>
      <c r="R62" s="1742"/>
      <c r="S62" s="1742"/>
      <c r="T62" s="1742"/>
      <c r="U62" s="1742"/>
      <c r="V62" s="1742"/>
      <c r="W62" s="1742"/>
      <c r="X62" s="1742"/>
      <c r="Y62" s="1742"/>
      <c r="Z62" s="1742"/>
      <c r="AA62" s="1742"/>
      <c r="AB62" s="1742"/>
      <c r="AC62" s="1742"/>
    </row>
    <row r="63" spans="1:29" ht="15.75" thickBot="1">
      <c r="A63" s="482"/>
      <c r="B63" s="612"/>
      <c r="C63" s="621">
        <v>100</v>
      </c>
      <c r="D63" s="621">
        <f t="shared" ref="D63:M63" si="15">C63-$K11</f>
        <v>100</v>
      </c>
      <c r="E63" s="621">
        <f t="shared" si="15"/>
        <v>100</v>
      </c>
      <c r="F63" s="621">
        <f t="shared" si="15"/>
        <v>100</v>
      </c>
      <c r="G63" s="621">
        <f t="shared" si="15"/>
        <v>100</v>
      </c>
      <c r="H63" s="621">
        <f t="shared" si="15"/>
        <v>100</v>
      </c>
      <c r="I63" s="621">
        <f t="shared" si="15"/>
        <v>100</v>
      </c>
      <c r="J63" s="621">
        <f t="shared" si="15"/>
        <v>100</v>
      </c>
      <c r="K63" s="621">
        <f t="shared" si="15"/>
        <v>100</v>
      </c>
      <c r="L63" s="621">
        <f t="shared" si="15"/>
        <v>100</v>
      </c>
      <c r="M63" s="622">
        <f t="shared" si="15"/>
        <v>100</v>
      </c>
      <c r="N63" s="1768"/>
      <c r="O63" s="1768"/>
      <c r="P63" s="1766"/>
      <c r="Q63" s="1763"/>
      <c r="R63" s="1742"/>
      <c r="S63" s="1742"/>
      <c r="T63" s="1742"/>
      <c r="U63" s="1742"/>
      <c r="V63" s="1742"/>
      <c r="W63" s="1742"/>
      <c r="X63" s="1742"/>
      <c r="Y63" s="1742"/>
      <c r="Z63" s="1742"/>
      <c r="AA63" s="1742"/>
      <c r="AB63" s="1742"/>
      <c r="AC63" s="1742"/>
    </row>
    <row r="64" spans="1:29" s="1134" customFormat="1" ht="15.75" thickTop="1">
      <c r="A64" s="629"/>
      <c r="B64" s="615">
        <f>B12</f>
        <v>111</v>
      </c>
      <c r="C64" s="630"/>
      <c r="D64" s="630"/>
      <c r="E64" s="630"/>
      <c r="F64" s="630"/>
      <c r="G64" s="630"/>
      <c r="H64" s="631"/>
      <c r="I64" s="631"/>
      <c r="J64" s="631"/>
      <c r="K64" s="631"/>
      <c r="L64" s="632"/>
      <c r="M64" s="633"/>
      <c r="N64" s="1769"/>
      <c r="O64" s="1769"/>
      <c r="P64" s="1769"/>
      <c r="Q64" s="1770"/>
      <c r="R64" s="1771"/>
      <c r="S64" s="1771"/>
      <c r="T64" s="1771"/>
      <c r="U64" s="1771"/>
      <c r="V64" s="1771"/>
      <c r="W64" s="1771"/>
      <c r="X64" s="1771"/>
      <c r="Y64" s="1771"/>
      <c r="Z64" s="1771"/>
      <c r="AA64" s="1771"/>
      <c r="AB64" s="1771"/>
      <c r="AC64" s="1771"/>
    </row>
    <row r="65" spans="1:29" s="1134" customFormat="1" ht="15.75" thickBot="1">
      <c r="A65" s="629"/>
      <c r="B65" s="620"/>
      <c r="C65" s="634"/>
      <c r="D65" s="613"/>
      <c r="E65" s="613"/>
      <c r="F65" s="613"/>
      <c r="G65" s="613"/>
      <c r="H65" s="613"/>
      <c r="I65" s="613"/>
      <c r="J65" s="613"/>
      <c r="K65" s="613"/>
      <c r="L65" s="613"/>
      <c r="M65" s="614"/>
      <c r="N65" s="1768"/>
      <c r="O65" s="1768"/>
      <c r="P65" s="1769"/>
      <c r="Q65" s="1770"/>
      <c r="R65" s="1771"/>
      <c r="S65" s="1771"/>
      <c r="T65" s="1771"/>
      <c r="U65" s="1771"/>
      <c r="V65" s="1771"/>
      <c r="W65" s="1771"/>
      <c r="X65" s="1771"/>
      <c r="Y65" s="1771"/>
      <c r="Z65" s="1771"/>
      <c r="AA65" s="1771"/>
      <c r="AB65" s="1771"/>
      <c r="AC65" s="1771"/>
    </row>
    <row r="66" spans="1:29" s="1134" customFormat="1" ht="15.75" thickTop="1">
      <c r="A66" s="629"/>
      <c r="B66" s="615">
        <f>B13</f>
        <v>111</v>
      </c>
      <c r="C66" s="630"/>
      <c r="D66" s="630"/>
      <c r="E66" s="630"/>
      <c r="F66" s="630"/>
      <c r="G66" s="630"/>
      <c r="H66" s="631"/>
      <c r="I66" s="631"/>
      <c r="J66" s="631"/>
      <c r="K66" s="631"/>
      <c r="L66" s="632"/>
      <c r="M66" s="633"/>
      <c r="N66" s="1769"/>
      <c r="O66" s="1769"/>
      <c r="P66" s="1771"/>
      <c r="Q66" s="1772"/>
      <c r="R66" s="1771"/>
      <c r="S66" s="1771"/>
      <c r="T66" s="1771"/>
      <c r="U66" s="1771"/>
      <c r="V66" s="1771"/>
      <c r="W66" s="1771"/>
      <c r="X66" s="1771"/>
      <c r="Y66" s="1771"/>
      <c r="Z66" s="1771"/>
      <c r="AA66" s="1771"/>
      <c r="AB66" s="1771"/>
      <c r="AC66" s="1771"/>
    </row>
    <row r="67" spans="1:29" s="1134" customFormat="1" ht="15.75" thickBot="1">
      <c r="A67" s="629"/>
      <c r="B67" s="620"/>
      <c r="C67" s="634"/>
      <c r="D67" s="613"/>
      <c r="E67" s="613"/>
      <c r="F67" s="613"/>
      <c r="G67" s="634"/>
      <c r="H67" s="635"/>
      <c r="I67" s="635"/>
      <c r="J67" s="635"/>
      <c r="K67" s="635"/>
      <c r="L67" s="635"/>
      <c r="M67" s="636"/>
      <c r="N67" s="1769"/>
      <c r="O67" s="1769"/>
      <c r="P67" s="1769"/>
      <c r="Q67" s="1770"/>
      <c r="R67" s="1771"/>
      <c r="S67" s="1771"/>
      <c r="T67" s="1771"/>
      <c r="U67" s="1771"/>
      <c r="V67" s="1771"/>
      <c r="W67" s="1771"/>
      <c r="X67" s="1771"/>
      <c r="Y67" s="1771"/>
      <c r="Z67" s="1771"/>
      <c r="AA67" s="1771"/>
      <c r="AB67" s="1771"/>
      <c r="AC67" s="1771"/>
    </row>
    <row r="68" spans="1:29" s="1134" customFormat="1" ht="15.75" thickTop="1">
      <c r="A68" s="629"/>
      <c r="B68" s="623">
        <f>B14</f>
        <v>111</v>
      </c>
      <c r="C68" s="80"/>
      <c r="D68" s="80"/>
      <c r="E68" s="80"/>
      <c r="F68" s="80"/>
      <c r="G68" s="80"/>
      <c r="H68" s="637"/>
      <c r="I68" s="637"/>
      <c r="J68" s="637"/>
      <c r="K68" s="637"/>
      <c r="L68" s="638"/>
      <c r="M68" s="639"/>
      <c r="N68" s="1769"/>
      <c r="O68" s="1769"/>
      <c r="P68" s="1773"/>
      <c r="Q68" s="1770"/>
      <c r="R68" s="1771"/>
      <c r="S68" s="1771"/>
      <c r="T68" s="1771"/>
      <c r="U68" s="1771"/>
      <c r="V68" s="1771"/>
      <c r="W68" s="1771"/>
      <c r="X68" s="1771"/>
      <c r="Y68" s="1771"/>
      <c r="Z68" s="1771"/>
      <c r="AA68" s="1771"/>
      <c r="AB68" s="1771"/>
      <c r="AC68" s="1771"/>
    </row>
    <row r="69" spans="1:29" s="1134" customFormat="1" ht="15.75" thickBot="1">
      <c r="A69" s="640"/>
      <c r="B69" s="641"/>
      <c r="C69" s="642"/>
      <c r="D69" s="642"/>
      <c r="E69" s="642"/>
      <c r="F69" s="642"/>
      <c r="G69" s="642"/>
      <c r="H69" s="643"/>
      <c r="I69" s="643"/>
      <c r="J69" s="643"/>
      <c r="K69" s="643"/>
      <c r="L69" s="643"/>
      <c r="M69" s="644"/>
      <c r="N69" s="1769"/>
      <c r="O69" s="1769"/>
      <c r="P69" s="1769"/>
      <c r="Q69" s="1770"/>
      <c r="R69" s="1771"/>
      <c r="S69" s="1771"/>
      <c r="T69" s="1771"/>
      <c r="U69" s="1771"/>
      <c r="V69" s="1771"/>
      <c r="W69" s="1771"/>
      <c r="X69" s="1771"/>
      <c r="Y69" s="1771"/>
      <c r="Z69" s="1771"/>
      <c r="AA69" s="1771"/>
      <c r="AB69" s="1771"/>
      <c r="AC69" s="1771"/>
    </row>
    <row r="70" spans="1:29">
      <c r="A70" s="607" t="s">
        <v>488</v>
      </c>
      <c r="B70" s="608" t="s">
        <v>533</v>
      </c>
      <c r="C70" s="143" t="s">
        <v>527</v>
      </c>
      <c r="D70" s="143" t="s">
        <v>528</v>
      </c>
      <c r="E70" s="143" t="s">
        <v>529</v>
      </c>
      <c r="F70" s="143" t="s">
        <v>530</v>
      </c>
      <c r="G70" s="143" t="s">
        <v>531</v>
      </c>
      <c r="H70" s="645"/>
      <c r="I70" s="645"/>
      <c r="J70" s="645"/>
      <c r="K70" s="646"/>
      <c r="L70" s="647"/>
      <c r="M70" s="648"/>
      <c r="N70" s="1767"/>
      <c r="O70" s="1767"/>
      <c r="P70" s="1774"/>
      <c r="Q70" s="1763"/>
      <c r="R70" s="1742"/>
      <c r="S70" s="1742"/>
      <c r="T70" s="1742"/>
      <c r="U70" s="1742"/>
      <c r="V70" s="1742"/>
      <c r="W70" s="1742"/>
      <c r="X70" s="1742"/>
      <c r="Y70" s="1742"/>
      <c r="Z70" s="1742"/>
      <c r="AA70" s="1742"/>
      <c r="AB70" s="1742"/>
      <c r="AC70" s="1742"/>
    </row>
    <row r="71" spans="1:29" ht="15.75" thickBot="1">
      <c r="A71" s="482"/>
      <c r="B71" s="620"/>
      <c r="C71" s="621">
        <v>100</v>
      </c>
      <c r="D71" s="621">
        <f>C71-$K15</f>
        <v>100</v>
      </c>
      <c r="E71" s="621">
        <f>D71-$K15</f>
        <v>100</v>
      </c>
      <c r="F71" s="621">
        <f>E71-$K15</f>
        <v>100</v>
      </c>
      <c r="G71" s="621">
        <f>F71-$K15</f>
        <v>100</v>
      </c>
      <c r="H71" s="621"/>
      <c r="I71" s="621"/>
      <c r="J71" s="621"/>
      <c r="K71" s="621"/>
      <c r="L71" s="621"/>
      <c r="M71" s="622"/>
      <c r="N71" s="1768"/>
      <c r="O71" s="1768"/>
      <c r="P71" s="1766"/>
      <c r="Q71" s="1763"/>
      <c r="R71" s="1742"/>
      <c r="S71" s="1742"/>
      <c r="T71" s="1742"/>
      <c r="U71" s="1742"/>
      <c r="V71" s="1742"/>
      <c r="W71" s="1742"/>
      <c r="X71" s="1742"/>
      <c r="Y71" s="1742"/>
      <c r="Z71" s="1742"/>
      <c r="AA71" s="1742"/>
      <c r="AB71" s="1742"/>
      <c r="AC71" s="1742"/>
    </row>
    <row r="72" spans="1:29" ht="15.75" thickTop="1">
      <c r="A72" s="482"/>
      <c r="B72" s="615" t="s">
        <v>534</v>
      </c>
      <c r="C72" s="649" t="s">
        <v>527</v>
      </c>
      <c r="D72" s="649" t="s">
        <v>528</v>
      </c>
      <c r="E72" s="649" t="s">
        <v>529</v>
      </c>
      <c r="F72" s="649" t="s">
        <v>530</v>
      </c>
      <c r="G72" s="649" t="s">
        <v>531</v>
      </c>
      <c r="H72" s="616"/>
      <c r="I72" s="616"/>
      <c r="J72" s="616"/>
      <c r="K72" s="617"/>
      <c r="L72" s="618"/>
      <c r="M72" s="619"/>
      <c r="N72" s="1767"/>
      <c r="O72" s="1767"/>
      <c r="P72" s="1766"/>
      <c r="Q72" s="1763"/>
      <c r="R72" s="1742"/>
      <c r="S72" s="1742"/>
      <c r="T72" s="1742"/>
      <c r="U72" s="1742"/>
      <c r="V72" s="1742"/>
      <c r="W72" s="1742"/>
      <c r="X72" s="1742"/>
      <c r="Y72" s="1742"/>
      <c r="Z72" s="1742"/>
      <c r="AA72" s="1742"/>
      <c r="AB72" s="1742"/>
      <c r="AC72" s="1742"/>
    </row>
    <row r="73" spans="1:29" ht="15.75" thickBot="1">
      <c r="A73" s="482"/>
      <c r="B73" s="620"/>
      <c r="C73" s="621">
        <v>100</v>
      </c>
      <c r="D73" s="621">
        <f>C73-$K17</f>
        <v>100</v>
      </c>
      <c r="E73" s="621">
        <f>D73-$K17</f>
        <v>100</v>
      </c>
      <c r="F73" s="621">
        <f>E73-$K17</f>
        <v>100</v>
      </c>
      <c r="G73" s="621">
        <f>F73-$K17</f>
        <v>100</v>
      </c>
      <c r="H73" s="621"/>
      <c r="I73" s="621"/>
      <c r="J73" s="621"/>
      <c r="K73" s="621"/>
      <c r="L73" s="621"/>
      <c r="M73" s="622"/>
      <c r="N73" s="1768"/>
      <c r="O73" s="1768"/>
      <c r="P73" s="1766"/>
      <c r="Q73" s="1763"/>
      <c r="R73" s="1742"/>
      <c r="S73" s="1742"/>
      <c r="T73" s="1742"/>
      <c r="U73" s="1742"/>
      <c r="V73" s="1742"/>
      <c r="W73" s="1742"/>
      <c r="X73" s="1742"/>
      <c r="Y73" s="1742"/>
      <c r="Z73" s="1742"/>
      <c r="AA73" s="1742"/>
      <c r="AB73" s="1742"/>
      <c r="AC73" s="1742"/>
    </row>
    <row r="74" spans="1:29" ht="15.75" thickTop="1">
      <c r="A74" s="482"/>
      <c r="B74" s="1555" t="s">
        <v>1840</v>
      </c>
      <c r="C74" s="649" t="s">
        <v>527</v>
      </c>
      <c r="D74" s="649" t="s">
        <v>528</v>
      </c>
      <c r="E74" s="649" t="s">
        <v>529</v>
      </c>
      <c r="F74" s="649" t="s">
        <v>530</v>
      </c>
      <c r="G74" s="649" t="s">
        <v>531</v>
      </c>
      <c r="H74" s="616"/>
      <c r="I74" s="616"/>
      <c r="J74" s="616"/>
      <c r="K74" s="617"/>
      <c r="L74" s="618"/>
      <c r="M74" s="619"/>
      <c r="N74" s="1767"/>
      <c r="O74" s="1767"/>
      <c r="P74" s="1766"/>
      <c r="Q74" s="1763"/>
      <c r="R74" s="1742"/>
      <c r="S74" s="1742"/>
      <c r="T74" s="1742"/>
      <c r="U74" s="1742"/>
      <c r="V74" s="1742"/>
      <c r="W74" s="1742"/>
      <c r="X74" s="1742"/>
      <c r="Y74" s="1742"/>
      <c r="Z74" s="1742"/>
      <c r="AA74" s="1742"/>
      <c r="AB74" s="1742"/>
      <c r="AC74" s="1742"/>
    </row>
    <row r="75" spans="1:29" ht="15.75" thickBot="1">
      <c r="A75" s="482"/>
      <c r="B75" s="620"/>
      <c r="C75" s="621">
        <v>100</v>
      </c>
      <c r="D75" s="621">
        <f>C75-$K19</f>
        <v>100</v>
      </c>
      <c r="E75" s="621">
        <f>D75-$K19</f>
        <v>100</v>
      </c>
      <c r="F75" s="621">
        <f>E75-$K19</f>
        <v>100</v>
      </c>
      <c r="G75" s="621">
        <f>F75-$K19</f>
        <v>100</v>
      </c>
      <c r="H75" s="621"/>
      <c r="I75" s="621"/>
      <c r="J75" s="621"/>
      <c r="K75" s="621"/>
      <c r="L75" s="621"/>
      <c r="M75" s="622"/>
      <c r="N75" s="1768"/>
      <c r="O75" s="1768"/>
      <c r="P75" s="1766"/>
      <c r="Q75" s="1763"/>
      <c r="R75" s="1742"/>
      <c r="S75" s="1742"/>
      <c r="T75" s="1742"/>
      <c r="U75" s="1742"/>
      <c r="V75" s="1742"/>
      <c r="W75" s="1742"/>
      <c r="X75" s="1742"/>
      <c r="Y75" s="1742"/>
      <c r="Z75" s="1742"/>
      <c r="AA75" s="1742"/>
      <c r="AB75" s="1742"/>
      <c r="AC75" s="1742"/>
    </row>
    <row r="76" spans="1:29" ht="15.75" thickTop="1">
      <c r="A76" s="482"/>
      <c r="B76" s="2056" t="s">
        <v>1841</v>
      </c>
      <c r="C76" s="2057" t="s">
        <v>1842</v>
      </c>
      <c r="D76" s="2057" t="s">
        <v>1843</v>
      </c>
      <c r="E76" s="2057" t="s">
        <v>1844</v>
      </c>
      <c r="F76" s="2057" t="s">
        <v>1845</v>
      </c>
      <c r="G76" s="2057" t="s">
        <v>1846</v>
      </c>
      <c r="H76" s="856"/>
      <c r="I76" s="856"/>
      <c r="J76" s="856"/>
      <c r="K76" s="856"/>
      <c r="L76" s="856"/>
      <c r="M76" s="509"/>
      <c r="N76" s="1768"/>
      <c r="O76" s="1768"/>
      <c r="P76" s="1766"/>
      <c r="Q76" s="1763"/>
      <c r="R76" s="1742"/>
      <c r="S76" s="1742"/>
      <c r="T76" s="1742"/>
      <c r="U76" s="1742"/>
      <c r="V76" s="1742"/>
      <c r="W76" s="1742"/>
      <c r="X76" s="1742"/>
      <c r="Y76" s="1742"/>
      <c r="Z76" s="1742"/>
      <c r="AA76" s="1742"/>
      <c r="AB76" s="1742"/>
      <c r="AC76" s="1742"/>
    </row>
    <row r="77" spans="1:29" ht="15.75" thickBot="1">
      <c r="A77" s="482"/>
      <c r="B77" s="623"/>
      <c r="C77" s="621">
        <v>100</v>
      </c>
      <c r="D77" s="621">
        <f>C77-$K21</f>
        <v>100</v>
      </c>
      <c r="E77" s="621">
        <f>D77-$K21</f>
        <v>100</v>
      </c>
      <c r="F77" s="621">
        <f>E77-$K21</f>
        <v>100</v>
      </c>
      <c r="G77" s="621">
        <f>F77-$K21</f>
        <v>100</v>
      </c>
      <c r="H77" s="621"/>
      <c r="I77" s="621"/>
      <c r="J77" s="621"/>
      <c r="K77" s="621"/>
      <c r="L77" s="621"/>
      <c r="M77" s="622"/>
      <c r="N77" s="1768"/>
      <c r="O77" s="1768"/>
      <c r="P77" s="1766"/>
      <c r="Q77" s="1763"/>
      <c r="R77" s="1742"/>
      <c r="S77" s="1742"/>
      <c r="T77" s="1742"/>
      <c r="U77" s="1742"/>
      <c r="V77" s="1742"/>
      <c r="W77" s="1742"/>
      <c r="X77" s="1742"/>
      <c r="Y77" s="1742"/>
      <c r="Z77" s="1742"/>
      <c r="AA77" s="1742"/>
      <c r="AB77" s="1742"/>
      <c r="AC77" s="1742"/>
    </row>
    <row r="78" spans="1:29" ht="15.75" thickTop="1">
      <c r="A78" s="482"/>
      <c r="B78" s="615" t="s">
        <v>724</v>
      </c>
      <c r="C78" s="649" t="s">
        <v>527</v>
      </c>
      <c r="D78" s="649" t="s">
        <v>528</v>
      </c>
      <c r="E78" s="649" t="s">
        <v>529</v>
      </c>
      <c r="F78" s="649" t="s">
        <v>530</v>
      </c>
      <c r="G78" s="649" t="s">
        <v>531</v>
      </c>
      <c r="H78" s="616"/>
      <c r="I78" s="616"/>
      <c r="J78" s="616"/>
      <c r="K78" s="617"/>
      <c r="L78" s="618"/>
      <c r="M78" s="619"/>
      <c r="N78" s="1767"/>
      <c r="O78" s="1767"/>
      <c r="P78" s="1766"/>
      <c r="Q78" s="1763"/>
      <c r="R78" s="1742"/>
      <c r="S78" s="1742"/>
      <c r="T78" s="1742"/>
      <c r="U78" s="1742"/>
      <c r="V78" s="1742"/>
      <c r="W78" s="1742"/>
      <c r="X78" s="1742"/>
      <c r="Y78" s="1742"/>
      <c r="Z78" s="1742"/>
      <c r="AA78" s="1742"/>
      <c r="AB78" s="1742"/>
      <c r="AC78" s="1742"/>
    </row>
    <row r="79" spans="1:29" ht="15.75" thickBot="1">
      <c r="A79" s="482"/>
      <c r="B79" s="620"/>
      <c r="C79" s="621">
        <v>100</v>
      </c>
      <c r="D79" s="621">
        <f>C79-$K23</f>
        <v>100</v>
      </c>
      <c r="E79" s="621">
        <f>D79-$K23</f>
        <v>100</v>
      </c>
      <c r="F79" s="621">
        <f>E79-$K23</f>
        <v>100</v>
      </c>
      <c r="G79" s="621">
        <f>F79-$K23</f>
        <v>100</v>
      </c>
      <c r="H79" s="621"/>
      <c r="I79" s="621"/>
      <c r="J79" s="621"/>
      <c r="K79" s="621"/>
      <c r="L79" s="621"/>
      <c r="M79" s="622"/>
      <c r="N79" s="1768"/>
      <c r="O79" s="1768"/>
      <c r="P79" s="1766"/>
      <c r="Q79" s="1763"/>
      <c r="R79" s="1742"/>
      <c r="S79" s="1742"/>
      <c r="T79" s="1742"/>
      <c r="U79" s="1742"/>
      <c r="V79" s="1742"/>
      <c r="W79" s="1742"/>
      <c r="X79" s="1742"/>
      <c r="Y79" s="1742"/>
      <c r="Z79" s="1742"/>
      <c r="AA79" s="1742"/>
      <c r="AB79" s="1742"/>
      <c r="AC79" s="1742"/>
    </row>
    <row r="80" spans="1:29" s="1060" customFormat="1" ht="15.75" thickTop="1">
      <c r="A80" s="486"/>
      <c r="B80" s="615">
        <f>B25</f>
        <v>111</v>
      </c>
      <c r="C80" s="630"/>
      <c r="D80" s="630"/>
      <c r="E80" s="630"/>
      <c r="F80" s="630"/>
      <c r="G80" s="630"/>
      <c r="H80" s="630"/>
      <c r="I80" s="630"/>
      <c r="J80" s="630"/>
      <c r="K80" s="630"/>
      <c r="L80" s="815"/>
      <c r="M80" s="816"/>
      <c r="N80" s="1766"/>
      <c r="O80" s="1766"/>
      <c r="P80" s="1766"/>
      <c r="Q80" s="1763"/>
      <c r="R80" s="1640"/>
      <c r="S80" s="1640"/>
      <c r="T80" s="1640"/>
      <c r="U80" s="1640"/>
      <c r="V80" s="1640"/>
      <c r="W80" s="1640"/>
      <c r="X80" s="1640"/>
      <c r="Y80" s="1640"/>
      <c r="Z80" s="1640"/>
      <c r="AA80" s="1640"/>
      <c r="AB80" s="1640"/>
      <c r="AC80" s="1640"/>
    </row>
    <row r="81" spans="1:29" s="1060" customFormat="1" ht="15.75" thickBot="1">
      <c r="A81" s="486"/>
      <c r="B81" s="620"/>
      <c r="C81" s="634"/>
      <c r="D81" s="613"/>
      <c r="E81" s="613"/>
      <c r="F81" s="613"/>
      <c r="G81" s="613"/>
      <c r="H81" s="613"/>
      <c r="I81" s="613"/>
      <c r="J81" s="613"/>
      <c r="K81" s="613"/>
      <c r="L81" s="613"/>
      <c r="M81" s="614"/>
      <c r="N81" s="1768"/>
      <c r="O81" s="1768"/>
      <c r="P81" s="1766"/>
      <c r="Q81" s="1763"/>
      <c r="R81" s="1640"/>
      <c r="S81" s="1640"/>
      <c r="T81" s="1640"/>
      <c r="U81" s="1640"/>
      <c r="V81" s="1640"/>
      <c r="W81" s="1640"/>
      <c r="X81" s="1640"/>
      <c r="Y81" s="1640"/>
      <c r="Z81" s="1640"/>
      <c r="AA81" s="1640"/>
      <c r="AB81" s="1640"/>
      <c r="AC81" s="1640"/>
    </row>
    <row r="82" spans="1:29" s="1060" customFormat="1" ht="15.75" thickTop="1">
      <c r="A82" s="486"/>
      <c r="B82" s="615">
        <f>B26</f>
        <v>111</v>
      </c>
      <c r="C82" s="630"/>
      <c r="D82" s="630"/>
      <c r="E82" s="630"/>
      <c r="F82" s="630"/>
      <c r="G82" s="630"/>
      <c r="H82" s="630"/>
      <c r="I82" s="630"/>
      <c r="J82" s="630"/>
      <c r="K82" s="630"/>
      <c r="L82" s="815"/>
      <c r="M82" s="816"/>
      <c r="N82" s="1766"/>
      <c r="O82" s="1766"/>
      <c r="P82" s="1766"/>
      <c r="Q82" s="1763"/>
      <c r="R82" s="1640"/>
      <c r="S82" s="1640"/>
      <c r="T82" s="1640"/>
      <c r="U82" s="1640"/>
      <c r="V82" s="1640"/>
      <c r="W82" s="1640"/>
      <c r="X82" s="1640"/>
      <c r="Y82" s="1640"/>
      <c r="Z82" s="1640"/>
      <c r="AA82" s="1640"/>
      <c r="AB82" s="1640"/>
      <c r="AC82" s="1640"/>
    </row>
    <row r="83" spans="1:29" s="1060" customFormat="1" ht="15.75" thickBot="1">
      <c r="A83" s="486"/>
      <c r="B83" s="620"/>
      <c r="C83" s="634"/>
      <c r="D83" s="613"/>
      <c r="E83" s="613"/>
      <c r="F83" s="613"/>
      <c r="G83" s="613"/>
      <c r="H83" s="613"/>
      <c r="I83" s="613"/>
      <c r="J83" s="613"/>
      <c r="K83" s="613"/>
      <c r="L83" s="613"/>
      <c r="M83" s="614"/>
      <c r="N83" s="1768"/>
      <c r="O83" s="1768"/>
      <c r="P83" s="1766"/>
      <c r="Q83" s="1763"/>
      <c r="R83" s="1640"/>
      <c r="S83" s="1640"/>
      <c r="T83" s="1640"/>
      <c r="U83" s="1640"/>
      <c r="V83" s="1640"/>
      <c r="W83" s="1640"/>
      <c r="X83" s="1640"/>
      <c r="Y83" s="1640"/>
      <c r="Z83" s="1640"/>
      <c r="AA83" s="1640"/>
      <c r="AB83" s="1640"/>
      <c r="AC83" s="1640"/>
    </row>
    <row r="84" spans="1:29" s="1134" customFormat="1" ht="15.75" thickTop="1">
      <c r="A84" s="629"/>
      <c r="B84" s="615">
        <f>B27</f>
        <v>111</v>
      </c>
      <c r="C84" s="630"/>
      <c r="D84" s="630"/>
      <c r="E84" s="630"/>
      <c r="F84" s="630"/>
      <c r="G84" s="630"/>
      <c r="H84" s="630"/>
      <c r="I84" s="630"/>
      <c r="J84" s="630"/>
      <c r="K84" s="630"/>
      <c r="L84" s="815"/>
      <c r="M84" s="816"/>
      <c r="N84" s="1769"/>
      <c r="O84" s="1769"/>
      <c r="P84" s="1769"/>
      <c r="Q84" s="1770"/>
      <c r="R84" s="1771"/>
      <c r="S84" s="1771"/>
      <c r="T84" s="1771"/>
      <c r="U84" s="1771"/>
      <c r="V84" s="1771"/>
      <c r="W84" s="1771"/>
      <c r="X84" s="1771"/>
      <c r="Y84" s="1771"/>
      <c r="Z84" s="1771"/>
      <c r="AA84" s="1771"/>
      <c r="AB84" s="1771"/>
      <c r="AC84" s="1771"/>
    </row>
    <row r="85" spans="1:29" s="1134" customFormat="1" ht="15.75" thickBot="1">
      <c r="A85" s="629"/>
      <c r="B85" s="620"/>
      <c r="C85" s="634"/>
      <c r="D85" s="613"/>
      <c r="E85" s="613"/>
      <c r="F85" s="613"/>
      <c r="G85" s="613"/>
      <c r="H85" s="613"/>
      <c r="I85" s="613"/>
      <c r="J85" s="613"/>
      <c r="K85" s="613"/>
      <c r="L85" s="613"/>
      <c r="M85" s="614"/>
      <c r="N85" s="1769"/>
      <c r="O85" s="1769"/>
      <c r="P85" s="1769"/>
      <c r="Q85" s="1770"/>
      <c r="R85" s="1771"/>
      <c r="S85" s="1771"/>
      <c r="T85" s="1771"/>
      <c r="U85" s="1771"/>
      <c r="V85" s="1771"/>
      <c r="W85" s="1771"/>
      <c r="X85" s="1771"/>
      <c r="Y85" s="1771"/>
      <c r="Z85" s="1771"/>
      <c r="AA85" s="1771"/>
      <c r="AB85" s="1771"/>
      <c r="AC85" s="1771"/>
    </row>
    <row r="86" spans="1:29" ht="15.75" thickTop="1">
      <c r="A86" s="482"/>
      <c r="B86" s="623">
        <f>B28</f>
        <v>111</v>
      </c>
      <c r="C86" s="80"/>
      <c r="D86" s="80"/>
      <c r="E86" s="80"/>
      <c r="F86" s="80"/>
      <c r="G86" s="662"/>
      <c r="H86" s="662"/>
      <c r="I86" s="662"/>
      <c r="J86" s="662"/>
      <c r="K86" s="663"/>
      <c r="L86" s="664"/>
      <c r="M86" s="665"/>
      <c r="N86" s="1767"/>
      <c r="O86" s="1767"/>
      <c r="P86" s="1766"/>
      <c r="Q86" s="1763"/>
      <c r="R86" s="1742"/>
      <c r="S86" s="1742"/>
      <c r="T86" s="1742"/>
      <c r="U86" s="1742"/>
      <c r="V86" s="1742"/>
      <c r="W86" s="1742"/>
      <c r="X86" s="1742"/>
      <c r="Y86" s="1742"/>
      <c r="Z86" s="1742"/>
      <c r="AA86" s="1742"/>
      <c r="AB86" s="1742"/>
      <c r="AC86" s="1742"/>
    </row>
    <row r="87" spans="1:29" ht="15.75" thickBot="1">
      <c r="A87" s="493"/>
      <c r="B87" s="641"/>
      <c r="C87" s="642"/>
      <c r="D87" s="642"/>
      <c r="E87" s="642"/>
      <c r="F87" s="642"/>
      <c r="G87" s="666"/>
      <c r="H87" s="666"/>
      <c r="I87" s="666"/>
      <c r="J87" s="666"/>
      <c r="K87" s="666"/>
      <c r="L87" s="666"/>
      <c r="M87" s="667"/>
      <c r="N87" s="1768"/>
      <c r="O87" s="1768"/>
      <c r="P87" s="1766"/>
      <c r="Q87" s="1763"/>
      <c r="R87" s="1742"/>
      <c r="S87" s="1742"/>
      <c r="T87" s="1742"/>
      <c r="U87" s="1742"/>
      <c r="V87" s="1742"/>
      <c r="W87" s="1742"/>
      <c r="X87" s="1742"/>
      <c r="Y87" s="1742"/>
      <c r="Z87" s="1742"/>
      <c r="AA87" s="1742"/>
      <c r="AB87" s="1742"/>
      <c r="AC87" s="1742"/>
    </row>
    <row r="88" spans="1:29">
      <c r="A88" s="607" t="s">
        <v>500</v>
      </c>
      <c r="B88" s="608" t="s">
        <v>687</v>
      </c>
      <c r="C88" s="547"/>
      <c r="D88" s="547"/>
      <c r="E88" s="547"/>
      <c r="F88" s="547"/>
      <c r="G88" s="547"/>
      <c r="H88" s="547"/>
      <c r="I88" s="547"/>
      <c r="J88" s="547"/>
      <c r="K88" s="609"/>
      <c r="L88" s="610"/>
      <c r="M88" s="611"/>
      <c r="N88" s="1767"/>
      <c r="O88" s="1767"/>
      <c r="P88" s="1766"/>
      <c r="Q88" s="1763"/>
      <c r="R88" s="1742"/>
      <c r="S88" s="1742"/>
      <c r="T88" s="1742"/>
      <c r="U88" s="1742"/>
      <c r="V88" s="1742"/>
      <c r="W88" s="1742"/>
      <c r="X88" s="1742"/>
      <c r="Y88" s="1742"/>
      <c r="Z88" s="1742"/>
      <c r="AA88" s="1742"/>
      <c r="AB88" s="1742"/>
      <c r="AC88" s="1742"/>
    </row>
    <row r="89" spans="1:29" ht="15.75" thickBot="1">
      <c r="A89" s="482"/>
      <c r="B89" s="620"/>
      <c r="C89" s="621">
        <v>100</v>
      </c>
      <c r="D89" s="621">
        <f t="shared" ref="D89:M89" si="16">C89-$K29</f>
        <v>100</v>
      </c>
      <c r="E89" s="621">
        <f t="shared" si="16"/>
        <v>100</v>
      </c>
      <c r="F89" s="621">
        <f t="shared" si="16"/>
        <v>100</v>
      </c>
      <c r="G89" s="621">
        <f t="shared" si="16"/>
        <v>100</v>
      </c>
      <c r="H89" s="621">
        <f t="shared" si="16"/>
        <v>100</v>
      </c>
      <c r="I89" s="621">
        <f t="shared" si="16"/>
        <v>100</v>
      </c>
      <c r="J89" s="621">
        <f t="shared" si="16"/>
        <v>100</v>
      </c>
      <c r="K89" s="621">
        <f t="shared" si="16"/>
        <v>100</v>
      </c>
      <c r="L89" s="621">
        <f t="shared" si="16"/>
        <v>100</v>
      </c>
      <c r="M89" s="622">
        <f t="shared" si="16"/>
        <v>100</v>
      </c>
      <c r="N89" s="1768"/>
      <c r="O89" s="1768"/>
      <c r="P89" s="1766"/>
      <c r="Q89" s="1763"/>
      <c r="R89" s="1742"/>
      <c r="S89" s="1742"/>
      <c r="T89" s="1742"/>
      <c r="U89" s="1742"/>
      <c r="V89" s="1742"/>
      <c r="W89" s="1742"/>
      <c r="X89" s="1742"/>
      <c r="Y89" s="1742"/>
      <c r="Z89" s="1742"/>
      <c r="AA89" s="1742"/>
      <c r="AB89" s="1742"/>
      <c r="AC89" s="1742"/>
    </row>
    <row r="90" spans="1:29" ht="15.75" thickTop="1">
      <c r="A90" s="482"/>
      <c r="B90" s="615" t="s">
        <v>688</v>
      </c>
      <c r="C90" s="649" t="str">
        <f>C91&amp;"(含)"&amp;"-"&amp;D91</f>
        <v>(含)-</v>
      </c>
      <c r="D90" s="649" t="str">
        <f t="shared" ref="D90:L90" si="17">D91&amp;"(含)"&amp;"-"&amp;E91</f>
        <v>(含)-</v>
      </c>
      <c r="E90" s="649" t="str">
        <f t="shared" si="17"/>
        <v>(含)-</v>
      </c>
      <c r="F90" s="649" t="str">
        <f t="shared" si="17"/>
        <v>(含)-</v>
      </c>
      <c r="G90" s="649" t="str">
        <f t="shared" si="17"/>
        <v>(含)-</v>
      </c>
      <c r="H90" s="649" t="str">
        <f t="shared" si="17"/>
        <v>(含)-</v>
      </c>
      <c r="I90" s="649" t="str">
        <f t="shared" si="17"/>
        <v>(含)-</v>
      </c>
      <c r="J90" s="649" t="str">
        <f t="shared" si="17"/>
        <v>(含)-</v>
      </c>
      <c r="K90" s="649" t="str">
        <f t="shared" si="17"/>
        <v>(含)-</v>
      </c>
      <c r="L90" s="649" t="str">
        <f t="shared" si="17"/>
        <v>(含)-</v>
      </c>
      <c r="M90" s="651" t="str">
        <f>M91&amp;"(含)"&amp;"-"&amp;P91</f>
        <v>(含)-</v>
      </c>
      <c r="N90" s="1766"/>
      <c r="O90" s="1766"/>
      <c r="P90" s="1766"/>
      <c r="Q90" s="1763"/>
      <c r="R90" s="1742"/>
      <c r="S90" s="1742"/>
      <c r="T90" s="1742"/>
      <c r="U90" s="1742"/>
      <c r="V90" s="1742"/>
      <c r="W90" s="1742"/>
      <c r="X90" s="1742"/>
      <c r="Y90" s="1742"/>
      <c r="Z90" s="1742"/>
      <c r="AA90" s="1742"/>
      <c r="AB90" s="1742"/>
      <c r="AC90" s="1742"/>
    </row>
    <row r="91" spans="1:29" s="1134" customFormat="1">
      <c r="A91" s="552"/>
      <c r="B91" s="668"/>
      <c r="C91" s="79"/>
      <c r="D91" s="79"/>
      <c r="E91" s="79"/>
      <c r="F91" s="79"/>
      <c r="G91" s="79"/>
      <c r="H91" s="79"/>
      <c r="I91" s="79"/>
      <c r="J91" s="669"/>
      <c r="K91" s="669"/>
      <c r="L91" s="670"/>
      <c r="M91" s="671"/>
      <c r="N91" s="1769"/>
      <c r="O91" s="1769"/>
      <c r="P91" s="1769"/>
      <c r="Q91" s="1770"/>
      <c r="R91" s="1771"/>
      <c r="S91" s="1771"/>
      <c r="T91" s="1771"/>
      <c r="U91" s="1771"/>
      <c r="V91" s="1771"/>
      <c r="W91" s="1771"/>
      <c r="X91" s="1771"/>
      <c r="Y91" s="1771"/>
      <c r="Z91" s="1771"/>
      <c r="AA91" s="1771"/>
      <c r="AB91" s="1771"/>
      <c r="AC91" s="1771"/>
    </row>
    <row r="92" spans="1:29" s="1134" customFormat="1" ht="15.75" thickBot="1">
      <c r="A92" s="629"/>
      <c r="B92" s="620"/>
      <c r="C92" s="634"/>
      <c r="D92" s="613"/>
      <c r="E92" s="613"/>
      <c r="F92" s="613"/>
      <c r="G92" s="613"/>
      <c r="H92" s="613"/>
      <c r="I92" s="613"/>
      <c r="J92" s="613"/>
      <c r="K92" s="613"/>
      <c r="L92" s="613"/>
      <c r="M92" s="614"/>
      <c r="N92" s="1768"/>
      <c r="O92" s="1768"/>
      <c r="P92" s="1769"/>
      <c r="Q92" s="1770"/>
      <c r="R92" s="1771"/>
      <c r="S92" s="1771"/>
      <c r="T92" s="1771"/>
      <c r="U92" s="1771"/>
      <c r="V92" s="1771"/>
      <c r="W92" s="1771"/>
      <c r="X92" s="1771"/>
      <c r="Y92" s="1771"/>
      <c r="Z92" s="1771"/>
      <c r="AA92" s="1771"/>
      <c r="AB92" s="1771"/>
      <c r="AC92" s="1771"/>
    </row>
    <row r="93" spans="1:29" ht="15" thickTop="1">
      <c r="A93" s="543"/>
      <c r="B93" s="615" t="s">
        <v>689</v>
      </c>
      <c r="C93" s="630"/>
      <c r="D93" s="630"/>
      <c r="E93" s="658"/>
      <c r="F93" s="658"/>
      <c r="G93" s="658"/>
      <c r="H93" s="658"/>
      <c r="I93" s="658"/>
      <c r="J93" s="658"/>
      <c r="K93" s="659"/>
      <c r="L93" s="660"/>
      <c r="M93" s="661"/>
      <c r="N93" s="1767"/>
      <c r="O93" s="1767"/>
      <c r="P93" s="1766"/>
      <c r="Q93" s="1763"/>
      <c r="R93" s="1742"/>
      <c r="S93" s="1742"/>
      <c r="T93" s="1742"/>
      <c r="U93" s="1742"/>
      <c r="V93" s="1742"/>
      <c r="W93" s="1742"/>
      <c r="X93" s="1742"/>
      <c r="Y93" s="1742"/>
      <c r="Z93" s="1742"/>
      <c r="AA93" s="1742"/>
      <c r="AB93" s="1742"/>
      <c r="AC93" s="1742"/>
    </row>
    <row r="94" spans="1:29" ht="15.75" thickBot="1">
      <c r="A94" s="482"/>
      <c r="B94" s="620"/>
      <c r="C94" s="621">
        <v>100</v>
      </c>
      <c r="D94" s="621">
        <f t="shared" ref="D94:M94" si="18">C94-$K31</f>
        <v>100</v>
      </c>
      <c r="E94" s="621">
        <f t="shared" si="18"/>
        <v>100</v>
      </c>
      <c r="F94" s="621">
        <f t="shared" si="18"/>
        <v>100</v>
      </c>
      <c r="G94" s="621">
        <f t="shared" si="18"/>
        <v>100</v>
      </c>
      <c r="H94" s="621">
        <f t="shared" si="18"/>
        <v>100</v>
      </c>
      <c r="I94" s="621">
        <f t="shared" si="18"/>
        <v>100</v>
      </c>
      <c r="J94" s="621">
        <f t="shared" si="18"/>
        <v>100</v>
      </c>
      <c r="K94" s="621">
        <f t="shared" si="18"/>
        <v>100</v>
      </c>
      <c r="L94" s="621">
        <f t="shared" si="18"/>
        <v>100</v>
      </c>
      <c r="M94" s="622">
        <f t="shared" si="18"/>
        <v>100</v>
      </c>
      <c r="N94" s="1768"/>
      <c r="O94" s="1768"/>
      <c r="P94" s="1766"/>
      <c r="Q94" s="1763"/>
      <c r="R94" s="1742"/>
      <c r="S94" s="1742"/>
      <c r="T94" s="1742"/>
      <c r="U94" s="1742"/>
      <c r="V94" s="1742"/>
      <c r="W94" s="1742"/>
      <c r="X94" s="1742"/>
      <c r="Y94" s="1742"/>
      <c r="Z94" s="1742"/>
      <c r="AA94" s="1742"/>
      <c r="AB94" s="1742"/>
      <c r="AC94" s="1742"/>
    </row>
    <row r="95" spans="1:29" ht="15" thickTop="1">
      <c r="A95" s="543"/>
      <c r="B95" s="615" t="s">
        <v>691</v>
      </c>
      <c r="C95" s="630"/>
      <c r="D95" s="630"/>
      <c r="E95" s="630"/>
      <c r="F95" s="658"/>
      <c r="G95" s="658"/>
      <c r="H95" s="658"/>
      <c r="I95" s="658"/>
      <c r="J95" s="658"/>
      <c r="K95" s="659"/>
      <c r="L95" s="660"/>
      <c r="M95" s="661"/>
      <c r="N95" s="1767"/>
      <c r="O95" s="1767"/>
      <c r="P95" s="1766"/>
      <c r="Q95" s="1763"/>
      <c r="R95" s="1742"/>
      <c r="S95" s="1742"/>
      <c r="T95" s="1742"/>
      <c r="U95" s="1742"/>
      <c r="V95" s="1742"/>
      <c r="W95" s="1742"/>
      <c r="X95" s="1742"/>
      <c r="Y95" s="1742"/>
      <c r="Z95" s="1742"/>
      <c r="AA95" s="1742"/>
      <c r="AB95" s="1742"/>
      <c r="AC95" s="1742"/>
    </row>
    <row r="96" spans="1:29" ht="15.75" thickBot="1">
      <c r="A96" s="482"/>
      <c r="B96" s="620"/>
      <c r="C96" s="621">
        <v>100</v>
      </c>
      <c r="D96" s="621">
        <f t="shared" ref="D96:M96" si="19">C96-$K32</f>
        <v>100</v>
      </c>
      <c r="E96" s="621">
        <f t="shared" si="19"/>
        <v>100</v>
      </c>
      <c r="F96" s="621">
        <f t="shared" si="19"/>
        <v>100</v>
      </c>
      <c r="G96" s="621">
        <f t="shared" si="19"/>
        <v>100</v>
      </c>
      <c r="H96" s="621">
        <f t="shared" si="19"/>
        <v>100</v>
      </c>
      <c r="I96" s="621">
        <f t="shared" si="19"/>
        <v>100</v>
      </c>
      <c r="J96" s="621">
        <f t="shared" si="19"/>
        <v>100</v>
      </c>
      <c r="K96" s="621">
        <f t="shared" si="19"/>
        <v>100</v>
      </c>
      <c r="L96" s="621">
        <f t="shared" si="19"/>
        <v>100</v>
      </c>
      <c r="M96" s="622">
        <f t="shared" si="19"/>
        <v>100</v>
      </c>
      <c r="N96" s="1768"/>
      <c r="O96" s="1768"/>
      <c r="P96" s="1766"/>
      <c r="Q96" s="1763"/>
      <c r="R96" s="1742"/>
      <c r="S96" s="1742"/>
      <c r="T96" s="1742"/>
      <c r="U96" s="1742"/>
      <c r="V96" s="1742"/>
      <c r="W96" s="1742"/>
      <c r="X96" s="1742"/>
      <c r="Y96" s="1742"/>
      <c r="Z96" s="1742"/>
      <c r="AA96" s="1742"/>
      <c r="AB96" s="1742"/>
      <c r="AC96" s="1742"/>
    </row>
    <row r="97" spans="1:29" ht="15" thickTop="1">
      <c r="A97" s="543"/>
      <c r="B97" s="615" t="s">
        <v>692</v>
      </c>
      <c r="C97" s="649" t="str">
        <f>C98&amp;"(含)"&amp;"-"&amp;D98</f>
        <v>0.5(含)-0.6</v>
      </c>
      <c r="D97" s="649" t="str">
        <f>D98&amp;"(含)"&amp;"-"&amp;E98</f>
        <v>0.6(含)-0.7</v>
      </c>
      <c r="E97" s="649" t="str">
        <f>E98&amp;"(含)"&amp;"-"&amp;F98</f>
        <v>0.7(含)-0.8</v>
      </c>
      <c r="F97" s="649" t="str">
        <f>F98&amp;"(含)"&amp;"-"&amp;G98</f>
        <v>0.8(含)-0.9</v>
      </c>
      <c r="G97" s="649" t="str">
        <f>G98&amp;"(含)"&amp;"-"&amp;ROUND(H98,0)</f>
        <v>0.9(含)-1</v>
      </c>
      <c r="H97" s="649"/>
      <c r="I97" s="658"/>
      <c r="J97" s="658"/>
      <c r="K97" s="659"/>
      <c r="L97" s="660"/>
      <c r="M97" s="661"/>
      <c r="N97" s="1767"/>
      <c r="O97" s="1767"/>
      <c r="P97" s="1766"/>
      <c r="Q97" s="1763"/>
      <c r="R97" s="1742"/>
      <c r="S97" s="1742"/>
      <c r="T97" s="1742"/>
      <c r="U97" s="1742"/>
      <c r="V97" s="1742"/>
      <c r="W97" s="1742"/>
      <c r="X97" s="1742"/>
      <c r="Y97" s="1742"/>
      <c r="Z97" s="1742"/>
      <c r="AA97" s="1742"/>
      <c r="AB97" s="1742"/>
      <c r="AC97" s="1742"/>
    </row>
    <row r="98" spans="1:29">
      <c r="A98" s="543"/>
      <c r="B98" s="623"/>
      <c r="C98" s="818">
        <v>0.5</v>
      </c>
      <c r="D98" s="818">
        <v>0.6</v>
      </c>
      <c r="E98" s="818">
        <v>0.7</v>
      </c>
      <c r="F98" s="818">
        <v>0.8</v>
      </c>
      <c r="G98" s="818">
        <v>0.9</v>
      </c>
      <c r="H98" s="818">
        <v>1.0001</v>
      </c>
      <c r="I98" s="828"/>
      <c r="J98" s="828"/>
      <c r="K98" s="829"/>
      <c r="L98" s="830"/>
      <c r="M98" s="831"/>
      <c r="N98" s="1767"/>
      <c r="O98" s="1767"/>
      <c r="P98" s="1766"/>
      <c r="Q98" s="1763"/>
      <c r="R98" s="1742"/>
      <c r="S98" s="1742"/>
      <c r="T98" s="1742"/>
      <c r="U98" s="1742"/>
      <c r="V98" s="1742"/>
      <c r="W98" s="1742"/>
      <c r="X98" s="1742"/>
      <c r="Y98" s="1742"/>
      <c r="Z98" s="1742"/>
      <c r="AA98" s="1742"/>
      <c r="AB98" s="1742"/>
      <c r="AC98" s="1742"/>
    </row>
    <row r="99" spans="1:29" ht="15.75" thickBot="1">
      <c r="A99" s="482"/>
      <c r="B99" s="620"/>
      <c r="C99" s="652">
        <v>100</v>
      </c>
      <c r="D99" s="621">
        <f>C99+$K33</f>
        <v>100</v>
      </c>
      <c r="E99" s="621">
        <f t="shared" ref="E99:M99" si="20">D99+$K33</f>
        <v>100</v>
      </c>
      <c r="F99" s="621">
        <f t="shared" si="20"/>
        <v>100</v>
      </c>
      <c r="G99" s="621">
        <f t="shared" si="20"/>
        <v>100</v>
      </c>
      <c r="H99" s="621">
        <f t="shared" si="20"/>
        <v>100</v>
      </c>
      <c r="I99" s="621">
        <f t="shared" si="20"/>
        <v>100</v>
      </c>
      <c r="J99" s="621">
        <f t="shared" si="20"/>
        <v>100</v>
      </c>
      <c r="K99" s="621">
        <f t="shared" si="20"/>
        <v>100</v>
      </c>
      <c r="L99" s="621">
        <f t="shared" si="20"/>
        <v>100</v>
      </c>
      <c r="M99" s="621">
        <f t="shared" si="20"/>
        <v>100</v>
      </c>
      <c r="N99" s="1768"/>
      <c r="O99" s="1768"/>
      <c r="P99" s="1766"/>
      <c r="Q99" s="1763"/>
      <c r="R99" s="1742"/>
      <c r="S99" s="1742"/>
      <c r="T99" s="1742"/>
      <c r="U99" s="1742"/>
      <c r="V99" s="1742"/>
      <c r="W99" s="1742"/>
      <c r="X99" s="1742"/>
      <c r="Y99" s="1742"/>
      <c r="Z99" s="1742"/>
      <c r="AA99" s="1742"/>
      <c r="AB99" s="1742"/>
      <c r="AC99" s="1742"/>
    </row>
    <row r="100" spans="1:29" s="1134" customFormat="1" ht="15" thickTop="1">
      <c r="A100" s="552"/>
      <c r="B100" s="615" t="s">
        <v>693</v>
      </c>
      <c r="C100" s="630"/>
      <c r="D100" s="630"/>
      <c r="E100" s="630"/>
      <c r="F100" s="630"/>
      <c r="G100" s="630"/>
      <c r="H100" s="658"/>
      <c r="I100" s="658"/>
      <c r="J100" s="658"/>
      <c r="K100" s="659"/>
      <c r="L100" s="660"/>
      <c r="M100" s="661"/>
      <c r="N100" s="1769"/>
      <c r="O100" s="1769"/>
      <c r="P100" s="1769"/>
      <c r="Q100" s="1770"/>
      <c r="R100" s="1771"/>
      <c r="S100" s="1771"/>
      <c r="T100" s="1771"/>
      <c r="U100" s="1771"/>
      <c r="V100" s="1771"/>
      <c r="W100" s="1771"/>
      <c r="X100" s="1771"/>
      <c r="Y100" s="1771"/>
      <c r="Z100" s="1771"/>
      <c r="AA100" s="1771"/>
      <c r="AB100" s="1771"/>
      <c r="AC100" s="1771"/>
    </row>
    <row r="101" spans="1:29" s="1134" customFormat="1" ht="15.75" thickBot="1">
      <c r="A101" s="629"/>
      <c r="B101" s="620"/>
      <c r="C101" s="621">
        <v>100</v>
      </c>
      <c r="D101" s="621">
        <f>C101-$K34</f>
        <v>100</v>
      </c>
      <c r="E101" s="621">
        <f t="shared" ref="E101:M101" si="21">D101-$K34</f>
        <v>100</v>
      </c>
      <c r="F101" s="621">
        <f t="shared" si="21"/>
        <v>100</v>
      </c>
      <c r="G101" s="621">
        <f t="shared" si="21"/>
        <v>100</v>
      </c>
      <c r="H101" s="621">
        <f t="shared" si="21"/>
        <v>100</v>
      </c>
      <c r="I101" s="621">
        <f t="shared" si="21"/>
        <v>100</v>
      </c>
      <c r="J101" s="621">
        <f t="shared" si="21"/>
        <v>100</v>
      </c>
      <c r="K101" s="621">
        <f t="shared" si="21"/>
        <v>100</v>
      </c>
      <c r="L101" s="621">
        <f t="shared" si="21"/>
        <v>100</v>
      </c>
      <c r="M101" s="621">
        <f t="shared" si="21"/>
        <v>100</v>
      </c>
      <c r="N101" s="1769"/>
      <c r="O101" s="1769"/>
      <c r="P101" s="1769"/>
      <c r="Q101" s="1770"/>
      <c r="R101" s="1771"/>
      <c r="S101" s="1771"/>
      <c r="T101" s="1771"/>
      <c r="U101" s="1771"/>
      <c r="V101" s="1771"/>
      <c r="W101" s="1771"/>
      <c r="X101" s="1771"/>
      <c r="Y101" s="1771"/>
      <c r="Z101" s="1771"/>
      <c r="AA101" s="1771"/>
      <c r="AB101" s="1771"/>
      <c r="AC101" s="1771"/>
    </row>
    <row r="102" spans="1:29" ht="15" thickTop="1">
      <c r="A102" s="543"/>
      <c r="B102" s="1555" t="s">
        <v>1839</v>
      </c>
      <c r="C102" s="630"/>
      <c r="D102" s="630"/>
      <c r="E102" s="630"/>
      <c r="F102" s="630"/>
      <c r="G102" s="630"/>
      <c r="H102" s="658"/>
      <c r="I102" s="658"/>
      <c r="J102" s="658"/>
      <c r="K102" s="659"/>
      <c r="L102" s="660"/>
      <c r="M102" s="661"/>
      <c r="N102" s="1767"/>
      <c r="O102" s="1767"/>
      <c r="P102" s="1766"/>
      <c r="Q102" s="1763"/>
      <c r="R102" s="1742"/>
      <c r="S102" s="1742"/>
      <c r="T102" s="1742"/>
      <c r="U102" s="1742"/>
      <c r="V102" s="1742"/>
      <c r="W102" s="1742"/>
      <c r="X102" s="1742"/>
      <c r="Y102" s="1742"/>
      <c r="Z102" s="1742"/>
      <c r="AA102" s="1742"/>
      <c r="AB102" s="1742"/>
      <c r="AC102" s="1742"/>
    </row>
    <row r="103" spans="1:29" ht="15.75" thickBot="1">
      <c r="A103" s="482"/>
      <c r="B103" s="620"/>
      <c r="C103" s="621">
        <v>100</v>
      </c>
      <c r="D103" s="621">
        <f t="shared" ref="D103:M103" si="22">C103-$K35</f>
        <v>100</v>
      </c>
      <c r="E103" s="621">
        <f t="shared" si="22"/>
        <v>100</v>
      </c>
      <c r="F103" s="621">
        <f t="shared" si="22"/>
        <v>100</v>
      </c>
      <c r="G103" s="621">
        <f t="shared" si="22"/>
        <v>100</v>
      </c>
      <c r="H103" s="621">
        <f t="shared" si="22"/>
        <v>100</v>
      </c>
      <c r="I103" s="621">
        <f t="shared" si="22"/>
        <v>100</v>
      </c>
      <c r="J103" s="621">
        <f t="shared" si="22"/>
        <v>100</v>
      </c>
      <c r="K103" s="621">
        <f t="shared" si="22"/>
        <v>100</v>
      </c>
      <c r="L103" s="621">
        <f t="shared" si="22"/>
        <v>100</v>
      </c>
      <c r="M103" s="622">
        <f t="shared" si="22"/>
        <v>100</v>
      </c>
      <c r="N103" s="1768"/>
      <c r="O103" s="1768"/>
      <c r="P103" s="1766"/>
      <c r="Q103" s="1763"/>
      <c r="R103" s="1742"/>
      <c r="S103" s="1742"/>
      <c r="T103" s="1742"/>
      <c r="U103" s="1742"/>
      <c r="V103" s="1742"/>
      <c r="W103" s="1742"/>
      <c r="X103" s="1742"/>
      <c r="Y103" s="1742"/>
      <c r="Z103" s="1742"/>
      <c r="AA103" s="1742"/>
      <c r="AB103" s="1742"/>
      <c r="AC103" s="1742"/>
    </row>
    <row r="104" spans="1:29" ht="15" thickTop="1">
      <c r="A104" s="543"/>
      <c r="B104" s="615" t="s">
        <v>695</v>
      </c>
      <c r="C104" s="630"/>
      <c r="D104" s="630"/>
      <c r="E104" s="630"/>
      <c r="F104" s="630"/>
      <c r="G104" s="630"/>
      <c r="H104" s="658"/>
      <c r="I104" s="658"/>
      <c r="J104" s="658"/>
      <c r="K104" s="659"/>
      <c r="L104" s="660"/>
      <c r="M104" s="661"/>
      <c r="N104" s="1767"/>
      <c r="O104" s="1767"/>
      <c r="P104" s="1766"/>
      <c r="Q104" s="1763"/>
      <c r="R104" s="1742"/>
      <c r="S104" s="1742"/>
      <c r="T104" s="1742"/>
      <c r="U104" s="1742"/>
      <c r="V104" s="1742"/>
      <c r="W104" s="1742"/>
      <c r="X104" s="1742"/>
      <c r="Y104" s="1742"/>
      <c r="Z104" s="1742"/>
      <c r="AA104" s="1742"/>
      <c r="AB104" s="1742"/>
      <c r="AC104" s="1742"/>
    </row>
    <row r="105" spans="1:29" ht="15.75" thickBot="1">
      <c r="A105" s="482"/>
      <c r="B105" s="620"/>
      <c r="C105" s="621">
        <v>100</v>
      </c>
      <c r="D105" s="621">
        <f>C105-$K36</f>
        <v>100</v>
      </c>
      <c r="E105" s="621">
        <f>D105-$K36</f>
        <v>100</v>
      </c>
      <c r="F105" s="621">
        <f>E105-$K36</f>
        <v>100</v>
      </c>
      <c r="G105" s="621">
        <f>F105-$K36</f>
        <v>100</v>
      </c>
      <c r="H105" s="621"/>
      <c r="I105" s="621"/>
      <c r="J105" s="621"/>
      <c r="K105" s="621"/>
      <c r="L105" s="621"/>
      <c r="M105" s="622"/>
      <c r="N105" s="1768"/>
      <c r="O105" s="1768"/>
      <c r="P105" s="1766"/>
      <c r="Q105" s="1763"/>
      <c r="R105" s="1742"/>
      <c r="S105" s="1742"/>
      <c r="T105" s="1742"/>
      <c r="U105" s="1742"/>
      <c r="V105" s="1742"/>
      <c r="W105" s="1742"/>
      <c r="X105" s="1742"/>
      <c r="Y105" s="1742"/>
      <c r="Z105" s="1742"/>
      <c r="AA105" s="1742"/>
      <c r="AB105" s="1742"/>
      <c r="AC105" s="1742"/>
    </row>
    <row r="106" spans="1:29" ht="27.75" thickTop="1">
      <c r="A106" s="543"/>
      <c r="B106" s="839" t="s">
        <v>731</v>
      </c>
      <c r="C106" s="649" t="s">
        <v>527</v>
      </c>
      <c r="D106" s="649" t="s">
        <v>528</v>
      </c>
      <c r="E106" s="649" t="s">
        <v>529</v>
      </c>
      <c r="F106" s="649" t="s">
        <v>530</v>
      </c>
      <c r="G106" s="649" t="s">
        <v>531</v>
      </c>
      <c r="H106" s="616"/>
      <c r="I106" s="616"/>
      <c r="J106" s="616"/>
      <c r="K106" s="617"/>
      <c r="L106" s="618"/>
      <c r="M106" s="619"/>
      <c r="N106" s="1768"/>
      <c r="O106" s="1768"/>
      <c r="P106" s="1768"/>
      <c r="Q106" s="1803"/>
      <c r="R106" s="1742"/>
      <c r="S106" s="1742"/>
      <c r="T106" s="1742"/>
      <c r="U106" s="1742"/>
      <c r="V106" s="1742"/>
      <c r="W106" s="1742"/>
      <c r="X106" s="1742"/>
      <c r="Y106" s="1742"/>
      <c r="Z106" s="1742"/>
      <c r="AA106" s="1742"/>
      <c r="AB106" s="1742"/>
      <c r="AC106" s="1742"/>
    </row>
    <row r="107" spans="1:29" ht="15.75" thickBot="1">
      <c r="A107" s="482"/>
      <c r="B107" s="620"/>
      <c r="C107" s="652">
        <v>100</v>
      </c>
      <c r="D107" s="621">
        <f t="shared" ref="D107:M107" si="23">C107-$K37</f>
        <v>100</v>
      </c>
      <c r="E107" s="621">
        <f t="shared" si="23"/>
        <v>100</v>
      </c>
      <c r="F107" s="621">
        <f t="shared" si="23"/>
        <v>100</v>
      </c>
      <c r="G107" s="621">
        <f t="shared" si="23"/>
        <v>100</v>
      </c>
      <c r="H107" s="621">
        <f t="shared" si="23"/>
        <v>100</v>
      </c>
      <c r="I107" s="621">
        <f t="shared" si="23"/>
        <v>100</v>
      </c>
      <c r="J107" s="621">
        <f t="shared" si="23"/>
        <v>100</v>
      </c>
      <c r="K107" s="621">
        <f t="shared" si="23"/>
        <v>100</v>
      </c>
      <c r="L107" s="621">
        <f t="shared" si="23"/>
        <v>100</v>
      </c>
      <c r="M107" s="621">
        <f t="shared" si="23"/>
        <v>100</v>
      </c>
      <c r="N107" s="1768"/>
      <c r="O107" s="1768"/>
      <c r="P107" s="1766"/>
      <c r="Q107" s="1763"/>
      <c r="R107" s="1742"/>
      <c r="S107" s="1742"/>
      <c r="T107" s="1742"/>
      <c r="U107" s="1742"/>
      <c r="V107" s="1742"/>
      <c r="W107" s="1742"/>
      <c r="X107" s="1742"/>
      <c r="Y107" s="1742"/>
      <c r="Z107" s="1742"/>
      <c r="AA107" s="1742"/>
      <c r="AB107" s="1742"/>
      <c r="AC107" s="1742"/>
    </row>
    <row r="108" spans="1:29" s="1134" customFormat="1" ht="15" thickTop="1">
      <c r="A108" s="552"/>
      <c r="B108" s="615">
        <f>B38</f>
        <v>111</v>
      </c>
      <c r="C108" s="630"/>
      <c r="D108" s="630"/>
      <c r="E108" s="630"/>
      <c r="F108" s="630"/>
      <c r="G108" s="630"/>
      <c r="H108" s="631"/>
      <c r="I108" s="631"/>
      <c r="J108" s="631"/>
      <c r="K108" s="631"/>
      <c r="L108" s="632"/>
      <c r="M108" s="633"/>
      <c r="N108" s="1769"/>
      <c r="O108" s="1769"/>
      <c r="P108" s="1769"/>
      <c r="Q108" s="1770"/>
      <c r="R108" s="1771"/>
      <c r="S108" s="1771"/>
      <c r="T108" s="1771"/>
      <c r="U108" s="1771"/>
      <c r="V108" s="1771"/>
      <c r="W108" s="1771"/>
      <c r="X108" s="1771"/>
      <c r="Y108" s="1771"/>
      <c r="Z108" s="1771"/>
      <c r="AA108" s="1771"/>
      <c r="AB108" s="1771"/>
      <c r="AC108" s="1771"/>
    </row>
    <row r="109" spans="1:29" s="1134" customFormat="1" ht="15.75" thickBot="1">
      <c r="A109" s="629"/>
      <c r="B109" s="612"/>
      <c r="C109" s="634"/>
      <c r="D109" s="613"/>
      <c r="E109" s="613"/>
      <c r="F109" s="613"/>
      <c r="G109" s="634"/>
      <c r="H109" s="635"/>
      <c r="I109" s="635"/>
      <c r="J109" s="635"/>
      <c r="K109" s="635"/>
      <c r="L109" s="635"/>
      <c r="M109" s="636"/>
      <c r="N109" s="1769"/>
      <c r="O109" s="1769"/>
      <c r="P109" s="1769"/>
      <c r="Q109" s="1770"/>
      <c r="R109" s="1771"/>
      <c r="S109" s="1771"/>
      <c r="T109" s="1771"/>
      <c r="U109" s="1771"/>
      <c r="V109" s="1771"/>
      <c r="W109" s="1771"/>
      <c r="X109" s="1771"/>
      <c r="Y109" s="1771"/>
      <c r="Z109" s="1771"/>
      <c r="AA109" s="1771"/>
      <c r="AB109" s="1771"/>
      <c r="AC109" s="1771"/>
    </row>
    <row r="110" spans="1:29" ht="15" thickTop="1">
      <c r="A110" s="543"/>
      <c r="B110" s="615">
        <f>B39</f>
        <v>111</v>
      </c>
      <c r="C110" s="630"/>
      <c r="D110" s="630"/>
      <c r="E110" s="630"/>
      <c r="F110" s="630"/>
      <c r="G110" s="630"/>
      <c r="H110" s="631"/>
      <c r="I110" s="631"/>
      <c r="J110" s="631"/>
      <c r="K110" s="631"/>
      <c r="L110" s="632"/>
      <c r="M110" s="633"/>
      <c r="N110" s="1767"/>
      <c r="O110" s="1767"/>
      <c r="P110" s="1766"/>
      <c r="Q110" s="1763"/>
      <c r="R110" s="1742"/>
      <c r="S110" s="1742"/>
      <c r="T110" s="1742"/>
      <c r="U110" s="1742"/>
      <c r="V110" s="1742"/>
      <c r="W110" s="1742"/>
      <c r="X110" s="1742"/>
      <c r="Y110" s="1742"/>
      <c r="Z110" s="1742"/>
      <c r="AA110" s="1742"/>
      <c r="AB110" s="1742"/>
      <c r="AC110" s="1742"/>
    </row>
    <row r="111" spans="1:29" ht="15.75" thickBot="1">
      <c r="A111" s="482"/>
      <c r="B111" s="620"/>
      <c r="C111" s="634"/>
      <c r="D111" s="613"/>
      <c r="E111" s="613"/>
      <c r="F111" s="613"/>
      <c r="G111" s="634"/>
      <c r="H111" s="635"/>
      <c r="I111" s="635"/>
      <c r="J111" s="635"/>
      <c r="K111" s="635"/>
      <c r="L111" s="635"/>
      <c r="M111" s="636"/>
      <c r="N111" s="1768"/>
      <c r="O111" s="1768"/>
      <c r="P111" s="1766"/>
      <c r="Q111" s="1763"/>
      <c r="R111" s="1742"/>
      <c r="S111" s="1742"/>
      <c r="T111" s="1742"/>
      <c r="U111" s="1742"/>
      <c r="V111" s="1742"/>
      <c r="W111" s="1742"/>
      <c r="X111" s="1742"/>
      <c r="Y111" s="1742"/>
      <c r="Z111" s="1742"/>
      <c r="AA111" s="1742"/>
      <c r="AB111" s="1742"/>
      <c r="AC111" s="1742"/>
    </row>
    <row r="112" spans="1:29" ht="15" thickTop="1">
      <c r="A112" s="543"/>
      <c r="B112" s="623">
        <f>B40</f>
        <v>111</v>
      </c>
      <c r="C112" s="80"/>
      <c r="D112" s="80"/>
      <c r="E112" s="80"/>
      <c r="F112" s="80"/>
      <c r="G112" s="662"/>
      <c r="H112" s="662"/>
      <c r="I112" s="662"/>
      <c r="J112" s="662"/>
      <c r="K112" s="80"/>
      <c r="L112" s="605"/>
      <c r="M112" s="665"/>
      <c r="N112" s="1767"/>
      <c r="O112" s="1767"/>
      <c r="P112" s="1766"/>
      <c r="Q112" s="1763"/>
      <c r="R112" s="1742"/>
      <c r="S112" s="1742"/>
      <c r="T112" s="1742"/>
      <c r="U112" s="1742"/>
      <c r="V112" s="1742"/>
      <c r="W112" s="1742"/>
      <c r="X112" s="1742"/>
      <c r="Y112" s="1742"/>
      <c r="Z112" s="1742"/>
      <c r="AA112" s="1742"/>
      <c r="AB112" s="1742"/>
      <c r="AC112" s="1742"/>
    </row>
    <row r="113" spans="1:29" ht="15.75" thickBot="1">
      <c r="A113" s="493"/>
      <c r="B113" s="641"/>
      <c r="C113" s="642"/>
      <c r="D113" s="642"/>
      <c r="E113" s="642"/>
      <c r="F113" s="642"/>
      <c r="G113" s="666"/>
      <c r="H113" s="666"/>
      <c r="I113" s="666"/>
      <c r="J113" s="666"/>
      <c r="K113" s="666"/>
      <c r="L113" s="666"/>
      <c r="M113" s="667"/>
      <c r="N113" s="1768"/>
      <c r="O113" s="1768"/>
      <c r="P113" s="1766"/>
      <c r="Q113" s="1763"/>
      <c r="R113" s="1742"/>
      <c r="S113" s="1742"/>
      <c r="T113" s="1742"/>
      <c r="U113" s="1742"/>
      <c r="V113" s="1742"/>
      <c r="W113" s="1742"/>
      <c r="X113" s="1742"/>
      <c r="Y113" s="1742"/>
      <c r="Z113" s="1742"/>
      <c r="AA113" s="1742"/>
      <c r="AB113" s="1742"/>
      <c r="AC113" s="1742"/>
    </row>
    <row r="114" spans="1:29">
      <c r="A114" s="1779"/>
      <c r="B114" s="1779"/>
      <c r="C114" s="1779"/>
      <c r="D114" s="1779"/>
      <c r="E114" s="1779"/>
      <c r="F114" s="1779"/>
      <c r="G114" s="1779"/>
      <c r="H114" s="1779"/>
      <c r="I114" s="1779"/>
      <c r="J114" s="1779"/>
      <c r="K114" s="1780"/>
      <c r="L114" s="1781"/>
      <c r="M114" s="1779"/>
      <c r="N114" s="1779"/>
      <c r="O114" s="1779"/>
      <c r="P114" s="1779"/>
      <c r="Q114" s="1779"/>
      <c r="R114" s="1779"/>
      <c r="S114" s="1779"/>
      <c r="T114" s="1779"/>
      <c r="U114" s="1779"/>
      <c r="V114" s="1779"/>
      <c r="W114" s="1779"/>
      <c r="X114" s="1779"/>
      <c r="Y114" s="1779"/>
      <c r="Z114" s="1779"/>
      <c r="AA114" s="1779"/>
      <c r="AB114" s="1779"/>
      <c r="AC114" s="1779"/>
    </row>
    <row r="115" spans="1:29">
      <c r="A115" s="1779"/>
      <c r="B115" s="1779"/>
      <c r="C115" s="1779"/>
      <c r="D115" s="1779"/>
      <c r="E115" s="1779"/>
      <c r="F115" s="1779"/>
      <c r="G115" s="1779"/>
      <c r="H115" s="1779"/>
      <c r="I115" s="1779"/>
      <c r="J115" s="1779"/>
      <c r="K115" s="1780"/>
      <c r="L115" s="1781"/>
      <c r="M115" s="1779"/>
      <c r="N115" s="1779"/>
      <c r="O115" s="1779"/>
      <c r="P115" s="1779"/>
      <c r="Q115" s="1779"/>
      <c r="R115" s="1779"/>
      <c r="S115" s="1779"/>
      <c r="T115" s="1779"/>
      <c r="U115" s="1779"/>
      <c r="V115" s="1779"/>
      <c r="W115" s="1779"/>
      <c r="X115" s="1779"/>
      <c r="Y115" s="1779"/>
      <c r="Z115" s="1779"/>
      <c r="AA115" s="1779"/>
      <c r="AB115" s="1779"/>
      <c r="AC115" s="1779"/>
    </row>
    <row r="116" spans="1:29">
      <c r="A116" s="1779"/>
      <c r="B116" s="1779"/>
      <c r="C116" s="1779"/>
      <c r="D116" s="1779"/>
      <c r="E116" s="1779"/>
      <c r="F116" s="1779"/>
      <c r="G116" s="1779"/>
      <c r="H116" s="1779"/>
      <c r="I116" s="1779"/>
      <c r="J116" s="1779"/>
      <c r="K116" s="1780"/>
      <c r="L116" s="1781"/>
      <c r="M116" s="1779"/>
      <c r="N116" s="1779"/>
      <c r="O116" s="1779"/>
      <c r="P116" s="1779"/>
      <c r="Q116" s="1779"/>
      <c r="R116" s="1779"/>
      <c r="S116" s="1779"/>
      <c r="T116" s="1779"/>
      <c r="U116" s="1779"/>
      <c r="V116" s="1779"/>
      <c r="W116" s="1779"/>
      <c r="X116" s="1779"/>
      <c r="Y116" s="1779"/>
      <c r="Z116" s="1779"/>
      <c r="AA116" s="1779"/>
      <c r="AB116" s="1779"/>
      <c r="AC116" s="1779"/>
    </row>
    <row r="117" spans="1:29">
      <c r="A117" s="1779"/>
      <c r="B117" s="1779"/>
      <c r="C117" s="1779"/>
      <c r="D117" s="1779"/>
      <c r="E117" s="1779"/>
      <c r="F117" s="1779"/>
      <c r="G117" s="1779"/>
      <c r="H117" s="1779"/>
      <c r="I117" s="1779"/>
      <c r="J117" s="1779"/>
      <c r="K117" s="1780"/>
      <c r="L117" s="1781"/>
      <c r="M117" s="1779"/>
      <c r="N117" s="1779"/>
      <c r="O117" s="1779"/>
      <c r="P117" s="1779"/>
      <c r="Q117" s="1779"/>
      <c r="R117" s="1779"/>
      <c r="S117" s="1779"/>
      <c r="T117" s="1779"/>
      <c r="U117" s="1779"/>
      <c r="V117" s="1779"/>
      <c r="W117" s="1779"/>
      <c r="X117" s="1779"/>
      <c r="Y117" s="1779"/>
      <c r="Z117" s="1779"/>
      <c r="AA117" s="1779"/>
      <c r="AB117" s="1779"/>
      <c r="AC117" s="1779"/>
    </row>
    <row r="118" spans="1:29">
      <c r="A118" s="1779"/>
      <c r="B118" s="1779"/>
      <c r="C118" s="1779"/>
      <c r="D118" s="1779"/>
      <c r="E118" s="1779"/>
      <c r="F118" s="1779"/>
      <c r="G118" s="1779"/>
      <c r="H118" s="1779"/>
      <c r="I118" s="1779"/>
      <c r="J118" s="1779"/>
      <c r="K118" s="1780"/>
      <c r="L118" s="1781"/>
      <c r="M118" s="1779"/>
      <c r="N118" s="1779"/>
      <c r="O118" s="1779"/>
      <c r="P118" s="1779"/>
      <c r="Q118" s="1779"/>
      <c r="R118" s="1779"/>
      <c r="S118" s="1779"/>
      <c r="T118" s="1779"/>
      <c r="U118" s="1779"/>
      <c r="V118" s="1779"/>
      <c r="W118" s="1779"/>
      <c r="X118" s="1779"/>
      <c r="Y118" s="1779"/>
      <c r="Z118" s="1779"/>
      <c r="AA118" s="1779"/>
      <c r="AB118" s="1779"/>
      <c r="AC118" s="1779"/>
    </row>
    <row r="119" spans="1:29">
      <c r="A119" s="1779"/>
      <c r="B119" s="1779"/>
      <c r="C119" s="1779"/>
      <c r="D119" s="1779"/>
      <c r="E119" s="1779"/>
      <c r="F119" s="1779"/>
      <c r="G119" s="1779"/>
      <c r="H119" s="1779"/>
      <c r="I119" s="1779"/>
      <c r="J119" s="1779"/>
      <c r="K119" s="1780"/>
      <c r="L119" s="1781"/>
      <c r="M119" s="1779"/>
      <c r="N119" s="1779"/>
      <c r="O119" s="1779"/>
      <c r="P119" s="1779"/>
      <c r="Q119" s="1779"/>
      <c r="R119" s="1779"/>
      <c r="S119" s="1779"/>
      <c r="T119" s="1779"/>
      <c r="U119" s="1779"/>
      <c r="V119" s="1779"/>
      <c r="W119" s="1779"/>
      <c r="X119" s="1779"/>
      <c r="Y119" s="1779"/>
      <c r="Z119" s="1779"/>
      <c r="AA119" s="1779"/>
      <c r="AB119" s="1779"/>
      <c r="AC119" s="1779"/>
    </row>
    <row r="120" spans="1:29">
      <c r="A120" s="1779"/>
      <c r="B120" s="1779"/>
      <c r="C120" s="1779"/>
      <c r="D120" s="1779"/>
      <c r="E120" s="1779"/>
      <c r="F120" s="1779"/>
      <c r="G120" s="1779"/>
      <c r="H120" s="1779"/>
      <c r="I120" s="1779"/>
      <c r="J120" s="1779"/>
      <c r="K120" s="1780"/>
      <c r="L120" s="1781"/>
      <c r="M120" s="1779"/>
      <c r="N120" s="1779"/>
      <c r="O120" s="1779"/>
      <c r="P120" s="1779"/>
      <c r="Q120" s="1779"/>
      <c r="R120" s="1779"/>
      <c r="S120" s="1779"/>
      <c r="T120" s="1779"/>
      <c r="U120" s="1779"/>
      <c r="V120" s="1779"/>
      <c r="W120" s="1779"/>
      <c r="X120" s="1779"/>
      <c r="Y120" s="1779"/>
      <c r="Z120" s="1779"/>
      <c r="AA120" s="1779"/>
      <c r="AB120" s="1779"/>
      <c r="AC120" s="1779"/>
    </row>
    <row r="121" spans="1:29">
      <c r="A121" s="1779"/>
      <c r="B121" s="1779"/>
      <c r="C121" s="1779"/>
      <c r="D121" s="1779"/>
      <c r="E121" s="1779"/>
      <c r="F121" s="1779"/>
      <c r="G121" s="1779"/>
      <c r="H121" s="1779"/>
      <c r="I121" s="1779"/>
      <c r="J121" s="1779"/>
      <c r="K121" s="1780"/>
      <c r="L121" s="1781"/>
      <c r="M121" s="1779"/>
      <c r="N121" s="1779"/>
      <c r="O121" s="1779"/>
      <c r="P121" s="1779"/>
      <c r="Q121" s="1779"/>
      <c r="R121" s="1779"/>
      <c r="S121" s="1779"/>
      <c r="T121" s="1779"/>
      <c r="U121" s="1779"/>
      <c r="V121" s="1779"/>
      <c r="W121" s="1779"/>
      <c r="X121" s="1779"/>
      <c r="Y121" s="1779"/>
      <c r="Z121" s="1779"/>
      <c r="AA121" s="1779"/>
      <c r="AB121" s="1779"/>
      <c r="AC121" s="1779"/>
    </row>
    <row r="122" spans="1:29">
      <c r="A122" s="1779"/>
      <c r="B122" s="1779"/>
      <c r="C122" s="1779"/>
      <c r="D122" s="1779"/>
      <c r="E122" s="1779"/>
      <c r="F122" s="1779"/>
      <c r="G122" s="1779"/>
      <c r="H122" s="1779"/>
      <c r="I122" s="1779"/>
      <c r="J122" s="1779"/>
      <c r="K122" s="1780"/>
      <c r="L122" s="1781"/>
      <c r="M122" s="1779"/>
      <c r="N122" s="1779"/>
      <c r="O122" s="1779"/>
      <c r="P122" s="1779"/>
      <c r="Q122" s="1779"/>
      <c r="R122" s="1779"/>
      <c r="S122" s="1779"/>
      <c r="T122" s="1779"/>
      <c r="U122" s="1779"/>
      <c r="V122" s="1779"/>
      <c r="W122" s="1779"/>
      <c r="X122" s="1779"/>
      <c r="Y122" s="1779"/>
      <c r="Z122" s="1779"/>
      <c r="AA122" s="1779"/>
      <c r="AB122" s="1779"/>
      <c r="AC122" s="1779"/>
    </row>
    <row r="123" spans="1:29">
      <c r="A123" s="1779"/>
      <c r="B123" s="1779"/>
      <c r="C123" s="1779"/>
      <c r="D123" s="1779"/>
      <c r="E123" s="1779"/>
      <c r="F123" s="1779"/>
      <c r="G123" s="1779"/>
      <c r="H123" s="1779"/>
      <c r="I123" s="1779"/>
      <c r="J123" s="1779"/>
      <c r="K123" s="1780"/>
      <c r="L123" s="1781"/>
      <c r="M123" s="1779"/>
      <c r="N123" s="1779"/>
      <c r="O123" s="1779"/>
      <c r="P123" s="1779"/>
      <c r="Q123" s="1779"/>
      <c r="R123" s="1779"/>
      <c r="S123" s="1779"/>
      <c r="T123" s="1779"/>
      <c r="U123" s="1779"/>
      <c r="V123" s="1779"/>
      <c r="W123" s="1779"/>
      <c r="X123" s="1779"/>
      <c r="Y123" s="1779"/>
      <c r="Z123" s="1779"/>
      <c r="AA123" s="1779"/>
      <c r="AB123" s="1779"/>
      <c r="AC123" s="1779"/>
    </row>
    <row r="124" spans="1:29">
      <c r="A124" s="1779"/>
      <c r="B124" s="1779"/>
      <c r="C124" s="1779"/>
      <c r="D124" s="1779"/>
      <c r="E124" s="1779"/>
      <c r="F124" s="1779"/>
      <c r="G124" s="1779"/>
      <c r="H124" s="1779"/>
      <c r="I124" s="1779"/>
      <c r="J124" s="1779"/>
      <c r="K124" s="1780"/>
      <c r="L124" s="1781"/>
      <c r="M124" s="1779"/>
      <c r="N124" s="1779"/>
      <c r="O124" s="1779"/>
      <c r="P124" s="1779"/>
      <c r="Q124" s="1779"/>
      <c r="R124" s="1779"/>
      <c r="S124" s="1779"/>
      <c r="T124" s="1779"/>
      <c r="U124" s="1779"/>
      <c r="V124" s="1779"/>
      <c r="W124" s="1779"/>
      <c r="X124" s="1779"/>
      <c r="Y124" s="1779"/>
      <c r="Z124" s="1779"/>
      <c r="AA124" s="1779"/>
      <c r="AB124" s="1779"/>
      <c r="AC124" s="1779"/>
    </row>
    <row r="125" spans="1:29">
      <c r="A125" s="1779"/>
      <c r="B125" s="1779"/>
      <c r="C125" s="1779"/>
      <c r="D125" s="1779"/>
      <c r="E125" s="1779"/>
      <c r="F125" s="1779"/>
      <c r="G125" s="1779"/>
      <c r="H125" s="1779"/>
      <c r="I125" s="1779"/>
      <c r="J125" s="1779"/>
      <c r="K125" s="1780"/>
      <c r="L125" s="1781"/>
      <c r="M125" s="1779"/>
      <c r="N125" s="1779"/>
      <c r="O125" s="1779"/>
      <c r="P125" s="1779"/>
      <c r="Q125" s="1779"/>
      <c r="R125" s="1779"/>
      <c r="S125" s="1779"/>
      <c r="T125" s="1779"/>
      <c r="U125" s="1779"/>
      <c r="V125" s="1779"/>
      <c r="W125" s="1779"/>
      <c r="X125" s="1779"/>
      <c r="Y125" s="1779"/>
      <c r="Z125" s="1779"/>
      <c r="AA125" s="1779"/>
      <c r="AB125" s="1779"/>
      <c r="AC125" s="1779"/>
    </row>
    <row r="126" spans="1:29">
      <c r="A126" s="1779"/>
      <c r="B126" s="1779"/>
      <c r="C126" s="1779"/>
      <c r="D126" s="1779"/>
      <c r="E126" s="1779"/>
      <c r="F126" s="1779"/>
      <c r="G126" s="1779"/>
      <c r="H126" s="1779"/>
      <c r="I126" s="1779"/>
      <c r="J126" s="1779"/>
      <c r="K126" s="1780"/>
      <c r="L126" s="1781"/>
      <c r="M126" s="1779"/>
      <c r="N126" s="1779"/>
      <c r="O126" s="1779"/>
      <c r="P126" s="1779"/>
      <c r="Q126" s="1779"/>
      <c r="R126" s="1779"/>
      <c r="S126" s="1779"/>
      <c r="T126" s="1779"/>
      <c r="U126" s="1779"/>
      <c r="V126" s="1779"/>
      <c r="W126" s="1779"/>
      <c r="X126" s="1779"/>
      <c r="Y126" s="1779"/>
      <c r="Z126" s="1779"/>
      <c r="AA126" s="1779"/>
      <c r="AB126" s="1779"/>
      <c r="AC126" s="1779"/>
    </row>
    <row r="127" spans="1:29">
      <c r="A127" s="1779"/>
      <c r="B127" s="1779"/>
      <c r="C127" s="1779"/>
      <c r="D127" s="1779"/>
      <c r="E127" s="1779"/>
      <c r="F127" s="1779"/>
      <c r="G127" s="1779"/>
      <c r="H127" s="1779"/>
      <c r="I127" s="1779"/>
      <c r="J127" s="1779"/>
      <c r="K127" s="1780"/>
      <c r="L127" s="1781"/>
      <c r="M127" s="1779"/>
      <c r="N127" s="1779"/>
      <c r="O127" s="1779"/>
      <c r="P127" s="1779"/>
      <c r="Q127" s="1779"/>
      <c r="R127" s="1779"/>
      <c r="S127" s="1779"/>
      <c r="T127" s="1779"/>
      <c r="U127" s="1779"/>
      <c r="V127" s="1779"/>
      <c r="W127" s="1779"/>
      <c r="X127" s="1779"/>
      <c r="Y127" s="1779"/>
      <c r="Z127" s="1779"/>
      <c r="AA127" s="1779"/>
      <c r="AB127" s="1779"/>
      <c r="AC127" s="1779"/>
    </row>
    <row r="128" spans="1:29">
      <c r="A128" s="1779"/>
      <c r="B128" s="1779"/>
      <c r="C128" s="1779"/>
      <c r="D128" s="1779"/>
      <c r="E128" s="1779"/>
      <c r="F128" s="1779"/>
      <c r="G128" s="1779"/>
      <c r="H128" s="1779"/>
      <c r="I128" s="1779"/>
      <c r="J128" s="1779"/>
      <c r="K128" s="1780"/>
      <c r="L128" s="1781"/>
      <c r="M128" s="1779"/>
      <c r="N128" s="1779"/>
      <c r="O128" s="1779"/>
      <c r="P128" s="1779"/>
      <c r="Q128" s="1779"/>
      <c r="R128" s="1779"/>
      <c r="S128" s="1779"/>
      <c r="T128" s="1779"/>
      <c r="U128" s="1779"/>
      <c r="V128" s="1779"/>
      <c r="W128" s="1779"/>
      <c r="X128" s="1779"/>
      <c r="Y128" s="1779"/>
      <c r="Z128" s="1779"/>
      <c r="AA128" s="1779"/>
      <c r="AB128" s="1779"/>
      <c r="AC128" s="1779"/>
    </row>
    <row r="129" spans="1:29">
      <c r="A129" s="1779"/>
      <c r="B129" s="1779"/>
      <c r="C129" s="1779"/>
      <c r="D129" s="1779"/>
      <c r="E129" s="1779"/>
      <c r="F129" s="1779"/>
      <c r="G129" s="1779"/>
      <c r="H129" s="1779"/>
      <c r="I129" s="1779"/>
      <c r="J129" s="1779"/>
      <c r="K129" s="1780"/>
      <c r="L129" s="1781"/>
      <c r="M129" s="1779"/>
      <c r="N129" s="1779"/>
      <c r="O129" s="1779"/>
      <c r="P129" s="1779"/>
      <c r="Q129" s="1779"/>
      <c r="R129" s="1779"/>
      <c r="S129" s="1779"/>
      <c r="T129" s="1779"/>
      <c r="U129" s="1779"/>
      <c r="V129" s="1779"/>
      <c r="W129" s="1779"/>
      <c r="X129" s="1779"/>
      <c r="Y129" s="1779"/>
      <c r="Z129" s="1779"/>
      <c r="AA129" s="1779"/>
      <c r="AB129" s="1779"/>
      <c r="AC129" s="1779"/>
    </row>
    <row r="130" spans="1:29">
      <c r="A130" s="1779"/>
      <c r="B130" s="1779"/>
      <c r="C130" s="1779"/>
      <c r="D130" s="1779"/>
      <c r="E130" s="1779"/>
      <c r="F130" s="1779"/>
      <c r="G130" s="1779"/>
      <c r="H130" s="1779"/>
      <c r="I130" s="1779"/>
      <c r="J130" s="1779"/>
      <c r="K130" s="1780"/>
      <c r="L130" s="1781"/>
      <c r="M130" s="1779"/>
      <c r="N130" s="1779"/>
      <c r="O130" s="1779"/>
      <c r="P130" s="1779"/>
      <c r="Q130" s="1779"/>
      <c r="R130" s="1779"/>
      <c r="S130" s="1779"/>
      <c r="T130" s="1779"/>
      <c r="U130" s="1779"/>
      <c r="V130" s="1779"/>
      <c r="W130" s="1779"/>
      <c r="X130" s="1779"/>
      <c r="Y130" s="1779"/>
      <c r="Z130" s="1779"/>
      <c r="AA130" s="1779"/>
      <c r="AB130" s="1779"/>
      <c r="AC130" s="1779"/>
    </row>
    <row r="131" spans="1:29">
      <c r="A131" s="1779"/>
      <c r="B131" s="1779"/>
      <c r="C131" s="1779"/>
      <c r="D131" s="1779"/>
      <c r="E131" s="1779"/>
      <c r="F131" s="1779"/>
      <c r="G131" s="1779"/>
      <c r="H131" s="1779"/>
      <c r="I131" s="1779"/>
      <c r="J131" s="1779"/>
      <c r="K131" s="1780"/>
      <c r="L131" s="1781"/>
      <c r="M131" s="1779"/>
      <c r="N131" s="1779"/>
      <c r="O131" s="1779"/>
      <c r="P131" s="1779"/>
      <c r="Q131" s="1779"/>
      <c r="R131" s="1779"/>
      <c r="S131" s="1779"/>
      <c r="T131" s="1779"/>
      <c r="U131" s="1779"/>
      <c r="V131" s="1779"/>
      <c r="W131" s="1779"/>
      <c r="X131" s="1779"/>
      <c r="Y131" s="1779"/>
      <c r="Z131" s="1779"/>
      <c r="AA131" s="1779"/>
      <c r="AB131" s="1779"/>
      <c r="AC131" s="1779"/>
    </row>
    <row r="132" spans="1:29">
      <c r="A132" s="1779"/>
      <c r="B132" s="1779"/>
      <c r="C132" s="1779"/>
      <c r="D132" s="1779"/>
      <c r="E132" s="1779"/>
      <c r="F132" s="1779"/>
      <c r="G132" s="1779"/>
      <c r="H132" s="1779"/>
      <c r="I132" s="1779"/>
      <c r="J132" s="1779"/>
      <c r="K132" s="1780"/>
      <c r="L132" s="1781"/>
      <c r="M132" s="1779"/>
      <c r="N132" s="1779"/>
      <c r="O132" s="1779"/>
      <c r="P132" s="1779"/>
      <c r="Q132" s="1779"/>
      <c r="R132" s="1779"/>
      <c r="S132" s="1779"/>
      <c r="T132" s="1779"/>
      <c r="U132" s="1779"/>
      <c r="V132" s="1779"/>
      <c r="W132" s="1779"/>
      <c r="X132" s="1779"/>
      <c r="Y132" s="1779"/>
      <c r="Z132" s="1779"/>
      <c r="AA132" s="1779"/>
      <c r="AB132" s="1779"/>
      <c r="AC132" s="1779"/>
    </row>
    <row r="133" spans="1:29">
      <c r="A133" s="1779"/>
      <c r="B133" s="1779"/>
      <c r="C133" s="1779"/>
      <c r="D133" s="1779"/>
      <c r="E133" s="1779"/>
      <c r="F133" s="1779"/>
      <c r="G133" s="1779"/>
      <c r="H133" s="1779"/>
      <c r="I133" s="1779"/>
      <c r="J133" s="1779"/>
      <c r="K133" s="1780"/>
      <c r="L133" s="1781"/>
      <c r="M133" s="1779"/>
      <c r="N133" s="1779"/>
      <c r="O133" s="1779"/>
      <c r="P133" s="1779"/>
      <c r="Q133" s="1779"/>
      <c r="R133" s="1779"/>
      <c r="S133" s="1779"/>
      <c r="T133" s="1779"/>
      <c r="U133" s="1779"/>
      <c r="V133" s="1779"/>
      <c r="W133" s="1779"/>
      <c r="X133" s="1779"/>
      <c r="Y133" s="1779"/>
      <c r="Z133" s="1779"/>
      <c r="AA133" s="1779"/>
      <c r="AB133" s="1779"/>
      <c r="AC133" s="1779"/>
    </row>
    <row r="134" spans="1:29">
      <c r="A134" s="1779"/>
      <c r="B134" s="1779"/>
      <c r="C134" s="1779"/>
      <c r="D134" s="1779"/>
      <c r="E134" s="1779"/>
      <c r="F134" s="1779"/>
      <c r="G134" s="1779"/>
      <c r="H134" s="1779"/>
      <c r="I134" s="1779"/>
      <c r="J134" s="1779"/>
      <c r="K134" s="1780"/>
      <c r="L134" s="1781"/>
      <c r="M134" s="1779"/>
      <c r="N134" s="1779"/>
      <c r="O134" s="1779"/>
      <c r="P134" s="1779"/>
      <c r="Q134" s="1779"/>
      <c r="R134" s="1779"/>
      <c r="S134" s="1779"/>
      <c r="T134" s="1779"/>
      <c r="U134" s="1779"/>
      <c r="V134" s="1779"/>
      <c r="W134" s="1779"/>
      <c r="X134" s="1779"/>
      <c r="Y134" s="1779"/>
      <c r="Z134" s="1779"/>
      <c r="AA134" s="1779"/>
      <c r="AB134" s="1779"/>
      <c r="AC134" s="1779"/>
    </row>
    <row r="135" spans="1:29">
      <c r="A135" s="1779"/>
      <c r="B135" s="1779"/>
      <c r="C135" s="1779"/>
      <c r="D135" s="1779"/>
      <c r="E135" s="1779"/>
      <c r="F135" s="1779"/>
      <c r="G135" s="1779"/>
      <c r="H135" s="1779"/>
      <c r="I135" s="1779"/>
      <c r="J135" s="1779"/>
      <c r="K135" s="1780"/>
      <c r="L135" s="1781"/>
      <c r="M135" s="1779"/>
      <c r="N135" s="1779"/>
      <c r="O135" s="1779"/>
      <c r="P135" s="1779"/>
      <c r="Q135" s="1779"/>
      <c r="R135" s="1779"/>
      <c r="S135" s="1779"/>
      <c r="T135" s="1779"/>
      <c r="U135" s="1779"/>
      <c r="V135" s="1779"/>
      <c r="W135" s="1779"/>
      <c r="X135" s="1779"/>
      <c r="Y135" s="1779"/>
      <c r="Z135" s="1779"/>
      <c r="AA135" s="1779"/>
      <c r="AB135" s="1779"/>
      <c r="AC135" s="1779"/>
    </row>
    <row r="136" spans="1:29">
      <c r="A136" s="1779"/>
      <c r="B136" s="1779"/>
      <c r="C136" s="1779"/>
      <c r="D136" s="1779"/>
      <c r="E136" s="1779"/>
      <c r="F136" s="1779"/>
      <c r="G136" s="1779"/>
      <c r="H136" s="1779"/>
      <c r="I136" s="1779"/>
      <c r="J136" s="1779"/>
      <c r="K136" s="1780"/>
      <c r="L136" s="1781"/>
      <c r="M136" s="1779"/>
      <c r="N136" s="1779"/>
      <c r="O136" s="1779"/>
      <c r="P136" s="1779"/>
      <c r="Q136" s="1779"/>
      <c r="R136" s="1779"/>
      <c r="S136" s="1779"/>
      <c r="T136" s="1779"/>
      <c r="U136" s="1779"/>
      <c r="V136" s="1779"/>
      <c r="W136" s="1779"/>
      <c r="X136" s="1779"/>
      <c r="Y136" s="1779"/>
      <c r="Z136" s="1779"/>
      <c r="AA136" s="1779"/>
      <c r="AB136" s="1779"/>
      <c r="AC136" s="1779"/>
    </row>
    <row r="137" spans="1:29">
      <c r="A137" s="1779"/>
      <c r="B137" s="1779"/>
      <c r="C137" s="1779"/>
      <c r="D137" s="1779"/>
      <c r="E137" s="1779"/>
      <c r="F137" s="1779"/>
      <c r="G137" s="1779"/>
      <c r="H137" s="1779"/>
      <c r="I137" s="1779"/>
      <c r="J137" s="1779"/>
      <c r="K137" s="1780"/>
      <c r="L137" s="1781"/>
      <c r="M137" s="1779"/>
      <c r="N137" s="1779"/>
      <c r="O137" s="1779"/>
      <c r="P137" s="1779"/>
      <c r="Q137" s="1779"/>
      <c r="R137" s="1779"/>
      <c r="S137" s="1779"/>
      <c r="T137" s="1779"/>
      <c r="U137" s="1779"/>
      <c r="V137" s="1779"/>
      <c r="W137" s="1779"/>
      <c r="X137" s="1779"/>
      <c r="Y137" s="1779"/>
      <c r="Z137" s="1779"/>
      <c r="AA137" s="1779"/>
      <c r="AB137" s="1779"/>
      <c r="AC137" s="1779"/>
    </row>
    <row r="138" spans="1:29">
      <c r="A138" s="1779"/>
      <c r="B138" s="1779"/>
      <c r="C138" s="1779"/>
      <c r="D138" s="1779"/>
      <c r="E138" s="1779"/>
      <c r="F138" s="1779"/>
      <c r="G138" s="1779"/>
      <c r="H138" s="1779"/>
      <c r="I138" s="1779"/>
      <c r="J138" s="1779"/>
      <c r="K138" s="1780"/>
      <c r="L138" s="1781"/>
      <c r="M138" s="1779"/>
      <c r="N138" s="1779"/>
      <c r="O138" s="1779"/>
      <c r="P138" s="1779"/>
      <c r="Q138" s="1779"/>
      <c r="R138" s="1779"/>
      <c r="S138" s="1779"/>
      <c r="T138" s="1779"/>
      <c r="U138" s="1779"/>
      <c r="V138" s="1779"/>
      <c r="W138" s="1779"/>
      <c r="X138" s="1779"/>
      <c r="Y138" s="1779"/>
      <c r="Z138" s="1779"/>
      <c r="AA138" s="1779"/>
      <c r="AB138" s="1779"/>
      <c r="AC138" s="1779"/>
    </row>
    <row r="139" spans="1:29">
      <c r="A139" s="1779"/>
      <c r="B139" s="1779"/>
      <c r="C139" s="1779"/>
      <c r="D139" s="1779"/>
      <c r="E139" s="1779"/>
      <c r="F139" s="1779"/>
      <c r="G139" s="1779"/>
      <c r="H139" s="1779"/>
      <c r="I139" s="1779"/>
      <c r="J139" s="1779"/>
      <c r="K139" s="1780"/>
      <c r="L139" s="1781"/>
      <c r="M139" s="1779"/>
      <c r="N139" s="1779"/>
      <c r="O139" s="1779"/>
      <c r="P139" s="1779"/>
      <c r="Q139" s="1779"/>
      <c r="R139" s="1779"/>
      <c r="S139" s="1779"/>
      <c r="T139" s="1779"/>
      <c r="U139" s="1779"/>
      <c r="V139" s="1779"/>
      <c r="W139" s="1779"/>
      <c r="X139" s="1779"/>
      <c r="Y139" s="1779"/>
      <c r="Z139" s="1779"/>
      <c r="AA139" s="1779"/>
      <c r="AB139" s="1779"/>
      <c r="AC139" s="1779"/>
    </row>
    <row r="140" spans="1:29">
      <c r="A140" s="1779"/>
      <c r="B140" s="1779"/>
      <c r="C140" s="1779"/>
      <c r="D140" s="1779"/>
      <c r="E140" s="1779"/>
      <c r="F140" s="1779"/>
      <c r="G140" s="1779"/>
      <c r="H140" s="1779"/>
      <c r="I140" s="1779"/>
      <c r="J140" s="1779"/>
      <c r="K140" s="1780"/>
      <c r="L140" s="1781"/>
      <c r="M140" s="1779"/>
      <c r="N140" s="1779"/>
      <c r="O140" s="1779"/>
      <c r="P140" s="1779"/>
      <c r="Q140" s="1779"/>
      <c r="R140" s="1779"/>
      <c r="S140" s="1779"/>
      <c r="T140" s="1779"/>
      <c r="U140" s="1779"/>
      <c r="V140" s="1779"/>
      <c r="W140" s="1779"/>
      <c r="X140" s="1779"/>
      <c r="Y140" s="1779"/>
      <c r="Z140" s="1779"/>
      <c r="AA140" s="1779"/>
      <c r="AB140" s="1779"/>
      <c r="AC140" s="1779"/>
    </row>
    <row r="141" spans="1:29">
      <c r="A141" s="1779"/>
      <c r="B141" s="1779"/>
      <c r="C141" s="1779"/>
      <c r="D141" s="1779"/>
      <c r="E141" s="1779"/>
      <c r="F141" s="1779"/>
      <c r="G141" s="1779"/>
      <c r="H141" s="1779"/>
      <c r="I141" s="1779"/>
      <c r="J141" s="1779"/>
      <c r="K141" s="1780"/>
      <c r="L141" s="1781"/>
      <c r="M141" s="1779"/>
      <c r="N141" s="1779"/>
      <c r="O141" s="1779"/>
      <c r="P141" s="1779"/>
      <c r="Q141" s="1779"/>
      <c r="R141" s="1779"/>
      <c r="S141" s="1779"/>
      <c r="T141" s="1779"/>
      <c r="U141" s="1779"/>
      <c r="V141" s="1779"/>
      <c r="W141" s="1779"/>
      <c r="X141" s="1779"/>
      <c r="Y141" s="1779"/>
      <c r="Z141" s="1779"/>
      <c r="AA141" s="1779"/>
      <c r="AB141" s="1779"/>
      <c r="AC141" s="1779"/>
    </row>
    <row r="142" spans="1:29">
      <c r="A142" s="1779"/>
      <c r="B142" s="1779"/>
      <c r="C142" s="1779"/>
      <c r="D142" s="1779"/>
      <c r="E142" s="1779"/>
      <c r="F142" s="1779"/>
      <c r="G142" s="1779"/>
      <c r="H142" s="1779"/>
      <c r="I142" s="1779"/>
      <c r="J142" s="1779"/>
      <c r="K142" s="1780"/>
      <c r="L142" s="1781"/>
      <c r="M142" s="1779"/>
      <c r="N142" s="1779"/>
      <c r="O142" s="1779"/>
      <c r="P142" s="1779"/>
      <c r="Q142" s="1779"/>
      <c r="R142" s="1779"/>
      <c r="S142" s="1779"/>
      <c r="T142" s="1779"/>
      <c r="U142" s="1779"/>
      <c r="V142" s="1779"/>
      <c r="W142" s="1779"/>
      <c r="X142" s="1779"/>
      <c r="Y142" s="1779"/>
      <c r="Z142" s="1779"/>
      <c r="AA142" s="1779"/>
      <c r="AB142" s="1779"/>
      <c r="AC142" s="1779"/>
    </row>
    <row r="143" spans="1:29">
      <c r="A143" s="1779"/>
      <c r="B143" s="1779"/>
      <c r="C143" s="1779"/>
      <c r="D143" s="1779"/>
      <c r="E143" s="1779"/>
      <c r="F143" s="1779"/>
      <c r="G143" s="1779"/>
      <c r="H143" s="1779"/>
      <c r="I143" s="1779"/>
      <c r="J143" s="1779"/>
      <c r="K143" s="1780"/>
      <c r="L143" s="1781"/>
      <c r="M143" s="1779"/>
      <c r="N143" s="1779"/>
      <c r="O143" s="1779"/>
      <c r="P143" s="1779"/>
      <c r="Q143" s="1779"/>
      <c r="R143" s="1779"/>
      <c r="S143" s="1779"/>
      <c r="T143" s="1779"/>
      <c r="U143" s="1779"/>
      <c r="V143" s="1779"/>
      <c r="W143" s="1779"/>
      <c r="X143" s="1779"/>
      <c r="Y143" s="1779"/>
      <c r="Z143" s="1779"/>
      <c r="AA143" s="1779"/>
      <c r="AB143" s="1779"/>
      <c r="AC143" s="1779"/>
    </row>
    <row r="144" spans="1:29">
      <c r="A144" s="1779"/>
      <c r="B144" s="1779"/>
      <c r="C144" s="1779"/>
      <c r="D144" s="1779"/>
      <c r="E144" s="1779"/>
      <c r="F144" s="1779"/>
      <c r="G144" s="1779"/>
      <c r="H144" s="1779"/>
      <c r="I144" s="1779"/>
      <c r="J144" s="1779"/>
      <c r="K144" s="1780"/>
      <c r="L144" s="1781"/>
      <c r="M144" s="1779"/>
      <c r="N144" s="1779"/>
      <c r="O144" s="1779"/>
      <c r="P144" s="1779"/>
      <c r="Q144" s="1779"/>
      <c r="R144" s="1779"/>
      <c r="S144" s="1779"/>
      <c r="T144" s="1779"/>
      <c r="U144" s="1779"/>
      <c r="V144" s="1779"/>
      <c r="W144" s="1779"/>
      <c r="X144" s="1779"/>
      <c r="Y144" s="1779"/>
      <c r="Z144" s="1779"/>
      <c r="AA144" s="1779"/>
      <c r="AB144" s="1779"/>
      <c r="AC144" s="1779"/>
    </row>
    <row r="145" spans="1:29">
      <c r="A145" s="1779"/>
      <c r="B145" s="1779"/>
      <c r="C145" s="1779"/>
      <c r="D145" s="1779"/>
      <c r="E145" s="1779"/>
      <c r="F145" s="1779"/>
      <c r="G145" s="1779"/>
      <c r="H145" s="1779"/>
      <c r="I145" s="1779"/>
      <c r="J145" s="1779"/>
      <c r="K145" s="1780"/>
      <c r="L145" s="1781"/>
      <c r="M145" s="1779"/>
      <c r="N145" s="1779"/>
      <c r="O145" s="1779"/>
      <c r="P145" s="1779"/>
      <c r="Q145" s="1779"/>
      <c r="R145" s="1779"/>
      <c r="S145" s="1779"/>
      <c r="T145" s="1779"/>
      <c r="U145" s="1779"/>
      <c r="V145" s="1779"/>
      <c r="W145" s="1779"/>
      <c r="X145" s="1779"/>
      <c r="Y145" s="1779"/>
      <c r="Z145" s="1779"/>
      <c r="AA145" s="1779"/>
      <c r="AB145" s="1779"/>
      <c r="AC145" s="1779"/>
    </row>
    <row r="146" spans="1:29">
      <c r="A146" s="1779"/>
      <c r="B146" s="1779"/>
      <c r="C146" s="1779"/>
      <c r="D146" s="1779"/>
      <c r="E146" s="1779"/>
      <c r="F146" s="1779"/>
      <c r="G146" s="1779"/>
      <c r="H146" s="1779"/>
      <c r="I146" s="1779"/>
      <c r="J146" s="1779"/>
      <c r="K146" s="1780"/>
      <c r="L146" s="1781"/>
      <c r="M146" s="1779"/>
      <c r="N146" s="1779"/>
      <c r="O146" s="1779"/>
      <c r="P146" s="1779"/>
      <c r="Q146" s="1779"/>
      <c r="R146" s="1779"/>
      <c r="S146" s="1779"/>
      <c r="T146" s="1779"/>
      <c r="U146" s="1779"/>
      <c r="V146" s="1779"/>
      <c r="W146" s="1779"/>
      <c r="X146" s="1779"/>
      <c r="Y146" s="1779"/>
      <c r="Z146" s="1779"/>
      <c r="AA146" s="1779"/>
      <c r="AB146" s="1779"/>
      <c r="AC146" s="1779"/>
    </row>
    <row r="147" spans="1:29">
      <c r="A147" s="1779"/>
      <c r="B147" s="1779"/>
      <c r="C147" s="1779"/>
      <c r="D147" s="1779"/>
      <c r="E147" s="1779"/>
      <c r="F147" s="1779"/>
      <c r="G147" s="1779"/>
      <c r="H147" s="1779"/>
      <c r="I147" s="1779"/>
      <c r="J147" s="1779"/>
      <c r="K147" s="1780"/>
      <c r="L147" s="1781"/>
      <c r="M147" s="1779"/>
      <c r="N147" s="1779"/>
      <c r="O147" s="1779"/>
      <c r="P147" s="1779"/>
      <c r="Q147" s="1779"/>
      <c r="R147" s="1779"/>
      <c r="S147" s="1779"/>
      <c r="T147" s="1779"/>
      <c r="U147" s="1779"/>
      <c r="V147" s="1779"/>
      <c r="W147" s="1779"/>
      <c r="X147" s="1779"/>
      <c r="Y147" s="1779"/>
      <c r="Z147" s="1779"/>
      <c r="AA147" s="1779"/>
      <c r="AB147" s="1779"/>
      <c r="AC147" s="1779"/>
    </row>
    <row r="148" spans="1:29">
      <c r="A148" s="1779"/>
      <c r="B148" s="1779"/>
      <c r="C148" s="1779"/>
      <c r="D148" s="1779"/>
      <c r="E148" s="1779"/>
      <c r="F148" s="1779"/>
      <c r="G148" s="1779"/>
      <c r="H148" s="1779"/>
      <c r="I148" s="1779"/>
      <c r="J148" s="1779"/>
      <c r="K148" s="1780"/>
      <c r="L148" s="1781"/>
      <c r="M148" s="1779"/>
      <c r="N148" s="1779"/>
      <c r="O148" s="1779"/>
      <c r="P148" s="1779"/>
      <c r="Q148" s="1779"/>
      <c r="R148" s="1779"/>
      <c r="S148" s="1779"/>
      <c r="T148" s="1779"/>
      <c r="U148" s="1779"/>
      <c r="V148" s="1779"/>
      <c r="W148" s="1779"/>
      <c r="X148" s="1779"/>
      <c r="Y148" s="1779"/>
      <c r="Z148" s="1779"/>
      <c r="AA148" s="1779"/>
      <c r="AB148" s="1779"/>
      <c r="AC148" s="1779"/>
    </row>
    <row r="149" spans="1:29">
      <c r="A149" s="1779"/>
      <c r="B149" s="1779"/>
      <c r="C149" s="1779"/>
      <c r="D149" s="1779"/>
      <c r="E149" s="1779"/>
      <c r="F149" s="1779"/>
      <c r="G149" s="1779"/>
      <c r="H149" s="1779"/>
      <c r="I149" s="1779"/>
      <c r="J149" s="1779"/>
      <c r="K149" s="1780"/>
      <c r="L149" s="1781"/>
      <c r="M149" s="1779"/>
      <c r="N149" s="1779"/>
      <c r="O149" s="1779"/>
      <c r="P149" s="1779"/>
      <c r="Q149" s="1779"/>
      <c r="R149" s="1779"/>
      <c r="S149" s="1779"/>
      <c r="T149" s="1779"/>
      <c r="U149" s="1779"/>
      <c r="V149" s="1779"/>
      <c r="W149" s="1779"/>
      <c r="X149" s="1779"/>
      <c r="Y149" s="1779"/>
      <c r="Z149" s="1779"/>
      <c r="AA149" s="1779"/>
      <c r="AB149" s="1779"/>
      <c r="AC149" s="1779"/>
    </row>
    <row r="150" spans="1:29">
      <c r="A150" s="1779"/>
      <c r="B150" s="1779"/>
      <c r="C150" s="1779"/>
      <c r="D150" s="1779"/>
      <c r="E150" s="1779"/>
      <c r="F150" s="1779"/>
      <c r="G150" s="1779"/>
      <c r="H150" s="1779"/>
      <c r="I150" s="1779"/>
      <c r="J150" s="1779"/>
      <c r="K150" s="1780"/>
      <c r="L150" s="1781"/>
      <c r="M150" s="1779"/>
      <c r="N150" s="1779"/>
      <c r="O150" s="1779"/>
      <c r="P150" s="1779"/>
      <c r="Q150" s="1779"/>
      <c r="R150" s="1779"/>
      <c r="S150" s="1779"/>
      <c r="T150" s="1779"/>
      <c r="U150" s="1779"/>
      <c r="V150" s="1779"/>
      <c r="W150" s="1779"/>
      <c r="X150" s="1779"/>
      <c r="Y150" s="1779"/>
      <c r="Z150" s="1779"/>
      <c r="AA150" s="1779"/>
      <c r="AB150" s="1779"/>
      <c r="AC150" s="1779"/>
    </row>
    <row r="151" spans="1:29">
      <c r="A151" s="1779"/>
      <c r="B151" s="1779"/>
      <c r="C151" s="1779"/>
      <c r="D151" s="1779"/>
      <c r="E151" s="1779"/>
      <c r="F151" s="1779"/>
      <c r="G151" s="1779"/>
      <c r="H151" s="1779"/>
      <c r="I151" s="1779"/>
      <c r="J151" s="1779"/>
      <c r="K151" s="1780"/>
      <c r="L151" s="1781"/>
      <c r="M151" s="1779"/>
      <c r="N151" s="1779"/>
      <c r="O151" s="1779"/>
      <c r="P151" s="1779"/>
      <c r="Q151" s="1779"/>
      <c r="R151" s="1779"/>
      <c r="S151" s="1779"/>
      <c r="T151" s="1779"/>
      <c r="U151" s="1779"/>
      <c r="V151" s="1779"/>
      <c r="W151" s="1779"/>
      <c r="X151" s="1779"/>
      <c r="Y151" s="1779"/>
      <c r="Z151" s="1779"/>
      <c r="AA151" s="1779"/>
      <c r="AB151" s="1779"/>
      <c r="AC151" s="1779"/>
    </row>
    <row r="152" spans="1:29">
      <c r="A152" s="1779"/>
      <c r="B152" s="1779"/>
      <c r="C152" s="1779"/>
      <c r="D152" s="1779"/>
      <c r="E152" s="1779"/>
      <c r="F152" s="1779"/>
      <c r="G152" s="1779"/>
      <c r="H152" s="1779"/>
      <c r="I152" s="1779"/>
      <c r="J152" s="1779"/>
      <c r="K152" s="1780"/>
      <c r="L152" s="1781"/>
      <c r="M152" s="1779"/>
      <c r="N152" s="1779"/>
      <c r="O152" s="1779"/>
      <c r="P152" s="1779"/>
      <c r="Q152" s="1779"/>
      <c r="R152" s="1779"/>
      <c r="S152" s="1779"/>
      <c r="T152" s="1779"/>
      <c r="U152" s="1779"/>
      <c r="V152" s="1779"/>
      <c r="W152" s="1779"/>
      <c r="X152" s="1779"/>
      <c r="Y152" s="1779"/>
      <c r="Z152" s="1779"/>
      <c r="AA152" s="1779"/>
      <c r="AB152" s="1779"/>
      <c r="AC152" s="1779"/>
    </row>
    <row r="153" spans="1:29">
      <c r="A153" s="1779"/>
      <c r="B153" s="1779"/>
      <c r="C153" s="1779"/>
      <c r="D153" s="1779"/>
      <c r="E153" s="1779"/>
      <c r="F153" s="1779"/>
      <c r="G153" s="1779"/>
      <c r="H153" s="1779"/>
      <c r="I153" s="1779"/>
      <c r="J153" s="1779"/>
      <c r="K153" s="1780"/>
      <c r="L153" s="1781"/>
      <c r="M153" s="1779"/>
      <c r="N153" s="1779"/>
      <c r="O153" s="1779"/>
      <c r="P153" s="1779"/>
      <c r="Q153" s="1779"/>
      <c r="R153" s="1779"/>
      <c r="S153" s="1779"/>
      <c r="T153" s="1779"/>
      <c r="U153" s="1779"/>
      <c r="V153" s="1779"/>
      <c r="W153" s="1779"/>
      <c r="X153" s="1779"/>
      <c r="Y153" s="1779"/>
      <c r="Z153" s="1779"/>
      <c r="AA153" s="1779"/>
      <c r="AB153" s="1779"/>
      <c r="AC153" s="1779"/>
    </row>
    <row r="154" spans="1:29">
      <c r="A154" s="1779"/>
      <c r="B154" s="1779"/>
      <c r="C154" s="1779"/>
      <c r="D154" s="1779"/>
      <c r="E154" s="1779"/>
      <c r="F154" s="1779"/>
      <c r="G154" s="1779"/>
      <c r="H154" s="1779"/>
      <c r="I154" s="1779"/>
      <c r="J154" s="1779"/>
      <c r="K154" s="1780"/>
      <c r="L154" s="1781"/>
      <c r="M154" s="1779"/>
      <c r="N154" s="1779"/>
      <c r="O154" s="1779"/>
      <c r="P154" s="1779"/>
      <c r="Q154" s="1779"/>
      <c r="R154" s="1779"/>
      <c r="S154" s="1779"/>
      <c r="T154" s="1779"/>
      <c r="U154" s="1779"/>
      <c r="V154" s="1779"/>
      <c r="W154" s="1779"/>
      <c r="X154" s="1779"/>
      <c r="Y154" s="1779"/>
      <c r="Z154" s="1779"/>
      <c r="AA154" s="1779"/>
      <c r="AB154" s="1779"/>
      <c r="AC154" s="1779"/>
    </row>
    <row r="155" spans="1:29">
      <c r="A155" s="1779"/>
      <c r="B155" s="1779"/>
      <c r="C155" s="1779"/>
      <c r="D155" s="1779"/>
      <c r="E155" s="1779"/>
      <c r="F155" s="1779"/>
      <c r="G155" s="1779"/>
      <c r="H155" s="1779"/>
      <c r="I155" s="1779"/>
      <c r="J155" s="1779"/>
      <c r="K155" s="1780"/>
      <c r="L155" s="1781"/>
      <c r="M155" s="1779"/>
      <c r="N155" s="1779"/>
      <c r="O155" s="1779"/>
      <c r="P155" s="1779"/>
      <c r="Q155" s="1779"/>
      <c r="R155" s="1779"/>
      <c r="S155" s="1779"/>
      <c r="T155" s="1779"/>
      <c r="U155" s="1779"/>
      <c r="V155" s="1779"/>
      <c r="W155" s="1779"/>
      <c r="X155" s="1779"/>
      <c r="Y155" s="1779"/>
      <c r="Z155" s="1779"/>
      <c r="AA155" s="1779"/>
      <c r="AB155" s="1779"/>
      <c r="AC155" s="1779"/>
    </row>
    <row r="156" spans="1:29">
      <c r="A156" s="1779"/>
      <c r="B156" s="1779"/>
      <c r="C156" s="1779"/>
      <c r="D156" s="1779"/>
      <c r="E156" s="1779"/>
      <c r="F156" s="1779"/>
      <c r="G156" s="1779"/>
      <c r="H156" s="1779"/>
      <c r="I156" s="1779"/>
      <c r="J156" s="1779"/>
      <c r="K156" s="1780"/>
      <c r="L156" s="1781"/>
      <c r="M156" s="1779"/>
      <c r="N156" s="1779"/>
      <c r="O156" s="1779"/>
      <c r="P156" s="1779"/>
      <c r="Q156" s="1779"/>
      <c r="R156" s="1779"/>
      <c r="S156" s="1779"/>
      <c r="T156" s="1779"/>
      <c r="U156" s="1779"/>
      <c r="V156" s="1779"/>
      <c r="W156" s="1779"/>
      <c r="X156" s="1779"/>
      <c r="Y156" s="1779"/>
      <c r="Z156" s="1779"/>
      <c r="AA156" s="1779"/>
      <c r="AB156" s="1779"/>
      <c r="AC156" s="1779"/>
    </row>
    <row r="157" spans="1:29">
      <c r="A157" s="1779"/>
      <c r="B157" s="1779"/>
      <c r="C157" s="1779"/>
      <c r="D157" s="1779"/>
      <c r="E157" s="1779"/>
      <c r="F157" s="1779"/>
      <c r="G157" s="1779"/>
      <c r="H157" s="1779"/>
      <c r="I157" s="1779"/>
      <c r="J157" s="1779"/>
      <c r="K157" s="1780"/>
      <c r="L157" s="1781"/>
      <c r="M157" s="1779"/>
      <c r="N157" s="1779"/>
      <c r="O157" s="1779"/>
      <c r="P157" s="1779"/>
      <c r="Q157" s="1779"/>
      <c r="R157" s="1779"/>
      <c r="S157" s="1779"/>
      <c r="T157" s="1779"/>
      <c r="U157" s="1779"/>
      <c r="V157" s="1779"/>
      <c r="W157" s="1779"/>
      <c r="X157" s="1779"/>
      <c r="Y157" s="1779"/>
      <c r="Z157" s="1779"/>
      <c r="AA157" s="1779"/>
      <c r="AB157" s="1779"/>
      <c r="AC157" s="1779"/>
    </row>
    <row r="158" spans="1:29">
      <c r="A158" s="1779"/>
      <c r="B158" s="1779"/>
      <c r="C158" s="1779"/>
      <c r="D158" s="1779"/>
      <c r="E158" s="1779"/>
      <c r="F158" s="1779"/>
      <c r="G158" s="1779"/>
      <c r="H158" s="1779"/>
      <c r="I158" s="1779"/>
      <c r="J158" s="1779"/>
      <c r="K158" s="1780"/>
      <c r="L158" s="1781"/>
      <c r="M158" s="1779"/>
      <c r="N158" s="1779"/>
      <c r="O158" s="1779"/>
      <c r="P158" s="1779"/>
      <c r="Q158" s="1779"/>
      <c r="R158" s="1779"/>
      <c r="S158" s="1779"/>
      <c r="T158" s="1779"/>
      <c r="U158" s="1779"/>
      <c r="V158" s="1779"/>
      <c r="W158" s="1779"/>
      <c r="X158" s="1779"/>
      <c r="Y158" s="1779"/>
      <c r="Z158" s="1779"/>
      <c r="AA158" s="1779"/>
      <c r="AB158" s="1779"/>
      <c r="AC158" s="1779"/>
    </row>
    <row r="159" spans="1:29">
      <c r="A159" s="1779"/>
      <c r="B159" s="1779"/>
      <c r="C159" s="1779"/>
      <c r="D159" s="1779"/>
      <c r="E159" s="1779"/>
      <c r="F159" s="1779"/>
      <c r="G159" s="1779"/>
      <c r="H159" s="1779"/>
      <c r="I159" s="1779"/>
      <c r="J159" s="1779"/>
      <c r="K159" s="1780"/>
      <c r="L159" s="1781"/>
      <c r="M159" s="1779"/>
      <c r="N159" s="1779"/>
      <c r="O159" s="1779"/>
      <c r="P159" s="1779"/>
      <c r="Q159" s="1779"/>
      <c r="R159" s="1779"/>
      <c r="S159" s="1779"/>
      <c r="T159" s="1779"/>
      <c r="U159" s="1779"/>
      <c r="V159" s="1779"/>
      <c r="W159" s="1779"/>
      <c r="X159" s="1779"/>
      <c r="Y159" s="1779"/>
      <c r="Z159" s="1779"/>
      <c r="AA159" s="1779"/>
      <c r="AB159" s="1779"/>
      <c r="AC159" s="1779"/>
    </row>
    <row r="160" spans="1:29">
      <c r="A160" s="1779"/>
      <c r="B160" s="1779"/>
      <c r="C160" s="1779"/>
      <c r="D160" s="1779"/>
      <c r="E160" s="1779"/>
      <c r="F160" s="1779"/>
      <c r="G160" s="1779"/>
      <c r="H160" s="1779"/>
      <c r="I160" s="1779"/>
      <c r="J160" s="1779"/>
      <c r="K160" s="1780"/>
      <c r="L160" s="1781"/>
      <c r="M160" s="1779"/>
      <c r="N160" s="1779"/>
      <c r="O160" s="1779"/>
      <c r="P160" s="1779"/>
      <c r="Q160" s="1779"/>
      <c r="R160" s="1779"/>
      <c r="S160" s="1779"/>
      <c r="T160" s="1779"/>
      <c r="U160" s="1779"/>
      <c r="V160" s="1779"/>
      <c r="W160" s="1779"/>
      <c r="X160" s="1779"/>
      <c r="Y160" s="1779"/>
      <c r="Z160" s="1779"/>
      <c r="AA160" s="1779"/>
      <c r="AB160" s="1779"/>
      <c r="AC160" s="1779"/>
    </row>
    <row r="161" spans="1:29">
      <c r="A161" s="1779"/>
      <c r="B161" s="1779"/>
      <c r="C161" s="1779"/>
      <c r="D161" s="1779"/>
      <c r="E161" s="1779"/>
      <c r="F161" s="1779"/>
      <c r="G161" s="1779"/>
      <c r="H161" s="1779"/>
      <c r="I161" s="1779"/>
      <c r="J161" s="1779"/>
      <c r="K161" s="1780"/>
      <c r="L161" s="1781"/>
      <c r="M161" s="1779"/>
      <c r="N161" s="1779"/>
      <c r="O161" s="1779"/>
      <c r="P161" s="1779"/>
      <c r="Q161" s="1779"/>
      <c r="R161" s="1779"/>
      <c r="S161" s="1779"/>
      <c r="T161" s="1779"/>
      <c r="U161" s="1779"/>
      <c r="V161" s="1779"/>
      <c r="W161" s="1779"/>
      <c r="X161" s="1779"/>
      <c r="Y161" s="1779"/>
      <c r="Z161" s="1779"/>
      <c r="AA161" s="1779"/>
      <c r="AB161" s="1779"/>
      <c r="AC161" s="1779"/>
    </row>
    <row r="162" spans="1:29">
      <c r="A162" s="1779"/>
      <c r="B162" s="1779"/>
      <c r="C162" s="1779"/>
      <c r="D162" s="1779"/>
      <c r="E162" s="1779"/>
      <c r="F162" s="1779"/>
      <c r="G162" s="1779"/>
      <c r="H162" s="1779"/>
      <c r="I162" s="1779"/>
      <c r="J162" s="1779"/>
      <c r="K162" s="1780"/>
      <c r="L162" s="1781"/>
      <c r="M162" s="1779"/>
      <c r="N162" s="1779"/>
      <c r="O162" s="1779"/>
      <c r="P162" s="1779"/>
      <c r="Q162" s="1779"/>
      <c r="R162" s="1779"/>
      <c r="S162" s="1779"/>
      <c r="T162" s="1779"/>
      <c r="U162" s="1779"/>
      <c r="V162" s="1779"/>
      <c r="W162" s="1779"/>
      <c r="X162" s="1779"/>
      <c r="Y162" s="1779"/>
      <c r="Z162" s="1779"/>
      <c r="AA162" s="1779"/>
      <c r="AB162" s="1779"/>
      <c r="AC162" s="1779"/>
    </row>
    <row r="163" spans="1:29">
      <c r="A163" s="1779"/>
      <c r="B163" s="1779"/>
      <c r="C163" s="1779"/>
      <c r="D163" s="1779"/>
      <c r="E163" s="1779"/>
      <c r="F163" s="1779"/>
      <c r="G163" s="1779"/>
      <c r="H163" s="1779"/>
      <c r="I163" s="1779"/>
      <c r="J163" s="1779"/>
      <c r="K163" s="1780"/>
      <c r="L163" s="1781"/>
      <c r="M163" s="1779"/>
      <c r="N163" s="1779"/>
      <c r="O163" s="1779"/>
      <c r="P163" s="1779"/>
      <c r="Q163" s="1779"/>
      <c r="R163" s="1779"/>
      <c r="S163" s="1779"/>
      <c r="T163" s="1779"/>
      <c r="U163" s="1779"/>
      <c r="V163" s="1779"/>
      <c r="W163" s="1779"/>
      <c r="X163" s="1779"/>
      <c r="Y163" s="1779"/>
      <c r="Z163" s="1779"/>
      <c r="AA163" s="1779"/>
      <c r="AB163" s="1779"/>
      <c r="AC163" s="1779"/>
    </row>
    <row r="164" spans="1:29">
      <c r="A164" s="1779"/>
      <c r="B164" s="1779"/>
      <c r="C164" s="1779"/>
      <c r="D164" s="1779"/>
      <c r="E164" s="1779"/>
      <c r="F164" s="1779"/>
      <c r="G164" s="1779"/>
      <c r="H164" s="1779"/>
      <c r="I164" s="1779"/>
      <c r="J164" s="1779"/>
      <c r="K164" s="1780"/>
      <c r="L164" s="1781"/>
      <c r="M164" s="1779"/>
      <c r="N164" s="1779"/>
      <c r="O164" s="1779"/>
      <c r="P164" s="1779"/>
      <c r="Q164" s="1779"/>
      <c r="R164" s="1779"/>
      <c r="S164" s="1779"/>
      <c r="T164" s="1779"/>
      <c r="U164" s="1779"/>
      <c r="V164" s="1779"/>
      <c r="W164" s="1779"/>
      <c r="X164" s="1779"/>
      <c r="Y164" s="1779"/>
      <c r="Z164" s="1779"/>
      <c r="AA164" s="1779"/>
      <c r="AB164" s="1779"/>
      <c r="AC164" s="1779"/>
    </row>
    <row r="165" spans="1:29">
      <c r="A165" s="1779"/>
      <c r="B165" s="1779"/>
      <c r="C165" s="1779"/>
      <c r="D165" s="1779"/>
      <c r="E165" s="1779"/>
      <c r="F165" s="1779"/>
      <c r="G165" s="1779"/>
      <c r="H165" s="1779"/>
      <c r="I165" s="1779"/>
      <c r="J165" s="1779"/>
      <c r="K165" s="1780"/>
      <c r="L165" s="1781"/>
      <c r="M165" s="1779"/>
      <c r="N165" s="1779"/>
      <c r="O165" s="1779"/>
      <c r="P165" s="1779"/>
      <c r="Q165" s="1779"/>
      <c r="R165" s="1779"/>
      <c r="S165" s="1779"/>
      <c r="T165" s="1779"/>
      <c r="U165" s="1779"/>
      <c r="V165" s="1779"/>
      <c r="W165" s="1779"/>
      <c r="X165" s="1779"/>
      <c r="Y165" s="1779"/>
      <c r="Z165" s="1779"/>
      <c r="AA165" s="1779"/>
      <c r="AB165" s="1779"/>
      <c r="AC165" s="1779"/>
    </row>
    <row r="166" spans="1:29">
      <c r="A166" s="1779"/>
      <c r="B166" s="1779"/>
      <c r="C166" s="1779"/>
      <c r="D166" s="1779"/>
      <c r="E166" s="1779"/>
      <c r="F166" s="1779"/>
      <c r="G166" s="1779"/>
      <c r="H166" s="1779"/>
      <c r="I166" s="1779"/>
      <c r="J166" s="1779"/>
      <c r="K166" s="1780"/>
      <c r="L166" s="1781"/>
      <c r="M166" s="1779"/>
      <c r="N166" s="1779"/>
      <c r="O166" s="1779"/>
      <c r="P166" s="1779"/>
      <c r="Q166" s="1779"/>
      <c r="R166" s="1779"/>
      <c r="S166" s="1779"/>
      <c r="T166" s="1779"/>
      <c r="U166" s="1779"/>
      <c r="V166" s="1779"/>
      <c r="W166" s="1779"/>
      <c r="X166" s="1779"/>
      <c r="Y166" s="1779"/>
      <c r="Z166" s="1779"/>
      <c r="AA166" s="1779"/>
      <c r="AB166" s="1779"/>
      <c r="AC166" s="1779"/>
    </row>
    <row r="167" spans="1:29">
      <c r="A167" s="1779"/>
      <c r="B167" s="1779"/>
      <c r="C167" s="1779"/>
      <c r="D167" s="1779"/>
      <c r="E167" s="1779"/>
      <c r="F167" s="1779"/>
      <c r="G167" s="1779"/>
      <c r="H167" s="1779"/>
      <c r="I167" s="1779"/>
      <c r="J167" s="1779"/>
      <c r="K167" s="1780"/>
      <c r="L167" s="1781"/>
      <c r="M167" s="1779"/>
      <c r="N167" s="1779"/>
      <c r="O167" s="1779"/>
      <c r="P167" s="1779"/>
      <c r="Q167" s="1779"/>
      <c r="R167" s="1779"/>
      <c r="S167" s="1779"/>
      <c r="T167" s="1779"/>
      <c r="U167" s="1779"/>
      <c r="V167" s="1779"/>
      <c r="W167" s="1779"/>
      <c r="X167" s="1779"/>
      <c r="Y167" s="1779"/>
      <c r="Z167" s="1779"/>
      <c r="AA167" s="1779"/>
      <c r="AB167" s="1779"/>
      <c r="AC167" s="1779"/>
    </row>
    <row r="168" spans="1:29">
      <c r="A168" s="1779"/>
      <c r="B168" s="1779"/>
      <c r="C168" s="1779"/>
      <c r="D168" s="1779"/>
      <c r="E168" s="1779"/>
      <c r="F168" s="1779"/>
      <c r="G168" s="1779"/>
      <c r="H168" s="1779"/>
      <c r="I168" s="1779"/>
      <c r="J168" s="1779"/>
      <c r="K168" s="1780"/>
      <c r="L168" s="1781"/>
      <c r="M168" s="1779"/>
      <c r="N168" s="1779"/>
      <c r="O168" s="1779"/>
      <c r="P168" s="1779"/>
      <c r="Q168" s="1779"/>
      <c r="R168" s="1779"/>
      <c r="S168" s="1779"/>
      <c r="T168" s="1779"/>
      <c r="U168" s="1779"/>
      <c r="V168" s="1779"/>
      <c r="W168" s="1779"/>
      <c r="X168" s="1779"/>
      <c r="Y168" s="1779"/>
      <c r="Z168" s="1779"/>
      <c r="AA168" s="1779"/>
      <c r="AB168" s="1779"/>
      <c r="AC168" s="1779"/>
    </row>
    <row r="169" spans="1:29">
      <c r="A169" s="1779"/>
      <c r="B169" s="1779"/>
      <c r="C169" s="1779"/>
      <c r="D169" s="1779"/>
      <c r="E169" s="1779"/>
      <c r="F169" s="1779"/>
      <c r="G169" s="1779"/>
      <c r="H169" s="1779"/>
      <c r="I169" s="1779"/>
      <c r="J169" s="1779"/>
      <c r="K169" s="1780"/>
      <c r="L169" s="1781"/>
      <c r="M169" s="1779"/>
      <c r="N169" s="1779"/>
      <c r="O169" s="1779"/>
      <c r="P169" s="1779"/>
      <c r="Q169" s="1779"/>
      <c r="R169" s="1779"/>
      <c r="S169" s="1779"/>
      <c r="T169" s="1779"/>
      <c r="U169" s="1779"/>
      <c r="V169" s="1779"/>
      <c r="W169" s="1779"/>
      <c r="X169" s="1779"/>
      <c r="Y169" s="1779"/>
      <c r="Z169" s="1779"/>
      <c r="AA169" s="1779"/>
      <c r="AB169" s="1779"/>
      <c r="AC169" s="1779"/>
    </row>
    <row r="170" spans="1:29">
      <c r="A170" s="1779"/>
      <c r="B170" s="1779"/>
      <c r="C170" s="1779"/>
      <c r="D170" s="1779"/>
      <c r="E170" s="1779"/>
      <c r="F170" s="1779"/>
      <c r="G170" s="1779"/>
      <c r="H170" s="1779"/>
      <c r="I170" s="1779"/>
      <c r="J170" s="1779"/>
      <c r="K170" s="1780"/>
      <c r="L170" s="1781"/>
      <c r="M170" s="1779"/>
      <c r="N170" s="1779"/>
      <c r="O170" s="1779"/>
      <c r="P170" s="1779"/>
      <c r="Q170" s="1779"/>
      <c r="R170" s="1779"/>
      <c r="S170" s="1779"/>
      <c r="T170" s="1779"/>
      <c r="U170" s="1779"/>
      <c r="V170" s="1779"/>
      <c r="W170" s="1779"/>
      <c r="X170" s="1779"/>
      <c r="Y170" s="1779"/>
      <c r="Z170" s="1779"/>
      <c r="AA170" s="1779"/>
      <c r="AB170" s="1779"/>
      <c r="AC170" s="1779"/>
    </row>
    <row r="171" spans="1:29">
      <c r="A171" s="1779"/>
      <c r="B171" s="1779"/>
      <c r="C171" s="1779"/>
      <c r="D171" s="1779"/>
      <c r="E171" s="1779"/>
      <c r="F171" s="1779"/>
      <c r="G171" s="1779"/>
      <c r="H171" s="1779"/>
      <c r="I171" s="1779"/>
      <c r="J171" s="1779"/>
      <c r="K171" s="1780"/>
      <c r="L171" s="1781"/>
      <c r="M171" s="1779"/>
      <c r="N171" s="1779"/>
      <c r="O171" s="1779"/>
      <c r="P171" s="1779"/>
      <c r="Q171" s="1779"/>
      <c r="R171" s="1779"/>
      <c r="S171" s="1779"/>
      <c r="T171" s="1779"/>
      <c r="U171" s="1779"/>
      <c r="V171" s="1779"/>
      <c r="W171" s="1779"/>
      <c r="X171" s="1779"/>
      <c r="Y171" s="1779"/>
      <c r="Z171" s="1779"/>
      <c r="AA171" s="1779"/>
      <c r="AB171" s="1779"/>
      <c r="AC171" s="1779"/>
    </row>
    <row r="172" spans="1:29">
      <c r="A172" s="1779"/>
      <c r="B172" s="1779"/>
      <c r="C172" s="1779"/>
      <c r="D172" s="1779"/>
      <c r="E172" s="1779"/>
      <c r="F172" s="1779"/>
      <c r="G172" s="1779"/>
      <c r="H172" s="1779"/>
      <c r="I172" s="1779"/>
      <c r="J172" s="1779"/>
      <c r="K172" s="1780"/>
      <c r="L172" s="1781"/>
      <c r="M172" s="1779"/>
      <c r="N172" s="1779"/>
      <c r="O172" s="1779"/>
      <c r="P172" s="1779"/>
      <c r="Q172" s="1779"/>
      <c r="R172" s="1779"/>
      <c r="S172" s="1779"/>
      <c r="T172" s="1779"/>
      <c r="U172" s="1779"/>
      <c r="V172" s="1779"/>
      <c r="W172" s="1779"/>
      <c r="X172" s="1779"/>
      <c r="Y172" s="1779"/>
      <c r="Z172" s="1779"/>
      <c r="AA172" s="1779"/>
      <c r="AB172" s="1779"/>
      <c r="AC172" s="1779"/>
    </row>
    <row r="173" spans="1:29">
      <c r="A173" s="1779"/>
      <c r="B173" s="1779"/>
      <c r="C173" s="1779"/>
      <c r="D173" s="1779"/>
      <c r="E173" s="1779"/>
      <c r="F173" s="1779"/>
      <c r="G173" s="1779"/>
      <c r="H173" s="1779"/>
      <c r="I173" s="1779"/>
      <c r="J173" s="1779"/>
      <c r="K173" s="1780"/>
      <c r="L173" s="1781"/>
      <c r="M173" s="1779"/>
      <c r="N173" s="1779"/>
      <c r="O173" s="1779"/>
      <c r="P173" s="1779"/>
      <c r="Q173" s="1779"/>
      <c r="R173" s="1779"/>
      <c r="S173" s="1779"/>
      <c r="T173" s="1779"/>
      <c r="U173" s="1779"/>
      <c r="V173" s="1779"/>
      <c r="W173" s="1779"/>
      <c r="X173" s="1779"/>
      <c r="Y173" s="1779"/>
      <c r="Z173" s="1779"/>
      <c r="AA173" s="1779"/>
      <c r="AB173" s="1779"/>
      <c r="AC173" s="1779"/>
    </row>
    <row r="174" spans="1:29">
      <c r="A174" s="1779"/>
      <c r="B174" s="1779"/>
      <c r="C174" s="1779"/>
      <c r="D174" s="1779"/>
      <c r="E174" s="1779"/>
      <c r="F174" s="1779"/>
      <c r="G174" s="1779"/>
      <c r="H174" s="1779"/>
      <c r="I174" s="1779"/>
      <c r="J174" s="1779"/>
      <c r="K174" s="1780"/>
      <c r="L174" s="1781"/>
      <c r="M174" s="1779"/>
      <c r="N174" s="1779"/>
      <c r="O174" s="1779"/>
      <c r="P174" s="1779"/>
      <c r="Q174" s="1779"/>
      <c r="R174" s="1779"/>
      <c r="S174" s="1779"/>
      <c r="T174" s="1779"/>
      <c r="U174" s="1779"/>
      <c r="V174" s="1779"/>
      <c r="W174" s="1779"/>
      <c r="X174" s="1779"/>
      <c r="Y174" s="1779"/>
      <c r="Z174" s="1779"/>
      <c r="AA174" s="1779"/>
      <c r="AB174" s="1779"/>
      <c r="AC174" s="1779"/>
    </row>
    <row r="175" spans="1:29">
      <c r="A175" s="1779"/>
      <c r="B175" s="1779"/>
      <c r="C175" s="1779"/>
      <c r="D175" s="1779"/>
      <c r="E175" s="1779"/>
      <c r="F175" s="1779"/>
      <c r="G175" s="1779"/>
      <c r="H175" s="1779"/>
      <c r="I175" s="1779"/>
      <c r="J175" s="1779"/>
      <c r="K175" s="1780"/>
      <c r="L175" s="1781"/>
      <c r="M175" s="1779"/>
      <c r="N175" s="1779"/>
      <c r="O175" s="1779"/>
      <c r="P175" s="1779"/>
      <c r="Q175" s="1779"/>
      <c r="R175" s="1779"/>
      <c r="S175" s="1779"/>
      <c r="T175" s="1779"/>
      <c r="U175" s="1779"/>
      <c r="V175" s="1779"/>
      <c r="W175" s="1779"/>
      <c r="X175" s="1779"/>
      <c r="Y175" s="1779"/>
      <c r="Z175" s="1779"/>
      <c r="AA175" s="1779"/>
      <c r="AB175" s="1779"/>
      <c r="AC175" s="1779"/>
    </row>
    <row r="176" spans="1:29">
      <c r="A176" s="1779"/>
      <c r="B176" s="1779"/>
      <c r="C176" s="1779"/>
      <c r="D176" s="1779"/>
      <c r="E176" s="1779"/>
      <c r="F176" s="1779"/>
      <c r="G176" s="1779"/>
      <c r="H176" s="1779"/>
      <c r="I176" s="1779"/>
      <c r="J176" s="1779"/>
      <c r="K176" s="1780"/>
      <c r="L176" s="1781"/>
      <c r="M176" s="1779"/>
      <c r="N176" s="1779"/>
      <c r="O176" s="1779"/>
      <c r="P176" s="1779"/>
      <c r="Q176" s="1779"/>
      <c r="R176" s="1779"/>
      <c r="S176" s="1779"/>
      <c r="T176" s="1779"/>
      <c r="U176" s="1779"/>
      <c r="V176" s="1779"/>
      <c r="W176" s="1779"/>
      <c r="X176" s="1779"/>
      <c r="Y176" s="1779"/>
      <c r="Z176" s="1779"/>
      <c r="AA176" s="1779"/>
      <c r="AB176" s="1779"/>
      <c r="AC176" s="1779"/>
    </row>
    <row r="177" spans="1:29">
      <c r="A177" s="1779"/>
      <c r="B177" s="1779"/>
      <c r="C177" s="1779"/>
      <c r="D177" s="1779"/>
      <c r="E177" s="1779"/>
      <c r="F177" s="1779"/>
      <c r="G177" s="1779"/>
      <c r="H177" s="1779"/>
      <c r="I177" s="1779"/>
      <c r="J177" s="1779"/>
      <c r="K177" s="1780"/>
      <c r="L177" s="1781"/>
      <c r="M177" s="1779"/>
      <c r="N177" s="1779"/>
      <c r="O177" s="1779"/>
      <c r="P177" s="1779"/>
      <c r="Q177" s="1779"/>
      <c r="R177" s="1779"/>
      <c r="S177" s="1779"/>
      <c r="T177" s="1779"/>
      <c r="U177" s="1779"/>
      <c r="V177" s="1779"/>
      <c r="W177" s="1779"/>
      <c r="X177" s="1779"/>
      <c r="Y177" s="1779"/>
      <c r="Z177" s="1779"/>
      <c r="AA177" s="1779"/>
      <c r="AB177" s="1779"/>
      <c r="AC177" s="1779"/>
    </row>
    <row r="178" spans="1:29">
      <c r="A178" s="1779"/>
      <c r="B178" s="1779"/>
      <c r="C178" s="1779"/>
      <c r="D178" s="1779"/>
      <c r="E178" s="1779"/>
      <c r="F178" s="1779"/>
      <c r="G178" s="1779"/>
      <c r="H178" s="1779"/>
      <c r="I178" s="1779"/>
      <c r="J178" s="1779"/>
      <c r="K178" s="1780"/>
      <c r="L178" s="1781"/>
      <c r="M178" s="1779"/>
      <c r="N178" s="1779"/>
      <c r="O178" s="1779"/>
      <c r="P178" s="1779"/>
      <c r="Q178" s="1779"/>
      <c r="R178" s="1779"/>
      <c r="S178" s="1779"/>
      <c r="T178" s="1779"/>
      <c r="U178" s="1779"/>
      <c r="V178" s="1779"/>
      <c r="W178" s="1779"/>
      <c r="X178" s="1779"/>
      <c r="Y178" s="1779"/>
      <c r="Z178" s="1779"/>
      <c r="AA178" s="1779"/>
      <c r="AB178" s="1779"/>
      <c r="AC178" s="1779"/>
    </row>
    <row r="179" spans="1:29">
      <c r="A179" s="1779"/>
      <c r="B179" s="1779"/>
      <c r="C179" s="1779"/>
      <c r="D179" s="1779"/>
      <c r="E179" s="1779"/>
      <c r="F179" s="1779"/>
      <c r="G179" s="1779"/>
      <c r="H179" s="1779"/>
      <c r="I179" s="1779"/>
      <c r="J179" s="1779"/>
      <c r="K179" s="1780"/>
      <c r="L179" s="1781"/>
      <c r="M179" s="1779"/>
      <c r="N179" s="1779"/>
      <c r="O179" s="1779"/>
      <c r="P179" s="1779"/>
      <c r="Q179" s="1779"/>
      <c r="R179" s="1779"/>
      <c r="S179" s="1779"/>
      <c r="T179" s="1779"/>
      <c r="U179" s="1779"/>
      <c r="V179" s="1779"/>
      <c r="W179" s="1779"/>
      <c r="X179" s="1779"/>
      <c r="Y179" s="1779"/>
      <c r="Z179" s="1779"/>
      <c r="AA179" s="1779"/>
      <c r="AB179" s="1779"/>
      <c r="AC179" s="1779"/>
    </row>
    <row r="180" spans="1:29">
      <c r="A180" s="1779"/>
      <c r="B180" s="1779"/>
      <c r="C180" s="1779"/>
      <c r="D180" s="1779"/>
      <c r="E180" s="1779"/>
      <c r="F180" s="1779"/>
      <c r="G180" s="1779"/>
      <c r="H180" s="1779"/>
      <c r="I180" s="1779"/>
      <c r="J180" s="1779"/>
      <c r="K180" s="1780"/>
      <c r="L180" s="1781"/>
      <c r="M180" s="1779"/>
      <c r="N180" s="1779"/>
      <c r="O180" s="1779"/>
      <c r="P180" s="1779"/>
      <c r="Q180" s="1779"/>
      <c r="R180" s="1779"/>
      <c r="S180" s="1779"/>
      <c r="T180" s="1779"/>
      <c r="U180" s="1779"/>
      <c r="V180" s="1779"/>
      <c r="W180" s="1779"/>
      <c r="X180" s="1779"/>
      <c r="Y180" s="1779"/>
      <c r="Z180" s="1779"/>
      <c r="AA180" s="1779"/>
      <c r="AB180" s="1779"/>
      <c r="AC180" s="1779"/>
    </row>
    <row r="181" spans="1:29">
      <c r="A181" s="1779"/>
      <c r="B181" s="1779"/>
      <c r="C181" s="1779"/>
      <c r="D181" s="1779"/>
      <c r="E181" s="1779"/>
      <c r="F181" s="1779"/>
      <c r="G181" s="1779"/>
      <c r="H181" s="1779"/>
      <c r="I181" s="1779"/>
      <c r="J181" s="1779"/>
      <c r="K181" s="1780"/>
      <c r="L181" s="1781"/>
      <c r="M181" s="1779"/>
      <c r="N181" s="1779"/>
      <c r="O181" s="1779"/>
      <c r="P181" s="1779"/>
      <c r="Q181" s="1779"/>
      <c r="R181" s="1779"/>
      <c r="S181" s="1779"/>
      <c r="T181" s="1779"/>
      <c r="U181" s="1779"/>
      <c r="V181" s="1779"/>
      <c r="W181" s="1779"/>
      <c r="X181" s="1779"/>
      <c r="Y181" s="1779"/>
      <c r="Z181" s="1779"/>
      <c r="AA181" s="1779"/>
      <c r="AB181" s="1779"/>
      <c r="AC181" s="1779"/>
    </row>
    <row r="182" spans="1:29">
      <c r="A182" s="1779"/>
      <c r="B182" s="1779"/>
      <c r="C182" s="1779"/>
      <c r="D182" s="1779"/>
      <c r="E182" s="1779"/>
      <c r="F182" s="1779"/>
      <c r="G182" s="1779"/>
      <c r="H182" s="1779"/>
      <c r="I182" s="1779"/>
      <c r="J182" s="1779"/>
      <c r="K182" s="1780"/>
      <c r="L182" s="1781"/>
      <c r="M182" s="1779"/>
      <c r="N182" s="1779"/>
      <c r="O182" s="1779"/>
      <c r="P182" s="1779"/>
      <c r="Q182" s="1779"/>
      <c r="R182" s="1779"/>
      <c r="S182" s="1779"/>
      <c r="T182" s="1779"/>
      <c r="U182" s="1779"/>
      <c r="V182" s="1779"/>
      <c r="W182" s="1779"/>
      <c r="X182" s="1779"/>
      <c r="Y182" s="1779"/>
      <c r="Z182" s="1779"/>
      <c r="AA182" s="1779"/>
      <c r="AB182" s="1779"/>
      <c r="AC182" s="1779"/>
    </row>
    <row r="183" spans="1:29">
      <c r="A183" s="1779"/>
      <c r="B183" s="1779"/>
      <c r="C183" s="1779"/>
      <c r="D183" s="1779"/>
      <c r="E183" s="1779"/>
      <c r="F183" s="1779"/>
      <c r="G183" s="1779"/>
      <c r="H183" s="1779"/>
      <c r="I183" s="1779"/>
      <c r="J183" s="1779"/>
      <c r="K183" s="1780"/>
      <c r="L183" s="1781"/>
      <c r="M183" s="1779"/>
      <c r="N183" s="1779"/>
      <c r="O183" s="1779"/>
      <c r="P183" s="1779"/>
      <c r="Q183" s="1779"/>
      <c r="R183" s="1779"/>
      <c r="S183" s="1779"/>
      <c r="T183" s="1779"/>
      <c r="U183" s="1779"/>
      <c r="V183" s="1779"/>
      <c r="W183" s="1779"/>
      <c r="X183" s="1779"/>
      <c r="Y183" s="1779"/>
      <c r="Z183" s="1779"/>
      <c r="AA183" s="1779"/>
      <c r="AB183" s="1779"/>
      <c r="AC183" s="1779"/>
    </row>
    <row r="184" spans="1:29">
      <c r="A184" s="1779"/>
      <c r="B184" s="1779"/>
      <c r="C184" s="1779"/>
      <c r="D184" s="1779"/>
      <c r="E184" s="1779"/>
      <c r="F184" s="1779"/>
      <c r="G184" s="1779"/>
      <c r="H184" s="1779"/>
      <c r="I184" s="1779"/>
      <c r="J184" s="1779"/>
      <c r="K184" s="1780"/>
      <c r="L184" s="1781"/>
      <c r="M184" s="1779"/>
      <c r="N184" s="1779"/>
      <c r="O184" s="1779"/>
      <c r="P184" s="1779"/>
      <c r="Q184" s="1779"/>
      <c r="R184" s="1779"/>
      <c r="S184" s="1779"/>
      <c r="T184" s="1779"/>
      <c r="U184" s="1779"/>
      <c r="V184" s="1779"/>
      <c r="W184" s="1779"/>
      <c r="X184" s="1779"/>
      <c r="Y184" s="1779"/>
      <c r="Z184" s="1779"/>
      <c r="AA184" s="1779"/>
      <c r="AB184" s="1779"/>
      <c r="AC184" s="1779"/>
    </row>
    <row r="185" spans="1:29">
      <c r="A185" s="1779"/>
      <c r="B185" s="1779"/>
      <c r="C185" s="1779"/>
      <c r="D185" s="1779"/>
      <c r="E185" s="1779"/>
      <c r="F185" s="1779"/>
      <c r="G185" s="1779"/>
      <c r="H185" s="1779"/>
      <c r="I185" s="1779"/>
      <c r="J185" s="1779"/>
      <c r="K185" s="1780"/>
      <c r="L185" s="1781"/>
      <c r="M185" s="1779"/>
      <c r="N185" s="1779"/>
      <c r="O185" s="1779"/>
      <c r="P185" s="1779"/>
      <c r="Q185" s="1779"/>
      <c r="R185" s="1779"/>
      <c r="S185" s="1779"/>
      <c r="T185" s="1779"/>
      <c r="U185" s="1779"/>
      <c r="V185" s="1779"/>
      <c r="W185" s="1779"/>
      <c r="X185" s="1779"/>
      <c r="Y185" s="1779"/>
      <c r="Z185" s="1779"/>
      <c r="AA185" s="1779"/>
      <c r="AB185" s="1779"/>
      <c r="AC185" s="1779"/>
    </row>
    <row r="186" spans="1:29">
      <c r="A186" s="1779"/>
      <c r="B186" s="1779"/>
      <c r="C186" s="1779"/>
      <c r="D186" s="1779"/>
      <c r="E186" s="1779"/>
      <c r="F186" s="1779"/>
      <c r="G186" s="1779"/>
      <c r="H186" s="1779"/>
      <c r="I186" s="1779"/>
      <c r="J186" s="1779"/>
      <c r="K186" s="1780"/>
      <c r="L186" s="1781"/>
      <c r="M186" s="1779"/>
      <c r="N186" s="1779"/>
      <c r="O186" s="1779"/>
      <c r="P186" s="1779"/>
      <c r="Q186" s="1779"/>
      <c r="R186" s="1779"/>
      <c r="S186" s="1779"/>
      <c r="T186" s="1779"/>
      <c r="U186" s="1779"/>
      <c r="V186" s="1779"/>
      <c r="W186" s="1779"/>
      <c r="X186" s="1779"/>
      <c r="Y186" s="1779"/>
      <c r="Z186" s="1779"/>
      <c r="AA186" s="1779"/>
      <c r="AB186" s="1779"/>
      <c r="AC186" s="1779"/>
    </row>
    <row r="187" spans="1:29">
      <c r="A187" s="1779"/>
      <c r="B187" s="1779"/>
      <c r="C187" s="1779"/>
      <c r="D187" s="1779"/>
      <c r="E187" s="1779"/>
      <c r="F187" s="1779"/>
      <c r="G187" s="1779"/>
      <c r="H187" s="1779"/>
      <c r="I187" s="1779"/>
      <c r="J187" s="1779"/>
      <c r="K187" s="1780"/>
      <c r="L187" s="1781"/>
      <c r="M187" s="1779"/>
      <c r="N187" s="1779"/>
      <c r="O187" s="1779"/>
      <c r="P187" s="1779"/>
      <c r="Q187" s="1779"/>
      <c r="R187" s="1779"/>
      <c r="S187" s="1779"/>
      <c r="T187" s="1779"/>
      <c r="U187" s="1779"/>
      <c r="V187" s="1779"/>
      <c r="W187" s="1779"/>
      <c r="X187" s="1779"/>
      <c r="Y187" s="1779"/>
      <c r="Z187" s="1779"/>
      <c r="AA187" s="1779"/>
      <c r="AB187" s="1779"/>
      <c r="AC187" s="1779"/>
    </row>
    <row r="188" spans="1:29">
      <c r="A188" s="1779"/>
      <c r="B188" s="1779"/>
      <c r="C188" s="1779"/>
      <c r="D188" s="1779"/>
      <c r="E188" s="1779"/>
      <c r="F188" s="1779"/>
      <c r="G188" s="1779"/>
      <c r="H188" s="1779"/>
      <c r="I188" s="1779"/>
      <c r="J188" s="1779"/>
      <c r="K188" s="1780"/>
      <c r="L188" s="1781"/>
      <c r="M188" s="1779"/>
      <c r="N188" s="1779"/>
      <c r="O188" s="1779"/>
      <c r="P188" s="1779"/>
      <c r="Q188" s="1779"/>
      <c r="R188" s="1779"/>
      <c r="S188" s="1779"/>
      <c r="T188" s="1779"/>
      <c r="U188" s="1779"/>
      <c r="V188" s="1779"/>
      <c r="W188" s="1779"/>
      <c r="X188" s="1779"/>
      <c r="Y188" s="1779"/>
      <c r="Z188" s="1779"/>
      <c r="AA188" s="1779"/>
      <c r="AB188" s="1779"/>
      <c r="AC188" s="1779"/>
    </row>
    <row r="189" spans="1:29">
      <c r="A189" s="1779"/>
      <c r="B189" s="1779"/>
      <c r="C189" s="1779"/>
      <c r="D189" s="1779"/>
      <c r="E189" s="1779"/>
      <c r="F189" s="1779"/>
      <c r="G189" s="1779"/>
      <c r="H189" s="1779"/>
      <c r="I189" s="1779"/>
      <c r="J189" s="1779"/>
      <c r="K189" s="1780"/>
      <c r="L189" s="1781"/>
      <c r="M189" s="1779"/>
      <c r="N189" s="1779"/>
      <c r="O189" s="1779"/>
      <c r="P189" s="1779"/>
      <c r="Q189" s="1779"/>
      <c r="R189" s="1779"/>
      <c r="S189" s="1779"/>
      <c r="T189" s="1779"/>
      <c r="U189" s="1779"/>
      <c r="V189" s="1779"/>
      <c r="W189" s="1779"/>
      <c r="X189" s="1779"/>
      <c r="Y189" s="1779"/>
      <c r="Z189" s="1779"/>
      <c r="AA189" s="1779"/>
      <c r="AB189" s="1779"/>
      <c r="AC189" s="1779"/>
    </row>
    <row r="190" spans="1:29">
      <c r="A190" s="1779"/>
      <c r="B190" s="1779"/>
      <c r="C190" s="1779"/>
      <c r="D190" s="1779"/>
      <c r="E190" s="1779"/>
      <c r="F190" s="1779"/>
      <c r="G190" s="1779"/>
      <c r="H190" s="1779"/>
      <c r="I190" s="1779"/>
      <c r="J190" s="1779"/>
      <c r="K190" s="1780"/>
      <c r="L190" s="1781"/>
      <c r="M190" s="1779"/>
      <c r="N190" s="1779"/>
      <c r="O190" s="1779"/>
      <c r="P190" s="1779"/>
      <c r="Q190" s="1779"/>
      <c r="R190" s="1779"/>
      <c r="S190" s="1779"/>
      <c r="T190" s="1779"/>
      <c r="U190" s="1779"/>
      <c r="V190" s="1779"/>
      <c r="W190" s="1779"/>
      <c r="X190" s="1779"/>
      <c r="Y190" s="1779"/>
      <c r="Z190" s="1779"/>
      <c r="AA190" s="1779"/>
      <c r="AB190" s="1779"/>
      <c r="AC190" s="1779"/>
    </row>
    <row r="191" spans="1:29">
      <c r="A191" s="1779"/>
      <c r="B191" s="1779"/>
      <c r="C191" s="1779"/>
      <c r="D191" s="1779"/>
      <c r="E191" s="1779"/>
      <c r="F191" s="1779"/>
      <c r="G191" s="1779"/>
      <c r="H191" s="1779"/>
      <c r="I191" s="1779"/>
      <c r="J191" s="1779"/>
      <c r="K191" s="1780"/>
      <c r="L191" s="1781"/>
      <c r="M191" s="1779"/>
      <c r="N191" s="1779"/>
      <c r="O191" s="1779"/>
      <c r="P191" s="1779"/>
      <c r="Q191" s="1779"/>
      <c r="R191" s="1779"/>
      <c r="S191" s="1779"/>
      <c r="T191" s="1779"/>
      <c r="U191" s="1779"/>
      <c r="V191" s="1779"/>
      <c r="W191" s="1779"/>
      <c r="X191" s="1779"/>
      <c r="Y191" s="1779"/>
      <c r="Z191" s="1779"/>
      <c r="AA191" s="1779"/>
      <c r="AB191" s="1779"/>
      <c r="AC191" s="1779"/>
    </row>
    <row r="192" spans="1:29">
      <c r="A192" s="1779"/>
      <c r="B192" s="1779"/>
      <c r="C192" s="1779"/>
      <c r="D192" s="1779"/>
      <c r="E192" s="1779"/>
      <c r="F192" s="1779"/>
      <c r="G192" s="1779"/>
      <c r="H192" s="1779"/>
      <c r="I192" s="1779"/>
      <c r="J192" s="1779"/>
      <c r="K192" s="1780"/>
      <c r="L192" s="1781"/>
      <c r="M192" s="1779"/>
      <c r="N192" s="1779"/>
      <c r="O192" s="1779"/>
      <c r="P192" s="1779"/>
      <c r="Q192" s="1779"/>
      <c r="R192" s="1779"/>
      <c r="S192" s="1779"/>
      <c r="T192" s="1779"/>
      <c r="U192" s="1779"/>
      <c r="V192" s="1779"/>
      <c r="W192" s="1779"/>
      <c r="X192" s="1779"/>
      <c r="Y192" s="1779"/>
      <c r="Z192" s="1779"/>
      <c r="AA192" s="1779"/>
      <c r="AB192" s="1779"/>
      <c r="AC192" s="1779"/>
    </row>
    <row r="193" spans="1:29">
      <c r="A193" s="1779"/>
      <c r="B193" s="1779"/>
      <c r="C193" s="1779"/>
      <c r="D193" s="1779"/>
      <c r="E193" s="1779"/>
      <c r="F193" s="1779"/>
      <c r="G193" s="1779"/>
      <c r="H193" s="1779"/>
      <c r="I193" s="1779"/>
      <c r="J193" s="1779"/>
      <c r="K193" s="1780"/>
      <c r="L193" s="1781"/>
      <c r="M193" s="1779"/>
      <c r="N193" s="1779"/>
      <c r="O193" s="1779"/>
      <c r="P193" s="1779"/>
      <c r="Q193" s="1779"/>
      <c r="R193" s="1779"/>
      <c r="S193" s="1779"/>
      <c r="T193" s="1779"/>
      <c r="U193" s="1779"/>
      <c r="V193" s="1779"/>
      <c r="W193" s="1779"/>
      <c r="X193" s="1779"/>
      <c r="Y193" s="1779"/>
      <c r="Z193" s="1779"/>
      <c r="AA193" s="1779"/>
      <c r="AB193" s="1779"/>
      <c r="AC193" s="1779"/>
    </row>
    <row r="194" spans="1:29">
      <c r="A194" s="1779"/>
      <c r="B194" s="1779"/>
      <c r="C194" s="1779"/>
      <c r="D194" s="1779"/>
      <c r="E194" s="1779"/>
      <c r="F194" s="1779"/>
      <c r="G194" s="1779"/>
      <c r="H194" s="1779"/>
      <c r="I194" s="1779"/>
      <c r="J194" s="1779"/>
      <c r="K194" s="1780"/>
      <c r="L194" s="1781"/>
      <c r="M194" s="1779"/>
      <c r="N194" s="1779"/>
      <c r="O194" s="1779"/>
      <c r="P194" s="1779"/>
      <c r="Q194" s="1779"/>
      <c r="R194" s="1779"/>
      <c r="S194" s="1779"/>
      <c r="T194" s="1779"/>
      <c r="U194" s="1779"/>
      <c r="V194" s="1779"/>
      <c r="W194" s="1779"/>
      <c r="X194" s="1779"/>
      <c r="Y194" s="1779"/>
      <c r="Z194" s="1779"/>
      <c r="AA194" s="1779"/>
      <c r="AB194" s="1779"/>
      <c r="AC194" s="1779"/>
    </row>
    <row r="195" spans="1:29">
      <c r="A195" s="1779"/>
      <c r="B195" s="1779"/>
      <c r="C195" s="1779"/>
      <c r="D195" s="1779"/>
      <c r="E195" s="1779"/>
      <c r="F195" s="1779"/>
      <c r="G195" s="1779"/>
      <c r="H195" s="1779"/>
      <c r="I195" s="1779"/>
      <c r="J195" s="1779"/>
      <c r="K195" s="1780"/>
      <c r="L195" s="1781"/>
      <c r="M195" s="1779"/>
      <c r="N195" s="1779"/>
      <c r="O195" s="1779"/>
      <c r="P195" s="1779"/>
      <c r="Q195" s="1779"/>
      <c r="R195" s="1779"/>
      <c r="S195" s="1779"/>
      <c r="T195" s="1779"/>
      <c r="U195" s="1779"/>
      <c r="V195" s="1779"/>
      <c r="W195" s="1779"/>
      <c r="X195" s="1779"/>
      <c r="Y195" s="1779"/>
      <c r="Z195" s="1779"/>
      <c r="AA195" s="1779"/>
      <c r="AB195" s="1779"/>
      <c r="AC195" s="1779"/>
    </row>
    <row r="196" spans="1:29">
      <c r="A196" s="1779"/>
      <c r="B196" s="1779"/>
      <c r="C196" s="1779"/>
      <c r="D196" s="1779"/>
      <c r="E196" s="1779"/>
      <c r="F196" s="1779"/>
      <c r="G196" s="1779"/>
      <c r="H196" s="1779"/>
      <c r="I196" s="1779"/>
      <c r="J196" s="1779"/>
      <c r="K196" s="1780"/>
      <c r="L196" s="1781"/>
      <c r="M196" s="1779"/>
      <c r="N196" s="1779"/>
      <c r="O196" s="1779"/>
      <c r="P196" s="1779"/>
      <c r="Q196" s="1779"/>
      <c r="R196" s="1779"/>
      <c r="S196" s="1779"/>
      <c r="T196" s="1779"/>
      <c r="U196" s="1779"/>
      <c r="V196" s="1779"/>
      <c r="W196" s="1779"/>
      <c r="X196" s="1779"/>
      <c r="Y196" s="1779"/>
      <c r="Z196" s="1779"/>
      <c r="AA196" s="1779"/>
      <c r="AB196" s="1779"/>
      <c r="AC196" s="1779"/>
    </row>
    <row r="197" spans="1:29">
      <c r="A197" s="1779"/>
      <c r="B197" s="1779"/>
      <c r="C197" s="1779"/>
      <c r="D197" s="1779"/>
      <c r="E197" s="1779"/>
      <c r="F197" s="1779"/>
      <c r="G197" s="1779"/>
      <c r="H197" s="1779"/>
      <c r="I197" s="1779"/>
      <c r="J197" s="1779"/>
      <c r="K197" s="1780"/>
      <c r="L197" s="1781"/>
      <c r="M197" s="1779"/>
      <c r="N197" s="1779"/>
      <c r="O197" s="1779"/>
      <c r="P197" s="1779"/>
      <c r="Q197" s="1779"/>
      <c r="R197" s="1779"/>
      <c r="S197" s="1779"/>
      <c r="T197" s="1779"/>
      <c r="U197" s="1779"/>
      <c r="V197" s="1779"/>
      <c r="W197" s="1779"/>
      <c r="X197" s="1779"/>
      <c r="Y197" s="1779"/>
      <c r="Z197" s="1779"/>
      <c r="AA197" s="1779"/>
      <c r="AB197" s="1779"/>
      <c r="AC197" s="1779"/>
    </row>
    <row r="198" spans="1:29">
      <c r="A198" s="1779"/>
      <c r="B198" s="1779"/>
      <c r="C198" s="1779"/>
      <c r="D198" s="1779"/>
      <c r="E198" s="1779"/>
      <c r="F198" s="1779"/>
      <c r="G198" s="1779"/>
      <c r="H198" s="1779"/>
      <c r="I198" s="1779"/>
      <c r="J198" s="1779"/>
      <c r="K198" s="1780"/>
      <c r="L198" s="1781"/>
      <c r="M198" s="1779"/>
      <c r="N198" s="1779"/>
      <c r="O198" s="1779"/>
      <c r="P198" s="1779"/>
      <c r="Q198" s="1779"/>
      <c r="R198" s="1779"/>
      <c r="S198" s="1779"/>
      <c r="T198" s="1779"/>
      <c r="U198" s="1779"/>
      <c r="V198" s="1779"/>
      <c r="W198" s="1779"/>
      <c r="X198" s="1779"/>
      <c r="Y198" s="1779"/>
      <c r="Z198" s="1779"/>
      <c r="AA198" s="1779"/>
      <c r="AB198" s="1779"/>
      <c r="AC198" s="1779"/>
    </row>
    <row r="199" spans="1:29">
      <c r="A199" s="1779"/>
      <c r="B199" s="1779"/>
      <c r="C199" s="1779"/>
      <c r="D199" s="1779"/>
      <c r="E199" s="1779"/>
      <c r="F199" s="1779"/>
      <c r="G199" s="1779"/>
      <c r="H199" s="1779"/>
      <c r="I199" s="1779"/>
      <c r="J199" s="1779"/>
      <c r="K199" s="1780"/>
      <c r="L199" s="1781"/>
      <c r="M199" s="1779"/>
      <c r="N199" s="1779"/>
      <c r="O199" s="1779"/>
      <c r="P199" s="1779"/>
      <c r="Q199" s="1779"/>
      <c r="R199" s="1779"/>
      <c r="S199" s="1779"/>
      <c r="T199" s="1779"/>
      <c r="U199" s="1779"/>
      <c r="V199" s="1779"/>
      <c r="W199" s="1779"/>
      <c r="X199" s="1779"/>
      <c r="Y199" s="1779"/>
      <c r="Z199" s="1779"/>
      <c r="AA199" s="1779"/>
      <c r="AB199" s="1779"/>
      <c r="AC199" s="1779"/>
    </row>
    <row r="200" spans="1:29">
      <c r="A200" s="1779"/>
      <c r="B200" s="1779"/>
      <c r="C200" s="1779"/>
      <c r="D200" s="1779"/>
      <c r="E200" s="1779"/>
      <c r="F200" s="1779"/>
      <c r="G200" s="1779"/>
      <c r="H200" s="1779"/>
      <c r="I200" s="1779"/>
      <c r="J200" s="1779"/>
      <c r="K200" s="1780"/>
      <c r="L200" s="1781"/>
      <c r="M200" s="1779"/>
      <c r="N200" s="1779"/>
      <c r="O200" s="1779"/>
      <c r="P200" s="1779"/>
      <c r="Q200" s="1779"/>
      <c r="R200" s="1779"/>
      <c r="S200" s="1779"/>
      <c r="T200" s="1779"/>
      <c r="U200" s="1779"/>
      <c r="V200" s="1779"/>
      <c r="W200" s="1779"/>
      <c r="X200" s="1779"/>
      <c r="Y200" s="1779"/>
      <c r="Z200" s="1779"/>
      <c r="AA200" s="1779"/>
      <c r="AB200" s="1779"/>
      <c r="AC200" s="1779"/>
    </row>
    <row r="201" spans="1:29">
      <c r="A201" s="1779"/>
      <c r="B201" s="1779"/>
      <c r="C201" s="1779"/>
      <c r="D201" s="1779"/>
      <c r="E201" s="1779"/>
      <c r="F201" s="1779"/>
      <c r="G201" s="1779"/>
      <c r="H201" s="1779"/>
      <c r="I201" s="1779"/>
      <c r="J201" s="1779"/>
      <c r="K201" s="1780"/>
      <c r="L201" s="1781"/>
      <c r="M201" s="1779"/>
      <c r="N201" s="1779"/>
      <c r="O201" s="1779"/>
      <c r="P201" s="1779"/>
      <c r="Q201" s="1779"/>
      <c r="R201" s="1779"/>
      <c r="S201" s="1779"/>
      <c r="T201" s="1779"/>
      <c r="U201" s="1779"/>
      <c r="V201" s="1779"/>
      <c r="W201" s="1779"/>
      <c r="X201" s="1779"/>
      <c r="Y201" s="1779"/>
      <c r="Z201" s="1779"/>
      <c r="AA201" s="1779"/>
      <c r="AB201" s="1779"/>
      <c r="AC201" s="1779"/>
    </row>
    <row r="202" spans="1:29">
      <c r="A202" s="1779"/>
      <c r="B202" s="1779"/>
      <c r="C202" s="1779"/>
      <c r="D202" s="1779"/>
      <c r="E202" s="1779"/>
      <c r="F202" s="1779"/>
      <c r="G202" s="1779"/>
      <c r="H202" s="1779"/>
      <c r="I202" s="1779"/>
      <c r="J202" s="1779"/>
      <c r="K202" s="1780"/>
      <c r="L202" s="1781"/>
      <c r="M202" s="1779"/>
      <c r="N202" s="1779"/>
      <c r="O202" s="1779"/>
      <c r="P202" s="1779"/>
      <c r="Q202" s="1779"/>
      <c r="R202" s="1779"/>
      <c r="S202" s="1779"/>
      <c r="T202" s="1779"/>
      <c r="U202" s="1779"/>
      <c r="V202" s="1779"/>
      <c r="W202" s="1779"/>
      <c r="X202" s="1779"/>
      <c r="Y202" s="1779"/>
      <c r="Z202" s="1779"/>
      <c r="AA202" s="1779"/>
      <c r="AB202" s="1779"/>
      <c r="AC202" s="1779"/>
    </row>
    <row r="203" spans="1:29">
      <c r="A203" s="1779"/>
      <c r="B203" s="1779"/>
      <c r="C203" s="1779"/>
      <c r="D203" s="1779"/>
      <c r="E203" s="1779"/>
      <c r="F203" s="1779"/>
      <c r="G203" s="1779"/>
      <c r="H203" s="1779"/>
      <c r="I203" s="1779"/>
      <c r="J203" s="1779"/>
      <c r="K203" s="1780"/>
      <c r="L203" s="1781"/>
      <c r="M203" s="1779"/>
      <c r="N203" s="1779"/>
      <c r="O203" s="1779"/>
      <c r="P203" s="1779"/>
      <c r="Q203" s="1779"/>
      <c r="R203" s="1779"/>
      <c r="S203" s="1779"/>
      <c r="T203" s="1779"/>
      <c r="U203" s="1779"/>
      <c r="V203" s="1779"/>
      <c r="W203" s="1779"/>
      <c r="X203" s="1779"/>
      <c r="Y203" s="1779"/>
      <c r="Z203" s="1779"/>
      <c r="AA203" s="1779"/>
      <c r="AB203" s="1779"/>
      <c r="AC203" s="1779"/>
    </row>
    <row r="204" spans="1:29">
      <c r="A204" s="1779"/>
      <c r="B204" s="1779"/>
      <c r="C204" s="1779"/>
      <c r="D204" s="1779"/>
      <c r="E204" s="1779"/>
      <c r="F204" s="1779"/>
      <c r="G204" s="1779"/>
      <c r="H204" s="1779"/>
      <c r="I204" s="1779"/>
      <c r="J204" s="1779"/>
      <c r="K204" s="1780"/>
      <c r="L204" s="1781"/>
      <c r="M204" s="1779"/>
      <c r="N204" s="1779"/>
      <c r="O204" s="1779"/>
      <c r="P204" s="1779"/>
      <c r="Q204" s="1779"/>
      <c r="R204" s="1779"/>
      <c r="S204" s="1779"/>
      <c r="T204" s="1779"/>
      <c r="U204" s="1779"/>
      <c r="V204" s="1779"/>
      <c r="W204" s="1779"/>
      <c r="X204" s="1779"/>
      <c r="Y204" s="1779"/>
      <c r="Z204" s="1779"/>
      <c r="AA204" s="1779"/>
      <c r="AB204" s="1779"/>
      <c r="AC204" s="1779"/>
    </row>
    <row r="205" spans="1:29">
      <c r="A205" s="1779"/>
      <c r="B205" s="1779"/>
      <c r="C205" s="1779"/>
      <c r="D205" s="1779"/>
      <c r="E205" s="1779"/>
      <c r="F205" s="1779"/>
      <c r="G205" s="1779"/>
      <c r="H205" s="1779"/>
      <c r="I205" s="1779"/>
      <c r="J205" s="1779"/>
      <c r="K205" s="1780"/>
      <c r="L205" s="1781"/>
      <c r="M205" s="1779"/>
      <c r="N205" s="1779"/>
      <c r="O205" s="1779"/>
      <c r="P205" s="1779"/>
      <c r="Q205" s="1779"/>
      <c r="R205" s="1779"/>
      <c r="S205" s="1779"/>
      <c r="T205" s="1779"/>
      <c r="U205" s="1779"/>
      <c r="V205" s="1779"/>
      <c r="W205" s="1779"/>
      <c r="X205" s="1779"/>
      <c r="Y205" s="1779"/>
      <c r="Z205" s="1779"/>
      <c r="AA205" s="1779"/>
      <c r="AB205" s="1779"/>
      <c r="AC205" s="1779"/>
    </row>
    <row r="206" spans="1:29">
      <c r="A206" s="1779"/>
      <c r="B206" s="1779"/>
      <c r="C206" s="1779"/>
      <c r="D206" s="1779"/>
      <c r="E206" s="1779"/>
      <c r="F206" s="1779"/>
      <c r="G206" s="1779"/>
      <c r="H206" s="1779"/>
      <c r="I206" s="1779"/>
      <c r="J206" s="1779"/>
      <c r="K206" s="1780"/>
      <c r="L206" s="1781"/>
      <c r="M206" s="1779"/>
      <c r="N206" s="1779"/>
      <c r="O206" s="1779"/>
      <c r="P206" s="1779"/>
      <c r="Q206" s="1779"/>
      <c r="R206" s="1779"/>
      <c r="S206" s="1779"/>
      <c r="T206" s="1779"/>
      <c r="U206" s="1779"/>
      <c r="V206" s="1779"/>
      <c r="W206" s="1779"/>
      <c r="X206" s="1779"/>
      <c r="Y206" s="1779"/>
      <c r="Z206" s="1779"/>
      <c r="AA206" s="1779"/>
      <c r="AB206" s="1779"/>
      <c r="AC206" s="1779"/>
    </row>
    <row r="207" spans="1:29">
      <c r="A207" s="1779"/>
      <c r="B207" s="1779"/>
      <c r="C207" s="1779"/>
      <c r="D207" s="1779"/>
      <c r="E207" s="1779"/>
      <c r="F207" s="1779"/>
      <c r="G207" s="1779"/>
      <c r="H207" s="1779"/>
      <c r="I207" s="1779"/>
      <c r="J207" s="1779"/>
      <c r="K207" s="1780"/>
      <c r="L207" s="1781"/>
      <c r="M207" s="1779"/>
      <c r="N207" s="1779"/>
      <c r="O207" s="1779"/>
      <c r="P207" s="1779"/>
      <c r="Q207" s="1779"/>
      <c r="R207" s="1779"/>
      <c r="S207" s="1779"/>
      <c r="T207" s="1779"/>
      <c r="U207" s="1779"/>
      <c r="V207" s="1779"/>
      <c r="W207" s="1779"/>
      <c r="X207" s="1779"/>
      <c r="Y207" s="1779"/>
      <c r="Z207" s="1779"/>
      <c r="AA207" s="1779"/>
      <c r="AB207" s="1779"/>
      <c r="AC207" s="1779"/>
    </row>
    <row r="208" spans="1:29">
      <c r="A208" s="1779"/>
      <c r="B208" s="1779"/>
      <c r="C208" s="1779"/>
      <c r="D208" s="1779"/>
      <c r="E208" s="1779"/>
      <c r="F208" s="1779"/>
      <c r="G208" s="1779"/>
      <c r="H208" s="1779"/>
      <c r="I208" s="1779"/>
      <c r="J208" s="1779"/>
      <c r="K208" s="1780"/>
      <c r="L208" s="1781"/>
      <c r="M208" s="1779"/>
      <c r="N208" s="1779"/>
      <c r="O208" s="1779"/>
      <c r="P208" s="1779"/>
      <c r="Q208" s="1779"/>
      <c r="R208" s="1779"/>
      <c r="S208" s="1779"/>
      <c r="T208" s="1779"/>
      <c r="U208" s="1779"/>
      <c r="V208" s="1779"/>
      <c r="W208" s="1779"/>
      <c r="X208" s="1779"/>
      <c r="Y208" s="1779"/>
      <c r="Z208" s="1779"/>
      <c r="AA208" s="1779"/>
      <c r="AB208" s="1779"/>
      <c r="AC208" s="1779"/>
    </row>
    <row r="209" spans="1:29">
      <c r="A209" s="1779"/>
      <c r="B209" s="1779"/>
      <c r="C209" s="1779"/>
      <c r="D209" s="1779"/>
      <c r="E209" s="1779"/>
      <c r="F209" s="1779"/>
      <c r="G209" s="1779"/>
      <c r="H209" s="1779"/>
      <c r="I209" s="1779"/>
      <c r="J209" s="1779"/>
      <c r="K209" s="1780"/>
      <c r="L209" s="1781"/>
      <c r="M209" s="1779"/>
      <c r="N209" s="1779"/>
      <c r="O209" s="1779"/>
      <c r="P209" s="1779"/>
      <c r="Q209" s="1779"/>
      <c r="R209" s="1779"/>
      <c r="S209" s="1779"/>
      <c r="T209" s="1779"/>
      <c r="U209" s="1779"/>
      <c r="V209" s="1779"/>
      <c r="W209" s="1779"/>
      <c r="X209" s="1779"/>
      <c r="Y209" s="1779"/>
      <c r="Z209" s="1779"/>
      <c r="AA209" s="1779"/>
      <c r="AB209" s="1779"/>
      <c r="AC209" s="1779"/>
    </row>
    <row r="210" spans="1:29">
      <c r="A210" s="1779"/>
      <c r="B210" s="1779"/>
      <c r="C210" s="1779"/>
      <c r="D210" s="1779"/>
      <c r="E210" s="1779"/>
      <c r="F210" s="1779"/>
      <c r="G210" s="1779"/>
      <c r="H210" s="1779"/>
      <c r="I210" s="1779"/>
      <c r="J210" s="1779"/>
      <c r="K210" s="1780"/>
      <c r="L210" s="1781"/>
      <c r="M210" s="1779"/>
      <c r="N210" s="1779"/>
      <c r="O210" s="1779"/>
      <c r="P210" s="1779"/>
      <c r="Q210" s="1779"/>
      <c r="R210" s="1779"/>
      <c r="S210" s="1779"/>
      <c r="T210" s="1779"/>
      <c r="U210" s="1779"/>
      <c r="V210" s="1779"/>
      <c r="W210" s="1779"/>
      <c r="X210" s="1779"/>
      <c r="Y210" s="1779"/>
      <c r="Z210" s="1779"/>
      <c r="AA210" s="1779"/>
      <c r="AB210" s="1779"/>
      <c r="AC210" s="1779"/>
    </row>
    <row r="211" spans="1:29">
      <c r="A211" s="1779"/>
      <c r="B211" s="1779"/>
      <c r="C211" s="1779"/>
      <c r="D211" s="1779"/>
      <c r="E211" s="1779"/>
      <c r="F211" s="1779"/>
      <c r="G211" s="1779"/>
      <c r="H211" s="1779"/>
      <c r="I211" s="1779"/>
      <c r="J211" s="1779"/>
      <c r="K211" s="1780"/>
      <c r="L211" s="1781"/>
      <c r="M211" s="1779"/>
      <c r="N211" s="1779"/>
      <c r="O211" s="1779"/>
      <c r="P211" s="1779"/>
      <c r="Q211" s="1779"/>
      <c r="R211" s="1779"/>
      <c r="S211" s="1779"/>
      <c r="T211" s="1779"/>
      <c r="U211" s="1779"/>
      <c r="V211" s="1779"/>
      <c r="W211" s="1779"/>
      <c r="X211" s="1779"/>
      <c r="Y211" s="1779"/>
      <c r="Z211" s="1779"/>
      <c r="AA211" s="1779"/>
      <c r="AB211" s="1779"/>
      <c r="AC211" s="1779"/>
    </row>
    <row r="212" spans="1:29">
      <c r="A212" s="1779"/>
      <c r="B212" s="1779"/>
      <c r="C212" s="1779"/>
      <c r="D212" s="1779"/>
      <c r="E212" s="1779"/>
      <c r="F212" s="1779"/>
      <c r="G212" s="1779"/>
      <c r="H212" s="1779"/>
      <c r="I212" s="1779"/>
      <c r="J212" s="1779"/>
      <c r="K212" s="1780"/>
      <c r="L212" s="1781"/>
      <c r="M212" s="1779"/>
      <c r="N212" s="1779"/>
      <c r="O212" s="1779"/>
      <c r="P212" s="1779"/>
      <c r="Q212" s="1779"/>
      <c r="R212" s="1779"/>
      <c r="S212" s="1779"/>
      <c r="T212" s="1779"/>
      <c r="U212" s="1779"/>
      <c r="V212" s="1779"/>
      <c r="W212" s="1779"/>
      <c r="X212" s="1779"/>
      <c r="Y212" s="1779"/>
      <c r="Z212" s="1779"/>
      <c r="AA212" s="1779"/>
      <c r="AB212" s="1779"/>
      <c r="AC212" s="1779"/>
    </row>
    <row r="213" spans="1:29">
      <c r="A213" s="1779"/>
      <c r="B213" s="1779"/>
      <c r="C213" s="1779"/>
      <c r="D213" s="1779"/>
      <c r="E213" s="1779"/>
      <c r="F213" s="1779"/>
      <c r="G213" s="1779"/>
      <c r="H213" s="1779"/>
      <c r="I213" s="1779"/>
      <c r="J213" s="1779"/>
      <c r="K213" s="1780"/>
      <c r="L213" s="1781"/>
      <c r="M213" s="1779"/>
      <c r="N213" s="1779"/>
      <c r="O213" s="1779"/>
      <c r="P213" s="1779"/>
      <c r="Q213" s="1779"/>
      <c r="R213" s="1779"/>
      <c r="S213" s="1779"/>
      <c r="T213" s="1779"/>
      <c r="U213" s="1779"/>
      <c r="V213" s="1779"/>
      <c r="W213" s="1779"/>
      <c r="X213" s="1779"/>
      <c r="Y213" s="1779"/>
      <c r="Z213" s="1779"/>
      <c r="AA213" s="1779"/>
      <c r="AB213" s="1779"/>
      <c r="AC213" s="1779"/>
    </row>
    <row r="214" spans="1:29">
      <c r="A214" s="1779"/>
      <c r="B214" s="1779"/>
      <c r="C214" s="1779"/>
      <c r="D214" s="1779"/>
      <c r="E214" s="1779"/>
      <c r="F214" s="1779"/>
      <c r="G214" s="1779"/>
      <c r="H214" s="1779"/>
      <c r="I214" s="1779"/>
      <c r="J214" s="1779"/>
      <c r="K214" s="1780"/>
      <c r="L214" s="1781"/>
      <c r="M214" s="1779"/>
      <c r="N214" s="1779"/>
      <c r="O214" s="1779"/>
      <c r="P214" s="1779"/>
      <c r="Q214" s="1779"/>
      <c r="R214" s="1779"/>
      <c r="S214" s="1779"/>
      <c r="T214" s="1779"/>
      <c r="U214" s="1779"/>
      <c r="V214" s="1779"/>
      <c r="W214" s="1779"/>
      <c r="X214" s="1779"/>
      <c r="Y214" s="1779"/>
      <c r="Z214" s="1779"/>
      <c r="AA214" s="1779"/>
      <c r="AB214" s="1779"/>
      <c r="AC214" s="1779"/>
    </row>
    <row r="215" spans="1:29">
      <c r="A215" s="1779"/>
      <c r="B215" s="1779"/>
      <c r="C215" s="1779"/>
      <c r="D215" s="1779"/>
      <c r="E215" s="1779"/>
      <c r="F215" s="1779"/>
      <c r="G215" s="1779"/>
      <c r="H215" s="1779"/>
      <c r="I215" s="1779"/>
      <c r="J215" s="1779"/>
      <c r="K215" s="1780"/>
      <c r="L215" s="1781"/>
      <c r="M215" s="1779"/>
      <c r="N215" s="1779"/>
      <c r="O215" s="1779"/>
      <c r="P215" s="1779"/>
      <c r="Q215" s="1779"/>
      <c r="R215" s="1779"/>
      <c r="S215" s="1779"/>
      <c r="T215" s="1779"/>
      <c r="U215" s="1779"/>
      <c r="V215" s="1779"/>
      <c r="W215" s="1779"/>
      <c r="X215" s="1779"/>
      <c r="Y215" s="1779"/>
      <c r="Z215" s="1779"/>
      <c r="AA215" s="1779"/>
      <c r="AB215" s="1779"/>
      <c r="AC215" s="1779"/>
    </row>
    <row r="216" spans="1:29">
      <c r="A216" s="1779"/>
      <c r="B216" s="1779"/>
      <c r="C216" s="1779"/>
      <c r="D216" s="1779"/>
      <c r="E216" s="1779"/>
      <c r="F216" s="1779"/>
      <c r="G216" s="1779"/>
      <c r="H216" s="1779"/>
      <c r="I216" s="1779"/>
      <c r="J216" s="1779"/>
      <c r="K216" s="1780"/>
      <c r="L216" s="1781"/>
      <c r="M216" s="1779"/>
      <c r="N216" s="1779"/>
      <c r="O216" s="1779"/>
      <c r="P216" s="1779"/>
      <c r="Q216" s="1779"/>
      <c r="R216" s="1779"/>
      <c r="S216" s="1779"/>
      <c r="T216" s="1779"/>
      <c r="U216" s="1779"/>
      <c r="V216" s="1779"/>
      <c r="W216" s="1779"/>
      <c r="X216" s="1779"/>
      <c r="Y216" s="1779"/>
      <c r="Z216" s="1779"/>
      <c r="AA216" s="1779"/>
      <c r="AB216" s="1779"/>
      <c r="AC216" s="1779"/>
    </row>
    <row r="217" spans="1:29">
      <c r="A217" s="1779"/>
      <c r="B217" s="1779"/>
      <c r="C217" s="1779"/>
      <c r="D217" s="1779"/>
      <c r="E217" s="1779"/>
      <c r="F217" s="1779"/>
      <c r="G217" s="1779"/>
      <c r="H217" s="1779"/>
      <c r="I217" s="1779"/>
      <c r="J217" s="1779"/>
      <c r="K217" s="1780"/>
      <c r="L217" s="1781"/>
      <c r="M217" s="1779"/>
      <c r="N217" s="1779"/>
      <c r="O217" s="1779"/>
      <c r="P217" s="1779"/>
      <c r="Q217" s="1779"/>
      <c r="R217" s="1779"/>
      <c r="S217" s="1779"/>
      <c r="T217" s="1779"/>
      <c r="U217" s="1779"/>
      <c r="V217" s="1779"/>
      <c r="W217" s="1779"/>
      <c r="X217" s="1779"/>
      <c r="Y217" s="1779"/>
      <c r="Z217" s="1779"/>
      <c r="AA217" s="1779"/>
      <c r="AB217" s="1779"/>
      <c r="AC217" s="1779"/>
    </row>
    <row r="218" spans="1:29">
      <c r="A218" s="1779"/>
      <c r="B218" s="1779"/>
      <c r="C218" s="1779"/>
      <c r="D218" s="1779"/>
      <c r="E218" s="1779"/>
      <c r="F218" s="1779"/>
      <c r="G218" s="1779"/>
      <c r="H218" s="1779"/>
      <c r="I218" s="1779"/>
      <c r="J218" s="1779"/>
      <c r="K218" s="1780"/>
      <c r="L218" s="1781"/>
      <c r="M218" s="1779"/>
      <c r="N218" s="1779"/>
      <c r="O218" s="1779"/>
      <c r="P218" s="1779"/>
      <c r="Q218" s="1779"/>
      <c r="R218" s="1779"/>
      <c r="S218" s="1779"/>
      <c r="T218" s="1779"/>
      <c r="U218" s="1779"/>
      <c r="V218" s="1779"/>
      <c r="W218" s="1779"/>
      <c r="X218" s="1779"/>
      <c r="Y218" s="1779"/>
      <c r="Z218" s="1779"/>
      <c r="AA218" s="1779"/>
      <c r="AB218" s="1779"/>
      <c r="AC218" s="1779"/>
    </row>
    <row r="219" spans="1:29">
      <c r="A219" s="1779"/>
      <c r="B219" s="1779"/>
      <c r="C219" s="1779"/>
      <c r="D219" s="1779"/>
      <c r="E219" s="1779"/>
      <c r="F219" s="1779"/>
      <c r="G219" s="1779"/>
      <c r="H219" s="1779"/>
      <c r="I219" s="1779"/>
      <c r="J219" s="1779"/>
      <c r="K219" s="1780"/>
      <c r="L219" s="1781"/>
      <c r="M219" s="1779"/>
      <c r="N219" s="1779"/>
      <c r="O219" s="1779"/>
      <c r="P219" s="1779"/>
      <c r="Q219" s="1779"/>
      <c r="R219" s="1779"/>
      <c r="S219" s="1779"/>
      <c r="T219" s="1779"/>
      <c r="U219" s="1779"/>
      <c r="V219" s="1779"/>
      <c r="W219" s="1779"/>
      <c r="X219" s="1779"/>
      <c r="Y219" s="1779"/>
      <c r="Z219" s="1779"/>
      <c r="AA219" s="1779"/>
      <c r="AB219" s="1779"/>
      <c r="AC219" s="1779"/>
    </row>
    <row r="220" spans="1:29">
      <c r="A220" s="1779"/>
      <c r="B220" s="1779"/>
      <c r="C220" s="1779"/>
      <c r="D220" s="1779"/>
      <c r="E220" s="1779"/>
      <c r="F220" s="1779"/>
      <c r="G220" s="1779"/>
      <c r="H220" s="1779"/>
      <c r="I220" s="1779"/>
      <c r="J220" s="1779"/>
      <c r="K220" s="1780"/>
      <c r="L220" s="1781"/>
      <c r="M220" s="1779"/>
      <c r="N220" s="1779"/>
      <c r="O220" s="1779"/>
      <c r="P220" s="1779"/>
      <c r="Q220" s="1779"/>
      <c r="R220" s="1779"/>
      <c r="S220" s="1779"/>
      <c r="T220" s="1779"/>
      <c r="U220" s="1779"/>
      <c r="V220" s="1779"/>
      <c r="W220" s="1779"/>
      <c r="X220" s="1779"/>
      <c r="Y220" s="1779"/>
      <c r="Z220" s="1779"/>
      <c r="AA220" s="1779"/>
      <c r="AB220" s="1779"/>
      <c r="AC220" s="1779"/>
    </row>
    <row r="221" spans="1:29">
      <c r="A221" s="1779"/>
      <c r="B221" s="1779"/>
      <c r="C221" s="1779"/>
      <c r="D221" s="1779"/>
      <c r="E221" s="1779"/>
      <c r="F221" s="1779"/>
      <c r="G221" s="1779"/>
      <c r="H221" s="1779"/>
      <c r="I221" s="1779"/>
      <c r="J221" s="1779"/>
      <c r="K221" s="1780"/>
      <c r="L221" s="1781"/>
      <c r="M221" s="1779"/>
      <c r="N221" s="1779"/>
      <c r="O221" s="1779"/>
      <c r="P221" s="1779"/>
      <c r="Q221" s="1779"/>
      <c r="R221" s="1779"/>
      <c r="S221" s="1779"/>
      <c r="T221" s="1779"/>
      <c r="U221" s="1779"/>
      <c r="V221" s="1779"/>
      <c r="W221" s="1779"/>
      <c r="X221" s="1779"/>
      <c r="Y221" s="1779"/>
      <c r="Z221" s="1779"/>
      <c r="AA221" s="1779"/>
      <c r="AB221" s="1779"/>
      <c r="AC221" s="1779"/>
    </row>
    <row r="222" spans="1:29">
      <c r="A222" s="1779"/>
      <c r="B222" s="1779"/>
      <c r="C222" s="1779"/>
      <c r="D222" s="1779"/>
      <c r="E222" s="1779"/>
      <c r="F222" s="1779"/>
      <c r="G222" s="1779"/>
      <c r="H222" s="1779"/>
      <c r="I222" s="1779"/>
      <c r="J222" s="1779"/>
      <c r="K222" s="1780"/>
      <c r="L222" s="1781"/>
      <c r="M222" s="1779"/>
      <c r="N222" s="1779"/>
      <c r="O222" s="1779"/>
      <c r="P222" s="1779"/>
      <c r="Q222" s="1779"/>
      <c r="R222" s="1779"/>
      <c r="S222" s="1779"/>
      <c r="T222" s="1779"/>
      <c r="U222" s="1779"/>
      <c r="V222" s="1779"/>
      <c r="W222" s="1779"/>
      <c r="X222" s="1779"/>
      <c r="Y222" s="1779"/>
      <c r="Z222" s="1779"/>
      <c r="AA222" s="1779"/>
      <c r="AB222" s="1779"/>
      <c r="AC222" s="1779"/>
    </row>
    <row r="223" spans="1:29">
      <c r="A223" s="1779"/>
      <c r="B223" s="1779"/>
      <c r="C223" s="1779"/>
      <c r="D223" s="1779"/>
      <c r="E223" s="1779"/>
      <c r="F223" s="1779"/>
      <c r="G223" s="1779"/>
      <c r="H223" s="1779"/>
      <c r="I223" s="1779"/>
      <c r="J223" s="1779"/>
      <c r="K223" s="1780"/>
      <c r="L223" s="1781"/>
      <c r="M223" s="1779"/>
      <c r="N223" s="1779"/>
      <c r="O223" s="1779"/>
      <c r="P223" s="1779"/>
      <c r="Q223" s="1779"/>
      <c r="R223" s="1779"/>
      <c r="S223" s="1779"/>
      <c r="T223" s="1779"/>
      <c r="U223" s="1779"/>
      <c r="V223" s="1779"/>
      <c r="W223" s="1779"/>
      <c r="X223" s="1779"/>
      <c r="Y223" s="1779"/>
      <c r="Z223" s="1779"/>
      <c r="AA223" s="1779"/>
      <c r="AB223" s="1779"/>
      <c r="AC223" s="1779"/>
    </row>
    <row r="224" spans="1:29">
      <c r="A224" s="1779"/>
      <c r="B224" s="1779"/>
      <c r="C224" s="1779"/>
      <c r="D224" s="1779"/>
      <c r="E224" s="1779"/>
      <c r="F224" s="1779"/>
      <c r="G224" s="1779"/>
      <c r="H224" s="1779"/>
      <c r="I224" s="1779"/>
      <c r="J224" s="1779"/>
      <c r="K224" s="1780"/>
      <c r="L224" s="1781"/>
      <c r="M224" s="1779"/>
      <c r="N224" s="1779"/>
      <c r="O224" s="1779"/>
      <c r="P224" s="1779"/>
      <c r="Q224" s="1779"/>
      <c r="R224" s="1779"/>
      <c r="S224" s="1779"/>
      <c r="T224" s="1779"/>
      <c r="U224" s="1779"/>
      <c r="V224" s="1779"/>
      <c r="W224" s="1779"/>
      <c r="X224" s="1779"/>
      <c r="Y224" s="1779"/>
      <c r="Z224" s="1779"/>
      <c r="AA224" s="1779"/>
      <c r="AB224" s="1779"/>
      <c r="AC224" s="1779"/>
    </row>
    <row r="225" spans="1:29">
      <c r="A225" s="1779"/>
      <c r="B225" s="1779"/>
      <c r="C225" s="1779"/>
      <c r="D225" s="1779"/>
      <c r="E225" s="1779"/>
      <c r="F225" s="1779"/>
      <c r="G225" s="1779"/>
      <c r="H225" s="1779"/>
      <c r="I225" s="1779"/>
      <c r="J225" s="1779"/>
      <c r="K225" s="1780"/>
      <c r="L225" s="1781"/>
      <c r="M225" s="1779"/>
      <c r="N225" s="1779"/>
      <c r="O225" s="1779"/>
      <c r="P225" s="1779"/>
      <c r="Q225" s="1779"/>
      <c r="R225" s="1779"/>
      <c r="S225" s="1779"/>
      <c r="T225" s="1779"/>
      <c r="U225" s="1779"/>
      <c r="V225" s="1779"/>
      <c r="W225" s="1779"/>
      <c r="X225" s="1779"/>
      <c r="Y225" s="1779"/>
      <c r="Z225" s="1779"/>
      <c r="AA225" s="1779"/>
      <c r="AB225" s="1779"/>
      <c r="AC225" s="1779"/>
    </row>
    <row r="226" spans="1:29">
      <c r="A226" s="1779"/>
      <c r="B226" s="1779"/>
      <c r="C226" s="1779"/>
      <c r="D226" s="1779"/>
      <c r="E226" s="1779"/>
      <c r="F226" s="1779"/>
      <c r="G226" s="1779"/>
      <c r="H226" s="1779"/>
      <c r="I226" s="1779"/>
      <c r="J226" s="1779"/>
      <c r="K226" s="1780"/>
      <c r="L226" s="1781"/>
      <c r="M226" s="1779"/>
      <c r="N226" s="1779"/>
      <c r="O226" s="1779"/>
      <c r="P226" s="1779"/>
      <c r="Q226" s="1779"/>
      <c r="R226" s="1779"/>
      <c r="S226" s="1779"/>
      <c r="T226" s="1779"/>
      <c r="U226" s="1779"/>
      <c r="V226" s="1779"/>
      <c r="W226" s="1779"/>
      <c r="X226" s="1779"/>
      <c r="Y226" s="1779"/>
      <c r="Z226" s="1779"/>
      <c r="AA226" s="1779"/>
      <c r="AB226" s="1779"/>
      <c r="AC226" s="1779"/>
    </row>
    <row r="227" spans="1:29">
      <c r="A227" s="1779"/>
      <c r="B227" s="1779"/>
      <c r="C227" s="1779"/>
      <c r="D227" s="1779"/>
      <c r="E227" s="1779"/>
      <c r="F227" s="1779"/>
      <c r="G227" s="1779"/>
      <c r="H227" s="1779"/>
      <c r="I227" s="1779"/>
      <c r="J227" s="1779"/>
      <c r="K227" s="1780"/>
      <c r="L227" s="1781"/>
      <c r="M227" s="1779"/>
      <c r="N227" s="1779"/>
      <c r="O227" s="1779"/>
      <c r="P227" s="1779"/>
      <c r="Q227" s="1779"/>
      <c r="R227" s="1779"/>
      <c r="S227" s="1779"/>
      <c r="T227" s="1779"/>
      <c r="U227" s="1779"/>
      <c r="V227" s="1779"/>
      <c r="W227" s="1779"/>
      <c r="X227" s="1779"/>
      <c r="Y227" s="1779"/>
      <c r="Z227" s="1779"/>
      <c r="AA227" s="1779"/>
      <c r="AB227" s="1779"/>
      <c r="AC227" s="1779"/>
    </row>
    <row r="228" spans="1:29">
      <c r="A228" s="1779"/>
      <c r="B228" s="1779"/>
      <c r="C228" s="1779"/>
      <c r="D228" s="1779"/>
      <c r="E228" s="1779"/>
      <c r="F228" s="1779"/>
      <c r="G228" s="1779"/>
      <c r="H228" s="1779"/>
      <c r="I228" s="1779"/>
      <c r="J228" s="1779"/>
      <c r="K228" s="1780"/>
      <c r="L228" s="1781"/>
      <c r="M228" s="1779"/>
      <c r="N228" s="1779"/>
      <c r="O228" s="1779"/>
      <c r="P228" s="1779"/>
      <c r="Q228" s="1779"/>
      <c r="R228" s="1779"/>
      <c r="S228" s="1779"/>
      <c r="T228" s="1779"/>
      <c r="U228" s="1779"/>
      <c r="V228" s="1779"/>
      <c r="W228" s="1779"/>
      <c r="X228" s="1779"/>
      <c r="Y228" s="1779"/>
      <c r="Z228" s="1779"/>
      <c r="AA228" s="1779"/>
      <c r="AB228" s="1779"/>
      <c r="AC228" s="1779"/>
    </row>
    <row r="229" spans="1:29">
      <c r="A229" s="1779"/>
      <c r="B229" s="1779"/>
      <c r="C229" s="1779"/>
      <c r="D229" s="1779"/>
      <c r="E229" s="1779"/>
      <c r="F229" s="1779"/>
      <c r="G229" s="1779"/>
      <c r="H229" s="1779"/>
      <c r="I229" s="1779"/>
      <c r="J229" s="1779"/>
      <c r="K229" s="1780"/>
      <c r="L229" s="1781"/>
      <c r="M229" s="1779"/>
      <c r="N229" s="1779"/>
      <c r="O229" s="1779"/>
      <c r="P229" s="1779"/>
      <c r="Q229" s="1779"/>
      <c r="R229" s="1779"/>
      <c r="S229" s="1779"/>
      <c r="T229" s="1779"/>
      <c r="U229" s="1779"/>
      <c r="V229" s="1779"/>
      <c r="W229" s="1779"/>
      <c r="X229" s="1779"/>
      <c r="Y229" s="1779"/>
      <c r="Z229" s="1779"/>
      <c r="AA229" s="1779"/>
      <c r="AB229" s="1779"/>
      <c r="AC229" s="1779"/>
    </row>
    <row r="230" spans="1:29">
      <c r="A230" s="1779"/>
      <c r="B230" s="1779"/>
      <c r="C230" s="1779"/>
      <c r="D230" s="1779"/>
      <c r="E230" s="1779"/>
      <c r="F230" s="1779"/>
      <c r="G230" s="1779"/>
      <c r="H230" s="1779"/>
      <c r="I230" s="1779"/>
      <c r="J230" s="1779"/>
      <c r="K230" s="1780"/>
      <c r="L230" s="1781"/>
      <c r="M230" s="1779"/>
      <c r="N230" s="1779"/>
      <c r="O230" s="1779"/>
      <c r="P230" s="1779"/>
      <c r="Q230" s="1779"/>
      <c r="R230" s="1779"/>
      <c r="S230" s="1779"/>
      <c r="T230" s="1779"/>
      <c r="U230" s="1779"/>
      <c r="V230" s="1779"/>
      <c r="W230" s="1779"/>
      <c r="X230" s="1779"/>
      <c r="Y230" s="1779"/>
      <c r="Z230" s="1779"/>
      <c r="AA230" s="1779"/>
      <c r="AB230" s="1779"/>
      <c r="AC230" s="1779"/>
    </row>
    <row r="231" spans="1:29">
      <c r="A231" s="1779"/>
      <c r="B231" s="1779"/>
      <c r="C231" s="1779"/>
      <c r="D231" s="1779"/>
      <c r="E231" s="1779"/>
      <c r="F231" s="1779"/>
      <c r="G231" s="1779"/>
      <c r="H231" s="1779"/>
      <c r="I231" s="1779"/>
      <c r="J231" s="1779"/>
      <c r="K231" s="1780"/>
      <c r="L231" s="1781"/>
      <c r="M231" s="1779"/>
      <c r="N231" s="1779"/>
      <c r="O231" s="1779"/>
      <c r="P231" s="1779"/>
      <c r="Q231" s="1779"/>
      <c r="R231" s="1779"/>
      <c r="S231" s="1779"/>
      <c r="T231" s="1779"/>
      <c r="U231" s="1779"/>
      <c r="V231" s="1779"/>
      <c r="W231" s="1779"/>
      <c r="X231" s="1779"/>
      <c r="Y231" s="1779"/>
      <c r="Z231" s="1779"/>
      <c r="AA231" s="1779"/>
      <c r="AB231" s="1779"/>
      <c r="AC231" s="1779"/>
    </row>
    <row r="232" spans="1:29">
      <c r="A232" s="1779"/>
      <c r="B232" s="1779"/>
      <c r="C232" s="1779"/>
      <c r="D232" s="1779"/>
      <c r="E232" s="1779"/>
      <c r="F232" s="1779"/>
      <c r="G232" s="1779"/>
      <c r="H232" s="1779"/>
      <c r="I232" s="1779"/>
      <c r="J232" s="1779"/>
      <c r="K232" s="1780"/>
      <c r="L232" s="1781"/>
      <c r="M232" s="1779"/>
      <c r="N232" s="1779"/>
      <c r="O232" s="1779"/>
      <c r="P232" s="1779"/>
      <c r="Q232" s="1779"/>
      <c r="R232" s="1779"/>
      <c r="S232" s="1779"/>
      <c r="T232" s="1779"/>
      <c r="U232" s="1779"/>
      <c r="V232" s="1779"/>
      <c r="W232" s="1779"/>
      <c r="X232" s="1779"/>
      <c r="Y232" s="1779"/>
      <c r="Z232" s="1779"/>
      <c r="AA232" s="1779"/>
      <c r="AB232" s="1779"/>
      <c r="AC232" s="1779"/>
    </row>
    <row r="233" spans="1:29">
      <c r="A233" s="1779"/>
      <c r="B233" s="1779"/>
      <c r="C233" s="1779"/>
      <c r="D233" s="1779"/>
      <c r="E233" s="1779"/>
      <c r="F233" s="1779"/>
      <c r="G233" s="1779"/>
      <c r="H233" s="1779"/>
      <c r="I233" s="1779"/>
      <c r="J233" s="1779"/>
      <c r="K233" s="1780"/>
      <c r="L233" s="1781"/>
      <c r="M233" s="1779"/>
      <c r="N233" s="1779"/>
      <c r="O233" s="1779"/>
      <c r="P233" s="1779"/>
      <c r="Q233" s="1779"/>
      <c r="R233" s="1779"/>
      <c r="S233" s="1779"/>
      <c r="T233" s="1779"/>
      <c r="U233" s="1779"/>
      <c r="V233" s="1779"/>
      <c r="W233" s="1779"/>
      <c r="X233" s="1779"/>
      <c r="Y233" s="1779"/>
      <c r="Z233" s="1779"/>
      <c r="AA233" s="1779"/>
      <c r="AB233" s="1779"/>
      <c r="AC233" s="1779"/>
    </row>
    <row r="234" spans="1:29">
      <c r="A234" s="1779"/>
      <c r="B234" s="1779"/>
      <c r="C234" s="1779"/>
      <c r="D234" s="1779"/>
      <c r="E234" s="1779"/>
      <c r="F234" s="1779"/>
      <c r="G234" s="1779"/>
      <c r="H234" s="1779"/>
      <c r="I234" s="1779"/>
      <c r="J234" s="1779"/>
      <c r="K234" s="1780"/>
      <c r="L234" s="1781"/>
      <c r="M234" s="1779"/>
      <c r="N234" s="1779"/>
      <c r="O234" s="1779"/>
      <c r="P234" s="1779"/>
      <c r="Q234" s="1779"/>
      <c r="R234" s="1779"/>
      <c r="S234" s="1779"/>
      <c r="T234" s="1779"/>
      <c r="U234" s="1779"/>
      <c r="V234" s="1779"/>
      <c r="W234" s="1779"/>
      <c r="X234" s="1779"/>
      <c r="Y234" s="1779"/>
      <c r="Z234" s="1779"/>
      <c r="AA234" s="1779"/>
      <c r="AB234" s="1779"/>
      <c r="AC234" s="1779"/>
    </row>
    <row r="235" spans="1:29">
      <c r="A235" s="1779"/>
      <c r="B235" s="1779"/>
      <c r="C235" s="1779"/>
      <c r="D235" s="1779"/>
      <c r="E235" s="1779"/>
      <c r="F235" s="1779"/>
      <c r="G235" s="1779"/>
      <c r="H235" s="1779"/>
      <c r="I235" s="1779"/>
      <c r="J235" s="1779"/>
      <c r="K235" s="1780"/>
      <c r="L235" s="1781"/>
      <c r="M235" s="1779"/>
      <c r="N235" s="1779"/>
      <c r="O235" s="1779"/>
      <c r="P235" s="1779"/>
      <c r="Q235" s="1779"/>
      <c r="R235" s="1779"/>
      <c r="S235" s="1779"/>
      <c r="T235" s="1779"/>
      <c r="U235" s="1779"/>
      <c r="V235" s="1779"/>
      <c r="W235" s="1779"/>
      <c r="X235" s="1779"/>
      <c r="Y235" s="1779"/>
      <c r="Z235" s="1779"/>
      <c r="AA235" s="1779"/>
      <c r="AB235" s="1779"/>
      <c r="AC235" s="1779"/>
    </row>
    <row r="236" spans="1:29">
      <c r="N236" s="1779"/>
      <c r="O236" s="1779"/>
      <c r="P236" s="1779"/>
      <c r="Q236" s="1779"/>
      <c r="R236" s="1779"/>
      <c r="S236" s="1779"/>
      <c r="T236" s="1779"/>
      <c r="U236" s="1779"/>
      <c r="V236" s="1779"/>
      <c r="W236" s="1779"/>
      <c r="X236" s="1779"/>
      <c r="Y236" s="1779"/>
      <c r="Z236" s="1779"/>
      <c r="AA236" s="1779"/>
      <c r="AB236" s="1779"/>
      <c r="AC236" s="177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E46">
    <cfRule type="expression" dxfId="50" priority="16" stopIfTrue="1">
      <formula>$F$46="超过30%"</formula>
    </cfRule>
  </conditionalFormatting>
  <conditionalFormatting sqref="E47">
    <cfRule type="expression" dxfId="49" priority="15" stopIfTrue="1">
      <formula>$F$47="超过20%"</formula>
    </cfRule>
  </conditionalFormatting>
  <conditionalFormatting sqref="E48">
    <cfRule type="expression" dxfId="48" priority="14" stopIfTrue="1">
      <formula>$F$48="超过30%"</formula>
    </cfRule>
  </conditionalFormatting>
  <conditionalFormatting sqref="F7:F40 H7:H40 J7:J40">
    <cfRule type="cellIs" dxfId="47" priority="1" operator="notEqual">
      <formula>100</formula>
    </cfRule>
  </conditionalFormatting>
  <conditionalFormatting sqref="F42">
    <cfRule type="expression" dxfId="46" priority="4">
      <formula>$D$42="简单平均"</formula>
    </cfRule>
  </conditionalFormatting>
  <conditionalFormatting sqref="F46:F48 H46:H48">
    <cfRule type="containsText" dxfId="45" priority="17" stopIfTrue="1" operator="containsText" text="超过">
      <formula>NOT(ISERROR(SEARCH("超过",F46)))</formula>
    </cfRule>
  </conditionalFormatting>
  <conditionalFormatting sqref="G46">
    <cfRule type="expression" dxfId="44" priority="12" stopIfTrue="1">
      <formula>$H$46="超过30%"</formula>
    </cfRule>
  </conditionalFormatting>
  <conditionalFormatting sqref="G47">
    <cfRule type="expression" dxfId="43" priority="11" stopIfTrue="1">
      <formula>$H$47="超过20%"</formula>
    </cfRule>
  </conditionalFormatting>
  <conditionalFormatting sqref="G48">
    <cfRule type="expression" dxfId="42" priority="13" stopIfTrue="1">
      <formula>$H$48="超过30%"</formula>
    </cfRule>
  </conditionalFormatting>
  <conditionalFormatting sqref="H42">
    <cfRule type="expression" dxfId="41" priority="3">
      <formula>$D$42="简单平均"</formula>
    </cfRule>
  </conditionalFormatting>
  <conditionalFormatting sqref="I46">
    <cfRule type="expression" dxfId="40" priority="7" stopIfTrue="1">
      <formula>$J$46="超过30%"</formula>
    </cfRule>
  </conditionalFormatting>
  <conditionalFormatting sqref="I47">
    <cfRule type="expression" dxfId="39" priority="6" stopIfTrue="1">
      <formula>$J$47="超过20%"</formula>
    </cfRule>
  </conditionalFormatting>
  <conditionalFormatting sqref="I48">
    <cfRule type="expression" dxfId="38" priority="5" stopIfTrue="1">
      <formula>$J$48="超过30%"</formula>
    </cfRule>
  </conditionalFormatting>
  <conditionalFormatting sqref="J42">
    <cfRule type="expression" dxfId="37" priority="2">
      <formula>$D$42="简单平均"</formula>
    </cfRule>
  </conditionalFormatting>
  <conditionalFormatting sqref="J46:J48">
    <cfRule type="containsText" dxfId="36" priority="8" stopIfTrue="1" operator="containsText" text="超过">
      <formula>NOT(ISERROR(SEARCH("超过",J46)))</formula>
    </cfRule>
  </conditionalFormatting>
  <dataValidations count="17">
    <dataValidation type="list" allowBlank="1" showInputMessage="1" showErrorMessage="1" sqref="D1" xr:uid="{00000000-0002-0000-2500-000000000000}">
      <formula1>项目类型</formula1>
    </dataValidation>
    <dataValidation type="list" allowBlank="1" showInputMessage="1" showErrorMessage="1" sqref="C20 G20 I20 E20" xr:uid="{00000000-0002-0000-2500-000001000000}">
      <formula1>公共配套设施</formula1>
    </dataValidation>
    <dataValidation type="list" allowBlank="1" showInputMessage="1" showErrorMessage="1" sqref="E18 G18 I18 C18" xr:uid="{00000000-0002-0000-2500-000002000000}">
      <formula1>交通便捷度</formula1>
    </dataValidation>
    <dataValidation type="list" allowBlank="1" showInputMessage="1" showErrorMessage="1" sqref="E24 G24 I24 C24" xr:uid="{00000000-0002-0000-2500-000003000000}">
      <formula1>环境</formula1>
    </dataValidation>
    <dataValidation type="list" allowBlank="1" showInputMessage="1" showErrorMessage="1" sqref="C8 E8 G8 I8" xr:uid="{00000000-0002-0000-2500-000004000000}">
      <formula1>工业交易情况</formula1>
    </dataValidation>
    <dataValidation type="list" allowBlank="1" showInputMessage="1" showErrorMessage="1" sqref="E9 G9 I9" xr:uid="{00000000-0002-0000-2500-000005000000}">
      <formula1>工业用途</formula1>
    </dataValidation>
    <dataValidation type="list" allowBlank="1" showInputMessage="1" showErrorMessage="1" sqref="C29 E29 G29 I29" xr:uid="{00000000-0002-0000-2500-000006000000}">
      <formula1>工业建筑类型</formula1>
    </dataValidation>
    <dataValidation type="list" allowBlank="1" showInputMessage="1" showErrorMessage="1" sqref="C31 E31 G31 I31" xr:uid="{00000000-0002-0000-2500-000007000000}">
      <formula1>工业建筑结构</formula1>
    </dataValidation>
    <dataValidation type="list" allowBlank="1" showInputMessage="1" showErrorMessage="1" sqref="C32 E32 G32 I32" xr:uid="{00000000-0002-0000-2500-000008000000}">
      <formula1>工业公共部分装修</formula1>
    </dataValidation>
    <dataValidation type="list" allowBlank="1" showInputMessage="1" showErrorMessage="1" sqref="C34 E34 G34 I34" xr:uid="{00000000-0002-0000-2500-000009000000}">
      <formula1>工业物业管理</formula1>
    </dataValidation>
    <dataValidation type="list" allowBlank="1" showInputMessage="1" showErrorMessage="1" sqref="C35 E35 G35 I35" xr:uid="{00000000-0002-0000-2500-00000A000000}">
      <formula1>工业基础设施水平</formula1>
    </dataValidation>
    <dataValidation type="list" allowBlank="1" showInputMessage="1" showErrorMessage="1" sqref="C36 E36 G36 I36" xr:uid="{00000000-0002-0000-2500-00000B000000}">
      <formula1>工业内部装修</formula1>
    </dataValidation>
    <dataValidation type="list" allowBlank="1" showInputMessage="1" showErrorMessage="1" sqref="C37 E37 G37 I37" xr:uid="{00000000-0002-0000-2500-00000C000000}">
      <formula1>内部装修维护情况</formula1>
    </dataValidation>
    <dataValidation type="list" allowBlank="1" showInputMessage="1" showErrorMessage="1" sqref="C16 E16 G16 I16" xr:uid="{00000000-0002-0000-2500-00000D000000}">
      <formula1>产业集聚程度</formula1>
    </dataValidation>
    <dataValidation type="list" allowBlank="1" showInputMessage="1" showErrorMessage="1" sqref="C22 E22 G22 I22" xr:uid="{00000000-0002-0000-2500-00000E000000}">
      <formula1>基础设施水平</formula1>
    </dataValidation>
    <dataValidation type="list" allowBlank="1" showInputMessage="1" showErrorMessage="1" sqref="F1" xr:uid="{00000000-0002-0000-2500-00000F000000}">
      <formula1>"售价,租金"</formula1>
    </dataValidation>
    <dataValidation type="list" allowBlank="1" showInputMessage="1" showErrorMessage="1" sqref="D42" xr:uid="{00000000-0002-0000-2500-000010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5">
    <tabColor rgb="FF92D050"/>
    <pageSetUpPr fitToPage="1"/>
  </sheetPr>
  <dimension ref="A1:AC235"/>
  <sheetViews>
    <sheetView view="pageBreakPreview" topLeftCell="A28" zoomScale="60" zoomScaleNormal="60" workbookViewId="0">
      <selection activeCell="F10" sqref="F10"/>
    </sheetView>
  </sheetViews>
  <sheetFormatPr defaultColWidth="9" defaultRowHeight="14.25"/>
  <cols>
    <col min="1" max="1" width="10.5" style="1132" customWidth="1"/>
    <col min="2" max="2" width="15.75" style="1132" customWidth="1"/>
    <col min="3" max="3" width="14.375" style="1132" customWidth="1"/>
    <col min="4" max="4" width="12.25" style="1132" customWidth="1"/>
    <col min="5" max="5" width="14.375" style="1132" customWidth="1"/>
    <col min="6" max="6" width="12.25" style="1132" customWidth="1"/>
    <col min="7" max="7" width="14.5" style="1132" customWidth="1"/>
    <col min="8" max="8" width="12.25" style="1132" customWidth="1"/>
    <col min="9" max="9" width="14.5" style="1132" customWidth="1"/>
    <col min="10" max="10" width="12.25" style="1132" customWidth="1"/>
    <col min="11" max="11" width="12.25" style="1137" customWidth="1"/>
    <col min="12" max="12" width="12.25" style="1138" customWidth="1"/>
    <col min="13" max="15" width="12.25" style="1132" customWidth="1"/>
    <col min="16" max="16" width="4.75" style="1132" customWidth="1"/>
    <col min="17" max="17" width="19.5" style="1132" customWidth="1"/>
    <col min="18" max="22" width="6.125" style="1132" customWidth="1"/>
    <col min="23" max="23" width="5.75" style="1132" customWidth="1"/>
    <col min="24" max="24" width="4.25" style="1132" customWidth="1"/>
    <col min="25" max="25" width="3.5" style="1132" customWidth="1"/>
    <col min="26" max="26" width="19.75" style="1132" customWidth="1"/>
    <col min="27" max="28" width="9.375" style="1132" customWidth="1"/>
    <col min="29" max="16384" width="9" style="1132"/>
  </cols>
  <sheetData>
    <row r="1" spans="1:29" s="1131" customFormat="1" ht="28.5" customHeight="1">
      <c r="A1" s="453" t="s">
        <v>665</v>
      </c>
      <c r="B1" s="845"/>
      <c r="C1" s="455" t="s">
        <v>732</v>
      </c>
      <c r="D1" s="783"/>
      <c r="E1" s="457"/>
      <c r="F1" s="2118"/>
      <c r="G1" s="1328" t="s">
        <v>733</v>
      </c>
      <c r="H1" s="457"/>
      <c r="I1" s="457"/>
      <c r="J1" s="457"/>
      <c r="K1" s="458"/>
      <c r="L1" s="2717"/>
      <c r="M1" s="2718"/>
      <c r="N1" s="2718"/>
      <c r="O1" s="2718"/>
      <c r="P1" s="1740"/>
      <c r="Q1" s="1740"/>
      <c r="R1" s="1740"/>
      <c r="S1" s="1740"/>
      <c r="T1" s="1740"/>
      <c r="U1" s="1740"/>
      <c r="V1" s="1740"/>
      <c r="W1" s="1740"/>
      <c r="X1" s="1740"/>
      <c r="Y1" s="1740"/>
      <c r="Z1" s="1740"/>
      <c r="AA1" s="1740"/>
      <c r="AB1" s="1740"/>
      <c r="AC1" s="1674"/>
    </row>
    <row r="2" spans="1:29" s="1131" customFormat="1" ht="28.5" customHeight="1">
      <c r="A2" s="393" t="s">
        <v>734</v>
      </c>
      <c r="B2" s="784" t="e">
        <f>IF(B37="元/平方米",ROUND(B3*D3/10000,0),ROUND(F3*C39/10000,0))</f>
        <v>#DIV/0!</v>
      </c>
      <c r="C2" s="1735"/>
      <c r="D2" s="1735"/>
      <c r="E2" s="1736"/>
      <c r="F2" s="1737"/>
      <c r="G2" s="1736"/>
      <c r="H2" s="1736"/>
      <c r="I2" s="1736"/>
      <c r="J2" s="1736"/>
      <c r="K2" s="1738"/>
      <c r="L2" s="1739"/>
      <c r="M2" s="1740"/>
      <c r="N2" s="1740"/>
      <c r="O2" s="1740"/>
      <c r="P2" s="1740"/>
      <c r="Q2" s="1740"/>
      <c r="R2" s="1740"/>
      <c r="S2" s="1740"/>
      <c r="T2" s="1740"/>
      <c r="U2" s="1740"/>
      <c r="V2" s="1740"/>
      <c r="W2" s="1740"/>
      <c r="X2" s="1740"/>
      <c r="Y2" s="1740"/>
      <c r="Z2" s="1740"/>
      <c r="AA2" s="1740"/>
      <c r="AB2" s="1740"/>
      <c r="AC2" s="1674"/>
    </row>
    <row r="3" spans="1:29" s="1131" customFormat="1" ht="28.5" customHeight="1" thickBot="1">
      <c r="A3" s="460" t="s">
        <v>735</v>
      </c>
      <c r="B3" s="461" t="e">
        <f>IF(B37="元/平方米",C39,ROUND(B2*10000/D3,0))</f>
        <v>#DIV/0!</v>
      </c>
      <c r="C3" s="786" t="s">
        <v>736</v>
      </c>
      <c r="D3" s="785">
        <f>SUMIF('数据-汇总表'!$C19:$C33,D1,'数据-汇总表'!$E19:$E33)</f>
        <v>0</v>
      </c>
      <c r="E3" s="1537" t="s">
        <v>1594</v>
      </c>
      <c r="F3" s="785">
        <f>SUMIF('数据-取费表'!A5:A15,D1,'数据-取费表'!AH5:AH15)</f>
        <v>0</v>
      </c>
      <c r="G3" s="1736"/>
      <c r="H3" s="1736"/>
      <c r="I3" s="1736"/>
      <c r="J3" s="1736"/>
      <c r="K3" s="1738"/>
      <c r="L3" s="1739"/>
      <c r="M3" s="1740"/>
      <c r="N3" s="1740"/>
      <c r="O3" s="1740"/>
      <c r="P3" s="1740"/>
      <c r="Q3" s="1740"/>
      <c r="R3" s="1740"/>
      <c r="S3" s="1740"/>
      <c r="T3" s="1740"/>
      <c r="U3" s="1740"/>
      <c r="V3" s="1740"/>
      <c r="W3" s="1740"/>
      <c r="X3" s="1740"/>
      <c r="Y3" s="1740"/>
      <c r="Z3" s="1740"/>
      <c r="AA3" s="1740"/>
      <c r="AB3" s="2719"/>
      <c r="AC3" s="1674"/>
    </row>
    <row r="4" spans="1:29" ht="15">
      <c r="A4" s="463" t="s">
        <v>737</v>
      </c>
      <c r="B4" s="464"/>
      <c r="C4" s="3631" t="s">
        <v>738</v>
      </c>
      <c r="D4" s="3632"/>
      <c r="E4" s="3631" t="s">
        <v>739</v>
      </c>
      <c r="F4" s="3632"/>
      <c r="G4" s="3631" t="s">
        <v>740</v>
      </c>
      <c r="H4" s="3632"/>
      <c r="I4" s="3631" t="s">
        <v>741</v>
      </c>
      <c r="J4" s="3632"/>
      <c r="K4" s="465" t="s">
        <v>742</v>
      </c>
      <c r="L4" s="1741"/>
      <c r="M4" s="1742"/>
      <c r="N4" s="1742"/>
      <c r="O4" s="1742"/>
      <c r="P4" s="3633" t="s">
        <v>743</v>
      </c>
      <c r="Q4" s="3634"/>
      <c r="R4" s="3617" t="s">
        <v>739</v>
      </c>
      <c r="S4" s="3618"/>
      <c r="T4" s="3617" t="s">
        <v>740</v>
      </c>
      <c r="U4" s="3618"/>
      <c r="V4" s="3639" t="s">
        <v>741</v>
      </c>
      <c r="W4" s="3639"/>
      <c r="X4" s="1302"/>
      <c r="Y4" s="3617" t="s">
        <v>743</v>
      </c>
      <c r="Z4" s="3618"/>
      <c r="AA4" s="3612" t="s">
        <v>739</v>
      </c>
      <c r="AB4" s="3613" t="s">
        <v>740</v>
      </c>
      <c r="AC4" s="3612" t="s">
        <v>741</v>
      </c>
    </row>
    <row r="5" spans="1:29" ht="15">
      <c r="A5" s="466"/>
      <c r="B5" s="467"/>
      <c r="C5" s="3642" t="s">
        <v>2192</v>
      </c>
      <c r="D5" s="3643"/>
      <c r="E5" s="3642" t="s">
        <v>2193</v>
      </c>
      <c r="F5" s="3643"/>
      <c r="G5" s="3642" t="s">
        <v>2194</v>
      </c>
      <c r="H5" s="3643"/>
      <c r="I5" s="3642" t="s">
        <v>2195</v>
      </c>
      <c r="J5" s="3643"/>
      <c r="K5" s="465"/>
      <c r="L5" s="1741"/>
      <c r="M5" s="1742"/>
      <c r="N5" s="1742"/>
      <c r="O5" s="1742"/>
      <c r="P5" s="3635"/>
      <c r="Q5" s="3636"/>
      <c r="R5" s="3619"/>
      <c r="S5" s="3620"/>
      <c r="T5" s="3619"/>
      <c r="U5" s="3620"/>
      <c r="V5" s="3639"/>
      <c r="W5" s="3639"/>
      <c r="X5" s="1302"/>
      <c r="Y5" s="3619"/>
      <c r="Z5" s="3620"/>
      <c r="AA5" s="3613"/>
      <c r="AB5" s="3613"/>
      <c r="AC5" s="3613"/>
    </row>
    <row r="6" spans="1:29" ht="15.75" thickBot="1">
      <c r="A6" s="468"/>
      <c r="B6" s="469"/>
      <c r="C6" s="3640" t="s">
        <v>2196</v>
      </c>
      <c r="D6" s="3641"/>
      <c r="E6" s="3644" t="s">
        <v>2196</v>
      </c>
      <c r="F6" s="3645"/>
      <c r="G6" s="3640" t="s">
        <v>2196</v>
      </c>
      <c r="H6" s="3641"/>
      <c r="I6" s="3640" t="s">
        <v>2196</v>
      </c>
      <c r="J6" s="3641"/>
      <c r="K6" s="465" t="s">
        <v>477</v>
      </c>
      <c r="L6" s="1741"/>
      <c r="M6" s="1742"/>
      <c r="N6" s="1742"/>
      <c r="O6" s="1742"/>
      <c r="P6" s="3637"/>
      <c r="Q6" s="3638"/>
      <c r="R6" s="3619"/>
      <c r="S6" s="3620"/>
      <c r="T6" s="3621"/>
      <c r="U6" s="3622"/>
      <c r="V6" s="3639"/>
      <c r="W6" s="3639"/>
      <c r="X6" s="1302"/>
      <c r="Y6" s="3621"/>
      <c r="Z6" s="3622"/>
      <c r="AA6" s="3614"/>
      <c r="AB6" s="3614"/>
      <c r="AC6" s="3614"/>
    </row>
    <row r="7" spans="1:29" s="1060" customFormat="1" ht="15.75" thickBot="1">
      <c r="A7" s="2209"/>
      <c r="B7" s="2216" t="s">
        <v>478</v>
      </c>
      <c r="C7" s="470">
        <f>'数据-取费表'!B2</f>
        <v>45483</v>
      </c>
      <c r="D7" s="471">
        <v>100</v>
      </c>
      <c r="E7" s="472"/>
      <c r="F7" s="473">
        <f>SUMIF(48:48,YEAR(E7)&amp;"-"&amp;MONTH(E7),49:49)</f>
        <v>0</v>
      </c>
      <c r="G7" s="474"/>
      <c r="H7" s="471">
        <f>SUMIF(48:48,YEAR(G7)&amp;"-"&amp;MONTH(G7),49:49)</f>
        <v>0</v>
      </c>
      <c r="I7" s="474"/>
      <c r="J7" s="471">
        <f>SUMIF(48:48,YEAR(I7)&amp;"-"&amp;MONTH(I7),49:49)</f>
        <v>0</v>
      </c>
      <c r="K7" s="88"/>
      <c r="L7" s="1743"/>
      <c r="M7" s="1640"/>
      <c r="N7" s="1640"/>
      <c r="O7" s="1640"/>
      <c r="P7" s="3615" t="s">
        <v>479</v>
      </c>
      <c r="Q7" s="3624"/>
      <c r="R7" s="1303" t="s">
        <v>5</v>
      </c>
      <c r="S7" s="1304">
        <f t="shared" ref="S7:S14" si="0">F7</f>
        <v>0</v>
      </c>
      <c r="T7" s="1303" t="s">
        <v>5</v>
      </c>
      <c r="U7" s="1304">
        <f t="shared" ref="U7:U14" si="1">H7</f>
        <v>0</v>
      </c>
      <c r="V7" s="1303" t="s">
        <v>5</v>
      </c>
      <c r="W7" s="1304">
        <f t="shared" ref="W7:W14" si="2">J7</f>
        <v>0</v>
      </c>
      <c r="X7" s="1305"/>
      <c r="Y7" s="3615" t="s">
        <v>479</v>
      </c>
      <c r="Z7" s="3616"/>
      <c r="AA7" s="997" t="e">
        <f>D7/F7</f>
        <v>#DIV/0!</v>
      </c>
      <c r="AB7" s="997" t="e">
        <f>D7/H7</f>
        <v>#DIV/0!</v>
      </c>
      <c r="AC7" s="997" t="e">
        <f>D7/J7</f>
        <v>#DIV/0!</v>
      </c>
    </row>
    <row r="8" spans="1:29" s="1060" customFormat="1" ht="15.75" thickBot="1">
      <c r="A8" s="2210"/>
      <c r="B8" s="2217" t="s">
        <v>480</v>
      </c>
      <c r="C8" s="475" t="s">
        <v>524</v>
      </c>
      <c r="D8" s="471">
        <v>100</v>
      </c>
      <c r="E8" s="475"/>
      <c r="F8" s="473">
        <f>SUMIF(51:51,E8,52:52)-SUMIF(51:51,C8,52:52)+100</f>
        <v>0</v>
      </c>
      <c r="G8" s="475"/>
      <c r="H8" s="471">
        <f>SUMIF(51:51,G8,52:52)-SUMIF(51:51,C8,52:52)+100</f>
        <v>0</v>
      </c>
      <c r="I8" s="475"/>
      <c r="J8" s="471">
        <f>SUMIF(51:51,I8,52:52)-SUMIF(51:51,C8,52:52)+100</f>
        <v>0</v>
      </c>
      <c r="K8" s="88"/>
      <c r="L8" s="1743"/>
      <c r="M8" s="1640"/>
      <c r="N8" s="1640"/>
      <c r="O8" s="1640"/>
      <c r="P8" s="3615" t="s">
        <v>482</v>
      </c>
      <c r="Q8" s="3616"/>
      <c r="R8" s="1303" t="s">
        <v>5</v>
      </c>
      <c r="S8" s="1304">
        <f t="shared" si="0"/>
        <v>0</v>
      </c>
      <c r="T8" s="1303" t="s">
        <v>5</v>
      </c>
      <c r="U8" s="1304">
        <f t="shared" si="1"/>
        <v>0</v>
      </c>
      <c r="V8" s="1303" t="s">
        <v>5</v>
      </c>
      <c r="W8" s="1304">
        <f t="shared" si="2"/>
        <v>0</v>
      </c>
      <c r="X8" s="1305"/>
      <c r="Y8" s="3615" t="s">
        <v>482</v>
      </c>
      <c r="Z8" s="3616"/>
      <c r="AA8" s="997" t="e">
        <f t="shared" ref="AA8:AA36" si="3">D8/F8</f>
        <v>#DIV/0!</v>
      </c>
      <c r="AB8" s="997" t="e">
        <f t="shared" ref="AB8:AB36" si="4">D8/H8</f>
        <v>#DIV/0!</v>
      </c>
      <c r="AC8" s="997" t="e">
        <f t="shared" ref="AC8:AC36" si="5">D8/J8</f>
        <v>#DIV/0!</v>
      </c>
    </row>
    <row r="9" spans="1:29" s="1060" customFormat="1" ht="15">
      <c r="A9" s="2211"/>
      <c r="B9" s="2218" t="s">
        <v>2038</v>
      </c>
      <c r="C9" s="791"/>
      <c r="D9" s="154">
        <v>100</v>
      </c>
      <c r="E9" s="793"/>
      <c r="F9" s="154">
        <f>SUMIF(53:53,E9,54:54)-SUMIF(53:53,C9,54:54)+100</f>
        <v>100</v>
      </c>
      <c r="G9" s="792"/>
      <c r="H9" s="154">
        <f>SUMIF(53:53,G9,54:54)-SUMIF(53:53,C9,54:54)+100</f>
        <v>100</v>
      </c>
      <c r="I9" s="792"/>
      <c r="J9" s="154">
        <f>SUMIF(53:53,I9,54:54)-SUMIF(53:53,C9,54:54)+100</f>
        <v>100</v>
      </c>
      <c r="K9" s="88"/>
      <c r="L9" s="1743"/>
      <c r="M9" s="1640"/>
      <c r="N9" s="1640"/>
      <c r="O9" s="1744"/>
      <c r="P9" s="3623" t="s">
        <v>484</v>
      </c>
      <c r="Q9" s="818" t="str">
        <f t="shared" ref="Q9:Q14" si="6">B9</f>
        <v>用途</v>
      </c>
      <c r="R9" s="1303" t="s">
        <v>5</v>
      </c>
      <c r="S9" s="1304">
        <f t="shared" si="0"/>
        <v>100</v>
      </c>
      <c r="T9" s="1303" t="s">
        <v>5</v>
      </c>
      <c r="U9" s="1304">
        <f t="shared" si="1"/>
        <v>100</v>
      </c>
      <c r="V9" s="1303" t="s">
        <v>5</v>
      </c>
      <c r="W9" s="1304">
        <f t="shared" si="2"/>
        <v>100</v>
      </c>
      <c r="X9" s="1305"/>
      <c r="Y9" s="3575" t="s">
        <v>485</v>
      </c>
      <c r="Z9" s="997" t="str">
        <f t="shared" ref="Z9:Z14" si="7">Q9</f>
        <v>用途</v>
      </c>
      <c r="AA9" s="997">
        <f t="shared" si="3"/>
        <v>1</v>
      </c>
      <c r="AB9" s="997">
        <f t="shared" si="4"/>
        <v>1</v>
      </c>
      <c r="AC9" s="997">
        <f t="shared" si="5"/>
        <v>1</v>
      </c>
    </row>
    <row r="10" spans="1:29" s="1133" customFormat="1" ht="27">
      <c r="A10" s="2212"/>
      <c r="B10" s="2217" t="s">
        <v>2039</v>
      </c>
      <c r="C10" s="3386"/>
      <c r="D10" s="235">
        <v>100</v>
      </c>
      <c r="E10" s="3386"/>
      <c r="F10" s="235">
        <f>SUMIF(55:55,E10,56:56)-SUMIF(55:55,C10,56:56)+100</f>
        <v>100</v>
      </c>
      <c r="G10" s="3387"/>
      <c r="H10" s="235">
        <f>SUMIF(55:55,G10,56:56)-SUMIF(55:55,C10,56:56)+100</f>
        <v>100</v>
      </c>
      <c r="I10" s="3386"/>
      <c r="J10" s="235">
        <f>SUMIF(55:55,I10,56:56)-SUMIF(55:55,C10,56:56)+100</f>
        <v>100</v>
      </c>
      <c r="K10" s="88"/>
      <c r="L10" s="1745"/>
      <c r="M10" s="1778"/>
      <c r="N10" s="1778"/>
      <c r="O10" s="1746"/>
      <c r="P10" s="3623"/>
      <c r="Q10" s="818" t="str">
        <f t="shared" si="6"/>
        <v>土地使用年限（年）</v>
      </c>
      <c r="R10" s="1303" t="s">
        <v>5</v>
      </c>
      <c r="S10" s="1304">
        <f t="shared" si="0"/>
        <v>100</v>
      </c>
      <c r="T10" s="1303" t="s">
        <v>5</v>
      </c>
      <c r="U10" s="1304">
        <f t="shared" si="1"/>
        <v>100</v>
      </c>
      <c r="V10" s="1303" t="s">
        <v>5</v>
      </c>
      <c r="W10" s="1304">
        <f t="shared" si="2"/>
        <v>100</v>
      </c>
      <c r="X10" s="1305"/>
      <c r="Y10" s="3575"/>
      <c r="Z10" s="997" t="str">
        <f t="shared" si="7"/>
        <v>土地使用年限（年）</v>
      </c>
      <c r="AA10" s="997">
        <f t="shared" si="3"/>
        <v>1</v>
      </c>
      <c r="AB10" s="997">
        <f t="shared" si="4"/>
        <v>1</v>
      </c>
      <c r="AC10" s="997">
        <f t="shared" si="5"/>
        <v>1</v>
      </c>
    </row>
    <row r="11" spans="1:29" ht="15">
      <c r="A11" s="2214"/>
      <c r="B11" s="2220">
        <v>111</v>
      </c>
      <c r="C11" s="478"/>
      <c r="D11" s="235">
        <v>100</v>
      </c>
      <c r="E11" s="478"/>
      <c r="F11" s="235">
        <f>SUMIF(57:57,E11,58:58)-SUMIF(57:57,C11,58:58)+100</f>
        <v>100</v>
      </c>
      <c r="G11" s="478"/>
      <c r="H11" s="235">
        <f>SUMIF(57:57,G11,58:58)-SUMIF(57:57,C11,58:58)+100</f>
        <v>100</v>
      </c>
      <c r="I11" s="478"/>
      <c r="J11" s="235">
        <f>SUMIF(57:57,I11,58:58)-SUMIF(57:57,C11,58:58)+100</f>
        <v>100</v>
      </c>
      <c r="K11" s="531"/>
      <c r="L11" s="1747"/>
      <c r="M11" s="1742"/>
      <c r="N11" s="1742"/>
      <c r="O11" s="1748"/>
      <c r="P11" s="3623"/>
      <c r="Q11" s="818">
        <f t="shared" si="6"/>
        <v>111</v>
      </c>
      <c r="R11" s="1303" t="s">
        <v>5</v>
      </c>
      <c r="S11" s="1304">
        <f t="shared" si="0"/>
        <v>100</v>
      </c>
      <c r="T11" s="1303" t="s">
        <v>5</v>
      </c>
      <c r="U11" s="1304">
        <f t="shared" si="1"/>
        <v>100</v>
      </c>
      <c r="V11" s="1303" t="s">
        <v>5</v>
      </c>
      <c r="W11" s="1304">
        <f t="shared" si="2"/>
        <v>100</v>
      </c>
      <c r="X11" s="1305"/>
      <c r="Y11" s="3575"/>
      <c r="Z11" s="997">
        <f t="shared" si="7"/>
        <v>111</v>
      </c>
      <c r="AA11" s="997">
        <f t="shared" si="3"/>
        <v>1</v>
      </c>
      <c r="AB11" s="997">
        <f t="shared" si="4"/>
        <v>1</v>
      </c>
      <c r="AC11" s="997">
        <f t="shared" si="5"/>
        <v>1</v>
      </c>
    </row>
    <row r="12" spans="1:29" s="1060" customFormat="1" ht="15">
      <c r="A12" s="2214"/>
      <c r="B12" s="2220">
        <v>111</v>
      </c>
      <c r="C12" s="478"/>
      <c r="D12" s="488">
        <v>100</v>
      </c>
      <c r="E12" s="478"/>
      <c r="F12" s="235">
        <f>SUMIF(59:59,E12,60:60)-SUMIF(59:59,C12,60:60)+100</f>
        <v>100</v>
      </c>
      <c r="G12" s="478"/>
      <c r="H12" s="235">
        <f>SUMIF(59:59,G12,60:60)-SUMIF(59:59,C12,60:60)+100</f>
        <v>100</v>
      </c>
      <c r="I12" s="478"/>
      <c r="J12" s="235">
        <f>SUMIF(59:59,I12,60:60)-SUMIF(59:59,C12,60:60)+100</f>
        <v>100</v>
      </c>
      <c r="K12" s="531"/>
      <c r="L12" s="1743"/>
      <c r="M12" s="1640"/>
      <c r="N12" s="1640"/>
      <c r="O12" s="1744"/>
      <c r="P12" s="3623"/>
      <c r="Q12" s="818">
        <f t="shared" si="6"/>
        <v>111</v>
      </c>
      <c r="R12" s="1303" t="s">
        <v>5</v>
      </c>
      <c r="S12" s="1304">
        <f t="shared" si="0"/>
        <v>100</v>
      </c>
      <c r="T12" s="1303" t="s">
        <v>5</v>
      </c>
      <c r="U12" s="1304">
        <f t="shared" si="1"/>
        <v>100</v>
      </c>
      <c r="V12" s="1303" t="s">
        <v>5</v>
      </c>
      <c r="W12" s="1304">
        <f t="shared" si="2"/>
        <v>100</v>
      </c>
      <c r="X12" s="1305"/>
      <c r="Y12" s="3575"/>
      <c r="Z12" s="997">
        <f t="shared" si="7"/>
        <v>111</v>
      </c>
      <c r="AA12" s="997">
        <f>D12/F12</f>
        <v>1</v>
      </c>
      <c r="AB12" s="997">
        <f>D12/H12</f>
        <v>1</v>
      </c>
      <c r="AC12" s="997">
        <f>D12/J12</f>
        <v>1</v>
      </c>
    </row>
    <row r="13" spans="1:29" ht="15.75" thickBot="1">
      <c r="A13" s="2215"/>
      <c r="B13" s="2221">
        <v>111</v>
      </c>
      <c r="C13" s="489"/>
      <c r="D13" s="490">
        <v>100</v>
      </c>
      <c r="E13" s="478"/>
      <c r="F13" s="235">
        <f>SUMIF(61:61,E13,62:62)-SUMIF(61:61,C13,62:62)+100</f>
        <v>100</v>
      </c>
      <c r="G13" s="478"/>
      <c r="H13" s="490">
        <f>SUMIF(61:61,G13,62:62)-SUMIF(61:61,C13,62:62)+100</f>
        <v>100</v>
      </c>
      <c r="I13" s="478"/>
      <c r="J13" s="490">
        <f>SUMIF(61:61,I13,62:62)-SUMIF(61:61,C13,62:62)+100</f>
        <v>100</v>
      </c>
      <c r="K13" s="531"/>
      <c r="L13" s="1749"/>
      <c r="M13" s="1742"/>
      <c r="N13" s="1742"/>
      <c r="O13" s="1748"/>
      <c r="P13" s="3623"/>
      <c r="Q13" s="818">
        <f t="shared" si="6"/>
        <v>111</v>
      </c>
      <c r="R13" s="1303" t="s">
        <v>5</v>
      </c>
      <c r="S13" s="1304">
        <f t="shared" si="0"/>
        <v>100</v>
      </c>
      <c r="T13" s="1303" t="s">
        <v>5</v>
      </c>
      <c r="U13" s="1304">
        <f t="shared" si="1"/>
        <v>100</v>
      </c>
      <c r="V13" s="1303" t="s">
        <v>5</v>
      </c>
      <c r="W13" s="1304">
        <f t="shared" si="2"/>
        <v>100</v>
      </c>
      <c r="X13" s="1305"/>
      <c r="Y13" s="3575"/>
      <c r="Z13" s="997">
        <f t="shared" si="7"/>
        <v>111</v>
      </c>
      <c r="AA13" s="997">
        <f t="shared" si="3"/>
        <v>1</v>
      </c>
      <c r="AB13" s="997">
        <f t="shared" si="4"/>
        <v>1</v>
      </c>
      <c r="AC13" s="997">
        <f t="shared" si="5"/>
        <v>1</v>
      </c>
    </row>
    <row r="14" spans="1:29" ht="85.5">
      <c r="A14" s="2207" t="s">
        <v>2036</v>
      </c>
      <c r="B14" s="497" t="s">
        <v>492</v>
      </c>
      <c r="C14" s="843" t="str">
        <f>IF(B1="工业",估价对象房地状况!G4,估价对象房地状况!C6)</f>
        <v>估价对象周边道路状况、公共交通通达情况、停车便捷程度，综合评价交通便捷度较好</v>
      </c>
      <c r="D14" s="499">
        <v>100</v>
      </c>
      <c r="E14" s="500"/>
      <c r="F14" s="501">
        <f>SUMIF(63:63,E15,64:64)-SUMIF(63:63,C15,64:64)+100</f>
        <v>100</v>
      </c>
      <c r="G14" s="502"/>
      <c r="H14" s="499">
        <f>SUMIF(63:63,G15,64:64)-SUMIF(63:63,C15,64:64)+100</f>
        <v>100</v>
      </c>
      <c r="I14" s="500"/>
      <c r="J14" s="499">
        <f>SUMIF(63:63,I15,64:64)-SUMIF(63:63,C15,64:64)+100</f>
        <v>100</v>
      </c>
      <c r="K14" s="822"/>
      <c r="L14" s="1749"/>
      <c r="M14" s="1742"/>
      <c r="N14" s="1742"/>
      <c r="O14" s="1748"/>
      <c r="P14" s="3625" t="s">
        <v>489</v>
      </c>
      <c r="Q14" s="1306" t="str">
        <f t="shared" si="6"/>
        <v>交通便捷度</v>
      </c>
      <c r="R14" s="1307" t="s">
        <v>5</v>
      </c>
      <c r="S14" s="1308">
        <f t="shared" si="0"/>
        <v>100</v>
      </c>
      <c r="T14" s="1307" t="s">
        <v>5</v>
      </c>
      <c r="U14" s="1308">
        <f t="shared" si="1"/>
        <v>100</v>
      </c>
      <c r="V14" s="1307" t="s">
        <v>5</v>
      </c>
      <c r="W14" s="1308">
        <f t="shared" si="2"/>
        <v>100</v>
      </c>
      <c r="X14" s="1302"/>
      <c r="Y14" s="3625" t="s">
        <v>489</v>
      </c>
      <c r="Z14" s="1309" t="str">
        <f t="shared" si="7"/>
        <v>交通便捷度</v>
      </c>
      <c r="AA14" s="1309">
        <f t="shared" si="3"/>
        <v>1</v>
      </c>
      <c r="AB14" s="1309">
        <f t="shared" si="4"/>
        <v>1</v>
      </c>
      <c r="AC14" s="1309">
        <f t="shared" si="5"/>
        <v>1</v>
      </c>
    </row>
    <row r="15" spans="1:29" ht="15">
      <c r="A15" s="466"/>
      <c r="B15" s="846"/>
      <c r="C15" s="526"/>
      <c r="D15" s="505"/>
      <c r="E15" s="526"/>
      <c r="F15" s="507"/>
      <c r="G15" s="526"/>
      <c r="H15" s="509"/>
      <c r="I15" s="526"/>
      <c r="J15" s="505"/>
      <c r="K15" s="823"/>
      <c r="L15" s="1749"/>
      <c r="M15" s="1742"/>
      <c r="N15" s="1742"/>
      <c r="O15" s="1748"/>
      <c r="P15" s="3626"/>
      <c r="Q15" s="1306"/>
      <c r="R15" s="1307"/>
      <c r="S15" s="1308"/>
      <c r="T15" s="1307"/>
      <c r="U15" s="1308"/>
      <c r="V15" s="1307"/>
      <c r="W15" s="1308"/>
      <c r="X15" s="1302"/>
      <c r="Y15" s="3626"/>
      <c r="Z15" s="1309"/>
      <c r="AA15" s="1309">
        <v>1</v>
      </c>
      <c r="AB15" s="1309">
        <v>1</v>
      </c>
      <c r="AC15" s="1309">
        <v>1</v>
      </c>
    </row>
    <row r="16" spans="1:29" ht="42.75">
      <c r="A16" s="466"/>
      <c r="B16" s="2062" t="s">
        <v>1829</v>
      </c>
      <c r="C16" s="801" t="str">
        <f>IF(B1="工业",估价对象房地状况!G5,估价对象房地状况!C7)</f>
        <v>估价对象所在区域公共配套设施齐备情况</v>
      </c>
      <c r="D16" s="515">
        <v>100</v>
      </c>
      <c r="E16" s="522"/>
      <c r="F16" s="521">
        <f>SUMIF(65:65,E17,66:66)-SUMIF(65:65,C17,66:66)+100</f>
        <v>100</v>
      </c>
      <c r="G16" s="522"/>
      <c r="H16" s="515">
        <f>SUMIF(65:65,G17,66:66)-SUMIF(65:65,C17,66:66)+100</f>
        <v>100</v>
      </c>
      <c r="I16" s="520"/>
      <c r="J16" s="515">
        <f>SUMIF(65:65,I17,66:66)-SUMIF(65:65,C17,66:66)+100</f>
        <v>100</v>
      </c>
      <c r="K16" s="822"/>
      <c r="L16" s="1749"/>
      <c r="M16" s="1742"/>
      <c r="N16" s="1742"/>
      <c r="O16" s="1748"/>
      <c r="P16" s="3626"/>
      <c r="Q16" s="1306" t="str">
        <f>B16</f>
        <v>公共配套设施</v>
      </c>
      <c r="R16" s="1307" t="s">
        <v>5</v>
      </c>
      <c r="S16" s="1308">
        <f>F16</f>
        <v>100</v>
      </c>
      <c r="T16" s="1307" t="s">
        <v>5</v>
      </c>
      <c r="U16" s="1308">
        <f>H16</f>
        <v>100</v>
      </c>
      <c r="V16" s="1307" t="s">
        <v>5</v>
      </c>
      <c r="W16" s="1308">
        <f>J16</f>
        <v>100</v>
      </c>
      <c r="X16" s="1302"/>
      <c r="Y16" s="3626"/>
      <c r="Z16" s="1309" t="str">
        <f>Q16</f>
        <v>公共配套设施</v>
      </c>
      <c r="AA16" s="1309">
        <f t="shared" si="3"/>
        <v>1</v>
      </c>
      <c r="AB16" s="1309">
        <f t="shared" si="4"/>
        <v>1</v>
      </c>
      <c r="AC16" s="1309">
        <f t="shared" si="5"/>
        <v>1</v>
      </c>
    </row>
    <row r="17" spans="1:29" ht="15">
      <c r="A17" s="466"/>
      <c r="B17" s="516"/>
      <c r="C17" s="802"/>
      <c r="D17" s="505"/>
      <c r="E17" s="526"/>
      <c r="F17" s="507"/>
      <c r="G17" s="526"/>
      <c r="H17" s="505"/>
      <c r="I17" s="526"/>
      <c r="J17" s="505"/>
      <c r="K17" s="823"/>
      <c r="L17" s="1749"/>
      <c r="M17" s="1742"/>
      <c r="N17" s="1742"/>
      <c r="O17" s="1748"/>
      <c r="P17" s="3626"/>
      <c r="Q17" s="1306"/>
      <c r="R17" s="1307"/>
      <c r="S17" s="1308"/>
      <c r="T17" s="1307"/>
      <c r="U17" s="1308"/>
      <c r="V17" s="1307"/>
      <c r="W17" s="1308"/>
      <c r="X17" s="1302"/>
      <c r="Y17" s="3626"/>
      <c r="Z17" s="1309"/>
      <c r="AA17" s="1309">
        <v>1</v>
      </c>
      <c r="AB17" s="1309">
        <v>1</v>
      </c>
      <c r="AC17" s="1309">
        <v>1</v>
      </c>
    </row>
    <row r="18" spans="1:29" ht="28.5">
      <c r="A18" s="466"/>
      <c r="B18" s="2050" t="s">
        <v>1841</v>
      </c>
      <c r="C18" s="801" t="str">
        <f>IF(B1="工业",估价对象房地状况!G6,估价对象房地状况!C8)</f>
        <v>估价对象所在区域基础设施水平</v>
      </c>
      <c r="D18" s="509">
        <v>100</v>
      </c>
      <c r="E18" s="522"/>
      <c r="F18" s="521">
        <f>SUMIF(67:67,E19,68:68)-SUMIF(67:67,C19,68:68)+100</f>
        <v>100</v>
      </c>
      <c r="G18" s="522"/>
      <c r="H18" s="515">
        <f>SUMIF(67:67,G19,68:68)-SUMIF(67:67,C19,68:68)+100</f>
        <v>100</v>
      </c>
      <c r="I18" s="520"/>
      <c r="J18" s="515">
        <f>SUMIF(67:67,I19,68:68)-SUMIF(67:67,C19,68:68)+100</f>
        <v>100</v>
      </c>
      <c r="K18" s="822"/>
      <c r="L18" s="1749"/>
      <c r="M18" s="1742"/>
      <c r="N18" s="1742"/>
      <c r="O18" s="1748"/>
      <c r="P18" s="3626"/>
      <c r="Q18" s="1306" t="str">
        <f>B18</f>
        <v>基础设施水平</v>
      </c>
      <c r="R18" s="1307" t="s">
        <v>5</v>
      </c>
      <c r="S18" s="1308">
        <f>F18</f>
        <v>100</v>
      </c>
      <c r="T18" s="1307" t="s">
        <v>5</v>
      </c>
      <c r="U18" s="1308">
        <f>H18</f>
        <v>100</v>
      </c>
      <c r="V18" s="1307" t="s">
        <v>5</v>
      </c>
      <c r="W18" s="1308">
        <f>J18</f>
        <v>100</v>
      </c>
      <c r="X18" s="1302"/>
      <c r="Y18" s="3626"/>
      <c r="Z18" s="1309" t="str">
        <f>Q18</f>
        <v>基础设施水平</v>
      </c>
      <c r="AA18" s="1309">
        <f>D18/F18</f>
        <v>1</v>
      </c>
      <c r="AB18" s="1309">
        <f>D18/H18</f>
        <v>1</v>
      </c>
      <c r="AC18" s="1309">
        <f>D18/J18</f>
        <v>1</v>
      </c>
    </row>
    <row r="19" spans="1:29" ht="15">
      <c r="A19" s="466"/>
      <c r="B19" s="528"/>
      <c r="C19" s="802"/>
      <c r="D19" s="509"/>
      <c r="E19" s="526"/>
      <c r="F19" s="507"/>
      <c r="G19" s="526"/>
      <c r="H19" s="505"/>
      <c r="I19" s="526"/>
      <c r="J19" s="505"/>
      <c r="K19" s="2061"/>
      <c r="L19" s="1749"/>
      <c r="M19" s="1742"/>
      <c r="N19" s="1742"/>
      <c r="O19" s="1748"/>
      <c r="P19" s="3626"/>
      <c r="Q19" s="1306"/>
      <c r="R19" s="1307"/>
      <c r="S19" s="1308"/>
      <c r="T19" s="1307"/>
      <c r="U19" s="1308"/>
      <c r="V19" s="1307"/>
      <c r="W19" s="1308"/>
      <c r="X19" s="1302"/>
      <c r="Y19" s="3626"/>
      <c r="Z19" s="1309"/>
      <c r="AA19" s="1309">
        <v>1</v>
      </c>
      <c r="AB19" s="1309">
        <v>1</v>
      </c>
      <c r="AC19" s="1309">
        <v>1</v>
      </c>
    </row>
    <row r="20" spans="1:29" ht="57">
      <c r="A20" s="466"/>
      <c r="B20" s="510" t="s">
        <v>744</v>
      </c>
      <c r="C20" s="801" t="str">
        <f>IF(B1="工业",估价对象房地状况!G7,估价对象房地状况!C9)</f>
        <v>区域自然环境：；人文环境；综合评价环境状况一般</v>
      </c>
      <c r="D20" s="515">
        <v>100</v>
      </c>
      <c r="E20" s="512"/>
      <c r="F20" s="513">
        <f>SUMIF(69:69,E21,70:70)-SUMIF(69:69,C21,70:70)+100</f>
        <v>100</v>
      </c>
      <c r="G20" s="514"/>
      <c r="H20" s="509">
        <f>SUMIF(69:69,G21,70:70)-SUMIF(69:69,C21,70:70)+100</f>
        <v>100</v>
      </c>
      <c r="I20" s="512"/>
      <c r="J20" s="509">
        <f>SUMIF(69:69,I21,70:70)-SUMIF(69:69,C21,70:70)+100</f>
        <v>100</v>
      </c>
      <c r="K20" s="822"/>
      <c r="L20" s="1749"/>
      <c r="M20" s="1742"/>
      <c r="N20" s="1742"/>
      <c r="O20" s="1748"/>
      <c r="P20" s="3626"/>
      <c r="Q20" s="1306" t="str">
        <f>B20</f>
        <v>自然及人文环境</v>
      </c>
      <c r="R20" s="1307" t="s">
        <v>5</v>
      </c>
      <c r="S20" s="1308">
        <f>F20</f>
        <v>100</v>
      </c>
      <c r="T20" s="1307" t="s">
        <v>5</v>
      </c>
      <c r="U20" s="1308">
        <f>H20</f>
        <v>100</v>
      </c>
      <c r="V20" s="1307" t="s">
        <v>5</v>
      </c>
      <c r="W20" s="1308">
        <f>J20</f>
        <v>100</v>
      </c>
      <c r="X20" s="1302"/>
      <c r="Y20" s="3626"/>
      <c r="Z20" s="1309" t="str">
        <f>Q20</f>
        <v>自然及人文环境</v>
      </c>
      <c r="AA20" s="1309">
        <f t="shared" si="3"/>
        <v>1</v>
      </c>
      <c r="AB20" s="1309">
        <f t="shared" si="4"/>
        <v>1</v>
      </c>
      <c r="AC20" s="1309">
        <f t="shared" si="5"/>
        <v>1</v>
      </c>
    </row>
    <row r="21" spans="1:29" ht="15">
      <c r="A21" s="466"/>
      <c r="B21" s="516"/>
      <c r="C21" s="526"/>
      <c r="D21" s="505"/>
      <c r="E21" s="526"/>
      <c r="F21" s="507"/>
      <c r="G21" s="526"/>
      <c r="H21" s="505"/>
      <c r="I21" s="526"/>
      <c r="J21" s="505"/>
      <c r="K21" s="823"/>
      <c r="L21" s="1749"/>
      <c r="M21" s="1742"/>
      <c r="N21" s="1742"/>
      <c r="O21" s="1748"/>
      <c r="P21" s="3626"/>
      <c r="Q21" s="1306"/>
      <c r="R21" s="1307"/>
      <c r="S21" s="1308"/>
      <c r="T21" s="1307"/>
      <c r="U21" s="1308"/>
      <c r="V21" s="1307"/>
      <c r="W21" s="1308"/>
      <c r="X21" s="1302"/>
      <c r="Y21" s="3626"/>
      <c r="Z21" s="1309"/>
      <c r="AA21" s="1309">
        <v>1</v>
      </c>
      <c r="AB21" s="1309">
        <v>1</v>
      </c>
      <c r="AC21" s="1309">
        <v>1</v>
      </c>
    </row>
    <row r="22" spans="1:29" ht="15">
      <c r="A22" s="466"/>
      <c r="B22" s="510" t="s">
        <v>745</v>
      </c>
      <c r="C22" s="532"/>
      <c r="D22" s="509">
        <v>100</v>
      </c>
      <c r="E22" s="532"/>
      <c r="F22" s="525">
        <f>SUMIF(71:71,E22,72:72)-SUMIF(71:71,C22,72:72)+100</f>
        <v>100</v>
      </c>
      <c r="G22" s="532"/>
      <c r="H22" s="490">
        <f>SUMIF(71:71,G22,72:72)-SUMIF(71:71,C22,72:72)+100</f>
        <v>100</v>
      </c>
      <c r="I22" s="532"/>
      <c r="J22" s="490">
        <f>SUMIF(71:71,I22,72:72)-SUMIF(71:71,C22,72:72)+100</f>
        <v>100</v>
      </c>
      <c r="K22" s="533"/>
      <c r="L22" s="1749"/>
      <c r="M22" s="1742"/>
      <c r="N22" s="1742"/>
      <c r="O22" s="1748"/>
      <c r="P22" s="3626"/>
      <c r="Q22" s="1306" t="str">
        <f>B22</f>
        <v>楼层</v>
      </c>
      <c r="R22" s="1307" t="s">
        <v>5</v>
      </c>
      <c r="S22" s="1308">
        <f>F22</f>
        <v>100</v>
      </c>
      <c r="T22" s="1307" t="s">
        <v>5</v>
      </c>
      <c r="U22" s="1308">
        <f>H22</f>
        <v>100</v>
      </c>
      <c r="V22" s="1307" t="s">
        <v>5</v>
      </c>
      <c r="W22" s="1308">
        <f>J22</f>
        <v>100</v>
      </c>
      <c r="X22" s="1302"/>
      <c r="Y22" s="3626"/>
      <c r="Z22" s="1309" t="str">
        <f>Q22</f>
        <v>楼层</v>
      </c>
      <c r="AA22" s="1309">
        <f t="shared" si="3"/>
        <v>1</v>
      </c>
      <c r="AB22" s="1309">
        <f t="shared" si="4"/>
        <v>1</v>
      </c>
      <c r="AC22" s="1309">
        <f t="shared" si="5"/>
        <v>1</v>
      </c>
    </row>
    <row r="23" spans="1:29" ht="15">
      <c r="A23" s="466"/>
      <c r="B23" s="597">
        <v>111</v>
      </c>
      <c r="C23" s="478"/>
      <c r="D23" s="490">
        <v>100</v>
      </c>
      <c r="E23" s="478"/>
      <c r="F23" s="525">
        <f>SUMIF(73:73,E23,74:74)-SUMIF(73:73,C23,74:74)+100</f>
        <v>100</v>
      </c>
      <c r="G23" s="478"/>
      <c r="H23" s="490">
        <f>SUMIF(73:73,G23,74:74)-SUMIF(73:73,C23,74:74)+100</f>
        <v>100</v>
      </c>
      <c r="I23" s="478"/>
      <c r="J23" s="490">
        <f>SUMIF(73:73,I23,74:74)-SUMIF(73:73,C23,74:74)+100</f>
        <v>100</v>
      </c>
      <c r="K23" s="531"/>
      <c r="L23" s="1749"/>
      <c r="M23" s="1742"/>
      <c r="N23" s="1742"/>
      <c r="O23" s="1748"/>
      <c r="P23" s="3626"/>
      <c r="Q23" s="1306">
        <f>B23</f>
        <v>111</v>
      </c>
      <c r="R23" s="1307" t="s">
        <v>5</v>
      </c>
      <c r="S23" s="1308">
        <f>F23</f>
        <v>100</v>
      </c>
      <c r="T23" s="1307" t="s">
        <v>5</v>
      </c>
      <c r="U23" s="1308">
        <f>H23</f>
        <v>100</v>
      </c>
      <c r="V23" s="1307" t="s">
        <v>5</v>
      </c>
      <c r="W23" s="1308">
        <f>J23</f>
        <v>100</v>
      </c>
      <c r="X23" s="1302"/>
      <c r="Y23" s="3626"/>
      <c r="Z23" s="1309">
        <f>Q23</f>
        <v>111</v>
      </c>
      <c r="AA23" s="1309">
        <f t="shared" si="3"/>
        <v>1</v>
      </c>
      <c r="AB23" s="1309">
        <f t="shared" si="4"/>
        <v>1</v>
      </c>
      <c r="AC23" s="1309">
        <f t="shared" si="5"/>
        <v>1</v>
      </c>
    </row>
    <row r="24" spans="1:29" ht="15">
      <c r="A24" s="466"/>
      <c r="B24" s="597">
        <v>111</v>
      </c>
      <c r="C24" s="478"/>
      <c r="D24" s="490">
        <v>100</v>
      </c>
      <c r="E24" s="478"/>
      <c r="F24" s="525">
        <f>SUMIF(75:75,E24,76:76)-SUMIF(75:75,C24,76:76)+100</f>
        <v>100</v>
      </c>
      <c r="G24" s="478"/>
      <c r="H24" s="490">
        <f>SUMIF(75:75,G24,76:76)-SUMIF(75:75,C24,76:76)+100</f>
        <v>100</v>
      </c>
      <c r="I24" s="478"/>
      <c r="J24" s="490">
        <f>SUMIF(75:75,I24,76:76)-SUMIF(75:75,C24,76:76)+100</f>
        <v>100</v>
      </c>
      <c r="K24" s="531"/>
      <c r="L24" s="1749"/>
      <c r="M24" s="1742"/>
      <c r="N24" s="1742"/>
      <c r="O24" s="1748"/>
      <c r="P24" s="3626"/>
      <c r="Q24" s="1306">
        <f t="shared" ref="Q24:Q36" si="8">B24</f>
        <v>111</v>
      </c>
      <c r="R24" s="1307" t="s">
        <v>5</v>
      </c>
      <c r="S24" s="1308">
        <f>F24</f>
        <v>100</v>
      </c>
      <c r="T24" s="1307" t="s">
        <v>5</v>
      </c>
      <c r="U24" s="1308">
        <f>H24</f>
        <v>100</v>
      </c>
      <c r="V24" s="1307" t="s">
        <v>5</v>
      </c>
      <c r="W24" s="1308">
        <f>J24</f>
        <v>100</v>
      </c>
      <c r="X24" s="1302"/>
      <c r="Y24" s="3626"/>
      <c r="Z24" s="1309">
        <f>Q24</f>
        <v>111</v>
      </c>
      <c r="AA24" s="1309">
        <f t="shared" si="3"/>
        <v>1</v>
      </c>
      <c r="AB24" s="1309">
        <f t="shared" si="4"/>
        <v>1</v>
      </c>
      <c r="AC24" s="1309">
        <f t="shared" si="5"/>
        <v>1</v>
      </c>
    </row>
    <row r="25" spans="1:29" s="1060" customFormat="1" ht="15.75" thickBot="1">
      <c r="A25" s="527"/>
      <c r="B25" s="837">
        <v>111</v>
      </c>
      <c r="C25" s="495"/>
      <c r="D25" s="847">
        <v>100</v>
      </c>
      <c r="E25" s="834"/>
      <c r="F25" s="848">
        <f>SUMIF(77:77,E25,78:78)-SUMIF(77:77,C25,78:78)+100</f>
        <v>100</v>
      </c>
      <c r="G25" s="834"/>
      <c r="H25" s="847">
        <f>SUMIF(77:77,G25,78:78)-SUMIF(77:77,C25,78:78)+100</f>
        <v>100</v>
      </c>
      <c r="I25" s="834"/>
      <c r="J25" s="847">
        <f>SUMIF(77:77,I25,78:78)-SUMIF(77:77,C25,78:78)+100</f>
        <v>100</v>
      </c>
      <c r="K25" s="531"/>
      <c r="L25" s="1743"/>
      <c r="M25" s="1640"/>
      <c r="N25" s="1640"/>
      <c r="O25" s="1744"/>
      <c r="P25" s="3626"/>
      <c r="Q25" s="818">
        <f t="shared" si="8"/>
        <v>111</v>
      </c>
      <c r="R25" s="1303" t="s">
        <v>5</v>
      </c>
      <c r="S25" s="1304">
        <f>F25</f>
        <v>100</v>
      </c>
      <c r="T25" s="1303" t="s">
        <v>5</v>
      </c>
      <c r="U25" s="1304">
        <f>H25</f>
        <v>100</v>
      </c>
      <c r="V25" s="1303" t="s">
        <v>5</v>
      </c>
      <c r="W25" s="1304">
        <f>J25</f>
        <v>100</v>
      </c>
      <c r="X25" s="1305"/>
      <c r="Y25" s="3626"/>
      <c r="Z25" s="997">
        <f>Q25</f>
        <v>111</v>
      </c>
      <c r="AA25" s="1309">
        <f>D25/F25</f>
        <v>1</v>
      </c>
      <c r="AB25" s="1309">
        <f>D25/H25</f>
        <v>1</v>
      </c>
      <c r="AC25" s="1309">
        <f>D25/J25</f>
        <v>1</v>
      </c>
    </row>
    <row r="26" spans="1:29" ht="15">
      <c r="A26" s="2204" t="s">
        <v>2037</v>
      </c>
      <c r="B26" s="154" t="s">
        <v>746</v>
      </c>
      <c r="C26" s="849">
        <f>B1</f>
        <v>0</v>
      </c>
      <c r="D26" s="505">
        <v>100</v>
      </c>
      <c r="E26" s="526"/>
      <c r="F26" s="507">
        <f>SUMIF(79:79,E26,80:80)-SUMIF(79:79,C26,80:80)+100</f>
        <v>100</v>
      </c>
      <c r="G26" s="526"/>
      <c r="H26" s="505">
        <f>SUMIF(79:79,G26,80:80)-SUMIF(79:79,C26,80:80)+100</f>
        <v>100</v>
      </c>
      <c r="I26" s="526"/>
      <c r="J26" s="505">
        <f>SUMIF(79:79,I26,80:80)-SUMIF(79:79,C26,80:80)+100</f>
        <v>100</v>
      </c>
      <c r="K26" s="533"/>
      <c r="L26" s="1749"/>
      <c r="M26" s="1742"/>
      <c r="N26" s="1742"/>
      <c r="O26" s="1748"/>
      <c r="P26" s="3627" t="s">
        <v>499</v>
      </c>
      <c r="Q26" s="1306" t="str">
        <f t="shared" si="8"/>
        <v>配套类型</v>
      </c>
      <c r="R26" s="1307" t="s">
        <v>5</v>
      </c>
      <c r="S26" s="1308">
        <f t="shared" ref="S26:S36" si="9">F26</f>
        <v>100</v>
      </c>
      <c r="T26" s="1307" t="s">
        <v>5</v>
      </c>
      <c r="U26" s="1308">
        <f t="shared" ref="U26:U36" si="10">H26</f>
        <v>100</v>
      </c>
      <c r="V26" s="1307" t="s">
        <v>5</v>
      </c>
      <c r="W26" s="1308">
        <f t="shared" ref="W26:W36" si="11">J26</f>
        <v>100</v>
      </c>
      <c r="X26" s="1302"/>
      <c r="Y26" s="3628" t="s">
        <v>499</v>
      </c>
      <c r="Z26" s="1309" t="str">
        <f t="shared" ref="Z26:Z36" si="12">Q26</f>
        <v>配套类型</v>
      </c>
      <c r="AA26" s="1309">
        <f t="shared" si="3"/>
        <v>1</v>
      </c>
      <c r="AB26" s="1309">
        <f t="shared" si="4"/>
        <v>1</v>
      </c>
      <c r="AC26" s="1309">
        <f t="shared" si="5"/>
        <v>1</v>
      </c>
    </row>
    <row r="27" spans="1:29" s="1134" customFormat="1" ht="15">
      <c r="A27" s="850"/>
      <c r="B27" s="235" t="s">
        <v>747</v>
      </c>
      <c r="C27" s="851"/>
      <c r="D27" s="235">
        <v>100</v>
      </c>
      <c r="E27" s="851"/>
      <c r="F27" s="525">
        <f>SUMIF(81:81,E27,82:82)-SUMIF(81:81,C27,82:82)+100</f>
        <v>100</v>
      </c>
      <c r="G27" s="851"/>
      <c r="H27" s="490">
        <f>SUMIF(81:81,G27,82:82)-SUMIF(81:81,C27,82:82)+100</f>
        <v>100</v>
      </c>
      <c r="I27" s="851"/>
      <c r="J27" s="490">
        <f>SUMIF(81:81,I27,82:82)-SUMIF(81:81,C27,82:82)+100</f>
        <v>100</v>
      </c>
      <c r="K27" s="531"/>
      <c r="L27" s="1747"/>
      <c r="M27" s="1771"/>
      <c r="N27" s="1771"/>
      <c r="O27" s="1750"/>
      <c r="P27" s="3628"/>
      <c r="Q27" s="819" t="str">
        <f t="shared" si="8"/>
        <v>项目停车位配比</v>
      </c>
      <c r="R27" s="1310" t="s">
        <v>5</v>
      </c>
      <c r="S27" s="1311">
        <f t="shared" si="9"/>
        <v>100</v>
      </c>
      <c r="T27" s="1310" t="s">
        <v>5</v>
      </c>
      <c r="U27" s="1311">
        <f t="shared" si="10"/>
        <v>100</v>
      </c>
      <c r="V27" s="1310" t="s">
        <v>5</v>
      </c>
      <c r="W27" s="1311">
        <f t="shared" si="11"/>
        <v>100</v>
      </c>
      <c r="X27" s="1312"/>
      <c r="Y27" s="3628"/>
      <c r="Z27" s="1313" t="str">
        <f t="shared" si="12"/>
        <v>项目停车位配比</v>
      </c>
      <c r="AA27" s="1309">
        <f t="shared" si="3"/>
        <v>1</v>
      </c>
      <c r="AB27" s="1309">
        <f t="shared" si="4"/>
        <v>1</v>
      </c>
      <c r="AC27" s="1309">
        <f t="shared" si="5"/>
        <v>1</v>
      </c>
    </row>
    <row r="28" spans="1:29" ht="15">
      <c r="A28" s="852"/>
      <c r="B28" s="235" t="s">
        <v>748</v>
      </c>
      <c r="C28" s="524"/>
      <c r="D28" s="490">
        <v>100</v>
      </c>
      <c r="E28" s="524"/>
      <c r="F28" s="525">
        <f>SUMIF(83:83,E28,84:84)-SUMIF(83:83,C28,84:84)+100</f>
        <v>100</v>
      </c>
      <c r="G28" s="524"/>
      <c r="H28" s="490">
        <f>SUMIF(83:83,G28,84:84)-SUMIF(83:83,C28,84:84)+100</f>
        <v>100</v>
      </c>
      <c r="I28" s="524"/>
      <c r="J28" s="490">
        <f>SUMIF(83:83,I28,84:84)-SUMIF(83:83,C28,84:84)+100</f>
        <v>100</v>
      </c>
      <c r="K28" s="533"/>
      <c r="L28" s="1749"/>
      <c r="M28" s="1742"/>
      <c r="N28" s="1742"/>
      <c r="O28" s="1748"/>
      <c r="P28" s="3628"/>
      <c r="Q28" s="1306" t="str">
        <f t="shared" si="8"/>
        <v>公共部分装修</v>
      </c>
      <c r="R28" s="1307" t="s">
        <v>5</v>
      </c>
      <c r="S28" s="1308">
        <f t="shared" si="9"/>
        <v>100</v>
      </c>
      <c r="T28" s="1307" t="s">
        <v>5</v>
      </c>
      <c r="U28" s="1308">
        <f t="shared" si="10"/>
        <v>100</v>
      </c>
      <c r="V28" s="1307" t="s">
        <v>5</v>
      </c>
      <c r="W28" s="1308">
        <f t="shared" si="11"/>
        <v>100</v>
      </c>
      <c r="X28" s="1302"/>
      <c r="Y28" s="3628"/>
      <c r="Z28" s="1309" t="str">
        <f t="shared" si="12"/>
        <v>公共部分装修</v>
      </c>
      <c r="AA28" s="1309">
        <f t="shared" si="3"/>
        <v>1</v>
      </c>
      <c r="AB28" s="1309">
        <f t="shared" si="4"/>
        <v>1</v>
      </c>
      <c r="AC28" s="1309">
        <f t="shared" si="5"/>
        <v>1</v>
      </c>
    </row>
    <row r="29" spans="1:29" ht="15">
      <c r="A29" s="852"/>
      <c r="B29" s="235" t="s">
        <v>749</v>
      </c>
      <c r="C29" s="806"/>
      <c r="D29" s="490">
        <v>100</v>
      </c>
      <c r="E29" s="808"/>
      <c r="F29" s="525" t="e">
        <f>LOOKUP(E29,86:86,87:87)-LOOKUP(C29,86:86,87:87)+100</f>
        <v>#N/A</v>
      </c>
      <c r="G29" s="808"/>
      <c r="H29" s="525" t="e">
        <f>LOOKUP(G29,86:86,87:87)-LOOKUP(C29,86:86,87:87)+100</f>
        <v>#N/A</v>
      </c>
      <c r="I29" s="808"/>
      <c r="J29" s="490" t="e">
        <f>LOOKUP(I29,86:86,87:87)-LOOKUP(C29,86:86,87:87)+100</f>
        <v>#N/A</v>
      </c>
      <c r="K29" s="533"/>
      <c r="L29" s="1749"/>
      <c r="M29" s="1742"/>
      <c r="N29" s="1742"/>
      <c r="O29" s="1748"/>
      <c r="P29" s="3628"/>
      <c r="Q29" s="1306" t="str">
        <f t="shared" si="8"/>
        <v>成新率</v>
      </c>
      <c r="R29" s="1307" t="s">
        <v>5</v>
      </c>
      <c r="S29" s="1308" t="e">
        <f t="shared" si="9"/>
        <v>#N/A</v>
      </c>
      <c r="T29" s="1307" t="s">
        <v>5</v>
      </c>
      <c r="U29" s="1308" t="e">
        <f t="shared" si="10"/>
        <v>#N/A</v>
      </c>
      <c r="V29" s="1307" t="s">
        <v>5</v>
      </c>
      <c r="W29" s="1308" t="e">
        <f t="shared" si="11"/>
        <v>#N/A</v>
      </c>
      <c r="X29" s="1302"/>
      <c r="Y29" s="3628"/>
      <c r="Z29" s="1309" t="str">
        <f t="shared" si="12"/>
        <v>成新率</v>
      </c>
      <c r="AA29" s="1309" t="e">
        <f t="shared" si="3"/>
        <v>#N/A</v>
      </c>
      <c r="AB29" s="1309" t="e">
        <f t="shared" si="4"/>
        <v>#N/A</v>
      </c>
      <c r="AC29" s="1309" t="e">
        <f t="shared" si="5"/>
        <v>#N/A</v>
      </c>
    </row>
    <row r="30" spans="1:29" ht="15">
      <c r="A30" s="852"/>
      <c r="B30" s="235" t="s">
        <v>750</v>
      </c>
      <c r="C30" s="853"/>
      <c r="D30" s="490">
        <v>100</v>
      </c>
      <c r="E30" s="853"/>
      <c r="F30" s="525">
        <f>SUMIF(88:88,E30,89:89)-SUMIF(88:88,C30,89:89)+100</f>
        <v>100</v>
      </c>
      <c r="G30" s="853"/>
      <c r="H30" s="490">
        <f>SUMIF(88:88,E30,89:89)-SUMIF(88:88,C30,89:89)+100</f>
        <v>100</v>
      </c>
      <c r="I30" s="853"/>
      <c r="J30" s="490">
        <f>SUMIF(88:88,E30,89:89)-SUMIF(88:88,C30,89:89)+100</f>
        <v>100</v>
      </c>
      <c r="K30" s="533"/>
      <c r="L30" s="1749"/>
      <c r="M30" s="1742"/>
      <c r="N30" s="1742"/>
      <c r="O30" s="1748"/>
      <c r="P30" s="3628"/>
      <c r="Q30" s="1306" t="str">
        <f t="shared" si="8"/>
        <v>物业等级</v>
      </c>
      <c r="R30" s="1307" t="s">
        <v>5</v>
      </c>
      <c r="S30" s="1308">
        <f t="shared" si="9"/>
        <v>100</v>
      </c>
      <c r="T30" s="1307" t="s">
        <v>5</v>
      </c>
      <c r="U30" s="1308">
        <f t="shared" si="10"/>
        <v>100</v>
      </c>
      <c r="V30" s="1307" t="s">
        <v>5</v>
      </c>
      <c r="W30" s="1308">
        <f t="shared" si="11"/>
        <v>100</v>
      </c>
      <c r="X30" s="1302"/>
      <c r="Y30" s="3628"/>
      <c r="Z30" s="1309" t="str">
        <f t="shared" si="12"/>
        <v>物业等级</v>
      </c>
      <c r="AA30" s="1309">
        <f t="shared" si="3"/>
        <v>1</v>
      </c>
      <c r="AB30" s="1309">
        <f t="shared" si="4"/>
        <v>1</v>
      </c>
      <c r="AC30" s="1309">
        <f t="shared" si="5"/>
        <v>1</v>
      </c>
    </row>
    <row r="31" spans="1:29" s="1060" customFormat="1" ht="15">
      <c r="A31" s="854"/>
      <c r="B31" s="235" t="s">
        <v>751</v>
      </c>
      <c r="C31" s="806"/>
      <c r="D31" s="235">
        <v>100</v>
      </c>
      <c r="E31" s="806"/>
      <c r="F31" s="525" t="e">
        <f>LOOKUP(E31,91:91,92:92)-LOOKUP(C31,91:91,92:92)+100</f>
        <v>#N/A</v>
      </c>
      <c r="G31" s="806"/>
      <c r="H31" s="490" t="e">
        <f>LOOKUP(G31,91:91,92:92)-LOOKUP(C31,91:91,92:92)+100</f>
        <v>#N/A</v>
      </c>
      <c r="I31" s="806"/>
      <c r="J31" s="490" t="e">
        <f>LOOKUP(I31,91:91,92:92)-LOOKUP(C31,91:91,92:92)+100</f>
        <v>#N/A</v>
      </c>
      <c r="K31" s="533"/>
      <c r="L31" s="1743"/>
      <c r="M31" s="1640"/>
      <c r="N31" s="1640"/>
      <c r="O31" s="1744"/>
      <c r="P31" s="3628"/>
      <c r="Q31" s="818" t="str">
        <f t="shared" si="8"/>
        <v>停车位面积</v>
      </c>
      <c r="R31" s="1303" t="s">
        <v>5</v>
      </c>
      <c r="S31" s="1304" t="e">
        <f t="shared" si="9"/>
        <v>#N/A</v>
      </c>
      <c r="T31" s="1303" t="s">
        <v>5</v>
      </c>
      <c r="U31" s="1304" t="e">
        <f t="shared" si="10"/>
        <v>#N/A</v>
      </c>
      <c r="V31" s="1303" t="s">
        <v>5</v>
      </c>
      <c r="W31" s="1304" t="e">
        <f t="shared" si="11"/>
        <v>#N/A</v>
      </c>
      <c r="X31" s="1305"/>
      <c r="Y31" s="3628"/>
      <c r="Z31" s="997" t="str">
        <f t="shared" si="12"/>
        <v>停车位面积</v>
      </c>
      <c r="AA31" s="997" t="e">
        <f t="shared" si="3"/>
        <v>#N/A</v>
      </c>
      <c r="AB31" s="997" t="e">
        <f t="shared" si="4"/>
        <v>#N/A</v>
      </c>
      <c r="AC31" s="997" t="e">
        <f t="shared" si="5"/>
        <v>#N/A</v>
      </c>
    </row>
    <row r="32" spans="1:29" ht="15">
      <c r="A32" s="852"/>
      <c r="B32" s="235" t="s">
        <v>752</v>
      </c>
      <c r="C32" s="524"/>
      <c r="D32" s="490">
        <v>100</v>
      </c>
      <c r="E32" s="524"/>
      <c r="F32" s="525">
        <f>SUMIF(93:93,E32,94:94)-SUMIF(93:93,C32,94:94)+100</f>
        <v>100</v>
      </c>
      <c r="G32" s="524"/>
      <c r="H32" s="490">
        <f>SUMIF(93:93,G32,94:94)-SUMIF(93:93,C32,94:94)+100</f>
        <v>100</v>
      </c>
      <c r="I32" s="524"/>
      <c r="J32" s="490">
        <f>SUMIF(93:93,I32,94:94)-SUMIF(93:93,C32,94:94)+100</f>
        <v>100</v>
      </c>
      <c r="K32" s="533"/>
      <c r="L32" s="1749"/>
      <c r="M32" s="1742"/>
      <c r="N32" s="1742"/>
      <c r="O32" s="1748"/>
      <c r="P32" s="3628" t="s">
        <v>499</v>
      </c>
      <c r="Q32" s="1306" t="str">
        <f t="shared" si="8"/>
        <v>车位类型</v>
      </c>
      <c r="R32" s="1307" t="s">
        <v>5</v>
      </c>
      <c r="S32" s="1308">
        <f t="shared" si="9"/>
        <v>100</v>
      </c>
      <c r="T32" s="1307" t="s">
        <v>5</v>
      </c>
      <c r="U32" s="1308">
        <f t="shared" si="10"/>
        <v>100</v>
      </c>
      <c r="V32" s="1307" t="s">
        <v>5</v>
      </c>
      <c r="W32" s="1308">
        <f t="shared" si="11"/>
        <v>100</v>
      </c>
      <c r="X32" s="1302"/>
      <c r="Y32" s="3628" t="s">
        <v>499</v>
      </c>
      <c r="Z32" s="1309" t="str">
        <f t="shared" si="12"/>
        <v>车位类型</v>
      </c>
      <c r="AA32" s="1309">
        <f t="shared" si="3"/>
        <v>1</v>
      </c>
      <c r="AB32" s="1309">
        <f t="shared" si="4"/>
        <v>1</v>
      </c>
      <c r="AC32" s="1309">
        <f t="shared" si="5"/>
        <v>1</v>
      </c>
    </row>
    <row r="33" spans="1:29" ht="15">
      <c r="A33" s="852"/>
      <c r="B33" s="235" t="s">
        <v>753</v>
      </c>
      <c r="C33" s="524"/>
      <c r="D33" s="490">
        <v>100</v>
      </c>
      <c r="E33" s="524"/>
      <c r="F33" s="525">
        <f>SUMIF(95:95,E33,96:96)-SUMIF(95:95,C33,96:96)+100</f>
        <v>100</v>
      </c>
      <c r="G33" s="524"/>
      <c r="H33" s="490">
        <f>SUMIF(95:95,G33,96:96)-SUMIF(95:95,C33,96:96)+100</f>
        <v>100</v>
      </c>
      <c r="I33" s="524"/>
      <c r="J33" s="490">
        <f>SUMIF(95:95,I33,96:96)-SUMIF(95:95,C33,96:96)+100</f>
        <v>100</v>
      </c>
      <c r="K33" s="533"/>
      <c r="L33" s="1749"/>
      <c r="M33" s="1742"/>
      <c r="N33" s="1742"/>
      <c r="O33" s="1748"/>
      <c r="P33" s="3628"/>
      <c r="Q33" s="1306" t="str">
        <f t="shared" si="8"/>
        <v>是否直接入户</v>
      </c>
      <c r="R33" s="1307" t="s">
        <v>5</v>
      </c>
      <c r="S33" s="1308">
        <f t="shared" si="9"/>
        <v>100</v>
      </c>
      <c r="T33" s="1307" t="s">
        <v>5</v>
      </c>
      <c r="U33" s="1308">
        <f t="shared" si="10"/>
        <v>100</v>
      </c>
      <c r="V33" s="1307" t="s">
        <v>5</v>
      </c>
      <c r="W33" s="1308">
        <f t="shared" si="11"/>
        <v>100</v>
      </c>
      <c r="X33" s="1302"/>
      <c r="Y33" s="3628"/>
      <c r="Z33" s="1309" t="str">
        <f t="shared" si="12"/>
        <v>是否直接入户</v>
      </c>
      <c r="AA33" s="1309">
        <f t="shared" si="3"/>
        <v>1</v>
      </c>
      <c r="AB33" s="1309">
        <f t="shared" si="4"/>
        <v>1</v>
      </c>
      <c r="AC33" s="1309">
        <f t="shared" si="5"/>
        <v>1</v>
      </c>
    </row>
    <row r="34" spans="1:29" ht="15">
      <c r="A34" s="852"/>
      <c r="B34" s="597">
        <v>111</v>
      </c>
      <c r="C34" s="478"/>
      <c r="D34" s="490">
        <v>100</v>
      </c>
      <c r="E34" s="478"/>
      <c r="F34" s="525">
        <f>SUMIF(97:97,E34,98:98)-SUMIF(97:97,C34,98:98)+100</f>
        <v>100</v>
      </c>
      <c r="G34" s="478"/>
      <c r="H34" s="490">
        <f>SUMIF(97:97,G34,98:98)-SUMIF(97:97,C34,98:98)+100</f>
        <v>100</v>
      </c>
      <c r="I34" s="478"/>
      <c r="J34" s="490">
        <f>SUMIF(97:97,I34,98:98)-SUMIF(97:97,C34,98:98)+100</f>
        <v>100</v>
      </c>
      <c r="K34" s="531"/>
      <c r="L34" s="1749"/>
      <c r="M34" s="1742"/>
      <c r="N34" s="1742"/>
      <c r="O34" s="1748"/>
      <c r="P34" s="3628"/>
      <c r="Q34" s="1306">
        <f t="shared" si="8"/>
        <v>111</v>
      </c>
      <c r="R34" s="1307" t="s">
        <v>5</v>
      </c>
      <c r="S34" s="1308">
        <f t="shared" si="9"/>
        <v>100</v>
      </c>
      <c r="T34" s="1307" t="s">
        <v>5</v>
      </c>
      <c r="U34" s="1308">
        <f t="shared" si="10"/>
        <v>100</v>
      </c>
      <c r="V34" s="1307" t="s">
        <v>5</v>
      </c>
      <c r="W34" s="1308">
        <f t="shared" si="11"/>
        <v>100</v>
      </c>
      <c r="X34" s="1302"/>
      <c r="Y34" s="3628"/>
      <c r="Z34" s="1309">
        <f t="shared" si="12"/>
        <v>111</v>
      </c>
      <c r="AA34" s="1309">
        <f t="shared" si="3"/>
        <v>1</v>
      </c>
      <c r="AB34" s="1309">
        <f t="shared" si="4"/>
        <v>1</v>
      </c>
      <c r="AC34" s="1309">
        <f t="shared" si="5"/>
        <v>1</v>
      </c>
    </row>
    <row r="35" spans="1:29" s="1134" customFormat="1" ht="15">
      <c r="A35" s="850"/>
      <c r="B35" s="597">
        <v>111</v>
      </c>
      <c r="C35" s="478"/>
      <c r="D35" s="490">
        <v>100</v>
      </c>
      <c r="E35" s="478"/>
      <c r="F35" s="525">
        <f>SUMIF(99:99,E35,100:100)-SUMIF(99:99,C35,100:100)+100</f>
        <v>100</v>
      </c>
      <c r="G35" s="478"/>
      <c r="H35" s="490">
        <f>SUMIF(99:99,G35,100:100)-SUMIF(99:99,C35,100:100)+100</f>
        <v>100</v>
      </c>
      <c r="I35" s="478"/>
      <c r="J35" s="490">
        <f>SUMIF(99:99,I35,100:100)-SUMIF(99:99,C35,100:100)+100</f>
        <v>100</v>
      </c>
      <c r="K35" s="531"/>
      <c r="L35" s="1747"/>
      <c r="M35" s="1771"/>
      <c r="N35" s="1771"/>
      <c r="O35" s="1750"/>
      <c r="P35" s="3628"/>
      <c r="Q35" s="819">
        <f t="shared" si="8"/>
        <v>111</v>
      </c>
      <c r="R35" s="1310" t="s">
        <v>5</v>
      </c>
      <c r="S35" s="1311">
        <f t="shared" si="9"/>
        <v>100</v>
      </c>
      <c r="T35" s="1310" t="s">
        <v>5</v>
      </c>
      <c r="U35" s="1311">
        <f t="shared" si="10"/>
        <v>100</v>
      </c>
      <c r="V35" s="1310" t="s">
        <v>5</v>
      </c>
      <c r="W35" s="1311">
        <f t="shared" si="11"/>
        <v>100</v>
      </c>
      <c r="X35" s="1312"/>
      <c r="Y35" s="3628"/>
      <c r="Z35" s="1313">
        <f t="shared" si="12"/>
        <v>111</v>
      </c>
      <c r="AA35" s="1309">
        <f t="shared" si="3"/>
        <v>1</v>
      </c>
      <c r="AB35" s="1309">
        <f t="shared" si="4"/>
        <v>1</v>
      </c>
      <c r="AC35" s="1309">
        <f t="shared" si="5"/>
        <v>1</v>
      </c>
    </row>
    <row r="36" spans="1:29" ht="15.75" thickBot="1">
      <c r="A36" s="855"/>
      <c r="B36" s="837">
        <v>111</v>
      </c>
      <c r="C36" s="489"/>
      <c r="D36" s="490">
        <v>100</v>
      </c>
      <c r="E36" s="478"/>
      <c r="F36" s="525">
        <f>SUMIF(101:101,E36,102:102)-SUMIF(101:101,C36,102:102)+100</f>
        <v>100</v>
      </c>
      <c r="G36" s="478"/>
      <c r="H36" s="490">
        <f>SUMIF(101:101,G36,102:102)-SUMIF(101:101,C36,102:102)+100</f>
        <v>100</v>
      </c>
      <c r="I36" s="478"/>
      <c r="J36" s="490">
        <f>SUMIF(101:101,I36,102:102)-SUMIF(101:101,C36,102:102)+100</f>
        <v>100</v>
      </c>
      <c r="K36" s="531"/>
      <c r="L36" s="1749"/>
      <c r="M36" s="1742"/>
      <c r="N36" s="1742"/>
      <c r="O36" s="1748"/>
      <c r="P36" s="3628"/>
      <c r="Q36" s="1306">
        <f t="shared" si="8"/>
        <v>111</v>
      </c>
      <c r="R36" s="1307" t="s">
        <v>5</v>
      </c>
      <c r="S36" s="1308">
        <f t="shared" si="9"/>
        <v>100</v>
      </c>
      <c r="T36" s="1307" t="s">
        <v>5</v>
      </c>
      <c r="U36" s="1308">
        <f t="shared" si="10"/>
        <v>100</v>
      </c>
      <c r="V36" s="1307" t="s">
        <v>5</v>
      </c>
      <c r="W36" s="1308">
        <f t="shared" si="11"/>
        <v>100</v>
      </c>
      <c r="X36" s="1302"/>
      <c r="Y36" s="3628"/>
      <c r="Z36" s="1309">
        <f t="shared" si="12"/>
        <v>111</v>
      </c>
      <c r="AA36" s="1309">
        <f t="shared" si="3"/>
        <v>1</v>
      </c>
      <c r="AB36" s="1309">
        <f t="shared" si="4"/>
        <v>1</v>
      </c>
      <c r="AC36" s="1309">
        <f t="shared" si="5"/>
        <v>1</v>
      </c>
    </row>
    <row r="37" spans="1:29" ht="15">
      <c r="A37" s="1535" t="s">
        <v>1595</v>
      </c>
      <c r="B37" s="1536" t="s">
        <v>1596</v>
      </c>
      <c r="C37" s="2081" t="s">
        <v>0</v>
      </c>
      <c r="D37" s="559"/>
      <c r="E37" s="560"/>
      <c r="F37" s="561"/>
      <c r="G37" s="562"/>
      <c r="H37" s="563"/>
      <c r="I37" s="560"/>
      <c r="J37" s="563"/>
      <c r="K37" s="1335"/>
      <c r="L37" s="1751"/>
      <c r="M37" s="1742"/>
      <c r="N37" s="1742"/>
      <c r="O37" s="1742"/>
      <c r="P37" s="3623" t="str">
        <f>A37</f>
        <v>成交单价</v>
      </c>
      <c r="Q37" s="3623"/>
      <c r="R37" s="3639">
        <f>E37</f>
        <v>0</v>
      </c>
      <c r="S37" s="3639"/>
      <c r="T37" s="3639">
        <f>G37</f>
        <v>0</v>
      </c>
      <c r="U37" s="3639"/>
      <c r="V37" s="3639">
        <f>I37</f>
        <v>0</v>
      </c>
      <c r="W37" s="3639"/>
      <c r="X37" s="799"/>
      <c r="Y37" s="1314"/>
      <c r="Z37" s="799"/>
      <c r="AA37" s="799"/>
      <c r="AB37" s="799"/>
      <c r="AC37" s="799"/>
    </row>
    <row r="38" spans="1:29" ht="15.75" thickBot="1">
      <c r="A38" s="564" t="s">
        <v>2042</v>
      </c>
      <c r="B38" s="813"/>
      <c r="C38" s="2082" t="e">
        <f>R39</f>
        <v>#DIV/0!</v>
      </c>
      <c r="D38" s="2550" t="s">
        <v>2261</v>
      </c>
      <c r="E38" s="2083" t="e">
        <f>R38</f>
        <v>#DIV/0!</v>
      </c>
      <c r="F38" s="2551"/>
      <c r="G38" s="2082" t="e">
        <f>T38</f>
        <v>#DIV/0!</v>
      </c>
      <c r="H38" s="2551"/>
      <c r="I38" s="2083" t="e">
        <f>V38</f>
        <v>#DIV/0!</v>
      </c>
      <c r="J38" s="2551"/>
      <c r="K38" s="2558">
        <f>F38+H38+J38</f>
        <v>0</v>
      </c>
      <c r="L38" s="1751"/>
      <c r="M38" s="1742"/>
      <c r="N38" s="1742"/>
      <c r="O38" s="1742"/>
      <c r="P38" s="3623" t="str">
        <f>A38</f>
        <v>比较价格（元/平方米）</v>
      </c>
      <c r="Q38" s="3623"/>
      <c r="R38" s="3639" t="e">
        <f>IF(F1="售价",ROUND(PRODUCT(R37,AA7:AA36),0),ROUND(PRODUCT(R37,AA7:AA36),1))</f>
        <v>#DIV/0!</v>
      </c>
      <c r="S38" s="3639"/>
      <c r="T38" s="3639" t="e">
        <f>IF(F1="售价",ROUND(PRODUCT(T37,AB7:AB36),0),ROUND(PRODUCT(T37,AB7:AB36),1))</f>
        <v>#DIV/0!</v>
      </c>
      <c r="U38" s="3639"/>
      <c r="V38" s="3639" t="e">
        <f>IF(F1="售价",ROUND(PRODUCT(V37,AC7:AC36),0),ROUND(PRODUCT(V37,AC7:AC36),1))</f>
        <v>#DIV/0!</v>
      </c>
      <c r="W38" s="3639"/>
      <c r="X38" s="799"/>
      <c r="Y38" s="799"/>
      <c r="Z38" s="799"/>
      <c r="AA38" s="799"/>
      <c r="AB38" s="799"/>
      <c r="AC38" s="799"/>
    </row>
    <row r="39" spans="1:29" ht="15.75" thickBot="1">
      <c r="A39" s="568" t="s">
        <v>2198</v>
      </c>
      <c r="B39" s="569"/>
      <c r="C39" s="469" t="e">
        <f>R39</f>
        <v>#DIV/0!</v>
      </c>
      <c r="D39" s="469"/>
      <c r="E39" s="469"/>
      <c r="F39" s="469"/>
      <c r="G39" s="469"/>
      <c r="H39" s="469"/>
      <c r="I39" s="469"/>
      <c r="J39" s="469"/>
      <c r="K39" s="1336"/>
      <c r="L39" s="1751"/>
      <c r="M39" s="1742"/>
      <c r="N39" s="1742"/>
      <c r="O39" s="1742"/>
      <c r="P39" s="3629" t="str">
        <f>A39</f>
        <v>估价对象XX用房的比较价格（楼面单价，元/平方米）</v>
      </c>
      <c r="Q39" s="3630"/>
      <c r="R39" s="3739" t="e">
        <f>IF(F1="售价",ROUND(IF(D38="简单平均",AVERAGE(R38:W38),R38*F38+T38*H38+V38*J38),0),ROUND(IF(D38="简单平均",AVERAGE(R38:V38),R38*F38+T38*H38+V38*J38),1))</f>
        <v>#DIV/0!</v>
      </c>
      <c r="S39" s="3739"/>
      <c r="T39" s="3739"/>
      <c r="U39" s="3739"/>
      <c r="V39" s="3739"/>
      <c r="W39" s="3739"/>
      <c r="X39" s="799"/>
      <c r="Y39" s="799"/>
      <c r="Z39" s="799"/>
      <c r="AA39" s="799"/>
      <c r="AB39" s="799"/>
      <c r="AC39" s="799"/>
    </row>
    <row r="40" spans="1:29">
      <c r="A40" s="2720"/>
      <c r="B40" s="2720"/>
      <c r="C40" s="2720"/>
      <c r="D40" s="2720"/>
      <c r="E40" s="2720"/>
      <c r="F40" s="2720"/>
      <c r="G40" s="2722"/>
      <c r="H40" s="2720"/>
      <c r="I40" s="2720"/>
      <c r="J40" s="2720"/>
      <c r="K40" s="2723"/>
      <c r="L40" s="1755"/>
      <c r="M40" s="1742"/>
      <c r="N40" s="1742"/>
      <c r="O40" s="1742"/>
      <c r="P40" s="1742"/>
      <c r="Q40" s="1742"/>
      <c r="R40" s="1742"/>
      <c r="S40" s="1742"/>
      <c r="T40" s="1742"/>
      <c r="U40" s="1742"/>
      <c r="V40" s="1742"/>
      <c r="W40" s="1742"/>
      <c r="X40" s="1742"/>
      <c r="Y40" s="1742"/>
      <c r="Z40" s="1742"/>
      <c r="AA40" s="1742"/>
      <c r="AB40" s="1742"/>
      <c r="AC40" s="1742"/>
    </row>
    <row r="41" spans="1:29">
      <c r="A41" s="2720"/>
      <c r="B41" s="2720"/>
      <c r="C41" s="2720"/>
      <c r="D41" s="2720"/>
      <c r="E41" s="2720"/>
      <c r="F41" s="2720"/>
      <c r="G41" s="2720"/>
      <c r="H41" s="2720"/>
      <c r="I41" s="2720"/>
      <c r="J41" s="2720"/>
      <c r="K41" s="2723"/>
      <c r="L41" s="1755"/>
      <c r="M41" s="1742"/>
      <c r="N41" s="1742"/>
      <c r="O41" s="1742"/>
      <c r="P41" s="1742"/>
      <c r="Q41" s="1742"/>
      <c r="R41" s="1742"/>
      <c r="S41" s="1742"/>
      <c r="T41" s="1742"/>
      <c r="U41" s="1742"/>
      <c r="V41" s="1742"/>
      <c r="W41" s="1742"/>
      <c r="X41" s="1742"/>
      <c r="Y41" s="1742"/>
      <c r="Z41" s="1742"/>
      <c r="AA41" s="1742"/>
      <c r="AB41" s="1742"/>
      <c r="AC41" s="1742"/>
    </row>
    <row r="42" spans="1:29" ht="13.5" customHeight="1">
      <c r="A42" s="2720"/>
      <c r="B42" s="2720"/>
      <c r="C42" s="571" t="s">
        <v>506</v>
      </c>
      <c r="D42" s="572"/>
      <c r="E42" s="573" t="e">
        <f>IF(E37&lt;E38,E38/E37-1,E37/E38-1)</f>
        <v>#DIV/0!</v>
      </c>
      <c r="F42" s="574" t="e">
        <f>IF(OR(E42&gt;=0.3,E42&lt;=-0.3),"超过30%","")</f>
        <v>#DIV/0!</v>
      </c>
      <c r="G42" s="573" t="e">
        <f>IF(G37&lt;G38,G38/G37-1,G37/G38-1)</f>
        <v>#DIV/0!</v>
      </c>
      <c r="H42" s="574" t="e">
        <f>IF(OR(G42&gt;=0.3,G42&lt;=-0.3),"超过30%","")</f>
        <v>#DIV/0!</v>
      </c>
      <c r="I42" s="573" t="e">
        <f>IF(I37&lt;I38,I38/I37-1,I37/I38-1)</f>
        <v>#DIV/0!</v>
      </c>
      <c r="J42" s="574" t="e">
        <f>IF(OR(I42&gt;=0.3,I42&lt;=-0.3),"超过30%","")</f>
        <v>#DIV/0!</v>
      </c>
      <c r="K42" s="2723"/>
      <c r="L42" s="1755"/>
      <c r="M42" s="1742"/>
      <c r="N42" s="1742"/>
      <c r="O42" s="1742"/>
      <c r="P42" s="1742"/>
      <c r="Q42" s="1742"/>
      <c r="R42" s="1742"/>
      <c r="S42" s="1742"/>
      <c r="T42" s="1742"/>
      <c r="U42" s="1742"/>
      <c r="V42" s="1742"/>
      <c r="W42" s="1742"/>
      <c r="X42" s="1742"/>
      <c r="Y42" s="1742"/>
      <c r="Z42" s="1742"/>
      <c r="AA42" s="1742"/>
      <c r="AB42" s="1742"/>
      <c r="AC42" s="1742"/>
    </row>
    <row r="43" spans="1:29" ht="13.5" customHeight="1">
      <c r="A43" s="2720"/>
      <c r="B43" s="2720"/>
      <c r="C43" s="571" t="s">
        <v>507</v>
      </c>
      <c r="D43" s="575"/>
      <c r="E43" s="573" t="e">
        <f>IF(E38&lt;G38,G38/E38-1,E38/G38-1)</f>
        <v>#DIV/0!</v>
      </c>
      <c r="F43" s="574" t="e">
        <f>IF(OR(E43&gt;=0.2,E43&lt;=-0.2),"超过20%","")</f>
        <v>#DIV/0!</v>
      </c>
      <c r="G43" s="573" t="e">
        <f>IF(G38&lt;I38,I38/G38-1,G38/I38-1)</f>
        <v>#DIV/0!</v>
      </c>
      <c r="H43" s="574" t="e">
        <f>IF(OR(G43&gt;=0.2,G43&lt;=-0.2),"超过20%","")</f>
        <v>#DIV/0!</v>
      </c>
      <c r="I43" s="573" t="e">
        <f>IF(I38&lt;E38,E38/I38-1,I38/E38-1)</f>
        <v>#DIV/0!</v>
      </c>
      <c r="J43" s="574" t="e">
        <f>IF(OR(I43&gt;=0.2,I43&lt;=-0.2),"超过20%","")</f>
        <v>#DIV/0!</v>
      </c>
      <c r="K43" s="2723"/>
      <c r="L43" s="1755"/>
      <c r="M43" s="1742"/>
      <c r="N43" s="1742"/>
      <c r="O43" s="1742"/>
      <c r="P43" s="1742"/>
      <c r="Q43" s="1742"/>
      <c r="R43" s="1742"/>
      <c r="S43" s="1742"/>
      <c r="T43" s="1742"/>
      <c r="U43" s="1742"/>
      <c r="V43" s="1742"/>
      <c r="W43" s="1742"/>
      <c r="X43" s="1742"/>
      <c r="Y43" s="1742"/>
      <c r="Z43" s="1742"/>
      <c r="AA43" s="1742"/>
      <c r="AB43" s="1742"/>
      <c r="AC43" s="1742"/>
    </row>
    <row r="44" spans="1:29" s="1139" customFormat="1" ht="13.5" customHeight="1">
      <c r="A44" s="2721"/>
      <c r="B44" s="2721"/>
      <c r="C44" s="571" t="s">
        <v>508</v>
      </c>
      <c r="D44" s="575"/>
      <c r="E44" s="573" t="e">
        <f>IF(E37&lt;G37,G37/E37-1,E37/G37-1)</f>
        <v>#DIV/0!</v>
      </c>
      <c r="F44" s="574" t="e">
        <f>IF(OR(E44&gt;=0.3,E44&lt;=-0.3),"超过30%","")</f>
        <v>#DIV/0!</v>
      </c>
      <c r="G44" s="573" t="e">
        <f>IF(G37&lt;I37,I37/G37-1,G37/I37-1)</f>
        <v>#DIV/0!</v>
      </c>
      <c r="H44" s="574" t="e">
        <f>IF(OR(G44&gt;=0.3,G44&lt;=-0.3),"超过30%","")</f>
        <v>#DIV/0!</v>
      </c>
      <c r="I44" s="573" t="e">
        <f>IF(I37&lt;E37,E37/I37-1,I37/E37-1)</f>
        <v>#DIV/0!</v>
      </c>
      <c r="J44" s="574" t="e">
        <f>IF(OR(I44&gt;=0.3,I44&lt;=-0.3),"超过30%","")</f>
        <v>#DIV/0!</v>
      </c>
      <c r="K44" s="2724"/>
      <c r="L44" s="1758"/>
      <c r="M44" s="1752"/>
      <c r="N44" s="1752"/>
      <c r="O44" s="1752"/>
      <c r="P44" s="1752"/>
      <c r="Q44" s="1752"/>
      <c r="R44" s="1752"/>
      <c r="S44" s="1752"/>
      <c r="T44" s="1752"/>
      <c r="U44" s="1752"/>
      <c r="V44" s="1752"/>
      <c r="W44" s="1752"/>
      <c r="X44" s="1752"/>
      <c r="Y44" s="1752"/>
      <c r="Z44" s="1752"/>
      <c r="AA44" s="1752"/>
      <c r="AB44" s="1752"/>
      <c r="AC44" s="1752"/>
    </row>
    <row r="45" spans="1:29" s="1139" customFormat="1">
      <c r="A45" s="1752"/>
      <c r="B45" s="1753"/>
      <c r="C45" s="1756"/>
      <c r="D45" s="1752"/>
      <c r="E45" s="1752"/>
      <c r="F45" s="1752"/>
      <c r="G45" s="1752"/>
      <c r="H45" s="1752"/>
      <c r="I45" s="1752"/>
      <c r="J45" s="1752"/>
      <c r="K45" s="1757"/>
      <c r="L45" s="1758"/>
      <c r="M45" s="1752"/>
      <c r="N45" s="1752"/>
      <c r="O45" s="1752"/>
      <c r="P45" s="1752"/>
      <c r="Q45" s="1752"/>
      <c r="R45" s="1752"/>
      <c r="S45" s="1752"/>
      <c r="T45" s="1752"/>
      <c r="U45" s="1752"/>
      <c r="V45" s="1752"/>
      <c r="W45" s="1752"/>
      <c r="X45" s="1752"/>
      <c r="Y45" s="1752"/>
      <c r="Z45" s="1752"/>
      <c r="AA45" s="1752"/>
      <c r="AB45" s="1752"/>
      <c r="AC45" s="1752"/>
    </row>
    <row r="46" spans="1:29">
      <c r="A46" s="1742"/>
      <c r="B46" s="1753"/>
      <c r="C46" s="1756"/>
      <c r="D46" s="1742"/>
      <c r="E46" s="1742"/>
      <c r="F46" s="1742"/>
      <c r="G46" s="1742"/>
      <c r="H46" s="1742"/>
      <c r="I46" s="1742"/>
      <c r="J46" s="1742"/>
      <c r="K46" s="1754"/>
      <c r="L46" s="1755"/>
      <c r="M46" s="1742"/>
      <c r="N46" s="1742"/>
      <c r="O46" s="1742"/>
      <c r="P46" s="1742"/>
      <c r="Q46" s="1742"/>
      <c r="R46" s="1742"/>
      <c r="S46" s="1742"/>
      <c r="T46" s="1742"/>
      <c r="U46" s="1742"/>
      <c r="V46" s="1742"/>
      <c r="W46" s="1742"/>
      <c r="X46" s="1742"/>
      <c r="Y46" s="1742"/>
      <c r="Z46" s="1742"/>
      <c r="AA46" s="1742"/>
      <c r="AB46" s="1742"/>
      <c r="AC46" s="1742"/>
    </row>
    <row r="47" spans="1:29" ht="21.75" thickBot="1">
      <c r="A47" s="1317" t="s">
        <v>522</v>
      </c>
      <c r="B47" s="799"/>
      <c r="C47" s="1762"/>
      <c r="D47" s="1762"/>
      <c r="E47" s="1762"/>
      <c r="F47" s="1818"/>
      <c r="G47" s="1818"/>
      <c r="H47" s="1762"/>
      <c r="I47" s="1762"/>
      <c r="J47" s="1762"/>
      <c r="K47" s="1819"/>
      <c r="L47" s="1820"/>
      <c r="M47" s="1762"/>
      <c r="N47" s="1762"/>
      <c r="O47" s="1762"/>
      <c r="P47" s="1762"/>
      <c r="Q47" s="1763"/>
      <c r="R47" s="1742"/>
      <c r="S47" s="1742"/>
      <c r="T47" s="1742"/>
      <c r="U47" s="1742"/>
      <c r="V47" s="1742"/>
      <c r="W47" s="1742"/>
      <c r="X47" s="1742"/>
      <c r="Y47" s="1742"/>
      <c r="Z47" s="1742"/>
      <c r="AA47" s="1742"/>
      <c r="AB47" s="1742"/>
      <c r="AC47" s="1742"/>
    </row>
    <row r="48" spans="1:29" s="1141" customFormat="1" ht="15">
      <c r="A48" s="592" t="s">
        <v>478</v>
      </c>
      <c r="B48" s="593"/>
      <c r="C48" s="2113" t="str">
        <f>YEAR(C7)&amp;"-"&amp;MONTH(C7)</f>
        <v>2024-7</v>
      </c>
      <c r="D48" s="2115">
        <f>EDATE(C48,-1)</f>
        <v>45444</v>
      </c>
      <c r="E48" s="2115">
        <f t="shared" ref="E48:O48" si="13">EDATE(D48,-1)</f>
        <v>45413</v>
      </c>
      <c r="F48" s="2115">
        <f t="shared" si="13"/>
        <v>45383</v>
      </c>
      <c r="G48" s="2115">
        <f t="shared" si="13"/>
        <v>45352</v>
      </c>
      <c r="H48" s="2115">
        <f t="shared" si="13"/>
        <v>45323</v>
      </c>
      <c r="I48" s="2115">
        <f t="shared" si="13"/>
        <v>45292</v>
      </c>
      <c r="J48" s="2115">
        <f t="shared" si="13"/>
        <v>45261</v>
      </c>
      <c r="K48" s="2115">
        <f t="shared" si="13"/>
        <v>45231</v>
      </c>
      <c r="L48" s="2115">
        <f t="shared" si="13"/>
        <v>45200</v>
      </c>
      <c r="M48" s="2115">
        <f t="shared" si="13"/>
        <v>45170</v>
      </c>
      <c r="N48" s="2115">
        <f t="shared" si="13"/>
        <v>45139</v>
      </c>
      <c r="O48" s="2115">
        <f t="shared" si="13"/>
        <v>45108</v>
      </c>
      <c r="P48" s="1765"/>
      <c r="Q48" s="1765"/>
      <c r="R48" s="1765"/>
      <c r="S48" s="1765"/>
      <c r="T48" s="1765"/>
      <c r="U48" s="1765"/>
      <c r="V48" s="1765"/>
      <c r="W48" s="1765"/>
      <c r="X48" s="1765"/>
      <c r="Y48" s="1765"/>
      <c r="Z48" s="1765"/>
      <c r="AA48" s="1765"/>
      <c r="AB48" s="1765"/>
      <c r="AC48" s="1765"/>
    </row>
    <row r="49" spans="1:29" s="1060" customFormat="1" ht="15">
      <c r="A49" s="527"/>
      <c r="B49" s="594"/>
      <c r="C49" s="2114">
        <v>100</v>
      </c>
      <c r="D49" s="596"/>
      <c r="E49" s="596"/>
      <c r="F49" s="596"/>
      <c r="G49" s="596"/>
      <c r="H49" s="596"/>
      <c r="I49" s="596"/>
      <c r="J49" s="596"/>
      <c r="K49" s="596"/>
      <c r="L49" s="596"/>
      <c r="M49" s="487"/>
      <c r="N49" s="596"/>
      <c r="O49" s="597"/>
      <c r="P49" s="1763"/>
      <c r="Q49" s="1640"/>
      <c r="R49" s="1640"/>
      <c r="S49" s="1640"/>
      <c r="T49" s="1640"/>
      <c r="U49" s="1640"/>
      <c r="V49" s="1640"/>
      <c r="W49" s="1640"/>
      <c r="X49" s="1640"/>
      <c r="Y49" s="1640"/>
      <c r="Z49" s="1640"/>
      <c r="AA49" s="1640"/>
      <c r="AB49" s="1640"/>
      <c r="AC49" s="1640"/>
    </row>
    <row r="50" spans="1:29" s="1060" customFormat="1" ht="15.75" thickBot="1">
      <c r="A50" s="262" t="s">
        <v>523</v>
      </c>
      <c r="B50" s="598"/>
      <c r="C50" s="599"/>
      <c r="D50" s="600"/>
      <c r="E50" s="600"/>
      <c r="F50" s="600"/>
      <c r="G50" s="600"/>
      <c r="H50" s="600"/>
      <c r="I50" s="600"/>
      <c r="J50" s="600"/>
      <c r="K50" s="600"/>
      <c r="L50" s="600"/>
      <c r="M50" s="601"/>
      <c r="N50" s="600"/>
      <c r="O50" s="602"/>
      <c r="P50" s="1763"/>
      <c r="Q50" s="1763"/>
      <c r="R50" s="1640"/>
      <c r="S50" s="1640"/>
      <c r="T50" s="1640"/>
      <c r="U50" s="1640"/>
      <c r="V50" s="1640"/>
      <c r="W50" s="1640"/>
      <c r="X50" s="1640"/>
      <c r="Y50" s="1640"/>
      <c r="Z50" s="1640"/>
      <c r="AA50" s="1640"/>
      <c r="AB50" s="1640"/>
      <c r="AC50" s="1640"/>
    </row>
    <row r="51" spans="1:29" s="1060" customFormat="1" ht="15">
      <c r="A51" s="603" t="s">
        <v>480</v>
      </c>
      <c r="B51" s="594"/>
      <c r="C51" s="604" t="s">
        <v>524</v>
      </c>
      <c r="D51" s="80"/>
      <c r="E51" s="80"/>
      <c r="F51" s="80"/>
      <c r="G51" s="80"/>
      <c r="H51" s="80"/>
      <c r="I51" s="80"/>
      <c r="J51" s="80"/>
      <c r="K51" s="80"/>
      <c r="L51" s="605"/>
      <c r="M51" s="606"/>
      <c r="N51" s="1766"/>
      <c r="O51" s="1766"/>
      <c r="P51" s="1647"/>
      <c r="Q51" s="1763"/>
      <c r="R51" s="1640"/>
      <c r="S51" s="1640"/>
      <c r="T51" s="1640"/>
      <c r="U51" s="1640"/>
      <c r="V51" s="1640"/>
      <c r="W51" s="1640"/>
      <c r="X51" s="1640"/>
      <c r="Y51" s="1640"/>
      <c r="Z51" s="1640"/>
      <c r="AA51" s="1640"/>
      <c r="AB51" s="1640"/>
      <c r="AC51" s="1640"/>
    </row>
    <row r="52" spans="1:29" s="1060" customFormat="1" ht="15.75" thickBot="1">
      <c r="A52" s="603"/>
      <c r="B52" s="594"/>
      <c r="C52" s="595">
        <v>100</v>
      </c>
      <c r="D52" s="596"/>
      <c r="E52" s="596"/>
      <c r="F52" s="596"/>
      <c r="G52" s="596"/>
      <c r="H52" s="596"/>
      <c r="I52" s="596"/>
      <c r="J52" s="596"/>
      <c r="K52" s="596"/>
      <c r="L52" s="596"/>
      <c r="M52" s="597"/>
      <c r="N52" s="1766"/>
      <c r="O52" s="1766"/>
      <c r="P52" s="1763"/>
      <c r="Q52" s="1763"/>
      <c r="R52" s="1640"/>
      <c r="S52" s="1640"/>
      <c r="T52" s="1640"/>
      <c r="U52" s="1640"/>
      <c r="V52" s="1640"/>
      <c r="W52" s="1640"/>
      <c r="X52" s="1640"/>
      <c r="Y52" s="1640"/>
      <c r="Z52" s="1640"/>
      <c r="AA52" s="1640"/>
      <c r="AB52" s="1640"/>
      <c r="AC52" s="1640"/>
    </row>
    <row r="53" spans="1:29">
      <c r="A53" s="607" t="s">
        <v>525</v>
      </c>
      <c r="B53" s="608" t="s">
        <v>483</v>
      </c>
      <c r="C53" s="645">
        <f>C9</f>
        <v>0</v>
      </c>
      <c r="D53" s="547"/>
      <c r="E53" s="547"/>
      <c r="F53" s="547"/>
      <c r="G53" s="547"/>
      <c r="H53" s="547"/>
      <c r="I53" s="547"/>
      <c r="J53" s="547"/>
      <c r="K53" s="609"/>
      <c r="L53" s="610"/>
      <c r="M53" s="611"/>
      <c r="N53" s="1767"/>
      <c r="O53" s="1767"/>
      <c r="P53" s="1766"/>
      <c r="Q53" s="1763"/>
      <c r="R53" s="1742"/>
      <c r="S53" s="1742"/>
      <c r="T53" s="1742"/>
      <c r="U53" s="1742"/>
      <c r="V53" s="1742"/>
      <c r="W53" s="1742"/>
      <c r="X53" s="1742"/>
      <c r="Y53" s="1742"/>
      <c r="Z53" s="1742"/>
      <c r="AA53" s="1742"/>
      <c r="AB53" s="1742"/>
      <c r="AC53" s="1742"/>
    </row>
    <row r="54" spans="1:29" ht="15.75" thickBot="1">
      <c r="A54" s="482"/>
      <c r="B54" s="612"/>
      <c r="C54" s="613"/>
      <c r="D54" s="613"/>
      <c r="E54" s="613"/>
      <c r="F54" s="613"/>
      <c r="G54" s="613"/>
      <c r="H54" s="613"/>
      <c r="I54" s="613"/>
      <c r="J54" s="613"/>
      <c r="K54" s="613"/>
      <c r="L54" s="613"/>
      <c r="M54" s="614"/>
      <c r="N54" s="1768"/>
      <c r="O54" s="1768"/>
      <c r="P54" s="1766"/>
      <c r="Q54" s="1763"/>
      <c r="R54" s="1742"/>
      <c r="S54" s="1742"/>
      <c r="T54" s="1742"/>
      <c r="U54" s="1742"/>
      <c r="V54" s="1742"/>
      <c r="W54" s="1742"/>
      <c r="X54" s="1742"/>
      <c r="Y54" s="1742"/>
      <c r="Z54" s="1742"/>
      <c r="AA54" s="1742"/>
      <c r="AB54" s="1742"/>
      <c r="AC54" s="1742"/>
    </row>
    <row r="55" spans="1:29" ht="27.75" thickTop="1">
      <c r="A55" s="482"/>
      <c r="B55" s="615" t="s">
        <v>486</v>
      </c>
      <c r="C55" s="658"/>
      <c r="D55" s="658"/>
      <c r="E55" s="658"/>
      <c r="F55" s="658"/>
      <c r="G55" s="658"/>
      <c r="H55" s="658"/>
      <c r="I55" s="658"/>
      <c r="J55" s="658"/>
      <c r="K55" s="659"/>
      <c r="L55" s="660"/>
      <c r="M55" s="661"/>
      <c r="N55" s="1767"/>
      <c r="O55" s="1767"/>
      <c r="P55" s="1766"/>
      <c r="Q55" s="1763"/>
      <c r="R55" s="1742"/>
      <c r="S55" s="1742"/>
      <c r="T55" s="1742"/>
      <c r="U55" s="1742"/>
      <c r="V55" s="1742"/>
      <c r="W55" s="1742"/>
      <c r="X55" s="1742"/>
      <c r="Y55" s="1742"/>
      <c r="Z55" s="1742"/>
      <c r="AA55" s="1742"/>
      <c r="AB55" s="1742"/>
      <c r="AC55" s="1742"/>
    </row>
    <row r="56" spans="1:29" ht="15.75" thickBot="1">
      <c r="A56" s="482"/>
      <c r="B56" s="620"/>
      <c r="C56" s="613"/>
      <c r="D56" s="613"/>
      <c r="E56" s="613"/>
      <c r="F56" s="613"/>
      <c r="G56" s="613"/>
      <c r="H56" s="613"/>
      <c r="I56" s="613"/>
      <c r="J56" s="613"/>
      <c r="K56" s="613"/>
      <c r="L56" s="613"/>
      <c r="M56" s="614"/>
      <c r="N56" s="1768"/>
      <c r="O56" s="1768"/>
      <c r="P56" s="1766"/>
      <c r="Q56" s="1763"/>
      <c r="R56" s="1742"/>
      <c r="S56" s="1742"/>
      <c r="T56" s="1742"/>
      <c r="U56" s="1742"/>
      <c r="V56" s="1742"/>
      <c r="W56" s="1742"/>
      <c r="X56" s="1742"/>
      <c r="Y56" s="1742"/>
      <c r="Z56" s="1742"/>
      <c r="AA56" s="1742"/>
      <c r="AB56" s="1742"/>
      <c r="AC56" s="1742"/>
    </row>
    <row r="57" spans="1:29" ht="15.75" thickTop="1">
      <c r="A57" s="482"/>
      <c r="B57" s="856">
        <f>B11</f>
        <v>111</v>
      </c>
      <c r="C57" s="491"/>
      <c r="D57" s="491"/>
      <c r="E57" s="491"/>
      <c r="F57" s="491"/>
      <c r="G57" s="491"/>
      <c r="H57" s="491"/>
      <c r="I57" s="491"/>
      <c r="J57" s="491"/>
      <c r="K57" s="626"/>
      <c r="L57" s="627"/>
      <c r="M57" s="628"/>
      <c r="N57" s="1767"/>
      <c r="O57" s="1767"/>
      <c r="P57" s="1766"/>
      <c r="Q57" s="1763"/>
      <c r="R57" s="1742"/>
      <c r="S57" s="1742"/>
      <c r="T57" s="1742"/>
      <c r="U57" s="1742"/>
      <c r="V57" s="1742"/>
      <c r="W57" s="1742"/>
      <c r="X57" s="1742"/>
      <c r="Y57" s="1742"/>
      <c r="Z57" s="1742"/>
      <c r="AA57" s="1742"/>
      <c r="AB57" s="1742"/>
      <c r="AC57" s="1742"/>
    </row>
    <row r="58" spans="1:29" ht="15.75" thickBot="1">
      <c r="A58" s="482"/>
      <c r="B58" s="612"/>
      <c r="C58" s="634"/>
      <c r="D58" s="613"/>
      <c r="E58" s="613"/>
      <c r="F58" s="613"/>
      <c r="G58" s="613"/>
      <c r="H58" s="613"/>
      <c r="I58" s="613"/>
      <c r="J58" s="613"/>
      <c r="K58" s="613"/>
      <c r="L58" s="613"/>
      <c r="M58" s="614"/>
      <c r="N58" s="1768"/>
      <c r="O58" s="1768"/>
      <c r="P58" s="1766"/>
      <c r="Q58" s="1763"/>
      <c r="R58" s="1742"/>
      <c r="S58" s="1742"/>
      <c r="T58" s="1742"/>
      <c r="U58" s="1742"/>
      <c r="V58" s="1742"/>
      <c r="W58" s="1742"/>
      <c r="X58" s="1742"/>
      <c r="Y58" s="1742"/>
      <c r="Z58" s="1742"/>
      <c r="AA58" s="1742"/>
      <c r="AB58" s="1742"/>
      <c r="AC58" s="1742"/>
    </row>
    <row r="59" spans="1:29" s="1134" customFormat="1" ht="15.75" thickTop="1">
      <c r="A59" s="629"/>
      <c r="B59" s="615">
        <f>B12</f>
        <v>111</v>
      </c>
      <c r="C59" s="491"/>
      <c r="D59" s="491"/>
      <c r="E59" s="491"/>
      <c r="F59" s="491"/>
      <c r="G59" s="630"/>
      <c r="H59" s="631"/>
      <c r="I59" s="631"/>
      <c r="J59" s="631"/>
      <c r="K59" s="631"/>
      <c r="L59" s="632"/>
      <c r="M59" s="633"/>
      <c r="N59" s="1769"/>
      <c r="O59" s="1769"/>
      <c r="P59" s="1769"/>
      <c r="Q59" s="1770"/>
      <c r="R59" s="1771"/>
      <c r="S59" s="1771"/>
      <c r="T59" s="1771"/>
      <c r="U59" s="1771"/>
      <c r="V59" s="1771"/>
      <c r="W59" s="1771"/>
      <c r="X59" s="1771"/>
      <c r="Y59" s="1771"/>
      <c r="Z59" s="1771"/>
      <c r="AA59" s="1771"/>
      <c r="AB59" s="1771"/>
      <c r="AC59" s="1771"/>
    </row>
    <row r="60" spans="1:29" s="1134" customFormat="1" ht="15.75" thickBot="1">
      <c r="A60" s="629"/>
      <c r="B60" s="620"/>
      <c r="C60" s="634"/>
      <c r="D60" s="613"/>
      <c r="E60" s="613"/>
      <c r="F60" s="613"/>
      <c r="G60" s="613"/>
      <c r="H60" s="613"/>
      <c r="I60" s="613"/>
      <c r="J60" s="613"/>
      <c r="K60" s="613"/>
      <c r="L60" s="613"/>
      <c r="M60" s="614"/>
      <c r="N60" s="1768"/>
      <c r="O60" s="1768"/>
      <c r="P60" s="1769"/>
      <c r="Q60" s="1770"/>
      <c r="R60" s="1771"/>
      <c r="S60" s="1771"/>
      <c r="T60" s="1771"/>
      <c r="U60" s="1771"/>
      <c r="V60" s="1771"/>
      <c r="W60" s="1771"/>
      <c r="X60" s="1771"/>
      <c r="Y60" s="1771"/>
      <c r="Z60" s="1771"/>
      <c r="AA60" s="1771"/>
      <c r="AB60" s="1771"/>
      <c r="AC60" s="1771"/>
    </row>
    <row r="61" spans="1:29" s="1134" customFormat="1" ht="15.75" thickTop="1">
      <c r="A61" s="629"/>
      <c r="B61" s="615">
        <f>B13</f>
        <v>111</v>
      </c>
      <c r="C61" s="630"/>
      <c r="D61" s="630"/>
      <c r="E61" s="630"/>
      <c r="F61" s="630"/>
      <c r="G61" s="630"/>
      <c r="H61" s="631"/>
      <c r="I61" s="631"/>
      <c r="J61" s="631"/>
      <c r="K61" s="631"/>
      <c r="L61" s="632"/>
      <c r="M61" s="633"/>
      <c r="N61" s="1769"/>
      <c r="O61" s="1769"/>
      <c r="P61" s="1771"/>
      <c r="Q61" s="1772"/>
      <c r="R61" s="1771"/>
      <c r="S61" s="1771"/>
      <c r="T61" s="1771"/>
      <c r="U61" s="1771"/>
      <c r="V61" s="1771"/>
      <c r="W61" s="1771"/>
      <c r="X61" s="1771"/>
      <c r="Y61" s="1771"/>
      <c r="Z61" s="1771"/>
      <c r="AA61" s="1771"/>
      <c r="AB61" s="1771"/>
      <c r="AC61" s="1771"/>
    </row>
    <row r="62" spans="1:29" s="1134" customFormat="1" ht="15.75" thickBot="1">
      <c r="A62" s="629"/>
      <c r="B62" s="620"/>
      <c r="C62" s="634"/>
      <c r="D62" s="634"/>
      <c r="E62" s="634"/>
      <c r="F62" s="634"/>
      <c r="G62" s="634"/>
      <c r="H62" s="635"/>
      <c r="I62" s="635"/>
      <c r="J62" s="635"/>
      <c r="K62" s="635"/>
      <c r="L62" s="635"/>
      <c r="M62" s="636"/>
      <c r="N62" s="1769"/>
      <c r="O62" s="1769"/>
      <c r="P62" s="1769"/>
      <c r="Q62" s="1770"/>
      <c r="R62" s="1771"/>
      <c r="S62" s="1771"/>
      <c r="T62" s="1771"/>
      <c r="U62" s="1771"/>
      <c r="V62" s="1771"/>
      <c r="W62" s="1771"/>
      <c r="X62" s="1771"/>
      <c r="Y62" s="1771"/>
      <c r="Z62" s="1771"/>
      <c r="AA62" s="1771"/>
      <c r="AB62" s="1771"/>
      <c r="AC62" s="1771"/>
    </row>
    <row r="63" spans="1:29" ht="15" thickTop="1">
      <c r="A63" s="607" t="s">
        <v>488</v>
      </c>
      <c r="B63" s="608" t="s">
        <v>534</v>
      </c>
      <c r="C63" s="143" t="s">
        <v>527</v>
      </c>
      <c r="D63" s="143" t="s">
        <v>528</v>
      </c>
      <c r="E63" s="143" t="s">
        <v>529</v>
      </c>
      <c r="F63" s="143" t="s">
        <v>530</v>
      </c>
      <c r="G63" s="143" t="s">
        <v>531</v>
      </c>
      <c r="H63" s="645"/>
      <c r="I63" s="645"/>
      <c r="J63" s="645"/>
      <c r="K63" s="646"/>
      <c r="L63" s="647"/>
      <c r="M63" s="648"/>
      <c r="N63" s="1767"/>
      <c r="O63" s="1767"/>
      <c r="P63" s="1774"/>
      <c r="Q63" s="1763"/>
      <c r="R63" s="1742"/>
      <c r="S63" s="1742"/>
      <c r="T63" s="1742"/>
      <c r="U63" s="1742"/>
      <c r="V63" s="1742"/>
      <c r="W63" s="1742"/>
      <c r="X63" s="1742"/>
      <c r="Y63" s="1742"/>
      <c r="Z63" s="1742"/>
      <c r="AA63" s="1742"/>
      <c r="AB63" s="1742"/>
      <c r="AC63" s="1742"/>
    </row>
    <row r="64" spans="1:29" ht="15.75" thickBot="1">
      <c r="A64" s="482"/>
      <c r="B64" s="620"/>
      <c r="C64" s="621">
        <v>100</v>
      </c>
      <c r="D64" s="621">
        <f>C64-$K14</f>
        <v>100</v>
      </c>
      <c r="E64" s="621">
        <f>D64-$K14</f>
        <v>100</v>
      </c>
      <c r="F64" s="621">
        <f>E64-$K14</f>
        <v>100</v>
      </c>
      <c r="G64" s="621">
        <f>F64-$K14</f>
        <v>100</v>
      </c>
      <c r="H64" s="621"/>
      <c r="I64" s="621"/>
      <c r="J64" s="621"/>
      <c r="K64" s="621"/>
      <c r="L64" s="621"/>
      <c r="M64" s="622"/>
      <c r="N64" s="1768"/>
      <c r="O64" s="1768"/>
      <c r="P64" s="1766"/>
      <c r="Q64" s="1763"/>
      <c r="R64" s="1742"/>
      <c r="S64" s="1742"/>
      <c r="T64" s="1742"/>
      <c r="U64" s="1742"/>
      <c r="V64" s="1742"/>
      <c r="W64" s="1742"/>
      <c r="X64" s="1742"/>
      <c r="Y64" s="1742"/>
      <c r="Z64" s="1742"/>
      <c r="AA64" s="1742"/>
      <c r="AB64" s="1742"/>
      <c r="AC64" s="1742"/>
    </row>
    <row r="65" spans="1:29" ht="15.75" thickTop="1">
      <c r="A65" s="482"/>
      <c r="B65" s="1555" t="s">
        <v>1840</v>
      </c>
      <c r="C65" s="649" t="s">
        <v>527</v>
      </c>
      <c r="D65" s="649" t="s">
        <v>528</v>
      </c>
      <c r="E65" s="649" t="s">
        <v>529</v>
      </c>
      <c r="F65" s="649" t="s">
        <v>530</v>
      </c>
      <c r="G65" s="649" t="s">
        <v>531</v>
      </c>
      <c r="H65" s="616"/>
      <c r="I65" s="616"/>
      <c r="J65" s="616"/>
      <c r="K65" s="617"/>
      <c r="L65" s="618"/>
      <c r="M65" s="619"/>
      <c r="N65" s="1767"/>
      <c r="O65" s="1767"/>
      <c r="P65" s="1766"/>
      <c r="Q65" s="1763"/>
      <c r="R65" s="1742"/>
      <c r="S65" s="1742"/>
      <c r="T65" s="1742"/>
      <c r="U65" s="1742"/>
      <c r="V65" s="1742"/>
      <c r="W65" s="1742"/>
      <c r="X65" s="1742"/>
      <c r="Y65" s="1742"/>
      <c r="Z65" s="1742"/>
      <c r="AA65" s="1742"/>
      <c r="AB65" s="1742"/>
      <c r="AC65" s="1742"/>
    </row>
    <row r="66" spans="1:29" ht="15.75" thickBot="1">
      <c r="A66" s="482"/>
      <c r="B66" s="620"/>
      <c r="C66" s="621">
        <v>100</v>
      </c>
      <c r="D66" s="621">
        <f>C66-$K16</f>
        <v>100</v>
      </c>
      <c r="E66" s="621">
        <f>D66-$K16</f>
        <v>100</v>
      </c>
      <c r="F66" s="621">
        <f>E66-$K16</f>
        <v>100</v>
      </c>
      <c r="G66" s="621">
        <f>F66-$K16</f>
        <v>100</v>
      </c>
      <c r="H66" s="621"/>
      <c r="I66" s="621"/>
      <c r="J66" s="621"/>
      <c r="K66" s="621"/>
      <c r="L66" s="621"/>
      <c r="M66" s="622"/>
      <c r="N66" s="1768"/>
      <c r="O66" s="1768"/>
      <c r="P66" s="1766"/>
      <c r="Q66" s="1763"/>
      <c r="R66" s="1742"/>
      <c r="S66" s="1742"/>
      <c r="T66" s="1742"/>
      <c r="U66" s="1742"/>
      <c r="V66" s="1742"/>
      <c r="W66" s="1742"/>
      <c r="X66" s="1742"/>
      <c r="Y66" s="1742"/>
      <c r="Z66" s="1742"/>
      <c r="AA66" s="1742"/>
      <c r="AB66" s="1742"/>
      <c r="AC66" s="1742"/>
    </row>
    <row r="67" spans="1:29" ht="15.75" thickTop="1">
      <c r="A67" s="482"/>
      <c r="B67" s="2056" t="s">
        <v>1841</v>
      </c>
      <c r="C67" s="2057" t="s">
        <v>1842</v>
      </c>
      <c r="D67" s="2057" t="s">
        <v>1843</v>
      </c>
      <c r="E67" s="2057" t="s">
        <v>1844</v>
      </c>
      <c r="F67" s="2057" t="s">
        <v>1845</v>
      </c>
      <c r="G67" s="2057" t="s">
        <v>1846</v>
      </c>
      <c r="H67" s="616"/>
      <c r="I67" s="616"/>
      <c r="J67" s="616"/>
      <c r="K67" s="616"/>
      <c r="L67" s="616"/>
      <c r="M67" s="2060"/>
      <c r="N67" s="1768"/>
      <c r="O67" s="1768"/>
      <c r="P67" s="1766"/>
      <c r="Q67" s="1763"/>
      <c r="R67" s="1742"/>
      <c r="S67" s="1742"/>
      <c r="T67" s="1742"/>
      <c r="U67" s="1742"/>
      <c r="V67" s="1742"/>
      <c r="W67" s="1742"/>
      <c r="X67" s="1742"/>
      <c r="Y67" s="1742"/>
      <c r="Z67" s="1742"/>
      <c r="AA67" s="1742"/>
      <c r="AB67" s="1742"/>
      <c r="AC67" s="1742"/>
    </row>
    <row r="68" spans="1:29" ht="15.75" thickBot="1">
      <c r="A68" s="482"/>
      <c r="B68" s="623"/>
      <c r="C68" s="621">
        <v>100</v>
      </c>
      <c r="D68" s="621">
        <f>C68-$K18</f>
        <v>100</v>
      </c>
      <c r="E68" s="621">
        <f>D68-$K18</f>
        <v>100</v>
      </c>
      <c r="F68" s="621">
        <f>E68-$K18</f>
        <v>100</v>
      </c>
      <c r="G68" s="621">
        <f>F68-$K18</f>
        <v>100</v>
      </c>
      <c r="H68" s="856"/>
      <c r="I68" s="856"/>
      <c r="J68" s="856"/>
      <c r="K68" s="856"/>
      <c r="L68" s="856"/>
      <c r="M68" s="509"/>
      <c r="N68" s="1768"/>
      <c r="O68" s="1768"/>
      <c r="P68" s="1766"/>
      <c r="Q68" s="1763"/>
      <c r="R68" s="1742"/>
      <c r="S68" s="1742"/>
      <c r="T68" s="1742"/>
      <c r="U68" s="1742"/>
      <c r="V68" s="1742"/>
      <c r="W68" s="1742"/>
      <c r="X68" s="1742"/>
      <c r="Y68" s="1742"/>
      <c r="Z68" s="1742"/>
      <c r="AA68" s="1742"/>
      <c r="AB68" s="1742"/>
      <c r="AC68" s="1742"/>
    </row>
    <row r="69" spans="1:29" ht="15.75" thickTop="1">
      <c r="A69" s="482"/>
      <c r="B69" s="615" t="s">
        <v>684</v>
      </c>
      <c r="C69" s="649" t="s">
        <v>527</v>
      </c>
      <c r="D69" s="649" t="s">
        <v>528</v>
      </c>
      <c r="E69" s="649" t="s">
        <v>529</v>
      </c>
      <c r="F69" s="649" t="s">
        <v>530</v>
      </c>
      <c r="G69" s="649" t="s">
        <v>531</v>
      </c>
      <c r="H69" s="616"/>
      <c r="I69" s="616"/>
      <c r="J69" s="616"/>
      <c r="K69" s="617"/>
      <c r="L69" s="618"/>
      <c r="M69" s="619"/>
      <c r="N69" s="1767"/>
      <c r="O69" s="1767"/>
      <c r="P69" s="1766"/>
      <c r="Q69" s="1763"/>
      <c r="R69" s="1742"/>
      <c r="S69" s="1742"/>
      <c r="T69" s="1742"/>
      <c r="U69" s="1742"/>
      <c r="V69" s="1742"/>
      <c r="W69" s="1742"/>
      <c r="X69" s="1742"/>
      <c r="Y69" s="1742"/>
      <c r="Z69" s="1742"/>
      <c r="AA69" s="1742"/>
      <c r="AB69" s="1742"/>
      <c r="AC69" s="1742"/>
    </row>
    <row r="70" spans="1:29" ht="15.75" thickBot="1">
      <c r="A70" s="482"/>
      <c r="B70" s="620"/>
      <c r="C70" s="621">
        <v>100</v>
      </c>
      <c r="D70" s="621">
        <f>C70-$K20</f>
        <v>100</v>
      </c>
      <c r="E70" s="621">
        <f>D70-$K20</f>
        <v>100</v>
      </c>
      <c r="F70" s="621">
        <f>E70-$K20</f>
        <v>100</v>
      </c>
      <c r="G70" s="621">
        <f>F70-$K20</f>
        <v>100</v>
      </c>
      <c r="H70" s="621"/>
      <c r="I70" s="621"/>
      <c r="J70" s="621"/>
      <c r="K70" s="621"/>
      <c r="L70" s="621"/>
      <c r="M70" s="622"/>
      <c r="N70" s="1768"/>
      <c r="O70" s="1768"/>
      <c r="P70" s="1766"/>
      <c r="Q70" s="1763"/>
      <c r="R70" s="1742"/>
      <c r="S70" s="1742"/>
      <c r="T70" s="1742"/>
      <c r="U70" s="1742"/>
      <c r="V70" s="1742"/>
      <c r="W70" s="1742"/>
      <c r="X70" s="1742"/>
      <c r="Y70" s="1742"/>
      <c r="Z70" s="1742"/>
      <c r="AA70" s="1742"/>
      <c r="AB70" s="1742"/>
      <c r="AC70" s="1742"/>
    </row>
    <row r="71" spans="1:29" ht="15.75" thickTop="1">
      <c r="A71" s="482"/>
      <c r="B71" s="615" t="s">
        <v>685</v>
      </c>
      <c r="C71" s="630"/>
      <c r="D71" s="630"/>
      <c r="E71" s="630"/>
      <c r="F71" s="630"/>
      <c r="G71" s="630"/>
      <c r="H71" s="658"/>
      <c r="I71" s="658"/>
      <c r="J71" s="658"/>
      <c r="K71" s="659"/>
      <c r="L71" s="660"/>
      <c r="M71" s="661"/>
      <c r="N71" s="1767"/>
      <c r="O71" s="1767"/>
      <c r="P71" s="1766"/>
      <c r="Q71" s="1763"/>
      <c r="R71" s="1742"/>
      <c r="S71" s="1742"/>
      <c r="T71" s="1742"/>
      <c r="U71" s="1742"/>
      <c r="V71" s="1742"/>
      <c r="W71" s="1742"/>
      <c r="X71" s="1742"/>
      <c r="Y71" s="1742"/>
      <c r="Z71" s="1742"/>
      <c r="AA71" s="1742"/>
      <c r="AB71" s="1742"/>
      <c r="AC71" s="1742"/>
    </row>
    <row r="72" spans="1:29" ht="15.75" thickBot="1">
      <c r="A72" s="482"/>
      <c r="B72" s="620"/>
      <c r="C72" s="621">
        <v>100</v>
      </c>
      <c r="D72" s="621">
        <f>C72-$K22</f>
        <v>100</v>
      </c>
      <c r="E72" s="621">
        <f>D72-$K22</f>
        <v>100</v>
      </c>
      <c r="F72" s="621">
        <f>E72-$K22</f>
        <v>100</v>
      </c>
      <c r="G72" s="621">
        <f>F72-$K22</f>
        <v>100</v>
      </c>
      <c r="H72" s="621"/>
      <c r="I72" s="621"/>
      <c r="J72" s="621"/>
      <c r="K72" s="621"/>
      <c r="L72" s="621"/>
      <c r="M72" s="622"/>
      <c r="N72" s="1768"/>
      <c r="O72" s="1768"/>
      <c r="P72" s="1766"/>
      <c r="Q72" s="1763"/>
      <c r="R72" s="1742"/>
      <c r="S72" s="1742"/>
      <c r="T72" s="1742"/>
      <c r="U72" s="1742"/>
      <c r="V72" s="1742"/>
      <c r="W72" s="1742"/>
      <c r="X72" s="1742"/>
      <c r="Y72" s="1742"/>
      <c r="Z72" s="1742"/>
      <c r="AA72" s="1742"/>
      <c r="AB72" s="1742"/>
      <c r="AC72" s="1742"/>
    </row>
    <row r="73" spans="1:29" s="1060" customFormat="1" ht="15.75" thickTop="1">
      <c r="A73" s="486"/>
      <c r="B73" s="615">
        <f>B23</f>
        <v>111</v>
      </c>
      <c r="C73" s="491"/>
      <c r="D73" s="491"/>
      <c r="E73" s="491"/>
      <c r="F73" s="491"/>
      <c r="G73" s="630"/>
      <c r="H73" s="630"/>
      <c r="I73" s="630"/>
      <c r="J73" s="630"/>
      <c r="K73" s="630"/>
      <c r="L73" s="815"/>
      <c r="M73" s="816"/>
      <c r="N73" s="1766"/>
      <c r="O73" s="1766"/>
      <c r="P73" s="1766"/>
      <c r="Q73" s="1763"/>
      <c r="R73" s="1640"/>
      <c r="S73" s="1640"/>
      <c r="T73" s="1640"/>
      <c r="U73" s="1640"/>
      <c r="V73" s="1640"/>
      <c r="W73" s="1640"/>
      <c r="X73" s="1640"/>
      <c r="Y73" s="1640"/>
      <c r="Z73" s="1640"/>
      <c r="AA73" s="1640"/>
      <c r="AB73" s="1640"/>
      <c r="AC73" s="1640"/>
    </row>
    <row r="74" spans="1:29" s="1060" customFormat="1" ht="15.75" thickBot="1">
      <c r="A74" s="486"/>
      <c r="B74" s="620"/>
      <c r="C74" s="634"/>
      <c r="D74" s="613"/>
      <c r="E74" s="613"/>
      <c r="F74" s="613"/>
      <c r="G74" s="613"/>
      <c r="H74" s="613"/>
      <c r="I74" s="613"/>
      <c r="J74" s="613"/>
      <c r="K74" s="613"/>
      <c r="L74" s="613"/>
      <c r="M74" s="614"/>
      <c r="N74" s="1768"/>
      <c r="O74" s="1768"/>
      <c r="P74" s="1766"/>
      <c r="Q74" s="1763"/>
      <c r="R74" s="1640"/>
      <c r="S74" s="1640"/>
      <c r="T74" s="1640"/>
      <c r="U74" s="1640"/>
      <c r="V74" s="1640"/>
      <c r="W74" s="1640"/>
      <c r="X74" s="1640"/>
      <c r="Y74" s="1640"/>
      <c r="Z74" s="1640"/>
      <c r="AA74" s="1640"/>
      <c r="AB74" s="1640"/>
      <c r="AC74" s="1640"/>
    </row>
    <row r="75" spans="1:29" s="1060" customFormat="1" ht="15.75" thickTop="1">
      <c r="A75" s="486"/>
      <c r="B75" s="615">
        <f>B24</f>
        <v>111</v>
      </c>
      <c r="C75" s="491"/>
      <c r="D75" s="491"/>
      <c r="E75" s="491"/>
      <c r="F75" s="491"/>
      <c r="G75" s="630"/>
      <c r="H75" s="630"/>
      <c r="I75" s="630"/>
      <c r="J75" s="630"/>
      <c r="K75" s="630"/>
      <c r="L75" s="630"/>
      <c r="M75" s="816"/>
      <c r="N75" s="1766"/>
      <c r="O75" s="1766"/>
      <c r="P75" s="1766"/>
      <c r="Q75" s="1763"/>
      <c r="R75" s="1640"/>
      <c r="S75" s="1640"/>
      <c r="T75" s="1640"/>
      <c r="U75" s="1640"/>
      <c r="V75" s="1640"/>
      <c r="W75" s="1640"/>
      <c r="X75" s="1640"/>
      <c r="Y75" s="1640"/>
      <c r="Z75" s="1640"/>
      <c r="AA75" s="1640"/>
      <c r="AB75" s="1640"/>
      <c r="AC75" s="1640"/>
    </row>
    <row r="76" spans="1:29" s="1060" customFormat="1" ht="15.75" thickBot="1">
      <c r="A76" s="486"/>
      <c r="B76" s="620"/>
      <c r="C76" s="634"/>
      <c r="D76" s="613"/>
      <c r="E76" s="613"/>
      <c r="F76" s="613"/>
      <c r="G76" s="613"/>
      <c r="H76" s="613"/>
      <c r="I76" s="613"/>
      <c r="J76" s="613"/>
      <c r="K76" s="613"/>
      <c r="L76" s="613"/>
      <c r="M76" s="614"/>
      <c r="N76" s="1768"/>
      <c r="O76" s="1768"/>
      <c r="P76" s="1766"/>
      <c r="Q76" s="1763"/>
      <c r="R76" s="1640"/>
      <c r="S76" s="1640"/>
      <c r="T76" s="1640"/>
      <c r="U76" s="1640"/>
      <c r="V76" s="1640"/>
      <c r="W76" s="1640"/>
      <c r="X76" s="1640"/>
      <c r="Y76" s="1640"/>
      <c r="Z76" s="1640"/>
      <c r="AA76" s="1640"/>
      <c r="AB76" s="1640"/>
      <c r="AC76" s="1640"/>
    </row>
    <row r="77" spans="1:29" s="1134" customFormat="1" ht="15.75" thickTop="1">
      <c r="A77" s="629"/>
      <c r="B77" s="615">
        <f>B25</f>
        <v>111</v>
      </c>
      <c r="C77" s="630"/>
      <c r="D77" s="630"/>
      <c r="E77" s="630"/>
      <c r="F77" s="630"/>
      <c r="G77" s="630"/>
      <c r="H77" s="631"/>
      <c r="I77" s="631"/>
      <c r="J77" s="631"/>
      <c r="K77" s="631"/>
      <c r="L77" s="632"/>
      <c r="M77" s="633"/>
      <c r="N77" s="1769"/>
      <c r="O77" s="1769"/>
      <c r="P77" s="1769"/>
      <c r="Q77" s="1770"/>
      <c r="R77" s="1771"/>
      <c r="S77" s="1771"/>
      <c r="T77" s="1771"/>
      <c r="U77" s="1771"/>
      <c r="V77" s="1771"/>
      <c r="W77" s="1771"/>
      <c r="X77" s="1771"/>
      <c r="Y77" s="1771"/>
      <c r="Z77" s="1771"/>
      <c r="AA77" s="1771"/>
      <c r="AB77" s="1771"/>
      <c r="AC77" s="1771"/>
    </row>
    <row r="78" spans="1:29" s="1134" customFormat="1" ht="15.75" thickBot="1">
      <c r="A78" s="629"/>
      <c r="B78" s="620"/>
      <c r="C78" s="634"/>
      <c r="D78" s="634"/>
      <c r="E78" s="634"/>
      <c r="F78" s="634"/>
      <c r="G78" s="613"/>
      <c r="H78" s="613"/>
      <c r="I78" s="613"/>
      <c r="J78" s="613"/>
      <c r="K78" s="613"/>
      <c r="L78" s="613"/>
      <c r="M78" s="614"/>
      <c r="N78" s="1769"/>
      <c r="O78" s="1769"/>
      <c r="P78" s="1769"/>
      <c r="Q78" s="1770"/>
      <c r="R78" s="1771"/>
      <c r="S78" s="1771"/>
      <c r="T78" s="1771"/>
      <c r="U78" s="1771"/>
      <c r="V78" s="1771"/>
      <c r="W78" s="1771"/>
      <c r="X78" s="1771"/>
      <c r="Y78" s="1771"/>
      <c r="Z78" s="1771"/>
      <c r="AA78" s="1771"/>
      <c r="AB78" s="1771"/>
      <c r="AC78" s="1771"/>
    </row>
    <row r="79" spans="1:29" ht="27.75" thickTop="1">
      <c r="A79" s="607" t="s">
        <v>500</v>
      </c>
      <c r="B79" s="608" t="s">
        <v>754</v>
      </c>
      <c r="C79" s="645">
        <f>C26</f>
        <v>0</v>
      </c>
      <c r="D79" s="547"/>
      <c r="E79" s="547"/>
      <c r="F79" s="547"/>
      <c r="G79" s="547"/>
      <c r="H79" s="547"/>
      <c r="I79" s="547"/>
      <c r="J79" s="547"/>
      <c r="K79" s="609"/>
      <c r="L79" s="610"/>
      <c r="M79" s="611"/>
      <c r="N79" s="1767"/>
      <c r="O79" s="1767"/>
      <c r="P79" s="1766"/>
      <c r="Q79" s="1763"/>
      <c r="R79" s="1742"/>
      <c r="S79" s="1742"/>
      <c r="T79" s="1742"/>
      <c r="U79" s="1742"/>
      <c r="V79" s="1742"/>
      <c r="W79" s="1742"/>
      <c r="X79" s="1742"/>
      <c r="Y79" s="1742"/>
      <c r="Z79" s="1742"/>
      <c r="AA79" s="1742"/>
      <c r="AB79" s="1742"/>
      <c r="AC79" s="1742"/>
    </row>
    <row r="80" spans="1:29" ht="15.75" thickBot="1">
      <c r="A80" s="482"/>
      <c r="B80" s="620"/>
      <c r="C80" s="621">
        <v>100</v>
      </c>
      <c r="D80" s="621">
        <f t="shared" ref="D80:M80" si="14">C80-$K26</f>
        <v>100</v>
      </c>
      <c r="E80" s="621">
        <f t="shared" si="14"/>
        <v>100</v>
      </c>
      <c r="F80" s="621">
        <f t="shared" si="14"/>
        <v>100</v>
      </c>
      <c r="G80" s="621">
        <f t="shared" si="14"/>
        <v>100</v>
      </c>
      <c r="H80" s="621">
        <f t="shared" si="14"/>
        <v>100</v>
      </c>
      <c r="I80" s="621">
        <f t="shared" si="14"/>
        <v>100</v>
      </c>
      <c r="J80" s="621">
        <f t="shared" si="14"/>
        <v>100</v>
      </c>
      <c r="K80" s="621">
        <f t="shared" si="14"/>
        <v>100</v>
      </c>
      <c r="L80" s="621">
        <f t="shared" si="14"/>
        <v>100</v>
      </c>
      <c r="M80" s="622">
        <f t="shared" si="14"/>
        <v>100</v>
      </c>
      <c r="N80" s="1768"/>
      <c r="O80" s="1768"/>
      <c r="P80" s="1766"/>
      <c r="Q80" s="1763"/>
      <c r="R80" s="1742"/>
      <c r="S80" s="1742"/>
      <c r="T80" s="1742"/>
      <c r="U80" s="1742"/>
      <c r="V80" s="1742"/>
      <c r="W80" s="1742"/>
      <c r="X80" s="1742"/>
      <c r="Y80" s="1742"/>
      <c r="Z80" s="1742"/>
      <c r="AA80" s="1742"/>
      <c r="AB80" s="1742"/>
      <c r="AC80" s="1742"/>
    </row>
    <row r="81" spans="1:29" ht="15.75" thickTop="1">
      <c r="A81" s="482"/>
      <c r="B81" s="615" t="s">
        <v>755</v>
      </c>
      <c r="C81" s="857"/>
      <c r="D81" s="857"/>
      <c r="E81" s="857"/>
      <c r="F81" s="857"/>
      <c r="G81" s="857"/>
      <c r="H81" s="857"/>
      <c r="I81" s="857"/>
      <c r="J81" s="857"/>
      <c r="K81" s="858"/>
      <c r="L81" s="859"/>
      <c r="M81" s="860"/>
      <c r="N81" s="1766"/>
      <c r="O81" s="1766"/>
      <c r="P81" s="1766"/>
      <c r="Q81" s="1763"/>
      <c r="R81" s="1742"/>
      <c r="S81" s="1742"/>
      <c r="T81" s="1742"/>
      <c r="U81" s="1742"/>
      <c r="V81" s="1742"/>
      <c r="W81" s="1742"/>
      <c r="X81" s="1742"/>
      <c r="Y81" s="1742"/>
      <c r="Z81" s="1742"/>
      <c r="AA81" s="1742"/>
      <c r="AB81" s="1742"/>
      <c r="AC81" s="1742"/>
    </row>
    <row r="82" spans="1:29" s="1134" customFormat="1" ht="15.75" thickBot="1">
      <c r="A82" s="629"/>
      <c r="B82" s="620"/>
      <c r="C82" s="634"/>
      <c r="D82" s="613"/>
      <c r="E82" s="613"/>
      <c r="F82" s="613"/>
      <c r="G82" s="613"/>
      <c r="H82" s="613"/>
      <c r="I82" s="613"/>
      <c r="J82" s="613"/>
      <c r="K82" s="613"/>
      <c r="L82" s="613"/>
      <c r="M82" s="614"/>
      <c r="N82" s="1768"/>
      <c r="O82" s="1768"/>
      <c r="P82" s="1769"/>
      <c r="Q82" s="1770"/>
      <c r="R82" s="1771"/>
      <c r="S82" s="1771"/>
      <c r="T82" s="1771"/>
      <c r="U82" s="1771"/>
      <c r="V82" s="1771"/>
      <c r="W82" s="1771"/>
      <c r="X82" s="1771"/>
      <c r="Y82" s="1771"/>
      <c r="Z82" s="1771"/>
      <c r="AA82" s="1771"/>
      <c r="AB82" s="1771"/>
      <c r="AC82" s="1771"/>
    </row>
    <row r="83" spans="1:29" ht="15" thickTop="1">
      <c r="A83" s="543"/>
      <c r="B83" s="615" t="s">
        <v>691</v>
      </c>
      <c r="C83" s="630"/>
      <c r="D83" s="630"/>
      <c r="E83" s="658"/>
      <c r="F83" s="658"/>
      <c r="G83" s="658"/>
      <c r="H83" s="658"/>
      <c r="I83" s="658"/>
      <c r="J83" s="658"/>
      <c r="K83" s="659"/>
      <c r="L83" s="660"/>
      <c r="M83" s="661"/>
      <c r="N83" s="1767"/>
      <c r="O83" s="1767"/>
      <c r="P83" s="1766"/>
      <c r="Q83" s="1763"/>
      <c r="R83" s="1742"/>
      <c r="S83" s="1742"/>
      <c r="T83" s="1742"/>
      <c r="U83" s="1742"/>
      <c r="V83" s="1742"/>
      <c r="W83" s="1742"/>
      <c r="X83" s="1742"/>
      <c r="Y83" s="1742"/>
      <c r="Z83" s="1742"/>
      <c r="AA83" s="1742"/>
      <c r="AB83" s="1742"/>
      <c r="AC83" s="1742"/>
    </row>
    <row r="84" spans="1:29" ht="15.75" thickBot="1">
      <c r="A84" s="482"/>
      <c r="B84" s="620"/>
      <c r="C84" s="621">
        <v>100</v>
      </c>
      <c r="D84" s="621">
        <f t="shared" ref="D84:M84" si="15">C84-$K28</f>
        <v>100</v>
      </c>
      <c r="E84" s="621">
        <f t="shared" si="15"/>
        <v>100</v>
      </c>
      <c r="F84" s="621">
        <f t="shared" si="15"/>
        <v>100</v>
      </c>
      <c r="G84" s="621">
        <f t="shared" si="15"/>
        <v>100</v>
      </c>
      <c r="H84" s="621">
        <f t="shared" si="15"/>
        <v>100</v>
      </c>
      <c r="I84" s="621">
        <f t="shared" si="15"/>
        <v>100</v>
      </c>
      <c r="J84" s="621">
        <f t="shared" si="15"/>
        <v>100</v>
      </c>
      <c r="K84" s="621">
        <f t="shared" si="15"/>
        <v>100</v>
      </c>
      <c r="L84" s="621">
        <f t="shared" si="15"/>
        <v>100</v>
      </c>
      <c r="M84" s="622">
        <f t="shared" si="15"/>
        <v>100</v>
      </c>
      <c r="N84" s="1768"/>
      <c r="O84" s="1768"/>
      <c r="P84" s="1766"/>
      <c r="Q84" s="1763"/>
      <c r="R84" s="1742"/>
      <c r="S84" s="1742"/>
      <c r="T84" s="1742"/>
      <c r="U84" s="1742"/>
      <c r="V84" s="1742"/>
      <c r="W84" s="1742"/>
      <c r="X84" s="1742"/>
      <c r="Y84" s="1742"/>
      <c r="Z84" s="1742"/>
      <c r="AA84" s="1742"/>
      <c r="AB84" s="1742"/>
      <c r="AC84" s="1742"/>
    </row>
    <row r="85" spans="1:29" ht="15" thickTop="1">
      <c r="A85" s="543"/>
      <c r="B85" s="615" t="s">
        <v>756</v>
      </c>
      <c r="C85" s="649" t="str">
        <f>C86&amp;"(含)"&amp;"-"&amp;D86</f>
        <v>0.5(含)-0.6</v>
      </c>
      <c r="D85" s="649" t="str">
        <f>D86&amp;"(含)"&amp;"-"&amp;E86</f>
        <v>0.6(含)-0.7</v>
      </c>
      <c r="E85" s="649" t="str">
        <f>E86&amp;"(含)"&amp;"-"&amp;F86</f>
        <v>0.7(含)-0.8</v>
      </c>
      <c r="F85" s="649" t="str">
        <f>F86&amp;"(含)"&amp;"-"&amp;G86</f>
        <v>0.8(含)-0.9</v>
      </c>
      <c r="G85" s="649" t="str">
        <f>G86&amp;"(含)"&amp;"-"&amp;ROUND(H86,0)</f>
        <v>0.9(含)-1</v>
      </c>
      <c r="H85" s="649"/>
      <c r="I85" s="658"/>
      <c r="J85" s="658"/>
      <c r="K85" s="659"/>
      <c r="L85" s="660"/>
      <c r="M85" s="661"/>
      <c r="N85" s="1767"/>
      <c r="O85" s="1767"/>
      <c r="P85" s="1766"/>
      <c r="Q85" s="1763"/>
      <c r="R85" s="1742"/>
      <c r="S85" s="1742"/>
      <c r="T85" s="1742"/>
      <c r="U85" s="1742"/>
      <c r="V85" s="1742"/>
      <c r="W85" s="1742"/>
      <c r="X85" s="1742"/>
      <c r="Y85" s="1742"/>
      <c r="Z85" s="1742"/>
      <c r="AA85" s="1742"/>
      <c r="AB85" s="1742"/>
      <c r="AC85" s="1742"/>
    </row>
    <row r="86" spans="1:29">
      <c r="A86" s="543"/>
      <c r="B86" s="623"/>
      <c r="C86" s="818">
        <v>0.5</v>
      </c>
      <c r="D86" s="818">
        <v>0.6</v>
      </c>
      <c r="E86" s="818">
        <v>0.7</v>
      </c>
      <c r="F86" s="818">
        <v>0.8</v>
      </c>
      <c r="G86" s="818">
        <v>0.9</v>
      </c>
      <c r="H86" s="818">
        <v>1.0001</v>
      </c>
      <c r="I86" s="828"/>
      <c r="J86" s="828"/>
      <c r="K86" s="829"/>
      <c r="L86" s="830"/>
      <c r="M86" s="831"/>
      <c r="N86" s="1767"/>
      <c r="O86" s="1767"/>
      <c r="P86" s="1766"/>
      <c r="Q86" s="1763"/>
      <c r="R86" s="1742"/>
      <c r="S86" s="1742"/>
      <c r="T86" s="1742"/>
      <c r="U86" s="1742"/>
      <c r="V86" s="1742"/>
      <c r="W86" s="1742"/>
      <c r="X86" s="1742"/>
      <c r="Y86" s="1742"/>
      <c r="Z86" s="1742"/>
      <c r="AA86" s="1742"/>
      <c r="AB86" s="1742"/>
      <c r="AC86" s="1742"/>
    </row>
    <row r="87" spans="1:29" ht="15.75" thickBot="1">
      <c r="A87" s="482"/>
      <c r="B87" s="620"/>
      <c r="C87" s="652">
        <v>100</v>
      </c>
      <c r="D87" s="621">
        <f>C87+$K$29</f>
        <v>100</v>
      </c>
      <c r="E87" s="621">
        <f t="shared" ref="E87:M87" si="16">D87+$K$29</f>
        <v>100</v>
      </c>
      <c r="F87" s="621">
        <f t="shared" si="16"/>
        <v>100</v>
      </c>
      <c r="G87" s="621">
        <f t="shared" si="16"/>
        <v>100</v>
      </c>
      <c r="H87" s="621">
        <f t="shared" si="16"/>
        <v>100</v>
      </c>
      <c r="I87" s="621">
        <f t="shared" si="16"/>
        <v>100</v>
      </c>
      <c r="J87" s="621">
        <f t="shared" si="16"/>
        <v>100</v>
      </c>
      <c r="K87" s="621">
        <f t="shared" si="16"/>
        <v>100</v>
      </c>
      <c r="L87" s="621">
        <f t="shared" si="16"/>
        <v>100</v>
      </c>
      <c r="M87" s="621">
        <f t="shared" si="16"/>
        <v>100</v>
      </c>
      <c r="N87" s="1768"/>
      <c r="O87" s="1768"/>
      <c r="P87" s="1766"/>
      <c r="Q87" s="1763"/>
      <c r="R87" s="1742"/>
      <c r="S87" s="1742"/>
      <c r="T87" s="1742"/>
      <c r="U87" s="1742"/>
      <c r="V87" s="1742"/>
      <c r="W87" s="1742"/>
      <c r="X87" s="1742"/>
      <c r="Y87" s="1742"/>
      <c r="Z87" s="1742"/>
      <c r="AA87" s="1742"/>
      <c r="AB87" s="1742"/>
      <c r="AC87" s="1742"/>
    </row>
    <row r="88" spans="1:29" ht="15" thickTop="1">
      <c r="A88" s="543"/>
      <c r="B88" s="623" t="s">
        <v>757</v>
      </c>
      <c r="C88" s="547"/>
      <c r="D88" s="547"/>
      <c r="E88" s="547"/>
      <c r="F88" s="547"/>
      <c r="G88" s="547"/>
      <c r="H88" s="547"/>
      <c r="I88" s="547"/>
      <c r="J88" s="547"/>
      <c r="K88" s="609"/>
      <c r="L88" s="610"/>
      <c r="M88" s="611"/>
      <c r="N88" s="1767"/>
      <c r="O88" s="1767"/>
      <c r="P88" s="1766"/>
      <c r="Q88" s="1763"/>
      <c r="R88" s="1742"/>
      <c r="S88" s="1742"/>
      <c r="T88" s="1742"/>
      <c r="U88" s="1742"/>
      <c r="V88" s="1742"/>
      <c r="W88" s="1742"/>
      <c r="X88" s="1742"/>
      <c r="Y88" s="1742"/>
      <c r="Z88" s="1742"/>
      <c r="AA88" s="1742"/>
      <c r="AB88" s="1742"/>
      <c r="AC88" s="1742"/>
    </row>
    <row r="89" spans="1:29" ht="15.75" thickBot="1">
      <c r="A89" s="482"/>
      <c r="B89" s="620"/>
      <c r="C89" s="652">
        <v>100</v>
      </c>
      <c r="D89" s="621">
        <f t="shared" ref="D89:M89" si="17">C89+$K30</f>
        <v>100</v>
      </c>
      <c r="E89" s="621">
        <f t="shared" si="17"/>
        <v>100</v>
      </c>
      <c r="F89" s="621">
        <f t="shared" si="17"/>
        <v>100</v>
      </c>
      <c r="G89" s="621">
        <f t="shared" si="17"/>
        <v>100</v>
      </c>
      <c r="H89" s="621">
        <f t="shared" si="17"/>
        <v>100</v>
      </c>
      <c r="I89" s="621">
        <f t="shared" si="17"/>
        <v>100</v>
      </c>
      <c r="J89" s="621">
        <f t="shared" si="17"/>
        <v>100</v>
      </c>
      <c r="K89" s="621">
        <f t="shared" si="17"/>
        <v>100</v>
      </c>
      <c r="L89" s="621">
        <f t="shared" si="17"/>
        <v>100</v>
      </c>
      <c r="M89" s="621">
        <f t="shared" si="17"/>
        <v>100</v>
      </c>
      <c r="N89" s="1768"/>
      <c r="O89" s="1768"/>
      <c r="P89" s="1766"/>
      <c r="Q89" s="1763"/>
      <c r="R89" s="1742"/>
      <c r="S89" s="1742"/>
      <c r="T89" s="1742"/>
      <c r="U89" s="1742"/>
      <c r="V89" s="1742"/>
      <c r="W89" s="1742"/>
      <c r="X89" s="1742"/>
      <c r="Y89" s="1742"/>
      <c r="Z89" s="1742"/>
      <c r="AA89" s="1742"/>
      <c r="AB89" s="1742"/>
      <c r="AC89" s="1742"/>
    </row>
    <row r="90" spans="1:29" s="1134" customFormat="1" ht="15" thickTop="1">
      <c r="A90" s="552"/>
      <c r="B90" s="615" t="s">
        <v>758</v>
      </c>
      <c r="C90" s="649" t="str">
        <f>C91&amp;"(含)"&amp;"-"&amp;D91</f>
        <v>(含)-</v>
      </c>
      <c r="D90" s="649" t="str">
        <f t="shared" ref="D90:L90" si="18">D91&amp;"(含)"&amp;"-"&amp;E91</f>
        <v>(含)-</v>
      </c>
      <c r="E90" s="649" t="str">
        <f t="shared" si="18"/>
        <v>(含)-</v>
      </c>
      <c r="F90" s="649" t="str">
        <f t="shared" si="18"/>
        <v>(含)-</v>
      </c>
      <c r="G90" s="649" t="str">
        <f t="shared" si="18"/>
        <v>(含)-</v>
      </c>
      <c r="H90" s="649" t="str">
        <f t="shared" si="18"/>
        <v>(含)-</v>
      </c>
      <c r="I90" s="649" t="str">
        <f t="shared" si="18"/>
        <v>(含)-</v>
      </c>
      <c r="J90" s="649" t="str">
        <f t="shared" si="18"/>
        <v>(含)-</v>
      </c>
      <c r="K90" s="649" t="str">
        <f t="shared" si="18"/>
        <v>(含)-</v>
      </c>
      <c r="L90" s="649" t="str">
        <f t="shared" si="18"/>
        <v>(含)-</v>
      </c>
      <c r="M90" s="651" t="str">
        <f>M91&amp;"(含)"&amp;"-"&amp;P91</f>
        <v>(含)-</v>
      </c>
      <c r="N90" s="1769"/>
      <c r="O90" s="1769"/>
      <c r="P90" s="1769"/>
      <c r="Q90" s="1770"/>
      <c r="R90" s="1771"/>
      <c r="S90" s="1771"/>
      <c r="T90" s="1771"/>
      <c r="U90" s="1771"/>
      <c r="V90" s="1771"/>
      <c r="W90" s="1771"/>
      <c r="X90" s="1771"/>
      <c r="Y90" s="1771"/>
      <c r="Z90" s="1771"/>
      <c r="AA90" s="1771"/>
      <c r="AB90" s="1771"/>
      <c r="AC90" s="1771"/>
    </row>
    <row r="91" spans="1:29" s="1134" customFormat="1">
      <c r="A91" s="552"/>
      <c r="B91" s="623"/>
      <c r="C91" s="79"/>
      <c r="D91" s="79"/>
      <c r="E91" s="79"/>
      <c r="F91" s="79"/>
      <c r="G91" s="79"/>
      <c r="H91" s="79"/>
      <c r="I91" s="79"/>
      <c r="J91" s="669"/>
      <c r="K91" s="669"/>
      <c r="L91" s="670"/>
      <c r="M91" s="671"/>
      <c r="N91" s="1769"/>
      <c r="O91" s="1769"/>
      <c r="P91" s="1769"/>
      <c r="Q91" s="1770"/>
      <c r="R91" s="1771"/>
      <c r="S91" s="1771"/>
      <c r="T91" s="1771"/>
      <c r="U91" s="1771"/>
      <c r="V91" s="1771"/>
      <c r="W91" s="1771"/>
      <c r="X91" s="1771"/>
      <c r="Y91" s="1771"/>
      <c r="Z91" s="1771"/>
      <c r="AA91" s="1771"/>
      <c r="AB91" s="1771"/>
      <c r="AC91" s="1771"/>
    </row>
    <row r="92" spans="1:29" s="1134" customFormat="1" ht="15.75" thickBot="1">
      <c r="A92" s="629"/>
      <c r="B92" s="620"/>
      <c r="C92" s="634"/>
      <c r="D92" s="613"/>
      <c r="E92" s="613"/>
      <c r="F92" s="613"/>
      <c r="G92" s="613"/>
      <c r="H92" s="613"/>
      <c r="I92" s="613"/>
      <c r="J92" s="613"/>
      <c r="K92" s="613"/>
      <c r="L92" s="613"/>
      <c r="M92" s="614"/>
      <c r="N92" s="1769"/>
      <c r="O92" s="1769"/>
      <c r="P92" s="1769"/>
      <c r="Q92" s="1770"/>
      <c r="R92" s="1771"/>
      <c r="S92" s="1771"/>
      <c r="T92" s="1771"/>
      <c r="U92" s="1771"/>
      <c r="V92" s="1771"/>
      <c r="W92" s="1771"/>
      <c r="X92" s="1771"/>
      <c r="Y92" s="1771"/>
      <c r="Z92" s="1771"/>
      <c r="AA92" s="1771"/>
      <c r="AB92" s="1771"/>
      <c r="AC92" s="1771"/>
    </row>
    <row r="93" spans="1:29" ht="15" thickTop="1">
      <c r="A93" s="543"/>
      <c r="B93" s="615" t="s">
        <v>759</v>
      </c>
      <c r="C93" s="630"/>
      <c r="D93" s="630"/>
      <c r="E93" s="658"/>
      <c r="F93" s="658"/>
      <c r="G93" s="658"/>
      <c r="H93" s="658"/>
      <c r="I93" s="658"/>
      <c r="J93" s="658"/>
      <c r="K93" s="659"/>
      <c r="L93" s="660"/>
      <c r="M93" s="661"/>
      <c r="N93" s="1767"/>
      <c r="O93" s="1767"/>
      <c r="P93" s="1766"/>
      <c r="Q93" s="1763"/>
      <c r="R93" s="1742"/>
      <c r="S93" s="1742"/>
      <c r="T93" s="1742"/>
      <c r="U93" s="1742"/>
      <c r="V93" s="1742"/>
      <c r="W93" s="1742"/>
      <c r="X93" s="1742"/>
      <c r="Y93" s="1742"/>
      <c r="Z93" s="1742"/>
      <c r="AA93" s="1742"/>
      <c r="AB93" s="1742"/>
      <c r="AC93" s="1742"/>
    </row>
    <row r="94" spans="1:29" ht="15.75" thickBot="1">
      <c r="A94" s="482"/>
      <c r="B94" s="620"/>
      <c r="C94" s="621">
        <v>100</v>
      </c>
      <c r="D94" s="621">
        <f t="shared" ref="D94:M94" si="19">C94-$K32</f>
        <v>100</v>
      </c>
      <c r="E94" s="621">
        <f t="shared" si="19"/>
        <v>100</v>
      </c>
      <c r="F94" s="621">
        <f t="shared" si="19"/>
        <v>100</v>
      </c>
      <c r="G94" s="621">
        <f t="shared" si="19"/>
        <v>100</v>
      </c>
      <c r="H94" s="621">
        <f t="shared" si="19"/>
        <v>100</v>
      </c>
      <c r="I94" s="621">
        <f t="shared" si="19"/>
        <v>100</v>
      </c>
      <c r="J94" s="621">
        <f t="shared" si="19"/>
        <v>100</v>
      </c>
      <c r="K94" s="621">
        <f t="shared" si="19"/>
        <v>100</v>
      </c>
      <c r="L94" s="621">
        <f t="shared" si="19"/>
        <v>100</v>
      </c>
      <c r="M94" s="622">
        <f t="shared" si="19"/>
        <v>100</v>
      </c>
      <c r="N94" s="1768"/>
      <c r="O94" s="1768"/>
      <c r="P94" s="1766"/>
      <c r="Q94" s="1763"/>
      <c r="R94" s="1742"/>
      <c r="S94" s="1742"/>
      <c r="T94" s="1742"/>
      <c r="U94" s="1742"/>
      <c r="V94" s="1742"/>
      <c r="W94" s="1742"/>
      <c r="X94" s="1742"/>
      <c r="Y94" s="1742"/>
      <c r="Z94" s="1742"/>
      <c r="AA94" s="1742"/>
      <c r="AB94" s="1742"/>
      <c r="AC94" s="1742"/>
    </row>
    <row r="95" spans="1:29" ht="15" thickTop="1">
      <c r="A95" s="543"/>
      <c r="B95" s="615" t="s">
        <v>760</v>
      </c>
      <c r="C95" s="547"/>
      <c r="D95" s="547"/>
      <c r="E95" s="547"/>
      <c r="F95" s="547"/>
      <c r="G95" s="547"/>
      <c r="H95" s="547"/>
      <c r="I95" s="547"/>
      <c r="J95" s="547"/>
      <c r="K95" s="609"/>
      <c r="L95" s="610"/>
      <c r="M95" s="611"/>
      <c r="N95" s="1767"/>
      <c r="O95" s="1767"/>
      <c r="P95" s="1766"/>
      <c r="Q95" s="1763"/>
      <c r="R95" s="1742"/>
      <c r="S95" s="1742"/>
      <c r="T95" s="1742"/>
      <c r="U95" s="1742"/>
      <c r="V95" s="1742"/>
      <c r="W95" s="1742"/>
      <c r="X95" s="1742"/>
      <c r="Y95" s="1742"/>
      <c r="Z95" s="1742"/>
      <c r="AA95" s="1742"/>
      <c r="AB95" s="1742"/>
      <c r="AC95" s="1742"/>
    </row>
    <row r="96" spans="1:29" ht="15.75" thickBot="1">
      <c r="A96" s="482"/>
      <c r="B96" s="620"/>
      <c r="C96" s="621">
        <v>100</v>
      </c>
      <c r="D96" s="621">
        <f>C96-$K33</f>
        <v>100</v>
      </c>
      <c r="E96" s="621">
        <f>D96-$K33</f>
        <v>100</v>
      </c>
      <c r="F96" s="621">
        <f>E96-$K33</f>
        <v>100</v>
      </c>
      <c r="G96" s="621">
        <f>F96-$K33</f>
        <v>100</v>
      </c>
      <c r="H96" s="621"/>
      <c r="I96" s="621"/>
      <c r="J96" s="621"/>
      <c r="K96" s="621"/>
      <c r="L96" s="621"/>
      <c r="M96" s="622"/>
      <c r="N96" s="1768"/>
      <c r="O96" s="1768"/>
      <c r="P96" s="1766"/>
      <c r="Q96" s="1763"/>
      <c r="R96" s="1742"/>
      <c r="S96" s="1742"/>
      <c r="T96" s="1742"/>
      <c r="U96" s="1742"/>
      <c r="V96" s="1742"/>
      <c r="W96" s="1742"/>
      <c r="X96" s="1742"/>
      <c r="Y96" s="1742"/>
      <c r="Z96" s="1742"/>
      <c r="AA96" s="1742"/>
      <c r="AB96" s="1742"/>
      <c r="AC96" s="1742"/>
    </row>
    <row r="97" spans="1:29" ht="15" thickTop="1">
      <c r="A97" s="543"/>
      <c r="B97" s="839">
        <f>B34</f>
        <v>111</v>
      </c>
      <c r="C97" s="491"/>
      <c r="D97" s="491"/>
      <c r="E97" s="491"/>
      <c r="F97" s="491"/>
      <c r="G97" s="630"/>
      <c r="H97" s="631"/>
      <c r="I97" s="631"/>
      <c r="J97" s="631"/>
      <c r="K97" s="631"/>
      <c r="L97" s="632"/>
      <c r="M97" s="633"/>
      <c r="N97" s="1768"/>
      <c r="O97" s="1768"/>
      <c r="P97" s="1768"/>
      <c r="Q97" s="1803"/>
      <c r="R97" s="1742"/>
      <c r="S97" s="1742"/>
      <c r="T97" s="1742"/>
      <c r="U97" s="1742"/>
      <c r="V97" s="1742"/>
      <c r="W97" s="1742"/>
      <c r="X97" s="1742"/>
      <c r="Y97" s="1742"/>
      <c r="Z97" s="1742"/>
      <c r="AA97" s="1742"/>
      <c r="AB97" s="1742"/>
      <c r="AC97" s="1742"/>
    </row>
    <row r="98" spans="1:29" ht="15.75" thickBot="1">
      <c r="A98" s="482"/>
      <c r="B98" s="620"/>
      <c r="C98" s="634"/>
      <c r="D98" s="613"/>
      <c r="E98" s="613"/>
      <c r="F98" s="613"/>
      <c r="G98" s="634"/>
      <c r="H98" s="635"/>
      <c r="I98" s="635"/>
      <c r="J98" s="635"/>
      <c r="K98" s="635"/>
      <c r="L98" s="635"/>
      <c r="M98" s="636"/>
      <c r="N98" s="1768"/>
      <c r="O98" s="1768"/>
      <c r="P98" s="1766"/>
      <c r="Q98" s="1763"/>
      <c r="R98" s="1742"/>
      <c r="S98" s="1742"/>
      <c r="T98" s="1742"/>
      <c r="U98" s="1742"/>
      <c r="V98" s="1742"/>
      <c r="W98" s="1742"/>
      <c r="X98" s="1742"/>
      <c r="Y98" s="1742"/>
      <c r="Z98" s="1742"/>
      <c r="AA98" s="1742"/>
      <c r="AB98" s="1742"/>
      <c r="AC98" s="1742"/>
    </row>
    <row r="99" spans="1:29" s="1134" customFormat="1" ht="15" thickTop="1">
      <c r="A99" s="552"/>
      <c r="B99" s="615">
        <f>B35</f>
        <v>111</v>
      </c>
      <c r="C99" s="491"/>
      <c r="D99" s="491"/>
      <c r="E99" s="491"/>
      <c r="F99" s="491"/>
      <c r="G99" s="630"/>
      <c r="H99" s="631"/>
      <c r="I99" s="631"/>
      <c r="J99" s="631"/>
      <c r="K99" s="631"/>
      <c r="L99" s="632"/>
      <c r="M99" s="633"/>
      <c r="N99" s="1769"/>
      <c r="O99" s="1769"/>
      <c r="P99" s="1769"/>
      <c r="Q99" s="1770"/>
      <c r="R99" s="1771"/>
      <c r="S99" s="1771"/>
      <c r="T99" s="1771"/>
      <c r="U99" s="1771"/>
      <c r="V99" s="1771"/>
      <c r="W99" s="1771"/>
      <c r="X99" s="1771"/>
      <c r="Y99" s="1771"/>
      <c r="Z99" s="1771"/>
      <c r="AA99" s="1771"/>
      <c r="AB99" s="1771"/>
      <c r="AC99" s="1771"/>
    </row>
    <row r="100" spans="1:29" s="1134" customFormat="1" ht="15.75" thickBot="1">
      <c r="A100" s="629"/>
      <c r="B100" s="612"/>
      <c r="C100" s="634"/>
      <c r="D100" s="613"/>
      <c r="E100" s="613"/>
      <c r="F100" s="613"/>
      <c r="G100" s="634"/>
      <c r="H100" s="635"/>
      <c r="I100" s="635"/>
      <c r="J100" s="635"/>
      <c r="K100" s="635"/>
      <c r="L100" s="635"/>
      <c r="M100" s="636"/>
      <c r="N100" s="1769"/>
      <c r="O100" s="1769"/>
      <c r="P100" s="1769"/>
      <c r="Q100" s="1770"/>
      <c r="R100" s="1771"/>
      <c r="S100" s="1771"/>
      <c r="T100" s="1771"/>
      <c r="U100" s="1771"/>
      <c r="V100" s="1771"/>
      <c r="W100" s="1771"/>
      <c r="X100" s="1771"/>
      <c r="Y100" s="1771"/>
      <c r="Z100" s="1771"/>
      <c r="AA100" s="1771"/>
      <c r="AB100" s="1771"/>
      <c r="AC100" s="1771"/>
    </row>
    <row r="101" spans="1:29" ht="15" thickTop="1">
      <c r="A101" s="543"/>
      <c r="B101" s="615">
        <f>B36</f>
        <v>111</v>
      </c>
      <c r="C101" s="630"/>
      <c r="D101" s="630"/>
      <c r="E101" s="630"/>
      <c r="F101" s="630"/>
      <c r="G101" s="630"/>
      <c r="H101" s="631"/>
      <c r="I101" s="631"/>
      <c r="J101" s="631"/>
      <c r="K101" s="631"/>
      <c r="L101" s="632"/>
      <c r="M101" s="633"/>
      <c r="N101" s="1767"/>
      <c r="O101" s="1767"/>
      <c r="P101" s="1766"/>
      <c r="Q101" s="1763"/>
      <c r="R101" s="1742"/>
      <c r="S101" s="1742"/>
      <c r="T101" s="1742"/>
      <c r="U101" s="1742"/>
      <c r="V101" s="1742"/>
      <c r="W101" s="1742"/>
      <c r="X101" s="1742"/>
      <c r="Y101" s="1742"/>
      <c r="Z101" s="1742"/>
      <c r="AA101" s="1742"/>
      <c r="AB101" s="1742"/>
      <c r="AC101" s="1742"/>
    </row>
    <row r="102" spans="1:29" ht="15.75" thickBot="1">
      <c r="A102" s="482"/>
      <c r="B102" s="620"/>
      <c r="C102" s="634"/>
      <c r="D102" s="634"/>
      <c r="E102" s="634"/>
      <c r="F102" s="634"/>
      <c r="G102" s="634"/>
      <c r="H102" s="635"/>
      <c r="I102" s="635"/>
      <c r="J102" s="635"/>
      <c r="K102" s="635"/>
      <c r="L102" s="635"/>
      <c r="M102" s="636"/>
      <c r="N102" s="1768"/>
      <c r="O102" s="1768"/>
      <c r="P102" s="1766"/>
      <c r="Q102" s="1763"/>
      <c r="R102" s="1742"/>
      <c r="S102" s="1742"/>
      <c r="T102" s="1742"/>
      <c r="U102" s="1742"/>
      <c r="V102" s="1742"/>
      <c r="W102" s="1742"/>
      <c r="X102" s="1742"/>
      <c r="Y102" s="1742"/>
      <c r="Z102" s="1742"/>
      <c r="AA102" s="1742"/>
      <c r="AB102" s="1742"/>
      <c r="AC102" s="1742"/>
    </row>
    <row r="103" spans="1:29" ht="15" thickTop="1">
      <c r="A103" s="1779"/>
      <c r="B103" s="1779"/>
      <c r="C103" s="1779"/>
      <c r="D103" s="1779"/>
      <c r="E103" s="1779"/>
      <c r="F103" s="1779"/>
      <c r="G103" s="1779"/>
      <c r="H103" s="1779"/>
      <c r="I103" s="1779"/>
      <c r="J103" s="1779"/>
      <c r="K103" s="1780"/>
      <c r="L103" s="1781"/>
      <c r="M103" s="1779"/>
      <c r="N103" s="1779"/>
      <c r="O103" s="1779"/>
      <c r="P103" s="1779"/>
      <c r="Q103" s="1779"/>
      <c r="R103" s="1779"/>
      <c r="S103" s="1779"/>
      <c r="T103" s="1779"/>
      <c r="U103" s="1779"/>
      <c r="V103" s="1779"/>
      <c r="W103" s="1779"/>
      <c r="X103" s="1779"/>
      <c r="Y103" s="1779"/>
      <c r="Z103" s="1779"/>
      <c r="AA103" s="1779"/>
      <c r="AB103" s="1779"/>
      <c r="AC103" s="1779"/>
    </row>
    <row r="104" spans="1:29">
      <c r="A104" s="1779"/>
      <c r="B104" s="1779"/>
      <c r="C104" s="1779"/>
      <c r="D104" s="1779"/>
      <c r="E104" s="1779"/>
      <c r="F104" s="1779"/>
      <c r="G104" s="1779"/>
      <c r="H104" s="1779"/>
      <c r="I104" s="1779"/>
      <c r="J104" s="1779"/>
      <c r="K104" s="1780"/>
      <c r="L104" s="1781"/>
      <c r="M104" s="1779"/>
      <c r="N104" s="1779"/>
      <c r="O104" s="1779"/>
      <c r="P104" s="1779"/>
      <c r="Q104" s="1779"/>
      <c r="R104" s="1779"/>
      <c r="S104" s="1779"/>
      <c r="T104" s="1779"/>
      <c r="U104" s="1779"/>
      <c r="V104" s="1779"/>
      <c r="W104" s="1779"/>
      <c r="X104" s="1779"/>
      <c r="Y104" s="1779"/>
      <c r="Z104" s="1779"/>
      <c r="AA104" s="1779"/>
      <c r="AB104" s="1779"/>
      <c r="AC104" s="1779"/>
    </row>
    <row r="105" spans="1:29">
      <c r="A105" s="1779"/>
      <c r="B105" s="1779"/>
      <c r="C105" s="1779"/>
      <c r="D105" s="1779"/>
      <c r="E105" s="1779"/>
      <c r="F105" s="1779"/>
      <c r="G105" s="1779"/>
      <c r="H105" s="1779"/>
      <c r="I105" s="1779"/>
      <c r="J105" s="1779"/>
      <c r="K105" s="1780"/>
      <c r="L105" s="1781"/>
      <c r="M105" s="1779"/>
      <c r="N105" s="1779"/>
      <c r="O105" s="1779"/>
      <c r="P105" s="1779"/>
      <c r="Q105" s="1779"/>
      <c r="R105" s="1779"/>
      <c r="S105" s="1779"/>
      <c r="T105" s="1779"/>
      <c r="U105" s="1779"/>
      <c r="V105" s="1779"/>
      <c r="W105" s="1779"/>
      <c r="X105" s="1779"/>
      <c r="Y105" s="1779"/>
      <c r="Z105" s="1779"/>
      <c r="AA105" s="1779"/>
      <c r="AB105" s="1779"/>
      <c r="AC105" s="1779"/>
    </row>
    <row r="106" spans="1:29">
      <c r="A106" s="1779"/>
      <c r="B106" s="1779"/>
      <c r="C106" s="1779"/>
      <c r="D106" s="1779"/>
      <c r="E106" s="1779"/>
      <c r="F106" s="1779"/>
      <c r="G106" s="1779"/>
      <c r="H106" s="1779"/>
      <c r="I106" s="1779"/>
      <c r="J106" s="1779"/>
      <c r="K106" s="1780"/>
      <c r="L106" s="1781"/>
      <c r="M106" s="1779"/>
      <c r="N106" s="1779"/>
      <c r="O106" s="1779"/>
      <c r="P106" s="1779"/>
      <c r="Q106" s="1779"/>
      <c r="R106" s="1779"/>
      <c r="S106" s="1779"/>
      <c r="T106" s="1779"/>
      <c r="U106" s="1779"/>
      <c r="V106" s="1779"/>
      <c r="W106" s="1779"/>
      <c r="X106" s="1779"/>
      <c r="Y106" s="1779"/>
      <c r="Z106" s="1779"/>
      <c r="AA106" s="1779"/>
      <c r="AB106" s="1779"/>
      <c r="AC106" s="1779"/>
    </row>
    <row r="107" spans="1:29">
      <c r="A107" s="1779"/>
      <c r="B107" s="1779"/>
      <c r="C107" s="1779"/>
      <c r="D107" s="1779"/>
      <c r="E107" s="1779"/>
      <c r="F107" s="1779"/>
      <c r="G107" s="1779"/>
      <c r="H107" s="1779"/>
      <c r="I107" s="1779"/>
      <c r="J107" s="1779"/>
      <c r="K107" s="1780"/>
      <c r="L107" s="1781"/>
      <c r="M107" s="1779"/>
      <c r="N107" s="1779"/>
      <c r="O107" s="1779"/>
      <c r="P107" s="1779"/>
      <c r="Q107" s="1779"/>
      <c r="R107" s="1779"/>
      <c r="S107" s="1779"/>
      <c r="T107" s="1779"/>
      <c r="U107" s="1779"/>
      <c r="V107" s="1779"/>
      <c r="W107" s="1779"/>
      <c r="X107" s="1779"/>
      <c r="Y107" s="1779"/>
      <c r="Z107" s="1779"/>
      <c r="AA107" s="1779"/>
      <c r="AB107" s="1779"/>
      <c r="AC107" s="1779"/>
    </row>
    <row r="108" spans="1:29">
      <c r="A108" s="1779"/>
      <c r="B108" s="1779"/>
      <c r="C108" s="1779"/>
      <c r="D108" s="1779"/>
      <c r="E108" s="1779"/>
      <c r="F108" s="1779"/>
      <c r="G108" s="1779"/>
      <c r="H108" s="1779"/>
      <c r="I108" s="1779"/>
      <c r="J108" s="1779"/>
      <c r="K108" s="1780"/>
      <c r="L108" s="1781"/>
      <c r="M108" s="1779"/>
      <c r="N108" s="1779"/>
      <c r="O108" s="1779"/>
      <c r="P108" s="1779"/>
      <c r="Q108" s="1779"/>
      <c r="R108" s="1779"/>
      <c r="S108" s="1779"/>
      <c r="T108" s="1779"/>
      <c r="U108" s="1779"/>
      <c r="V108" s="1779"/>
      <c r="W108" s="1779"/>
      <c r="X108" s="1779"/>
      <c r="Y108" s="1779"/>
      <c r="Z108" s="1779"/>
      <c r="AA108" s="1779"/>
      <c r="AB108" s="1779"/>
      <c r="AC108" s="1779"/>
    </row>
    <row r="109" spans="1:29">
      <c r="A109" s="1779"/>
      <c r="B109" s="1779"/>
      <c r="C109" s="1779"/>
      <c r="D109" s="1779"/>
      <c r="E109" s="1779"/>
      <c r="F109" s="1779"/>
      <c r="G109" s="1779"/>
      <c r="H109" s="1779"/>
      <c r="I109" s="1779"/>
      <c r="J109" s="1779"/>
      <c r="K109" s="1780"/>
      <c r="L109" s="1781"/>
      <c r="M109" s="1779"/>
      <c r="N109" s="1779"/>
      <c r="O109" s="1779"/>
      <c r="P109" s="1779"/>
      <c r="Q109" s="1779"/>
      <c r="R109" s="1779"/>
      <c r="S109" s="1779"/>
      <c r="T109" s="1779"/>
      <c r="U109" s="1779"/>
      <c r="V109" s="1779"/>
      <c r="W109" s="1779"/>
      <c r="X109" s="1779"/>
      <c r="Y109" s="1779"/>
      <c r="Z109" s="1779"/>
      <c r="AA109" s="1779"/>
      <c r="AB109" s="1779"/>
      <c r="AC109" s="1779"/>
    </row>
    <row r="110" spans="1:29">
      <c r="A110" s="1779"/>
      <c r="B110" s="1779"/>
      <c r="C110" s="1779"/>
      <c r="D110" s="1779"/>
      <c r="E110" s="1779"/>
      <c r="F110" s="1779"/>
      <c r="G110" s="1779"/>
      <c r="H110" s="1779"/>
      <c r="I110" s="1779"/>
      <c r="J110" s="1779"/>
      <c r="K110" s="1780"/>
      <c r="L110" s="1781"/>
      <c r="M110" s="1779"/>
      <c r="N110" s="1779"/>
      <c r="O110" s="1779"/>
      <c r="P110" s="1779"/>
      <c r="Q110" s="1779"/>
      <c r="R110" s="1779"/>
      <c r="S110" s="1779"/>
      <c r="T110" s="1779"/>
      <c r="U110" s="1779"/>
      <c r="V110" s="1779"/>
      <c r="W110" s="1779"/>
      <c r="X110" s="1779"/>
      <c r="Y110" s="1779"/>
      <c r="Z110" s="1779"/>
      <c r="AA110" s="1779"/>
      <c r="AB110" s="1779"/>
      <c r="AC110" s="1779"/>
    </row>
    <row r="111" spans="1:29">
      <c r="A111" s="1779"/>
      <c r="B111" s="1779"/>
      <c r="C111" s="1779"/>
      <c r="D111" s="1779"/>
      <c r="E111" s="1779"/>
      <c r="F111" s="1779"/>
      <c r="G111" s="1779"/>
      <c r="H111" s="1779"/>
      <c r="I111" s="1779"/>
      <c r="J111" s="1779"/>
      <c r="K111" s="1780"/>
      <c r="L111" s="1781"/>
      <c r="M111" s="1779"/>
      <c r="N111" s="1779"/>
      <c r="O111" s="1779"/>
      <c r="P111" s="1779"/>
      <c r="Q111" s="1779"/>
      <c r="R111" s="1779"/>
      <c r="S111" s="1779"/>
      <c r="T111" s="1779"/>
      <c r="U111" s="1779"/>
      <c r="V111" s="1779"/>
      <c r="W111" s="1779"/>
      <c r="X111" s="1779"/>
      <c r="Y111" s="1779"/>
      <c r="Z111" s="1779"/>
      <c r="AA111" s="1779"/>
      <c r="AB111" s="1779"/>
      <c r="AC111" s="1779"/>
    </row>
    <row r="112" spans="1:29">
      <c r="A112" s="1779"/>
      <c r="B112" s="1779"/>
      <c r="C112" s="1779"/>
      <c r="D112" s="1779"/>
      <c r="E112" s="1779"/>
      <c r="F112" s="1779"/>
      <c r="G112" s="1779"/>
      <c r="H112" s="1779"/>
      <c r="I112" s="1779"/>
      <c r="J112" s="1779"/>
      <c r="K112" s="1780"/>
      <c r="L112" s="1781"/>
      <c r="M112" s="1779"/>
      <c r="N112" s="1779"/>
      <c r="O112" s="1779"/>
      <c r="P112" s="1779"/>
      <c r="Q112" s="1779"/>
      <c r="R112" s="1779"/>
      <c r="S112" s="1779"/>
      <c r="T112" s="1779"/>
      <c r="U112" s="1779"/>
      <c r="V112" s="1779"/>
      <c r="W112" s="1779"/>
      <c r="X112" s="1779"/>
      <c r="Y112" s="1779"/>
      <c r="Z112" s="1779"/>
      <c r="AA112" s="1779"/>
      <c r="AB112" s="1779"/>
      <c r="AC112" s="1779"/>
    </row>
    <row r="113" spans="1:29">
      <c r="A113" s="1779"/>
      <c r="B113" s="1779"/>
      <c r="C113" s="1779"/>
      <c r="D113" s="1779"/>
      <c r="E113" s="1779"/>
      <c r="F113" s="1779"/>
      <c r="G113" s="1779"/>
      <c r="H113" s="1779"/>
      <c r="I113" s="1779"/>
      <c r="J113" s="1779"/>
      <c r="K113" s="1780"/>
      <c r="L113" s="1781"/>
      <c r="M113" s="1779"/>
      <c r="N113" s="1779"/>
      <c r="O113" s="1779"/>
      <c r="P113" s="1779"/>
      <c r="Q113" s="1779"/>
      <c r="R113" s="1779"/>
      <c r="S113" s="1779"/>
      <c r="T113" s="1779"/>
      <c r="U113" s="1779"/>
      <c r="V113" s="1779"/>
      <c r="W113" s="1779"/>
      <c r="X113" s="1779"/>
      <c r="Y113" s="1779"/>
      <c r="Z113" s="1779"/>
      <c r="AA113" s="1779"/>
      <c r="AB113" s="1779"/>
      <c r="AC113" s="1779"/>
    </row>
    <row r="114" spans="1:29">
      <c r="A114" s="1779"/>
      <c r="B114" s="1779"/>
      <c r="C114" s="1779"/>
      <c r="D114" s="1779"/>
      <c r="E114" s="1779"/>
      <c r="F114" s="1779"/>
      <c r="G114" s="1779"/>
      <c r="H114" s="1779"/>
      <c r="I114" s="1779"/>
      <c r="J114" s="1779"/>
      <c r="K114" s="1780"/>
      <c r="L114" s="1781"/>
      <c r="M114" s="1779"/>
      <c r="N114" s="1779"/>
      <c r="O114" s="1779"/>
      <c r="P114" s="1779"/>
      <c r="Q114" s="1779"/>
      <c r="R114" s="1779"/>
      <c r="S114" s="1779"/>
      <c r="T114" s="1779"/>
      <c r="U114" s="1779"/>
      <c r="V114" s="1779"/>
      <c r="W114" s="1779"/>
      <c r="X114" s="1779"/>
      <c r="Y114" s="1779"/>
      <c r="Z114" s="1779"/>
      <c r="AA114" s="1779"/>
      <c r="AB114" s="1779"/>
      <c r="AC114" s="1779"/>
    </row>
    <row r="115" spans="1:29">
      <c r="A115" s="1779"/>
      <c r="B115" s="1779"/>
      <c r="C115" s="1779"/>
      <c r="D115" s="1779"/>
      <c r="E115" s="1779"/>
      <c r="F115" s="1779"/>
      <c r="G115" s="1779"/>
      <c r="H115" s="1779"/>
      <c r="I115" s="1779"/>
      <c r="J115" s="1779"/>
      <c r="K115" s="1780"/>
      <c r="L115" s="1781"/>
      <c r="M115" s="1779"/>
      <c r="N115" s="1779"/>
      <c r="O115" s="1779"/>
      <c r="P115" s="1779"/>
      <c r="Q115" s="1779"/>
      <c r="R115" s="1779"/>
      <c r="S115" s="1779"/>
      <c r="T115" s="1779"/>
      <c r="U115" s="1779"/>
      <c r="V115" s="1779"/>
      <c r="W115" s="1779"/>
      <c r="X115" s="1779"/>
      <c r="Y115" s="1779"/>
      <c r="Z115" s="1779"/>
      <c r="AA115" s="1779"/>
      <c r="AB115" s="1779"/>
      <c r="AC115" s="1779"/>
    </row>
    <row r="116" spans="1:29">
      <c r="A116" s="1779"/>
      <c r="B116" s="1779"/>
      <c r="C116" s="1779"/>
      <c r="D116" s="1779"/>
      <c r="E116" s="1779"/>
      <c r="F116" s="1779"/>
      <c r="G116" s="1779"/>
      <c r="H116" s="1779"/>
      <c r="I116" s="1779"/>
      <c r="J116" s="1779"/>
      <c r="K116" s="1780"/>
      <c r="L116" s="1781"/>
      <c r="M116" s="1779"/>
      <c r="N116" s="1779"/>
      <c r="O116" s="1779"/>
      <c r="P116" s="1779"/>
      <c r="Q116" s="1779"/>
      <c r="R116" s="1779"/>
      <c r="S116" s="1779"/>
      <c r="T116" s="1779"/>
      <c r="U116" s="1779"/>
      <c r="V116" s="1779"/>
      <c r="W116" s="1779"/>
      <c r="X116" s="1779"/>
      <c r="Y116" s="1779"/>
      <c r="Z116" s="1779"/>
      <c r="AA116" s="1779"/>
      <c r="AB116" s="1779"/>
      <c r="AC116" s="1779"/>
    </row>
    <row r="117" spans="1:29">
      <c r="A117" s="1779"/>
      <c r="B117" s="1779"/>
      <c r="C117" s="1779"/>
      <c r="D117" s="1779"/>
      <c r="E117" s="1779"/>
      <c r="F117" s="1779"/>
      <c r="G117" s="1779"/>
      <c r="H117" s="1779"/>
      <c r="I117" s="1779"/>
      <c r="J117" s="1779"/>
      <c r="K117" s="1780"/>
      <c r="L117" s="1781"/>
      <c r="M117" s="1779"/>
      <c r="N117" s="1779"/>
      <c r="O117" s="1779"/>
      <c r="P117" s="1779"/>
      <c r="Q117" s="1779"/>
      <c r="R117" s="1779"/>
      <c r="S117" s="1779"/>
      <c r="T117" s="1779"/>
      <c r="U117" s="1779"/>
      <c r="V117" s="1779"/>
      <c r="W117" s="1779"/>
      <c r="X117" s="1779"/>
      <c r="Y117" s="1779"/>
      <c r="Z117" s="1779"/>
      <c r="AA117" s="1779"/>
      <c r="AB117" s="1779"/>
      <c r="AC117" s="1779"/>
    </row>
    <row r="118" spans="1:29">
      <c r="A118" s="1779"/>
      <c r="B118" s="1779"/>
      <c r="C118" s="1779"/>
      <c r="D118" s="1779"/>
      <c r="E118" s="1779"/>
      <c r="F118" s="1779"/>
      <c r="G118" s="1779"/>
      <c r="H118" s="1779"/>
      <c r="I118" s="1779"/>
      <c r="J118" s="1779"/>
      <c r="K118" s="1780"/>
      <c r="L118" s="1781"/>
      <c r="M118" s="1779"/>
      <c r="N118" s="1779"/>
      <c r="O118" s="1779"/>
      <c r="P118" s="1779"/>
      <c r="Q118" s="1779"/>
      <c r="R118" s="1779"/>
      <c r="S118" s="1779"/>
      <c r="T118" s="1779"/>
      <c r="U118" s="1779"/>
      <c r="V118" s="1779"/>
      <c r="W118" s="1779"/>
      <c r="X118" s="1779"/>
      <c r="Y118" s="1779"/>
      <c r="Z118" s="1779"/>
      <c r="AA118" s="1779"/>
      <c r="AB118" s="1779"/>
      <c r="AC118" s="1779"/>
    </row>
    <row r="119" spans="1:29">
      <c r="A119" s="1779"/>
      <c r="B119" s="1779"/>
      <c r="C119" s="1779"/>
      <c r="D119" s="1779"/>
      <c r="E119" s="1779"/>
      <c r="F119" s="1779"/>
      <c r="G119" s="1779"/>
      <c r="H119" s="1779"/>
      <c r="I119" s="1779"/>
      <c r="J119" s="1779"/>
      <c r="K119" s="1780"/>
      <c r="L119" s="1781"/>
      <c r="M119" s="1779"/>
      <c r="N119" s="1779"/>
      <c r="O119" s="1779"/>
      <c r="P119" s="1779"/>
      <c r="Q119" s="1779"/>
      <c r="R119" s="1779"/>
      <c r="S119" s="1779"/>
      <c r="T119" s="1779"/>
      <c r="U119" s="1779"/>
      <c r="V119" s="1779"/>
      <c r="W119" s="1779"/>
      <c r="X119" s="1779"/>
      <c r="Y119" s="1779"/>
      <c r="Z119" s="1779"/>
      <c r="AA119" s="1779"/>
      <c r="AB119" s="1779"/>
      <c r="AC119" s="1779"/>
    </row>
    <row r="120" spans="1:29">
      <c r="A120" s="1779"/>
      <c r="B120" s="1779"/>
      <c r="C120" s="1779"/>
      <c r="D120" s="1779"/>
      <c r="E120" s="1779"/>
      <c r="F120" s="1779"/>
      <c r="G120" s="1779"/>
      <c r="H120" s="1779"/>
      <c r="I120" s="1779"/>
      <c r="J120" s="1779"/>
      <c r="K120" s="1780"/>
      <c r="L120" s="1781"/>
      <c r="M120" s="1779"/>
      <c r="N120" s="1779"/>
      <c r="O120" s="1779"/>
      <c r="P120" s="1779"/>
      <c r="Q120" s="1779"/>
      <c r="R120" s="1779"/>
      <c r="S120" s="1779"/>
      <c r="T120" s="1779"/>
      <c r="U120" s="1779"/>
      <c r="V120" s="1779"/>
      <c r="W120" s="1779"/>
      <c r="X120" s="1779"/>
      <c r="Y120" s="1779"/>
      <c r="Z120" s="1779"/>
      <c r="AA120" s="1779"/>
      <c r="AB120" s="1779"/>
      <c r="AC120" s="1779"/>
    </row>
    <row r="121" spans="1:29">
      <c r="A121" s="1779"/>
      <c r="B121" s="1779"/>
      <c r="C121" s="1779"/>
      <c r="D121" s="1779"/>
      <c r="E121" s="1779"/>
      <c r="F121" s="1779"/>
      <c r="G121" s="1779"/>
      <c r="H121" s="1779"/>
      <c r="I121" s="1779"/>
      <c r="J121" s="1779"/>
      <c r="K121" s="1780"/>
      <c r="L121" s="1781"/>
      <c r="M121" s="1779"/>
      <c r="N121" s="1779"/>
      <c r="O121" s="1779"/>
      <c r="P121" s="1779"/>
      <c r="Q121" s="1779"/>
      <c r="R121" s="1779"/>
      <c r="S121" s="1779"/>
      <c r="T121" s="1779"/>
      <c r="U121" s="1779"/>
      <c r="V121" s="1779"/>
      <c r="W121" s="1779"/>
      <c r="X121" s="1779"/>
      <c r="Y121" s="1779"/>
      <c r="Z121" s="1779"/>
      <c r="AA121" s="1779"/>
      <c r="AB121" s="1779"/>
      <c r="AC121" s="1779"/>
    </row>
    <row r="122" spans="1:29">
      <c r="A122" s="1779"/>
      <c r="B122" s="1779"/>
      <c r="C122" s="1779"/>
      <c r="D122" s="1779"/>
      <c r="E122" s="1779"/>
      <c r="F122" s="1779"/>
      <c r="G122" s="1779"/>
      <c r="H122" s="1779"/>
      <c r="I122" s="1779"/>
      <c r="J122" s="1779"/>
      <c r="K122" s="1780"/>
      <c r="L122" s="1781"/>
      <c r="M122" s="1779"/>
      <c r="N122" s="1779"/>
      <c r="O122" s="1779"/>
      <c r="P122" s="1779"/>
      <c r="Q122" s="1779"/>
      <c r="R122" s="1779"/>
      <c r="S122" s="1779"/>
      <c r="T122" s="1779"/>
      <c r="U122" s="1779"/>
      <c r="V122" s="1779"/>
      <c r="W122" s="1779"/>
      <c r="X122" s="1779"/>
      <c r="Y122" s="1779"/>
      <c r="Z122" s="1779"/>
      <c r="AA122" s="1779"/>
      <c r="AB122" s="1779"/>
      <c r="AC122" s="1779"/>
    </row>
    <row r="123" spans="1:29">
      <c r="A123" s="1779"/>
      <c r="B123" s="1779"/>
      <c r="C123" s="1779"/>
      <c r="D123" s="1779"/>
      <c r="E123" s="1779"/>
      <c r="F123" s="1779"/>
      <c r="G123" s="1779"/>
      <c r="H123" s="1779"/>
      <c r="I123" s="1779"/>
      <c r="J123" s="1779"/>
      <c r="K123" s="1780"/>
      <c r="L123" s="1781"/>
      <c r="M123" s="1779"/>
      <c r="N123" s="1779"/>
      <c r="O123" s="1779"/>
      <c r="P123" s="1779"/>
      <c r="Q123" s="1779"/>
      <c r="R123" s="1779"/>
      <c r="S123" s="1779"/>
      <c r="T123" s="1779"/>
      <c r="U123" s="1779"/>
      <c r="V123" s="1779"/>
      <c r="W123" s="1779"/>
      <c r="X123" s="1779"/>
      <c r="Y123" s="1779"/>
      <c r="Z123" s="1779"/>
      <c r="AA123" s="1779"/>
      <c r="AB123" s="1779"/>
      <c r="AC123" s="1779"/>
    </row>
    <row r="124" spans="1:29">
      <c r="A124" s="1779"/>
      <c r="B124" s="1779"/>
      <c r="C124" s="1779"/>
      <c r="D124" s="1779"/>
      <c r="E124" s="1779"/>
      <c r="F124" s="1779"/>
      <c r="G124" s="1779"/>
      <c r="H124" s="1779"/>
      <c r="I124" s="1779"/>
      <c r="J124" s="1779"/>
      <c r="K124" s="1780"/>
      <c r="L124" s="1781"/>
      <c r="M124" s="1779"/>
      <c r="N124" s="1779"/>
      <c r="O124" s="1779"/>
      <c r="P124" s="1779"/>
      <c r="Q124" s="1779"/>
      <c r="R124" s="1779"/>
      <c r="S124" s="1779"/>
      <c r="T124" s="1779"/>
      <c r="U124" s="1779"/>
      <c r="V124" s="1779"/>
      <c r="W124" s="1779"/>
      <c r="X124" s="1779"/>
      <c r="Y124" s="1779"/>
      <c r="Z124" s="1779"/>
      <c r="AA124" s="1779"/>
      <c r="AB124" s="1779"/>
      <c r="AC124" s="1779"/>
    </row>
    <row r="125" spans="1:29">
      <c r="A125" s="1779"/>
      <c r="B125" s="1779"/>
      <c r="C125" s="1779"/>
      <c r="D125" s="1779"/>
      <c r="E125" s="1779"/>
      <c r="F125" s="1779"/>
      <c r="G125" s="1779"/>
      <c r="H125" s="1779"/>
      <c r="I125" s="1779"/>
      <c r="J125" s="1779"/>
      <c r="K125" s="1780"/>
      <c r="L125" s="1781"/>
      <c r="M125" s="1779"/>
      <c r="N125" s="1779"/>
      <c r="O125" s="1779"/>
      <c r="P125" s="1779"/>
      <c r="Q125" s="1779"/>
      <c r="R125" s="1779"/>
      <c r="S125" s="1779"/>
      <c r="T125" s="1779"/>
      <c r="U125" s="1779"/>
      <c r="V125" s="1779"/>
      <c r="W125" s="1779"/>
      <c r="X125" s="1779"/>
      <c r="Y125" s="1779"/>
      <c r="Z125" s="1779"/>
      <c r="AA125" s="1779"/>
      <c r="AB125" s="1779"/>
      <c r="AC125" s="1779"/>
    </row>
    <row r="126" spans="1:29">
      <c r="A126" s="1779"/>
      <c r="B126" s="1779"/>
      <c r="C126" s="1779"/>
      <c r="D126" s="1779"/>
      <c r="E126" s="1779"/>
      <c r="F126" s="1779"/>
      <c r="G126" s="1779"/>
      <c r="H126" s="1779"/>
      <c r="I126" s="1779"/>
      <c r="J126" s="1779"/>
      <c r="K126" s="1780"/>
      <c r="L126" s="1781"/>
      <c r="M126" s="1779"/>
      <c r="N126" s="1779"/>
      <c r="O126" s="1779"/>
      <c r="P126" s="1779"/>
      <c r="Q126" s="1779"/>
      <c r="R126" s="1779"/>
      <c r="S126" s="1779"/>
      <c r="T126" s="1779"/>
      <c r="U126" s="1779"/>
      <c r="V126" s="1779"/>
      <c r="W126" s="1779"/>
      <c r="X126" s="1779"/>
      <c r="Y126" s="1779"/>
      <c r="Z126" s="1779"/>
      <c r="AA126" s="1779"/>
      <c r="AB126" s="1779"/>
      <c r="AC126" s="1779"/>
    </row>
    <row r="127" spans="1:29">
      <c r="A127" s="1779"/>
      <c r="B127" s="1779"/>
      <c r="C127" s="1779"/>
      <c r="D127" s="1779"/>
      <c r="E127" s="1779"/>
      <c r="F127" s="1779"/>
      <c r="G127" s="1779"/>
      <c r="H127" s="1779"/>
      <c r="I127" s="1779"/>
      <c r="J127" s="1779"/>
      <c r="K127" s="1780"/>
      <c r="L127" s="1781"/>
      <c r="M127" s="1779"/>
      <c r="N127" s="1779"/>
      <c r="O127" s="1779"/>
      <c r="P127" s="1779"/>
      <c r="Q127" s="1779"/>
      <c r="R127" s="1779"/>
      <c r="S127" s="1779"/>
      <c r="T127" s="1779"/>
      <c r="U127" s="1779"/>
      <c r="V127" s="1779"/>
      <c r="W127" s="1779"/>
      <c r="X127" s="1779"/>
      <c r="Y127" s="1779"/>
      <c r="Z127" s="1779"/>
      <c r="AA127" s="1779"/>
      <c r="AB127" s="1779"/>
      <c r="AC127" s="1779"/>
    </row>
    <row r="128" spans="1:29">
      <c r="A128" s="1779"/>
      <c r="B128" s="1779"/>
      <c r="C128" s="1779"/>
      <c r="D128" s="1779"/>
      <c r="E128" s="1779"/>
      <c r="F128" s="1779"/>
      <c r="G128" s="1779"/>
      <c r="H128" s="1779"/>
      <c r="I128" s="1779"/>
      <c r="J128" s="1779"/>
      <c r="K128" s="1780"/>
      <c r="L128" s="1781"/>
      <c r="M128" s="1779"/>
      <c r="N128" s="1779"/>
      <c r="O128" s="1779"/>
      <c r="P128" s="1779"/>
      <c r="Q128" s="1779"/>
      <c r="R128" s="1779"/>
      <c r="S128" s="1779"/>
      <c r="T128" s="1779"/>
      <c r="U128" s="1779"/>
      <c r="V128" s="1779"/>
      <c r="W128" s="1779"/>
      <c r="X128" s="1779"/>
      <c r="Y128" s="1779"/>
      <c r="Z128" s="1779"/>
      <c r="AA128" s="1779"/>
      <c r="AB128" s="1779"/>
      <c r="AC128" s="1779"/>
    </row>
    <row r="129" spans="1:29">
      <c r="A129" s="1779"/>
      <c r="B129" s="1779"/>
      <c r="C129" s="1779"/>
      <c r="D129" s="1779"/>
      <c r="E129" s="1779"/>
      <c r="F129" s="1779"/>
      <c r="G129" s="1779"/>
      <c r="H129" s="1779"/>
      <c r="I129" s="1779"/>
      <c r="J129" s="1779"/>
      <c r="K129" s="1780"/>
      <c r="L129" s="1781"/>
      <c r="M129" s="1779"/>
      <c r="N129" s="1779"/>
      <c r="O129" s="1779"/>
      <c r="P129" s="1779"/>
      <c r="Q129" s="1779"/>
      <c r="R129" s="1779"/>
      <c r="S129" s="1779"/>
      <c r="T129" s="1779"/>
      <c r="U129" s="1779"/>
      <c r="V129" s="1779"/>
      <c r="W129" s="1779"/>
      <c r="X129" s="1779"/>
      <c r="Y129" s="1779"/>
      <c r="Z129" s="1779"/>
      <c r="AA129" s="1779"/>
      <c r="AB129" s="1779"/>
      <c r="AC129" s="1779"/>
    </row>
    <row r="130" spans="1:29">
      <c r="A130" s="1779"/>
      <c r="B130" s="1779"/>
      <c r="C130" s="1779"/>
      <c r="D130" s="1779"/>
      <c r="E130" s="1779"/>
      <c r="F130" s="1779"/>
      <c r="G130" s="1779"/>
      <c r="H130" s="1779"/>
      <c r="I130" s="1779"/>
      <c r="J130" s="1779"/>
      <c r="K130" s="1780"/>
      <c r="L130" s="1781"/>
      <c r="M130" s="1779"/>
      <c r="N130" s="1779"/>
      <c r="O130" s="1779"/>
      <c r="P130" s="1779"/>
      <c r="Q130" s="1779"/>
      <c r="R130" s="1779"/>
      <c r="S130" s="1779"/>
      <c r="T130" s="1779"/>
      <c r="U130" s="1779"/>
      <c r="V130" s="1779"/>
      <c r="W130" s="1779"/>
      <c r="X130" s="1779"/>
      <c r="Y130" s="1779"/>
      <c r="Z130" s="1779"/>
      <c r="AA130" s="1779"/>
      <c r="AB130" s="1779"/>
      <c r="AC130" s="1779"/>
    </row>
    <row r="131" spans="1:29">
      <c r="A131" s="1779"/>
      <c r="B131" s="1779"/>
      <c r="C131" s="1779"/>
      <c r="D131" s="1779"/>
      <c r="E131" s="1779"/>
      <c r="F131" s="1779"/>
      <c r="G131" s="1779"/>
      <c r="H131" s="1779"/>
      <c r="I131" s="1779"/>
      <c r="J131" s="1779"/>
      <c r="K131" s="1780"/>
      <c r="L131" s="1781"/>
      <c r="M131" s="1779"/>
      <c r="N131" s="1779"/>
      <c r="O131" s="1779"/>
      <c r="P131" s="1779"/>
      <c r="Q131" s="1779"/>
      <c r="R131" s="1779"/>
      <c r="S131" s="1779"/>
      <c r="T131" s="1779"/>
      <c r="U131" s="1779"/>
      <c r="V131" s="1779"/>
      <c r="W131" s="1779"/>
      <c r="X131" s="1779"/>
      <c r="Y131" s="1779"/>
      <c r="Z131" s="1779"/>
      <c r="AA131" s="1779"/>
      <c r="AB131" s="1779"/>
      <c r="AC131" s="1779"/>
    </row>
    <row r="132" spans="1:29">
      <c r="A132" s="1779"/>
      <c r="B132" s="1779"/>
      <c r="C132" s="1779"/>
      <c r="D132" s="1779"/>
      <c r="E132" s="1779"/>
      <c r="F132" s="1779"/>
      <c r="G132" s="1779"/>
      <c r="H132" s="1779"/>
      <c r="I132" s="1779"/>
      <c r="J132" s="1779"/>
      <c r="K132" s="1780"/>
      <c r="L132" s="1781"/>
      <c r="M132" s="1779"/>
      <c r="N132" s="1779"/>
      <c r="O132" s="1779"/>
      <c r="P132" s="1779"/>
      <c r="Q132" s="1779"/>
      <c r="R132" s="1779"/>
      <c r="S132" s="1779"/>
      <c r="T132" s="1779"/>
      <c r="U132" s="1779"/>
      <c r="V132" s="1779"/>
      <c r="W132" s="1779"/>
      <c r="X132" s="1779"/>
      <c r="Y132" s="1779"/>
      <c r="Z132" s="1779"/>
      <c r="AA132" s="1779"/>
      <c r="AB132" s="1779"/>
      <c r="AC132" s="1779"/>
    </row>
    <row r="133" spans="1:29">
      <c r="A133" s="1779"/>
      <c r="B133" s="1779"/>
      <c r="C133" s="1779"/>
      <c r="D133" s="1779"/>
      <c r="E133" s="1779"/>
      <c r="F133" s="1779"/>
      <c r="G133" s="1779"/>
      <c r="H133" s="1779"/>
      <c r="I133" s="1779"/>
      <c r="J133" s="1779"/>
      <c r="K133" s="1780"/>
      <c r="L133" s="1781"/>
      <c r="M133" s="1779"/>
      <c r="N133" s="1779"/>
      <c r="O133" s="1779"/>
      <c r="P133" s="1779"/>
      <c r="Q133" s="1779"/>
      <c r="R133" s="1779"/>
      <c r="S133" s="1779"/>
      <c r="T133" s="1779"/>
      <c r="U133" s="1779"/>
      <c r="V133" s="1779"/>
      <c r="W133" s="1779"/>
      <c r="X133" s="1779"/>
      <c r="Y133" s="1779"/>
      <c r="Z133" s="1779"/>
      <c r="AA133" s="1779"/>
      <c r="AB133" s="1779"/>
      <c r="AC133" s="1779"/>
    </row>
    <row r="134" spans="1:29">
      <c r="A134" s="1779"/>
      <c r="B134" s="1779"/>
      <c r="C134" s="1779"/>
      <c r="D134" s="1779"/>
      <c r="E134" s="1779"/>
      <c r="F134" s="1779"/>
      <c r="G134" s="1779"/>
      <c r="H134" s="1779"/>
      <c r="I134" s="1779"/>
      <c r="J134" s="1779"/>
      <c r="K134" s="1780"/>
      <c r="L134" s="1781"/>
      <c r="M134" s="1779"/>
      <c r="N134" s="1779"/>
      <c r="O134" s="1779"/>
      <c r="P134" s="1779"/>
      <c r="Q134" s="1779"/>
      <c r="R134" s="1779"/>
      <c r="S134" s="1779"/>
      <c r="T134" s="1779"/>
      <c r="U134" s="1779"/>
      <c r="V134" s="1779"/>
      <c r="W134" s="1779"/>
      <c r="X134" s="1779"/>
      <c r="Y134" s="1779"/>
      <c r="Z134" s="1779"/>
      <c r="AA134" s="1779"/>
      <c r="AB134" s="1779"/>
      <c r="AC134" s="1779"/>
    </row>
    <row r="135" spans="1:29">
      <c r="A135" s="1779"/>
      <c r="B135" s="1779"/>
      <c r="C135" s="1779"/>
      <c r="D135" s="1779"/>
      <c r="E135" s="1779"/>
      <c r="F135" s="1779"/>
      <c r="G135" s="1779"/>
      <c r="H135" s="1779"/>
      <c r="I135" s="1779"/>
      <c r="J135" s="1779"/>
      <c r="K135" s="1780"/>
      <c r="L135" s="1781"/>
      <c r="M135" s="1779"/>
      <c r="N135" s="1779"/>
      <c r="O135" s="1779"/>
      <c r="P135" s="1779"/>
      <c r="Q135" s="1779"/>
      <c r="R135" s="1779"/>
      <c r="S135" s="1779"/>
      <c r="T135" s="1779"/>
      <c r="U135" s="1779"/>
      <c r="V135" s="1779"/>
      <c r="W135" s="1779"/>
      <c r="X135" s="1779"/>
      <c r="Y135" s="1779"/>
      <c r="Z135" s="1779"/>
      <c r="AA135" s="1779"/>
      <c r="AB135" s="1779"/>
      <c r="AC135" s="1779"/>
    </row>
    <row r="136" spans="1:29">
      <c r="A136" s="1779"/>
      <c r="B136" s="1779"/>
      <c r="C136" s="1779"/>
      <c r="D136" s="1779"/>
      <c r="E136" s="1779"/>
      <c r="F136" s="1779"/>
      <c r="G136" s="1779"/>
      <c r="H136" s="1779"/>
      <c r="I136" s="1779"/>
      <c r="J136" s="1779"/>
      <c r="K136" s="1780"/>
      <c r="L136" s="1781"/>
      <c r="M136" s="1779"/>
      <c r="N136" s="1779"/>
      <c r="O136" s="1779"/>
      <c r="P136" s="1779"/>
      <c r="Q136" s="1779"/>
      <c r="R136" s="1779"/>
      <c r="S136" s="1779"/>
      <c r="T136" s="1779"/>
      <c r="U136" s="1779"/>
      <c r="V136" s="1779"/>
      <c r="W136" s="1779"/>
      <c r="X136" s="1779"/>
      <c r="Y136" s="1779"/>
      <c r="Z136" s="1779"/>
      <c r="AA136" s="1779"/>
      <c r="AB136" s="1779"/>
      <c r="AC136" s="1779"/>
    </row>
    <row r="137" spans="1:29">
      <c r="A137" s="1779"/>
      <c r="B137" s="1779"/>
      <c r="C137" s="1779"/>
      <c r="D137" s="1779"/>
      <c r="E137" s="1779"/>
      <c r="F137" s="1779"/>
      <c r="G137" s="1779"/>
      <c r="H137" s="1779"/>
      <c r="I137" s="1779"/>
      <c r="J137" s="1779"/>
      <c r="K137" s="1780"/>
      <c r="L137" s="1781"/>
      <c r="M137" s="1779"/>
      <c r="N137" s="1779"/>
      <c r="O137" s="1779"/>
      <c r="P137" s="1779"/>
      <c r="Q137" s="1779"/>
      <c r="R137" s="1779"/>
      <c r="S137" s="1779"/>
      <c r="T137" s="1779"/>
      <c r="U137" s="1779"/>
      <c r="V137" s="1779"/>
      <c r="W137" s="1779"/>
      <c r="X137" s="1779"/>
      <c r="Y137" s="1779"/>
      <c r="Z137" s="1779"/>
      <c r="AA137" s="1779"/>
      <c r="AB137" s="1779"/>
      <c r="AC137" s="1779"/>
    </row>
    <row r="138" spans="1:29">
      <c r="A138" s="1779"/>
      <c r="B138" s="1779"/>
      <c r="C138" s="1779"/>
      <c r="D138" s="1779"/>
      <c r="E138" s="1779"/>
      <c r="F138" s="1779"/>
      <c r="G138" s="1779"/>
      <c r="H138" s="1779"/>
      <c r="I138" s="1779"/>
      <c r="J138" s="1779"/>
      <c r="K138" s="1780"/>
      <c r="L138" s="1781"/>
      <c r="M138" s="1779"/>
      <c r="N138" s="1779"/>
      <c r="O138" s="1779"/>
      <c r="P138" s="1779"/>
      <c r="Q138" s="1779"/>
      <c r="R138" s="1779"/>
      <c r="S138" s="1779"/>
      <c r="T138" s="1779"/>
      <c r="U138" s="1779"/>
      <c r="V138" s="1779"/>
      <c r="W138" s="1779"/>
      <c r="X138" s="1779"/>
      <c r="Y138" s="1779"/>
      <c r="Z138" s="1779"/>
      <c r="AA138" s="1779"/>
      <c r="AB138" s="1779"/>
      <c r="AC138" s="1779"/>
    </row>
    <row r="139" spans="1:29">
      <c r="A139" s="1779"/>
      <c r="B139" s="1779"/>
      <c r="C139" s="1779"/>
      <c r="D139" s="1779"/>
      <c r="E139" s="1779"/>
      <c r="F139" s="1779"/>
      <c r="G139" s="1779"/>
      <c r="H139" s="1779"/>
      <c r="I139" s="1779"/>
      <c r="J139" s="1779"/>
      <c r="K139" s="1780"/>
      <c r="L139" s="1781"/>
      <c r="M139" s="1779"/>
      <c r="N139" s="1779"/>
      <c r="O139" s="1779"/>
      <c r="P139" s="1779"/>
      <c r="Q139" s="1779"/>
      <c r="R139" s="1779"/>
      <c r="S139" s="1779"/>
      <c r="T139" s="1779"/>
      <c r="U139" s="1779"/>
      <c r="V139" s="1779"/>
      <c r="W139" s="1779"/>
      <c r="X139" s="1779"/>
      <c r="Y139" s="1779"/>
      <c r="Z139" s="1779"/>
      <c r="AA139" s="1779"/>
      <c r="AB139" s="1779"/>
      <c r="AC139" s="1779"/>
    </row>
    <row r="140" spans="1:29">
      <c r="A140" s="1779"/>
      <c r="B140" s="1779"/>
      <c r="C140" s="1779"/>
      <c r="D140" s="1779"/>
      <c r="E140" s="1779"/>
      <c r="F140" s="1779"/>
      <c r="G140" s="1779"/>
      <c r="H140" s="1779"/>
      <c r="I140" s="1779"/>
      <c r="J140" s="1779"/>
      <c r="K140" s="1780"/>
      <c r="L140" s="1781"/>
      <c r="M140" s="1779"/>
      <c r="N140" s="1779"/>
      <c r="O140" s="1779"/>
      <c r="P140" s="1779"/>
      <c r="Q140" s="1779"/>
      <c r="R140" s="1779"/>
      <c r="S140" s="1779"/>
      <c r="T140" s="1779"/>
      <c r="U140" s="1779"/>
      <c r="V140" s="1779"/>
      <c r="W140" s="1779"/>
      <c r="X140" s="1779"/>
      <c r="Y140" s="1779"/>
      <c r="Z140" s="1779"/>
      <c r="AA140" s="1779"/>
      <c r="AB140" s="1779"/>
      <c r="AC140" s="1779"/>
    </row>
    <row r="141" spans="1:29">
      <c r="A141" s="1779"/>
      <c r="B141" s="1779"/>
      <c r="C141" s="1779"/>
      <c r="D141" s="1779"/>
      <c r="E141" s="1779"/>
      <c r="F141" s="1779"/>
      <c r="G141" s="1779"/>
      <c r="H141" s="1779"/>
      <c r="I141" s="1779"/>
      <c r="J141" s="1779"/>
      <c r="K141" s="1780"/>
      <c r="L141" s="1781"/>
      <c r="M141" s="1779"/>
      <c r="N141" s="1779"/>
      <c r="O141" s="1779"/>
      <c r="P141" s="1779"/>
      <c r="Q141" s="1779"/>
      <c r="R141" s="1779"/>
      <c r="S141" s="1779"/>
      <c r="T141" s="1779"/>
      <c r="U141" s="1779"/>
      <c r="V141" s="1779"/>
      <c r="W141" s="1779"/>
      <c r="X141" s="1779"/>
      <c r="Y141" s="1779"/>
      <c r="Z141" s="1779"/>
      <c r="AA141" s="1779"/>
      <c r="AB141" s="1779"/>
      <c r="AC141" s="1779"/>
    </row>
    <row r="142" spans="1:29">
      <c r="A142" s="1779"/>
      <c r="B142" s="1779"/>
      <c r="C142" s="1779"/>
      <c r="D142" s="1779"/>
      <c r="E142" s="1779"/>
      <c r="F142" s="1779"/>
      <c r="G142" s="1779"/>
      <c r="H142" s="1779"/>
      <c r="I142" s="1779"/>
      <c r="J142" s="1779"/>
      <c r="K142" s="1780"/>
      <c r="L142" s="1781"/>
      <c r="M142" s="1779"/>
      <c r="N142" s="1779"/>
      <c r="O142" s="1779"/>
      <c r="P142" s="1779"/>
      <c r="Q142" s="1779"/>
      <c r="R142" s="1779"/>
      <c r="S142" s="1779"/>
      <c r="T142" s="1779"/>
      <c r="U142" s="1779"/>
      <c r="V142" s="1779"/>
      <c r="W142" s="1779"/>
      <c r="X142" s="1779"/>
      <c r="Y142" s="1779"/>
      <c r="Z142" s="1779"/>
      <c r="AA142" s="1779"/>
      <c r="AB142" s="1779"/>
      <c r="AC142" s="1779"/>
    </row>
    <row r="143" spans="1:29">
      <c r="A143" s="1779"/>
      <c r="B143" s="1779"/>
      <c r="C143" s="1779"/>
      <c r="D143" s="1779"/>
      <c r="E143" s="1779"/>
      <c r="F143" s="1779"/>
      <c r="G143" s="1779"/>
      <c r="H143" s="1779"/>
      <c r="I143" s="1779"/>
      <c r="J143" s="1779"/>
      <c r="K143" s="1780"/>
      <c r="L143" s="1781"/>
      <c r="M143" s="1779"/>
      <c r="N143" s="1779"/>
      <c r="O143" s="1779"/>
      <c r="P143" s="1779"/>
      <c r="Q143" s="1779"/>
      <c r="R143" s="1779"/>
      <c r="S143" s="1779"/>
      <c r="T143" s="1779"/>
      <c r="U143" s="1779"/>
      <c r="V143" s="1779"/>
      <c r="W143" s="1779"/>
      <c r="X143" s="1779"/>
      <c r="Y143" s="1779"/>
      <c r="Z143" s="1779"/>
      <c r="AA143" s="1779"/>
      <c r="AB143" s="1779"/>
      <c r="AC143" s="1779"/>
    </row>
    <row r="144" spans="1:29">
      <c r="A144" s="1779"/>
      <c r="B144" s="1779"/>
      <c r="C144" s="1779"/>
      <c r="D144" s="1779"/>
      <c r="E144" s="1779"/>
      <c r="F144" s="1779"/>
      <c r="G144" s="1779"/>
      <c r="H144" s="1779"/>
      <c r="I144" s="1779"/>
      <c r="J144" s="1779"/>
      <c r="K144" s="1780"/>
      <c r="L144" s="1781"/>
      <c r="M144" s="1779"/>
      <c r="N144" s="1779"/>
      <c r="O144" s="1779"/>
      <c r="P144" s="1779"/>
      <c r="Q144" s="1779"/>
      <c r="R144" s="1779"/>
      <c r="S144" s="1779"/>
      <c r="T144" s="1779"/>
      <c r="U144" s="1779"/>
      <c r="V144" s="1779"/>
      <c r="W144" s="1779"/>
      <c r="X144" s="1779"/>
      <c r="Y144" s="1779"/>
      <c r="Z144" s="1779"/>
      <c r="AA144" s="1779"/>
      <c r="AB144" s="1779"/>
      <c r="AC144" s="1779"/>
    </row>
    <row r="145" spans="1:29">
      <c r="A145" s="1779"/>
      <c r="B145" s="1779"/>
      <c r="C145" s="1779"/>
      <c r="D145" s="1779"/>
      <c r="E145" s="1779"/>
      <c r="F145" s="1779"/>
      <c r="G145" s="1779"/>
      <c r="H145" s="1779"/>
      <c r="I145" s="1779"/>
      <c r="J145" s="1779"/>
      <c r="K145" s="1780"/>
      <c r="L145" s="1781"/>
      <c r="M145" s="1779"/>
      <c r="N145" s="1779"/>
      <c r="O145" s="1779"/>
      <c r="P145" s="1779"/>
      <c r="Q145" s="1779"/>
      <c r="R145" s="1779"/>
      <c r="S145" s="1779"/>
      <c r="T145" s="1779"/>
      <c r="U145" s="1779"/>
      <c r="V145" s="1779"/>
      <c r="W145" s="1779"/>
      <c r="X145" s="1779"/>
      <c r="Y145" s="1779"/>
      <c r="Z145" s="1779"/>
      <c r="AA145" s="1779"/>
      <c r="AB145" s="1779"/>
      <c r="AC145" s="1779"/>
    </row>
    <row r="146" spans="1:29">
      <c r="A146" s="1779"/>
      <c r="B146" s="1779"/>
      <c r="C146" s="1779"/>
      <c r="D146" s="1779"/>
      <c r="E146" s="1779"/>
      <c r="F146" s="1779"/>
      <c r="G146" s="1779"/>
      <c r="H146" s="1779"/>
      <c r="I146" s="1779"/>
      <c r="J146" s="1779"/>
      <c r="K146" s="1780"/>
      <c r="L146" s="1781"/>
      <c r="M146" s="1779"/>
      <c r="N146" s="1779"/>
      <c r="O146" s="1779"/>
      <c r="P146" s="1779"/>
      <c r="Q146" s="1779"/>
      <c r="R146" s="1779"/>
      <c r="S146" s="1779"/>
      <c r="T146" s="1779"/>
      <c r="U146" s="1779"/>
      <c r="V146" s="1779"/>
      <c r="W146" s="1779"/>
      <c r="X146" s="1779"/>
      <c r="Y146" s="1779"/>
      <c r="Z146" s="1779"/>
      <c r="AA146" s="1779"/>
      <c r="AB146" s="1779"/>
      <c r="AC146" s="1779"/>
    </row>
    <row r="147" spans="1:29">
      <c r="A147" s="1779"/>
      <c r="B147" s="1779"/>
      <c r="C147" s="1779"/>
      <c r="D147" s="1779"/>
      <c r="E147" s="1779"/>
      <c r="F147" s="1779"/>
      <c r="G147" s="1779"/>
      <c r="H147" s="1779"/>
      <c r="I147" s="1779"/>
      <c r="J147" s="1779"/>
      <c r="K147" s="1780"/>
      <c r="L147" s="1781"/>
      <c r="M147" s="1779"/>
      <c r="N147" s="1779"/>
      <c r="O147" s="1779"/>
      <c r="P147" s="1779"/>
      <c r="Q147" s="1779"/>
      <c r="R147" s="1779"/>
      <c r="S147" s="1779"/>
      <c r="T147" s="1779"/>
      <c r="U147" s="1779"/>
      <c r="V147" s="1779"/>
      <c r="W147" s="1779"/>
      <c r="X147" s="1779"/>
      <c r="Y147" s="1779"/>
      <c r="Z147" s="1779"/>
      <c r="AA147" s="1779"/>
      <c r="AB147" s="1779"/>
      <c r="AC147" s="1779"/>
    </row>
    <row r="148" spans="1:29">
      <c r="A148" s="1779"/>
      <c r="B148" s="1779"/>
      <c r="C148" s="1779"/>
      <c r="D148" s="1779"/>
      <c r="E148" s="1779"/>
      <c r="F148" s="1779"/>
      <c r="G148" s="1779"/>
      <c r="H148" s="1779"/>
      <c r="I148" s="1779"/>
      <c r="J148" s="1779"/>
      <c r="K148" s="1780"/>
      <c r="L148" s="1781"/>
      <c r="M148" s="1779"/>
      <c r="N148" s="1779"/>
      <c r="O148" s="1779"/>
      <c r="P148" s="1779"/>
      <c r="Q148" s="1779"/>
      <c r="R148" s="1779"/>
      <c r="S148" s="1779"/>
      <c r="T148" s="1779"/>
      <c r="U148" s="1779"/>
      <c r="V148" s="1779"/>
      <c r="W148" s="1779"/>
      <c r="X148" s="1779"/>
      <c r="Y148" s="1779"/>
      <c r="Z148" s="1779"/>
      <c r="AA148" s="1779"/>
      <c r="AB148" s="1779"/>
      <c r="AC148" s="1779"/>
    </row>
    <row r="149" spans="1:29">
      <c r="A149" s="1779"/>
      <c r="B149" s="1779"/>
      <c r="C149" s="1779"/>
      <c r="D149" s="1779"/>
      <c r="E149" s="1779"/>
      <c r="F149" s="1779"/>
      <c r="G149" s="1779"/>
      <c r="H149" s="1779"/>
      <c r="I149" s="1779"/>
      <c r="J149" s="1779"/>
      <c r="K149" s="1780"/>
      <c r="L149" s="1781"/>
      <c r="M149" s="1779"/>
      <c r="N149" s="1779"/>
      <c r="O149" s="1779"/>
      <c r="P149" s="1779"/>
      <c r="Q149" s="1779"/>
      <c r="R149" s="1779"/>
      <c r="S149" s="1779"/>
      <c r="T149" s="1779"/>
      <c r="U149" s="1779"/>
      <c r="V149" s="1779"/>
      <c r="W149" s="1779"/>
      <c r="X149" s="1779"/>
      <c r="Y149" s="1779"/>
      <c r="Z149" s="1779"/>
      <c r="AA149" s="1779"/>
      <c r="AB149" s="1779"/>
      <c r="AC149" s="1779"/>
    </row>
    <row r="150" spans="1:29">
      <c r="A150" s="1779"/>
      <c r="B150" s="1779"/>
      <c r="C150" s="1779"/>
      <c r="D150" s="1779"/>
      <c r="E150" s="1779"/>
      <c r="F150" s="1779"/>
      <c r="G150" s="1779"/>
      <c r="H150" s="1779"/>
      <c r="I150" s="1779"/>
      <c r="J150" s="1779"/>
      <c r="K150" s="1780"/>
      <c r="L150" s="1781"/>
      <c r="M150" s="1779"/>
      <c r="N150" s="1779"/>
      <c r="O150" s="1779"/>
      <c r="P150" s="1779"/>
      <c r="Q150" s="1779"/>
      <c r="R150" s="1779"/>
      <c r="S150" s="1779"/>
      <c r="T150" s="1779"/>
      <c r="U150" s="1779"/>
      <c r="V150" s="1779"/>
      <c r="W150" s="1779"/>
      <c r="X150" s="1779"/>
      <c r="Y150" s="1779"/>
      <c r="Z150" s="1779"/>
      <c r="AA150" s="1779"/>
      <c r="AB150" s="1779"/>
      <c r="AC150" s="1779"/>
    </row>
    <row r="151" spans="1:29">
      <c r="A151" s="1779"/>
      <c r="B151" s="1779"/>
      <c r="C151" s="1779"/>
      <c r="D151" s="1779"/>
      <c r="E151" s="1779"/>
      <c r="F151" s="1779"/>
      <c r="G151" s="1779"/>
      <c r="H151" s="1779"/>
      <c r="I151" s="1779"/>
      <c r="J151" s="1779"/>
      <c r="K151" s="1780"/>
      <c r="L151" s="1781"/>
      <c r="M151" s="1779"/>
      <c r="N151" s="1779"/>
      <c r="O151" s="1779"/>
      <c r="P151" s="1779"/>
      <c r="Q151" s="1779"/>
      <c r="R151" s="1779"/>
      <c r="S151" s="1779"/>
      <c r="T151" s="1779"/>
      <c r="U151" s="1779"/>
      <c r="V151" s="1779"/>
      <c r="W151" s="1779"/>
      <c r="X151" s="1779"/>
      <c r="Y151" s="1779"/>
      <c r="Z151" s="1779"/>
      <c r="AA151" s="1779"/>
      <c r="AB151" s="1779"/>
      <c r="AC151" s="1779"/>
    </row>
    <row r="152" spans="1:29">
      <c r="A152" s="1779"/>
      <c r="B152" s="1779"/>
      <c r="C152" s="1779"/>
      <c r="D152" s="1779"/>
      <c r="E152" s="1779"/>
      <c r="F152" s="1779"/>
      <c r="G152" s="1779"/>
      <c r="H152" s="1779"/>
      <c r="I152" s="1779"/>
      <c r="J152" s="1779"/>
      <c r="K152" s="1780"/>
      <c r="L152" s="1781"/>
      <c r="M152" s="1779"/>
      <c r="N152" s="1779"/>
      <c r="O152" s="1779"/>
      <c r="P152" s="1779"/>
      <c r="Q152" s="1779"/>
      <c r="R152" s="1779"/>
      <c r="S152" s="1779"/>
      <c r="T152" s="1779"/>
      <c r="U152" s="1779"/>
      <c r="V152" s="1779"/>
      <c r="W152" s="1779"/>
      <c r="X152" s="1779"/>
      <c r="Y152" s="1779"/>
      <c r="Z152" s="1779"/>
      <c r="AA152" s="1779"/>
      <c r="AB152" s="1779"/>
      <c r="AC152" s="1779"/>
    </row>
    <row r="153" spans="1:29">
      <c r="A153" s="1779"/>
      <c r="B153" s="1779"/>
      <c r="C153" s="1779"/>
      <c r="D153" s="1779"/>
      <c r="E153" s="1779"/>
      <c r="F153" s="1779"/>
      <c r="G153" s="1779"/>
      <c r="H153" s="1779"/>
      <c r="I153" s="1779"/>
      <c r="J153" s="1779"/>
      <c r="K153" s="1780"/>
      <c r="L153" s="1781"/>
      <c r="M153" s="1779"/>
      <c r="N153" s="1779"/>
      <c r="O153" s="1779"/>
      <c r="P153" s="1779"/>
      <c r="Q153" s="1779"/>
      <c r="R153" s="1779"/>
      <c r="S153" s="1779"/>
      <c r="T153" s="1779"/>
      <c r="U153" s="1779"/>
      <c r="V153" s="1779"/>
      <c r="W153" s="1779"/>
      <c r="X153" s="1779"/>
      <c r="Y153" s="1779"/>
      <c r="Z153" s="1779"/>
      <c r="AA153" s="1779"/>
      <c r="AB153" s="1779"/>
      <c r="AC153" s="1779"/>
    </row>
    <row r="154" spans="1:29">
      <c r="A154" s="1779"/>
      <c r="B154" s="1779"/>
      <c r="C154" s="1779"/>
      <c r="D154" s="1779"/>
      <c r="E154" s="1779"/>
      <c r="F154" s="1779"/>
      <c r="G154" s="1779"/>
      <c r="H154" s="1779"/>
      <c r="I154" s="1779"/>
      <c r="J154" s="1779"/>
      <c r="K154" s="1780"/>
      <c r="L154" s="1781"/>
      <c r="M154" s="1779"/>
      <c r="N154" s="1779"/>
      <c r="O154" s="1779"/>
      <c r="P154" s="1779"/>
      <c r="Q154" s="1779"/>
      <c r="R154" s="1779"/>
      <c r="S154" s="1779"/>
      <c r="T154" s="1779"/>
      <c r="U154" s="1779"/>
      <c r="V154" s="1779"/>
      <c r="W154" s="1779"/>
      <c r="X154" s="1779"/>
      <c r="Y154" s="1779"/>
      <c r="Z154" s="1779"/>
      <c r="AA154" s="1779"/>
      <c r="AB154" s="1779"/>
      <c r="AC154" s="1779"/>
    </row>
    <row r="155" spans="1:29">
      <c r="A155" s="1779"/>
      <c r="B155" s="1779"/>
      <c r="C155" s="1779"/>
      <c r="D155" s="1779"/>
      <c r="E155" s="1779"/>
      <c r="F155" s="1779"/>
      <c r="G155" s="1779"/>
      <c r="H155" s="1779"/>
      <c r="I155" s="1779"/>
      <c r="J155" s="1779"/>
      <c r="K155" s="1780"/>
      <c r="L155" s="1781"/>
      <c r="M155" s="1779"/>
      <c r="N155" s="1779"/>
      <c r="O155" s="1779"/>
      <c r="P155" s="1779"/>
      <c r="Q155" s="1779"/>
      <c r="R155" s="1779"/>
      <c r="S155" s="1779"/>
      <c r="T155" s="1779"/>
      <c r="U155" s="1779"/>
      <c r="V155" s="1779"/>
      <c r="W155" s="1779"/>
      <c r="X155" s="1779"/>
      <c r="Y155" s="1779"/>
      <c r="Z155" s="1779"/>
      <c r="AA155" s="1779"/>
      <c r="AB155" s="1779"/>
      <c r="AC155" s="1779"/>
    </row>
    <row r="156" spans="1:29">
      <c r="A156" s="1779"/>
      <c r="B156" s="1779"/>
      <c r="C156" s="1779"/>
      <c r="D156" s="1779"/>
      <c r="E156" s="1779"/>
      <c r="F156" s="1779"/>
      <c r="G156" s="1779"/>
      <c r="H156" s="1779"/>
      <c r="I156" s="1779"/>
      <c r="J156" s="1779"/>
      <c r="K156" s="1780"/>
      <c r="L156" s="1781"/>
      <c r="M156" s="1779"/>
      <c r="N156" s="1779"/>
      <c r="O156" s="1779"/>
      <c r="P156" s="1779"/>
      <c r="Q156" s="1779"/>
      <c r="R156" s="1779"/>
      <c r="S156" s="1779"/>
      <c r="T156" s="1779"/>
      <c r="U156" s="1779"/>
      <c r="V156" s="1779"/>
      <c r="W156" s="1779"/>
      <c r="X156" s="1779"/>
      <c r="Y156" s="1779"/>
      <c r="Z156" s="1779"/>
      <c r="AA156" s="1779"/>
      <c r="AB156" s="1779"/>
      <c r="AC156" s="1779"/>
    </row>
    <row r="157" spans="1:29">
      <c r="A157" s="1779"/>
      <c r="B157" s="1779"/>
      <c r="C157" s="1779"/>
      <c r="D157" s="1779"/>
      <c r="E157" s="1779"/>
      <c r="F157" s="1779"/>
      <c r="G157" s="1779"/>
      <c r="H157" s="1779"/>
      <c r="I157" s="1779"/>
      <c r="J157" s="1779"/>
      <c r="K157" s="1780"/>
      <c r="L157" s="1781"/>
      <c r="M157" s="1779"/>
      <c r="N157" s="1779"/>
      <c r="O157" s="1779"/>
      <c r="P157" s="1779"/>
      <c r="Q157" s="1779"/>
      <c r="R157" s="1779"/>
      <c r="S157" s="1779"/>
      <c r="T157" s="1779"/>
      <c r="U157" s="1779"/>
      <c r="V157" s="1779"/>
      <c r="W157" s="1779"/>
      <c r="X157" s="1779"/>
      <c r="Y157" s="1779"/>
      <c r="Z157" s="1779"/>
      <c r="AA157" s="1779"/>
      <c r="AB157" s="1779"/>
      <c r="AC157" s="1779"/>
    </row>
    <row r="158" spans="1:29">
      <c r="A158" s="1779"/>
      <c r="B158" s="1779"/>
      <c r="C158" s="1779"/>
      <c r="D158" s="1779"/>
      <c r="E158" s="1779"/>
      <c r="F158" s="1779"/>
      <c r="G158" s="1779"/>
      <c r="H158" s="1779"/>
      <c r="I158" s="1779"/>
      <c r="J158" s="1779"/>
      <c r="K158" s="1780"/>
      <c r="L158" s="1781"/>
      <c r="M158" s="1779"/>
      <c r="N158" s="1779"/>
      <c r="O158" s="1779"/>
      <c r="P158" s="1779"/>
      <c r="Q158" s="1779"/>
      <c r="R158" s="1779"/>
      <c r="S158" s="1779"/>
      <c r="T158" s="1779"/>
      <c r="U158" s="1779"/>
      <c r="V158" s="1779"/>
      <c r="W158" s="1779"/>
      <c r="X158" s="1779"/>
      <c r="Y158" s="1779"/>
      <c r="Z158" s="1779"/>
      <c r="AA158" s="1779"/>
      <c r="AB158" s="1779"/>
      <c r="AC158" s="1779"/>
    </row>
    <row r="159" spans="1:29">
      <c r="A159" s="1779"/>
      <c r="B159" s="1779"/>
      <c r="C159" s="1779"/>
      <c r="D159" s="1779"/>
      <c r="E159" s="1779"/>
      <c r="F159" s="1779"/>
      <c r="G159" s="1779"/>
      <c r="H159" s="1779"/>
      <c r="I159" s="1779"/>
      <c r="J159" s="1779"/>
      <c r="K159" s="1780"/>
      <c r="L159" s="1781"/>
      <c r="M159" s="1779"/>
      <c r="N159" s="1779"/>
      <c r="O159" s="1779"/>
      <c r="P159" s="1779"/>
      <c r="Q159" s="1779"/>
      <c r="R159" s="1779"/>
      <c r="S159" s="1779"/>
      <c r="T159" s="1779"/>
      <c r="U159" s="1779"/>
      <c r="V159" s="1779"/>
      <c r="W159" s="1779"/>
      <c r="X159" s="1779"/>
      <c r="Y159" s="1779"/>
      <c r="Z159" s="1779"/>
      <c r="AA159" s="1779"/>
      <c r="AB159" s="1779"/>
      <c r="AC159" s="1779"/>
    </row>
    <row r="160" spans="1:29">
      <c r="A160" s="1779"/>
      <c r="B160" s="1779"/>
      <c r="C160" s="1779"/>
      <c r="D160" s="1779"/>
      <c r="E160" s="1779"/>
      <c r="F160" s="1779"/>
      <c r="G160" s="1779"/>
      <c r="H160" s="1779"/>
      <c r="I160" s="1779"/>
      <c r="J160" s="1779"/>
      <c r="K160" s="1780"/>
      <c r="L160" s="1781"/>
      <c r="M160" s="1779"/>
      <c r="N160" s="1779"/>
      <c r="O160" s="1779"/>
      <c r="P160" s="1779"/>
      <c r="Q160" s="1779"/>
      <c r="R160" s="1779"/>
      <c r="S160" s="1779"/>
      <c r="T160" s="1779"/>
      <c r="U160" s="1779"/>
      <c r="V160" s="1779"/>
      <c r="W160" s="1779"/>
      <c r="X160" s="1779"/>
      <c r="Y160" s="1779"/>
      <c r="Z160" s="1779"/>
      <c r="AA160" s="1779"/>
      <c r="AB160" s="1779"/>
      <c r="AC160" s="1779"/>
    </row>
    <row r="161" spans="1:29">
      <c r="A161" s="1779"/>
      <c r="B161" s="1779"/>
      <c r="C161" s="1779"/>
      <c r="D161" s="1779"/>
      <c r="E161" s="1779"/>
      <c r="F161" s="1779"/>
      <c r="G161" s="1779"/>
      <c r="H161" s="1779"/>
      <c r="I161" s="1779"/>
      <c r="J161" s="1779"/>
      <c r="K161" s="1780"/>
      <c r="L161" s="1781"/>
      <c r="M161" s="1779"/>
      <c r="N161" s="1779"/>
      <c r="O161" s="1779"/>
      <c r="P161" s="1779"/>
      <c r="Q161" s="1779"/>
      <c r="R161" s="1779"/>
      <c r="S161" s="1779"/>
      <c r="T161" s="1779"/>
      <c r="U161" s="1779"/>
      <c r="V161" s="1779"/>
      <c r="W161" s="1779"/>
      <c r="X161" s="1779"/>
      <c r="Y161" s="1779"/>
      <c r="Z161" s="1779"/>
      <c r="AA161" s="1779"/>
      <c r="AB161" s="1779"/>
      <c r="AC161" s="1779"/>
    </row>
    <row r="162" spans="1:29">
      <c r="A162" s="1779"/>
      <c r="B162" s="1779"/>
      <c r="C162" s="1779"/>
      <c r="D162" s="1779"/>
      <c r="E162" s="1779"/>
      <c r="F162" s="1779"/>
      <c r="G162" s="1779"/>
      <c r="H162" s="1779"/>
      <c r="I162" s="1779"/>
      <c r="J162" s="1779"/>
      <c r="K162" s="1780"/>
      <c r="L162" s="1781"/>
      <c r="M162" s="1779"/>
      <c r="N162" s="1779"/>
      <c r="O162" s="1779"/>
      <c r="P162" s="1779"/>
      <c r="Q162" s="1779"/>
      <c r="R162" s="1779"/>
      <c r="S162" s="1779"/>
      <c r="T162" s="1779"/>
      <c r="U162" s="1779"/>
      <c r="V162" s="1779"/>
      <c r="W162" s="1779"/>
      <c r="X162" s="1779"/>
      <c r="Y162" s="1779"/>
      <c r="Z162" s="1779"/>
      <c r="AA162" s="1779"/>
      <c r="AB162" s="1779"/>
      <c r="AC162" s="1779"/>
    </row>
    <row r="163" spans="1:29">
      <c r="A163" s="1779"/>
      <c r="B163" s="1779"/>
      <c r="C163" s="1779"/>
      <c r="D163" s="1779"/>
      <c r="E163" s="1779"/>
      <c r="F163" s="1779"/>
      <c r="G163" s="1779"/>
      <c r="H163" s="1779"/>
      <c r="I163" s="1779"/>
      <c r="J163" s="1779"/>
      <c r="K163" s="1780"/>
      <c r="L163" s="1781"/>
      <c r="M163" s="1779"/>
      <c r="N163" s="1779"/>
      <c r="O163" s="1779"/>
      <c r="P163" s="1779"/>
      <c r="Q163" s="1779"/>
      <c r="R163" s="1779"/>
      <c r="S163" s="1779"/>
      <c r="T163" s="1779"/>
      <c r="U163" s="1779"/>
      <c r="V163" s="1779"/>
      <c r="W163" s="1779"/>
      <c r="X163" s="1779"/>
      <c r="Y163" s="1779"/>
      <c r="Z163" s="1779"/>
      <c r="AA163" s="1779"/>
      <c r="AB163" s="1779"/>
      <c r="AC163" s="1779"/>
    </row>
    <row r="164" spans="1:29">
      <c r="A164" s="1779"/>
      <c r="B164" s="1779"/>
      <c r="C164" s="1779"/>
      <c r="D164" s="1779"/>
      <c r="E164" s="1779"/>
      <c r="F164" s="1779"/>
      <c r="G164" s="1779"/>
      <c r="H164" s="1779"/>
      <c r="I164" s="1779"/>
      <c r="J164" s="1779"/>
      <c r="K164" s="1780"/>
      <c r="L164" s="1781"/>
      <c r="M164" s="1779"/>
      <c r="N164" s="1779"/>
      <c r="O164" s="1779"/>
      <c r="P164" s="1779"/>
      <c r="Q164" s="1779"/>
      <c r="R164" s="1779"/>
      <c r="S164" s="1779"/>
      <c r="T164" s="1779"/>
      <c r="U164" s="1779"/>
      <c r="V164" s="1779"/>
      <c r="W164" s="1779"/>
      <c r="X164" s="1779"/>
      <c r="Y164" s="1779"/>
      <c r="Z164" s="1779"/>
      <c r="AA164" s="1779"/>
      <c r="AB164" s="1779"/>
      <c r="AC164" s="1779"/>
    </row>
    <row r="165" spans="1:29">
      <c r="A165" s="1779"/>
      <c r="B165" s="1779"/>
      <c r="C165" s="1779"/>
      <c r="D165" s="1779"/>
      <c r="E165" s="1779"/>
      <c r="F165" s="1779"/>
      <c r="G165" s="1779"/>
      <c r="H165" s="1779"/>
      <c r="I165" s="1779"/>
      <c r="J165" s="1779"/>
      <c r="K165" s="1780"/>
      <c r="L165" s="1781"/>
      <c r="M165" s="1779"/>
      <c r="N165" s="1779"/>
      <c r="O165" s="1779"/>
      <c r="P165" s="1779"/>
      <c r="Q165" s="1779"/>
      <c r="R165" s="1779"/>
      <c r="S165" s="1779"/>
      <c r="T165" s="1779"/>
      <c r="U165" s="1779"/>
      <c r="V165" s="1779"/>
      <c r="W165" s="1779"/>
      <c r="X165" s="1779"/>
      <c r="Y165" s="1779"/>
      <c r="Z165" s="1779"/>
      <c r="AA165" s="1779"/>
      <c r="AB165" s="1779"/>
      <c r="AC165" s="1779"/>
    </row>
    <row r="166" spans="1:29">
      <c r="A166" s="1779"/>
      <c r="B166" s="1779"/>
      <c r="C166" s="1779"/>
      <c r="D166" s="1779"/>
      <c r="E166" s="1779"/>
      <c r="F166" s="1779"/>
      <c r="G166" s="1779"/>
      <c r="H166" s="1779"/>
      <c r="I166" s="1779"/>
      <c r="J166" s="1779"/>
      <c r="K166" s="1780"/>
      <c r="L166" s="1781"/>
      <c r="M166" s="1779"/>
      <c r="N166" s="1779"/>
      <c r="O166" s="1779"/>
      <c r="P166" s="1779"/>
      <c r="Q166" s="1779"/>
      <c r="R166" s="1779"/>
      <c r="S166" s="1779"/>
      <c r="T166" s="1779"/>
      <c r="U166" s="1779"/>
      <c r="V166" s="1779"/>
      <c r="W166" s="1779"/>
      <c r="X166" s="1779"/>
      <c r="Y166" s="1779"/>
      <c r="Z166" s="1779"/>
      <c r="AA166" s="1779"/>
      <c r="AB166" s="1779"/>
      <c r="AC166" s="1779"/>
    </row>
    <row r="167" spans="1:29">
      <c r="A167" s="1779"/>
      <c r="B167" s="1779"/>
      <c r="C167" s="1779"/>
      <c r="D167" s="1779"/>
      <c r="E167" s="1779"/>
      <c r="F167" s="1779"/>
      <c r="G167" s="1779"/>
      <c r="H167" s="1779"/>
      <c r="I167" s="1779"/>
      <c r="J167" s="1779"/>
      <c r="K167" s="1780"/>
      <c r="L167" s="1781"/>
      <c r="M167" s="1779"/>
      <c r="N167" s="1779"/>
      <c r="O167" s="1779"/>
      <c r="P167" s="1779"/>
      <c r="Q167" s="1779"/>
      <c r="R167" s="1779"/>
      <c r="S167" s="1779"/>
      <c r="T167" s="1779"/>
      <c r="U167" s="1779"/>
      <c r="V167" s="1779"/>
      <c r="W167" s="1779"/>
      <c r="X167" s="1779"/>
      <c r="Y167" s="1779"/>
      <c r="Z167" s="1779"/>
      <c r="AA167" s="1779"/>
      <c r="AB167" s="1779"/>
      <c r="AC167" s="1779"/>
    </row>
    <row r="168" spans="1:29">
      <c r="A168" s="1779"/>
      <c r="B168" s="1779"/>
      <c r="C168" s="1779"/>
      <c r="D168" s="1779"/>
      <c r="E168" s="1779"/>
      <c r="F168" s="1779"/>
      <c r="G168" s="1779"/>
      <c r="H168" s="1779"/>
      <c r="I168" s="1779"/>
      <c r="J168" s="1779"/>
      <c r="K168" s="1780"/>
      <c r="L168" s="1781"/>
      <c r="M168" s="1779"/>
      <c r="N168" s="1779"/>
      <c r="O168" s="1779"/>
      <c r="P168" s="1779"/>
      <c r="Q168" s="1779"/>
      <c r="R168" s="1779"/>
      <c r="S168" s="1779"/>
      <c r="T168" s="1779"/>
      <c r="U168" s="1779"/>
      <c r="V168" s="1779"/>
      <c r="W168" s="1779"/>
      <c r="X168" s="1779"/>
      <c r="Y168" s="1779"/>
      <c r="Z168" s="1779"/>
      <c r="AA168" s="1779"/>
      <c r="AB168" s="1779"/>
      <c r="AC168" s="1779"/>
    </row>
    <row r="169" spans="1:29">
      <c r="A169" s="1779"/>
      <c r="B169" s="1779"/>
      <c r="C169" s="1779"/>
      <c r="D169" s="1779"/>
      <c r="E169" s="1779"/>
      <c r="F169" s="1779"/>
      <c r="G169" s="1779"/>
      <c r="H169" s="1779"/>
      <c r="I169" s="1779"/>
      <c r="J169" s="1779"/>
      <c r="K169" s="1780"/>
      <c r="L169" s="1781"/>
      <c r="M169" s="1779"/>
      <c r="N169" s="1779"/>
      <c r="O169" s="1779"/>
      <c r="P169" s="1779"/>
      <c r="Q169" s="1779"/>
      <c r="R169" s="1779"/>
      <c r="S169" s="1779"/>
      <c r="T169" s="1779"/>
      <c r="U169" s="1779"/>
      <c r="V169" s="1779"/>
      <c r="W169" s="1779"/>
      <c r="X169" s="1779"/>
      <c r="Y169" s="1779"/>
      <c r="Z169" s="1779"/>
      <c r="AA169" s="1779"/>
      <c r="AB169" s="1779"/>
      <c r="AC169" s="1779"/>
    </row>
    <row r="170" spans="1:29">
      <c r="A170" s="1779"/>
      <c r="B170" s="1779"/>
      <c r="C170" s="1779"/>
      <c r="D170" s="1779"/>
      <c r="E170" s="1779"/>
      <c r="F170" s="1779"/>
      <c r="G170" s="1779"/>
      <c r="H170" s="1779"/>
      <c r="I170" s="1779"/>
      <c r="J170" s="1779"/>
      <c r="K170" s="1780"/>
      <c r="L170" s="1781"/>
      <c r="M170" s="1779"/>
      <c r="N170" s="1779"/>
      <c r="O170" s="1779"/>
      <c r="P170" s="1779"/>
      <c r="Q170" s="1779"/>
      <c r="R170" s="1779"/>
      <c r="S170" s="1779"/>
      <c r="T170" s="1779"/>
      <c r="U170" s="1779"/>
      <c r="V170" s="1779"/>
      <c r="W170" s="1779"/>
      <c r="X170" s="1779"/>
      <c r="Y170" s="1779"/>
      <c r="Z170" s="1779"/>
      <c r="AA170" s="1779"/>
      <c r="AB170" s="1779"/>
      <c r="AC170" s="1779"/>
    </row>
    <row r="171" spans="1:29">
      <c r="A171" s="1779"/>
      <c r="B171" s="1779"/>
      <c r="C171" s="1779"/>
      <c r="D171" s="1779"/>
      <c r="E171" s="1779"/>
      <c r="F171" s="1779"/>
      <c r="G171" s="1779"/>
      <c r="H171" s="1779"/>
      <c r="I171" s="1779"/>
      <c r="J171" s="1779"/>
      <c r="K171" s="1780"/>
      <c r="L171" s="1781"/>
      <c r="M171" s="1779"/>
      <c r="N171" s="1779"/>
      <c r="O171" s="1779"/>
      <c r="P171" s="1779"/>
      <c r="Q171" s="1779"/>
      <c r="R171" s="1779"/>
      <c r="S171" s="1779"/>
      <c r="T171" s="1779"/>
      <c r="U171" s="1779"/>
      <c r="V171" s="1779"/>
      <c r="W171" s="1779"/>
      <c r="X171" s="1779"/>
      <c r="Y171" s="1779"/>
      <c r="Z171" s="1779"/>
      <c r="AA171" s="1779"/>
      <c r="AB171" s="1779"/>
      <c r="AC171" s="1779"/>
    </row>
    <row r="172" spans="1:29">
      <c r="A172" s="1779"/>
      <c r="B172" s="1779"/>
      <c r="C172" s="1779"/>
      <c r="D172" s="1779"/>
      <c r="E172" s="1779"/>
      <c r="F172" s="1779"/>
      <c r="G172" s="1779"/>
      <c r="H172" s="1779"/>
      <c r="I172" s="1779"/>
      <c r="J172" s="1779"/>
      <c r="K172" s="1780"/>
      <c r="L172" s="1781"/>
      <c r="M172" s="1779"/>
      <c r="N172" s="1779"/>
      <c r="O172" s="1779"/>
      <c r="P172" s="1779"/>
      <c r="Q172" s="1779"/>
      <c r="R172" s="1779"/>
      <c r="S172" s="1779"/>
      <c r="T172" s="1779"/>
      <c r="U172" s="1779"/>
      <c r="V172" s="1779"/>
      <c r="W172" s="1779"/>
      <c r="X172" s="1779"/>
      <c r="Y172" s="1779"/>
      <c r="Z172" s="1779"/>
      <c r="AA172" s="1779"/>
      <c r="AB172" s="1779"/>
      <c r="AC172" s="1779"/>
    </row>
    <row r="173" spans="1:29">
      <c r="A173" s="1779"/>
      <c r="B173" s="1779"/>
      <c r="C173" s="1779"/>
      <c r="D173" s="1779"/>
      <c r="E173" s="1779"/>
      <c r="F173" s="1779"/>
      <c r="G173" s="1779"/>
      <c r="H173" s="1779"/>
      <c r="I173" s="1779"/>
      <c r="J173" s="1779"/>
      <c r="K173" s="1780"/>
      <c r="L173" s="1781"/>
      <c r="M173" s="1779"/>
      <c r="N173" s="1779"/>
      <c r="O173" s="1779"/>
      <c r="P173" s="1779"/>
      <c r="Q173" s="1779"/>
      <c r="R173" s="1779"/>
      <c r="S173" s="1779"/>
      <c r="T173" s="1779"/>
      <c r="U173" s="1779"/>
      <c r="V173" s="1779"/>
      <c r="W173" s="1779"/>
      <c r="X173" s="1779"/>
      <c r="Y173" s="1779"/>
      <c r="Z173" s="1779"/>
      <c r="AA173" s="1779"/>
      <c r="AB173" s="1779"/>
      <c r="AC173" s="1779"/>
    </row>
    <row r="174" spans="1:29">
      <c r="A174" s="1779"/>
      <c r="B174" s="1779"/>
      <c r="C174" s="1779"/>
      <c r="D174" s="1779"/>
      <c r="E174" s="1779"/>
      <c r="F174" s="1779"/>
      <c r="G174" s="1779"/>
      <c r="H174" s="1779"/>
      <c r="I174" s="1779"/>
      <c r="J174" s="1779"/>
      <c r="K174" s="1780"/>
      <c r="L174" s="1781"/>
      <c r="M174" s="1779"/>
      <c r="N174" s="1779"/>
      <c r="O174" s="1779"/>
      <c r="P174" s="1779"/>
      <c r="Q174" s="1779"/>
      <c r="R174" s="1779"/>
      <c r="S174" s="1779"/>
      <c r="T174" s="1779"/>
      <c r="U174" s="1779"/>
      <c r="V174" s="1779"/>
      <c r="W174" s="1779"/>
      <c r="X174" s="1779"/>
      <c r="Y174" s="1779"/>
      <c r="Z174" s="1779"/>
      <c r="AA174" s="1779"/>
      <c r="AB174" s="1779"/>
      <c r="AC174" s="1779"/>
    </row>
    <row r="175" spans="1:29">
      <c r="A175" s="1779"/>
      <c r="B175" s="1779"/>
      <c r="C175" s="1779"/>
      <c r="D175" s="1779"/>
      <c r="E175" s="1779"/>
      <c r="F175" s="1779"/>
      <c r="G175" s="1779"/>
      <c r="H175" s="1779"/>
      <c r="I175" s="1779"/>
      <c r="J175" s="1779"/>
      <c r="K175" s="1780"/>
      <c r="L175" s="1781"/>
      <c r="M175" s="1779"/>
      <c r="N175" s="1779"/>
      <c r="O175" s="1779"/>
      <c r="P175" s="1779"/>
      <c r="Q175" s="1779"/>
      <c r="R175" s="1779"/>
      <c r="S175" s="1779"/>
      <c r="T175" s="1779"/>
      <c r="U175" s="1779"/>
      <c r="V175" s="1779"/>
      <c r="W175" s="1779"/>
      <c r="X175" s="1779"/>
      <c r="Y175" s="1779"/>
      <c r="Z175" s="1779"/>
      <c r="AA175" s="1779"/>
      <c r="AB175" s="1779"/>
      <c r="AC175" s="1779"/>
    </row>
    <row r="176" spans="1:29">
      <c r="A176" s="1779"/>
      <c r="B176" s="1779"/>
      <c r="C176" s="1779"/>
      <c r="D176" s="1779"/>
      <c r="E176" s="1779"/>
      <c r="F176" s="1779"/>
      <c r="G176" s="1779"/>
      <c r="H176" s="1779"/>
      <c r="I176" s="1779"/>
      <c r="J176" s="1779"/>
      <c r="K176" s="1780"/>
      <c r="L176" s="1781"/>
      <c r="M176" s="1779"/>
      <c r="N176" s="1779"/>
      <c r="O176" s="1779"/>
      <c r="P176" s="1779"/>
      <c r="Q176" s="1779"/>
      <c r="R176" s="1779"/>
      <c r="S176" s="1779"/>
      <c r="T176" s="1779"/>
      <c r="U176" s="1779"/>
      <c r="V176" s="1779"/>
      <c r="W176" s="1779"/>
      <c r="X176" s="1779"/>
      <c r="Y176" s="1779"/>
      <c r="Z176" s="1779"/>
      <c r="AA176" s="1779"/>
      <c r="AB176" s="1779"/>
      <c r="AC176" s="1779"/>
    </row>
    <row r="177" spans="1:29">
      <c r="A177" s="1779"/>
      <c r="B177" s="1779"/>
      <c r="C177" s="1779"/>
      <c r="D177" s="1779"/>
      <c r="E177" s="1779"/>
      <c r="F177" s="1779"/>
      <c r="G177" s="1779"/>
      <c r="H177" s="1779"/>
      <c r="I177" s="1779"/>
      <c r="J177" s="1779"/>
      <c r="K177" s="1780"/>
      <c r="L177" s="1781"/>
      <c r="M177" s="1779"/>
      <c r="N177" s="1779"/>
      <c r="O177" s="1779"/>
      <c r="P177" s="1779"/>
      <c r="Q177" s="1779"/>
      <c r="R177" s="1779"/>
      <c r="S177" s="1779"/>
      <c r="T177" s="1779"/>
      <c r="U177" s="1779"/>
      <c r="V177" s="1779"/>
      <c r="W177" s="1779"/>
      <c r="X177" s="1779"/>
      <c r="Y177" s="1779"/>
      <c r="Z177" s="1779"/>
      <c r="AA177" s="1779"/>
      <c r="AB177" s="1779"/>
      <c r="AC177" s="1779"/>
    </row>
    <row r="178" spans="1:29">
      <c r="A178" s="1779"/>
      <c r="B178" s="1779"/>
      <c r="C178" s="1779"/>
      <c r="D178" s="1779"/>
      <c r="E178" s="1779"/>
      <c r="F178" s="1779"/>
      <c r="G178" s="1779"/>
      <c r="H178" s="1779"/>
      <c r="I178" s="1779"/>
      <c r="J178" s="1779"/>
      <c r="K178" s="1780"/>
      <c r="L178" s="1781"/>
      <c r="M178" s="1779"/>
      <c r="N178" s="1779"/>
      <c r="O178" s="1779"/>
      <c r="P178" s="1779"/>
      <c r="Q178" s="1779"/>
      <c r="R178" s="1779"/>
      <c r="S178" s="1779"/>
      <c r="T178" s="1779"/>
      <c r="U178" s="1779"/>
      <c r="V178" s="1779"/>
      <c r="W178" s="1779"/>
      <c r="X178" s="1779"/>
      <c r="Y178" s="1779"/>
      <c r="Z178" s="1779"/>
      <c r="AA178" s="1779"/>
      <c r="AB178" s="1779"/>
      <c r="AC178" s="1779"/>
    </row>
    <row r="179" spans="1:29">
      <c r="A179" s="1779"/>
      <c r="B179" s="1779"/>
      <c r="C179" s="1779"/>
      <c r="D179" s="1779"/>
      <c r="E179" s="1779"/>
      <c r="F179" s="1779"/>
      <c r="G179" s="1779"/>
      <c r="H179" s="1779"/>
      <c r="I179" s="1779"/>
      <c r="J179" s="1779"/>
      <c r="K179" s="1780"/>
      <c r="L179" s="1781"/>
      <c r="M179" s="1779"/>
      <c r="N179" s="1779"/>
      <c r="O179" s="1779"/>
      <c r="P179" s="1779"/>
      <c r="Q179" s="1779"/>
      <c r="R179" s="1779"/>
      <c r="S179" s="1779"/>
      <c r="T179" s="1779"/>
      <c r="U179" s="1779"/>
      <c r="V179" s="1779"/>
      <c r="W179" s="1779"/>
      <c r="X179" s="1779"/>
      <c r="Y179" s="1779"/>
      <c r="Z179" s="1779"/>
      <c r="AA179" s="1779"/>
      <c r="AB179" s="1779"/>
      <c r="AC179" s="1779"/>
    </row>
    <row r="180" spans="1:29">
      <c r="A180" s="1779"/>
      <c r="B180" s="1779"/>
      <c r="C180" s="1779"/>
      <c r="D180" s="1779"/>
      <c r="E180" s="1779"/>
      <c r="F180" s="1779"/>
      <c r="G180" s="1779"/>
      <c r="H180" s="1779"/>
      <c r="I180" s="1779"/>
      <c r="J180" s="1779"/>
      <c r="K180" s="1780"/>
      <c r="L180" s="1781"/>
      <c r="M180" s="1779"/>
      <c r="N180" s="1779"/>
      <c r="O180" s="1779"/>
      <c r="P180" s="1779"/>
      <c r="Q180" s="1779"/>
      <c r="R180" s="1779"/>
      <c r="S180" s="1779"/>
      <c r="T180" s="1779"/>
      <c r="U180" s="1779"/>
      <c r="V180" s="1779"/>
      <c r="W180" s="1779"/>
      <c r="X180" s="1779"/>
      <c r="Y180" s="1779"/>
      <c r="Z180" s="1779"/>
      <c r="AA180" s="1779"/>
      <c r="AB180" s="1779"/>
      <c r="AC180" s="1779"/>
    </row>
    <row r="181" spans="1:29">
      <c r="A181" s="1779"/>
      <c r="B181" s="1779"/>
      <c r="C181" s="1779"/>
      <c r="D181" s="1779"/>
      <c r="E181" s="1779"/>
      <c r="F181" s="1779"/>
      <c r="G181" s="1779"/>
      <c r="H181" s="1779"/>
      <c r="I181" s="1779"/>
      <c r="J181" s="1779"/>
      <c r="K181" s="1780"/>
      <c r="L181" s="1781"/>
      <c r="M181" s="1779"/>
      <c r="N181" s="1779"/>
      <c r="O181" s="1779"/>
      <c r="P181" s="1779"/>
      <c r="Q181" s="1779"/>
      <c r="R181" s="1779"/>
      <c r="S181" s="1779"/>
      <c r="T181" s="1779"/>
      <c r="U181" s="1779"/>
      <c r="V181" s="1779"/>
      <c r="W181" s="1779"/>
      <c r="X181" s="1779"/>
      <c r="Y181" s="1779"/>
      <c r="Z181" s="1779"/>
      <c r="AA181" s="1779"/>
      <c r="AB181" s="1779"/>
      <c r="AC181" s="1779"/>
    </row>
    <row r="182" spans="1:29">
      <c r="A182" s="1779"/>
      <c r="B182" s="1779"/>
      <c r="C182" s="1779"/>
      <c r="D182" s="1779"/>
      <c r="E182" s="1779"/>
      <c r="F182" s="1779"/>
      <c r="G182" s="1779"/>
      <c r="H182" s="1779"/>
      <c r="I182" s="1779"/>
      <c r="J182" s="1779"/>
      <c r="K182" s="1780"/>
      <c r="L182" s="1781"/>
      <c r="M182" s="1779"/>
      <c r="N182" s="1779"/>
      <c r="O182" s="1779"/>
      <c r="P182" s="1779"/>
      <c r="Q182" s="1779"/>
      <c r="R182" s="1779"/>
      <c r="S182" s="1779"/>
      <c r="T182" s="1779"/>
      <c r="U182" s="1779"/>
      <c r="V182" s="1779"/>
      <c r="W182" s="1779"/>
      <c r="X182" s="1779"/>
      <c r="Y182" s="1779"/>
      <c r="Z182" s="1779"/>
      <c r="AA182" s="1779"/>
      <c r="AB182" s="1779"/>
      <c r="AC182" s="1779"/>
    </row>
    <row r="183" spans="1:29">
      <c r="A183" s="1779"/>
      <c r="B183" s="1779"/>
      <c r="C183" s="1779"/>
      <c r="D183" s="1779"/>
      <c r="E183" s="1779"/>
      <c r="F183" s="1779"/>
      <c r="G183" s="1779"/>
      <c r="H183" s="1779"/>
      <c r="I183" s="1779"/>
      <c r="J183" s="1779"/>
      <c r="K183" s="1780"/>
      <c r="L183" s="1781"/>
      <c r="M183" s="1779"/>
      <c r="N183" s="1779"/>
      <c r="O183" s="1779"/>
      <c r="P183" s="1779"/>
      <c r="Q183" s="1779"/>
      <c r="R183" s="1779"/>
      <c r="S183" s="1779"/>
      <c r="T183" s="1779"/>
      <c r="U183" s="1779"/>
      <c r="V183" s="1779"/>
      <c r="W183" s="1779"/>
      <c r="X183" s="1779"/>
      <c r="Y183" s="1779"/>
      <c r="Z183" s="1779"/>
      <c r="AA183" s="1779"/>
      <c r="AB183" s="1779"/>
      <c r="AC183" s="1779"/>
    </row>
    <row r="184" spans="1:29">
      <c r="A184" s="1779"/>
      <c r="B184" s="1779"/>
      <c r="C184" s="1779"/>
      <c r="D184" s="1779"/>
      <c r="E184" s="1779"/>
      <c r="F184" s="1779"/>
      <c r="G184" s="1779"/>
      <c r="H184" s="1779"/>
      <c r="I184" s="1779"/>
      <c r="J184" s="1779"/>
      <c r="K184" s="1780"/>
      <c r="L184" s="1781"/>
      <c r="M184" s="1779"/>
      <c r="N184" s="1779"/>
      <c r="O184" s="1779"/>
      <c r="P184" s="1779"/>
      <c r="Q184" s="1779"/>
      <c r="R184" s="1779"/>
      <c r="S184" s="1779"/>
      <c r="T184" s="1779"/>
      <c r="U184" s="1779"/>
      <c r="V184" s="1779"/>
      <c r="W184" s="1779"/>
      <c r="X184" s="1779"/>
      <c r="Y184" s="1779"/>
      <c r="Z184" s="1779"/>
      <c r="AA184" s="1779"/>
      <c r="AB184" s="1779"/>
      <c r="AC184" s="1779"/>
    </row>
    <row r="185" spans="1:29">
      <c r="A185" s="1779"/>
      <c r="B185" s="1779"/>
      <c r="C185" s="1779"/>
      <c r="D185" s="1779"/>
      <c r="E185" s="1779"/>
      <c r="F185" s="1779"/>
      <c r="G185" s="1779"/>
      <c r="H185" s="1779"/>
      <c r="I185" s="1779"/>
      <c r="J185" s="1779"/>
      <c r="K185" s="1780"/>
      <c r="L185" s="1781"/>
      <c r="M185" s="1779"/>
      <c r="N185" s="1779"/>
      <c r="O185" s="1779"/>
      <c r="P185" s="1779"/>
      <c r="Q185" s="1779"/>
      <c r="R185" s="1779"/>
      <c r="S185" s="1779"/>
      <c r="T185" s="1779"/>
      <c r="U185" s="1779"/>
      <c r="V185" s="1779"/>
      <c r="W185" s="1779"/>
      <c r="X185" s="1779"/>
      <c r="Y185" s="1779"/>
      <c r="Z185" s="1779"/>
      <c r="AA185" s="1779"/>
      <c r="AB185" s="1779"/>
      <c r="AC185" s="1779"/>
    </row>
    <row r="186" spans="1:29">
      <c r="A186" s="1779"/>
      <c r="B186" s="1779"/>
      <c r="C186" s="1779"/>
      <c r="D186" s="1779"/>
      <c r="E186" s="1779"/>
      <c r="F186" s="1779"/>
      <c r="G186" s="1779"/>
      <c r="H186" s="1779"/>
      <c r="I186" s="1779"/>
      <c r="J186" s="1779"/>
      <c r="K186" s="1780"/>
      <c r="L186" s="1781"/>
      <c r="M186" s="1779"/>
      <c r="N186" s="1779"/>
      <c r="O186" s="1779"/>
      <c r="P186" s="1779"/>
      <c r="Q186" s="1779"/>
      <c r="R186" s="1779"/>
      <c r="S186" s="1779"/>
      <c r="T186" s="1779"/>
      <c r="U186" s="1779"/>
      <c r="V186" s="1779"/>
      <c r="W186" s="1779"/>
      <c r="X186" s="1779"/>
      <c r="Y186" s="1779"/>
      <c r="Z186" s="1779"/>
      <c r="AA186" s="1779"/>
      <c r="AB186" s="1779"/>
      <c r="AC186" s="1779"/>
    </row>
    <row r="187" spans="1:29">
      <c r="A187" s="1779"/>
      <c r="B187" s="1779"/>
      <c r="C187" s="1779"/>
      <c r="D187" s="1779"/>
      <c r="E187" s="1779"/>
      <c r="F187" s="1779"/>
      <c r="G187" s="1779"/>
      <c r="H187" s="1779"/>
      <c r="I187" s="1779"/>
      <c r="J187" s="1779"/>
      <c r="K187" s="1780"/>
      <c r="L187" s="1781"/>
      <c r="M187" s="1779"/>
      <c r="N187" s="1779"/>
      <c r="O187" s="1779"/>
      <c r="P187" s="1779"/>
      <c r="Q187" s="1779"/>
      <c r="R187" s="1779"/>
      <c r="S187" s="1779"/>
      <c r="T187" s="1779"/>
      <c r="U187" s="1779"/>
      <c r="V187" s="1779"/>
      <c r="W187" s="1779"/>
      <c r="X187" s="1779"/>
      <c r="Y187" s="1779"/>
      <c r="Z187" s="1779"/>
      <c r="AA187" s="1779"/>
      <c r="AB187" s="1779"/>
      <c r="AC187" s="1779"/>
    </row>
    <row r="188" spans="1:29">
      <c r="A188" s="1779"/>
      <c r="B188" s="1779"/>
      <c r="C188" s="1779"/>
      <c r="D188" s="1779"/>
      <c r="E188" s="1779"/>
      <c r="F188" s="1779"/>
      <c r="G188" s="1779"/>
      <c r="H188" s="1779"/>
      <c r="I188" s="1779"/>
      <c r="J188" s="1779"/>
      <c r="K188" s="1780"/>
      <c r="L188" s="1781"/>
      <c r="M188" s="1779"/>
      <c r="N188" s="1779"/>
      <c r="O188" s="1779"/>
      <c r="P188" s="1779"/>
      <c r="Q188" s="1779"/>
      <c r="R188" s="1779"/>
      <c r="S188" s="1779"/>
      <c r="T188" s="1779"/>
      <c r="U188" s="1779"/>
      <c r="V188" s="1779"/>
      <c r="W188" s="1779"/>
      <c r="X188" s="1779"/>
      <c r="Y188" s="1779"/>
      <c r="Z188" s="1779"/>
      <c r="AA188" s="1779"/>
      <c r="AB188" s="1779"/>
      <c r="AC188" s="1779"/>
    </row>
    <row r="189" spans="1:29">
      <c r="A189" s="1779"/>
      <c r="B189" s="1779"/>
      <c r="C189" s="1779"/>
      <c r="D189" s="1779"/>
      <c r="E189" s="1779"/>
      <c r="F189" s="1779"/>
      <c r="G189" s="1779"/>
      <c r="H189" s="1779"/>
      <c r="I189" s="1779"/>
      <c r="J189" s="1779"/>
      <c r="K189" s="1780"/>
      <c r="L189" s="1781"/>
      <c r="M189" s="1779"/>
      <c r="N189" s="1779"/>
      <c r="O189" s="1779"/>
      <c r="P189" s="1779"/>
      <c r="Q189" s="1779"/>
      <c r="R189" s="1779"/>
      <c r="S189" s="1779"/>
      <c r="T189" s="1779"/>
      <c r="U189" s="1779"/>
      <c r="V189" s="1779"/>
      <c r="W189" s="1779"/>
      <c r="X189" s="1779"/>
      <c r="Y189" s="1779"/>
      <c r="Z189" s="1779"/>
      <c r="AA189" s="1779"/>
      <c r="AB189" s="1779"/>
      <c r="AC189" s="1779"/>
    </row>
    <row r="190" spans="1:29">
      <c r="A190" s="1779"/>
      <c r="B190" s="1779"/>
      <c r="C190" s="1779"/>
      <c r="D190" s="1779"/>
      <c r="E190" s="1779"/>
      <c r="F190" s="1779"/>
      <c r="G190" s="1779"/>
      <c r="H190" s="1779"/>
      <c r="I190" s="1779"/>
      <c r="J190" s="1779"/>
      <c r="K190" s="1780"/>
      <c r="L190" s="1781"/>
      <c r="M190" s="1779"/>
      <c r="N190" s="1779"/>
      <c r="O190" s="1779"/>
      <c r="P190" s="1779"/>
      <c r="Q190" s="1779"/>
      <c r="R190" s="1779"/>
      <c r="S190" s="1779"/>
      <c r="T190" s="1779"/>
      <c r="U190" s="1779"/>
      <c r="V190" s="1779"/>
      <c r="W190" s="1779"/>
      <c r="X190" s="1779"/>
      <c r="Y190" s="1779"/>
      <c r="Z190" s="1779"/>
      <c r="AA190" s="1779"/>
      <c r="AB190" s="1779"/>
      <c r="AC190" s="1779"/>
    </row>
    <row r="191" spans="1:29">
      <c r="A191" s="1779"/>
      <c r="B191" s="1779"/>
      <c r="C191" s="1779"/>
      <c r="D191" s="1779"/>
      <c r="E191" s="1779"/>
      <c r="F191" s="1779"/>
      <c r="G191" s="1779"/>
      <c r="H191" s="1779"/>
      <c r="I191" s="1779"/>
      <c r="J191" s="1779"/>
      <c r="K191" s="1780"/>
      <c r="L191" s="1781"/>
      <c r="M191" s="1779"/>
      <c r="N191" s="1779"/>
      <c r="O191" s="1779"/>
      <c r="P191" s="1779"/>
      <c r="Q191" s="1779"/>
      <c r="R191" s="1779"/>
      <c r="S191" s="1779"/>
      <c r="T191" s="1779"/>
      <c r="U191" s="1779"/>
      <c r="V191" s="1779"/>
      <c r="W191" s="1779"/>
      <c r="X191" s="1779"/>
      <c r="Y191" s="1779"/>
      <c r="Z191" s="1779"/>
      <c r="AA191" s="1779"/>
      <c r="AB191" s="1779"/>
      <c r="AC191" s="1779"/>
    </row>
    <row r="192" spans="1:29">
      <c r="A192" s="1779"/>
      <c r="B192" s="1779"/>
      <c r="C192" s="1779"/>
      <c r="D192" s="1779"/>
      <c r="E192" s="1779"/>
      <c r="F192" s="1779"/>
      <c r="G192" s="1779"/>
      <c r="H192" s="1779"/>
      <c r="I192" s="1779"/>
      <c r="J192" s="1779"/>
      <c r="K192" s="1780"/>
      <c r="L192" s="1781"/>
      <c r="M192" s="1779"/>
      <c r="N192" s="1779"/>
      <c r="O192" s="1779"/>
      <c r="P192" s="1779"/>
      <c r="Q192" s="1779"/>
      <c r="R192" s="1779"/>
      <c r="S192" s="1779"/>
      <c r="T192" s="1779"/>
      <c r="U192" s="1779"/>
      <c r="V192" s="1779"/>
      <c r="W192" s="1779"/>
      <c r="X192" s="1779"/>
      <c r="Y192" s="1779"/>
      <c r="Z192" s="1779"/>
      <c r="AA192" s="1779"/>
      <c r="AB192" s="1779"/>
      <c r="AC192" s="1779"/>
    </row>
    <row r="193" spans="1:29">
      <c r="A193" s="1779"/>
      <c r="B193" s="1779"/>
      <c r="C193" s="1779"/>
      <c r="D193" s="1779"/>
      <c r="E193" s="1779"/>
      <c r="F193" s="1779"/>
      <c r="G193" s="1779"/>
      <c r="H193" s="1779"/>
      <c r="I193" s="1779"/>
      <c r="J193" s="1779"/>
      <c r="K193" s="1780"/>
      <c r="L193" s="1781"/>
      <c r="M193" s="1779"/>
      <c r="N193" s="1779"/>
      <c r="O193" s="1779"/>
      <c r="P193" s="1779"/>
      <c r="Q193" s="1779"/>
      <c r="R193" s="1779"/>
      <c r="S193" s="1779"/>
      <c r="T193" s="1779"/>
      <c r="U193" s="1779"/>
      <c r="V193" s="1779"/>
      <c r="W193" s="1779"/>
      <c r="X193" s="1779"/>
      <c r="Y193" s="1779"/>
      <c r="Z193" s="1779"/>
      <c r="AA193" s="1779"/>
      <c r="AB193" s="1779"/>
      <c r="AC193" s="1779"/>
    </row>
    <row r="194" spans="1:29">
      <c r="A194" s="1779"/>
      <c r="B194" s="1779"/>
      <c r="C194" s="1779"/>
      <c r="D194" s="1779"/>
      <c r="E194" s="1779"/>
      <c r="F194" s="1779"/>
      <c r="G194" s="1779"/>
      <c r="H194" s="1779"/>
      <c r="I194" s="1779"/>
      <c r="J194" s="1779"/>
      <c r="K194" s="1780"/>
      <c r="L194" s="1781"/>
      <c r="M194" s="1779"/>
      <c r="N194" s="1779"/>
      <c r="O194" s="1779"/>
      <c r="P194" s="1779"/>
      <c r="Q194" s="1779"/>
      <c r="R194" s="1779"/>
      <c r="S194" s="1779"/>
      <c r="T194" s="1779"/>
      <c r="U194" s="1779"/>
      <c r="V194" s="1779"/>
      <c r="W194" s="1779"/>
      <c r="X194" s="1779"/>
      <c r="Y194" s="1779"/>
      <c r="Z194" s="1779"/>
      <c r="AA194" s="1779"/>
      <c r="AB194" s="1779"/>
      <c r="AC194" s="1779"/>
    </row>
    <row r="195" spans="1:29">
      <c r="A195" s="1779"/>
      <c r="B195" s="1779"/>
      <c r="C195" s="1779"/>
      <c r="D195" s="1779"/>
      <c r="E195" s="1779"/>
      <c r="F195" s="1779"/>
      <c r="G195" s="1779"/>
      <c r="H195" s="1779"/>
      <c r="I195" s="1779"/>
      <c r="J195" s="1779"/>
      <c r="K195" s="1780"/>
      <c r="L195" s="1781"/>
      <c r="M195" s="1779"/>
      <c r="N195" s="1779"/>
      <c r="O195" s="1779"/>
      <c r="P195" s="1779"/>
      <c r="Q195" s="1779"/>
      <c r="R195" s="1779"/>
      <c r="S195" s="1779"/>
      <c r="T195" s="1779"/>
      <c r="U195" s="1779"/>
      <c r="V195" s="1779"/>
      <c r="W195" s="1779"/>
      <c r="X195" s="1779"/>
      <c r="Y195" s="1779"/>
      <c r="Z195" s="1779"/>
      <c r="AA195" s="1779"/>
      <c r="AB195" s="1779"/>
      <c r="AC195" s="1779"/>
    </row>
    <row r="196" spans="1:29">
      <c r="A196" s="1779"/>
      <c r="B196" s="1779"/>
      <c r="C196" s="1779"/>
      <c r="D196" s="1779"/>
      <c r="E196" s="1779"/>
      <c r="F196" s="1779"/>
      <c r="G196" s="1779"/>
      <c r="H196" s="1779"/>
      <c r="I196" s="1779"/>
      <c r="J196" s="1779"/>
      <c r="K196" s="1780"/>
      <c r="L196" s="1781"/>
      <c r="M196" s="1779"/>
      <c r="N196" s="1779"/>
      <c r="O196" s="1779"/>
      <c r="P196" s="1779"/>
      <c r="Q196" s="1779"/>
      <c r="R196" s="1779"/>
      <c r="S196" s="1779"/>
      <c r="T196" s="1779"/>
      <c r="U196" s="1779"/>
      <c r="V196" s="1779"/>
      <c r="W196" s="1779"/>
      <c r="X196" s="1779"/>
      <c r="Y196" s="1779"/>
      <c r="Z196" s="1779"/>
      <c r="AA196" s="1779"/>
      <c r="AB196" s="1779"/>
      <c r="AC196" s="1779"/>
    </row>
    <row r="197" spans="1:29">
      <c r="A197" s="1779"/>
      <c r="B197" s="1779"/>
      <c r="C197" s="1779"/>
      <c r="D197" s="1779"/>
      <c r="E197" s="1779"/>
      <c r="F197" s="1779"/>
      <c r="G197" s="1779"/>
      <c r="H197" s="1779"/>
      <c r="I197" s="1779"/>
      <c r="J197" s="1779"/>
      <c r="K197" s="1780"/>
      <c r="L197" s="1781"/>
      <c r="M197" s="1779"/>
      <c r="N197" s="1779"/>
      <c r="O197" s="1779"/>
      <c r="P197" s="1779"/>
      <c r="Q197" s="1779"/>
      <c r="R197" s="1779"/>
      <c r="S197" s="1779"/>
      <c r="T197" s="1779"/>
      <c r="U197" s="1779"/>
      <c r="V197" s="1779"/>
      <c r="W197" s="1779"/>
      <c r="X197" s="1779"/>
      <c r="Y197" s="1779"/>
      <c r="Z197" s="1779"/>
      <c r="AA197" s="1779"/>
      <c r="AB197" s="1779"/>
      <c r="AC197" s="1779"/>
    </row>
    <row r="198" spans="1:29">
      <c r="A198" s="1779"/>
      <c r="B198" s="1779"/>
      <c r="C198" s="1779"/>
      <c r="D198" s="1779"/>
      <c r="E198" s="1779"/>
      <c r="F198" s="1779"/>
      <c r="G198" s="1779"/>
      <c r="H198" s="1779"/>
      <c r="I198" s="1779"/>
      <c r="J198" s="1779"/>
      <c r="K198" s="1780"/>
      <c r="L198" s="1781"/>
      <c r="M198" s="1779"/>
      <c r="N198" s="1779"/>
      <c r="O198" s="1779"/>
      <c r="P198" s="1779"/>
      <c r="Q198" s="1779"/>
      <c r="R198" s="1779"/>
      <c r="S198" s="1779"/>
      <c r="T198" s="1779"/>
      <c r="U198" s="1779"/>
      <c r="V198" s="1779"/>
      <c r="W198" s="1779"/>
      <c r="X198" s="1779"/>
      <c r="Y198" s="1779"/>
      <c r="Z198" s="1779"/>
      <c r="AA198" s="1779"/>
      <c r="AB198" s="1779"/>
      <c r="AC198" s="1779"/>
    </row>
    <row r="199" spans="1:29">
      <c r="A199" s="1779"/>
      <c r="B199" s="1779"/>
      <c r="C199" s="1779"/>
      <c r="D199" s="1779"/>
      <c r="E199" s="1779"/>
      <c r="F199" s="1779"/>
      <c r="G199" s="1779"/>
      <c r="H199" s="1779"/>
      <c r="I199" s="1779"/>
      <c r="J199" s="1779"/>
      <c r="K199" s="1780"/>
      <c r="L199" s="1781"/>
      <c r="M199" s="1779"/>
      <c r="N199" s="1779"/>
      <c r="O199" s="1779"/>
      <c r="P199" s="1779"/>
      <c r="Q199" s="1779"/>
      <c r="R199" s="1779"/>
      <c r="S199" s="1779"/>
      <c r="T199" s="1779"/>
      <c r="U199" s="1779"/>
      <c r="V199" s="1779"/>
      <c r="W199" s="1779"/>
      <c r="X199" s="1779"/>
      <c r="Y199" s="1779"/>
      <c r="Z199" s="1779"/>
      <c r="AA199" s="1779"/>
      <c r="AB199" s="1779"/>
      <c r="AC199" s="1779"/>
    </row>
    <row r="200" spans="1:29">
      <c r="A200" s="1779"/>
      <c r="B200" s="1779"/>
      <c r="C200" s="1779"/>
      <c r="D200" s="1779"/>
      <c r="E200" s="1779"/>
      <c r="F200" s="1779"/>
      <c r="G200" s="1779"/>
      <c r="H200" s="1779"/>
      <c r="I200" s="1779"/>
      <c r="J200" s="1779"/>
      <c r="K200" s="1780"/>
      <c r="L200" s="1781"/>
      <c r="M200" s="1779"/>
      <c r="N200" s="1779"/>
      <c r="O200" s="1779"/>
      <c r="P200" s="1779"/>
      <c r="Q200" s="1779"/>
      <c r="R200" s="1779"/>
      <c r="S200" s="1779"/>
      <c r="T200" s="1779"/>
      <c r="U200" s="1779"/>
      <c r="V200" s="1779"/>
      <c r="W200" s="1779"/>
      <c r="X200" s="1779"/>
      <c r="Y200" s="1779"/>
      <c r="Z200" s="1779"/>
      <c r="AA200" s="1779"/>
      <c r="AB200" s="1779"/>
      <c r="AC200" s="1779"/>
    </row>
    <row r="201" spans="1:29">
      <c r="A201" s="1779"/>
      <c r="B201" s="1779"/>
      <c r="C201" s="1779"/>
      <c r="D201" s="1779"/>
      <c r="E201" s="1779"/>
      <c r="F201" s="1779"/>
      <c r="G201" s="1779"/>
      <c r="H201" s="1779"/>
      <c r="I201" s="1779"/>
      <c r="J201" s="1779"/>
      <c r="K201" s="1780"/>
      <c r="L201" s="1781"/>
      <c r="M201" s="1779"/>
      <c r="N201" s="1779"/>
      <c r="O201" s="1779"/>
      <c r="P201" s="1779"/>
      <c r="Q201" s="1779"/>
      <c r="R201" s="1779"/>
      <c r="S201" s="1779"/>
      <c r="T201" s="1779"/>
      <c r="U201" s="1779"/>
      <c r="V201" s="1779"/>
      <c r="W201" s="1779"/>
      <c r="X201" s="1779"/>
      <c r="Y201" s="1779"/>
      <c r="Z201" s="1779"/>
      <c r="AA201" s="1779"/>
      <c r="AB201" s="1779"/>
      <c r="AC201" s="1779"/>
    </row>
    <row r="202" spans="1:29">
      <c r="A202" s="1779"/>
      <c r="B202" s="1779"/>
      <c r="C202" s="1779"/>
      <c r="D202" s="1779"/>
      <c r="E202" s="1779"/>
      <c r="F202" s="1779"/>
      <c r="G202" s="1779"/>
      <c r="H202" s="1779"/>
      <c r="I202" s="1779"/>
      <c r="J202" s="1779"/>
      <c r="K202" s="1780"/>
      <c r="L202" s="1781"/>
      <c r="M202" s="1779"/>
      <c r="N202" s="1779"/>
      <c r="O202" s="1779"/>
      <c r="P202" s="1779"/>
      <c r="Q202" s="1779"/>
      <c r="R202" s="1779"/>
      <c r="S202" s="1779"/>
      <c r="T202" s="1779"/>
      <c r="U202" s="1779"/>
      <c r="V202" s="1779"/>
      <c r="W202" s="1779"/>
      <c r="X202" s="1779"/>
      <c r="Y202" s="1779"/>
      <c r="Z202" s="1779"/>
      <c r="AA202" s="1779"/>
      <c r="AB202" s="1779"/>
      <c r="AC202" s="1779"/>
    </row>
    <row r="203" spans="1:29">
      <c r="A203" s="1779"/>
      <c r="B203" s="1779"/>
      <c r="C203" s="1779"/>
      <c r="D203" s="1779"/>
      <c r="E203" s="1779"/>
      <c r="F203" s="1779"/>
      <c r="G203" s="1779"/>
      <c r="H203" s="1779"/>
      <c r="I203" s="1779"/>
      <c r="J203" s="1779"/>
      <c r="K203" s="1780"/>
      <c r="L203" s="1781"/>
      <c r="M203" s="1779"/>
      <c r="N203" s="1779"/>
      <c r="O203" s="1779"/>
      <c r="P203" s="1779"/>
      <c r="Q203" s="1779"/>
      <c r="R203" s="1779"/>
      <c r="S203" s="1779"/>
      <c r="T203" s="1779"/>
      <c r="U203" s="1779"/>
      <c r="V203" s="1779"/>
      <c r="W203" s="1779"/>
      <c r="X203" s="1779"/>
      <c r="Y203" s="1779"/>
      <c r="Z203" s="1779"/>
      <c r="AA203" s="1779"/>
      <c r="AB203" s="1779"/>
      <c r="AC203" s="1779"/>
    </row>
    <row r="204" spans="1:29">
      <c r="A204" s="1779"/>
      <c r="B204" s="1779"/>
      <c r="C204" s="1779"/>
      <c r="D204" s="1779"/>
      <c r="E204" s="1779"/>
      <c r="F204" s="1779"/>
      <c r="G204" s="1779"/>
      <c r="H204" s="1779"/>
      <c r="I204" s="1779"/>
      <c r="J204" s="1779"/>
      <c r="K204" s="1780"/>
      <c r="L204" s="1781"/>
      <c r="M204" s="1779"/>
      <c r="N204" s="1779"/>
      <c r="O204" s="1779"/>
      <c r="P204" s="1779"/>
      <c r="Q204" s="1779"/>
      <c r="R204" s="1779"/>
      <c r="S204" s="1779"/>
      <c r="T204" s="1779"/>
      <c r="U204" s="1779"/>
      <c r="V204" s="1779"/>
      <c r="W204" s="1779"/>
      <c r="X204" s="1779"/>
      <c r="Y204" s="1779"/>
      <c r="Z204" s="1779"/>
      <c r="AA204" s="1779"/>
      <c r="AB204" s="1779"/>
      <c r="AC204" s="1779"/>
    </row>
    <row r="205" spans="1:29">
      <c r="A205" s="1779"/>
      <c r="B205" s="1779"/>
      <c r="C205" s="1779"/>
      <c r="D205" s="1779"/>
      <c r="E205" s="1779"/>
      <c r="F205" s="1779"/>
      <c r="G205" s="1779"/>
      <c r="H205" s="1779"/>
      <c r="I205" s="1779"/>
      <c r="J205" s="1779"/>
      <c r="K205" s="1780"/>
      <c r="L205" s="1781"/>
      <c r="M205" s="1779"/>
      <c r="N205" s="1779"/>
      <c r="O205" s="1779"/>
      <c r="P205" s="1779"/>
      <c r="Q205" s="1779"/>
      <c r="R205" s="1779"/>
      <c r="S205" s="1779"/>
      <c r="T205" s="1779"/>
      <c r="U205" s="1779"/>
      <c r="V205" s="1779"/>
      <c r="W205" s="1779"/>
      <c r="X205" s="1779"/>
      <c r="Y205" s="1779"/>
      <c r="Z205" s="1779"/>
      <c r="AA205" s="1779"/>
      <c r="AB205" s="1779"/>
      <c r="AC205" s="1779"/>
    </row>
    <row r="206" spans="1:29">
      <c r="A206" s="1779"/>
      <c r="B206" s="1779"/>
      <c r="C206" s="1779"/>
      <c r="D206" s="1779"/>
      <c r="E206" s="1779"/>
      <c r="F206" s="1779"/>
      <c r="G206" s="1779"/>
      <c r="H206" s="1779"/>
      <c r="I206" s="1779"/>
      <c r="J206" s="1779"/>
      <c r="K206" s="1780"/>
      <c r="L206" s="1781"/>
      <c r="M206" s="1779"/>
      <c r="N206" s="1779"/>
      <c r="O206" s="1779"/>
      <c r="P206" s="1779"/>
      <c r="Q206" s="1779"/>
      <c r="R206" s="1779"/>
      <c r="S206" s="1779"/>
      <c r="T206" s="1779"/>
      <c r="U206" s="1779"/>
      <c r="V206" s="1779"/>
      <c r="W206" s="1779"/>
      <c r="X206" s="1779"/>
      <c r="Y206" s="1779"/>
      <c r="Z206" s="1779"/>
      <c r="AA206" s="1779"/>
      <c r="AB206" s="1779"/>
      <c r="AC206" s="1779"/>
    </row>
    <row r="207" spans="1:29">
      <c r="A207" s="1779"/>
      <c r="B207" s="1779"/>
      <c r="C207" s="1779"/>
      <c r="D207" s="1779"/>
      <c r="E207" s="1779"/>
      <c r="F207" s="1779"/>
      <c r="G207" s="1779"/>
      <c r="H207" s="1779"/>
      <c r="I207" s="1779"/>
      <c r="J207" s="1779"/>
      <c r="K207" s="1780"/>
      <c r="L207" s="1781"/>
      <c r="M207" s="1779"/>
      <c r="N207" s="1779"/>
      <c r="O207" s="1779"/>
      <c r="P207" s="1779"/>
      <c r="Q207" s="1779"/>
      <c r="R207" s="1779"/>
      <c r="S207" s="1779"/>
      <c r="T207" s="1779"/>
      <c r="U207" s="1779"/>
      <c r="V207" s="1779"/>
      <c r="W207" s="1779"/>
      <c r="X207" s="1779"/>
      <c r="Y207" s="1779"/>
      <c r="Z207" s="1779"/>
      <c r="AA207" s="1779"/>
      <c r="AB207" s="1779"/>
      <c r="AC207" s="1779"/>
    </row>
    <row r="208" spans="1:29">
      <c r="A208" s="1779"/>
      <c r="B208" s="1779"/>
      <c r="C208" s="1779"/>
      <c r="D208" s="1779"/>
      <c r="E208" s="1779"/>
      <c r="F208" s="1779"/>
      <c r="G208" s="1779"/>
      <c r="H208" s="1779"/>
      <c r="I208" s="1779"/>
      <c r="J208" s="1779"/>
      <c r="K208" s="1780"/>
      <c r="L208" s="1781"/>
      <c r="M208" s="1779"/>
      <c r="N208" s="1779"/>
      <c r="O208" s="1779"/>
      <c r="P208" s="1779"/>
      <c r="Q208" s="1779"/>
      <c r="R208" s="1779"/>
      <c r="S208" s="1779"/>
      <c r="T208" s="1779"/>
      <c r="U208" s="1779"/>
      <c r="V208" s="1779"/>
      <c r="W208" s="1779"/>
      <c r="X208" s="1779"/>
      <c r="Y208" s="1779"/>
      <c r="Z208" s="1779"/>
      <c r="AA208" s="1779"/>
      <c r="AB208" s="1779"/>
      <c r="AC208" s="1779"/>
    </row>
    <row r="209" spans="1:29">
      <c r="A209" s="1779"/>
      <c r="B209" s="1779"/>
      <c r="C209" s="1779"/>
      <c r="D209" s="1779"/>
      <c r="E209" s="1779"/>
      <c r="F209" s="1779"/>
      <c r="G209" s="1779"/>
      <c r="H209" s="1779"/>
      <c r="I209" s="1779"/>
      <c r="J209" s="1779"/>
      <c r="K209" s="1780"/>
      <c r="L209" s="1781"/>
      <c r="M209" s="1779"/>
      <c r="N209" s="1779"/>
      <c r="O209" s="1779"/>
      <c r="P209" s="1779"/>
      <c r="Q209" s="1779"/>
      <c r="R209" s="1779"/>
      <c r="S209" s="1779"/>
      <c r="T209" s="1779"/>
      <c r="U209" s="1779"/>
      <c r="V209" s="1779"/>
      <c r="W209" s="1779"/>
      <c r="X209" s="1779"/>
      <c r="Y209" s="1779"/>
      <c r="Z209" s="1779"/>
      <c r="AA209" s="1779"/>
      <c r="AB209" s="1779"/>
      <c r="AC209" s="1779"/>
    </row>
    <row r="210" spans="1:29">
      <c r="A210" s="1779"/>
      <c r="B210" s="1779"/>
      <c r="C210" s="1779"/>
      <c r="D210" s="1779"/>
      <c r="E210" s="1779"/>
      <c r="F210" s="1779"/>
      <c r="G210" s="1779"/>
      <c r="H210" s="1779"/>
      <c r="I210" s="1779"/>
      <c r="J210" s="1779"/>
      <c r="K210" s="1780"/>
      <c r="L210" s="1781"/>
      <c r="M210" s="1779"/>
      <c r="N210" s="1779"/>
      <c r="O210" s="1779"/>
      <c r="P210" s="1779"/>
      <c r="Q210" s="1779"/>
      <c r="R210" s="1779"/>
      <c r="S210" s="1779"/>
      <c r="T210" s="1779"/>
      <c r="U210" s="1779"/>
      <c r="V210" s="1779"/>
      <c r="W210" s="1779"/>
      <c r="X210" s="1779"/>
      <c r="Y210" s="1779"/>
      <c r="Z210" s="1779"/>
      <c r="AA210" s="1779"/>
      <c r="AB210" s="1779"/>
      <c r="AC210" s="1779"/>
    </row>
    <row r="211" spans="1:29">
      <c r="A211" s="1779"/>
      <c r="B211" s="1779"/>
      <c r="C211" s="1779"/>
      <c r="D211" s="1779"/>
      <c r="E211" s="1779"/>
      <c r="F211" s="1779"/>
      <c r="G211" s="1779"/>
      <c r="H211" s="1779"/>
      <c r="I211" s="1779"/>
      <c r="J211" s="1779"/>
      <c r="K211" s="1780"/>
      <c r="L211" s="1781"/>
      <c r="M211" s="1779"/>
      <c r="N211" s="1779"/>
      <c r="O211" s="1779"/>
      <c r="P211" s="1779"/>
      <c r="Q211" s="1779"/>
      <c r="R211" s="1779"/>
      <c r="S211" s="1779"/>
      <c r="T211" s="1779"/>
      <c r="U211" s="1779"/>
      <c r="V211" s="1779"/>
      <c r="W211" s="1779"/>
      <c r="X211" s="1779"/>
      <c r="Y211" s="1779"/>
      <c r="Z211" s="1779"/>
      <c r="AA211" s="1779"/>
      <c r="AB211" s="1779"/>
      <c r="AC211" s="1779"/>
    </row>
    <row r="212" spans="1:29">
      <c r="A212" s="1779"/>
      <c r="B212" s="1779"/>
      <c r="C212" s="1779"/>
      <c r="D212" s="1779"/>
      <c r="E212" s="1779"/>
      <c r="F212" s="1779"/>
      <c r="G212" s="1779"/>
      <c r="H212" s="1779"/>
      <c r="I212" s="1779"/>
      <c r="J212" s="1779"/>
      <c r="K212" s="1780"/>
      <c r="L212" s="1781"/>
      <c r="M212" s="1779"/>
      <c r="N212" s="1779"/>
      <c r="O212" s="1779"/>
      <c r="P212" s="1779"/>
      <c r="Q212" s="1779"/>
      <c r="R212" s="1779"/>
      <c r="S212" s="1779"/>
      <c r="T212" s="1779"/>
      <c r="U212" s="1779"/>
      <c r="V212" s="1779"/>
      <c r="W212" s="1779"/>
      <c r="X212" s="1779"/>
      <c r="Y212" s="1779"/>
      <c r="Z212" s="1779"/>
      <c r="AA212" s="1779"/>
      <c r="AB212" s="1779"/>
      <c r="AC212" s="1779"/>
    </row>
    <row r="213" spans="1:29">
      <c r="A213" s="1779"/>
      <c r="B213" s="1779"/>
      <c r="C213" s="1779"/>
      <c r="D213" s="1779"/>
      <c r="E213" s="1779"/>
      <c r="F213" s="1779"/>
      <c r="G213" s="1779"/>
      <c r="H213" s="1779"/>
      <c r="I213" s="1779"/>
      <c r="J213" s="1779"/>
      <c r="K213" s="1780"/>
      <c r="L213" s="1781"/>
      <c r="M213" s="1779"/>
      <c r="N213" s="1779"/>
      <c r="O213" s="1779"/>
      <c r="P213" s="1779"/>
      <c r="Q213" s="1779"/>
      <c r="R213" s="1779"/>
      <c r="S213" s="1779"/>
      <c r="T213" s="1779"/>
      <c r="U213" s="1779"/>
      <c r="V213" s="1779"/>
      <c r="W213" s="1779"/>
      <c r="X213" s="1779"/>
      <c r="Y213" s="1779"/>
      <c r="Z213" s="1779"/>
      <c r="AA213" s="1779"/>
      <c r="AB213" s="1779"/>
      <c r="AC213" s="1779"/>
    </row>
    <row r="214" spans="1:29">
      <c r="A214" s="1779"/>
      <c r="B214" s="1779"/>
      <c r="C214" s="1779"/>
      <c r="D214" s="1779"/>
      <c r="E214" s="1779"/>
      <c r="F214" s="1779"/>
      <c r="G214" s="1779"/>
      <c r="H214" s="1779"/>
      <c r="I214" s="1779"/>
      <c r="J214" s="1779"/>
      <c r="K214" s="1780"/>
      <c r="L214" s="1781"/>
      <c r="M214" s="1779"/>
      <c r="N214" s="1779"/>
      <c r="O214" s="1779"/>
      <c r="P214" s="1779"/>
      <c r="Q214" s="1779"/>
      <c r="R214" s="1779"/>
      <c r="S214" s="1779"/>
      <c r="T214" s="1779"/>
      <c r="U214" s="1779"/>
      <c r="V214" s="1779"/>
      <c r="W214" s="1779"/>
      <c r="X214" s="1779"/>
      <c r="Y214" s="1779"/>
      <c r="Z214" s="1779"/>
      <c r="AA214" s="1779"/>
      <c r="AB214" s="1779"/>
      <c r="AC214" s="1779"/>
    </row>
    <row r="215" spans="1:29">
      <c r="A215" s="1779"/>
      <c r="B215" s="1779"/>
      <c r="C215" s="1779"/>
      <c r="D215" s="1779"/>
      <c r="E215" s="1779"/>
      <c r="F215" s="1779"/>
      <c r="G215" s="1779"/>
      <c r="H215" s="1779"/>
      <c r="I215" s="1779"/>
      <c r="J215" s="1779"/>
      <c r="K215" s="1780"/>
      <c r="L215" s="1781"/>
      <c r="M215" s="1779"/>
      <c r="N215" s="1779"/>
      <c r="O215" s="1779"/>
      <c r="P215" s="1779"/>
      <c r="Q215" s="1779"/>
      <c r="R215" s="1779"/>
      <c r="S215" s="1779"/>
      <c r="T215" s="1779"/>
      <c r="U215" s="1779"/>
      <c r="V215" s="1779"/>
      <c r="W215" s="1779"/>
      <c r="X215" s="1779"/>
      <c r="Y215" s="1779"/>
      <c r="Z215" s="1779"/>
      <c r="AA215" s="1779"/>
      <c r="AB215" s="1779"/>
      <c r="AC215" s="1779"/>
    </row>
    <row r="216" spans="1:29">
      <c r="A216" s="1779"/>
      <c r="B216" s="1779"/>
      <c r="C216" s="1779"/>
      <c r="D216" s="1779"/>
      <c r="E216" s="1779"/>
      <c r="F216" s="1779"/>
      <c r="G216" s="1779"/>
      <c r="H216" s="1779"/>
      <c r="I216" s="1779"/>
      <c r="J216" s="1779"/>
      <c r="K216" s="1780"/>
      <c r="L216" s="1781"/>
      <c r="M216" s="1779"/>
      <c r="N216" s="1779"/>
      <c r="O216" s="1779"/>
      <c r="P216" s="1779"/>
      <c r="Q216" s="1779"/>
      <c r="R216" s="1779"/>
      <c r="S216" s="1779"/>
      <c r="T216" s="1779"/>
      <c r="U216" s="1779"/>
      <c r="V216" s="1779"/>
      <c r="W216" s="1779"/>
      <c r="X216" s="1779"/>
      <c r="Y216" s="1779"/>
      <c r="Z216" s="1779"/>
      <c r="AA216" s="1779"/>
      <c r="AB216" s="1779"/>
      <c r="AC216" s="1779"/>
    </row>
    <row r="217" spans="1:29">
      <c r="A217" s="1779"/>
      <c r="B217" s="1779"/>
      <c r="C217" s="1779"/>
      <c r="D217" s="1779"/>
      <c r="E217" s="1779"/>
      <c r="F217" s="1779"/>
      <c r="G217" s="1779"/>
      <c r="H217" s="1779"/>
      <c r="I217" s="1779"/>
      <c r="J217" s="1779"/>
      <c r="K217" s="1780"/>
      <c r="L217" s="1781"/>
      <c r="M217" s="1779"/>
      <c r="N217" s="1779"/>
      <c r="O217" s="1779"/>
      <c r="P217" s="1779"/>
      <c r="Q217" s="1779"/>
      <c r="R217" s="1779"/>
      <c r="S217" s="1779"/>
      <c r="T217" s="1779"/>
      <c r="U217" s="1779"/>
      <c r="V217" s="1779"/>
      <c r="W217" s="1779"/>
      <c r="X217" s="1779"/>
      <c r="Y217" s="1779"/>
      <c r="Z217" s="1779"/>
      <c r="AA217" s="1779"/>
      <c r="AB217" s="1779"/>
      <c r="AC217" s="1779"/>
    </row>
    <row r="218" spans="1:29">
      <c r="A218" s="1779"/>
      <c r="B218" s="1779"/>
      <c r="C218" s="1779"/>
      <c r="D218" s="1779"/>
      <c r="E218" s="1779"/>
      <c r="F218" s="1779"/>
      <c r="G218" s="1779"/>
      <c r="H218" s="1779"/>
      <c r="I218" s="1779"/>
      <c r="J218" s="1779"/>
      <c r="K218" s="1780"/>
      <c r="L218" s="1781"/>
      <c r="M218" s="1779"/>
      <c r="N218" s="1779"/>
      <c r="O218" s="1779"/>
      <c r="P218" s="1779"/>
      <c r="Q218" s="1779"/>
      <c r="R218" s="1779"/>
      <c r="S218" s="1779"/>
      <c r="T218" s="1779"/>
      <c r="U218" s="1779"/>
      <c r="V218" s="1779"/>
      <c r="W218" s="1779"/>
      <c r="X218" s="1779"/>
      <c r="Y218" s="1779"/>
      <c r="Z218" s="1779"/>
      <c r="AA218" s="1779"/>
      <c r="AB218" s="1779"/>
      <c r="AC218" s="1779"/>
    </row>
    <row r="219" spans="1:29">
      <c r="A219" s="1779"/>
      <c r="B219" s="1779"/>
      <c r="C219" s="1779"/>
      <c r="D219" s="1779"/>
      <c r="E219" s="1779"/>
      <c r="F219" s="1779"/>
      <c r="G219" s="1779"/>
      <c r="H219" s="1779"/>
      <c r="I219" s="1779"/>
      <c r="J219" s="1779"/>
      <c r="K219" s="1780"/>
      <c r="L219" s="1781"/>
      <c r="M219" s="1779"/>
      <c r="N219" s="1779"/>
      <c r="O219" s="1779"/>
      <c r="P219" s="1779"/>
      <c r="Q219" s="1779"/>
      <c r="R219" s="1779"/>
      <c r="S219" s="1779"/>
      <c r="T219" s="1779"/>
      <c r="U219" s="1779"/>
      <c r="V219" s="1779"/>
      <c r="W219" s="1779"/>
      <c r="X219" s="1779"/>
      <c r="Y219" s="1779"/>
      <c r="Z219" s="1779"/>
      <c r="AA219" s="1779"/>
      <c r="AB219" s="1779"/>
      <c r="AC219" s="1779"/>
    </row>
    <row r="220" spans="1:29">
      <c r="A220" s="1779"/>
      <c r="B220" s="1779"/>
      <c r="C220" s="1779"/>
      <c r="D220" s="1779"/>
      <c r="E220" s="1779"/>
      <c r="F220" s="1779"/>
      <c r="G220" s="1779"/>
      <c r="H220" s="1779"/>
      <c r="I220" s="1779"/>
      <c r="J220" s="1779"/>
      <c r="K220" s="1780"/>
      <c r="L220" s="1781"/>
      <c r="M220" s="1779"/>
      <c r="N220" s="1779"/>
      <c r="O220" s="1779"/>
      <c r="P220" s="1779"/>
      <c r="Q220" s="1779"/>
      <c r="R220" s="1779"/>
      <c r="S220" s="1779"/>
      <c r="T220" s="1779"/>
      <c r="U220" s="1779"/>
      <c r="V220" s="1779"/>
      <c r="W220" s="1779"/>
      <c r="X220" s="1779"/>
      <c r="Y220" s="1779"/>
      <c r="Z220" s="1779"/>
      <c r="AA220" s="1779"/>
      <c r="AB220" s="1779"/>
      <c r="AC220" s="1779"/>
    </row>
    <row r="221" spans="1:29">
      <c r="A221" s="1779"/>
      <c r="B221" s="1779"/>
      <c r="C221" s="1779"/>
      <c r="D221" s="1779"/>
      <c r="E221" s="1779"/>
      <c r="F221" s="1779"/>
      <c r="G221" s="1779"/>
      <c r="H221" s="1779"/>
      <c r="I221" s="1779"/>
      <c r="J221" s="1779"/>
      <c r="K221" s="1780"/>
      <c r="L221" s="1781"/>
      <c r="M221" s="1779"/>
      <c r="N221" s="1779"/>
      <c r="O221" s="1779"/>
      <c r="P221" s="1779"/>
      <c r="Q221" s="1779"/>
      <c r="R221" s="1779"/>
      <c r="S221" s="1779"/>
      <c r="T221" s="1779"/>
      <c r="U221" s="1779"/>
      <c r="V221" s="1779"/>
      <c r="W221" s="1779"/>
      <c r="X221" s="1779"/>
      <c r="Y221" s="1779"/>
      <c r="Z221" s="1779"/>
      <c r="AA221" s="1779"/>
      <c r="AB221" s="1779"/>
      <c r="AC221" s="1779"/>
    </row>
    <row r="222" spans="1:29">
      <c r="A222" s="1779"/>
      <c r="B222" s="1779"/>
      <c r="C222" s="1779"/>
      <c r="D222" s="1779"/>
      <c r="E222" s="1779"/>
      <c r="F222" s="1779"/>
      <c r="G222" s="1779"/>
      <c r="H222" s="1779"/>
      <c r="I222" s="1779"/>
      <c r="J222" s="1779"/>
      <c r="K222" s="1780"/>
      <c r="L222" s="1781"/>
      <c r="M222" s="1779"/>
      <c r="N222" s="1779"/>
      <c r="O222" s="1779"/>
      <c r="P222" s="1779"/>
      <c r="Q222" s="1779"/>
      <c r="R222" s="1779"/>
      <c r="S222" s="1779"/>
      <c r="T222" s="1779"/>
      <c r="U222" s="1779"/>
      <c r="V222" s="1779"/>
      <c r="W222" s="1779"/>
      <c r="X222" s="1779"/>
      <c r="Y222" s="1779"/>
      <c r="Z222" s="1779"/>
      <c r="AA222" s="1779"/>
      <c r="AB222" s="1779"/>
      <c r="AC222" s="1779"/>
    </row>
    <row r="223" spans="1:29">
      <c r="A223" s="1779"/>
      <c r="B223" s="1779"/>
      <c r="C223" s="1779"/>
      <c r="D223" s="1779"/>
      <c r="E223" s="1779"/>
      <c r="F223" s="1779"/>
      <c r="G223" s="1779"/>
      <c r="H223" s="1779"/>
      <c r="I223" s="1779"/>
      <c r="J223" s="1779"/>
      <c r="K223" s="1780"/>
      <c r="L223" s="1781"/>
      <c r="M223" s="1779"/>
      <c r="N223" s="1779"/>
      <c r="O223" s="1779"/>
      <c r="P223" s="1779"/>
      <c r="Q223" s="1779"/>
      <c r="R223" s="1779"/>
      <c r="S223" s="1779"/>
      <c r="T223" s="1779"/>
      <c r="U223" s="1779"/>
      <c r="V223" s="1779"/>
      <c r="W223" s="1779"/>
      <c r="X223" s="1779"/>
      <c r="Y223" s="1779"/>
      <c r="Z223" s="1779"/>
      <c r="AA223" s="1779"/>
      <c r="AB223" s="1779"/>
      <c r="AC223" s="1779"/>
    </row>
    <row r="224" spans="1:29">
      <c r="A224" s="1779"/>
      <c r="B224" s="1779"/>
      <c r="C224" s="1779"/>
      <c r="D224" s="1779"/>
      <c r="E224" s="1779"/>
      <c r="F224" s="1779"/>
      <c r="G224" s="1779"/>
      <c r="H224" s="1779"/>
      <c r="I224" s="1779"/>
      <c r="J224" s="1779"/>
      <c r="K224" s="1780"/>
      <c r="L224" s="1781"/>
      <c r="M224" s="1779"/>
      <c r="N224" s="1779"/>
      <c r="O224" s="1779"/>
      <c r="P224" s="1779"/>
      <c r="Q224" s="1779"/>
      <c r="R224" s="1779"/>
      <c r="S224" s="1779"/>
      <c r="T224" s="1779"/>
      <c r="U224" s="1779"/>
      <c r="V224" s="1779"/>
      <c r="W224" s="1779"/>
      <c r="X224" s="1779"/>
      <c r="Y224" s="1779"/>
      <c r="Z224" s="1779"/>
      <c r="AA224" s="1779"/>
      <c r="AB224" s="1779"/>
      <c r="AC224" s="1779"/>
    </row>
    <row r="225" spans="1:29">
      <c r="A225" s="1779"/>
      <c r="B225" s="1779"/>
      <c r="C225" s="1779"/>
      <c r="D225" s="1779"/>
      <c r="E225" s="1779"/>
      <c r="F225" s="1779"/>
      <c r="G225" s="1779"/>
      <c r="H225" s="1779"/>
      <c r="I225" s="1779"/>
      <c r="J225" s="1779"/>
      <c r="K225" s="1780"/>
      <c r="L225" s="1781"/>
      <c r="M225" s="1779"/>
      <c r="N225" s="1779"/>
      <c r="O225" s="1779"/>
      <c r="P225" s="1779"/>
      <c r="Q225" s="1779"/>
      <c r="R225" s="1779"/>
      <c r="S225" s="1779"/>
      <c r="T225" s="1779"/>
      <c r="U225" s="1779"/>
      <c r="V225" s="1779"/>
      <c r="W225" s="1779"/>
      <c r="X225" s="1779"/>
      <c r="Y225" s="1779"/>
      <c r="Z225" s="1779"/>
      <c r="AA225" s="1779"/>
      <c r="AB225" s="1779"/>
      <c r="AC225" s="1779"/>
    </row>
    <row r="226" spans="1:29">
      <c r="A226" s="1779"/>
      <c r="B226" s="1779"/>
      <c r="C226" s="1779"/>
      <c r="D226" s="1779"/>
      <c r="E226" s="1779"/>
      <c r="F226" s="1779"/>
      <c r="G226" s="1779"/>
      <c r="H226" s="1779"/>
      <c r="I226" s="1779"/>
      <c r="J226" s="1779"/>
      <c r="K226" s="1780"/>
      <c r="L226" s="1781"/>
      <c r="M226" s="1779"/>
      <c r="N226" s="1779"/>
      <c r="O226" s="1779"/>
      <c r="P226" s="1779"/>
      <c r="Q226" s="1779"/>
      <c r="R226" s="1779"/>
      <c r="S226" s="1779"/>
      <c r="T226" s="1779"/>
      <c r="U226" s="1779"/>
      <c r="V226" s="1779"/>
      <c r="W226" s="1779"/>
      <c r="X226" s="1779"/>
      <c r="Y226" s="1779"/>
      <c r="Z226" s="1779"/>
      <c r="AA226" s="1779"/>
      <c r="AB226" s="1779"/>
      <c r="AC226" s="1779"/>
    </row>
    <row r="227" spans="1:29">
      <c r="A227" s="1779"/>
      <c r="B227" s="1779"/>
      <c r="C227" s="1779"/>
      <c r="D227" s="1779"/>
      <c r="E227" s="1779"/>
      <c r="F227" s="1779"/>
      <c r="G227" s="1779"/>
      <c r="H227" s="1779"/>
      <c r="I227" s="1779"/>
      <c r="J227" s="1779"/>
      <c r="K227" s="1780"/>
      <c r="L227" s="1781"/>
      <c r="M227" s="1779"/>
      <c r="N227" s="1779"/>
      <c r="O227" s="1779"/>
      <c r="P227" s="1779"/>
      <c r="Q227" s="1779"/>
      <c r="R227" s="1779"/>
      <c r="S227" s="1779"/>
      <c r="T227" s="1779"/>
      <c r="U227" s="1779"/>
      <c r="V227" s="1779"/>
      <c r="W227" s="1779"/>
      <c r="X227" s="1779"/>
      <c r="Y227" s="1779"/>
      <c r="Z227" s="1779"/>
      <c r="AA227" s="1779"/>
      <c r="AB227" s="1779"/>
      <c r="AC227" s="1779"/>
    </row>
    <row r="228" spans="1:29">
      <c r="A228" s="1779"/>
      <c r="B228" s="1779"/>
      <c r="C228" s="1779"/>
      <c r="D228" s="1779"/>
      <c r="E228" s="1779"/>
      <c r="F228" s="1779"/>
      <c r="G228" s="1779"/>
      <c r="H228" s="1779"/>
      <c r="I228" s="1779"/>
      <c r="J228" s="1779"/>
      <c r="K228" s="1780"/>
      <c r="L228" s="1781"/>
      <c r="M228" s="1779"/>
      <c r="N228" s="1779"/>
      <c r="O228" s="1779"/>
      <c r="P228" s="1779"/>
      <c r="Q228" s="1779"/>
      <c r="R228" s="1779"/>
      <c r="S228" s="1779"/>
      <c r="T228" s="1779"/>
      <c r="U228" s="1779"/>
      <c r="V228" s="1779"/>
      <c r="W228" s="1779"/>
      <c r="X228" s="1779"/>
      <c r="Y228" s="1779"/>
      <c r="Z228" s="1779"/>
      <c r="AA228" s="1779"/>
      <c r="AB228" s="1779"/>
      <c r="AC228" s="1779"/>
    </row>
    <row r="229" spans="1:29">
      <c r="A229" s="1779"/>
      <c r="B229" s="1779"/>
      <c r="C229" s="1779"/>
      <c r="D229" s="1779"/>
      <c r="E229" s="1779"/>
      <c r="F229" s="1779"/>
      <c r="G229" s="1779"/>
      <c r="H229" s="1779"/>
      <c r="I229" s="1779"/>
      <c r="J229" s="1779"/>
      <c r="K229" s="1780"/>
      <c r="L229" s="1781"/>
      <c r="M229" s="1779"/>
      <c r="N229" s="1779"/>
      <c r="O229" s="1779"/>
      <c r="P229" s="1779"/>
      <c r="Q229" s="1779"/>
      <c r="R229" s="1779"/>
      <c r="S229" s="1779"/>
      <c r="T229" s="1779"/>
      <c r="U229" s="1779"/>
      <c r="V229" s="1779"/>
      <c r="W229" s="1779"/>
      <c r="X229" s="1779"/>
      <c r="Y229" s="1779"/>
      <c r="Z229" s="1779"/>
      <c r="AA229" s="1779"/>
      <c r="AB229" s="1779"/>
      <c r="AC229" s="1779"/>
    </row>
    <row r="230" spans="1:29">
      <c r="A230" s="1779"/>
      <c r="B230" s="1779"/>
      <c r="C230" s="1779"/>
      <c r="D230" s="1779"/>
      <c r="E230" s="1779"/>
      <c r="F230" s="1779"/>
      <c r="G230" s="1779"/>
      <c r="H230" s="1779"/>
      <c r="I230" s="1779"/>
      <c r="J230" s="1779"/>
      <c r="K230" s="1780"/>
      <c r="L230" s="1781"/>
      <c r="M230" s="1779"/>
      <c r="N230" s="1779"/>
      <c r="O230" s="1779"/>
      <c r="P230" s="1779"/>
      <c r="Q230" s="1779"/>
      <c r="R230" s="1779"/>
      <c r="S230" s="1779"/>
      <c r="T230" s="1779"/>
      <c r="U230" s="1779"/>
      <c r="V230" s="1779"/>
      <c r="W230" s="1779"/>
      <c r="X230" s="1779"/>
      <c r="Y230" s="1779"/>
      <c r="Z230" s="1779"/>
      <c r="AA230" s="1779"/>
      <c r="AB230" s="1779"/>
      <c r="AC230" s="1779"/>
    </row>
    <row r="231" spans="1:29">
      <c r="A231" s="1779"/>
      <c r="B231" s="1779"/>
      <c r="C231" s="1779"/>
      <c r="D231" s="1779"/>
      <c r="E231" s="1779"/>
      <c r="F231" s="1779"/>
      <c r="G231" s="1779"/>
      <c r="H231" s="1779"/>
      <c r="I231" s="1779"/>
      <c r="J231" s="1779"/>
      <c r="K231" s="1780"/>
      <c r="L231" s="1781"/>
      <c r="M231" s="1779"/>
      <c r="N231" s="1779"/>
      <c r="O231" s="1779"/>
      <c r="P231" s="1779"/>
      <c r="Q231" s="1779"/>
      <c r="R231" s="1779"/>
      <c r="S231" s="1779"/>
      <c r="T231" s="1779"/>
      <c r="U231" s="1779"/>
      <c r="V231" s="1779"/>
      <c r="W231" s="1779"/>
      <c r="X231" s="1779"/>
      <c r="Y231" s="1779"/>
      <c r="Z231" s="1779"/>
      <c r="AA231" s="1779"/>
      <c r="AB231" s="1779"/>
      <c r="AC231" s="1779"/>
    </row>
    <row r="232" spans="1:29">
      <c r="A232" s="1779"/>
      <c r="B232" s="1779"/>
      <c r="C232" s="1779"/>
      <c r="D232" s="1779"/>
      <c r="E232" s="1779"/>
      <c r="F232" s="1779"/>
      <c r="G232" s="1779"/>
      <c r="H232" s="1779"/>
      <c r="I232" s="1779"/>
      <c r="J232" s="1779"/>
      <c r="K232" s="1780"/>
      <c r="L232" s="1781"/>
      <c r="M232" s="1779"/>
      <c r="N232" s="1779"/>
      <c r="O232" s="1779"/>
      <c r="P232" s="1779"/>
      <c r="Q232" s="1779"/>
      <c r="R232" s="1779"/>
      <c r="S232" s="1779"/>
      <c r="T232" s="1779"/>
      <c r="U232" s="1779"/>
      <c r="V232" s="1779"/>
      <c r="W232" s="1779"/>
      <c r="X232" s="1779"/>
      <c r="Y232" s="1779"/>
      <c r="Z232" s="1779"/>
      <c r="AA232" s="1779"/>
      <c r="AB232" s="1779"/>
      <c r="AC232" s="1779"/>
    </row>
    <row r="233" spans="1:29">
      <c r="A233" s="1779"/>
      <c r="B233" s="1779"/>
      <c r="C233" s="1779"/>
      <c r="D233" s="1779"/>
      <c r="E233" s="1779"/>
      <c r="F233" s="1779"/>
      <c r="G233" s="1779"/>
      <c r="H233" s="1779"/>
      <c r="I233" s="1779"/>
      <c r="J233" s="1779"/>
      <c r="K233" s="1780"/>
      <c r="L233" s="1781"/>
      <c r="M233" s="1779"/>
      <c r="N233" s="1779"/>
      <c r="O233" s="1779"/>
      <c r="P233" s="1779"/>
      <c r="Q233" s="1779"/>
      <c r="R233" s="1779"/>
      <c r="S233" s="1779"/>
      <c r="T233" s="1779"/>
      <c r="U233" s="1779"/>
      <c r="V233" s="1779"/>
      <c r="W233" s="1779"/>
      <c r="X233" s="1779"/>
      <c r="Y233" s="1779"/>
      <c r="Z233" s="1779"/>
      <c r="AA233" s="1779"/>
      <c r="AB233" s="1779"/>
      <c r="AC233" s="1779"/>
    </row>
    <row r="234" spans="1:29">
      <c r="A234" s="1779"/>
      <c r="B234" s="1779"/>
      <c r="C234" s="1779"/>
      <c r="D234" s="1779"/>
      <c r="E234" s="1779"/>
      <c r="F234" s="1779"/>
      <c r="G234" s="1779"/>
      <c r="H234" s="1779"/>
      <c r="I234" s="1779"/>
      <c r="J234" s="1779"/>
      <c r="K234" s="1780"/>
      <c r="L234" s="1781"/>
      <c r="M234" s="1779"/>
      <c r="N234" s="1779"/>
      <c r="O234" s="1779"/>
      <c r="P234" s="1779"/>
      <c r="Q234" s="1779"/>
      <c r="R234" s="1779"/>
      <c r="S234" s="1779"/>
      <c r="T234" s="1779"/>
      <c r="U234" s="1779"/>
      <c r="V234" s="1779"/>
      <c r="W234" s="1779"/>
      <c r="X234" s="1779"/>
      <c r="Y234" s="1779"/>
      <c r="Z234" s="1779"/>
      <c r="AA234" s="1779"/>
      <c r="AB234" s="1779"/>
      <c r="AC234" s="1779"/>
    </row>
    <row r="235" spans="1:29">
      <c r="A235" s="1779"/>
      <c r="B235" s="1779"/>
      <c r="C235" s="1779"/>
      <c r="D235" s="1779"/>
      <c r="E235" s="1779"/>
      <c r="F235" s="1779"/>
      <c r="G235" s="1779"/>
      <c r="H235" s="1779"/>
      <c r="I235" s="1779"/>
      <c r="J235" s="1779"/>
      <c r="K235" s="1780"/>
      <c r="L235" s="1781"/>
      <c r="M235" s="1779"/>
      <c r="N235" s="1779"/>
      <c r="O235" s="1779"/>
      <c r="P235" s="1779"/>
      <c r="Q235" s="1779"/>
      <c r="R235" s="1779"/>
      <c r="S235" s="1779"/>
      <c r="T235" s="1779"/>
      <c r="U235" s="1779"/>
      <c r="V235" s="1779"/>
      <c r="W235" s="1779"/>
      <c r="X235" s="1779"/>
      <c r="Y235" s="1779"/>
      <c r="Z235" s="1779"/>
      <c r="AA235" s="1779"/>
      <c r="AB235" s="1779"/>
      <c r="AC235" s="1779"/>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E42">
    <cfRule type="expression" dxfId="35" priority="13" stopIfTrue="1">
      <formula>$F$42="超过30%"</formula>
    </cfRule>
  </conditionalFormatting>
  <conditionalFormatting sqref="E43">
    <cfRule type="expression" dxfId="34" priority="11" stopIfTrue="1">
      <formula>$F$43="超过20%"</formula>
    </cfRule>
  </conditionalFormatting>
  <conditionalFormatting sqref="E44">
    <cfRule type="expression" dxfId="33" priority="10" stopIfTrue="1">
      <formula>$F$44="超过30%"</formula>
    </cfRule>
  </conditionalFormatting>
  <conditionalFormatting sqref="F7:F36 H7:H36 J7:J36">
    <cfRule type="cellIs" dxfId="32" priority="1" operator="notEqual">
      <formula>100</formula>
    </cfRule>
  </conditionalFormatting>
  <conditionalFormatting sqref="F38">
    <cfRule type="expression" dxfId="31" priority="4">
      <formula>$D$38="简单平均"</formula>
    </cfRule>
  </conditionalFormatting>
  <conditionalFormatting sqref="F42:F44 H42:H44 J42:J44">
    <cfRule type="containsText" dxfId="30" priority="14" stopIfTrue="1" operator="containsText" text="超过">
      <formula>NOT(ISERROR(SEARCH("超过",F42)))</formula>
    </cfRule>
  </conditionalFormatting>
  <conditionalFormatting sqref="G42">
    <cfRule type="expression" dxfId="29" priority="9" stopIfTrue="1">
      <formula>$H$52+$H$42="超过30%"</formula>
    </cfRule>
  </conditionalFormatting>
  <conditionalFormatting sqref="G43">
    <cfRule type="expression" dxfId="28" priority="8" stopIfTrue="1">
      <formula>$H$43="超过20%"</formula>
    </cfRule>
  </conditionalFormatting>
  <conditionalFormatting sqref="G44">
    <cfRule type="expression" dxfId="27" priority="12" stopIfTrue="1">
      <formula>$H$54+$H$44="超过30%"</formula>
    </cfRule>
  </conditionalFormatting>
  <conditionalFormatting sqref="H38">
    <cfRule type="expression" dxfId="26" priority="3">
      <formula>$D$38="简单平均"</formula>
    </cfRule>
  </conditionalFormatting>
  <conditionalFormatting sqref="I42">
    <cfRule type="expression" dxfId="25" priority="7" stopIfTrue="1">
      <formula>$J$52+$J$42="超过30%"</formula>
    </cfRule>
  </conditionalFormatting>
  <conditionalFormatting sqref="I43">
    <cfRule type="expression" dxfId="24" priority="6" stopIfTrue="1">
      <formula>$J$53+$J$43="超过20%"</formula>
    </cfRule>
  </conditionalFormatting>
  <conditionalFormatting sqref="I44">
    <cfRule type="expression" dxfId="23" priority="5" stopIfTrue="1">
      <formula>$J$44="超过30%"</formula>
    </cfRule>
  </conditionalFormatting>
  <conditionalFormatting sqref="J38">
    <cfRule type="expression" dxfId="22" priority="2">
      <formula>$D$38="简单平均"</formula>
    </cfRule>
  </conditionalFormatting>
  <dataValidations count="17">
    <dataValidation type="list" allowBlank="1" showInputMessage="1" showErrorMessage="1" sqref="D1" xr:uid="{00000000-0002-0000-2600-000000000000}">
      <formula1>项目类型</formula1>
    </dataValidation>
    <dataValidation type="list" allowBlank="1" showInputMessage="1" showErrorMessage="1" sqref="G17 C17 I17 E17" xr:uid="{00000000-0002-0000-2600-000001000000}">
      <formula1>公共配套设施</formula1>
    </dataValidation>
    <dataValidation type="list" allowBlank="1" showInputMessage="1" showErrorMessage="1" sqref="G15 E15 C15 I15" xr:uid="{00000000-0002-0000-2600-000002000000}">
      <formula1>交通便捷度</formula1>
    </dataValidation>
    <dataValidation type="list" allowBlank="1" showInputMessage="1" showErrorMessage="1" sqref="C8 E8 G8 I8" xr:uid="{00000000-0002-0000-2600-000003000000}">
      <formula1>车位交易情况</formula1>
    </dataValidation>
    <dataValidation type="list" allowBlank="1" showInputMessage="1" showErrorMessage="1" sqref="E9 G9 I9" xr:uid="{00000000-0002-0000-2600-000004000000}">
      <formula1>车位用途</formula1>
    </dataValidation>
    <dataValidation type="list" allowBlank="1" showInputMessage="1" showErrorMessage="1" sqref="C22 E22 G22 I22" xr:uid="{00000000-0002-0000-2600-000005000000}">
      <formula1>车位楼层</formula1>
    </dataValidation>
    <dataValidation type="list" allowBlank="1" showInputMessage="1" showErrorMessage="1" sqref="C30 E30 G30 I30" xr:uid="{00000000-0002-0000-2600-000006000000}">
      <formula1>车位物业等级</formula1>
    </dataValidation>
    <dataValidation type="list" allowBlank="1" showInputMessage="1" showErrorMessage="1" sqref="C32 E32 G32 I32" xr:uid="{00000000-0002-0000-2600-000007000000}">
      <formula1>车位类型</formula1>
    </dataValidation>
    <dataValidation type="list" allowBlank="1" showInputMessage="1" showErrorMessage="1" sqref="C33 E33 G33 I33" xr:uid="{00000000-0002-0000-2600-000008000000}">
      <formula1>是否直接入户</formula1>
    </dataValidation>
    <dataValidation type="list" allowBlank="1" showInputMessage="1" showErrorMessage="1" sqref="B1" xr:uid="{00000000-0002-0000-2600-000009000000}">
      <formula1>地类判定</formula1>
    </dataValidation>
    <dataValidation type="list" allowBlank="1" showInputMessage="1" showErrorMessage="1" sqref="I26 E26 G26" xr:uid="{00000000-0002-0000-2600-00000A000000}">
      <formula1>车位配套类型</formula1>
    </dataValidation>
    <dataValidation type="list" allowBlank="1" showInputMessage="1" showErrorMessage="1" sqref="C28 E28 G28 I28" xr:uid="{00000000-0002-0000-2600-00000B000000}">
      <formula1>车位公共部分装修</formula1>
    </dataValidation>
    <dataValidation type="list" allowBlank="1" showInputMessage="1" showErrorMessage="1" sqref="B37" xr:uid="{00000000-0002-0000-2600-00000C000000}">
      <formula1>"元/平方米,元/车位"</formula1>
    </dataValidation>
    <dataValidation type="list" allowBlank="1" showInputMessage="1" showErrorMessage="1" sqref="C21 E21 G21 I21" xr:uid="{00000000-0002-0000-2600-00000D000000}">
      <formula1>环境</formula1>
    </dataValidation>
    <dataValidation type="list" allowBlank="1" showInputMessage="1" showErrorMessage="1" sqref="C19 E19 G19 I19" xr:uid="{00000000-0002-0000-2600-00000E000000}">
      <formula1>基础设施水平</formula1>
    </dataValidation>
    <dataValidation type="list" allowBlank="1" showInputMessage="1" showErrorMessage="1" sqref="F1" xr:uid="{00000000-0002-0000-2600-00000F000000}">
      <formula1>"售价,租金"</formula1>
    </dataValidation>
    <dataValidation type="list" allowBlank="1" showInputMessage="1" showErrorMessage="1" sqref="D38" xr:uid="{00000000-0002-0000-2600-000010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26">
    <tabColor rgb="FF92D050"/>
    <pageSetUpPr fitToPage="1"/>
  </sheetPr>
  <dimension ref="A1:AC209"/>
  <sheetViews>
    <sheetView view="pageBreakPreview" zoomScale="60" zoomScaleNormal="60" workbookViewId="0">
      <selection activeCell="F10" sqref="F10"/>
    </sheetView>
  </sheetViews>
  <sheetFormatPr defaultColWidth="9" defaultRowHeight="14.25"/>
  <cols>
    <col min="1" max="1" width="10.5" style="1132" customWidth="1"/>
    <col min="2" max="2" width="15.75" style="1132" customWidth="1"/>
    <col min="3" max="3" width="14.375" style="1132" customWidth="1"/>
    <col min="4" max="4" width="12.25" style="1132" customWidth="1"/>
    <col min="5" max="5" width="14.375" style="1132" customWidth="1"/>
    <col min="6" max="6" width="12.25" style="1132" customWidth="1"/>
    <col min="7" max="7" width="14.5" style="1132" customWidth="1"/>
    <col min="8" max="8" width="12.25" style="1132" customWidth="1"/>
    <col min="9" max="9" width="14.5" style="1132" customWidth="1"/>
    <col min="10" max="10" width="12.25" style="1132" customWidth="1"/>
    <col min="11" max="11" width="12.25" style="1137" customWidth="1"/>
    <col min="12" max="12" width="12.25" style="1138" customWidth="1"/>
    <col min="13" max="15" width="12.25" style="1132" customWidth="1"/>
    <col min="16" max="16" width="4.75" style="1132" customWidth="1"/>
    <col min="17" max="17" width="19.5" style="1132" customWidth="1"/>
    <col min="18" max="22" width="6.125" style="1132" customWidth="1"/>
    <col min="23" max="23" width="5.75" style="1132" customWidth="1"/>
    <col min="24" max="24" width="4.25" style="1132" customWidth="1"/>
    <col min="25" max="25" width="3.5" style="1132" customWidth="1"/>
    <col min="26" max="26" width="19.75" style="1132" customWidth="1"/>
    <col min="27" max="28" width="9.375" style="1132" customWidth="1"/>
    <col min="29" max="16384" width="9" style="1132"/>
  </cols>
  <sheetData>
    <row r="1" spans="1:29" s="1131" customFormat="1" ht="28.5" customHeight="1">
      <c r="A1" s="453" t="s">
        <v>665</v>
      </c>
      <c r="B1" s="845"/>
      <c r="C1" s="455" t="s">
        <v>732</v>
      </c>
      <c r="D1" s="783"/>
      <c r="E1" s="457"/>
      <c r="F1" s="2118"/>
      <c r="G1" s="1328" t="s">
        <v>733</v>
      </c>
      <c r="H1" s="457"/>
      <c r="I1" s="457"/>
      <c r="J1" s="457"/>
      <c r="K1" s="458"/>
      <c r="L1" s="2717"/>
      <c r="M1" s="2718"/>
      <c r="N1" s="2718"/>
      <c r="O1" s="2718"/>
      <c r="P1" s="1740"/>
      <c r="Q1" s="1740"/>
      <c r="R1" s="1740"/>
      <c r="S1" s="1740"/>
      <c r="T1" s="1740"/>
      <c r="U1" s="1740"/>
      <c r="V1" s="1740"/>
      <c r="W1" s="1740"/>
      <c r="X1" s="1740"/>
      <c r="Y1" s="1740"/>
      <c r="Z1" s="1740"/>
      <c r="AA1" s="1740"/>
      <c r="AB1" s="1740"/>
      <c r="AC1" s="1674"/>
    </row>
    <row r="2" spans="1:29" s="1131" customFormat="1" ht="28.5" customHeight="1">
      <c r="A2" s="393" t="s">
        <v>734</v>
      </c>
      <c r="B2" s="784" t="e">
        <f>ROUND(B3*D3/10000,0)</f>
        <v>#DIV/0!</v>
      </c>
      <c r="C2" s="1735"/>
      <c r="D2" s="1735"/>
      <c r="E2" s="1736"/>
      <c r="F2" s="1737"/>
      <c r="G2" s="1736"/>
      <c r="H2" s="1736"/>
      <c r="I2" s="1736"/>
      <c r="J2" s="1736"/>
      <c r="K2" s="1738"/>
      <c r="L2" s="1739"/>
      <c r="M2" s="1740"/>
      <c r="N2" s="1740"/>
      <c r="O2" s="1740"/>
      <c r="P2" s="1740"/>
      <c r="Q2" s="1740"/>
      <c r="R2" s="1740"/>
      <c r="S2" s="1740"/>
      <c r="T2" s="1740"/>
      <c r="U2" s="1740"/>
      <c r="V2" s="1740"/>
      <c r="W2" s="1740"/>
      <c r="X2" s="1740"/>
      <c r="Y2" s="1740"/>
      <c r="Z2" s="1740"/>
      <c r="AA2" s="1740"/>
      <c r="AB2" s="1740"/>
      <c r="AC2" s="1674"/>
    </row>
    <row r="3" spans="1:29" s="1131" customFormat="1" ht="28.5" customHeight="1" thickBot="1">
      <c r="A3" s="460" t="s">
        <v>735</v>
      </c>
      <c r="B3" s="461" t="e">
        <f>C37</f>
        <v>#DIV/0!</v>
      </c>
      <c r="C3" s="786" t="s">
        <v>736</v>
      </c>
      <c r="D3" s="785">
        <f>SUMIF('数据-汇总表'!$C19:$C33,D1,'数据-汇总表'!$E19:$E33)</f>
        <v>0</v>
      </c>
      <c r="E3" s="1736"/>
      <c r="F3" s="1737"/>
      <c r="G3" s="1736"/>
      <c r="H3" s="1736"/>
      <c r="I3" s="1736"/>
      <c r="J3" s="1736"/>
      <c r="K3" s="1738"/>
      <c r="L3" s="1739"/>
      <c r="M3" s="1740"/>
      <c r="N3" s="1740"/>
      <c r="O3" s="1740"/>
      <c r="P3" s="1740"/>
      <c r="Q3" s="1740"/>
      <c r="R3" s="1740"/>
      <c r="S3" s="1740"/>
      <c r="T3" s="1740"/>
      <c r="U3" s="1740"/>
      <c r="V3" s="1740"/>
      <c r="W3" s="1740"/>
      <c r="X3" s="1740"/>
      <c r="Y3" s="1740"/>
      <c r="Z3" s="1740"/>
      <c r="AA3" s="1740"/>
      <c r="AB3" s="2719"/>
      <c r="AC3" s="1674"/>
    </row>
    <row r="4" spans="1:29" ht="15">
      <c r="A4" s="463" t="s">
        <v>737</v>
      </c>
      <c r="B4" s="464"/>
      <c r="C4" s="3631" t="s">
        <v>738</v>
      </c>
      <c r="D4" s="3632"/>
      <c r="E4" s="3707" t="s">
        <v>739</v>
      </c>
      <c r="F4" s="3708"/>
      <c r="G4" s="3631" t="s">
        <v>740</v>
      </c>
      <c r="H4" s="3632"/>
      <c r="I4" s="3631" t="s">
        <v>741</v>
      </c>
      <c r="J4" s="3632"/>
      <c r="K4" s="465" t="s">
        <v>742</v>
      </c>
      <c r="L4" s="1741"/>
      <c r="M4" s="1742"/>
      <c r="N4" s="1742"/>
      <c r="O4" s="1742"/>
      <c r="P4" s="3633" t="s">
        <v>743</v>
      </c>
      <c r="Q4" s="3634"/>
      <c r="R4" s="3617" t="s">
        <v>739</v>
      </c>
      <c r="S4" s="3618"/>
      <c r="T4" s="3617" t="s">
        <v>740</v>
      </c>
      <c r="U4" s="3618"/>
      <c r="V4" s="3639" t="s">
        <v>741</v>
      </c>
      <c r="W4" s="3639"/>
      <c r="X4" s="1302"/>
      <c r="Y4" s="3617" t="s">
        <v>743</v>
      </c>
      <c r="Z4" s="3618"/>
      <c r="AA4" s="3612" t="s">
        <v>739</v>
      </c>
      <c r="AB4" s="3613" t="s">
        <v>740</v>
      </c>
      <c r="AC4" s="3612" t="s">
        <v>741</v>
      </c>
    </row>
    <row r="5" spans="1:29" ht="15">
      <c r="A5" s="466"/>
      <c r="B5" s="467"/>
      <c r="C5" s="3642" t="s">
        <v>2192</v>
      </c>
      <c r="D5" s="3643"/>
      <c r="E5" s="3709" t="s">
        <v>2193</v>
      </c>
      <c r="F5" s="3710"/>
      <c r="G5" s="3642" t="s">
        <v>2194</v>
      </c>
      <c r="H5" s="3643"/>
      <c r="I5" s="3642" t="s">
        <v>2195</v>
      </c>
      <c r="J5" s="3643"/>
      <c r="K5" s="465"/>
      <c r="L5" s="1741"/>
      <c r="M5" s="1742"/>
      <c r="N5" s="1742"/>
      <c r="O5" s="1742"/>
      <c r="P5" s="3635"/>
      <c r="Q5" s="3636"/>
      <c r="R5" s="3619"/>
      <c r="S5" s="3620"/>
      <c r="T5" s="3619"/>
      <c r="U5" s="3620"/>
      <c r="V5" s="3639"/>
      <c r="W5" s="3639"/>
      <c r="X5" s="1302"/>
      <c r="Y5" s="3619"/>
      <c r="Z5" s="3620"/>
      <c r="AA5" s="3613"/>
      <c r="AB5" s="3613"/>
      <c r="AC5" s="3613"/>
    </row>
    <row r="6" spans="1:29" ht="15.75" thickBot="1">
      <c r="A6" s="468"/>
      <c r="B6" s="469"/>
      <c r="C6" s="3640" t="s">
        <v>2196</v>
      </c>
      <c r="D6" s="3641"/>
      <c r="E6" s="3711" t="s">
        <v>2196</v>
      </c>
      <c r="F6" s="3712"/>
      <c r="G6" s="3640" t="s">
        <v>2196</v>
      </c>
      <c r="H6" s="3641"/>
      <c r="I6" s="3640" t="s">
        <v>2196</v>
      </c>
      <c r="J6" s="3641"/>
      <c r="K6" s="465" t="s">
        <v>477</v>
      </c>
      <c r="L6" s="1741"/>
      <c r="M6" s="1742"/>
      <c r="N6" s="1742"/>
      <c r="O6" s="1742"/>
      <c r="P6" s="3637"/>
      <c r="Q6" s="3638"/>
      <c r="R6" s="3619"/>
      <c r="S6" s="3620"/>
      <c r="T6" s="3621"/>
      <c r="U6" s="3622"/>
      <c r="V6" s="3639"/>
      <c r="W6" s="3639"/>
      <c r="X6" s="1302"/>
      <c r="Y6" s="3621"/>
      <c r="Z6" s="3622"/>
      <c r="AA6" s="3614"/>
      <c r="AB6" s="3614"/>
      <c r="AC6" s="3614"/>
    </row>
    <row r="7" spans="1:29" s="1060" customFormat="1" ht="15.75" thickBot="1">
      <c r="A7" s="2209"/>
      <c r="B7" s="2216" t="s">
        <v>478</v>
      </c>
      <c r="C7" s="470">
        <f>'数据-取费表'!B2</f>
        <v>45483</v>
      </c>
      <c r="D7" s="471">
        <v>100</v>
      </c>
      <c r="E7" s="472"/>
      <c r="F7" s="473">
        <f>SUMIF(46:46,YEAR(E7)&amp;"-"&amp;MONTH(E7),47:47)</f>
        <v>0</v>
      </c>
      <c r="G7" s="474"/>
      <c r="H7" s="471">
        <f>SUMIF(46:46,YEAR(G7)&amp;"-"&amp;MONTH(G7),47:47)</f>
        <v>0</v>
      </c>
      <c r="I7" s="474"/>
      <c r="J7" s="471">
        <f>SUMIF(46:46,YEAR(I7)&amp;"-"&amp;MONTH(I7),47:47)</f>
        <v>0</v>
      </c>
      <c r="K7" s="88"/>
      <c r="L7" s="1743"/>
      <c r="M7" s="1640"/>
      <c r="N7" s="1640"/>
      <c r="O7" s="1640"/>
      <c r="P7" s="3615" t="s">
        <v>479</v>
      </c>
      <c r="Q7" s="3624"/>
      <c r="R7" s="1303" t="s">
        <v>5</v>
      </c>
      <c r="S7" s="1304">
        <f t="shared" ref="S7:S14" si="0">F7</f>
        <v>0</v>
      </c>
      <c r="T7" s="1303" t="s">
        <v>5</v>
      </c>
      <c r="U7" s="1304">
        <f t="shared" ref="U7:U14" si="1">H7</f>
        <v>0</v>
      </c>
      <c r="V7" s="1303" t="s">
        <v>5</v>
      </c>
      <c r="W7" s="1304">
        <f t="shared" ref="W7:W14" si="2">J7</f>
        <v>0</v>
      </c>
      <c r="X7" s="1305"/>
      <c r="Y7" s="3615" t="s">
        <v>479</v>
      </c>
      <c r="Z7" s="3616"/>
      <c r="AA7" s="997" t="e">
        <f>D7/F7</f>
        <v>#DIV/0!</v>
      </c>
      <c r="AB7" s="997" t="e">
        <f>D7/H7</f>
        <v>#DIV/0!</v>
      </c>
      <c r="AC7" s="997" t="e">
        <f>D7/J7</f>
        <v>#DIV/0!</v>
      </c>
    </row>
    <row r="8" spans="1:29" s="1060" customFormat="1" ht="15.75" thickBot="1">
      <c r="A8" s="2210"/>
      <c r="B8" s="2217" t="s">
        <v>480</v>
      </c>
      <c r="C8" s="475" t="s">
        <v>524</v>
      </c>
      <c r="D8" s="471">
        <v>100</v>
      </c>
      <c r="E8" s="475"/>
      <c r="F8" s="473">
        <f>SUMIF(49:49,E8,50:50)-SUMIF(49:49,C8,50:50)+100</f>
        <v>0</v>
      </c>
      <c r="G8" s="475"/>
      <c r="H8" s="471">
        <f>SUMIF(49:49,G8,50:50)-SUMIF(49:49,C8,50:50)+100</f>
        <v>0</v>
      </c>
      <c r="I8" s="475"/>
      <c r="J8" s="471">
        <f>SUMIF(49:49,I8,50:50)-SUMIF(49:49,C8,50:50)+100</f>
        <v>0</v>
      </c>
      <c r="K8" s="88"/>
      <c r="L8" s="1743"/>
      <c r="M8" s="1640"/>
      <c r="N8" s="1640"/>
      <c r="O8" s="1640"/>
      <c r="P8" s="3615" t="s">
        <v>482</v>
      </c>
      <c r="Q8" s="3616"/>
      <c r="R8" s="1303" t="s">
        <v>5</v>
      </c>
      <c r="S8" s="1304">
        <f t="shared" si="0"/>
        <v>0</v>
      </c>
      <c r="T8" s="1303" t="s">
        <v>5</v>
      </c>
      <c r="U8" s="1304">
        <f t="shared" si="1"/>
        <v>0</v>
      </c>
      <c r="V8" s="1303" t="s">
        <v>5</v>
      </c>
      <c r="W8" s="1304">
        <f t="shared" si="2"/>
        <v>0</v>
      </c>
      <c r="X8" s="1305"/>
      <c r="Y8" s="3615" t="s">
        <v>482</v>
      </c>
      <c r="Z8" s="3616"/>
      <c r="AA8" s="997" t="e">
        <f t="shared" ref="AA8:AA34" si="3">D8/F8</f>
        <v>#DIV/0!</v>
      </c>
      <c r="AB8" s="997" t="e">
        <f t="shared" ref="AB8:AB34" si="4">D8/H8</f>
        <v>#DIV/0!</v>
      </c>
      <c r="AC8" s="997" t="e">
        <f t="shared" ref="AC8:AC34" si="5">D8/J8</f>
        <v>#DIV/0!</v>
      </c>
    </row>
    <row r="9" spans="1:29" s="1060" customFormat="1" ht="15">
      <c r="A9" s="2211"/>
      <c r="B9" s="2218" t="s">
        <v>2038</v>
      </c>
      <c r="C9" s="791"/>
      <c r="D9" s="154">
        <v>100</v>
      </c>
      <c r="E9" s="793"/>
      <c r="F9" s="154">
        <f>SUMIF(51:51,E9,52:52)-SUMIF(51:51,C9,52:52)+100</f>
        <v>100</v>
      </c>
      <c r="G9" s="793"/>
      <c r="H9" s="154">
        <f>SUMIF(51:51,G9,52:52)-SUMIF(51:51,C9,52:52)+100</f>
        <v>100</v>
      </c>
      <c r="I9" s="793"/>
      <c r="J9" s="154">
        <f>SUMIF(51:51,I9,52:52)-SUMIF(51:51,C9,52:52)+100</f>
        <v>100</v>
      </c>
      <c r="K9" s="88"/>
      <c r="L9" s="1743"/>
      <c r="M9" s="1640"/>
      <c r="N9" s="1640"/>
      <c r="O9" s="1744"/>
      <c r="P9" s="3623" t="s">
        <v>484</v>
      </c>
      <c r="Q9" s="818" t="str">
        <f t="shared" ref="Q9:Q14" si="6">B9</f>
        <v>用途</v>
      </c>
      <c r="R9" s="1303" t="s">
        <v>5</v>
      </c>
      <c r="S9" s="1304">
        <f t="shared" si="0"/>
        <v>100</v>
      </c>
      <c r="T9" s="1303" t="s">
        <v>5</v>
      </c>
      <c r="U9" s="1304">
        <f t="shared" si="1"/>
        <v>100</v>
      </c>
      <c r="V9" s="1303" t="s">
        <v>5</v>
      </c>
      <c r="W9" s="1304">
        <f t="shared" si="2"/>
        <v>100</v>
      </c>
      <c r="X9" s="1305"/>
      <c r="Y9" s="3575" t="s">
        <v>485</v>
      </c>
      <c r="Z9" s="997" t="str">
        <f t="shared" ref="Z9:Z14" si="7">Q9</f>
        <v>用途</v>
      </c>
      <c r="AA9" s="997">
        <f t="shared" si="3"/>
        <v>1</v>
      </c>
      <c r="AB9" s="997">
        <f t="shared" si="4"/>
        <v>1</v>
      </c>
      <c r="AC9" s="997">
        <f t="shared" si="5"/>
        <v>1</v>
      </c>
    </row>
    <row r="10" spans="1:29" s="1133" customFormat="1" ht="27">
      <c r="A10" s="2212"/>
      <c r="B10" s="2217" t="s">
        <v>2039</v>
      </c>
      <c r="C10" s="3386"/>
      <c r="D10" s="235">
        <v>100</v>
      </c>
      <c r="E10" s="3386"/>
      <c r="F10" s="235">
        <f>SUMIF(53:53,E10,54:54)-SUMIF(53:53,C10,54:54)+100</f>
        <v>100</v>
      </c>
      <c r="G10" s="3387"/>
      <c r="H10" s="235">
        <f>SUMIF(53:53,G10,54:54)-SUMIF(53:53,C10,54:54)+100</f>
        <v>100</v>
      </c>
      <c r="I10" s="3386"/>
      <c r="J10" s="235">
        <f>SUMIF(53:53,I10,54:54)-SUMIF(53:53,C10,54:54)+100</f>
        <v>100</v>
      </c>
      <c r="K10" s="88"/>
      <c r="L10" s="1745"/>
      <c r="M10" s="1778"/>
      <c r="N10" s="1778"/>
      <c r="O10" s="1746"/>
      <c r="P10" s="3623"/>
      <c r="Q10" s="818" t="str">
        <f t="shared" si="6"/>
        <v>土地使用年限（年）</v>
      </c>
      <c r="R10" s="1303" t="s">
        <v>5</v>
      </c>
      <c r="S10" s="1304">
        <f t="shared" si="0"/>
        <v>100</v>
      </c>
      <c r="T10" s="1303" t="s">
        <v>5</v>
      </c>
      <c r="U10" s="1304">
        <f t="shared" si="1"/>
        <v>100</v>
      </c>
      <c r="V10" s="1303" t="s">
        <v>5</v>
      </c>
      <c r="W10" s="1304">
        <f t="shared" si="2"/>
        <v>100</v>
      </c>
      <c r="X10" s="1305"/>
      <c r="Y10" s="3575"/>
      <c r="Z10" s="997" t="str">
        <f t="shared" si="7"/>
        <v>土地使用年限（年）</v>
      </c>
      <c r="AA10" s="997">
        <f t="shared" si="3"/>
        <v>1</v>
      </c>
      <c r="AB10" s="997">
        <f t="shared" si="4"/>
        <v>1</v>
      </c>
      <c r="AC10" s="997">
        <f t="shared" si="5"/>
        <v>1</v>
      </c>
    </row>
    <row r="11" spans="1:29" ht="15">
      <c r="A11" s="2214"/>
      <c r="B11" s="2220">
        <v>111</v>
      </c>
      <c r="C11" s="478"/>
      <c r="D11" s="235">
        <v>100</v>
      </c>
      <c r="E11" s="806"/>
      <c r="F11" s="235">
        <f>SUMIF(55:55,E11,56:56)-SUMIF(55:55,C11,56:56)+100</f>
        <v>100</v>
      </c>
      <c r="G11" s="806"/>
      <c r="H11" s="235">
        <f>SUMIF(55:55,G11,56:56)-SUMIF(55:55,C11,56:56)+100</f>
        <v>100</v>
      </c>
      <c r="I11" s="806"/>
      <c r="J11" s="235">
        <f>SUMIF(55:55,I11,56:56)-SUMIF(55:55,C11,56:56)+100</f>
        <v>100</v>
      </c>
      <c r="K11" s="531"/>
      <c r="L11" s="1747"/>
      <c r="M11" s="1742"/>
      <c r="N11" s="1742"/>
      <c r="O11" s="1748"/>
      <c r="P11" s="3623"/>
      <c r="Q11" s="818">
        <f t="shared" si="6"/>
        <v>111</v>
      </c>
      <c r="R11" s="1303" t="s">
        <v>5</v>
      </c>
      <c r="S11" s="1304">
        <f t="shared" si="0"/>
        <v>100</v>
      </c>
      <c r="T11" s="1303" t="s">
        <v>5</v>
      </c>
      <c r="U11" s="1304">
        <f t="shared" si="1"/>
        <v>100</v>
      </c>
      <c r="V11" s="1303" t="s">
        <v>5</v>
      </c>
      <c r="W11" s="1304">
        <f t="shared" si="2"/>
        <v>100</v>
      </c>
      <c r="X11" s="1305"/>
      <c r="Y11" s="3575"/>
      <c r="Z11" s="997">
        <f t="shared" si="7"/>
        <v>111</v>
      </c>
      <c r="AA11" s="997">
        <f t="shared" si="3"/>
        <v>1</v>
      </c>
      <c r="AB11" s="997">
        <f t="shared" si="4"/>
        <v>1</v>
      </c>
      <c r="AC11" s="997">
        <f t="shared" si="5"/>
        <v>1</v>
      </c>
    </row>
    <row r="12" spans="1:29" s="1060" customFormat="1" ht="15">
      <c r="A12" s="2214"/>
      <c r="B12" s="2220">
        <v>111</v>
      </c>
      <c r="C12" s="478"/>
      <c r="D12" s="488">
        <v>100</v>
      </c>
      <c r="E12" s="806"/>
      <c r="F12" s="235">
        <f>SUMIF(57:57,E12,58:58)-SUMIF(57:57,C12,58:58)+100</f>
        <v>100</v>
      </c>
      <c r="G12" s="806"/>
      <c r="H12" s="235">
        <f>SUMIF(57:57,G12,58:58)-SUMIF(57:57,C12,58:58)+100</f>
        <v>100</v>
      </c>
      <c r="I12" s="806"/>
      <c r="J12" s="235">
        <f>SUMIF(57:57,I12,58:58)-SUMIF(57:57,C12,58:58)+100</f>
        <v>100</v>
      </c>
      <c r="K12" s="531"/>
      <c r="L12" s="1743"/>
      <c r="M12" s="1640"/>
      <c r="N12" s="1640"/>
      <c r="O12" s="1744"/>
      <c r="P12" s="3623"/>
      <c r="Q12" s="818">
        <f t="shared" si="6"/>
        <v>111</v>
      </c>
      <c r="R12" s="1303" t="s">
        <v>5</v>
      </c>
      <c r="S12" s="1304">
        <f t="shared" si="0"/>
        <v>100</v>
      </c>
      <c r="T12" s="1303" t="s">
        <v>5</v>
      </c>
      <c r="U12" s="1304">
        <f t="shared" si="1"/>
        <v>100</v>
      </c>
      <c r="V12" s="1303" t="s">
        <v>5</v>
      </c>
      <c r="W12" s="1304">
        <f t="shared" si="2"/>
        <v>100</v>
      </c>
      <c r="X12" s="1305"/>
      <c r="Y12" s="3575"/>
      <c r="Z12" s="997">
        <f t="shared" si="7"/>
        <v>111</v>
      </c>
      <c r="AA12" s="997">
        <f>D12/F12</f>
        <v>1</v>
      </c>
      <c r="AB12" s="997">
        <f>D12/H12</f>
        <v>1</v>
      </c>
      <c r="AC12" s="997">
        <f>D12/J12</f>
        <v>1</v>
      </c>
    </row>
    <row r="13" spans="1:29" ht="15.75" thickBot="1">
      <c r="A13" s="2215"/>
      <c r="B13" s="2221">
        <v>111</v>
      </c>
      <c r="C13" s="489"/>
      <c r="D13" s="490">
        <v>100</v>
      </c>
      <c r="E13" s="806"/>
      <c r="F13" s="235">
        <f>SUMIF(59:59,E13,60:60)-SUMIF(59:59,C13,60:60)+100</f>
        <v>100</v>
      </c>
      <c r="G13" s="806"/>
      <c r="H13" s="490">
        <f>SUMIF(59:59,G13,60:60)-SUMIF(59:59,C13,60:60)+100</f>
        <v>100</v>
      </c>
      <c r="I13" s="806"/>
      <c r="J13" s="490">
        <f>SUMIF(59:59,I13,60:60)-SUMIF(59:59,C13,60:60)+100</f>
        <v>100</v>
      </c>
      <c r="K13" s="531"/>
      <c r="L13" s="1749"/>
      <c r="M13" s="1742"/>
      <c r="N13" s="1742"/>
      <c r="O13" s="1748"/>
      <c r="P13" s="3623"/>
      <c r="Q13" s="818">
        <f t="shared" si="6"/>
        <v>111</v>
      </c>
      <c r="R13" s="1303" t="s">
        <v>5</v>
      </c>
      <c r="S13" s="1304">
        <f t="shared" si="0"/>
        <v>100</v>
      </c>
      <c r="T13" s="1303" t="s">
        <v>5</v>
      </c>
      <c r="U13" s="1304">
        <f t="shared" si="1"/>
        <v>100</v>
      </c>
      <c r="V13" s="1303" t="s">
        <v>5</v>
      </c>
      <c r="W13" s="1304">
        <f t="shared" si="2"/>
        <v>100</v>
      </c>
      <c r="X13" s="1305"/>
      <c r="Y13" s="3575"/>
      <c r="Z13" s="997">
        <f t="shared" si="7"/>
        <v>111</v>
      </c>
      <c r="AA13" s="997">
        <f t="shared" si="3"/>
        <v>1</v>
      </c>
      <c r="AB13" s="997">
        <f t="shared" si="4"/>
        <v>1</v>
      </c>
      <c r="AC13" s="997">
        <f t="shared" si="5"/>
        <v>1</v>
      </c>
    </row>
    <row r="14" spans="1:29" ht="85.5">
      <c r="A14" s="2207" t="s">
        <v>2036</v>
      </c>
      <c r="B14" s="150" t="s">
        <v>492</v>
      </c>
      <c r="C14" s="843" t="str">
        <f>IF(B1="工业",估价对象房地状况!G4,估价对象房地状况!C6)</f>
        <v>估价对象周边道路状况、公共交通通达情况、停车便捷程度，综合评价交通便捷度较好</v>
      </c>
      <c r="D14" s="499">
        <v>100</v>
      </c>
      <c r="E14" s="500"/>
      <c r="F14" s="501">
        <f>SUMIF(61:61,E15,62:62)-SUMIF(61:61,C15,62:62)+100</f>
        <v>100</v>
      </c>
      <c r="G14" s="502"/>
      <c r="H14" s="499">
        <f>SUMIF(61:61,G15,62:62)-SUMIF(61:61,C15,62:62)+100</f>
        <v>100</v>
      </c>
      <c r="I14" s="500"/>
      <c r="J14" s="499">
        <f>SUMIF(61:61,I15,62:62)-SUMIF(61:61,C15,62:62)+100</f>
        <v>100</v>
      </c>
      <c r="K14" s="822"/>
      <c r="L14" s="1749"/>
      <c r="M14" s="1742"/>
      <c r="N14" s="1742"/>
      <c r="O14" s="1748"/>
      <c r="P14" s="3625" t="s">
        <v>489</v>
      </c>
      <c r="Q14" s="1306" t="str">
        <f t="shared" si="6"/>
        <v>交通便捷度</v>
      </c>
      <c r="R14" s="1307" t="s">
        <v>5</v>
      </c>
      <c r="S14" s="1308">
        <f t="shared" si="0"/>
        <v>100</v>
      </c>
      <c r="T14" s="1307" t="s">
        <v>5</v>
      </c>
      <c r="U14" s="1308">
        <f t="shared" si="1"/>
        <v>100</v>
      </c>
      <c r="V14" s="1307" t="s">
        <v>5</v>
      </c>
      <c r="W14" s="1308">
        <f t="shared" si="2"/>
        <v>100</v>
      </c>
      <c r="X14" s="1302"/>
      <c r="Y14" s="3625" t="s">
        <v>489</v>
      </c>
      <c r="Z14" s="1309" t="str">
        <f t="shared" si="7"/>
        <v>交通便捷度</v>
      </c>
      <c r="AA14" s="1309">
        <f t="shared" si="3"/>
        <v>1</v>
      </c>
      <c r="AB14" s="1309">
        <f t="shared" si="4"/>
        <v>1</v>
      </c>
      <c r="AC14" s="1309">
        <f t="shared" si="5"/>
        <v>1</v>
      </c>
    </row>
    <row r="15" spans="1:29" ht="15">
      <c r="A15" s="482"/>
      <c r="B15" s="799"/>
      <c r="C15" s="526"/>
      <c r="D15" s="505"/>
      <c r="E15" s="526"/>
      <c r="F15" s="507"/>
      <c r="G15" s="526"/>
      <c r="H15" s="509"/>
      <c r="I15" s="526"/>
      <c r="J15" s="505"/>
      <c r="K15" s="823"/>
      <c r="L15" s="1749"/>
      <c r="M15" s="1742"/>
      <c r="N15" s="1742"/>
      <c r="O15" s="1748"/>
      <c r="P15" s="3626"/>
      <c r="Q15" s="1306"/>
      <c r="R15" s="1307"/>
      <c r="S15" s="1308"/>
      <c r="T15" s="1307"/>
      <c r="U15" s="1308"/>
      <c r="V15" s="1307"/>
      <c r="W15" s="1308"/>
      <c r="X15" s="1302"/>
      <c r="Y15" s="3626"/>
      <c r="Z15" s="1309"/>
      <c r="AA15" s="1309">
        <v>1</v>
      </c>
      <c r="AB15" s="1309">
        <v>1</v>
      </c>
      <c r="AC15" s="1309">
        <v>1</v>
      </c>
    </row>
    <row r="16" spans="1:29" ht="42.75">
      <c r="A16" s="482"/>
      <c r="B16" s="2062" t="s">
        <v>1829</v>
      </c>
      <c r="C16" s="801" t="str">
        <f>IF(B1="工业",估价对象房地状况!G5,估价对象房地状况!C7)</f>
        <v>估价对象所在区域公共配套设施齐备情况</v>
      </c>
      <c r="D16" s="515">
        <v>100</v>
      </c>
      <c r="E16" s="520"/>
      <c r="F16" s="521">
        <f>SUMIF(63:63,E17,64:64)-SUMIF(63:63,C17,64:64)+100</f>
        <v>100</v>
      </c>
      <c r="G16" s="522"/>
      <c r="H16" s="515">
        <f>SUMIF(63:63,G17,64:64)-SUMIF(63:63,C17,64:64)+100</f>
        <v>100</v>
      </c>
      <c r="I16" s="520"/>
      <c r="J16" s="515">
        <f>SUMIF(63:63,I17,64:64)-SUMIF(63:63,C17,64:64)+100</f>
        <v>100</v>
      </c>
      <c r="K16" s="822"/>
      <c r="L16" s="1749"/>
      <c r="M16" s="1742"/>
      <c r="N16" s="1742"/>
      <c r="O16" s="1748"/>
      <c r="P16" s="3626"/>
      <c r="Q16" s="1306" t="str">
        <f>B16</f>
        <v>公共配套设施</v>
      </c>
      <c r="R16" s="1307" t="s">
        <v>5</v>
      </c>
      <c r="S16" s="1308">
        <f>F16</f>
        <v>100</v>
      </c>
      <c r="T16" s="1307" t="s">
        <v>5</v>
      </c>
      <c r="U16" s="1308">
        <f>H16</f>
        <v>100</v>
      </c>
      <c r="V16" s="1307" t="s">
        <v>5</v>
      </c>
      <c r="W16" s="1308">
        <f>J16</f>
        <v>100</v>
      </c>
      <c r="X16" s="1302"/>
      <c r="Y16" s="3626"/>
      <c r="Z16" s="1309" t="str">
        <f>Q16</f>
        <v>公共配套设施</v>
      </c>
      <c r="AA16" s="1309">
        <f t="shared" si="3"/>
        <v>1</v>
      </c>
      <c r="AB16" s="1309">
        <f t="shared" si="4"/>
        <v>1</v>
      </c>
      <c r="AC16" s="1309">
        <f t="shared" si="5"/>
        <v>1</v>
      </c>
    </row>
    <row r="17" spans="1:29" ht="15">
      <c r="A17" s="482"/>
      <c r="B17" s="516"/>
      <c r="C17" s="802"/>
      <c r="D17" s="505"/>
      <c r="E17" s="526"/>
      <c r="F17" s="507"/>
      <c r="G17" s="526"/>
      <c r="H17" s="505"/>
      <c r="I17" s="526"/>
      <c r="J17" s="505"/>
      <c r="K17" s="823"/>
      <c r="L17" s="1749"/>
      <c r="M17" s="1742"/>
      <c r="N17" s="1742"/>
      <c r="O17" s="1748"/>
      <c r="P17" s="3626"/>
      <c r="Q17" s="1306"/>
      <c r="R17" s="1307"/>
      <c r="S17" s="1308"/>
      <c r="T17" s="1307"/>
      <c r="U17" s="1308"/>
      <c r="V17" s="1307"/>
      <c r="W17" s="1308"/>
      <c r="X17" s="1302"/>
      <c r="Y17" s="3626"/>
      <c r="Z17" s="1309"/>
      <c r="AA17" s="1309">
        <v>1</v>
      </c>
      <c r="AB17" s="1309">
        <v>1</v>
      </c>
      <c r="AC17" s="1309">
        <v>1</v>
      </c>
    </row>
    <row r="18" spans="1:29" ht="28.5">
      <c r="A18" s="482"/>
      <c r="B18" s="2050" t="s">
        <v>1841</v>
      </c>
      <c r="C18" s="801" t="str">
        <f>IF(B1="工业",估价对象房地状况!G6,估价对象房地状况!C8)</f>
        <v>估价对象所在区域基础设施水平</v>
      </c>
      <c r="D18" s="509">
        <v>100</v>
      </c>
      <c r="E18" s="512"/>
      <c r="F18" s="513">
        <f>SUMIF(65:65,E19,66:66)-SUMIF(65:65,C19,66:66)+100</f>
        <v>100</v>
      </c>
      <c r="G18" s="514"/>
      <c r="H18" s="515">
        <f>SUMIF(65:65,G19,66:66)-SUMIF(65:65,C19,66:66)+100</f>
        <v>100</v>
      </c>
      <c r="I18" s="520"/>
      <c r="J18" s="515">
        <f>SUMIF(65:65,I19,66:66)-SUMIF(65:65,C19,66:66)+100</f>
        <v>100</v>
      </c>
      <c r="K18" s="822"/>
      <c r="L18" s="1749"/>
      <c r="M18" s="1742"/>
      <c r="N18" s="1742"/>
      <c r="O18" s="1748"/>
      <c r="P18" s="3626"/>
      <c r="Q18" s="1306" t="str">
        <f>B18</f>
        <v>基础设施水平</v>
      </c>
      <c r="R18" s="1307" t="s">
        <v>5</v>
      </c>
      <c r="S18" s="1308">
        <f>F18</f>
        <v>100</v>
      </c>
      <c r="T18" s="1307" t="s">
        <v>5</v>
      </c>
      <c r="U18" s="1308">
        <f>H18</f>
        <v>100</v>
      </c>
      <c r="V18" s="1307" t="s">
        <v>5</v>
      </c>
      <c r="W18" s="1308">
        <f>J18</f>
        <v>100</v>
      </c>
      <c r="X18" s="1302"/>
      <c r="Y18" s="3626"/>
      <c r="Z18" s="1309" t="str">
        <f>Q18</f>
        <v>基础设施水平</v>
      </c>
      <c r="AA18" s="1309">
        <f>D18/F18</f>
        <v>1</v>
      </c>
      <c r="AB18" s="1309">
        <f>D18/H18</f>
        <v>1</v>
      </c>
      <c r="AC18" s="1309">
        <f>D18/J18</f>
        <v>1</v>
      </c>
    </row>
    <row r="19" spans="1:29" ht="15">
      <c r="A19" s="482"/>
      <c r="B19" s="528"/>
      <c r="C19" s="802"/>
      <c r="D19" s="509"/>
      <c r="E19" s="802"/>
      <c r="F19" s="513"/>
      <c r="G19" s="802"/>
      <c r="H19" s="505"/>
      <c r="I19" s="526"/>
      <c r="J19" s="505"/>
      <c r="K19" s="2061"/>
      <c r="L19" s="1749"/>
      <c r="M19" s="1742"/>
      <c r="N19" s="1742"/>
      <c r="O19" s="1748"/>
      <c r="P19" s="3626"/>
      <c r="Q19" s="1306"/>
      <c r="R19" s="1307"/>
      <c r="S19" s="1308"/>
      <c r="T19" s="1307"/>
      <c r="U19" s="1308"/>
      <c r="V19" s="1307"/>
      <c r="W19" s="1308"/>
      <c r="X19" s="1302"/>
      <c r="Y19" s="3626"/>
      <c r="Z19" s="1309"/>
      <c r="AA19" s="1309">
        <v>1</v>
      </c>
      <c r="AB19" s="1309">
        <v>1</v>
      </c>
      <c r="AC19" s="1309">
        <v>1</v>
      </c>
    </row>
    <row r="20" spans="1:29" ht="57">
      <c r="A20" s="482"/>
      <c r="B20" s="677" t="s">
        <v>744</v>
      </c>
      <c r="C20" s="801" t="str">
        <f>IF(B1="工业",估价对象房地状况!G7,估价对象房地状况!C9)</f>
        <v>区域自然环境：；人文环境；综合评价环境状况一般</v>
      </c>
      <c r="D20" s="515">
        <v>100</v>
      </c>
      <c r="E20" s="520"/>
      <c r="F20" s="521">
        <f>SUMIF(67:67,E21,68:68)-SUMIF(67:67,C21,68:68)+100</f>
        <v>100</v>
      </c>
      <c r="G20" s="522"/>
      <c r="H20" s="509">
        <f>SUMIF(67:67,G21,68:68)-SUMIF(67:67,C21,68:68)+100</f>
        <v>100</v>
      </c>
      <c r="I20" s="512"/>
      <c r="J20" s="509">
        <f>SUMIF(67:67,I21,68:68)-SUMIF(67:67,C21,68:68)+100</f>
        <v>100</v>
      </c>
      <c r="K20" s="822"/>
      <c r="L20" s="1749"/>
      <c r="M20" s="1742"/>
      <c r="N20" s="1742"/>
      <c r="O20" s="1748"/>
      <c r="P20" s="3626"/>
      <c r="Q20" s="1306" t="str">
        <f>B20</f>
        <v>自然及人文环境</v>
      </c>
      <c r="R20" s="1307" t="s">
        <v>5</v>
      </c>
      <c r="S20" s="1308">
        <f>F20</f>
        <v>100</v>
      </c>
      <c r="T20" s="1307" t="s">
        <v>5</v>
      </c>
      <c r="U20" s="1308">
        <f>H20</f>
        <v>100</v>
      </c>
      <c r="V20" s="1307" t="s">
        <v>5</v>
      </c>
      <c r="W20" s="1308">
        <f>J20</f>
        <v>100</v>
      </c>
      <c r="X20" s="1302"/>
      <c r="Y20" s="3626"/>
      <c r="Z20" s="1309" t="str">
        <f>Q20</f>
        <v>自然及人文环境</v>
      </c>
      <c r="AA20" s="1309">
        <f t="shared" si="3"/>
        <v>1</v>
      </c>
      <c r="AB20" s="1309">
        <f t="shared" si="4"/>
        <v>1</v>
      </c>
      <c r="AC20" s="1309">
        <f t="shared" si="5"/>
        <v>1</v>
      </c>
    </row>
    <row r="21" spans="1:29" ht="15">
      <c r="A21" s="482"/>
      <c r="B21" s="544"/>
      <c r="C21" s="526"/>
      <c r="D21" s="505"/>
      <c r="E21" s="526"/>
      <c r="F21" s="507"/>
      <c r="G21" s="526"/>
      <c r="H21" s="505"/>
      <c r="I21" s="526"/>
      <c r="J21" s="505"/>
      <c r="K21" s="823"/>
      <c r="L21" s="1749"/>
      <c r="M21" s="1742"/>
      <c r="N21" s="1742"/>
      <c r="O21" s="1748"/>
      <c r="P21" s="3626"/>
      <c r="Q21" s="1306"/>
      <c r="R21" s="1307"/>
      <c r="S21" s="1308"/>
      <c r="T21" s="1307"/>
      <c r="U21" s="1308"/>
      <c r="V21" s="1307"/>
      <c r="W21" s="1308"/>
      <c r="X21" s="1302"/>
      <c r="Y21" s="3626"/>
      <c r="Z21" s="1309"/>
      <c r="AA21" s="1309">
        <v>1</v>
      </c>
      <c r="AB21" s="1309">
        <v>1</v>
      </c>
      <c r="AC21" s="1309">
        <v>1</v>
      </c>
    </row>
    <row r="22" spans="1:29" ht="15">
      <c r="A22" s="482"/>
      <c r="B22" s="677" t="s">
        <v>745</v>
      </c>
      <c r="C22" s="532"/>
      <c r="D22" s="509">
        <v>100</v>
      </c>
      <c r="E22" s="532"/>
      <c r="F22" s="525">
        <f>SUMIF(69:69,E22,70:70)-SUMIF(69:69,C22,70:70)+100</f>
        <v>100</v>
      </c>
      <c r="G22" s="532"/>
      <c r="H22" s="490">
        <f>SUMIF(69:69,G22,70:70)-SUMIF(69:69,C22,70:70)+100</f>
        <v>100</v>
      </c>
      <c r="I22" s="532"/>
      <c r="J22" s="490">
        <f>SUMIF(69:69,I22,70:70)-SUMIF(69:69,C22,70:70)+100</f>
        <v>100</v>
      </c>
      <c r="K22" s="533"/>
      <c r="L22" s="1749"/>
      <c r="M22" s="1742"/>
      <c r="N22" s="1742"/>
      <c r="O22" s="1748"/>
      <c r="P22" s="3626"/>
      <c r="Q22" s="1306" t="str">
        <f>B22</f>
        <v>楼层</v>
      </c>
      <c r="R22" s="1307" t="s">
        <v>5</v>
      </c>
      <c r="S22" s="1308">
        <f>F22</f>
        <v>100</v>
      </c>
      <c r="T22" s="1307" t="s">
        <v>5</v>
      </c>
      <c r="U22" s="1308">
        <f>H22</f>
        <v>100</v>
      </c>
      <c r="V22" s="1307" t="s">
        <v>5</v>
      </c>
      <c r="W22" s="1308">
        <f>J22</f>
        <v>100</v>
      </c>
      <c r="X22" s="1302"/>
      <c r="Y22" s="3626"/>
      <c r="Z22" s="1309" t="str">
        <f>Q22</f>
        <v>楼层</v>
      </c>
      <c r="AA22" s="1309">
        <f t="shared" si="3"/>
        <v>1</v>
      </c>
      <c r="AB22" s="1309">
        <f t="shared" si="4"/>
        <v>1</v>
      </c>
      <c r="AC22" s="1309">
        <f t="shared" si="5"/>
        <v>1</v>
      </c>
    </row>
    <row r="23" spans="1:29" ht="15">
      <c r="A23" s="466"/>
      <c r="B23" s="487">
        <v>111</v>
      </c>
      <c r="C23" s="478"/>
      <c r="D23" s="490">
        <v>100</v>
      </c>
      <c r="E23" s="489"/>
      <c r="F23" s="525">
        <f>SUMIF(71:71,E23,72:72)-SUMIF(71:71,C23,72:72)+100</f>
        <v>100</v>
      </c>
      <c r="G23" s="489"/>
      <c r="H23" s="490">
        <f>SUMIF(71:71,G23,72:72)-SUMIF(71:71,C23,72:72)+100</f>
        <v>100</v>
      </c>
      <c r="I23" s="489"/>
      <c r="J23" s="490">
        <f>SUMIF(71:71,I23,72:72)-SUMIF(71:71,C23,72:72)+100</f>
        <v>100</v>
      </c>
      <c r="K23" s="531"/>
      <c r="L23" s="1749"/>
      <c r="M23" s="1742"/>
      <c r="N23" s="1742"/>
      <c r="O23" s="1748"/>
      <c r="P23" s="3626"/>
      <c r="Q23" s="1306">
        <f>B23</f>
        <v>111</v>
      </c>
      <c r="R23" s="1307" t="s">
        <v>5</v>
      </c>
      <c r="S23" s="1308">
        <f>F23</f>
        <v>100</v>
      </c>
      <c r="T23" s="1307" t="s">
        <v>5</v>
      </c>
      <c r="U23" s="1308">
        <f>H23</f>
        <v>100</v>
      </c>
      <c r="V23" s="1307" t="s">
        <v>5</v>
      </c>
      <c r="W23" s="1308">
        <f>J23</f>
        <v>100</v>
      </c>
      <c r="X23" s="1302"/>
      <c r="Y23" s="3626"/>
      <c r="Z23" s="1309">
        <f>Q23</f>
        <v>111</v>
      </c>
      <c r="AA23" s="1309">
        <f t="shared" si="3"/>
        <v>1</v>
      </c>
      <c r="AB23" s="1309">
        <f t="shared" si="4"/>
        <v>1</v>
      </c>
      <c r="AC23" s="1309">
        <f t="shared" si="5"/>
        <v>1</v>
      </c>
    </row>
    <row r="24" spans="1:29" ht="15">
      <c r="A24" s="482"/>
      <c r="B24" s="487">
        <v>111</v>
      </c>
      <c r="C24" s="478"/>
      <c r="D24" s="490">
        <v>100</v>
      </c>
      <c r="E24" s="489"/>
      <c r="F24" s="525">
        <f>SUMIF(73:73,E24,74:74)-SUMIF(73:73,C24,74:74)+100</f>
        <v>100</v>
      </c>
      <c r="G24" s="489"/>
      <c r="H24" s="490">
        <f>SUMIF(73:73,G24,74:74)-SUMIF(73:73,C24,74:74)+100</f>
        <v>100</v>
      </c>
      <c r="I24" s="489"/>
      <c r="J24" s="490">
        <f>SUMIF(73:73,I24,74:74)-SUMIF(73:73,C24,74:74)+100</f>
        <v>100</v>
      </c>
      <c r="K24" s="531"/>
      <c r="L24" s="1749"/>
      <c r="M24" s="1742"/>
      <c r="N24" s="1742"/>
      <c r="O24" s="1748"/>
      <c r="P24" s="3626"/>
      <c r="Q24" s="1306">
        <f t="shared" ref="Q24:Q34" si="8">B24</f>
        <v>111</v>
      </c>
      <c r="R24" s="1307" t="s">
        <v>5</v>
      </c>
      <c r="S24" s="1308">
        <f>F24</f>
        <v>100</v>
      </c>
      <c r="T24" s="1307" t="s">
        <v>5</v>
      </c>
      <c r="U24" s="1308">
        <f>H24</f>
        <v>100</v>
      </c>
      <c r="V24" s="1307" t="s">
        <v>5</v>
      </c>
      <c r="W24" s="1308">
        <f>J24</f>
        <v>100</v>
      </c>
      <c r="X24" s="1302"/>
      <c r="Y24" s="3626"/>
      <c r="Z24" s="1309">
        <f>Q24</f>
        <v>111</v>
      </c>
      <c r="AA24" s="1309">
        <f t="shared" si="3"/>
        <v>1</v>
      </c>
      <c r="AB24" s="1309">
        <f t="shared" si="4"/>
        <v>1</v>
      </c>
      <c r="AC24" s="1309">
        <f t="shared" si="5"/>
        <v>1</v>
      </c>
    </row>
    <row r="25" spans="1:29" s="1060" customFormat="1" ht="15.75" thickBot="1">
      <c r="A25" s="486"/>
      <c r="B25" s="487">
        <v>111</v>
      </c>
      <c r="C25" s="861"/>
      <c r="D25" s="528">
        <v>100</v>
      </c>
      <c r="E25" s="861"/>
      <c r="F25" s="844">
        <f>SUMIF(75:75,E25,76:76)-SUMIF(75:75,C25,76:76)+100</f>
        <v>100</v>
      </c>
      <c r="G25" s="861"/>
      <c r="H25" s="528">
        <f>SUMIF(75:75,G25,76:76)-SUMIF(75:75,C25,76:76)+100</f>
        <v>100</v>
      </c>
      <c r="I25" s="861"/>
      <c r="J25" s="528">
        <f>SUMIF(75:75,I25,76:76)-SUMIF(75:75,C25,76:76)+100</f>
        <v>100</v>
      </c>
      <c r="K25" s="531"/>
      <c r="L25" s="1743"/>
      <c r="M25" s="1640"/>
      <c r="N25" s="1640"/>
      <c r="O25" s="1744"/>
      <c r="P25" s="3626"/>
      <c r="Q25" s="818">
        <f t="shared" si="8"/>
        <v>111</v>
      </c>
      <c r="R25" s="1303" t="s">
        <v>5</v>
      </c>
      <c r="S25" s="1304">
        <f>F25</f>
        <v>100</v>
      </c>
      <c r="T25" s="1303" t="s">
        <v>5</v>
      </c>
      <c r="U25" s="1304">
        <f>H25</f>
        <v>100</v>
      </c>
      <c r="V25" s="1303" t="s">
        <v>5</v>
      </c>
      <c r="W25" s="1304">
        <f>J25</f>
        <v>100</v>
      </c>
      <c r="X25" s="1305"/>
      <c r="Y25" s="3626"/>
      <c r="Z25" s="997">
        <f>Q25</f>
        <v>111</v>
      </c>
      <c r="AA25" s="1309">
        <f>D25/F25</f>
        <v>1</v>
      </c>
      <c r="AB25" s="1309">
        <f>D25/H25</f>
        <v>1</v>
      </c>
      <c r="AC25" s="1309">
        <f>D25/J25</f>
        <v>1</v>
      </c>
    </row>
    <row r="26" spans="1:29" ht="15">
      <c r="A26" s="2204" t="s">
        <v>2037</v>
      </c>
      <c r="B26" s="156" t="s">
        <v>748</v>
      </c>
      <c r="C26" s="804"/>
      <c r="D26" s="546">
        <v>100</v>
      </c>
      <c r="E26" s="804"/>
      <c r="F26" s="862">
        <f>SUMIF(77:77,E26,78:78)-SUMIF(77:77,C26,78:78)+100</f>
        <v>100</v>
      </c>
      <c r="G26" s="804"/>
      <c r="H26" s="546">
        <f>SUMIF(77:77,G26,78:78)-SUMIF(77:77,C26,78:78)+100</f>
        <v>100</v>
      </c>
      <c r="I26" s="804"/>
      <c r="J26" s="546">
        <f>SUMIF(77:77,I26,78:78)-SUMIF(77:77,C26,78:78)+100</f>
        <v>100</v>
      </c>
      <c r="K26" s="533"/>
      <c r="L26" s="1749"/>
      <c r="M26" s="1742"/>
      <c r="N26" s="1742"/>
      <c r="O26" s="1748"/>
      <c r="P26" s="3627" t="s">
        <v>761</v>
      </c>
      <c r="Q26" s="1306" t="str">
        <f t="shared" si="8"/>
        <v>公共部分装修</v>
      </c>
      <c r="R26" s="1307" t="s">
        <v>5</v>
      </c>
      <c r="S26" s="1308">
        <f t="shared" ref="S26:S34" si="9">F26</f>
        <v>100</v>
      </c>
      <c r="T26" s="1307" t="s">
        <v>5</v>
      </c>
      <c r="U26" s="1308">
        <f t="shared" ref="U26:U34" si="10">H26</f>
        <v>100</v>
      </c>
      <c r="V26" s="1307" t="s">
        <v>5</v>
      </c>
      <c r="W26" s="1308">
        <f t="shared" ref="W26:W34" si="11">J26</f>
        <v>100</v>
      </c>
      <c r="X26" s="1302"/>
      <c r="Y26" s="3628" t="s">
        <v>761</v>
      </c>
      <c r="Z26" s="1309" t="str">
        <f t="shared" ref="Z26:Z34" si="12">Q26</f>
        <v>公共部分装修</v>
      </c>
      <c r="AA26" s="1309">
        <f t="shared" si="3"/>
        <v>1</v>
      </c>
      <c r="AB26" s="1309">
        <f t="shared" si="4"/>
        <v>1</v>
      </c>
      <c r="AC26" s="1309">
        <f t="shared" si="5"/>
        <v>1</v>
      </c>
    </row>
    <row r="27" spans="1:29" s="1134" customFormat="1" ht="15">
      <c r="A27" s="552"/>
      <c r="B27" s="477" t="s">
        <v>749</v>
      </c>
      <c r="C27" s="808"/>
      <c r="D27" s="235">
        <v>100</v>
      </c>
      <c r="E27" s="809"/>
      <c r="F27" s="525" t="e">
        <f>LOOKUP(E27,80:80,81:81)-LOOKUP(C27,80:80,81:81)+100</f>
        <v>#N/A</v>
      </c>
      <c r="G27" s="810"/>
      <c r="H27" s="490" t="e">
        <f>LOOKUP(G27,80:80,81:81)-LOOKUP(C27,80:80,81:81)+100</f>
        <v>#N/A</v>
      </c>
      <c r="I27" s="810"/>
      <c r="J27" s="490" t="e">
        <f>LOOKUP(I27,80:80,81:81)-LOOKUP(C27,80:80,81:81)+100</f>
        <v>#N/A</v>
      </c>
      <c r="K27" s="533"/>
      <c r="L27" s="1747"/>
      <c r="M27" s="1771"/>
      <c r="N27" s="1771"/>
      <c r="O27" s="1750"/>
      <c r="P27" s="3628"/>
      <c r="Q27" s="819" t="str">
        <f t="shared" si="8"/>
        <v>成新率</v>
      </c>
      <c r="R27" s="1310" t="s">
        <v>5</v>
      </c>
      <c r="S27" s="1311" t="e">
        <f t="shared" si="9"/>
        <v>#N/A</v>
      </c>
      <c r="T27" s="1310" t="s">
        <v>5</v>
      </c>
      <c r="U27" s="1311" t="e">
        <f t="shared" si="10"/>
        <v>#N/A</v>
      </c>
      <c r="V27" s="1310" t="s">
        <v>5</v>
      </c>
      <c r="W27" s="1311" t="e">
        <f t="shared" si="11"/>
        <v>#N/A</v>
      </c>
      <c r="X27" s="1312"/>
      <c r="Y27" s="3628"/>
      <c r="Z27" s="1313" t="str">
        <f t="shared" si="12"/>
        <v>成新率</v>
      </c>
      <c r="AA27" s="1309" t="e">
        <f t="shared" si="3"/>
        <v>#N/A</v>
      </c>
      <c r="AB27" s="1309" t="e">
        <f t="shared" si="4"/>
        <v>#N/A</v>
      </c>
      <c r="AC27" s="1309" t="e">
        <f t="shared" si="5"/>
        <v>#N/A</v>
      </c>
    </row>
    <row r="28" spans="1:29" ht="15">
      <c r="A28" s="543"/>
      <c r="B28" s="477" t="s">
        <v>750</v>
      </c>
      <c r="C28" s="524"/>
      <c r="D28" s="490">
        <v>100</v>
      </c>
      <c r="E28" s="524"/>
      <c r="F28" s="525">
        <f>SUMIF(82:82,E28,83:83)-SUMIF(82:82,C28,83:83)+100</f>
        <v>100</v>
      </c>
      <c r="G28" s="524"/>
      <c r="H28" s="490">
        <f>SUMIF(82:82,G28,83:83)-SUMIF(82:82,C28,83:83)+100</f>
        <v>100</v>
      </c>
      <c r="I28" s="524"/>
      <c r="J28" s="490">
        <f>SUMIF(82:82,I28,83:83)-SUMIF(82:82,C28,83:83)+100</f>
        <v>100</v>
      </c>
      <c r="K28" s="533"/>
      <c r="L28" s="1749"/>
      <c r="M28" s="1742"/>
      <c r="N28" s="1742"/>
      <c r="O28" s="1748"/>
      <c r="P28" s="3628"/>
      <c r="Q28" s="1306" t="str">
        <f t="shared" si="8"/>
        <v>物业等级</v>
      </c>
      <c r="R28" s="1307" t="s">
        <v>5</v>
      </c>
      <c r="S28" s="1308">
        <f t="shared" si="9"/>
        <v>100</v>
      </c>
      <c r="T28" s="1307" t="s">
        <v>5</v>
      </c>
      <c r="U28" s="1308">
        <f t="shared" si="10"/>
        <v>100</v>
      </c>
      <c r="V28" s="1307" t="s">
        <v>5</v>
      </c>
      <c r="W28" s="1308">
        <f t="shared" si="11"/>
        <v>100</v>
      </c>
      <c r="X28" s="1302"/>
      <c r="Y28" s="3628"/>
      <c r="Z28" s="1309" t="str">
        <f t="shared" si="12"/>
        <v>物业等级</v>
      </c>
      <c r="AA28" s="1309">
        <f t="shared" si="3"/>
        <v>1</v>
      </c>
      <c r="AB28" s="1309">
        <f t="shared" si="4"/>
        <v>1</v>
      </c>
      <c r="AC28" s="1309">
        <f t="shared" si="5"/>
        <v>1</v>
      </c>
    </row>
    <row r="29" spans="1:29" ht="15">
      <c r="A29" s="543"/>
      <c r="B29" s="477" t="s">
        <v>762</v>
      </c>
      <c r="C29" s="853"/>
      <c r="D29" s="490">
        <v>100</v>
      </c>
      <c r="E29" s="853"/>
      <c r="F29" s="525">
        <f>SUMIF(84:84,E29,85:85)-SUMIF(84:84,C29,85:85)+100</f>
        <v>100</v>
      </c>
      <c r="G29" s="853"/>
      <c r="H29" s="490">
        <f>SUMIF(84:84,G29,85:85)-SUMIF(84:84,C29,85:85)+100</f>
        <v>100</v>
      </c>
      <c r="I29" s="853"/>
      <c r="J29" s="490">
        <f>SUMIF(84:84,I29,85:85)-SUMIF(84:84,C29,85:85)+100</f>
        <v>100</v>
      </c>
      <c r="K29" s="533"/>
      <c r="L29" s="1749"/>
      <c r="M29" s="1742"/>
      <c r="N29" s="1742"/>
      <c r="O29" s="1748"/>
      <c r="P29" s="3628"/>
      <c r="Q29" s="1306" t="str">
        <f t="shared" si="8"/>
        <v>有无电梯</v>
      </c>
      <c r="R29" s="1307" t="s">
        <v>5</v>
      </c>
      <c r="S29" s="1308">
        <f t="shared" si="9"/>
        <v>100</v>
      </c>
      <c r="T29" s="1307" t="s">
        <v>5</v>
      </c>
      <c r="U29" s="1308">
        <f t="shared" si="10"/>
        <v>100</v>
      </c>
      <c r="V29" s="1307" t="s">
        <v>5</v>
      </c>
      <c r="W29" s="1308">
        <f t="shared" si="11"/>
        <v>100</v>
      </c>
      <c r="X29" s="1302"/>
      <c r="Y29" s="3628"/>
      <c r="Z29" s="1309" t="str">
        <f t="shared" si="12"/>
        <v>有无电梯</v>
      </c>
      <c r="AA29" s="1309">
        <f t="shared" si="3"/>
        <v>1</v>
      </c>
      <c r="AB29" s="1309">
        <f t="shared" si="4"/>
        <v>1</v>
      </c>
      <c r="AC29" s="1309">
        <f t="shared" si="5"/>
        <v>1</v>
      </c>
    </row>
    <row r="30" spans="1:29" ht="15">
      <c r="A30" s="543"/>
      <c r="B30" s="477" t="s">
        <v>763</v>
      </c>
      <c r="C30" s="806"/>
      <c r="D30" s="490">
        <v>100</v>
      </c>
      <c r="E30" s="806"/>
      <c r="F30" s="525" t="e">
        <f>LOOKUP(E30,87:87,88:88)-LOOKUP(C30,87:87,88:88)+100</f>
        <v>#N/A</v>
      </c>
      <c r="G30" s="806"/>
      <c r="H30" s="490" t="e">
        <f>LOOKUP(G30,87:87,88:88)-LOOKUP(C30,87:87,88:88)+100</f>
        <v>#N/A</v>
      </c>
      <c r="I30" s="806"/>
      <c r="J30" s="490" t="e">
        <f>LOOKUP(I30,87:87,88:88)-LOOKUP(C30,87:87,88:88)+100</f>
        <v>#N/A</v>
      </c>
      <c r="K30" s="531"/>
      <c r="L30" s="1749"/>
      <c r="M30" s="1742"/>
      <c r="N30" s="1742"/>
      <c r="O30" s="1748"/>
      <c r="P30" s="3628"/>
      <c r="Q30" s="1306" t="str">
        <f t="shared" si="8"/>
        <v>建筑面积</v>
      </c>
      <c r="R30" s="1307" t="s">
        <v>5</v>
      </c>
      <c r="S30" s="1308" t="e">
        <f t="shared" si="9"/>
        <v>#N/A</v>
      </c>
      <c r="T30" s="1307" t="s">
        <v>5</v>
      </c>
      <c r="U30" s="1308" t="e">
        <f t="shared" si="10"/>
        <v>#N/A</v>
      </c>
      <c r="V30" s="1307" t="s">
        <v>5</v>
      </c>
      <c r="W30" s="1308" t="e">
        <f t="shared" si="11"/>
        <v>#N/A</v>
      </c>
      <c r="X30" s="1302"/>
      <c r="Y30" s="3628"/>
      <c r="Z30" s="1309" t="str">
        <f t="shared" si="12"/>
        <v>建筑面积</v>
      </c>
      <c r="AA30" s="1309" t="e">
        <f t="shared" si="3"/>
        <v>#N/A</v>
      </c>
      <c r="AB30" s="1309" t="e">
        <f t="shared" si="4"/>
        <v>#N/A</v>
      </c>
      <c r="AC30" s="1309" t="e">
        <f t="shared" si="5"/>
        <v>#N/A</v>
      </c>
    </row>
    <row r="31" spans="1:29" s="1060" customFormat="1" ht="15">
      <c r="A31" s="549"/>
      <c r="B31" s="477" t="s">
        <v>764</v>
      </c>
      <c r="C31" s="853"/>
      <c r="D31" s="235">
        <v>100</v>
      </c>
      <c r="E31" s="853"/>
      <c r="F31" s="525">
        <f>SUMIF(89:89,E31,90:90)-SUMIF(89:89,C31,90:90)+100</f>
        <v>100</v>
      </c>
      <c r="G31" s="853"/>
      <c r="H31" s="490">
        <f>SUMIF(89:89,G31,90:90)-SUMIF(89:89,C31,90:90)+100</f>
        <v>100</v>
      </c>
      <c r="I31" s="853"/>
      <c r="J31" s="490">
        <f>SUMIF(89:89,I31,90:90)-SUMIF(89:89,C31,90:90)+100</f>
        <v>100</v>
      </c>
      <c r="K31" s="533"/>
      <c r="L31" s="1743"/>
      <c r="M31" s="1640"/>
      <c r="N31" s="1640"/>
      <c r="O31" s="1744"/>
      <c r="P31" s="3628"/>
      <c r="Q31" s="818" t="str">
        <f t="shared" si="8"/>
        <v>是否封闭</v>
      </c>
      <c r="R31" s="1303" t="s">
        <v>5</v>
      </c>
      <c r="S31" s="1304">
        <f t="shared" si="9"/>
        <v>100</v>
      </c>
      <c r="T31" s="1303" t="s">
        <v>5</v>
      </c>
      <c r="U31" s="1304">
        <f t="shared" si="10"/>
        <v>100</v>
      </c>
      <c r="V31" s="1303" t="s">
        <v>5</v>
      </c>
      <c r="W31" s="1304">
        <f t="shared" si="11"/>
        <v>100</v>
      </c>
      <c r="X31" s="1305"/>
      <c r="Y31" s="3628"/>
      <c r="Z31" s="997" t="str">
        <f t="shared" si="12"/>
        <v>是否封闭</v>
      </c>
      <c r="AA31" s="997">
        <f t="shared" si="3"/>
        <v>1</v>
      </c>
      <c r="AB31" s="997">
        <f t="shared" si="4"/>
        <v>1</v>
      </c>
      <c r="AC31" s="997">
        <f t="shared" si="5"/>
        <v>1</v>
      </c>
    </row>
    <row r="32" spans="1:29" ht="15">
      <c r="A32" s="543"/>
      <c r="B32" s="487">
        <v>111</v>
      </c>
      <c r="C32" s="478"/>
      <c r="D32" s="490">
        <v>100</v>
      </c>
      <c r="E32" s="806"/>
      <c r="F32" s="525">
        <f>SUMIF(91:91,E32,92:92)-SUMIF(91:91,C32,92:92)+100</f>
        <v>100</v>
      </c>
      <c r="G32" s="806"/>
      <c r="H32" s="490">
        <f>SUMIF(91:91,G32,92:92)-SUMIF(91:91,C32,92:92)+100</f>
        <v>100</v>
      </c>
      <c r="I32" s="806"/>
      <c r="J32" s="490">
        <f>SUMIF(91:91,I32,92:92)-SUMIF(91:91,C32,92:92)+100</f>
        <v>100</v>
      </c>
      <c r="K32" s="531"/>
      <c r="L32" s="1749"/>
      <c r="M32" s="1742"/>
      <c r="N32" s="1742"/>
      <c r="O32" s="1748"/>
      <c r="P32" s="3628" t="s">
        <v>499</v>
      </c>
      <c r="Q32" s="1306">
        <f t="shared" si="8"/>
        <v>111</v>
      </c>
      <c r="R32" s="1307" t="s">
        <v>5</v>
      </c>
      <c r="S32" s="1308">
        <f t="shared" si="9"/>
        <v>100</v>
      </c>
      <c r="T32" s="1307" t="s">
        <v>5</v>
      </c>
      <c r="U32" s="1308">
        <f t="shared" si="10"/>
        <v>100</v>
      </c>
      <c r="V32" s="1307" t="s">
        <v>5</v>
      </c>
      <c r="W32" s="1308">
        <f t="shared" si="11"/>
        <v>100</v>
      </c>
      <c r="X32" s="1302"/>
      <c r="Y32" s="3628" t="s">
        <v>499</v>
      </c>
      <c r="Z32" s="1309">
        <f t="shared" si="12"/>
        <v>111</v>
      </c>
      <c r="AA32" s="1309">
        <f t="shared" si="3"/>
        <v>1</v>
      </c>
      <c r="AB32" s="1309">
        <f t="shared" si="4"/>
        <v>1</v>
      </c>
      <c r="AC32" s="1309">
        <f t="shared" si="5"/>
        <v>1</v>
      </c>
    </row>
    <row r="33" spans="1:29" ht="15">
      <c r="A33" s="543"/>
      <c r="B33" s="487">
        <v>111</v>
      </c>
      <c r="C33" s="478"/>
      <c r="D33" s="490">
        <v>100</v>
      </c>
      <c r="E33" s="806"/>
      <c r="F33" s="525">
        <f>SUMIF(93:93,E33,94:94)-SUMIF(93:93,C33,94:94)+100</f>
        <v>100</v>
      </c>
      <c r="G33" s="806"/>
      <c r="H33" s="490">
        <f>SUMIF(93:93,G33,94:94)-SUMIF(93:93,C33,94:94)+100</f>
        <v>100</v>
      </c>
      <c r="I33" s="806"/>
      <c r="J33" s="490">
        <f>SUMIF(93:93,I33,94:94)-SUMIF(93:93,C33,94:94)+100</f>
        <v>100</v>
      </c>
      <c r="K33" s="531"/>
      <c r="L33" s="1749"/>
      <c r="M33" s="1742"/>
      <c r="N33" s="1742"/>
      <c r="O33" s="1748"/>
      <c r="P33" s="3628"/>
      <c r="Q33" s="1306">
        <f t="shared" si="8"/>
        <v>111</v>
      </c>
      <c r="R33" s="1307" t="s">
        <v>5</v>
      </c>
      <c r="S33" s="1308">
        <f t="shared" si="9"/>
        <v>100</v>
      </c>
      <c r="T33" s="1307" t="s">
        <v>5</v>
      </c>
      <c r="U33" s="1308">
        <f t="shared" si="10"/>
        <v>100</v>
      </c>
      <c r="V33" s="1307" t="s">
        <v>5</v>
      </c>
      <c r="W33" s="1308">
        <f t="shared" si="11"/>
        <v>100</v>
      </c>
      <c r="X33" s="1302"/>
      <c r="Y33" s="3628"/>
      <c r="Z33" s="1309">
        <f t="shared" si="12"/>
        <v>111</v>
      </c>
      <c r="AA33" s="1309">
        <f t="shared" si="3"/>
        <v>1</v>
      </c>
      <c r="AB33" s="1309">
        <f t="shared" si="4"/>
        <v>1</v>
      </c>
      <c r="AC33" s="1309">
        <f t="shared" si="5"/>
        <v>1</v>
      </c>
    </row>
    <row r="34" spans="1:29" ht="15.75" thickBot="1">
      <c r="A34" s="811"/>
      <c r="B34" s="494">
        <v>111</v>
      </c>
      <c r="C34" s="495"/>
      <c r="D34" s="496">
        <v>100</v>
      </c>
      <c r="E34" s="863"/>
      <c r="F34" s="796">
        <f>SUMIF(95:95,E34,96:96)-SUMIF(95:95,C34,96:96)+100</f>
        <v>100</v>
      </c>
      <c r="G34" s="863"/>
      <c r="H34" s="496">
        <f>SUMIF(95:95,G34,96:96)-SUMIF(95:95,C34,96:96)+100</f>
        <v>100</v>
      </c>
      <c r="I34" s="863"/>
      <c r="J34" s="496">
        <f>SUMIF(95:95,I34,96:96)-SUMIF(95:95,C34,96:96)+100</f>
        <v>100</v>
      </c>
      <c r="K34" s="531"/>
      <c r="L34" s="1749"/>
      <c r="M34" s="1742"/>
      <c r="N34" s="1742"/>
      <c r="O34" s="1748"/>
      <c r="P34" s="3628"/>
      <c r="Q34" s="1306">
        <f t="shared" si="8"/>
        <v>111</v>
      </c>
      <c r="R34" s="1307" t="s">
        <v>5</v>
      </c>
      <c r="S34" s="1308">
        <f t="shared" si="9"/>
        <v>100</v>
      </c>
      <c r="T34" s="1307" t="s">
        <v>5</v>
      </c>
      <c r="U34" s="1308">
        <f t="shared" si="10"/>
        <v>100</v>
      </c>
      <c r="V34" s="1307" t="s">
        <v>5</v>
      </c>
      <c r="W34" s="1308">
        <f t="shared" si="11"/>
        <v>100</v>
      </c>
      <c r="X34" s="1302"/>
      <c r="Y34" s="3628"/>
      <c r="Z34" s="1309">
        <f t="shared" si="12"/>
        <v>111</v>
      </c>
      <c r="AA34" s="1309">
        <f t="shared" si="3"/>
        <v>1</v>
      </c>
      <c r="AB34" s="1309">
        <f t="shared" si="4"/>
        <v>1</v>
      </c>
      <c r="AC34" s="1309">
        <f t="shared" si="5"/>
        <v>1</v>
      </c>
    </row>
    <row r="35" spans="1:29" ht="15">
      <c r="A35" s="556" t="s">
        <v>683</v>
      </c>
      <c r="B35" s="812"/>
      <c r="C35" s="2081" t="s">
        <v>0</v>
      </c>
      <c r="D35" s="559"/>
      <c r="E35" s="560"/>
      <c r="F35" s="561"/>
      <c r="G35" s="562"/>
      <c r="H35" s="563"/>
      <c r="I35" s="560"/>
      <c r="J35" s="563"/>
      <c r="K35" s="1335"/>
      <c r="L35" s="1751"/>
      <c r="M35" s="1742"/>
      <c r="N35" s="1742"/>
      <c r="O35" s="1742"/>
      <c r="P35" s="3623" t="str">
        <f>A35</f>
        <v>成交单价（元/平方米）</v>
      </c>
      <c r="Q35" s="3623"/>
      <c r="R35" s="3639">
        <f>E35</f>
        <v>0</v>
      </c>
      <c r="S35" s="3639"/>
      <c r="T35" s="3639">
        <f>G35</f>
        <v>0</v>
      </c>
      <c r="U35" s="3639"/>
      <c r="V35" s="3639">
        <f>I35</f>
        <v>0</v>
      </c>
      <c r="W35" s="3639"/>
      <c r="X35" s="799"/>
      <c r="Y35" s="1314"/>
      <c r="Z35" s="799"/>
      <c r="AA35" s="799"/>
      <c r="AB35" s="799"/>
      <c r="AC35" s="799"/>
    </row>
    <row r="36" spans="1:29" ht="15.75" thickBot="1">
      <c r="A36" s="564" t="s">
        <v>2042</v>
      </c>
      <c r="B36" s="813"/>
      <c r="C36" s="2082" t="e">
        <f>R37</f>
        <v>#DIV/0!</v>
      </c>
      <c r="D36" s="2550" t="s">
        <v>2262</v>
      </c>
      <c r="E36" s="2083" t="e">
        <f>R36</f>
        <v>#DIV/0!</v>
      </c>
      <c r="F36" s="2551"/>
      <c r="G36" s="2082" t="e">
        <f>T36</f>
        <v>#DIV/0!</v>
      </c>
      <c r="H36" s="2551"/>
      <c r="I36" s="2083" t="e">
        <f>V36</f>
        <v>#DIV/0!</v>
      </c>
      <c r="J36" s="2551"/>
      <c r="K36" s="2558">
        <f>F36+H36+J36</f>
        <v>0</v>
      </c>
      <c r="L36" s="1751"/>
      <c r="M36" s="1742"/>
      <c r="N36" s="1742"/>
      <c r="O36" s="1742"/>
      <c r="P36" s="3623" t="str">
        <f>A36</f>
        <v>比较价格（元/平方米）</v>
      </c>
      <c r="Q36" s="3623"/>
      <c r="R36" s="3639" t="e">
        <f>IF(F1="售价",ROUND(PRODUCT(R35,AA7:AA34),0),ROUND(PRODUCT(R35,AA7:AA34),1))</f>
        <v>#DIV/0!</v>
      </c>
      <c r="S36" s="3639"/>
      <c r="T36" s="3639" t="e">
        <f>IF(F1="售价",ROUND(PRODUCT(T35,AB7:AB34),0),ROUND(PRODUCT(T35,AB7:AB34),1))</f>
        <v>#DIV/0!</v>
      </c>
      <c r="U36" s="3639"/>
      <c r="V36" s="3639" t="e">
        <f>IF(F1="售价",ROUND(PRODUCT(V35,AC7:AC34),0),ROUND(PRODUCT(V35,AC7:AC34),1))</f>
        <v>#DIV/0!</v>
      </c>
      <c r="W36" s="3639"/>
      <c r="X36" s="799"/>
      <c r="Y36" s="799"/>
      <c r="Z36" s="799"/>
      <c r="AA36" s="799"/>
      <c r="AB36" s="799"/>
      <c r="AC36" s="799"/>
    </row>
    <row r="37" spans="1:29" ht="15.75" thickBot="1">
      <c r="A37" s="568" t="s">
        <v>2198</v>
      </c>
      <c r="B37" s="569"/>
      <c r="C37" s="469" t="e">
        <f>R37</f>
        <v>#DIV/0!</v>
      </c>
      <c r="D37" s="469"/>
      <c r="E37" s="469"/>
      <c r="F37" s="469"/>
      <c r="G37" s="469"/>
      <c r="H37" s="469"/>
      <c r="I37" s="469"/>
      <c r="J37" s="469"/>
      <c r="K37" s="1336"/>
      <c r="L37" s="1751"/>
      <c r="M37" s="1742"/>
      <c r="N37" s="1742"/>
      <c r="O37" s="1742"/>
      <c r="P37" s="3629" t="str">
        <f>A37</f>
        <v>估价对象XX用房的比较价格（楼面单价，元/平方米）</v>
      </c>
      <c r="Q37" s="3630"/>
      <c r="R37" s="3739" t="e">
        <f>IF(F1="售价",ROUND(IF(D36="简单平均",AVERAGE(R36:W36),R36*F36+T36*H36+V36*J36),0),ROUND(IF(D36="简单平均",AVERAGE(R36:V36),R36*F36+T36*H36+V36*J36),1))</f>
        <v>#DIV/0!</v>
      </c>
      <c r="S37" s="3739"/>
      <c r="T37" s="3739"/>
      <c r="U37" s="3739"/>
      <c r="V37" s="3739"/>
      <c r="W37" s="3739"/>
      <c r="X37" s="799"/>
      <c r="Y37" s="799"/>
      <c r="Z37" s="799"/>
      <c r="AA37" s="799"/>
      <c r="AB37" s="799"/>
      <c r="AC37" s="799"/>
    </row>
    <row r="38" spans="1:29">
      <c r="A38" s="2720"/>
      <c r="B38" s="2720"/>
      <c r="C38" s="2720"/>
      <c r="D38" s="2720"/>
      <c r="E38" s="2720"/>
      <c r="F38" s="2720"/>
      <c r="G38" s="2722"/>
      <c r="H38" s="2720"/>
      <c r="I38" s="2720"/>
      <c r="J38" s="2720"/>
      <c r="K38" s="2723"/>
      <c r="L38" s="1755"/>
      <c r="M38" s="1742"/>
      <c r="N38" s="1742"/>
      <c r="O38" s="1742"/>
      <c r="P38" s="1742"/>
      <c r="Q38" s="1742"/>
      <c r="R38" s="1742"/>
      <c r="S38" s="1742"/>
      <c r="T38" s="1742"/>
      <c r="U38" s="1742"/>
      <c r="V38" s="1742"/>
      <c r="W38" s="1742"/>
      <c r="X38" s="1742"/>
      <c r="Y38" s="1742"/>
      <c r="Z38" s="1742"/>
      <c r="AA38" s="1742"/>
      <c r="AB38" s="1742"/>
      <c r="AC38" s="1742"/>
    </row>
    <row r="39" spans="1:29">
      <c r="A39" s="2720"/>
      <c r="B39" s="2720"/>
      <c r="C39" s="2720"/>
      <c r="D39" s="2720"/>
      <c r="E39" s="2720"/>
      <c r="F39" s="2720"/>
      <c r="G39" s="2720"/>
      <c r="H39" s="2720"/>
      <c r="I39" s="2720"/>
      <c r="J39" s="2720"/>
      <c r="K39" s="2723"/>
      <c r="L39" s="1755"/>
      <c r="M39" s="1742"/>
      <c r="N39" s="1742"/>
      <c r="O39" s="1742"/>
      <c r="P39" s="1742"/>
      <c r="Q39" s="1742"/>
      <c r="R39" s="1742"/>
      <c r="S39" s="1742"/>
      <c r="T39" s="1742"/>
      <c r="U39" s="1742"/>
      <c r="V39" s="1742"/>
      <c r="W39" s="1742"/>
      <c r="X39" s="1742"/>
      <c r="Y39" s="1742"/>
      <c r="Z39" s="1742"/>
      <c r="AA39" s="1742"/>
      <c r="AB39" s="1742"/>
      <c r="AC39" s="1742"/>
    </row>
    <row r="40" spans="1:29" ht="13.5" customHeight="1">
      <c r="A40" s="2720"/>
      <c r="B40" s="2720"/>
      <c r="C40" s="571" t="s">
        <v>506</v>
      </c>
      <c r="D40" s="572"/>
      <c r="E40" s="573" t="e">
        <f>IF(E35&lt;E36,E36/E35-1,E35/E36-1)</f>
        <v>#DIV/0!</v>
      </c>
      <c r="F40" s="574" t="e">
        <f>IF(OR(E40&gt;=0.3,E40&lt;=-0.3),"超过30%","")</f>
        <v>#DIV/0!</v>
      </c>
      <c r="G40" s="573" t="e">
        <f>IF(G35&lt;G36,G36/G35-1,G35/G36-1)</f>
        <v>#DIV/0!</v>
      </c>
      <c r="H40" s="574" t="e">
        <f>IF(OR(G40&gt;=0.3,G40&lt;=-0.3),"超过30%","")</f>
        <v>#DIV/0!</v>
      </c>
      <c r="I40" s="573" t="e">
        <f>IF(I35&lt;I36,I36/I35-1,I35/I36-1)</f>
        <v>#DIV/0!</v>
      </c>
      <c r="J40" s="574" t="e">
        <f>IF(OR(I40&gt;=0.3,I40&lt;=-0.3),"超过30%","")</f>
        <v>#DIV/0!</v>
      </c>
      <c r="K40" s="2723"/>
      <c r="L40" s="1755"/>
      <c r="M40" s="1742"/>
      <c r="N40" s="1742"/>
      <c r="O40" s="1742"/>
      <c r="P40" s="1742"/>
      <c r="Q40" s="1742"/>
      <c r="R40" s="1742"/>
      <c r="S40" s="1742"/>
      <c r="T40" s="1742"/>
      <c r="U40" s="1742"/>
      <c r="V40" s="1742"/>
      <c r="W40" s="1742"/>
      <c r="X40" s="1742"/>
      <c r="Y40" s="1742"/>
      <c r="Z40" s="1742"/>
      <c r="AA40" s="1742"/>
      <c r="AB40" s="1742"/>
      <c r="AC40" s="1742"/>
    </row>
    <row r="41" spans="1:29" ht="13.5" customHeight="1">
      <c r="A41" s="2720"/>
      <c r="B41" s="2720"/>
      <c r="C41" s="571" t="s">
        <v>507</v>
      </c>
      <c r="D41" s="575"/>
      <c r="E41" s="573" t="e">
        <f>IF(E36&lt;G36,G36/E36-1,E36/G36-1)</f>
        <v>#DIV/0!</v>
      </c>
      <c r="F41" s="574" t="e">
        <f>IF(OR(E41&gt;=0.2,E41&lt;=-0.2),"超过20%","")</f>
        <v>#DIV/0!</v>
      </c>
      <c r="G41" s="573" t="e">
        <f>IF(G36&lt;I36,I36/G36-1,G36/I36-1)</f>
        <v>#DIV/0!</v>
      </c>
      <c r="H41" s="574" t="e">
        <f>IF(OR(G41&gt;=0.2,G41&lt;=-0.2),"超过20%","")</f>
        <v>#DIV/0!</v>
      </c>
      <c r="I41" s="573" t="e">
        <f>IF(I36&lt;E36,E36/I36-1,I36/E36-1)</f>
        <v>#DIV/0!</v>
      </c>
      <c r="J41" s="574" t="e">
        <f>IF(OR(I41&gt;=0.2,I41&lt;=-0.2),"超过20%","")</f>
        <v>#DIV/0!</v>
      </c>
      <c r="K41" s="2723"/>
      <c r="L41" s="1755"/>
      <c r="M41" s="1742"/>
      <c r="N41" s="1742"/>
      <c r="O41" s="1742"/>
      <c r="P41" s="1742"/>
      <c r="Q41" s="1742"/>
      <c r="R41" s="1742"/>
      <c r="S41" s="1742"/>
      <c r="T41" s="1742"/>
      <c r="U41" s="1742"/>
      <c r="V41" s="1742"/>
      <c r="W41" s="1742"/>
      <c r="X41" s="1742"/>
      <c r="Y41" s="1742"/>
      <c r="Z41" s="1742"/>
      <c r="AA41" s="1742"/>
      <c r="AB41" s="1742"/>
      <c r="AC41" s="1742"/>
    </row>
    <row r="42" spans="1:29" s="1139" customFormat="1" ht="13.5" customHeight="1">
      <c r="A42" s="2721"/>
      <c r="B42" s="2721"/>
      <c r="C42" s="571" t="s">
        <v>508</v>
      </c>
      <c r="D42" s="575"/>
      <c r="E42" s="573" t="e">
        <f>IF(E35&lt;G35,G35/E35-1,E35/G35-1)</f>
        <v>#DIV/0!</v>
      </c>
      <c r="F42" s="574" t="e">
        <f>IF(OR(E42&gt;=0.3,E42&lt;=-0.3),"超过30%","")</f>
        <v>#DIV/0!</v>
      </c>
      <c r="G42" s="573" t="e">
        <f>IF(G35&lt;I35,I35/G35-1,G35/I35-1)</f>
        <v>#DIV/0!</v>
      </c>
      <c r="H42" s="574" t="e">
        <f>IF(OR(G42&gt;=0.3,G42&lt;=-0.3),"超过30%","")</f>
        <v>#DIV/0!</v>
      </c>
      <c r="I42" s="573" t="e">
        <f>IF(I35&lt;E35,E35/I35-1,I35/E35-1)</f>
        <v>#DIV/0!</v>
      </c>
      <c r="J42" s="574" t="e">
        <f>IF(OR(I42&gt;=0.3,I42&lt;=-0.3),"超过30%","")</f>
        <v>#DIV/0!</v>
      </c>
      <c r="K42" s="2724"/>
      <c r="L42" s="1758"/>
      <c r="M42" s="1752"/>
      <c r="N42" s="1752"/>
      <c r="O42" s="1752"/>
      <c r="P42" s="1752"/>
      <c r="Q42" s="1752"/>
      <c r="R42" s="1752"/>
      <c r="S42" s="1752"/>
      <c r="T42" s="1752"/>
      <c r="U42" s="1752"/>
      <c r="V42" s="1752"/>
      <c r="W42" s="1752"/>
      <c r="X42" s="1752"/>
      <c r="Y42" s="1752"/>
      <c r="Z42" s="1752"/>
      <c r="AA42" s="1752"/>
      <c r="AB42" s="1752"/>
      <c r="AC42" s="1752"/>
    </row>
    <row r="43" spans="1:29" s="1139" customFormat="1">
      <c r="A43" s="1752"/>
      <c r="B43" s="1753"/>
      <c r="C43" s="1756"/>
      <c r="D43" s="1752"/>
      <c r="E43" s="1752"/>
      <c r="F43" s="1752"/>
      <c r="G43" s="1752"/>
      <c r="H43" s="1752"/>
      <c r="I43" s="1752"/>
      <c r="J43" s="1752"/>
      <c r="K43" s="1757"/>
      <c r="L43" s="1758"/>
      <c r="M43" s="1752"/>
      <c r="N43" s="1752"/>
      <c r="O43" s="1752"/>
      <c r="P43" s="1752"/>
      <c r="Q43" s="1752"/>
      <c r="R43" s="1752"/>
      <c r="S43" s="1752"/>
      <c r="T43" s="1752"/>
      <c r="U43" s="1752"/>
      <c r="V43" s="1752"/>
      <c r="W43" s="1752"/>
      <c r="X43" s="1752"/>
      <c r="Y43" s="1752"/>
      <c r="Z43" s="1752"/>
      <c r="AA43" s="1752"/>
      <c r="AB43" s="1752"/>
      <c r="AC43" s="1752"/>
    </row>
    <row r="44" spans="1:29">
      <c r="A44" s="1742"/>
      <c r="B44" s="1753"/>
      <c r="C44" s="1756"/>
      <c r="D44" s="1742"/>
      <c r="E44" s="1742"/>
      <c r="F44" s="1742"/>
      <c r="G44" s="1742"/>
      <c r="H44" s="1742"/>
      <c r="I44" s="1742"/>
      <c r="J44" s="1742"/>
      <c r="K44" s="1754"/>
      <c r="L44" s="1755"/>
      <c r="M44" s="1742"/>
      <c r="N44" s="1742"/>
      <c r="O44" s="1742"/>
      <c r="P44" s="1742"/>
      <c r="Q44" s="1742"/>
      <c r="R44" s="1742"/>
      <c r="S44" s="1742"/>
      <c r="T44" s="1742"/>
      <c r="U44" s="1742"/>
      <c r="V44" s="1742"/>
      <c r="W44" s="1742"/>
      <c r="X44" s="1742"/>
      <c r="Y44" s="1742"/>
      <c r="Z44" s="1742"/>
      <c r="AA44" s="1742"/>
      <c r="AB44" s="1742"/>
      <c r="AC44" s="1742"/>
    </row>
    <row r="45" spans="1:29" ht="21.75" thickBot="1">
      <c r="A45" s="1317" t="s">
        <v>522</v>
      </c>
      <c r="B45" s="799"/>
      <c r="C45" s="1316"/>
      <c r="D45" s="1316"/>
      <c r="E45" s="1316"/>
      <c r="F45" s="1318"/>
      <c r="G45" s="1318"/>
      <c r="H45" s="1316"/>
      <c r="I45" s="1316"/>
      <c r="J45" s="1316"/>
      <c r="K45" s="1319"/>
      <c r="L45" s="1315"/>
      <c r="M45" s="1316"/>
      <c r="N45" s="1762"/>
      <c r="O45" s="1762"/>
      <c r="P45" s="1762"/>
      <c r="Q45" s="1763"/>
      <c r="R45" s="1742"/>
      <c r="S45" s="1742"/>
      <c r="T45" s="1742"/>
      <c r="U45" s="1742"/>
      <c r="V45" s="1742"/>
      <c r="W45" s="1742"/>
      <c r="X45" s="1742"/>
      <c r="Y45" s="1742"/>
      <c r="Z45" s="1742"/>
      <c r="AA45" s="1742"/>
      <c r="AB45" s="1742"/>
      <c r="AC45" s="1742"/>
    </row>
    <row r="46" spans="1:29" s="1141" customFormat="1" ht="15">
      <c r="A46" s="592" t="s">
        <v>478</v>
      </c>
      <c r="B46" s="593"/>
      <c r="C46" s="2113" t="str">
        <f>YEAR(C7)&amp;"-"&amp;MONTH(C7)</f>
        <v>2024-7</v>
      </c>
      <c r="D46" s="2115">
        <f>EDATE(C46,-1)</f>
        <v>45444</v>
      </c>
      <c r="E46" s="2115">
        <f t="shared" ref="E46:O46" si="13">EDATE(D46,-1)</f>
        <v>45413</v>
      </c>
      <c r="F46" s="2115">
        <f t="shared" si="13"/>
        <v>45383</v>
      </c>
      <c r="G46" s="2115">
        <f t="shared" si="13"/>
        <v>45352</v>
      </c>
      <c r="H46" s="2115">
        <f t="shared" si="13"/>
        <v>45323</v>
      </c>
      <c r="I46" s="2115">
        <f t="shared" si="13"/>
        <v>45292</v>
      </c>
      <c r="J46" s="2115">
        <f t="shared" si="13"/>
        <v>45261</v>
      </c>
      <c r="K46" s="2115">
        <f t="shared" si="13"/>
        <v>45231</v>
      </c>
      <c r="L46" s="2115">
        <f t="shared" si="13"/>
        <v>45200</v>
      </c>
      <c r="M46" s="2115">
        <f t="shared" si="13"/>
        <v>45170</v>
      </c>
      <c r="N46" s="2115">
        <f t="shared" si="13"/>
        <v>45139</v>
      </c>
      <c r="O46" s="2115">
        <f t="shared" si="13"/>
        <v>45108</v>
      </c>
      <c r="P46" s="1765"/>
      <c r="Q46" s="1765"/>
      <c r="R46" s="1765"/>
      <c r="S46" s="1765"/>
      <c r="T46" s="1765"/>
      <c r="U46" s="1765"/>
      <c r="V46" s="1765"/>
      <c r="W46" s="1765"/>
      <c r="X46" s="1765"/>
      <c r="Y46" s="1765"/>
      <c r="Z46" s="1765"/>
      <c r="AA46" s="1765"/>
      <c r="AB46" s="1765"/>
      <c r="AC46" s="1765"/>
    </row>
    <row r="47" spans="1:29" s="1060" customFormat="1" ht="15">
      <c r="A47" s="527"/>
      <c r="B47" s="594"/>
      <c r="C47" s="595">
        <v>100</v>
      </c>
      <c r="D47" s="596"/>
      <c r="E47" s="596"/>
      <c r="F47" s="596"/>
      <c r="G47" s="596"/>
      <c r="H47" s="596"/>
      <c r="I47" s="596"/>
      <c r="J47" s="596"/>
      <c r="K47" s="596"/>
      <c r="L47" s="596"/>
      <c r="M47" s="487"/>
      <c r="N47" s="596"/>
      <c r="O47" s="597"/>
      <c r="P47" s="1763"/>
      <c r="Q47" s="1640"/>
      <c r="R47" s="1640"/>
      <c r="S47" s="1640"/>
      <c r="T47" s="1640"/>
      <c r="U47" s="1640"/>
      <c r="V47" s="1640"/>
      <c r="W47" s="1640"/>
      <c r="X47" s="1640"/>
      <c r="Y47" s="1640"/>
      <c r="Z47" s="1640"/>
      <c r="AA47" s="1640"/>
      <c r="AB47" s="1640"/>
      <c r="AC47" s="1640"/>
    </row>
    <row r="48" spans="1:29" s="1060" customFormat="1" ht="15.75" thickBot="1">
      <c r="A48" s="262" t="s">
        <v>523</v>
      </c>
      <c r="B48" s="598"/>
      <c r="C48" s="599"/>
      <c r="D48" s="600"/>
      <c r="E48" s="600"/>
      <c r="F48" s="600"/>
      <c r="G48" s="600"/>
      <c r="H48" s="600"/>
      <c r="I48" s="600"/>
      <c r="J48" s="600"/>
      <c r="K48" s="600"/>
      <c r="L48" s="600"/>
      <c r="M48" s="601"/>
      <c r="N48" s="600"/>
      <c r="O48" s="602"/>
      <c r="P48" s="1763"/>
      <c r="Q48" s="1763"/>
      <c r="R48" s="1640"/>
      <c r="S48" s="1640"/>
      <c r="T48" s="1640"/>
      <c r="U48" s="1640"/>
      <c r="V48" s="1640"/>
      <c r="W48" s="1640"/>
      <c r="X48" s="1640"/>
      <c r="Y48" s="1640"/>
      <c r="Z48" s="1640"/>
      <c r="AA48" s="1640"/>
      <c r="AB48" s="1640"/>
      <c r="AC48" s="1640"/>
    </row>
    <row r="49" spans="1:29" s="1060" customFormat="1" ht="15">
      <c r="A49" s="603" t="s">
        <v>480</v>
      </c>
      <c r="B49" s="594"/>
      <c r="C49" s="604" t="s">
        <v>524</v>
      </c>
      <c r="D49" s="80"/>
      <c r="E49" s="80"/>
      <c r="F49" s="80"/>
      <c r="G49" s="80"/>
      <c r="H49" s="80"/>
      <c r="I49" s="80"/>
      <c r="J49" s="80"/>
      <c r="K49" s="80"/>
      <c r="L49" s="605"/>
      <c r="M49" s="606"/>
      <c r="N49" s="1766"/>
      <c r="O49" s="1766"/>
      <c r="P49" s="1647"/>
      <c r="Q49" s="1763"/>
      <c r="R49" s="1640"/>
      <c r="S49" s="1640"/>
      <c r="T49" s="1640"/>
      <c r="U49" s="1640"/>
      <c r="V49" s="1640"/>
      <c r="W49" s="1640"/>
      <c r="X49" s="1640"/>
      <c r="Y49" s="1640"/>
      <c r="Z49" s="1640"/>
      <c r="AA49" s="1640"/>
      <c r="AB49" s="1640"/>
      <c r="AC49" s="1640"/>
    </row>
    <row r="50" spans="1:29" s="1060" customFormat="1" ht="15.75" thickBot="1">
      <c r="A50" s="603"/>
      <c r="B50" s="594"/>
      <c r="C50" s="595">
        <v>100</v>
      </c>
      <c r="D50" s="596"/>
      <c r="E50" s="596"/>
      <c r="F50" s="596"/>
      <c r="G50" s="596"/>
      <c r="H50" s="596"/>
      <c r="I50" s="596"/>
      <c r="J50" s="596"/>
      <c r="K50" s="596"/>
      <c r="L50" s="596"/>
      <c r="M50" s="597"/>
      <c r="N50" s="1766"/>
      <c r="O50" s="1766"/>
      <c r="P50" s="1763"/>
      <c r="Q50" s="1763"/>
      <c r="R50" s="1640"/>
      <c r="S50" s="1640"/>
      <c r="T50" s="1640"/>
      <c r="U50" s="1640"/>
      <c r="V50" s="1640"/>
      <c r="W50" s="1640"/>
      <c r="X50" s="1640"/>
      <c r="Y50" s="1640"/>
      <c r="Z50" s="1640"/>
      <c r="AA50" s="1640"/>
      <c r="AB50" s="1640"/>
      <c r="AC50" s="1640"/>
    </row>
    <row r="51" spans="1:29">
      <c r="A51" s="607" t="s">
        <v>525</v>
      </c>
      <c r="B51" s="608" t="s">
        <v>483</v>
      </c>
      <c r="C51" s="645">
        <f>C9</f>
        <v>0</v>
      </c>
      <c r="D51" s="547"/>
      <c r="E51" s="547"/>
      <c r="F51" s="547"/>
      <c r="G51" s="547"/>
      <c r="H51" s="547"/>
      <c r="I51" s="547"/>
      <c r="J51" s="547"/>
      <c r="K51" s="609"/>
      <c r="L51" s="610"/>
      <c r="M51" s="611"/>
      <c r="N51" s="1767"/>
      <c r="O51" s="1767"/>
      <c r="P51" s="1766"/>
      <c r="Q51" s="1763"/>
      <c r="R51" s="1742"/>
      <c r="S51" s="1742"/>
      <c r="T51" s="1742"/>
      <c r="U51" s="1742"/>
      <c r="V51" s="1742"/>
      <c r="W51" s="1742"/>
      <c r="X51" s="1742"/>
      <c r="Y51" s="1742"/>
      <c r="Z51" s="1742"/>
      <c r="AA51" s="1742"/>
      <c r="AB51" s="1742"/>
      <c r="AC51" s="1742"/>
    </row>
    <row r="52" spans="1:29" ht="15.75" thickBot="1">
      <c r="A52" s="482"/>
      <c r="B52" s="612"/>
      <c r="C52" s="613">
        <v>100</v>
      </c>
      <c r="D52" s="613"/>
      <c r="E52" s="613"/>
      <c r="F52" s="613"/>
      <c r="G52" s="613"/>
      <c r="H52" s="613"/>
      <c r="I52" s="613"/>
      <c r="J52" s="613"/>
      <c r="K52" s="613"/>
      <c r="L52" s="613"/>
      <c r="M52" s="614"/>
      <c r="N52" s="1768"/>
      <c r="O52" s="1768"/>
      <c r="P52" s="1766"/>
      <c r="Q52" s="1763"/>
      <c r="R52" s="1742"/>
      <c r="S52" s="1742"/>
      <c r="T52" s="1742"/>
      <c r="U52" s="1742"/>
      <c r="V52" s="1742"/>
      <c r="W52" s="1742"/>
      <c r="X52" s="1742"/>
      <c r="Y52" s="1742"/>
      <c r="Z52" s="1742"/>
      <c r="AA52" s="1742"/>
      <c r="AB52" s="1742"/>
      <c r="AC52" s="1742"/>
    </row>
    <row r="53" spans="1:29" ht="27.75" thickTop="1">
      <c r="A53" s="482"/>
      <c r="B53" s="615" t="s">
        <v>486</v>
      </c>
      <c r="C53" s="658"/>
      <c r="D53" s="658"/>
      <c r="E53" s="658"/>
      <c r="F53" s="658"/>
      <c r="G53" s="658"/>
      <c r="H53" s="658"/>
      <c r="I53" s="658"/>
      <c r="J53" s="658"/>
      <c r="K53" s="659"/>
      <c r="L53" s="660"/>
      <c r="M53" s="661"/>
      <c r="N53" s="1767"/>
      <c r="O53" s="1767"/>
      <c r="P53" s="1766"/>
      <c r="Q53" s="1763"/>
      <c r="R53" s="1742"/>
      <c r="S53" s="1742"/>
      <c r="T53" s="1742"/>
      <c r="U53" s="1742"/>
      <c r="V53" s="1742"/>
      <c r="W53" s="1742"/>
      <c r="X53" s="1742"/>
      <c r="Y53" s="1742"/>
      <c r="Z53" s="1742"/>
      <c r="AA53" s="1742"/>
      <c r="AB53" s="1742"/>
      <c r="AC53" s="1742"/>
    </row>
    <row r="54" spans="1:29" ht="15.75" thickBot="1">
      <c r="A54" s="482"/>
      <c r="B54" s="620"/>
      <c r="C54" s="613"/>
      <c r="D54" s="613"/>
      <c r="E54" s="613"/>
      <c r="F54" s="613"/>
      <c r="G54" s="613"/>
      <c r="H54" s="613"/>
      <c r="I54" s="613"/>
      <c r="J54" s="613"/>
      <c r="K54" s="613"/>
      <c r="L54" s="613"/>
      <c r="M54" s="614"/>
      <c r="N54" s="1768"/>
      <c r="O54" s="1768"/>
      <c r="P54" s="1766"/>
      <c r="Q54" s="1763"/>
      <c r="R54" s="1742"/>
      <c r="S54" s="1742"/>
      <c r="T54" s="1742"/>
      <c r="U54" s="1742"/>
      <c r="V54" s="1742"/>
      <c r="W54" s="1742"/>
      <c r="X54" s="1742"/>
      <c r="Y54" s="1742"/>
      <c r="Z54" s="1742"/>
      <c r="AA54" s="1742"/>
      <c r="AB54" s="1742"/>
      <c r="AC54" s="1742"/>
    </row>
    <row r="55" spans="1:29" ht="15.75" thickTop="1">
      <c r="A55" s="482"/>
      <c r="B55" s="856">
        <f>B11</f>
        <v>111</v>
      </c>
      <c r="C55" s="491"/>
      <c r="D55" s="491"/>
      <c r="E55" s="491"/>
      <c r="F55" s="491"/>
      <c r="G55" s="491"/>
      <c r="H55" s="491"/>
      <c r="I55" s="491"/>
      <c r="J55" s="491"/>
      <c r="K55" s="626"/>
      <c r="L55" s="627"/>
      <c r="M55" s="628"/>
      <c r="N55" s="1767"/>
      <c r="O55" s="1767"/>
      <c r="P55" s="1766"/>
      <c r="Q55" s="1763"/>
      <c r="R55" s="1742"/>
      <c r="S55" s="1742"/>
      <c r="T55" s="1742"/>
      <c r="U55" s="1742"/>
      <c r="V55" s="1742"/>
      <c r="W55" s="1742"/>
      <c r="X55" s="1742"/>
      <c r="Y55" s="1742"/>
      <c r="Z55" s="1742"/>
      <c r="AA55" s="1742"/>
      <c r="AB55" s="1742"/>
      <c r="AC55" s="1742"/>
    </row>
    <row r="56" spans="1:29" ht="15.75" thickBot="1">
      <c r="A56" s="482"/>
      <c r="B56" s="612"/>
      <c r="C56" s="634"/>
      <c r="D56" s="613"/>
      <c r="E56" s="613"/>
      <c r="F56" s="613"/>
      <c r="G56" s="613"/>
      <c r="H56" s="613"/>
      <c r="I56" s="613"/>
      <c r="J56" s="613"/>
      <c r="K56" s="613"/>
      <c r="L56" s="613"/>
      <c r="M56" s="614"/>
      <c r="N56" s="1768"/>
      <c r="O56" s="1768"/>
      <c r="P56" s="1766"/>
      <c r="Q56" s="1763"/>
      <c r="R56" s="1742"/>
      <c r="S56" s="1742"/>
      <c r="T56" s="1742"/>
      <c r="U56" s="1742"/>
      <c r="V56" s="1742"/>
      <c r="W56" s="1742"/>
      <c r="X56" s="1742"/>
      <c r="Y56" s="1742"/>
      <c r="Z56" s="1742"/>
      <c r="AA56" s="1742"/>
      <c r="AB56" s="1742"/>
      <c r="AC56" s="1742"/>
    </row>
    <row r="57" spans="1:29" s="1134" customFormat="1" ht="15.75" thickTop="1">
      <c r="A57" s="629"/>
      <c r="B57" s="615">
        <f>B12</f>
        <v>111</v>
      </c>
      <c r="C57" s="491"/>
      <c r="D57" s="491"/>
      <c r="E57" s="491"/>
      <c r="F57" s="491"/>
      <c r="G57" s="630"/>
      <c r="H57" s="631"/>
      <c r="I57" s="631"/>
      <c r="J57" s="631"/>
      <c r="K57" s="631"/>
      <c r="L57" s="632"/>
      <c r="M57" s="633"/>
      <c r="N57" s="1769"/>
      <c r="O57" s="1769"/>
      <c r="P57" s="1769"/>
      <c r="Q57" s="1770"/>
      <c r="R57" s="1771"/>
      <c r="S57" s="1771"/>
      <c r="T57" s="1771"/>
      <c r="U57" s="1771"/>
      <c r="V57" s="1771"/>
      <c r="W57" s="1771"/>
      <c r="X57" s="1771"/>
      <c r="Y57" s="1771"/>
      <c r="Z57" s="1771"/>
      <c r="AA57" s="1771"/>
      <c r="AB57" s="1771"/>
      <c r="AC57" s="1771"/>
    </row>
    <row r="58" spans="1:29" s="1134" customFormat="1" ht="15.75" thickBot="1">
      <c r="A58" s="629"/>
      <c r="B58" s="620"/>
      <c r="C58" s="634"/>
      <c r="D58" s="613"/>
      <c r="E58" s="613"/>
      <c r="F58" s="613"/>
      <c r="G58" s="613"/>
      <c r="H58" s="613"/>
      <c r="I58" s="613"/>
      <c r="J58" s="613"/>
      <c r="K58" s="613"/>
      <c r="L58" s="613"/>
      <c r="M58" s="614"/>
      <c r="N58" s="1768"/>
      <c r="O58" s="1768"/>
      <c r="P58" s="1769"/>
      <c r="Q58" s="1770"/>
      <c r="R58" s="1771"/>
      <c r="S58" s="1771"/>
      <c r="T58" s="1771"/>
      <c r="U58" s="1771"/>
      <c r="V58" s="1771"/>
      <c r="W58" s="1771"/>
      <c r="X58" s="1771"/>
      <c r="Y58" s="1771"/>
      <c r="Z58" s="1771"/>
      <c r="AA58" s="1771"/>
      <c r="AB58" s="1771"/>
      <c r="AC58" s="1771"/>
    </row>
    <row r="59" spans="1:29" s="1134" customFormat="1" ht="15.75" thickTop="1">
      <c r="A59" s="629"/>
      <c r="B59" s="615">
        <f>B13</f>
        <v>111</v>
      </c>
      <c r="C59" s="491"/>
      <c r="D59" s="491"/>
      <c r="E59" s="491"/>
      <c r="F59" s="491"/>
      <c r="G59" s="630"/>
      <c r="H59" s="631"/>
      <c r="I59" s="631"/>
      <c r="J59" s="631"/>
      <c r="K59" s="631"/>
      <c r="L59" s="632"/>
      <c r="M59" s="633"/>
      <c r="N59" s="1769"/>
      <c r="O59" s="1769"/>
      <c r="P59" s="1771"/>
      <c r="Q59" s="1772"/>
      <c r="R59" s="1771"/>
      <c r="S59" s="1771"/>
      <c r="T59" s="1771"/>
      <c r="U59" s="1771"/>
      <c r="V59" s="1771"/>
      <c r="W59" s="1771"/>
      <c r="X59" s="1771"/>
      <c r="Y59" s="1771"/>
      <c r="Z59" s="1771"/>
      <c r="AA59" s="1771"/>
      <c r="AB59" s="1771"/>
      <c r="AC59" s="1771"/>
    </row>
    <row r="60" spans="1:29" s="1134" customFormat="1" ht="15.75" thickBot="1">
      <c r="A60" s="629"/>
      <c r="B60" s="620"/>
      <c r="C60" s="634"/>
      <c r="D60" s="634"/>
      <c r="E60" s="634"/>
      <c r="F60" s="634"/>
      <c r="G60" s="634"/>
      <c r="H60" s="635"/>
      <c r="I60" s="635"/>
      <c r="J60" s="635"/>
      <c r="K60" s="635"/>
      <c r="L60" s="635"/>
      <c r="M60" s="636"/>
      <c r="N60" s="1769"/>
      <c r="O60" s="1769"/>
      <c r="P60" s="1769"/>
      <c r="Q60" s="1770"/>
      <c r="R60" s="1771"/>
      <c r="S60" s="1771"/>
      <c r="T60" s="1771"/>
      <c r="U60" s="1771"/>
      <c r="V60" s="1771"/>
      <c r="W60" s="1771"/>
      <c r="X60" s="1771"/>
      <c r="Y60" s="1771"/>
      <c r="Z60" s="1771"/>
      <c r="AA60" s="1771"/>
      <c r="AB60" s="1771"/>
      <c r="AC60" s="1771"/>
    </row>
    <row r="61" spans="1:29" ht="15" thickTop="1">
      <c r="A61" s="607" t="s">
        <v>488</v>
      </c>
      <c r="B61" s="608" t="s">
        <v>534</v>
      </c>
      <c r="C61" s="143" t="s">
        <v>527</v>
      </c>
      <c r="D61" s="143" t="s">
        <v>528</v>
      </c>
      <c r="E61" s="143" t="s">
        <v>529</v>
      </c>
      <c r="F61" s="143" t="s">
        <v>530</v>
      </c>
      <c r="G61" s="143" t="s">
        <v>531</v>
      </c>
      <c r="H61" s="645"/>
      <c r="I61" s="645"/>
      <c r="J61" s="645"/>
      <c r="K61" s="646"/>
      <c r="L61" s="647"/>
      <c r="M61" s="648"/>
      <c r="N61" s="1767"/>
      <c r="O61" s="1767"/>
      <c r="P61" s="1774"/>
      <c r="Q61" s="1763"/>
      <c r="R61" s="1742"/>
      <c r="S61" s="1742"/>
      <c r="T61" s="1742"/>
      <c r="U61" s="1742"/>
      <c r="V61" s="1742"/>
      <c r="W61" s="1742"/>
      <c r="X61" s="1742"/>
      <c r="Y61" s="1742"/>
      <c r="Z61" s="1742"/>
      <c r="AA61" s="1742"/>
      <c r="AB61" s="1742"/>
      <c r="AC61" s="1742"/>
    </row>
    <row r="62" spans="1:29" ht="15.75" thickBot="1">
      <c r="A62" s="482"/>
      <c r="B62" s="620"/>
      <c r="C62" s="621">
        <v>100</v>
      </c>
      <c r="D62" s="621">
        <f>C62-$K14</f>
        <v>100</v>
      </c>
      <c r="E62" s="621">
        <f>D62-$K14</f>
        <v>100</v>
      </c>
      <c r="F62" s="621">
        <f>E62-$K14</f>
        <v>100</v>
      </c>
      <c r="G62" s="621">
        <f>F62-$K14</f>
        <v>100</v>
      </c>
      <c r="H62" s="621"/>
      <c r="I62" s="621"/>
      <c r="J62" s="621"/>
      <c r="K62" s="621"/>
      <c r="L62" s="621"/>
      <c r="M62" s="622"/>
      <c r="N62" s="1768"/>
      <c r="O62" s="1768"/>
      <c r="P62" s="1766"/>
      <c r="Q62" s="1763"/>
      <c r="R62" s="1742"/>
      <c r="S62" s="1742"/>
      <c r="T62" s="1742"/>
      <c r="U62" s="1742"/>
      <c r="V62" s="1742"/>
      <c r="W62" s="1742"/>
      <c r="X62" s="1742"/>
      <c r="Y62" s="1742"/>
      <c r="Z62" s="1742"/>
      <c r="AA62" s="1742"/>
      <c r="AB62" s="1742"/>
      <c r="AC62" s="1742"/>
    </row>
    <row r="63" spans="1:29" ht="15.75" thickTop="1">
      <c r="A63" s="482"/>
      <c r="B63" s="1555" t="s">
        <v>1840</v>
      </c>
      <c r="C63" s="649" t="s">
        <v>527</v>
      </c>
      <c r="D63" s="649" t="s">
        <v>528</v>
      </c>
      <c r="E63" s="649" t="s">
        <v>529</v>
      </c>
      <c r="F63" s="649" t="s">
        <v>530</v>
      </c>
      <c r="G63" s="649" t="s">
        <v>531</v>
      </c>
      <c r="H63" s="616"/>
      <c r="I63" s="616"/>
      <c r="J63" s="616"/>
      <c r="K63" s="617"/>
      <c r="L63" s="618"/>
      <c r="M63" s="619"/>
      <c r="N63" s="1767"/>
      <c r="O63" s="1767"/>
      <c r="P63" s="1766"/>
      <c r="Q63" s="1763"/>
      <c r="R63" s="1742"/>
      <c r="S63" s="1742"/>
      <c r="T63" s="1742"/>
      <c r="U63" s="1742"/>
      <c r="V63" s="1742"/>
      <c r="W63" s="1742"/>
      <c r="X63" s="1742"/>
      <c r="Y63" s="1742"/>
      <c r="Z63" s="1742"/>
      <c r="AA63" s="1742"/>
      <c r="AB63" s="1742"/>
      <c r="AC63" s="1742"/>
    </row>
    <row r="64" spans="1:29" ht="15.75" thickBot="1">
      <c r="A64" s="482"/>
      <c r="B64" s="620"/>
      <c r="C64" s="621">
        <v>100</v>
      </c>
      <c r="D64" s="621">
        <f>C64-$K16</f>
        <v>100</v>
      </c>
      <c r="E64" s="621">
        <f>D64-$K16</f>
        <v>100</v>
      </c>
      <c r="F64" s="621">
        <f>E64-$K16</f>
        <v>100</v>
      </c>
      <c r="G64" s="621">
        <f>F64-$K16</f>
        <v>100</v>
      </c>
      <c r="H64" s="621"/>
      <c r="I64" s="621"/>
      <c r="J64" s="621"/>
      <c r="K64" s="621"/>
      <c r="L64" s="621"/>
      <c r="M64" s="622"/>
      <c r="N64" s="1768"/>
      <c r="O64" s="1768"/>
      <c r="P64" s="1766"/>
      <c r="Q64" s="1763"/>
      <c r="R64" s="1742"/>
      <c r="S64" s="1742"/>
      <c r="T64" s="1742"/>
      <c r="U64" s="1742"/>
      <c r="V64" s="1742"/>
      <c r="W64" s="1742"/>
      <c r="X64" s="1742"/>
      <c r="Y64" s="1742"/>
      <c r="Z64" s="1742"/>
      <c r="AA64" s="1742"/>
      <c r="AB64" s="1742"/>
      <c r="AC64" s="1742"/>
    </row>
    <row r="65" spans="1:29" ht="15.75" thickTop="1">
      <c r="A65" s="482"/>
      <c r="B65" s="2056" t="s">
        <v>1841</v>
      </c>
      <c r="C65" s="2057" t="s">
        <v>1842</v>
      </c>
      <c r="D65" s="2057" t="s">
        <v>1843</v>
      </c>
      <c r="E65" s="2057" t="s">
        <v>1844</v>
      </c>
      <c r="F65" s="2057" t="s">
        <v>1845</v>
      </c>
      <c r="G65" s="2057" t="s">
        <v>1846</v>
      </c>
      <c r="H65" s="616"/>
      <c r="I65" s="616"/>
      <c r="J65" s="616"/>
      <c r="K65" s="616"/>
      <c r="L65" s="616"/>
      <c r="M65" s="2060"/>
      <c r="N65" s="1768"/>
      <c r="O65" s="1768"/>
      <c r="P65" s="1766"/>
      <c r="Q65" s="1763"/>
      <c r="R65" s="1742"/>
      <c r="S65" s="1742"/>
      <c r="T65" s="1742"/>
      <c r="U65" s="1742"/>
      <c r="V65" s="1742"/>
      <c r="W65" s="1742"/>
      <c r="X65" s="1742"/>
      <c r="Y65" s="1742"/>
      <c r="Z65" s="1742"/>
      <c r="AA65" s="1742"/>
      <c r="AB65" s="1742"/>
      <c r="AC65" s="1742"/>
    </row>
    <row r="66" spans="1:29" ht="15.75" thickBot="1">
      <c r="A66" s="482"/>
      <c r="B66" s="623"/>
      <c r="C66" s="621">
        <v>100</v>
      </c>
      <c r="D66" s="621">
        <f>C66-$K18</f>
        <v>100</v>
      </c>
      <c r="E66" s="621">
        <f>D66-$K18</f>
        <v>100</v>
      </c>
      <c r="F66" s="621">
        <f>E66-$K18</f>
        <v>100</v>
      </c>
      <c r="G66" s="621">
        <f>F66-$K18</f>
        <v>100</v>
      </c>
      <c r="H66" s="856"/>
      <c r="I66" s="856"/>
      <c r="J66" s="856"/>
      <c r="K66" s="856"/>
      <c r="L66" s="856"/>
      <c r="M66" s="509"/>
      <c r="N66" s="1768"/>
      <c r="O66" s="1768"/>
      <c r="P66" s="1766"/>
      <c r="Q66" s="1763"/>
      <c r="R66" s="1742"/>
      <c r="S66" s="1742"/>
      <c r="T66" s="1742"/>
      <c r="U66" s="1742"/>
      <c r="V66" s="1742"/>
      <c r="W66" s="1742"/>
      <c r="X66" s="1742"/>
      <c r="Y66" s="1742"/>
      <c r="Z66" s="1742"/>
      <c r="AA66" s="1742"/>
      <c r="AB66" s="1742"/>
      <c r="AC66" s="1742"/>
    </row>
    <row r="67" spans="1:29" ht="15.75" thickTop="1">
      <c r="A67" s="482"/>
      <c r="B67" s="615" t="s">
        <v>684</v>
      </c>
      <c r="C67" s="649" t="s">
        <v>527</v>
      </c>
      <c r="D67" s="649" t="s">
        <v>528</v>
      </c>
      <c r="E67" s="649" t="s">
        <v>529</v>
      </c>
      <c r="F67" s="649" t="s">
        <v>530</v>
      </c>
      <c r="G67" s="649" t="s">
        <v>531</v>
      </c>
      <c r="H67" s="616"/>
      <c r="I67" s="616"/>
      <c r="J67" s="616"/>
      <c r="K67" s="617"/>
      <c r="L67" s="618"/>
      <c r="M67" s="619"/>
      <c r="N67" s="1767"/>
      <c r="O67" s="1767"/>
      <c r="P67" s="1766"/>
      <c r="Q67" s="1763"/>
      <c r="R67" s="1742"/>
      <c r="S67" s="1742"/>
      <c r="T67" s="1742"/>
      <c r="U67" s="1742"/>
      <c r="V67" s="1742"/>
      <c r="W67" s="1742"/>
      <c r="X67" s="1742"/>
      <c r="Y67" s="1742"/>
      <c r="Z67" s="1742"/>
      <c r="AA67" s="1742"/>
      <c r="AB67" s="1742"/>
      <c r="AC67" s="1742"/>
    </row>
    <row r="68" spans="1:29" ht="15.75" thickBot="1">
      <c r="A68" s="482"/>
      <c r="B68" s="620"/>
      <c r="C68" s="621">
        <v>100</v>
      </c>
      <c r="D68" s="621">
        <f>C68-$K20</f>
        <v>100</v>
      </c>
      <c r="E68" s="621">
        <f>D68-$K20</f>
        <v>100</v>
      </c>
      <c r="F68" s="621">
        <f>E68-$K20</f>
        <v>100</v>
      </c>
      <c r="G68" s="621">
        <f>F68-$K20</f>
        <v>100</v>
      </c>
      <c r="H68" s="621"/>
      <c r="I68" s="621"/>
      <c r="J68" s="621"/>
      <c r="K68" s="621"/>
      <c r="L68" s="621"/>
      <c r="M68" s="622"/>
      <c r="N68" s="1768"/>
      <c r="O68" s="1768"/>
      <c r="P68" s="1766"/>
      <c r="Q68" s="1763"/>
      <c r="R68" s="1742"/>
      <c r="S68" s="1742"/>
      <c r="T68" s="1742"/>
      <c r="U68" s="1742"/>
      <c r="V68" s="1742"/>
      <c r="W68" s="1742"/>
      <c r="X68" s="1742"/>
      <c r="Y68" s="1742"/>
      <c r="Z68" s="1742"/>
      <c r="AA68" s="1742"/>
      <c r="AB68" s="1742"/>
      <c r="AC68" s="1742"/>
    </row>
    <row r="69" spans="1:29" ht="15.75" thickTop="1">
      <c r="A69" s="482"/>
      <c r="B69" s="615" t="s">
        <v>685</v>
      </c>
      <c r="C69" s="630"/>
      <c r="D69" s="630"/>
      <c r="E69" s="630"/>
      <c r="F69" s="630"/>
      <c r="G69" s="630"/>
      <c r="H69" s="658"/>
      <c r="I69" s="658"/>
      <c r="J69" s="658"/>
      <c r="K69" s="659"/>
      <c r="L69" s="660"/>
      <c r="M69" s="661"/>
      <c r="N69" s="1767"/>
      <c r="O69" s="1767"/>
      <c r="P69" s="1766"/>
      <c r="Q69" s="1763"/>
      <c r="R69" s="1742"/>
      <c r="S69" s="1742"/>
      <c r="T69" s="1742"/>
      <c r="U69" s="1742"/>
      <c r="V69" s="1742"/>
      <c r="W69" s="1742"/>
      <c r="X69" s="1742"/>
      <c r="Y69" s="1742"/>
      <c r="Z69" s="1742"/>
      <c r="AA69" s="1742"/>
      <c r="AB69" s="1742"/>
      <c r="AC69" s="1742"/>
    </row>
    <row r="70" spans="1:29" ht="15.75" thickBot="1">
      <c r="A70" s="482"/>
      <c r="B70" s="620"/>
      <c r="C70" s="621">
        <v>100</v>
      </c>
      <c r="D70" s="621">
        <f>C70-$K22</f>
        <v>100</v>
      </c>
      <c r="E70" s="621"/>
      <c r="F70" s="621"/>
      <c r="G70" s="621"/>
      <c r="H70" s="621"/>
      <c r="I70" s="621"/>
      <c r="J70" s="621"/>
      <c r="K70" s="621"/>
      <c r="L70" s="621"/>
      <c r="M70" s="622"/>
      <c r="N70" s="1768"/>
      <c r="O70" s="1768"/>
      <c r="P70" s="1766"/>
      <c r="Q70" s="1763"/>
      <c r="R70" s="1742"/>
      <c r="S70" s="1742"/>
      <c r="T70" s="1742"/>
      <c r="U70" s="1742"/>
      <c r="V70" s="1742"/>
      <c r="W70" s="1742"/>
      <c r="X70" s="1742"/>
      <c r="Y70" s="1742"/>
      <c r="Z70" s="1742"/>
      <c r="AA70" s="1742"/>
      <c r="AB70" s="1742"/>
      <c r="AC70" s="1742"/>
    </row>
    <row r="71" spans="1:29" s="1060" customFormat="1" ht="15.75" thickTop="1">
      <c r="A71" s="486"/>
      <c r="B71" s="615">
        <f>B23</f>
        <v>111</v>
      </c>
      <c r="C71" s="491"/>
      <c r="D71" s="491"/>
      <c r="E71" s="491"/>
      <c r="F71" s="491"/>
      <c r="G71" s="630"/>
      <c r="H71" s="630"/>
      <c r="I71" s="630"/>
      <c r="J71" s="630"/>
      <c r="K71" s="630"/>
      <c r="L71" s="815"/>
      <c r="M71" s="816"/>
      <c r="N71" s="1766"/>
      <c r="O71" s="1766"/>
      <c r="P71" s="1766"/>
      <c r="Q71" s="1763"/>
      <c r="R71" s="1640"/>
      <c r="S71" s="1640"/>
      <c r="T71" s="1640"/>
      <c r="U71" s="1640"/>
      <c r="V71" s="1640"/>
      <c r="W71" s="1640"/>
      <c r="X71" s="1640"/>
      <c r="Y71" s="1640"/>
      <c r="Z71" s="1640"/>
      <c r="AA71" s="1640"/>
      <c r="AB71" s="1640"/>
      <c r="AC71" s="1640"/>
    </row>
    <row r="72" spans="1:29" s="1060" customFormat="1" ht="15.75" thickBot="1">
      <c r="A72" s="486"/>
      <c r="B72" s="620"/>
      <c r="C72" s="634"/>
      <c r="D72" s="613"/>
      <c r="E72" s="613"/>
      <c r="F72" s="613"/>
      <c r="G72" s="613"/>
      <c r="H72" s="613"/>
      <c r="I72" s="613"/>
      <c r="J72" s="613"/>
      <c r="K72" s="613"/>
      <c r="L72" s="613"/>
      <c r="M72" s="614"/>
      <c r="N72" s="1768"/>
      <c r="O72" s="1768"/>
      <c r="P72" s="1766"/>
      <c r="Q72" s="1763"/>
      <c r="R72" s="1640"/>
      <c r="S72" s="1640"/>
      <c r="T72" s="1640"/>
      <c r="U72" s="1640"/>
      <c r="V72" s="1640"/>
      <c r="W72" s="1640"/>
      <c r="X72" s="1640"/>
      <c r="Y72" s="1640"/>
      <c r="Z72" s="1640"/>
      <c r="AA72" s="1640"/>
      <c r="AB72" s="1640"/>
      <c r="AC72" s="1640"/>
    </row>
    <row r="73" spans="1:29" s="1060" customFormat="1" ht="15.75" thickTop="1">
      <c r="A73" s="486"/>
      <c r="B73" s="615">
        <f>B24</f>
        <v>111</v>
      </c>
      <c r="C73" s="491"/>
      <c r="D73" s="491"/>
      <c r="E73" s="491"/>
      <c r="F73" s="491"/>
      <c r="G73" s="630"/>
      <c r="H73" s="630"/>
      <c r="I73" s="630"/>
      <c r="J73" s="630"/>
      <c r="K73" s="630"/>
      <c r="L73" s="630"/>
      <c r="M73" s="816"/>
      <c r="N73" s="1766"/>
      <c r="O73" s="1766"/>
      <c r="P73" s="1766"/>
      <c r="Q73" s="1763"/>
      <c r="R73" s="1640"/>
      <c r="S73" s="1640"/>
      <c r="T73" s="1640"/>
      <c r="U73" s="1640"/>
      <c r="V73" s="1640"/>
      <c r="W73" s="1640"/>
      <c r="X73" s="1640"/>
      <c r="Y73" s="1640"/>
      <c r="Z73" s="1640"/>
      <c r="AA73" s="1640"/>
      <c r="AB73" s="1640"/>
      <c r="AC73" s="1640"/>
    </row>
    <row r="74" spans="1:29" s="1060" customFormat="1" ht="15.75" thickBot="1">
      <c r="A74" s="486"/>
      <c r="B74" s="620"/>
      <c r="C74" s="634"/>
      <c r="D74" s="613"/>
      <c r="E74" s="613"/>
      <c r="F74" s="613"/>
      <c r="G74" s="613"/>
      <c r="H74" s="613"/>
      <c r="I74" s="613"/>
      <c r="J74" s="613"/>
      <c r="K74" s="613"/>
      <c r="L74" s="613"/>
      <c r="M74" s="614"/>
      <c r="N74" s="1768"/>
      <c r="O74" s="1768"/>
      <c r="P74" s="1766"/>
      <c r="Q74" s="1763"/>
      <c r="R74" s="1640"/>
      <c r="S74" s="1640"/>
      <c r="T74" s="1640"/>
      <c r="U74" s="1640"/>
      <c r="V74" s="1640"/>
      <c r="W74" s="1640"/>
      <c r="X74" s="1640"/>
      <c r="Y74" s="1640"/>
      <c r="Z74" s="1640"/>
      <c r="AA74" s="1640"/>
      <c r="AB74" s="1640"/>
      <c r="AC74" s="1640"/>
    </row>
    <row r="75" spans="1:29" s="1134" customFormat="1" ht="15.75" thickTop="1">
      <c r="A75" s="629"/>
      <c r="B75" s="615">
        <f>B25</f>
        <v>111</v>
      </c>
      <c r="C75" s="491"/>
      <c r="D75" s="491"/>
      <c r="E75" s="491"/>
      <c r="F75" s="491"/>
      <c r="G75" s="630"/>
      <c r="H75" s="631"/>
      <c r="I75" s="631"/>
      <c r="J75" s="631"/>
      <c r="K75" s="631"/>
      <c r="L75" s="632"/>
      <c r="M75" s="633"/>
      <c r="N75" s="1769"/>
      <c r="O75" s="1769"/>
      <c r="P75" s="1769"/>
      <c r="Q75" s="1770"/>
      <c r="R75" s="1771"/>
      <c r="S75" s="1771"/>
      <c r="T75" s="1771"/>
      <c r="U75" s="1771"/>
      <c r="V75" s="1771"/>
      <c r="W75" s="1771"/>
      <c r="X75" s="1771"/>
      <c r="Y75" s="1771"/>
      <c r="Z75" s="1771"/>
      <c r="AA75" s="1771"/>
      <c r="AB75" s="1771"/>
      <c r="AC75" s="1771"/>
    </row>
    <row r="76" spans="1:29" s="1134" customFormat="1" ht="15.75" thickBot="1">
      <c r="A76" s="629"/>
      <c r="B76" s="620"/>
      <c r="C76" s="634"/>
      <c r="D76" s="634"/>
      <c r="E76" s="634"/>
      <c r="F76" s="634"/>
      <c r="G76" s="613"/>
      <c r="H76" s="613"/>
      <c r="I76" s="613"/>
      <c r="J76" s="613"/>
      <c r="K76" s="613"/>
      <c r="L76" s="613"/>
      <c r="M76" s="614"/>
      <c r="N76" s="1769"/>
      <c r="O76" s="1769"/>
      <c r="P76" s="1769"/>
      <c r="Q76" s="1770"/>
      <c r="R76" s="1771"/>
      <c r="S76" s="1771"/>
      <c r="T76" s="1771"/>
      <c r="U76" s="1771"/>
      <c r="V76" s="1771"/>
      <c r="W76" s="1771"/>
      <c r="X76" s="1771"/>
      <c r="Y76" s="1771"/>
      <c r="Z76" s="1771"/>
      <c r="AA76" s="1771"/>
      <c r="AB76" s="1771"/>
      <c r="AC76" s="1771"/>
    </row>
    <row r="77" spans="1:29" ht="15" thickTop="1">
      <c r="A77" s="607" t="s">
        <v>500</v>
      </c>
      <c r="B77" s="608" t="s">
        <v>691</v>
      </c>
      <c r="C77" s="630"/>
      <c r="D77" s="630"/>
      <c r="E77" s="547"/>
      <c r="F77" s="547"/>
      <c r="G77" s="547"/>
      <c r="H77" s="547"/>
      <c r="I77" s="547"/>
      <c r="J77" s="547"/>
      <c r="K77" s="609"/>
      <c r="L77" s="610"/>
      <c r="M77" s="611"/>
      <c r="N77" s="1767"/>
      <c r="O77" s="1767"/>
      <c r="P77" s="1766"/>
      <c r="Q77" s="1763"/>
      <c r="R77" s="1742"/>
      <c r="S77" s="1742"/>
      <c r="T77" s="1742"/>
      <c r="U77" s="1742"/>
      <c r="V77" s="1742"/>
      <c r="W77" s="1742"/>
      <c r="X77" s="1742"/>
      <c r="Y77" s="1742"/>
      <c r="Z77" s="1742"/>
      <c r="AA77" s="1742"/>
      <c r="AB77" s="1742"/>
      <c r="AC77" s="1742"/>
    </row>
    <row r="78" spans="1:29" ht="15.75" thickBot="1">
      <c r="A78" s="482"/>
      <c r="B78" s="620"/>
      <c r="C78" s="621">
        <v>100</v>
      </c>
      <c r="D78" s="621">
        <f t="shared" ref="D78:M78" si="14">C78-$K26</f>
        <v>100</v>
      </c>
      <c r="E78" s="621">
        <f t="shared" si="14"/>
        <v>100</v>
      </c>
      <c r="F78" s="621">
        <f t="shared" si="14"/>
        <v>100</v>
      </c>
      <c r="G78" s="621">
        <f t="shared" si="14"/>
        <v>100</v>
      </c>
      <c r="H78" s="621">
        <f t="shared" si="14"/>
        <v>100</v>
      </c>
      <c r="I78" s="621">
        <f t="shared" si="14"/>
        <v>100</v>
      </c>
      <c r="J78" s="621">
        <f t="shared" si="14"/>
        <v>100</v>
      </c>
      <c r="K78" s="621">
        <f t="shared" si="14"/>
        <v>100</v>
      </c>
      <c r="L78" s="621">
        <f t="shared" si="14"/>
        <v>100</v>
      </c>
      <c r="M78" s="622">
        <f t="shared" si="14"/>
        <v>100</v>
      </c>
      <c r="N78" s="1768"/>
      <c r="O78" s="1768"/>
      <c r="P78" s="1766"/>
      <c r="Q78" s="1763"/>
      <c r="R78" s="1742"/>
      <c r="S78" s="1742"/>
      <c r="T78" s="1742"/>
      <c r="U78" s="1742"/>
      <c r="V78" s="1742"/>
      <c r="W78" s="1742"/>
      <c r="X78" s="1742"/>
      <c r="Y78" s="1742"/>
      <c r="Z78" s="1742"/>
      <c r="AA78" s="1742"/>
      <c r="AB78" s="1742"/>
      <c r="AC78" s="1742"/>
    </row>
    <row r="79" spans="1:29" ht="15.75" thickTop="1">
      <c r="A79" s="482"/>
      <c r="B79" s="615" t="s">
        <v>756</v>
      </c>
      <c r="C79" s="649" t="str">
        <f>C80&amp;"(含)"&amp;"-"&amp;D80</f>
        <v>0.5(含)-0.6</v>
      </c>
      <c r="D79" s="649" t="str">
        <f>D80&amp;"(含)"&amp;"-"&amp;E80</f>
        <v>0.6(含)-0.7</v>
      </c>
      <c r="E79" s="649" t="str">
        <f>E80&amp;"(含)"&amp;"-"&amp;F80</f>
        <v>0.7(含)-0.8</v>
      </c>
      <c r="F79" s="649" t="str">
        <f>F80&amp;"(含)"&amp;"-"&amp;G80</f>
        <v>0.8(含)-0.9</v>
      </c>
      <c r="G79" s="649" t="str">
        <f>G80&amp;"(含)"&amp;"-"&amp;ROUND(H80,0)</f>
        <v>0.9(含)-1</v>
      </c>
      <c r="H79" s="649"/>
      <c r="I79" s="616"/>
      <c r="J79" s="616"/>
      <c r="K79" s="617"/>
      <c r="L79" s="618"/>
      <c r="M79" s="619"/>
      <c r="N79" s="1766"/>
      <c r="O79" s="1766"/>
      <c r="P79" s="1766"/>
      <c r="Q79" s="1763"/>
      <c r="R79" s="1742"/>
      <c r="S79" s="1742"/>
      <c r="T79" s="1742"/>
      <c r="U79" s="1742"/>
      <c r="V79" s="1742"/>
      <c r="W79" s="1742"/>
      <c r="X79" s="1742"/>
      <c r="Y79" s="1742"/>
      <c r="Z79" s="1742"/>
      <c r="AA79" s="1742"/>
      <c r="AB79" s="1742"/>
      <c r="AC79" s="1742"/>
    </row>
    <row r="80" spans="1:29" ht="15">
      <c r="A80" s="482"/>
      <c r="B80" s="623"/>
      <c r="C80" s="818">
        <v>0.5</v>
      </c>
      <c r="D80" s="818">
        <v>0.6</v>
      </c>
      <c r="E80" s="818">
        <v>0.7</v>
      </c>
      <c r="F80" s="818">
        <v>0.8</v>
      </c>
      <c r="G80" s="818">
        <v>0.9</v>
      </c>
      <c r="H80" s="818">
        <v>1.0001</v>
      </c>
      <c r="I80" s="856"/>
      <c r="J80" s="856"/>
      <c r="K80" s="864"/>
      <c r="L80" s="865"/>
      <c r="M80" s="866"/>
      <c r="N80" s="1766"/>
      <c r="O80" s="1766"/>
      <c r="P80" s="1766"/>
      <c r="Q80" s="1763"/>
      <c r="R80" s="1742"/>
      <c r="S80" s="1742"/>
      <c r="T80" s="1742"/>
      <c r="U80" s="1742"/>
      <c r="V80" s="1742"/>
      <c r="W80" s="1742"/>
      <c r="X80" s="1742"/>
      <c r="Y80" s="1742"/>
      <c r="Z80" s="1742"/>
      <c r="AA80" s="1742"/>
      <c r="AB80" s="1742"/>
      <c r="AC80" s="1742"/>
    </row>
    <row r="81" spans="1:29" s="1134" customFormat="1" ht="15.75" thickBot="1">
      <c r="A81" s="629"/>
      <c r="B81" s="620"/>
      <c r="C81" s="652">
        <v>100</v>
      </c>
      <c r="D81" s="621">
        <f t="shared" ref="D81:M81" si="15">C81+$K27</f>
        <v>100</v>
      </c>
      <c r="E81" s="621">
        <f t="shared" si="15"/>
        <v>100</v>
      </c>
      <c r="F81" s="621">
        <f t="shared" si="15"/>
        <v>100</v>
      </c>
      <c r="G81" s="621">
        <f t="shared" si="15"/>
        <v>100</v>
      </c>
      <c r="H81" s="621">
        <f t="shared" si="15"/>
        <v>100</v>
      </c>
      <c r="I81" s="621">
        <f t="shared" si="15"/>
        <v>100</v>
      </c>
      <c r="J81" s="621">
        <f t="shared" si="15"/>
        <v>100</v>
      </c>
      <c r="K81" s="621">
        <f t="shared" si="15"/>
        <v>100</v>
      </c>
      <c r="L81" s="621">
        <f t="shared" si="15"/>
        <v>100</v>
      </c>
      <c r="M81" s="621">
        <f t="shared" si="15"/>
        <v>100</v>
      </c>
      <c r="N81" s="1768"/>
      <c r="O81" s="1768"/>
      <c r="P81" s="1769"/>
      <c r="Q81" s="1770"/>
      <c r="R81" s="1771"/>
      <c r="S81" s="1771"/>
      <c r="T81" s="1771"/>
      <c r="U81" s="1771"/>
      <c r="V81" s="1771"/>
      <c r="W81" s="1771"/>
      <c r="X81" s="1771"/>
      <c r="Y81" s="1771"/>
      <c r="Z81" s="1771"/>
      <c r="AA81" s="1771"/>
      <c r="AB81" s="1771"/>
      <c r="AC81" s="1771"/>
    </row>
    <row r="82" spans="1:29" ht="15" thickTop="1">
      <c r="A82" s="543"/>
      <c r="B82" s="623" t="s">
        <v>757</v>
      </c>
      <c r="C82" s="630"/>
      <c r="D82" s="630"/>
      <c r="E82" s="658"/>
      <c r="F82" s="658"/>
      <c r="G82" s="658"/>
      <c r="H82" s="658"/>
      <c r="I82" s="658"/>
      <c r="J82" s="658"/>
      <c r="K82" s="659"/>
      <c r="L82" s="660"/>
      <c r="M82" s="661"/>
      <c r="N82" s="1767"/>
      <c r="O82" s="1767"/>
      <c r="P82" s="1766"/>
      <c r="Q82" s="1763"/>
      <c r="R82" s="1742"/>
      <c r="S82" s="1742"/>
      <c r="T82" s="1742"/>
      <c r="U82" s="1742"/>
      <c r="V82" s="1742"/>
      <c r="W82" s="1742"/>
      <c r="X82" s="1742"/>
      <c r="Y82" s="1742"/>
      <c r="Z82" s="1742"/>
      <c r="AA82" s="1742"/>
      <c r="AB82" s="1742"/>
      <c r="AC82" s="1742"/>
    </row>
    <row r="83" spans="1:29" ht="15.75" thickBot="1">
      <c r="A83" s="482"/>
      <c r="B83" s="620"/>
      <c r="C83" s="621">
        <v>100</v>
      </c>
      <c r="D83" s="621">
        <f t="shared" ref="D83:M83" si="16">C83-$K28</f>
        <v>100</v>
      </c>
      <c r="E83" s="621">
        <f t="shared" si="16"/>
        <v>100</v>
      </c>
      <c r="F83" s="621">
        <f t="shared" si="16"/>
        <v>100</v>
      </c>
      <c r="G83" s="621">
        <f t="shared" si="16"/>
        <v>100</v>
      </c>
      <c r="H83" s="621">
        <f t="shared" si="16"/>
        <v>100</v>
      </c>
      <c r="I83" s="621">
        <f t="shared" si="16"/>
        <v>100</v>
      </c>
      <c r="J83" s="621">
        <f t="shared" si="16"/>
        <v>100</v>
      </c>
      <c r="K83" s="621">
        <f t="shared" si="16"/>
        <v>100</v>
      </c>
      <c r="L83" s="621">
        <f t="shared" si="16"/>
        <v>100</v>
      </c>
      <c r="M83" s="622">
        <f t="shared" si="16"/>
        <v>100</v>
      </c>
      <c r="N83" s="1768"/>
      <c r="O83" s="1768"/>
      <c r="P83" s="1766"/>
      <c r="Q83" s="1763"/>
      <c r="R83" s="1742"/>
      <c r="S83" s="1742"/>
      <c r="T83" s="1742"/>
      <c r="U83" s="1742"/>
      <c r="V83" s="1742"/>
      <c r="W83" s="1742"/>
      <c r="X83" s="1742"/>
      <c r="Y83" s="1742"/>
      <c r="Z83" s="1742"/>
      <c r="AA83" s="1742"/>
      <c r="AB83" s="1742"/>
      <c r="AC83" s="1742"/>
    </row>
    <row r="84" spans="1:29" ht="15" thickTop="1">
      <c r="A84" s="543"/>
      <c r="B84" s="615" t="s">
        <v>765</v>
      </c>
      <c r="C84" s="630"/>
      <c r="D84" s="630"/>
      <c r="E84" s="630"/>
      <c r="F84" s="630"/>
      <c r="G84" s="630"/>
      <c r="H84" s="630"/>
      <c r="I84" s="658"/>
      <c r="J84" s="658"/>
      <c r="K84" s="659"/>
      <c r="L84" s="660"/>
      <c r="M84" s="661"/>
      <c r="N84" s="1767"/>
      <c r="O84" s="1767"/>
      <c r="P84" s="1766"/>
      <c r="Q84" s="1763"/>
      <c r="R84" s="1742"/>
      <c r="S84" s="1742"/>
      <c r="T84" s="1742"/>
      <c r="U84" s="1742"/>
      <c r="V84" s="1742"/>
      <c r="W84" s="1742"/>
      <c r="X84" s="1742"/>
      <c r="Y84" s="1742"/>
      <c r="Z84" s="1742"/>
      <c r="AA84" s="1742"/>
      <c r="AB84" s="1742"/>
      <c r="AC84" s="1742"/>
    </row>
    <row r="85" spans="1:29" ht="15.75" thickBot="1">
      <c r="A85" s="482"/>
      <c r="B85" s="620"/>
      <c r="C85" s="652">
        <v>100</v>
      </c>
      <c r="D85" s="621">
        <f t="shared" ref="D85:M85" si="17">C85+$K29</f>
        <v>100</v>
      </c>
      <c r="E85" s="621">
        <f t="shared" si="17"/>
        <v>100</v>
      </c>
      <c r="F85" s="621">
        <f t="shared" si="17"/>
        <v>100</v>
      </c>
      <c r="G85" s="621">
        <f t="shared" si="17"/>
        <v>100</v>
      </c>
      <c r="H85" s="621">
        <f t="shared" si="17"/>
        <v>100</v>
      </c>
      <c r="I85" s="621">
        <f t="shared" si="17"/>
        <v>100</v>
      </c>
      <c r="J85" s="621">
        <f t="shared" si="17"/>
        <v>100</v>
      </c>
      <c r="K85" s="621">
        <f t="shared" si="17"/>
        <v>100</v>
      </c>
      <c r="L85" s="621">
        <f t="shared" si="17"/>
        <v>100</v>
      </c>
      <c r="M85" s="621">
        <f t="shared" si="17"/>
        <v>100</v>
      </c>
      <c r="N85" s="1768"/>
      <c r="O85" s="1768"/>
      <c r="P85" s="1766"/>
      <c r="Q85" s="1763"/>
      <c r="R85" s="1742"/>
      <c r="S85" s="1742"/>
      <c r="T85" s="1742"/>
      <c r="U85" s="1742"/>
      <c r="V85" s="1742"/>
      <c r="W85" s="1742"/>
      <c r="X85" s="1742"/>
      <c r="Y85" s="1742"/>
      <c r="Z85" s="1742"/>
      <c r="AA85" s="1742"/>
      <c r="AB85" s="1742"/>
      <c r="AC85" s="1742"/>
    </row>
    <row r="86" spans="1:29" ht="15" thickTop="1">
      <c r="A86" s="543"/>
      <c r="B86" s="623" t="s">
        <v>766</v>
      </c>
      <c r="C86" s="649" t="str">
        <f t="shared" ref="C86:L86" si="18">C87&amp;"(含)"&amp;"-"&amp;D87</f>
        <v>(含)-</v>
      </c>
      <c r="D86" s="649" t="str">
        <f t="shared" si="18"/>
        <v>(含)-</v>
      </c>
      <c r="E86" s="649" t="str">
        <f t="shared" si="18"/>
        <v>(含)-</v>
      </c>
      <c r="F86" s="649" t="str">
        <f t="shared" si="18"/>
        <v>(含)-</v>
      </c>
      <c r="G86" s="649" t="str">
        <f t="shared" si="18"/>
        <v>(含)-</v>
      </c>
      <c r="H86" s="649" t="str">
        <f t="shared" si="18"/>
        <v>(含)-</v>
      </c>
      <c r="I86" s="649" t="str">
        <f t="shared" si="18"/>
        <v>(含)-</v>
      </c>
      <c r="J86" s="649" t="str">
        <f t="shared" si="18"/>
        <v>(含)-</v>
      </c>
      <c r="K86" s="649" t="str">
        <f t="shared" si="18"/>
        <v>(含)-</v>
      </c>
      <c r="L86" s="649" t="str">
        <f t="shared" si="18"/>
        <v>(含)-</v>
      </c>
      <c r="M86" s="651" t="str">
        <f>M87&amp;"(含)"&amp;"-"&amp;P87</f>
        <v>(含)-</v>
      </c>
      <c r="N86" s="1767"/>
      <c r="O86" s="1767"/>
      <c r="P86" s="1766"/>
      <c r="Q86" s="1763"/>
      <c r="R86" s="1742"/>
      <c r="S86" s="1742"/>
      <c r="T86" s="1742"/>
      <c r="U86" s="1742"/>
      <c r="V86" s="1742"/>
      <c r="W86" s="1742"/>
      <c r="X86" s="1742"/>
      <c r="Y86" s="1742"/>
      <c r="Z86" s="1742"/>
      <c r="AA86" s="1742"/>
      <c r="AB86" s="1742"/>
      <c r="AC86" s="1742"/>
    </row>
    <row r="87" spans="1:29">
      <c r="A87" s="543"/>
      <c r="B87" s="623"/>
      <c r="C87" s="79"/>
      <c r="D87" s="79"/>
      <c r="E87" s="79"/>
      <c r="F87" s="79"/>
      <c r="G87" s="79"/>
      <c r="H87" s="79"/>
      <c r="I87" s="79"/>
      <c r="J87" s="669"/>
      <c r="K87" s="669"/>
      <c r="L87" s="670"/>
      <c r="M87" s="671"/>
      <c r="N87" s="1767"/>
      <c r="O87" s="1767"/>
      <c r="P87" s="1766"/>
      <c r="Q87" s="1763"/>
      <c r="R87" s="1742"/>
      <c r="S87" s="1742"/>
      <c r="T87" s="1742"/>
      <c r="U87" s="1742"/>
      <c r="V87" s="1742"/>
      <c r="W87" s="1742"/>
      <c r="X87" s="1742"/>
      <c r="Y87" s="1742"/>
      <c r="Z87" s="1742"/>
      <c r="AA87" s="1742"/>
      <c r="AB87" s="1742"/>
      <c r="AC87" s="1742"/>
    </row>
    <row r="88" spans="1:29" ht="15.75" thickBot="1">
      <c r="A88" s="482"/>
      <c r="B88" s="620"/>
      <c r="C88" s="634"/>
      <c r="D88" s="613"/>
      <c r="E88" s="613"/>
      <c r="F88" s="613"/>
      <c r="G88" s="613"/>
      <c r="H88" s="613"/>
      <c r="I88" s="613"/>
      <c r="J88" s="613"/>
      <c r="K88" s="613"/>
      <c r="L88" s="613"/>
      <c r="M88" s="613"/>
      <c r="N88" s="1768"/>
      <c r="O88" s="1768"/>
      <c r="P88" s="1766"/>
      <c r="Q88" s="1763"/>
      <c r="R88" s="1742"/>
      <c r="S88" s="1742"/>
      <c r="T88" s="1742"/>
      <c r="U88" s="1742"/>
      <c r="V88" s="1742"/>
      <c r="W88" s="1742"/>
      <c r="X88" s="1742"/>
      <c r="Y88" s="1742"/>
      <c r="Z88" s="1742"/>
      <c r="AA88" s="1742"/>
      <c r="AB88" s="1742"/>
      <c r="AC88" s="1742"/>
    </row>
    <row r="89" spans="1:29" s="1134" customFormat="1" ht="15" thickTop="1">
      <c r="A89" s="552"/>
      <c r="B89" s="615" t="s">
        <v>767</v>
      </c>
      <c r="C89" s="630"/>
      <c r="D89" s="630"/>
      <c r="E89" s="630"/>
      <c r="F89" s="630"/>
      <c r="G89" s="630"/>
      <c r="H89" s="630"/>
      <c r="I89" s="630"/>
      <c r="J89" s="630"/>
      <c r="K89" s="630"/>
      <c r="L89" s="630"/>
      <c r="M89" s="816"/>
      <c r="N89" s="1769"/>
      <c r="O89" s="1769"/>
      <c r="P89" s="1769"/>
      <c r="Q89" s="1770"/>
      <c r="R89" s="1771"/>
      <c r="S89" s="1771"/>
      <c r="T89" s="1771"/>
      <c r="U89" s="1771"/>
      <c r="V89" s="1771"/>
      <c r="W89" s="1771"/>
      <c r="X89" s="1771"/>
      <c r="Y89" s="1771"/>
      <c r="Z89" s="1771"/>
      <c r="AA89" s="1771"/>
      <c r="AB89" s="1771"/>
      <c r="AC89" s="1771"/>
    </row>
    <row r="90" spans="1:29" s="1134" customFormat="1" ht="15.75" thickBot="1">
      <c r="A90" s="629"/>
      <c r="B90" s="620"/>
      <c r="C90" s="634"/>
      <c r="D90" s="613"/>
      <c r="E90" s="613"/>
      <c r="F90" s="613"/>
      <c r="G90" s="613"/>
      <c r="H90" s="613"/>
      <c r="I90" s="613"/>
      <c r="J90" s="613"/>
      <c r="K90" s="613"/>
      <c r="L90" s="613"/>
      <c r="M90" s="614"/>
      <c r="N90" s="1769"/>
      <c r="O90" s="1769"/>
      <c r="P90" s="1769"/>
      <c r="Q90" s="1770"/>
      <c r="R90" s="1771"/>
      <c r="S90" s="1771"/>
      <c r="T90" s="1771"/>
      <c r="U90" s="1771"/>
      <c r="V90" s="1771"/>
      <c r="W90" s="1771"/>
      <c r="X90" s="1771"/>
      <c r="Y90" s="1771"/>
      <c r="Z90" s="1771"/>
      <c r="AA90" s="1771"/>
      <c r="AB90" s="1771"/>
      <c r="AC90" s="1771"/>
    </row>
    <row r="91" spans="1:29" ht="15" thickTop="1">
      <c r="A91" s="543"/>
      <c r="B91" s="615">
        <f>B32</f>
        <v>111</v>
      </c>
      <c r="C91" s="491"/>
      <c r="D91" s="491"/>
      <c r="E91" s="491"/>
      <c r="F91" s="491"/>
      <c r="G91" s="630"/>
      <c r="H91" s="631"/>
      <c r="I91" s="631"/>
      <c r="J91" s="631"/>
      <c r="K91" s="631"/>
      <c r="L91" s="632"/>
      <c r="M91" s="633"/>
      <c r="N91" s="1767"/>
      <c r="O91" s="1767"/>
      <c r="P91" s="1766"/>
      <c r="Q91" s="1763"/>
      <c r="R91" s="1742"/>
      <c r="S91" s="1742"/>
      <c r="T91" s="1742"/>
      <c r="U91" s="1742"/>
      <c r="V91" s="1742"/>
      <c r="W91" s="1742"/>
      <c r="X91" s="1742"/>
      <c r="Y91" s="1742"/>
      <c r="Z91" s="1742"/>
      <c r="AA91" s="1742"/>
      <c r="AB91" s="1742"/>
      <c r="AC91" s="1742"/>
    </row>
    <row r="92" spans="1:29" ht="15.75" thickBot="1">
      <c r="A92" s="482"/>
      <c r="B92" s="620"/>
      <c r="C92" s="634"/>
      <c r="D92" s="613"/>
      <c r="E92" s="613"/>
      <c r="F92" s="613"/>
      <c r="G92" s="634"/>
      <c r="H92" s="635"/>
      <c r="I92" s="635"/>
      <c r="J92" s="635"/>
      <c r="K92" s="635"/>
      <c r="L92" s="635"/>
      <c r="M92" s="636"/>
      <c r="N92" s="1768"/>
      <c r="O92" s="1768"/>
      <c r="P92" s="1766"/>
      <c r="Q92" s="1763"/>
      <c r="R92" s="1742"/>
      <c r="S92" s="1742"/>
      <c r="T92" s="1742"/>
      <c r="U92" s="1742"/>
      <c r="V92" s="1742"/>
      <c r="W92" s="1742"/>
      <c r="X92" s="1742"/>
      <c r="Y92" s="1742"/>
      <c r="Z92" s="1742"/>
      <c r="AA92" s="1742"/>
      <c r="AB92" s="1742"/>
      <c r="AC92" s="1742"/>
    </row>
    <row r="93" spans="1:29" ht="15" thickTop="1">
      <c r="A93" s="543"/>
      <c r="B93" s="615">
        <f>B33</f>
        <v>111</v>
      </c>
      <c r="C93" s="491"/>
      <c r="D93" s="491"/>
      <c r="E93" s="491"/>
      <c r="F93" s="491"/>
      <c r="G93" s="630"/>
      <c r="H93" s="631"/>
      <c r="I93" s="631"/>
      <c r="J93" s="631"/>
      <c r="K93" s="631"/>
      <c r="L93" s="632"/>
      <c r="M93" s="633"/>
      <c r="N93" s="1767"/>
      <c r="O93" s="1767"/>
      <c r="P93" s="1766"/>
      <c r="Q93" s="1763"/>
      <c r="R93" s="1742"/>
      <c r="S93" s="1742"/>
      <c r="T93" s="1742"/>
      <c r="U93" s="1742"/>
      <c r="V93" s="1742"/>
      <c r="W93" s="1742"/>
      <c r="X93" s="1742"/>
      <c r="Y93" s="1742"/>
      <c r="Z93" s="1742"/>
      <c r="AA93" s="1742"/>
      <c r="AB93" s="1742"/>
      <c r="AC93" s="1742"/>
    </row>
    <row r="94" spans="1:29" ht="15.75" thickBot="1">
      <c r="A94" s="482"/>
      <c r="B94" s="620"/>
      <c r="C94" s="634"/>
      <c r="D94" s="613"/>
      <c r="E94" s="613"/>
      <c r="F94" s="613"/>
      <c r="G94" s="634"/>
      <c r="H94" s="635"/>
      <c r="I94" s="635"/>
      <c r="J94" s="635"/>
      <c r="K94" s="635"/>
      <c r="L94" s="635"/>
      <c r="M94" s="636"/>
      <c r="N94" s="1768"/>
      <c r="O94" s="1768"/>
      <c r="P94" s="1766"/>
      <c r="Q94" s="1763"/>
      <c r="R94" s="1742"/>
      <c r="S94" s="1742"/>
      <c r="T94" s="1742"/>
      <c r="U94" s="1742"/>
      <c r="V94" s="1742"/>
      <c r="W94" s="1742"/>
      <c r="X94" s="1742"/>
      <c r="Y94" s="1742"/>
      <c r="Z94" s="1742"/>
      <c r="AA94" s="1742"/>
      <c r="AB94" s="1742"/>
      <c r="AC94" s="1742"/>
    </row>
    <row r="95" spans="1:29" ht="15" thickTop="1">
      <c r="A95" s="543"/>
      <c r="B95" s="839">
        <f>B34</f>
        <v>111</v>
      </c>
      <c r="C95" s="491"/>
      <c r="D95" s="491"/>
      <c r="E95" s="491"/>
      <c r="F95" s="491"/>
      <c r="G95" s="630"/>
      <c r="H95" s="631"/>
      <c r="I95" s="631"/>
      <c r="J95" s="631"/>
      <c r="K95" s="631"/>
      <c r="L95" s="632"/>
      <c r="M95" s="633"/>
      <c r="N95" s="1768"/>
      <c r="O95" s="1768"/>
      <c r="P95" s="1768"/>
      <c r="Q95" s="1803"/>
      <c r="R95" s="1742"/>
      <c r="S95" s="1742"/>
      <c r="T95" s="1742"/>
      <c r="U95" s="1742"/>
      <c r="V95" s="1742"/>
      <c r="W95" s="1742"/>
      <c r="X95" s="1742"/>
      <c r="Y95" s="1742"/>
      <c r="Z95" s="1742"/>
      <c r="AA95" s="1742"/>
      <c r="AB95" s="1742"/>
      <c r="AC95" s="1742"/>
    </row>
    <row r="96" spans="1:29" ht="15.75" thickBot="1">
      <c r="A96" s="482"/>
      <c r="B96" s="620"/>
      <c r="C96" s="634"/>
      <c r="D96" s="634"/>
      <c r="E96" s="634"/>
      <c r="F96" s="634"/>
      <c r="G96" s="634"/>
      <c r="H96" s="635"/>
      <c r="I96" s="635"/>
      <c r="J96" s="635"/>
      <c r="K96" s="635"/>
      <c r="L96" s="635"/>
      <c r="M96" s="636"/>
      <c r="N96" s="1768"/>
      <c r="O96" s="1768"/>
      <c r="P96" s="1766"/>
      <c r="Q96" s="1763"/>
      <c r="R96" s="1742"/>
      <c r="S96" s="1742"/>
      <c r="T96" s="1742"/>
      <c r="U96" s="1742"/>
      <c r="V96" s="1742"/>
      <c r="W96" s="1742"/>
      <c r="X96" s="1742"/>
      <c r="Y96" s="1742"/>
      <c r="Z96" s="1742"/>
      <c r="AA96" s="1742"/>
      <c r="AB96" s="1742"/>
      <c r="AC96" s="1742"/>
    </row>
    <row r="97" spans="1:29" ht="15" thickTop="1">
      <c r="A97" s="1779"/>
      <c r="B97" s="1779"/>
      <c r="C97" s="1779"/>
      <c r="D97" s="1779"/>
      <c r="E97" s="1779"/>
      <c r="F97" s="1779"/>
      <c r="G97" s="1779"/>
      <c r="H97" s="1779"/>
      <c r="I97" s="1779"/>
      <c r="J97" s="1779"/>
      <c r="K97" s="1780"/>
      <c r="L97" s="1781"/>
      <c r="M97" s="1779"/>
      <c r="N97" s="1779"/>
      <c r="O97" s="1779"/>
      <c r="P97" s="1779"/>
      <c r="Q97" s="1779"/>
      <c r="R97" s="1779"/>
      <c r="S97" s="1779"/>
      <c r="T97" s="1779"/>
      <c r="U97" s="1779"/>
      <c r="V97" s="1779"/>
      <c r="W97" s="1779"/>
      <c r="X97" s="1779"/>
      <c r="Y97" s="1779"/>
      <c r="Z97" s="1779"/>
      <c r="AA97" s="1779"/>
      <c r="AB97" s="1779"/>
      <c r="AC97" s="1779"/>
    </row>
    <row r="98" spans="1:29">
      <c r="A98" s="1779"/>
      <c r="B98" s="1779"/>
      <c r="C98" s="1779"/>
      <c r="D98" s="1779"/>
      <c r="E98" s="1779"/>
      <c r="F98" s="1779"/>
      <c r="G98" s="1779"/>
      <c r="H98" s="1779"/>
      <c r="I98" s="1779"/>
      <c r="J98" s="1779"/>
      <c r="K98" s="1780"/>
      <c r="L98" s="1781"/>
      <c r="M98" s="1779"/>
      <c r="N98" s="1779"/>
      <c r="O98" s="1779"/>
      <c r="P98" s="1779"/>
      <c r="Q98" s="1779"/>
      <c r="R98" s="1779"/>
      <c r="S98" s="1779"/>
      <c r="T98" s="1779"/>
      <c r="U98" s="1779"/>
      <c r="V98" s="1779"/>
      <c r="W98" s="1779"/>
      <c r="X98" s="1779"/>
      <c r="Y98" s="1779"/>
      <c r="Z98" s="1779"/>
      <c r="AA98" s="1779"/>
      <c r="AB98" s="1779"/>
      <c r="AC98" s="1779"/>
    </row>
    <row r="99" spans="1:29">
      <c r="A99" s="1779"/>
      <c r="B99" s="1779"/>
      <c r="C99" s="1779"/>
      <c r="D99" s="1779"/>
      <c r="E99" s="1779"/>
      <c r="F99" s="1779"/>
      <c r="G99" s="1779"/>
      <c r="H99" s="1779"/>
      <c r="I99" s="1779"/>
      <c r="J99" s="1779"/>
      <c r="K99" s="1780"/>
      <c r="L99" s="1781"/>
      <c r="M99" s="1779"/>
      <c r="N99" s="1779"/>
      <c r="O99" s="1779"/>
      <c r="P99" s="1779"/>
      <c r="Q99" s="1779"/>
      <c r="R99" s="1779"/>
      <c r="S99" s="1779"/>
      <c r="T99" s="1779"/>
      <c r="U99" s="1779"/>
      <c r="V99" s="1779"/>
      <c r="W99" s="1779"/>
      <c r="X99" s="1779"/>
      <c r="Y99" s="1779"/>
      <c r="Z99" s="1779"/>
      <c r="AA99" s="1779"/>
      <c r="AB99" s="1779"/>
      <c r="AC99" s="1779"/>
    </row>
    <row r="100" spans="1:29">
      <c r="A100" s="1779"/>
      <c r="B100" s="1779"/>
      <c r="C100" s="1779"/>
      <c r="D100" s="1779"/>
      <c r="E100" s="1779"/>
      <c r="F100" s="1779"/>
      <c r="G100" s="1779"/>
      <c r="H100" s="1779"/>
      <c r="I100" s="1779"/>
      <c r="J100" s="1779"/>
      <c r="K100" s="1780"/>
      <c r="L100" s="1781"/>
      <c r="M100" s="1779"/>
      <c r="N100" s="1779"/>
      <c r="O100" s="1779"/>
      <c r="P100" s="1779"/>
      <c r="Q100" s="1779"/>
      <c r="R100" s="1779"/>
      <c r="S100" s="1779"/>
      <c r="T100" s="1779"/>
      <c r="U100" s="1779"/>
      <c r="V100" s="1779"/>
      <c r="W100" s="1779"/>
      <c r="X100" s="1779"/>
      <c r="Y100" s="1779"/>
      <c r="Z100" s="1779"/>
      <c r="AA100" s="1779"/>
      <c r="AB100" s="1779"/>
      <c r="AC100" s="1779"/>
    </row>
    <row r="101" spans="1:29">
      <c r="A101" s="1779"/>
      <c r="B101" s="1779"/>
      <c r="C101" s="1779"/>
      <c r="D101" s="1779"/>
      <c r="E101" s="1779"/>
      <c r="F101" s="1779"/>
      <c r="G101" s="1779"/>
      <c r="H101" s="1779"/>
      <c r="I101" s="1779"/>
      <c r="J101" s="1779"/>
      <c r="K101" s="1780"/>
      <c r="L101" s="1781"/>
      <c r="M101" s="1779"/>
      <c r="N101" s="1779"/>
      <c r="O101" s="1779"/>
      <c r="P101" s="1779"/>
      <c r="Q101" s="1779"/>
      <c r="R101" s="1779"/>
      <c r="S101" s="1779"/>
      <c r="T101" s="1779"/>
      <c r="U101" s="1779"/>
      <c r="V101" s="1779"/>
      <c r="W101" s="1779"/>
      <c r="X101" s="1779"/>
      <c r="Y101" s="1779"/>
      <c r="Z101" s="1779"/>
      <c r="AA101" s="1779"/>
      <c r="AB101" s="1779"/>
      <c r="AC101" s="1779"/>
    </row>
    <row r="102" spans="1:29">
      <c r="A102" s="1779"/>
      <c r="B102" s="1779"/>
      <c r="C102" s="1779"/>
      <c r="D102" s="1779"/>
      <c r="E102" s="1779"/>
      <c r="F102" s="1779"/>
      <c r="G102" s="1779"/>
      <c r="H102" s="1779"/>
      <c r="I102" s="1779"/>
      <c r="J102" s="1779"/>
      <c r="K102" s="1780"/>
      <c r="L102" s="1781"/>
      <c r="M102" s="1779"/>
      <c r="N102" s="1779"/>
      <c r="O102" s="1779"/>
      <c r="P102" s="1779"/>
      <c r="Q102" s="1779"/>
      <c r="R102" s="1779"/>
      <c r="S102" s="1779"/>
      <c r="T102" s="1779"/>
      <c r="U102" s="1779"/>
      <c r="V102" s="1779"/>
      <c r="W102" s="1779"/>
      <c r="X102" s="1779"/>
      <c r="Y102" s="1779"/>
      <c r="Z102" s="1779"/>
      <c r="AA102" s="1779"/>
      <c r="AB102" s="1779"/>
      <c r="AC102" s="1779"/>
    </row>
    <row r="103" spans="1:29">
      <c r="A103" s="1779"/>
      <c r="B103" s="1779"/>
      <c r="C103" s="1779"/>
      <c r="D103" s="1779"/>
      <c r="E103" s="1779"/>
      <c r="F103" s="1779"/>
      <c r="G103" s="1779"/>
      <c r="H103" s="1779"/>
      <c r="I103" s="1779"/>
      <c r="J103" s="1779"/>
      <c r="K103" s="1780"/>
      <c r="L103" s="1781"/>
      <c r="M103" s="1779"/>
      <c r="N103" s="1779"/>
      <c r="O103" s="1779"/>
      <c r="P103" s="1779"/>
      <c r="Q103" s="1779"/>
      <c r="R103" s="1779"/>
      <c r="S103" s="1779"/>
      <c r="T103" s="1779"/>
      <c r="U103" s="1779"/>
      <c r="V103" s="1779"/>
      <c r="W103" s="1779"/>
      <c r="X103" s="1779"/>
      <c r="Y103" s="1779"/>
      <c r="Z103" s="1779"/>
      <c r="AA103" s="1779"/>
      <c r="AB103" s="1779"/>
      <c r="AC103" s="1779"/>
    </row>
    <row r="104" spans="1:29">
      <c r="A104" s="1779"/>
      <c r="B104" s="1779"/>
      <c r="C104" s="1779"/>
      <c r="D104" s="1779"/>
      <c r="E104" s="1779"/>
      <c r="F104" s="1779"/>
      <c r="G104" s="1779"/>
      <c r="H104" s="1779"/>
      <c r="I104" s="1779"/>
      <c r="J104" s="1779"/>
      <c r="K104" s="1780"/>
      <c r="L104" s="1781"/>
      <c r="M104" s="1779"/>
      <c r="N104" s="1779"/>
      <c r="O104" s="1779"/>
      <c r="P104" s="1779"/>
      <c r="Q104" s="1779"/>
      <c r="R104" s="1779"/>
      <c r="S104" s="1779"/>
      <c r="T104" s="1779"/>
      <c r="U104" s="1779"/>
      <c r="V104" s="1779"/>
      <c r="W104" s="1779"/>
      <c r="X104" s="1779"/>
      <c r="Y104" s="1779"/>
      <c r="Z104" s="1779"/>
      <c r="AA104" s="1779"/>
      <c r="AB104" s="1779"/>
      <c r="AC104" s="1779"/>
    </row>
    <row r="105" spans="1:29">
      <c r="A105" s="1779"/>
      <c r="B105" s="1779"/>
      <c r="C105" s="1779"/>
      <c r="D105" s="1779"/>
      <c r="E105" s="1779"/>
      <c r="F105" s="1779"/>
      <c r="G105" s="1779"/>
      <c r="H105" s="1779"/>
      <c r="I105" s="1779"/>
      <c r="J105" s="1779"/>
      <c r="K105" s="1780"/>
      <c r="L105" s="1781"/>
      <c r="M105" s="1779"/>
      <c r="N105" s="1779"/>
      <c r="O105" s="1779"/>
      <c r="P105" s="1779"/>
      <c r="Q105" s="1779"/>
      <c r="R105" s="1779"/>
      <c r="S105" s="1779"/>
      <c r="T105" s="1779"/>
      <c r="U105" s="1779"/>
      <c r="V105" s="1779"/>
      <c r="W105" s="1779"/>
      <c r="X105" s="1779"/>
      <c r="Y105" s="1779"/>
      <c r="Z105" s="1779"/>
      <c r="AA105" s="1779"/>
      <c r="AB105" s="1779"/>
      <c r="AC105" s="1779"/>
    </row>
    <row r="106" spans="1:29">
      <c r="A106" s="1779"/>
      <c r="B106" s="1779"/>
      <c r="C106" s="1779"/>
      <c r="D106" s="1779"/>
      <c r="E106" s="1779"/>
      <c r="F106" s="1779"/>
      <c r="G106" s="1779"/>
      <c r="H106" s="1779"/>
      <c r="I106" s="1779"/>
      <c r="J106" s="1779"/>
      <c r="K106" s="1780"/>
      <c r="L106" s="1781"/>
      <c r="M106" s="1779"/>
      <c r="N106" s="1779"/>
      <c r="O106" s="1779"/>
      <c r="P106" s="1779"/>
      <c r="Q106" s="1779"/>
      <c r="R106" s="1779"/>
      <c r="S106" s="1779"/>
      <c r="T106" s="1779"/>
      <c r="U106" s="1779"/>
      <c r="V106" s="1779"/>
      <c r="W106" s="1779"/>
      <c r="X106" s="1779"/>
      <c r="Y106" s="1779"/>
      <c r="Z106" s="1779"/>
      <c r="AA106" s="1779"/>
      <c r="AB106" s="1779"/>
      <c r="AC106" s="1779"/>
    </row>
    <row r="107" spans="1:29">
      <c r="A107" s="1779"/>
      <c r="B107" s="1779"/>
      <c r="C107" s="1779"/>
      <c r="D107" s="1779"/>
      <c r="E107" s="1779"/>
      <c r="F107" s="1779"/>
      <c r="G107" s="1779"/>
      <c r="H107" s="1779"/>
      <c r="I107" s="1779"/>
      <c r="J107" s="1779"/>
      <c r="K107" s="1780"/>
      <c r="L107" s="1781"/>
      <c r="M107" s="1779"/>
      <c r="N107" s="1779"/>
      <c r="O107" s="1779"/>
      <c r="P107" s="1779"/>
      <c r="Q107" s="1779"/>
      <c r="R107" s="1779"/>
      <c r="S107" s="1779"/>
      <c r="T107" s="1779"/>
      <c r="U107" s="1779"/>
      <c r="V107" s="1779"/>
      <c r="W107" s="1779"/>
      <c r="X107" s="1779"/>
      <c r="Y107" s="1779"/>
      <c r="Z107" s="1779"/>
      <c r="AA107" s="1779"/>
      <c r="AB107" s="1779"/>
      <c r="AC107" s="1779"/>
    </row>
    <row r="108" spans="1:29">
      <c r="A108" s="1779"/>
      <c r="B108" s="1779"/>
      <c r="C108" s="1779"/>
      <c r="D108" s="1779"/>
      <c r="E108" s="1779"/>
      <c r="F108" s="1779"/>
      <c r="G108" s="1779"/>
      <c r="H108" s="1779"/>
      <c r="I108" s="1779"/>
      <c r="J108" s="1779"/>
      <c r="K108" s="1780"/>
      <c r="L108" s="1781"/>
      <c r="M108" s="1779"/>
      <c r="N108" s="1779"/>
      <c r="O108" s="1779"/>
      <c r="P108" s="1779"/>
      <c r="Q108" s="1779"/>
      <c r="R108" s="1779"/>
      <c r="S108" s="1779"/>
      <c r="T108" s="1779"/>
      <c r="U108" s="1779"/>
      <c r="V108" s="1779"/>
      <c r="W108" s="1779"/>
      <c r="X108" s="1779"/>
      <c r="Y108" s="1779"/>
      <c r="Z108" s="1779"/>
      <c r="AA108" s="1779"/>
      <c r="AB108" s="1779"/>
      <c r="AC108" s="1779"/>
    </row>
    <row r="109" spans="1:29">
      <c r="A109" s="1779"/>
      <c r="B109" s="1779"/>
      <c r="C109" s="1779"/>
      <c r="D109" s="1779"/>
      <c r="E109" s="1779"/>
      <c r="F109" s="1779"/>
      <c r="G109" s="1779"/>
      <c r="H109" s="1779"/>
      <c r="I109" s="1779"/>
      <c r="J109" s="1779"/>
      <c r="K109" s="1780"/>
      <c r="L109" s="1781"/>
      <c r="M109" s="1779"/>
      <c r="N109" s="1779"/>
      <c r="O109" s="1779"/>
      <c r="P109" s="1779"/>
      <c r="Q109" s="1779"/>
      <c r="R109" s="1779"/>
      <c r="S109" s="1779"/>
      <c r="T109" s="1779"/>
      <c r="U109" s="1779"/>
      <c r="V109" s="1779"/>
      <c r="W109" s="1779"/>
      <c r="X109" s="1779"/>
      <c r="Y109" s="1779"/>
      <c r="Z109" s="1779"/>
      <c r="AA109" s="1779"/>
      <c r="AB109" s="1779"/>
      <c r="AC109" s="1779"/>
    </row>
    <row r="110" spans="1:29">
      <c r="A110" s="1779"/>
      <c r="B110" s="1779"/>
      <c r="C110" s="1779"/>
      <c r="D110" s="1779"/>
      <c r="E110" s="1779"/>
      <c r="F110" s="1779"/>
      <c r="G110" s="1779"/>
      <c r="H110" s="1779"/>
      <c r="I110" s="1779"/>
      <c r="J110" s="1779"/>
      <c r="K110" s="1780"/>
      <c r="L110" s="1781"/>
      <c r="M110" s="1779"/>
      <c r="N110" s="1779"/>
      <c r="O110" s="1779"/>
      <c r="P110" s="1779"/>
      <c r="Q110" s="1779"/>
      <c r="R110" s="1779"/>
      <c r="S110" s="1779"/>
      <c r="T110" s="1779"/>
      <c r="U110" s="1779"/>
      <c r="V110" s="1779"/>
      <c r="W110" s="1779"/>
      <c r="X110" s="1779"/>
      <c r="Y110" s="1779"/>
      <c r="Z110" s="1779"/>
      <c r="AA110" s="1779"/>
      <c r="AB110" s="1779"/>
      <c r="AC110" s="1779"/>
    </row>
    <row r="111" spans="1:29">
      <c r="A111" s="1779"/>
      <c r="B111" s="1779"/>
      <c r="C111" s="1779"/>
      <c r="D111" s="1779"/>
      <c r="E111" s="1779"/>
      <c r="F111" s="1779"/>
      <c r="G111" s="1779"/>
      <c r="H111" s="1779"/>
      <c r="I111" s="1779"/>
      <c r="J111" s="1779"/>
      <c r="K111" s="1780"/>
      <c r="L111" s="1781"/>
      <c r="M111" s="1779"/>
      <c r="N111" s="1779"/>
      <c r="O111" s="1779"/>
      <c r="P111" s="1779"/>
      <c r="Q111" s="1779"/>
      <c r="R111" s="1779"/>
      <c r="S111" s="1779"/>
      <c r="T111" s="1779"/>
      <c r="U111" s="1779"/>
      <c r="V111" s="1779"/>
      <c r="W111" s="1779"/>
      <c r="X111" s="1779"/>
      <c r="Y111" s="1779"/>
      <c r="Z111" s="1779"/>
      <c r="AA111" s="1779"/>
      <c r="AB111" s="1779"/>
      <c r="AC111" s="1779"/>
    </row>
    <row r="112" spans="1:29">
      <c r="A112" s="1779"/>
      <c r="B112" s="1779"/>
      <c r="C112" s="1779"/>
      <c r="D112" s="1779"/>
      <c r="E112" s="1779"/>
      <c r="F112" s="1779"/>
      <c r="G112" s="1779"/>
      <c r="H112" s="1779"/>
      <c r="I112" s="1779"/>
      <c r="J112" s="1779"/>
      <c r="K112" s="1780"/>
      <c r="L112" s="1781"/>
      <c r="M112" s="1779"/>
      <c r="N112" s="1779"/>
      <c r="O112" s="1779"/>
      <c r="P112" s="1779"/>
      <c r="Q112" s="1779"/>
      <c r="R112" s="1779"/>
      <c r="S112" s="1779"/>
      <c r="T112" s="1779"/>
      <c r="U112" s="1779"/>
      <c r="V112" s="1779"/>
      <c r="W112" s="1779"/>
      <c r="X112" s="1779"/>
      <c r="Y112" s="1779"/>
      <c r="Z112" s="1779"/>
      <c r="AA112" s="1779"/>
      <c r="AB112" s="1779"/>
      <c r="AC112" s="1779"/>
    </row>
    <row r="113" spans="1:29">
      <c r="A113" s="1779"/>
      <c r="B113" s="1779"/>
      <c r="C113" s="1779"/>
      <c r="D113" s="1779"/>
      <c r="E113" s="1779"/>
      <c r="F113" s="1779"/>
      <c r="G113" s="1779"/>
      <c r="H113" s="1779"/>
      <c r="I113" s="1779"/>
      <c r="J113" s="1779"/>
      <c r="K113" s="1780"/>
      <c r="L113" s="1781"/>
      <c r="M113" s="1779"/>
      <c r="N113" s="1779"/>
      <c r="O113" s="1779"/>
      <c r="P113" s="1779"/>
      <c r="Q113" s="1779"/>
      <c r="R113" s="1779"/>
      <c r="S113" s="1779"/>
      <c r="T113" s="1779"/>
      <c r="U113" s="1779"/>
      <c r="V113" s="1779"/>
      <c r="W113" s="1779"/>
      <c r="X113" s="1779"/>
      <c r="Y113" s="1779"/>
      <c r="Z113" s="1779"/>
      <c r="AA113" s="1779"/>
      <c r="AB113" s="1779"/>
      <c r="AC113" s="1779"/>
    </row>
    <row r="114" spans="1:29">
      <c r="A114" s="1779"/>
      <c r="B114" s="1779"/>
      <c r="C114" s="1779"/>
      <c r="D114" s="1779"/>
      <c r="E114" s="1779"/>
      <c r="F114" s="1779"/>
      <c r="G114" s="1779"/>
      <c r="H114" s="1779"/>
      <c r="I114" s="1779"/>
      <c r="J114" s="1779"/>
      <c r="K114" s="1780"/>
      <c r="L114" s="1781"/>
      <c r="M114" s="1779"/>
      <c r="N114" s="1779"/>
      <c r="O114" s="1779"/>
      <c r="P114" s="1779"/>
      <c r="Q114" s="1779"/>
      <c r="R114" s="1779"/>
      <c r="S114" s="1779"/>
      <c r="T114" s="1779"/>
      <c r="U114" s="1779"/>
      <c r="V114" s="1779"/>
      <c r="W114" s="1779"/>
      <c r="X114" s="1779"/>
      <c r="Y114" s="1779"/>
      <c r="Z114" s="1779"/>
      <c r="AA114" s="1779"/>
      <c r="AB114" s="1779"/>
      <c r="AC114" s="1779"/>
    </row>
    <row r="115" spans="1:29">
      <c r="A115" s="1779"/>
      <c r="B115" s="1779"/>
      <c r="C115" s="1779"/>
      <c r="D115" s="1779"/>
      <c r="E115" s="1779"/>
      <c r="F115" s="1779"/>
      <c r="G115" s="1779"/>
      <c r="H115" s="1779"/>
      <c r="I115" s="1779"/>
      <c r="J115" s="1779"/>
      <c r="K115" s="1780"/>
      <c r="L115" s="1781"/>
      <c r="M115" s="1779"/>
      <c r="N115" s="1779"/>
      <c r="O115" s="1779"/>
      <c r="P115" s="1779"/>
      <c r="Q115" s="1779"/>
      <c r="R115" s="1779"/>
      <c r="S115" s="1779"/>
      <c r="T115" s="1779"/>
      <c r="U115" s="1779"/>
      <c r="V115" s="1779"/>
      <c r="W115" s="1779"/>
      <c r="X115" s="1779"/>
      <c r="Y115" s="1779"/>
      <c r="Z115" s="1779"/>
      <c r="AA115" s="1779"/>
      <c r="AB115" s="1779"/>
      <c r="AC115" s="1779"/>
    </row>
    <row r="116" spans="1:29">
      <c r="A116" s="1779"/>
      <c r="B116" s="1779"/>
      <c r="C116" s="1779"/>
      <c r="D116" s="1779"/>
      <c r="E116" s="1779"/>
      <c r="F116" s="1779"/>
      <c r="G116" s="1779"/>
      <c r="H116" s="1779"/>
      <c r="I116" s="1779"/>
      <c r="J116" s="1779"/>
      <c r="K116" s="1780"/>
      <c r="L116" s="1781"/>
      <c r="M116" s="1779"/>
      <c r="N116" s="1779"/>
      <c r="O116" s="1779"/>
      <c r="P116" s="1779"/>
      <c r="Q116" s="1779"/>
      <c r="R116" s="1779"/>
      <c r="S116" s="1779"/>
      <c r="T116" s="1779"/>
      <c r="U116" s="1779"/>
      <c r="V116" s="1779"/>
      <c r="W116" s="1779"/>
      <c r="X116" s="1779"/>
      <c r="Y116" s="1779"/>
      <c r="Z116" s="1779"/>
      <c r="AA116" s="1779"/>
      <c r="AB116" s="1779"/>
      <c r="AC116" s="1779"/>
    </row>
    <row r="117" spans="1:29">
      <c r="A117" s="1779"/>
      <c r="B117" s="1779"/>
      <c r="C117" s="1779"/>
      <c r="D117" s="1779"/>
      <c r="E117" s="1779"/>
      <c r="F117" s="1779"/>
      <c r="G117" s="1779"/>
      <c r="H117" s="1779"/>
      <c r="I117" s="1779"/>
      <c r="J117" s="1779"/>
      <c r="K117" s="1780"/>
      <c r="L117" s="1781"/>
      <c r="M117" s="1779"/>
      <c r="N117" s="1779"/>
      <c r="O117" s="1779"/>
      <c r="P117" s="1779"/>
      <c r="Q117" s="1779"/>
      <c r="R117" s="1779"/>
      <c r="S117" s="1779"/>
      <c r="T117" s="1779"/>
      <c r="U117" s="1779"/>
      <c r="V117" s="1779"/>
      <c r="W117" s="1779"/>
      <c r="X117" s="1779"/>
      <c r="Y117" s="1779"/>
      <c r="Z117" s="1779"/>
      <c r="AA117" s="1779"/>
      <c r="AB117" s="1779"/>
      <c r="AC117" s="1779"/>
    </row>
    <row r="118" spans="1:29">
      <c r="A118" s="1779"/>
      <c r="B118" s="1779"/>
      <c r="C118" s="1779"/>
      <c r="D118" s="1779"/>
      <c r="E118" s="1779"/>
      <c r="F118" s="1779"/>
      <c r="G118" s="1779"/>
      <c r="H118" s="1779"/>
      <c r="I118" s="1779"/>
      <c r="J118" s="1779"/>
      <c r="K118" s="1780"/>
      <c r="L118" s="1781"/>
      <c r="M118" s="1779"/>
      <c r="N118" s="1779"/>
      <c r="O118" s="1779"/>
      <c r="P118" s="1779"/>
      <c r="Q118" s="1779"/>
      <c r="R118" s="1779"/>
      <c r="S118" s="1779"/>
      <c r="T118" s="1779"/>
      <c r="U118" s="1779"/>
      <c r="V118" s="1779"/>
      <c r="W118" s="1779"/>
      <c r="X118" s="1779"/>
      <c r="Y118" s="1779"/>
      <c r="Z118" s="1779"/>
      <c r="AA118" s="1779"/>
      <c r="AB118" s="1779"/>
      <c r="AC118" s="1779"/>
    </row>
    <row r="119" spans="1:29">
      <c r="A119" s="1779"/>
      <c r="B119" s="1779"/>
      <c r="C119" s="1779"/>
      <c r="D119" s="1779"/>
      <c r="E119" s="1779"/>
      <c r="F119" s="1779"/>
      <c r="G119" s="1779"/>
      <c r="H119" s="1779"/>
      <c r="I119" s="1779"/>
      <c r="J119" s="1779"/>
      <c r="K119" s="1780"/>
      <c r="L119" s="1781"/>
      <c r="M119" s="1779"/>
      <c r="N119" s="1779"/>
      <c r="O119" s="1779"/>
      <c r="P119" s="1779"/>
      <c r="Q119" s="1779"/>
      <c r="R119" s="1779"/>
      <c r="S119" s="1779"/>
      <c r="T119" s="1779"/>
      <c r="U119" s="1779"/>
      <c r="V119" s="1779"/>
      <c r="W119" s="1779"/>
      <c r="X119" s="1779"/>
      <c r="Y119" s="1779"/>
      <c r="Z119" s="1779"/>
      <c r="AA119" s="1779"/>
      <c r="AB119" s="1779"/>
      <c r="AC119" s="1779"/>
    </row>
    <row r="120" spans="1:29">
      <c r="A120" s="1779"/>
      <c r="B120" s="1779"/>
      <c r="C120" s="1779"/>
      <c r="D120" s="1779"/>
      <c r="E120" s="1779"/>
      <c r="F120" s="1779"/>
      <c r="G120" s="1779"/>
      <c r="H120" s="1779"/>
      <c r="I120" s="1779"/>
      <c r="J120" s="1779"/>
      <c r="K120" s="1780"/>
      <c r="L120" s="1781"/>
      <c r="M120" s="1779"/>
      <c r="N120" s="1779"/>
      <c r="O120" s="1779"/>
      <c r="P120" s="1779"/>
      <c r="Q120" s="1779"/>
      <c r="R120" s="1779"/>
      <c r="S120" s="1779"/>
      <c r="T120" s="1779"/>
      <c r="U120" s="1779"/>
      <c r="V120" s="1779"/>
      <c r="W120" s="1779"/>
      <c r="X120" s="1779"/>
      <c r="Y120" s="1779"/>
      <c r="Z120" s="1779"/>
      <c r="AA120" s="1779"/>
      <c r="AB120" s="1779"/>
      <c r="AC120" s="1779"/>
    </row>
    <row r="121" spans="1:29">
      <c r="A121" s="1779"/>
      <c r="B121" s="1779"/>
      <c r="C121" s="1779"/>
      <c r="D121" s="1779"/>
      <c r="E121" s="1779"/>
      <c r="F121" s="1779"/>
      <c r="G121" s="1779"/>
      <c r="H121" s="1779"/>
      <c r="I121" s="1779"/>
      <c r="J121" s="1779"/>
      <c r="K121" s="1780"/>
      <c r="L121" s="1781"/>
      <c r="M121" s="1779"/>
      <c r="N121" s="1779"/>
      <c r="O121" s="1779"/>
      <c r="P121" s="1779"/>
      <c r="Q121" s="1779"/>
      <c r="R121" s="1779"/>
      <c r="S121" s="1779"/>
      <c r="T121" s="1779"/>
      <c r="U121" s="1779"/>
      <c r="V121" s="1779"/>
      <c r="W121" s="1779"/>
      <c r="X121" s="1779"/>
      <c r="Y121" s="1779"/>
      <c r="Z121" s="1779"/>
      <c r="AA121" s="1779"/>
      <c r="AB121" s="1779"/>
      <c r="AC121" s="1779"/>
    </row>
    <row r="122" spans="1:29">
      <c r="A122" s="1779"/>
      <c r="B122" s="1779"/>
      <c r="C122" s="1779"/>
      <c r="D122" s="1779"/>
      <c r="E122" s="1779"/>
      <c r="F122" s="1779"/>
      <c r="G122" s="1779"/>
      <c r="H122" s="1779"/>
      <c r="I122" s="1779"/>
      <c r="J122" s="1779"/>
      <c r="K122" s="1780"/>
      <c r="L122" s="1781"/>
      <c r="M122" s="1779"/>
      <c r="N122" s="1779"/>
      <c r="O122" s="1779"/>
      <c r="P122" s="1779"/>
      <c r="Q122" s="1779"/>
      <c r="R122" s="1779"/>
      <c r="S122" s="1779"/>
      <c r="T122" s="1779"/>
      <c r="U122" s="1779"/>
      <c r="V122" s="1779"/>
      <c r="W122" s="1779"/>
      <c r="X122" s="1779"/>
      <c r="Y122" s="1779"/>
      <c r="Z122" s="1779"/>
      <c r="AA122" s="1779"/>
      <c r="AB122" s="1779"/>
      <c r="AC122" s="1779"/>
    </row>
    <row r="123" spans="1:29">
      <c r="A123" s="1779"/>
      <c r="B123" s="1779"/>
      <c r="C123" s="1779"/>
      <c r="D123" s="1779"/>
      <c r="E123" s="1779"/>
      <c r="F123" s="1779"/>
      <c r="G123" s="1779"/>
      <c r="H123" s="1779"/>
      <c r="I123" s="1779"/>
      <c r="J123" s="1779"/>
      <c r="K123" s="1780"/>
      <c r="L123" s="1781"/>
      <c r="M123" s="1779"/>
      <c r="N123" s="1779"/>
      <c r="O123" s="1779"/>
      <c r="P123" s="1779"/>
      <c r="Q123" s="1779"/>
      <c r="R123" s="1779"/>
      <c r="S123" s="1779"/>
      <c r="T123" s="1779"/>
      <c r="U123" s="1779"/>
      <c r="V123" s="1779"/>
      <c r="W123" s="1779"/>
      <c r="X123" s="1779"/>
      <c r="Y123" s="1779"/>
      <c r="Z123" s="1779"/>
      <c r="AA123" s="1779"/>
      <c r="AB123" s="1779"/>
      <c r="AC123" s="1779"/>
    </row>
    <row r="124" spans="1:29">
      <c r="A124" s="1779"/>
      <c r="B124" s="1779"/>
      <c r="C124" s="1779"/>
      <c r="D124" s="1779"/>
      <c r="E124" s="1779"/>
      <c r="F124" s="1779"/>
      <c r="G124" s="1779"/>
      <c r="H124" s="1779"/>
      <c r="I124" s="1779"/>
      <c r="J124" s="1779"/>
      <c r="K124" s="1780"/>
      <c r="L124" s="1781"/>
      <c r="M124" s="1779"/>
      <c r="N124" s="1779"/>
      <c r="O124" s="1779"/>
      <c r="P124" s="1779"/>
      <c r="Q124" s="1779"/>
      <c r="R124" s="1779"/>
      <c r="S124" s="1779"/>
      <c r="T124" s="1779"/>
      <c r="U124" s="1779"/>
      <c r="V124" s="1779"/>
      <c r="W124" s="1779"/>
      <c r="X124" s="1779"/>
      <c r="Y124" s="1779"/>
      <c r="Z124" s="1779"/>
      <c r="AA124" s="1779"/>
      <c r="AB124" s="1779"/>
      <c r="AC124" s="1779"/>
    </row>
    <row r="125" spans="1:29">
      <c r="A125" s="1779"/>
      <c r="B125" s="1779"/>
      <c r="C125" s="1779"/>
      <c r="D125" s="1779"/>
      <c r="E125" s="1779"/>
      <c r="F125" s="1779"/>
      <c r="G125" s="1779"/>
      <c r="H125" s="1779"/>
      <c r="I125" s="1779"/>
      <c r="J125" s="1779"/>
      <c r="K125" s="1780"/>
      <c r="L125" s="1781"/>
      <c r="M125" s="1779"/>
      <c r="N125" s="1779"/>
      <c r="O125" s="1779"/>
      <c r="P125" s="1779"/>
      <c r="Q125" s="1779"/>
      <c r="R125" s="1779"/>
      <c r="S125" s="1779"/>
      <c r="T125" s="1779"/>
      <c r="U125" s="1779"/>
      <c r="V125" s="1779"/>
      <c r="W125" s="1779"/>
      <c r="X125" s="1779"/>
      <c r="Y125" s="1779"/>
      <c r="Z125" s="1779"/>
      <c r="AA125" s="1779"/>
      <c r="AB125" s="1779"/>
      <c r="AC125" s="1779"/>
    </row>
    <row r="126" spans="1:29">
      <c r="A126" s="1779"/>
      <c r="B126" s="1779"/>
      <c r="C126" s="1779"/>
      <c r="D126" s="1779"/>
      <c r="E126" s="1779"/>
      <c r="F126" s="1779"/>
      <c r="G126" s="1779"/>
      <c r="H126" s="1779"/>
      <c r="I126" s="1779"/>
      <c r="J126" s="1779"/>
      <c r="K126" s="1780"/>
      <c r="L126" s="1781"/>
      <c r="M126" s="1779"/>
      <c r="N126" s="1779"/>
      <c r="O126" s="1779"/>
      <c r="P126" s="1779"/>
      <c r="Q126" s="1779"/>
      <c r="R126" s="1779"/>
      <c r="S126" s="1779"/>
      <c r="T126" s="1779"/>
      <c r="U126" s="1779"/>
      <c r="V126" s="1779"/>
      <c r="W126" s="1779"/>
      <c r="X126" s="1779"/>
      <c r="Y126" s="1779"/>
      <c r="Z126" s="1779"/>
      <c r="AA126" s="1779"/>
      <c r="AB126" s="1779"/>
      <c r="AC126" s="1779"/>
    </row>
    <row r="127" spans="1:29">
      <c r="A127" s="1779"/>
      <c r="B127" s="1779"/>
      <c r="C127" s="1779"/>
      <c r="D127" s="1779"/>
      <c r="E127" s="1779"/>
      <c r="F127" s="1779"/>
      <c r="G127" s="1779"/>
      <c r="H127" s="1779"/>
      <c r="I127" s="1779"/>
      <c r="J127" s="1779"/>
      <c r="K127" s="1780"/>
      <c r="L127" s="1781"/>
      <c r="M127" s="1779"/>
      <c r="N127" s="1779"/>
      <c r="O127" s="1779"/>
      <c r="P127" s="1779"/>
      <c r="Q127" s="1779"/>
      <c r="R127" s="1779"/>
      <c r="S127" s="1779"/>
      <c r="T127" s="1779"/>
      <c r="U127" s="1779"/>
      <c r="V127" s="1779"/>
      <c r="W127" s="1779"/>
      <c r="X127" s="1779"/>
      <c r="Y127" s="1779"/>
      <c r="Z127" s="1779"/>
      <c r="AA127" s="1779"/>
      <c r="AB127" s="1779"/>
      <c r="AC127" s="1779"/>
    </row>
    <row r="128" spans="1:29">
      <c r="A128" s="1779"/>
      <c r="B128" s="1779"/>
      <c r="C128" s="1779"/>
      <c r="D128" s="1779"/>
      <c r="E128" s="1779"/>
      <c r="F128" s="1779"/>
      <c r="G128" s="1779"/>
      <c r="H128" s="1779"/>
      <c r="I128" s="1779"/>
      <c r="J128" s="1779"/>
      <c r="K128" s="1780"/>
      <c r="L128" s="1781"/>
      <c r="M128" s="1779"/>
      <c r="N128" s="1779"/>
      <c r="O128" s="1779"/>
      <c r="P128" s="1779"/>
      <c r="Q128" s="1779"/>
      <c r="R128" s="1779"/>
      <c r="S128" s="1779"/>
      <c r="T128" s="1779"/>
      <c r="U128" s="1779"/>
      <c r="V128" s="1779"/>
      <c r="W128" s="1779"/>
      <c r="X128" s="1779"/>
      <c r="Y128" s="1779"/>
      <c r="Z128" s="1779"/>
      <c r="AA128" s="1779"/>
      <c r="AB128" s="1779"/>
      <c r="AC128" s="1779"/>
    </row>
    <row r="129" spans="1:29">
      <c r="A129" s="1779"/>
      <c r="B129" s="1779"/>
      <c r="C129" s="1779"/>
      <c r="D129" s="1779"/>
      <c r="E129" s="1779"/>
      <c r="F129" s="1779"/>
      <c r="G129" s="1779"/>
      <c r="H129" s="1779"/>
      <c r="I129" s="1779"/>
      <c r="J129" s="1779"/>
      <c r="K129" s="1780"/>
      <c r="L129" s="1781"/>
      <c r="M129" s="1779"/>
      <c r="N129" s="1779"/>
      <c r="O129" s="1779"/>
      <c r="P129" s="1779"/>
      <c r="Q129" s="1779"/>
      <c r="R129" s="1779"/>
      <c r="S129" s="1779"/>
      <c r="T129" s="1779"/>
      <c r="U129" s="1779"/>
      <c r="V129" s="1779"/>
      <c r="W129" s="1779"/>
      <c r="X129" s="1779"/>
      <c r="Y129" s="1779"/>
      <c r="Z129" s="1779"/>
      <c r="AA129" s="1779"/>
      <c r="AB129" s="1779"/>
      <c r="AC129" s="1779"/>
    </row>
    <row r="130" spans="1:29">
      <c r="A130" s="1779"/>
      <c r="B130" s="1779"/>
      <c r="C130" s="1779"/>
      <c r="D130" s="1779"/>
      <c r="E130" s="1779"/>
      <c r="F130" s="1779"/>
      <c r="G130" s="1779"/>
      <c r="H130" s="1779"/>
      <c r="I130" s="1779"/>
      <c r="J130" s="1779"/>
      <c r="K130" s="1780"/>
      <c r="L130" s="1781"/>
      <c r="M130" s="1779"/>
      <c r="N130" s="1779"/>
      <c r="O130" s="1779"/>
      <c r="P130" s="1779"/>
      <c r="Q130" s="1779"/>
      <c r="R130" s="1779"/>
      <c r="S130" s="1779"/>
      <c r="T130" s="1779"/>
      <c r="U130" s="1779"/>
      <c r="V130" s="1779"/>
      <c r="W130" s="1779"/>
      <c r="X130" s="1779"/>
      <c r="Y130" s="1779"/>
      <c r="Z130" s="1779"/>
      <c r="AA130" s="1779"/>
      <c r="AB130" s="1779"/>
      <c r="AC130" s="1779"/>
    </row>
    <row r="131" spans="1:29">
      <c r="A131" s="1779"/>
      <c r="B131" s="1779"/>
      <c r="C131" s="1779"/>
      <c r="D131" s="1779"/>
      <c r="E131" s="1779"/>
      <c r="F131" s="1779"/>
      <c r="G131" s="1779"/>
      <c r="H131" s="1779"/>
      <c r="I131" s="1779"/>
      <c r="J131" s="1779"/>
      <c r="K131" s="1780"/>
      <c r="L131" s="1781"/>
      <c r="M131" s="1779"/>
      <c r="N131" s="1779"/>
      <c r="O131" s="1779"/>
      <c r="P131" s="1779"/>
      <c r="Q131" s="1779"/>
      <c r="R131" s="1779"/>
      <c r="S131" s="1779"/>
      <c r="T131" s="1779"/>
      <c r="U131" s="1779"/>
      <c r="V131" s="1779"/>
      <c r="W131" s="1779"/>
      <c r="X131" s="1779"/>
      <c r="Y131" s="1779"/>
      <c r="Z131" s="1779"/>
      <c r="AA131" s="1779"/>
      <c r="AB131" s="1779"/>
      <c r="AC131" s="1779"/>
    </row>
    <row r="132" spans="1:29">
      <c r="A132" s="1779"/>
      <c r="B132" s="1779"/>
      <c r="C132" s="1779"/>
      <c r="D132" s="1779"/>
      <c r="E132" s="1779"/>
      <c r="F132" s="1779"/>
      <c r="G132" s="1779"/>
      <c r="H132" s="1779"/>
      <c r="I132" s="1779"/>
      <c r="J132" s="1779"/>
      <c r="K132" s="1780"/>
      <c r="L132" s="1781"/>
      <c r="M132" s="1779"/>
      <c r="N132" s="1779"/>
      <c r="O132" s="1779"/>
      <c r="P132" s="1779"/>
      <c r="Q132" s="1779"/>
      <c r="R132" s="1779"/>
      <c r="S132" s="1779"/>
      <c r="T132" s="1779"/>
      <c r="U132" s="1779"/>
      <c r="V132" s="1779"/>
      <c r="W132" s="1779"/>
      <c r="X132" s="1779"/>
      <c r="Y132" s="1779"/>
      <c r="Z132" s="1779"/>
      <c r="AA132" s="1779"/>
      <c r="AB132" s="1779"/>
      <c r="AC132" s="1779"/>
    </row>
    <row r="133" spans="1:29">
      <c r="A133" s="1779"/>
      <c r="B133" s="1779"/>
      <c r="C133" s="1779"/>
      <c r="D133" s="1779"/>
      <c r="E133" s="1779"/>
      <c r="F133" s="1779"/>
      <c r="G133" s="1779"/>
      <c r="H133" s="1779"/>
      <c r="I133" s="1779"/>
      <c r="J133" s="1779"/>
      <c r="K133" s="1780"/>
      <c r="L133" s="1781"/>
      <c r="M133" s="1779"/>
      <c r="N133" s="1779"/>
      <c r="O133" s="1779"/>
      <c r="P133" s="1779"/>
      <c r="Q133" s="1779"/>
      <c r="R133" s="1779"/>
      <c r="S133" s="1779"/>
      <c r="T133" s="1779"/>
      <c r="U133" s="1779"/>
      <c r="V133" s="1779"/>
      <c r="W133" s="1779"/>
      <c r="X133" s="1779"/>
      <c r="Y133" s="1779"/>
      <c r="Z133" s="1779"/>
      <c r="AA133" s="1779"/>
      <c r="AB133" s="1779"/>
      <c r="AC133" s="1779"/>
    </row>
    <row r="134" spans="1:29">
      <c r="A134" s="1779"/>
      <c r="B134" s="1779"/>
      <c r="C134" s="1779"/>
      <c r="D134" s="1779"/>
      <c r="E134" s="1779"/>
      <c r="F134" s="1779"/>
      <c r="G134" s="1779"/>
      <c r="H134" s="1779"/>
      <c r="I134" s="1779"/>
      <c r="J134" s="1779"/>
      <c r="K134" s="1780"/>
      <c r="L134" s="1781"/>
      <c r="M134" s="1779"/>
      <c r="N134" s="1779"/>
      <c r="O134" s="1779"/>
      <c r="P134" s="1779"/>
      <c r="Q134" s="1779"/>
      <c r="R134" s="1779"/>
      <c r="S134" s="1779"/>
      <c r="T134" s="1779"/>
      <c r="U134" s="1779"/>
      <c r="V134" s="1779"/>
      <c r="W134" s="1779"/>
      <c r="X134" s="1779"/>
      <c r="Y134" s="1779"/>
      <c r="Z134" s="1779"/>
      <c r="AA134" s="1779"/>
      <c r="AB134" s="1779"/>
      <c r="AC134" s="1779"/>
    </row>
    <row r="135" spans="1:29">
      <c r="A135" s="1779"/>
      <c r="B135" s="1779"/>
      <c r="C135" s="1779"/>
      <c r="D135" s="1779"/>
      <c r="E135" s="1779"/>
      <c r="F135" s="1779"/>
      <c r="G135" s="1779"/>
      <c r="H135" s="1779"/>
      <c r="I135" s="1779"/>
      <c r="J135" s="1779"/>
      <c r="K135" s="1780"/>
      <c r="L135" s="1781"/>
      <c r="M135" s="1779"/>
      <c r="N135" s="1779"/>
      <c r="O135" s="1779"/>
      <c r="P135" s="1779"/>
      <c r="Q135" s="1779"/>
      <c r="R135" s="1779"/>
      <c r="S135" s="1779"/>
      <c r="T135" s="1779"/>
      <c r="U135" s="1779"/>
      <c r="V135" s="1779"/>
      <c r="W135" s="1779"/>
      <c r="X135" s="1779"/>
      <c r="Y135" s="1779"/>
      <c r="Z135" s="1779"/>
      <c r="AA135" s="1779"/>
      <c r="AB135" s="1779"/>
      <c r="AC135" s="1779"/>
    </row>
    <row r="136" spans="1:29">
      <c r="A136" s="1779"/>
      <c r="B136" s="1779"/>
      <c r="C136" s="1779"/>
      <c r="D136" s="1779"/>
      <c r="E136" s="1779"/>
      <c r="F136" s="1779"/>
      <c r="G136" s="1779"/>
      <c r="H136" s="1779"/>
      <c r="I136" s="1779"/>
      <c r="J136" s="1779"/>
      <c r="K136" s="1780"/>
      <c r="L136" s="1781"/>
      <c r="M136" s="1779"/>
      <c r="N136" s="1779"/>
      <c r="O136" s="1779"/>
      <c r="P136" s="1779"/>
      <c r="Q136" s="1779"/>
      <c r="R136" s="1779"/>
      <c r="S136" s="1779"/>
      <c r="T136" s="1779"/>
      <c r="U136" s="1779"/>
      <c r="V136" s="1779"/>
      <c r="W136" s="1779"/>
      <c r="X136" s="1779"/>
      <c r="Y136" s="1779"/>
      <c r="Z136" s="1779"/>
      <c r="AA136" s="1779"/>
      <c r="AB136" s="1779"/>
      <c r="AC136" s="1779"/>
    </row>
    <row r="137" spans="1:29">
      <c r="A137" s="1779"/>
      <c r="B137" s="1779"/>
      <c r="C137" s="1779"/>
      <c r="D137" s="1779"/>
      <c r="E137" s="1779"/>
      <c r="F137" s="1779"/>
      <c r="G137" s="1779"/>
      <c r="H137" s="1779"/>
      <c r="I137" s="1779"/>
      <c r="J137" s="1779"/>
      <c r="K137" s="1780"/>
      <c r="L137" s="1781"/>
      <c r="M137" s="1779"/>
      <c r="N137" s="1779"/>
      <c r="O137" s="1779"/>
      <c r="P137" s="1779"/>
      <c r="Q137" s="1779"/>
      <c r="R137" s="1779"/>
      <c r="S137" s="1779"/>
      <c r="T137" s="1779"/>
      <c r="U137" s="1779"/>
      <c r="V137" s="1779"/>
      <c r="W137" s="1779"/>
      <c r="X137" s="1779"/>
      <c r="Y137" s="1779"/>
      <c r="Z137" s="1779"/>
      <c r="AA137" s="1779"/>
      <c r="AB137" s="1779"/>
      <c r="AC137" s="1779"/>
    </row>
    <row r="138" spans="1:29">
      <c r="A138" s="1779"/>
      <c r="B138" s="1779"/>
      <c r="C138" s="1779"/>
      <c r="D138" s="1779"/>
      <c r="E138" s="1779"/>
      <c r="F138" s="1779"/>
      <c r="G138" s="1779"/>
      <c r="H138" s="1779"/>
      <c r="I138" s="1779"/>
      <c r="J138" s="1779"/>
      <c r="K138" s="1780"/>
      <c r="L138" s="1781"/>
      <c r="M138" s="1779"/>
      <c r="N138" s="1779"/>
      <c r="O138" s="1779"/>
      <c r="P138" s="1779"/>
      <c r="Q138" s="1779"/>
      <c r="R138" s="1779"/>
      <c r="S138" s="1779"/>
      <c r="T138" s="1779"/>
      <c r="U138" s="1779"/>
      <c r="V138" s="1779"/>
      <c r="W138" s="1779"/>
      <c r="X138" s="1779"/>
      <c r="Y138" s="1779"/>
      <c r="Z138" s="1779"/>
      <c r="AA138" s="1779"/>
      <c r="AB138" s="1779"/>
      <c r="AC138" s="1779"/>
    </row>
    <row r="139" spans="1:29">
      <c r="A139" s="1779"/>
      <c r="B139" s="1779"/>
      <c r="C139" s="1779"/>
      <c r="D139" s="1779"/>
      <c r="E139" s="1779"/>
      <c r="F139" s="1779"/>
      <c r="G139" s="1779"/>
      <c r="H139" s="1779"/>
      <c r="I139" s="1779"/>
      <c r="J139" s="1779"/>
      <c r="K139" s="1780"/>
      <c r="L139" s="1781"/>
      <c r="M139" s="1779"/>
      <c r="N139" s="1779"/>
      <c r="O139" s="1779"/>
      <c r="P139" s="1779"/>
      <c r="Q139" s="1779"/>
      <c r="R139" s="1779"/>
      <c r="S139" s="1779"/>
      <c r="T139" s="1779"/>
      <c r="U139" s="1779"/>
      <c r="V139" s="1779"/>
      <c r="W139" s="1779"/>
      <c r="X139" s="1779"/>
      <c r="Y139" s="1779"/>
      <c r="Z139" s="1779"/>
      <c r="AA139" s="1779"/>
      <c r="AB139" s="1779"/>
      <c r="AC139" s="1779"/>
    </row>
    <row r="140" spans="1:29">
      <c r="A140" s="1779"/>
      <c r="B140" s="1779"/>
      <c r="C140" s="1779"/>
      <c r="D140" s="1779"/>
      <c r="E140" s="1779"/>
      <c r="F140" s="1779"/>
      <c r="G140" s="1779"/>
      <c r="H140" s="1779"/>
      <c r="I140" s="1779"/>
      <c r="J140" s="1779"/>
      <c r="K140" s="1780"/>
      <c r="L140" s="1781"/>
      <c r="M140" s="1779"/>
      <c r="N140" s="1779"/>
      <c r="O140" s="1779"/>
      <c r="P140" s="1779"/>
      <c r="Q140" s="1779"/>
      <c r="R140" s="1779"/>
      <c r="S140" s="1779"/>
      <c r="T140" s="1779"/>
      <c r="U140" s="1779"/>
      <c r="V140" s="1779"/>
      <c r="W140" s="1779"/>
      <c r="X140" s="1779"/>
      <c r="Y140" s="1779"/>
      <c r="Z140" s="1779"/>
      <c r="AA140" s="1779"/>
      <c r="AB140" s="1779"/>
      <c r="AC140" s="1779"/>
    </row>
    <row r="141" spans="1:29">
      <c r="A141" s="1779"/>
      <c r="B141" s="1779"/>
      <c r="C141" s="1779"/>
      <c r="D141" s="1779"/>
      <c r="E141" s="1779"/>
      <c r="F141" s="1779"/>
      <c r="G141" s="1779"/>
      <c r="H141" s="1779"/>
      <c r="I141" s="1779"/>
      <c r="J141" s="1779"/>
      <c r="K141" s="1780"/>
      <c r="L141" s="1781"/>
      <c r="M141" s="1779"/>
      <c r="N141" s="1779"/>
      <c r="O141" s="1779"/>
      <c r="P141" s="1779"/>
      <c r="Q141" s="1779"/>
      <c r="R141" s="1779"/>
      <c r="S141" s="1779"/>
      <c r="T141" s="1779"/>
      <c r="U141" s="1779"/>
      <c r="V141" s="1779"/>
      <c r="W141" s="1779"/>
      <c r="X141" s="1779"/>
      <c r="Y141" s="1779"/>
      <c r="Z141" s="1779"/>
      <c r="AA141" s="1779"/>
      <c r="AB141" s="1779"/>
      <c r="AC141" s="1779"/>
    </row>
    <row r="142" spans="1:29">
      <c r="A142" s="1779"/>
      <c r="B142" s="1779"/>
      <c r="C142" s="1779"/>
      <c r="D142" s="1779"/>
      <c r="E142" s="1779"/>
      <c r="F142" s="1779"/>
      <c r="G142" s="1779"/>
      <c r="H142" s="1779"/>
      <c r="I142" s="1779"/>
      <c r="J142" s="1779"/>
      <c r="K142" s="1780"/>
      <c r="L142" s="1781"/>
      <c r="M142" s="1779"/>
      <c r="N142" s="1779"/>
      <c r="O142" s="1779"/>
      <c r="P142" s="1779"/>
      <c r="Q142" s="1779"/>
      <c r="R142" s="1779"/>
      <c r="S142" s="1779"/>
      <c r="T142" s="1779"/>
      <c r="U142" s="1779"/>
      <c r="V142" s="1779"/>
      <c r="W142" s="1779"/>
      <c r="X142" s="1779"/>
      <c r="Y142" s="1779"/>
      <c r="Z142" s="1779"/>
      <c r="AA142" s="1779"/>
      <c r="AB142" s="1779"/>
      <c r="AC142" s="1779"/>
    </row>
    <row r="143" spans="1:29">
      <c r="A143" s="1779"/>
      <c r="B143" s="1779"/>
      <c r="C143" s="1779"/>
      <c r="D143" s="1779"/>
      <c r="E143" s="1779"/>
      <c r="F143" s="1779"/>
      <c r="G143" s="1779"/>
      <c r="H143" s="1779"/>
      <c r="I143" s="1779"/>
      <c r="J143" s="1779"/>
      <c r="K143" s="1780"/>
      <c r="L143" s="1781"/>
      <c r="M143" s="1779"/>
      <c r="N143" s="1779"/>
      <c r="O143" s="1779"/>
      <c r="P143" s="1779"/>
      <c r="Q143" s="1779"/>
      <c r="R143" s="1779"/>
      <c r="S143" s="1779"/>
      <c r="T143" s="1779"/>
      <c r="U143" s="1779"/>
      <c r="V143" s="1779"/>
      <c r="W143" s="1779"/>
      <c r="X143" s="1779"/>
      <c r="Y143" s="1779"/>
      <c r="Z143" s="1779"/>
      <c r="AA143" s="1779"/>
      <c r="AB143" s="1779"/>
      <c r="AC143" s="1779"/>
    </row>
    <row r="144" spans="1:29">
      <c r="A144" s="1779"/>
      <c r="B144" s="1779"/>
      <c r="C144" s="1779"/>
      <c r="D144" s="1779"/>
      <c r="E144" s="1779"/>
      <c r="F144" s="1779"/>
      <c r="G144" s="1779"/>
      <c r="H144" s="1779"/>
      <c r="I144" s="1779"/>
      <c r="J144" s="1779"/>
      <c r="K144" s="1780"/>
      <c r="L144" s="1781"/>
      <c r="M144" s="1779"/>
      <c r="N144" s="1779"/>
      <c r="O144" s="1779"/>
      <c r="P144" s="1779"/>
      <c r="Q144" s="1779"/>
      <c r="R144" s="1779"/>
      <c r="S144" s="1779"/>
      <c r="T144" s="1779"/>
      <c r="U144" s="1779"/>
      <c r="V144" s="1779"/>
      <c r="W144" s="1779"/>
      <c r="X144" s="1779"/>
      <c r="Y144" s="1779"/>
      <c r="Z144" s="1779"/>
      <c r="AA144" s="1779"/>
      <c r="AB144" s="1779"/>
      <c r="AC144" s="1779"/>
    </row>
    <row r="145" spans="1:29">
      <c r="A145" s="1779"/>
      <c r="B145" s="1779"/>
      <c r="C145" s="1779"/>
      <c r="D145" s="1779"/>
      <c r="E145" s="1779"/>
      <c r="F145" s="1779"/>
      <c r="G145" s="1779"/>
      <c r="H145" s="1779"/>
      <c r="I145" s="1779"/>
      <c r="J145" s="1779"/>
      <c r="K145" s="1780"/>
      <c r="L145" s="1781"/>
      <c r="M145" s="1779"/>
      <c r="N145" s="1779"/>
      <c r="O145" s="1779"/>
      <c r="P145" s="1779"/>
      <c r="Q145" s="1779"/>
      <c r="R145" s="1779"/>
      <c r="S145" s="1779"/>
      <c r="T145" s="1779"/>
      <c r="U145" s="1779"/>
      <c r="V145" s="1779"/>
      <c r="W145" s="1779"/>
      <c r="X145" s="1779"/>
      <c r="Y145" s="1779"/>
      <c r="Z145" s="1779"/>
      <c r="AA145" s="1779"/>
      <c r="AB145" s="1779"/>
      <c r="AC145" s="1779"/>
    </row>
    <row r="146" spans="1:29">
      <c r="A146" s="1779"/>
      <c r="B146" s="1779"/>
      <c r="C146" s="1779"/>
      <c r="D146" s="1779"/>
      <c r="E146" s="1779"/>
      <c r="F146" s="1779"/>
      <c r="G146" s="1779"/>
      <c r="H146" s="1779"/>
      <c r="I146" s="1779"/>
      <c r="J146" s="1779"/>
      <c r="K146" s="1780"/>
      <c r="L146" s="1781"/>
      <c r="M146" s="1779"/>
      <c r="N146" s="1779"/>
      <c r="O146" s="1779"/>
      <c r="P146" s="1779"/>
      <c r="Q146" s="1779"/>
      <c r="R146" s="1779"/>
      <c r="S146" s="1779"/>
      <c r="T146" s="1779"/>
      <c r="U146" s="1779"/>
      <c r="V146" s="1779"/>
      <c r="W146" s="1779"/>
      <c r="X146" s="1779"/>
      <c r="Y146" s="1779"/>
      <c r="Z146" s="1779"/>
      <c r="AA146" s="1779"/>
      <c r="AB146" s="1779"/>
      <c r="AC146" s="1779"/>
    </row>
    <row r="147" spans="1:29">
      <c r="A147" s="1779"/>
      <c r="B147" s="1779"/>
      <c r="C147" s="1779"/>
      <c r="D147" s="1779"/>
      <c r="E147" s="1779"/>
      <c r="F147" s="1779"/>
      <c r="G147" s="1779"/>
      <c r="H147" s="1779"/>
      <c r="I147" s="1779"/>
      <c r="J147" s="1779"/>
      <c r="K147" s="1780"/>
      <c r="L147" s="1781"/>
      <c r="M147" s="1779"/>
      <c r="N147" s="1779"/>
      <c r="O147" s="1779"/>
      <c r="P147" s="1779"/>
      <c r="Q147" s="1779"/>
      <c r="R147" s="1779"/>
      <c r="S147" s="1779"/>
      <c r="T147" s="1779"/>
      <c r="U147" s="1779"/>
      <c r="V147" s="1779"/>
      <c r="W147" s="1779"/>
      <c r="X147" s="1779"/>
      <c r="Y147" s="1779"/>
      <c r="Z147" s="1779"/>
      <c r="AA147" s="1779"/>
      <c r="AB147" s="1779"/>
      <c r="AC147" s="1779"/>
    </row>
    <row r="148" spans="1:29">
      <c r="A148" s="1779"/>
      <c r="B148" s="1779"/>
      <c r="C148" s="1779"/>
      <c r="D148" s="1779"/>
      <c r="E148" s="1779"/>
      <c r="F148" s="1779"/>
      <c r="G148" s="1779"/>
      <c r="H148" s="1779"/>
      <c r="I148" s="1779"/>
      <c r="J148" s="1779"/>
      <c r="K148" s="1780"/>
      <c r="L148" s="1781"/>
      <c r="M148" s="1779"/>
      <c r="N148" s="1779"/>
      <c r="O148" s="1779"/>
      <c r="P148" s="1779"/>
      <c r="Q148" s="1779"/>
      <c r="R148" s="1779"/>
      <c r="S148" s="1779"/>
      <c r="T148" s="1779"/>
      <c r="U148" s="1779"/>
      <c r="V148" s="1779"/>
      <c r="W148" s="1779"/>
      <c r="X148" s="1779"/>
      <c r="Y148" s="1779"/>
      <c r="Z148" s="1779"/>
      <c r="AA148" s="1779"/>
      <c r="AB148" s="1779"/>
      <c r="AC148" s="1779"/>
    </row>
    <row r="149" spans="1:29">
      <c r="A149" s="1779"/>
      <c r="B149" s="1779"/>
      <c r="C149" s="1779"/>
      <c r="D149" s="1779"/>
      <c r="E149" s="1779"/>
      <c r="F149" s="1779"/>
      <c r="G149" s="1779"/>
      <c r="H149" s="1779"/>
      <c r="I149" s="1779"/>
      <c r="J149" s="1779"/>
      <c r="K149" s="1780"/>
      <c r="L149" s="1781"/>
      <c r="M149" s="1779"/>
      <c r="N149" s="1779"/>
      <c r="O149" s="1779"/>
      <c r="P149" s="1779"/>
      <c r="Q149" s="1779"/>
      <c r="R149" s="1779"/>
      <c r="S149" s="1779"/>
      <c r="T149" s="1779"/>
      <c r="U149" s="1779"/>
      <c r="V149" s="1779"/>
      <c r="W149" s="1779"/>
      <c r="X149" s="1779"/>
      <c r="Y149" s="1779"/>
      <c r="Z149" s="1779"/>
      <c r="AA149" s="1779"/>
      <c r="AB149" s="1779"/>
      <c r="AC149" s="1779"/>
    </row>
    <row r="150" spans="1:29">
      <c r="A150" s="1779"/>
      <c r="B150" s="1779"/>
      <c r="C150" s="1779"/>
      <c r="D150" s="1779"/>
      <c r="E150" s="1779"/>
      <c r="F150" s="1779"/>
      <c r="G150" s="1779"/>
      <c r="H150" s="1779"/>
      <c r="I150" s="1779"/>
      <c r="J150" s="1779"/>
      <c r="K150" s="1780"/>
      <c r="L150" s="1781"/>
      <c r="M150" s="1779"/>
      <c r="N150" s="1779"/>
      <c r="O150" s="1779"/>
      <c r="P150" s="1779"/>
      <c r="Q150" s="1779"/>
      <c r="R150" s="1779"/>
      <c r="S150" s="1779"/>
      <c r="T150" s="1779"/>
      <c r="U150" s="1779"/>
      <c r="V150" s="1779"/>
      <c r="W150" s="1779"/>
      <c r="X150" s="1779"/>
      <c r="Y150" s="1779"/>
      <c r="Z150" s="1779"/>
      <c r="AA150" s="1779"/>
      <c r="AB150" s="1779"/>
      <c r="AC150" s="1779"/>
    </row>
    <row r="151" spans="1:29">
      <c r="A151" s="1779"/>
      <c r="B151" s="1779"/>
      <c r="C151" s="1779"/>
      <c r="D151" s="1779"/>
      <c r="E151" s="1779"/>
      <c r="F151" s="1779"/>
      <c r="G151" s="1779"/>
      <c r="H151" s="1779"/>
      <c r="I151" s="1779"/>
      <c r="J151" s="1779"/>
      <c r="K151" s="1780"/>
      <c r="L151" s="1781"/>
      <c r="M151" s="1779"/>
      <c r="N151" s="1779"/>
      <c r="O151" s="1779"/>
      <c r="P151" s="1779"/>
      <c r="Q151" s="1779"/>
      <c r="R151" s="1779"/>
      <c r="S151" s="1779"/>
      <c r="T151" s="1779"/>
      <c r="U151" s="1779"/>
      <c r="V151" s="1779"/>
      <c r="W151" s="1779"/>
      <c r="X151" s="1779"/>
      <c r="Y151" s="1779"/>
      <c r="Z151" s="1779"/>
      <c r="AA151" s="1779"/>
      <c r="AB151" s="1779"/>
      <c r="AC151" s="1779"/>
    </row>
    <row r="152" spans="1:29">
      <c r="A152" s="1779"/>
      <c r="B152" s="1779"/>
      <c r="C152" s="1779"/>
      <c r="D152" s="1779"/>
      <c r="E152" s="1779"/>
      <c r="F152" s="1779"/>
      <c r="G152" s="1779"/>
      <c r="H152" s="1779"/>
      <c r="I152" s="1779"/>
      <c r="J152" s="1779"/>
      <c r="K152" s="1780"/>
      <c r="L152" s="1781"/>
      <c r="M152" s="1779"/>
      <c r="N152" s="1779"/>
      <c r="O152" s="1779"/>
      <c r="P152" s="1779"/>
      <c r="Q152" s="1779"/>
      <c r="R152" s="1779"/>
      <c r="S152" s="1779"/>
      <c r="T152" s="1779"/>
      <c r="U152" s="1779"/>
      <c r="V152" s="1779"/>
      <c r="W152" s="1779"/>
      <c r="X152" s="1779"/>
      <c r="Y152" s="1779"/>
      <c r="Z152" s="1779"/>
      <c r="AA152" s="1779"/>
      <c r="AB152" s="1779"/>
      <c r="AC152" s="1779"/>
    </row>
    <row r="153" spans="1:29">
      <c r="A153" s="1779"/>
      <c r="B153" s="1779"/>
      <c r="C153" s="1779"/>
      <c r="D153" s="1779"/>
      <c r="E153" s="1779"/>
      <c r="F153" s="1779"/>
      <c r="G153" s="1779"/>
      <c r="H153" s="1779"/>
      <c r="I153" s="1779"/>
      <c r="J153" s="1779"/>
      <c r="K153" s="1780"/>
      <c r="L153" s="1781"/>
      <c r="M153" s="1779"/>
      <c r="N153" s="1779"/>
      <c r="O153" s="1779"/>
      <c r="P153" s="1779"/>
      <c r="Q153" s="1779"/>
      <c r="R153" s="1779"/>
      <c r="S153" s="1779"/>
      <c r="T153" s="1779"/>
      <c r="U153" s="1779"/>
      <c r="V153" s="1779"/>
      <c r="W153" s="1779"/>
      <c r="X153" s="1779"/>
      <c r="Y153" s="1779"/>
      <c r="Z153" s="1779"/>
      <c r="AA153" s="1779"/>
      <c r="AB153" s="1779"/>
      <c r="AC153" s="1779"/>
    </row>
    <row r="154" spans="1:29">
      <c r="A154" s="1779"/>
      <c r="B154" s="1779"/>
      <c r="C154" s="1779"/>
      <c r="D154" s="1779"/>
      <c r="E154" s="1779"/>
      <c r="F154" s="1779"/>
      <c r="G154" s="1779"/>
      <c r="H154" s="1779"/>
      <c r="I154" s="1779"/>
      <c r="J154" s="1779"/>
      <c r="K154" s="1780"/>
      <c r="L154" s="1781"/>
      <c r="M154" s="1779"/>
      <c r="N154" s="1779"/>
      <c r="O154" s="1779"/>
      <c r="P154" s="1779"/>
      <c r="Q154" s="1779"/>
      <c r="R154" s="1779"/>
      <c r="S154" s="1779"/>
      <c r="T154" s="1779"/>
      <c r="U154" s="1779"/>
      <c r="V154" s="1779"/>
      <c r="W154" s="1779"/>
      <c r="X154" s="1779"/>
      <c r="Y154" s="1779"/>
      <c r="Z154" s="1779"/>
      <c r="AA154" s="1779"/>
      <c r="AB154" s="1779"/>
      <c r="AC154" s="1779"/>
    </row>
    <row r="155" spans="1:29">
      <c r="A155" s="1779"/>
      <c r="B155" s="1779"/>
      <c r="C155" s="1779"/>
      <c r="D155" s="1779"/>
      <c r="E155" s="1779"/>
      <c r="F155" s="1779"/>
      <c r="G155" s="1779"/>
      <c r="H155" s="1779"/>
      <c r="I155" s="1779"/>
      <c r="J155" s="1779"/>
      <c r="K155" s="1780"/>
      <c r="L155" s="1781"/>
      <c r="M155" s="1779"/>
      <c r="N155" s="1779"/>
      <c r="O155" s="1779"/>
      <c r="P155" s="1779"/>
      <c r="Q155" s="1779"/>
      <c r="R155" s="1779"/>
      <c r="S155" s="1779"/>
      <c r="T155" s="1779"/>
      <c r="U155" s="1779"/>
      <c r="V155" s="1779"/>
      <c r="W155" s="1779"/>
      <c r="X155" s="1779"/>
      <c r="Y155" s="1779"/>
      <c r="Z155" s="1779"/>
      <c r="AA155" s="1779"/>
      <c r="AB155" s="1779"/>
      <c r="AC155" s="1779"/>
    </row>
    <row r="156" spans="1:29">
      <c r="A156" s="1779"/>
      <c r="B156" s="1779"/>
      <c r="C156" s="1779"/>
      <c r="D156" s="1779"/>
      <c r="E156" s="1779"/>
      <c r="F156" s="1779"/>
      <c r="G156" s="1779"/>
      <c r="H156" s="1779"/>
      <c r="I156" s="1779"/>
      <c r="J156" s="1779"/>
      <c r="K156" s="1780"/>
      <c r="L156" s="1781"/>
      <c r="M156" s="1779"/>
      <c r="N156" s="1779"/>
      <c r="O156" s="1779"/>
      <c r="P156" s="1779"/>
      <c r="Q156" s="1779"/>
      <c r="R156" s="1779"/>
      <c r="S156" s="1779"/>
      <c r="T156" s="1779"/>
      <c r="U156" s="1779"/>
      <c r="V156" s="1779"/>
      <c r="W156" s="1779"/>
      <c r="X156" s="1779"/>
      <c r="Y156" s="1779"/>
      <c r="Z156" s="1779"/>
      <c r="AA156" s="1779"/>
      <c r="AB156" s="1779"/>
      <c r="AC156" s="1779"/>
    </row>
    <row r="157" spans="1:29">
      <c r="A157" s="1779"/>
      <c r="B157" s="1779"/>
      <c r="C157" s="1779"/>
      <c r="D157" s="1779"/>
      <c r="E157" s="1779"/>
      <c r="F157" s="1779"/>
      <c r="G157" s="1779"/>
      <c r="H157" s="1779"/>
      <c r="I157" s="1779"/>
      <c r="J157" s="1779"/>
      <c r="K157" s="1780"/>
      <c r="L157" s="1781"/>
      <c r="M157" s="1779"/>
      <c r="N157" s="1779"/>
      <c r="O157" s="1779"/>
      <c r="P157" s="1779"/>
      <c r="Q157" s="1779"/>
      <c r="R157" s="1779"/>
      <c r="S157" s="1779"/>
      <c r="T157" s="1779"/>
      <c r="U157" s="1779"/>
      <c r="V157" s="1779"/>
      <c r="W157" s="1779"/>
      <c r="X157" s="1779"/>
      <c r="Y157" s="1779"/>
      <c r="Z157" s="1779"/>
      <c r="AA157" s="1779"/>
      <c r="AB157" s="1779"/>
      <c r="AC157" s="1779"/>
    </row>
    <row r="158" spans="1:29">
      <c r="A158" s="1779"/>
      <c r="B158" s="1779"/>
      <c r="C158" s="1779"/>
      <c r="D158" s="1779"/>
      <c r="E158" s="1779"/>
      <c r="F158" s="1779"/>
      <c r="G158" s="1779"/>
      <c r="H158" s="1779"/>
      <c r="I158" s="1779"/>
      <c r="J158" s="1779"/>
      <c r="K158" s="1780"/>
      <c r="L158" s="1781"/>
      <c r="M158" s="1779"/>
      <c r="N158" s="1779"/>
      <c r="O158" s="1779"/>
      <c r="P158" s="1779"/>
      <c r="Q158" s="1779"/>
      <c r="R158" s="1779"/>
      <c r="S158" s="1779"/>
      <c r="T158" s="1779"/>
      <c r="U158" s="1779"/>
      <c r="V158" s="1779"/>
      <c r="W158" s="1779"/>
      <c r="X158" s="1779"/>
      <c r="Y158" s="1779"/>
      <c r="Z158" s="1779"/>
      <c r="AA158" s="1779"/>
      <c r="AB158" s="1779"/>
      <c r="AC158" s="1779"/>
    </row>
    <row r="159" spans="1:29">
      <c r="A159" s="1779"/>
      <c r="B159" s="1779"/>
      <c r="C159" s="1779"/>
      <c r="D159" s="1779"/>
      <c r="E159" s="1779"/>
      <c r="F159" s="1779"/>
      <c r="G159" s="1779"/>
      <c r="H159" s="1779"/>
      <c r="I159" s="1779"/>
      <c r="J159" s="1779"/>
      <c r="K159" s="1780"/>
      <c r="L159" s="1781"/>
      <c r="M159" s="1779"/>
      <c r="N159" s="1779"/>
      <c r="O159" s="1779"/>
      <c r="P159" s="1779"/>
      <c r="Q159" s="1779"/>
      <c r="R159" s="1779"/>
      <c r="S159" s="1779"/>
      <c r="T159" s="1779"/>
      <c r="U159" s="1779"/>
      <c r="V159" s="1779"/>
      <c r="W159" s="1779"/>
      <c r="X159" s="1779"/>
      <c r="Y159" s="1779"/>
      <c r="Z159" s="1779"/>
      <c r="AA159" s="1779"/>
      <c r="AB159" s="1779"/>
      <c r="AC159" s="1779"/>
    </row>
    <row r="160" spans="1:29">
      <c r="A160" s="1779"/>
      <c r="B160" s="1779"/>
      <c r="C160" s="1779"/>
      <c r="D160" s="1779"/>
      <c r="E160" s="1779"/>
      <c r="F160" s="1779"/>
      <c r="G160" s="1779"/>
      <c r="H160" s="1779"/>
      <c r="I160" s="1779"/>
      <c r="J160" s="1779"/>
      <c r="K160" s="1780"/>
      <c r="L160" s="1781"/>
      <c r="M160" s="1779"/>
      <c r="N160" s="1779"/>
      <c r="O160" s="1779"/>
      <c r="P160" s="1779"/>
      <c r="Q160" s="1779"/>
      <c r="R160" s="1779"/>
      <c r="S160" s="1779"/>
      <c r="T160" s="1779"/>
      <c r="U160" s="1779"/>
      <c r="V160" s="1779"/>
      <c r="W160" s="1779"/>
      <c r="X160" s="1779"/>
      <c r="Y160" s="1779"/>
      <c r="Z160" s="1779"/>
      <c r="AA160" s="1779"/>
      <c r="AB160" s="1779"/>
      <c r="AC160" s="1779"/>
    </row>
    <row r="161" spans="1:29">
      <c r="A161" s="1779"/>
      <c r="B161" s="1779"/>
      <c r="C161" s="1779"/>
      <c r="D161" s="1779"/>
      <c r="E161" s="1779"/>
      <c r="F161" s="1779"/>
      <c r="G161" s="1779"/>
      <c r="H161" s="1779"/>
      <c r="I161" s="1779"/>
      <c r="J161" s="1779"/>
      <c r="K161" s="1780"/>
      <c r="L161" s="1781"/>
      <c r="M161" s="1779"/>
      <c r="N161" s="1779"/>
      <c r="O161" s="1779"/>
      <c r="P161" s="1779"/>
      <c r="Q161" s="1779"/>
      <c r="R161" s="1779"/>
      <c r="S161" s="1779"/>
      <c r="T161" s="1779"/>
      <c r="U161" s="1779"/>
      <c r="V161" s="1779"/>
      <c r="W161" s="1779"/>
      <c r="X161" s="1779"/>
      <c r="Y161" s="1779"/>
      <c r="Z161" s="1779"/>
      <c r="AA161" s="1779"/>
      <c r="AB161" s="1779"/>
      <c r="AC161" s="1779"/>
    </row>
    <row r="162" spans="1:29">
      <c r="A162" s="1779"/>
      <c r="B162" s="1779"/>
      <c r="C162" s="1779"/>
      <c r="D162" s="1779"/>
      <c r="E162" s="1779"/>
      <c r="F162" s="1779"/>
      <c r="G162" s="1779"/>
      <c r="H162" s="1779"/>
      <c r="I162" s="1779"/>
      <c r="J162" s="1779"/>
      <c r="K162" s="1780"/>
      <c r="L162" s="1781"/>
      <c r="M162" s="1779"/>
      <c r="N162" s="1779"/>
      <c r="O162" s="1779"/>
      <c r="P162" s="1779"/>
      <c r="Q162" s="1779"/>
      <c r="R162" s="1779"/>
      <c r="S162" s="1779"/>
      <c r="T162" s="1779"/>
      <c r="U162" s="1779"/>
      <c r="V162" s="1779"/>
      <c r="W162" s="1779"/>
      <c r="X162" s="1779"/>
      <c r="Y162" s="1779"/>
      <c r="Z162" s="1779"/>
      <c r="AA162" s="1779"/>
      <c r="AB162" s="1779"/>
      <c r="AC162" s="1779"/>
    </row>
    <row r="163" spans="1:29">
      <c r="A163" s="1779"/>
      <c r="B163" s="1779"/>
      <c r="C163" s="1779"/>
      <c r="D163" s="1779"/>
      <c r="E163" s="1779"/>
      <c r="F163" s="1779"/>
      <c r="G163" s="1779"/>
      <c r="H163" s="1779"/>
      <c r="I163" s="1779"/>
      <c r="J163" s="1779"/>
      <c r="K163" s="1780"/>
      <c r="L163" s="1781"/>
      <c r="M163" s="1779"/>
      <c r="N163" s="1779"/>
      <c r="O163" s="1779"/>
      <c r="P163" s="1779"/>
      <c r="Q163" s="1779"/>
      <c r="R163" s="1779"/>
      <c r="S163" s="1779"/>
      <c r="T163" s="1779"/>
      <c r="U163" s="1779"/>
      <c r="V163" s="1779"/>
      <c r="W163" s="1779"/>
      <c r="X163" s="1779"/>
      <c r="Y163" s="1779"/>
      <c r="Z163" s="1779"/>
      <c r="AA163" s="1779"/>
      <c r="AB163" s="1779"/>
      <c r="AC163" s="1779"/>
    </row>
    <row r="164" spans="1:29">
      <c r="A164" s="1779"/>
      <c r="B164" s="1779"/>
      <c r="C164" s="1779"/>
      <c r="D164" s="1779"/>
      <c r="E164" s="1779"/>
      <c r="F164" s="1779"/>
      <c r="G164" s="1779"/>
      <c r="H164" s="1779"/>
      <c r="I164" s="1779"/>
      <c r="J164" s="1779"/>
      <c r="K164" s="1780"/>
      <c r="L164" s="1781"/>
      <c r="M164" s="1779"/>
      <c r="N164" s="1779"/>
      <c r="O164" s="1779"/>
      <c r="P164" s="1779"/>
      <c r="Q164" s="1779"/>
      <c r="R164" s="1779"/>
      <c r="S164" s="1779"/>
      <c r="T164" s="1779"/>
      <c r="U164" s="1779"/>
      <c r="V164" s="1779"/>
      <c r="W164" s="1779"/>
      <c r="X164" s="1779"/>
      <c r="Y164" s="1779"/>
      <c r="Z164" s="1779"/>
      <c r="AA164" s="1779"/>
      <c r="AB164" s="1779"/>
      <c r="AC164" s="1779"/>
    </row>
    <row r="165" spans="1:29">
      <c r="A165" s="1779"/>
      <c r="B165" s="1779"/>
      <c r="C165" s="1779"/>
      <c r="D165" s="1779"/>
      <c r="E165" s="1779"/>
      <c r="F165" s="1779"/>
      <c r="G165" s="1779"/>
      <c r="H165" s="1779"/>
      <c r="I165" s="1779"/>
      <c r="J165" s="1779"/>
      <c r="K165" s="1780"/>
      <c r="L165" s="1781"/>
      <c r="M165" s="1779"/>
      <c r="N165" s="1779"/>
      <c r="O165" s="1779"/>
      <c r="P165" s="1779"/>
      <c r="Q165" s="1779"/>
      <c r="R165" s="1779"/>
      <c r="S165" s="1779"/>
      <c r="T165" s="1779"/>
      <c r="U165" s="1779"/>
      <c r="V165" s="1779"/>
      <c r="W165" s="1779"/>
      <c r="X165" s="1779"/>
      <c r="Y165" s="1779"/>
      <c r="Z165" s="1779"/>
      <c r="AA165" s="1779"/>
      <c r="AB165" s="1779"/>
      <c r="AC165" s="1779"/>
    </row>
    <row r="166" spans="1:29">
      <c r="A166" s="1779"/>
      <c r="B166" s="1779"/>
      <c r="C166" s="1779"/>
      <c r="D166" s="1779"/>
      <c r="E166" s="1779"/>
      <c r="F166" s="1779"/>
      <c r="G166" s="1779"/>
      <c r="H166" s="1779"/>
      <c r="I166" s="1779"/>
      <c r="J166" s="1779"/>
      <c r="K166" s="1780"/>
      <c r="L166" s="1781"/>
      <c r="M166" s="1779"/>
      <c r="N166" s="1779"/>
      <c r="O166" s="1779"/>
      <c r="P166" s="1779"/>
      <c r="Q166" s="1779"/>
      <c r="R166" s="1779"/>
      <c r="S166" s="1779"/>
      <c r="T166" s="1779"/>
      <c r="U166" s="1779"/>
      <c r="V166" s="1779"/>
      <c r="W166" s="1779"/>
      <c r="X166" s="1779"/>
      <c r="Y166" s="1779"/>
      <c r="Z166" s="1779"/>
      <c r="AA166" s="1779"/>
      <c r="AB166" s="1779"/>
      <c r="AC166" s="1779"/>
    </row>
    <row r="167" spans="1:29">
      <c r="A167" s="1779"/>
      <c r="B167" s="1779"/>
      <c r="C167" s="1779"/>
      <c r="D167" s="1779"/>
      <c r="E167" s="1779"/>
      <c r="F167" s="1779"/>
      <c r="G167" s="1779"/>
      <c r="H167" s="1779"/>
      <c r="I167" s="1779"/>
      <c r="J167" s="1779"/>
      <c r="K167" s="1780"/>
      <c r="L167" s="1781"/>
      <c r="M167" s="1779"/>
      <c r="N167" s="1779"/>
      <c r="O167" s="1779"/>
      <c r="P167" s="1779"/>
      <c r="Q167" s="1779"/>
      <c r="R167" s="1779"/>
      <c r="S167" s="1779"/>
      <c r="T167" s="1779"/>
      <c r="U167" s="1779"/>
      <c r="V167" s="1779"/>
      <c r="W167" s="1779"/>
      <c r="X167" s="1779"/>
      <c r="Y167" s="1779"/>
      <c r="Z167" s="1779"/>
      <c r="AA167" s="1779"/>
      <c r="AB167" s="1779"/>
      <c r="AC167" s="1779"/>
    </row>
    <row r="168" spans="1:29">
      <c r="A168" s="1779"/>
      <c r="B168" s="1779"/>
      <c r="C168" s="1779"/>
      <c r="D168" s="1779"/>
      <c r="E168" s="1779"/>
      <c r="F168" s="1779"/>
      <c r="G168" s="1779"/>
      <c r="H168" s="1779"/>
      <c r="I168" s="1779"/>
      <c r="J168" s="1779"/>
      <c r="K168" s="1780"/>
      <c r="L168" s="1781"/>
      <c r="M168" s="1779"/>
      <c r="N168" s="1779"/>
      <c r="O168" s="1779"/>
      <c r="P168" s="1779"/>
      <c r="Q168" s="1779"/>
      <c r="R168" s="1779"/>
      <c r="S168" s="1779"/>
      <c r="T168" s="1779"/>
      <c r="U168" s="1779"/>
      <c r="V168" s="1779"/>
      <c r="W168" s="1779"/>
      <c r="X168" s="1779"/>
      <c r="Y168" s="1779"/>
      <c r="Z168" s="1779"/>
      <c r="AA168" s="1779"/>
      <c r="AB168" s="1779"/>
      <c r="AC168" s="1779"/>
    </row>
    <row r="169" spans="1:29">
      <c r="A169" s="1779"/>
      <c r="B169" s="1779"/>
      <c r="C169" s="1779"/>
      <c r="D169" s="1779"/>
      <c r="E169" s="1779"/>
      <c r="F169" s="1779"/>
      <c r="G169" s="1779"/>
      <c r="H169" s="1779"/>
      <c r="I169" s="1779"/>
      <c r="J169" s="1779"/>
      <c r="K169" s="1780"/>
      <c r="L169" s="1781"/>
      <c r="M169" s="1779"/>
      <c r="N169" s="1779"/>
      <c r="O169" s="1779"/>
      <c r="P169" s="1779"/>
      <c r="Q169" s="1779"/>
      <c r="R169" s="1779"/>
      <c r="S169" s="1779"/>
      <c r="T169" s="1779"/>
      <c r="U169" s="1779"/>
      <c r="V169" s="1779"/>
      <c r="W169" s="1779"/>
      <c r="X169" s="1779"/>
      <c r="Y169" s="1779"/>
      <c r="Z169" s="1779"/>
      <c r="AA169" s="1779"/>
      <c r="AB169" s="1779"/>
      <c r="AC169" s="1779"/>
    </row>
    <row r="170" spans="1:29">
      <c r="A170" s="1779"/>
      <c r="B170" s="1779"/>
      <c r="C170" s="1779"/>
      <c r="D170" s="1779"/>
      <c r="E170" s="1779"/>
      <c r="F170" s="1779"/>
      <c r="G170" s="1779"/>
      <c r="H170" s="1779"/>
      <c r="I170" s="1779"/>
      <c r="J170" s="1779"/>
      <c r="K170" s="1780"/>
      <c r="L170" s="1781"/>
      <c r="M170" s="1779"/>
      <c r="N170" s="1779"/>
      <c r="O170" s="1779"/>
      <c r="P170" s="1779"/>
      <c r="Q170" s="1779"/>
      <c r="R170" s="1779"/>
      <c r="S170" s="1779"/>
      <c r="T170" s="1779"/>
      <c r="U170" s="1779"/>
      <c r="V170" s="1779"/>
      <c r="W170" s="1779"/>
      <c r="X170" s="1779"/>
      <c r="Y170" s="1779"/>
      <c r="Z170" s="1779"/>
      <c r="AA170" s="1779"/>
      <c r="AB170" s="1779"/>
      <c r="AC170" s="1779"/>
    </row>
    <row r="171" spans="1:29">
      <c r="A171" s="1779"/>
      <c r="B171" s="1779"/>
      <c r="C171" s="1779"/>
      <c r="D171" s="1779"/>
      <c r="E171" s="1779"/>
      <c r="F171" s="1779"/>
      <c r="G171" s="1779"/>
      <c r="H171" s="1779"/>
      <c r="I171" s="1779"/>
      <c r="J171" s="1779"/>
      <c r="K171" s="1780"/>
      <c r="L171" s="1781"/>
      <c r="M171" s="1779"/>
      <c r="N171" s="1779"/>
      <c r="O171" s="1779"/>
      <c r="P171" s="1779"/>
      <c r="Q171" s="1779"/>
      <c r="R171" s="1779"/>
      <c r="S171" s="1779"/>
      <c r="T171" s="1779"/>
      <c r="U171" s="1779"/>
      <c r="V171" s="1779"/>
      <c r="W171" s="1779"/>
      <c r="X171" s="1779"/>
      <c r="Y171" s="1779"/>
      <c r="Z171" s="1779"/>
      <c r="AA171" s="1779"/>
      <c r="AB171" s="1779"/>
      <c r="AC171" s="1779"/>
    </row>
    <row r="172" spans="1:29">
      <c r="A172" s="1779"/>
      <c r="B172" s="1779"/>
      <c r="C172" s="1779"/>
      <c r="D172" s="1779"/>
      <c r="E172" s="1779"/>
      <c r="F172" s="1779"/>
      <c r="G172" s="1779"/>
      <c r="H172" s="1779"/>
      <c r="I172" s="1779"/>
      <c r="J172" s="1779"/>
      <c r="K172" s="1780"/>
      <c r="L172" s="1781"/>
      <c r="M172" s="1779"/>
      <c r="N172" s="1779"/>
      <c r="O172" s="1779"/>
      <c r="P172" s="1779"/>
      <c r="Q172" s="1779"/>
      <c r="R172" s="1779"/>
      <c r="S172" s="1779"/>
      <c r="T172" s="1779"/>
      <c r="U172" s="1779"/>
      <c r="V172" s="1779"/>
      <c r="W172" s="1779"/>
      <c r="X172" s="1779"/>
      <c r="Y172" s="1779"/>
      <c r="Z172" s="1779"/>
      <c r="AA172" s="1779"/>
      <c r="AB172" s="1779"/>
      <c r="AC172" s="1779"/>
    </row>
    <row r="173" spans="1:29">
      <c r="A173" s="1779"/>
      <c r="B173" s="1779"/>
      <c r="C173" s="1779"/>
      <c r="D173" s="1779"/>
      <c r="E173" s="1779"/>
      <c r="F173" s="1779"/>
      <c r="G173" s="1779"/>
      <c r="H173" s="1779"/>
      <c r="I173" s="1779"/>
      <c r="J173" s="1779"/>
      <c r="K173" s="1780"/>
      <c r="L173" s="1781"/>
      <c r="M173" s="1779"/>
      <c r="N173" s="1779"/>
      <c r="O173" s="1779"/>
      <c r="P173" s="1779"/>
      <c r="Q173" s="1779"/>
      <c r="R173" s="1779"/>
      <c r="S173" s="1779"/>
      <c r="T173" s="1779"/>
      <c r="U173" s="1779"/>
      <c r="V173" s="1779"/>
      <c r="W173" s="1779"/>
      <c r="X173" s="1779"/>
      <c r="Y173" s="1779"/>
      <c r="Z173" s="1779"/>
      <c r="AA173" s="1779"/>
      <c r="AB173" s="1779"/>
      <c r="AC173" s="1779"/>
    </row>
    <row r="174" spans="1:29">
      <c r="A174" s="1779"/>
      <c r="B174" s="1779"/>
      <c r="C174" s="1779"/>
      <c r="D174" s="1779"/>
      <c r="E174" s="1779"/>
      <c r="F174" s="1779"/>
      <c r="G174" s="1779"/>
      <c r="H174" s="1779"/>
      <c r="I174" s="1779"/>
      <c r="J174" s="1779"/>
      <c r="K174" s="1780"/>
      <c r="L174" s="1781"/>
      <c r="M174" s="1779"/>
      <c r="N174" s="1779"/>
      <c r="O174" s="1779"/>
      <c r="P174" s="1779"/>
      <c r="Q174" s="1779"/>
      <c r="R174" s="1779"/>
      <c r="S174" s="1779"/>
      <c r="T174" s="1779"/>
      <c r="U174" s="1779"/>
      <c r="V174" s="1779"/>
      <c r="W174" s="1779"/>
      <c r="X174" s="1779"/>
      <c r="Y174" s="1779"/>
      <c r="Z174" s="1779"/>
      <c r="AA174" s="1779"/>
      <c r="AB174" s="1779"/>
      <c r="AC174" s="1779"/>
    </row>
    <row r="175" spans="1:29">
      <c r="A175" s="1779"/>
      <c r="B175" s="1779"/>
      <c r="C175" s="1779"/>
      <c r="D175" s="1779"/>
      <c r="E175" s="1779"/>
      <c r="F175" s="1779"/>
      <c r="G175" s="1779"/>
      <c r="H175" s="1779"/>
      <c r="I175" s="1779"/>
      <c r="J175" s="1779"/>
      <c r="K175" s="1780"/>
      <c r="L175" s="1781"/>
      <c r="M175" s="1779"/>
      <c r="N175" s="1779"/>
      <c r="O175" s="1779"/>
      <c r="P175" s="1779"/>
      <c r="Q175" s="1779"/>
      <c r="R175" s="1779"/>
      <c r="S175" s="1779"/>
      <c r="T175" s="1779"/>
      <c r="U175" s="1779"/>
      <c r="V175" s="1779"/>
      <c r="W175" s="1779"/>
      <c r="X175" s="1779"/>
      <c r="Y175" s="1779"/>
      <c r="Z175" s="1779"/>
      <c r="AA175" s="1779"/>
      <c r="AB175" s="1779"/>
      <c r="AC175" s="1779"/>
    </row>
    <row r="176" spans="1:29">
      <c r="A176" s="1779"/>
      <c r="B176" s="1779"/>
      <c r="C176" s="1779"/>
      <c r="D176" s="1779"/>
      <c r="E176" s="1779"/>
      <c r="F176" s="1779"/>
      <c r="G176" s="1779"/>
      <c r="H176" s="1779"/>
      <c r="I176" s="1779"/>
      <c r="J176" s="1779"/>
      <c r="K176" s="1780"/>
      <c r="L176" s="1781"/>
      <c r="M176" s="1779"/>
      <c r="N176" s="1779"/>
      <c r="O176" s="1779"/>
      <c r="P176" s="1779"/>
      <c r="Q176" s="1779"/>
      <c r="R176" s="1779"/>
      <c r="S176" s="1779"/>
      <c r="T176" s="1779"/>
      <c r="U176" s="1779"/>
      <c r="V176" s="1779"/>
      <c r="W176" s="1779"/>
      <c r="X176" s="1779"/>
      <c r="Y176" s="1779"/>
      <c r="Z176" s="1779"/>
      <c r="AA176" s="1779"/>
      <c r="AB176" s="1779"/>
      <c r="AC176" s="1779"/>
    </row>
    <row r="177" spans="1:29">
      <c r="A177" s="1779"/>
      <c r="B177" s="1779"/>
      <c r="C177" s="1779"/>
      <c r="D177" s="1779"/>
      <c r="E177" s="1779"/>
      <c r="F177" s="1779"/>
      <c r="G177" s="1779"/>
      <c r="H177" s="1779"/>
      <c r="I177" s="1779"/>
      <c r="J177" s="1779"/>
      <c r="K177" s="1780"/>
      <c r="L177" s="1781"/>
      <c r="M177" s="1779"/>
      <c r="N177" s="1779"/>
      <c r="O177" s="1779"/>
      <c r="P177" s="1779"/>
      <c r="Q177" s="1779"/>
      <c r="R177" s="1779"/>
      <c r="S177" s="1779"/>
      <c r="T177" s="1779"/>
      <c r="U177" s="1779"/>
      <c r="V177" s="1779"/>
      <c r="W177" s="1779"/>
      <c r="X177" s="1779"/>
      <c r="Y177" s="1779"/>
      <c r="Z177" s="1779"/>
      <c r="AA177" s="1779"/>
      <c r="AB177" s="1779"/>
      <c r="AC177" s="1779"/>
    </row>
    <row r="178" spans="1:29">
      <c r="A178" s="1779"/>
      <c r="B178" s="1779"/>
      <c r="C178" s="1779"/>
      <c r="D178" s="1779"/>
      <c r="E178" s="1779"/>
      <c r="F178" s="1779"/>
      <c r="G178" s="1779"/>
      <c r="H178" s="1779"/>
      <c r="I178" s="1779"/>
      <c r="J178" s="1779"/>
      <c r="K178" s="1780"/>
      <c r="L178" s="1781"/>
      <c r="M178" s="1779"/>
      <c r="N178" s="1779"/>
      <c r="O178" s="1779"/>
      <c r="P178" s="1779"/>
      <c r="Q178" s="1779"/>
      <c r="R178" s="1779"/>
      <c r="S178" s="1779"/>
      <c r="T178" s="1779"/>
      <c r="U178" s="1779"/>
      <c r="V178" s="1779"/>
      <c r="W178" s="1779"/>
      <c r="X178" s="1779"/>
      <c r="Y178" s="1779"/>
      <c r="Z178" s="1779"/>
      <c r="AA178" s="1779"/>
      <c r="AB178" s="1779"/>
      <c r="AC178" s="1779"/>
    </row>
    <row r="179" spans="1:29">
      <c r="A179" s="1779"/>
      <c r="B179" s="1779"/>
      <c r="C179" s="1779"/>
      <c r="D179" s="1779"/>
      <c r="E179" s="1779"/>
      <c r="F179" s="1779"/>
      <c r="G179" s="1779"/>
      <c r="H179" s="1779"/>
      <c r="I179" s="1779"/>
      <c r="J179" s="1779"/>
      <c r="K179" s="1780"/>
      <c r="L179" s="1781"/>
      <c r="M179" s="1779"/>
      <c r="N179" s="1779"/>
      <c r="O179" s="1779"/>
      <c r="P179" s="1779"/>
      <c r="Q179" s="1779"/>
      <c r="R179" s="1779"/>
      <c r="S179" s="1779"/>
      <c r="T179" s="1779"/>
      <c r="U179" s="1779"/>
      <c r="V179" s="1779"/>
      <c r="W179" s="1779"/>
      <c r="X179" s="1779"/>
      <c r="Y179" s="1779"/>
      <c r="Z179" s="1779"/>
      <c r="AA179" s="1779"/>
      <c r="AB179" s="1779"/>
      <c r="AC179" s="1779"/>
    </row>
    <row r="180" spans="1:29">
      <c r="A180" s="1779"/>
      <c r="B180" s="1779"/>
      <c r="C180" s="1779"/>
      <c r="D180" s="1779"/>
      <c r="E180" s="1779"/>
      <c r="F180" s="1779"/>
      <c r="G180" s="1779"/>
      <c r="H180" s="1779"/>
      <c r="I180" s="1779"/>
      <c r="J180" s="1779"/>
      <c r="K180" s="1780"/>
      <c r="L180" s="1781"/>
      <c r="M180" s="1779"/>
      <c r="N180" s="1779"/>
      <c r="O180" s="1779"/>
      <c r="P180" s="1779"/>
      <c r="Q180" s="1779"/>
      <c r="R180" s="1779"/>
      <c r="S180" s="1779"/>
      <c r="T180" s="1779"/>
      <c r="U180" s="1779"/>
      <c r="V180" s="1779"/>
      <c r="W180" s="1779"/>
      <c r="X180" s="1779"/>
      <c r="Y180" s="1779"/>
      <c r="Z180" s="1779"/>
      <c r="AA180" s="1779"/>
      <c r="AB180" s="1779"/>
      <c r="AC180" s="1779"/>
    </row>
    <row r="181" spans="1:29">
      <c r="A181" s="1779"/>
      <c r="B181" s="1779"/>
      <c r="C181" s="1779"/>
      <c r="D181" s="1779"/>
      <c r="E181" s="1779"/>
      <c r="F181" s="1779"/>
      <c r="G181" s="1779"/>
      <c r="H181" s="1779"/>
      <c r="I181" s="1779"/>
      <c r="J181" s="1779"/>
      <c r="K181" s="1780"/>
      <c r="L181" s="1781"/>
      <c r="M181" s="1779"/>
      <c r="N181" s="1779"/>
      <c r="O181" s="1779"/>
      <c r="P181" s="1779"/>
      <c r="Q181" s="1779"/>
      <c r="R181" s="1779"/>
      <c r="S181" s="1779"/>
      <c r="T181" s="1779"/>
      <c r="U181" s="1779"/>
      <c r="V181" s="1779"/>
      <c r="W181" s="1779"/>
      <c r="X181" s="1779"/>
      <c r="Y181" s="1779"/>
      <c r="Z181" s="1779"/>
      <c r="AA181" s="1779"/>
      <c r="AB181" s="1779"/>
      <c r="AC181" s="1779"/>
    </row>
    <row r="182" spans="1:29">
      <c r="A182" s="1779"/>
      <c r="B182" s="1779"/>
      <c r="C182" s="1779"/>
      <c r="D182" s="1779"/>
      <c r="E182" s="1779"/>
      <c r="F182" s="1779"/>
      <c r="G182" s="1779"/>
      <c r="H182" s="1779"/>
      <c r="I182" s="1779"/>
      <c r="J182" s="1779"/>
      <c r="K182" s="1780"/>
      <c r="L182" s="1781"/>
      <c r="M182" s="1779"/>
      <c r="N182" s="1779"/>
      <c r="O182" s="1779"/>
      <c r="P182" s="1779"/>
      <c r="Q182" s="1779"/>
      <c r="R182" s="1779"/>
      <c r="S182" s="1779"/>
      <c r="T182" s="1779"/>
      <c r="U182" s="1779"/>
      <c r="V182" s="1779"/>
      <c r="W182" s="1779"/>
      <c r="X182" s="1779"/>
      <c r="Y182" s="1779"/>
      <c r="Z182" s="1779"/>
      <c r="AA182" s="1779"/>
      <c r="AB182" s="1779"/>
      <c r="AC182" s="1779"/>
    </row>
    <row r="183" spans="1:29">
      <c r="A183" s="1779"/>
      <c r="B183" s="1779"/>
      <c r="C183" s="1779"/>
      <c r="D183" s="1779"/>
      <c r="E183" s="1779"/>
      <c r="F183" s="1779"/>
      <c r="G183" s="1779"/>
      <c r="H183" s="1779"/>
      <c r="I183" s="1779"/>
      <c r="J183" s="1779"/>
      <c r="K183" s="1780"/>
      <c r="L183" s="1781"/>
      <c r="M183" s="1779"/>
      <c r="N183" s="1779"/>
      <c r="O183" s="1779"/>
      <c r="P183" s="1779"/>
      <c r="Q183" s="1779"/>
      <c r="R183" s="1779"/>
      <c r="S183" s="1779"/>
      <c r="T183" s="1779"/>
      <c r="U183" s="1779"/>
      <c r="V183" s="1779"/>
      <c r="W183" s="1779"/>
      <c r="X183" s="1779"/>
      <c r="Y183" s="1779"/>
      <c r="Z183" s="1779"/>
      <c r="AA183" s="1779"/>
      <c r="AB183" s="1779"/>
      <c r="AC183" s="1779"/>
    </row>
    <row r="184" spans="1:29">
      <c r="A184" s="1779"/>
      <c r="B184" s="1779"/>
      <c r="C184" s="1779"/>
      <c r="D184" s="1779"/>
      <c r="E184" s="1779"/>
      <c r="F184" s="1779"/>
      <c r="G184" s="1779"/>
      <c r="H184" s="1779"/>
      <c r="I184" s="1779"/>
      <c r="J184" s="1779"/>
      <c r="K184" s="1780"/>
      <c r="L184" s="1781"/>
      <c r="M184" s="1779"/>
      <c r="N184" s="1779"/>
      <c r="O184" s="1779"/>
      <c r="P184" s="1779"/>
      <c r="Q184" s="1779"/>
      <c r="R184" s="1779"/>
      <c r="S184" s="1779"/>
      <c r="T184" s="1779"/>
      <c r="U184" s="1779"/>
      <c r="V184" s="1779"/>
      <c r="W184" s="1779"/>
      <c r="X184" s="1779"/>
      <c r="Y184" s="1779"/>
      <c r="Z184" s="1779"/>
      <c r="AA184" s="1779"/>
      <c r="AB184" s="1779"/>
      <c r="AC184" s="1779"/>
    </row>
    <row r="185" spans="1:29">
      <c r="A185" s="1779"/>
      <c r="B185" s="1779"/>
      <c r="C185" s="1779"/>
      <c r="D185" s="1779"/>
      <c r="E185" s="1779"/>
      <c r="F185" s="1779"/>
      <c r="G185" s="1779"/>
      <c r="H185" s="1779"/>
      <c r="I185" s="1779"/>
      <c r="J185" s="1779"/>
      <c r="K185" s="1780"/>
      <c r="L185" s="1781"/>
      <c r="M185" s="1779"/>
      <c r="N185" s="1779"/>
      <c r="O185" s="1779"/>
      <c r="P185" s="1779"/>
      <c r="Q185" s="1779"/>
      <c r="R185" s="1779"/>
      <c r="S185" s="1779"/>
      <c r="T185" s="1779"/>
      <c r="U185" s="1779"/>
      <c r="V185" s="1779"/>
      <c r="W185" s="1779"/>
      <c r="X185" s="1779"/>
      <c r="Y185" s="1779"/>
      <c r="Z185" s="1779"/>
      <c r="AA185" s="1779"/>
      <c r="AB185" s="1779"/>
      <c r="AC185" s="1779"/>
    </row>
    <row r="186" spans="1:29">
      <c r="A186" s="1779"/>
      <c r="B186" s="1779"/>
      <c r="C186" s="1779"/>
      <c r="D186" s="1779"/>
      <c r="E186" s="1779"/>
      <c r="F186" s="1779"/>
      <c r="G186" s="1779"/>
      <c r="H186" s="1779"/>
      <c r="I186" s="1779"/>
      <c r="J186" s="1779"/>
      <c r="K186" s="1780"/>
      <c r="L186" s="1781"/>
      <c r="M186" s="1779"/>
      <c r="N186" s="1779"/>
      <c r="O186" s="1779"/>
      <c r="P186" s="1779"/>
      <c r="Q186" s="1779"/>
      <c r="R186" s="1779"/>
      <c r="S186" s="1779"/>
      <c r="T186" s="1779"/>
      <c r="U186" s="1779"/>
      <c r="V186" s="1779"/>
      <c r="W186" s="1779"/>
      <c r="X186" s="1779"/>
      <c r="Y186" s="1779"/>
      <c r="Z186" s="1779"/>
      <c r="AA186" s="1779"/>
      <c r="AB186" s="1779"/>
      <c r="AC186" s="1779"/>
    </row>
    <row r="187" spans="1:29">
      <c r="A187" s="1779"/>
      <c r="B187" s="1779"/>
      <c r="C187" s="1779"/>
      <c r="D187" s="1779"/>
      <c r="E187" s="1779"/>
      <c r="F187" s="1779"/>
      <c r="G187" s="1779"/>
      <c r="H187" s="1779"/>
      <c r="I187" s="1779"/>
      <c r="J187" s="1779"/>
      <c r="K187" s="1780"/>
      <c r="L187" s="1781"/>
      <c r="M187" s="1779"/>
      <c r="N187" s="1779"/>
      <c r="O187" s="1779"/>
      <c r="P187" s="1779"/>
      <c r="Q187" s="1779"/>
      <c r="R187" s="1779"/>
      <c r="S187" s="1779"/>
      <c r="T187" s="1779"/>
      <c r="U187" s="1779"/>
      <c r="V187" s="1779"/>
      <c r="W187" s="1779"/>
      <c r="X187" s="1779"/>
      <c r="Y187" s="1779"/>
      <c r="Z187" s="1779"/>
      <c r="AA187" s="1779"/>
      <c r="AB187" s="1779"/>
      <c r="AC187" s="1779"/>
    </row>
    <row r="188" spans="1:29">
      <c r="A188" s="1779"/>
      <c r="B188" s="1779"/>
      <c r="C188" s="1779"/>
      <c r="D188" s="1779"/>
      <c r="E188" s="1779"/>
      <c r="F188" s="1779"/>
      <c r="G188" s="1779"/>
      <c r="H188" s="1779"/>
      <c r="I188" s="1779"/>
      <c r="J188" s="1779"/>
      <c r="K188" s="1780"/>
      <c r="L188" s="1781"/>
      <c r="M188" s="1779"/>
      <c r="N188" s="1779"/>
      <c r="O188" s="1779"/>
      <c r="P188" s="1779"/>
      <c r="Q188" s="1779"/>
      <c r="R188" s="1779"/>
      <c r="S188" s="1779"/>
      <c r="T188" s="1779"/>
      <c r="U188" s="1779"/>
      <c r="V188" s="1779"/>
      <c r="W188" s="1779"/>
      <c r="X188" s="1779"/>
      <c r="Y188" s="1779"/>
      <c r="Z188" s="1779"/>
      <c r="AA188" s="1779"/>
      <c r="AB188" s="1779"/>
      <c r="AC188" s="1779"/>
    </row>
    <row r="189" spans="1:29">
      <c r="A189" s="1779"/>
      <c r="B189" s="1779"/>
      <c r="C189" s="1779"/>
      <c r="D189" s="1779"/>
      <c r="E189" s="1779"/>
      <c r="F189" s="1779"/>
      <c r="G189" s="1779"/>
      <c r="H189" s="1779"/>
      <c r="I189" s="1779"/>
      <c r="J189" s="1779"/>
      <c r="K189" s="1780"/>
      <c r="L189" s="1781"/>
      <c r="M189" s="1779"/>
      <c r="N189" s="1779"/>
      <c r="O189" s="1779"/>
      <c r="P189" s="1779"/>
      <c r="Q189" s="1779"/>
      <c r="R189" s="1779"/>
      <c r="S189" s="1779"/>
      <c r="T189" s="1779"/>
      <c r="U189" s="1779"/>
      <c r="V189" s="1779"/>
      <c r="W189" s="1779"/>
      <c r="X189" s="1779"/>
      <c r="Y189" s="1779"/>
      <c r="Z189" s="1779"/>
      <c r="AA189" s="1779"/>
      <c r="AB189" s="1779"/>
      <c r="AC189" s="1779"/>
    </row>
    <row r="190" spans="1:29">
      <c r="A190" s="1779"/>
      <c r="B190" s="1779"/>
      <c r="C190" s="1779"/>
      <c r="D190" s="1779"/>
      <c r="E190" s="1779"/>
      <c r="F190" s="1779"/>
      <c r="G190" s="1779"/>
      <c r="H190" s="1779"/>
      <c r="I190" s="1779"/>
      <c r="J190" s="1779"/>
      <c r="K190" s="1780"/>
      <c r="L190" s="1781"/>
      <c r="M190" s="1779"/>
      <c r="N190" s="1779"/>
      <c r="O190" s="1779"/>
      <c r="P190" s="1779"/>
      <c r="Q190" s="1779"/>
      <c r="R190" s="1779"/>
      <c r="S190" s="1779"/>
      <c r="T190" s="1779"/>
      <c r="U190" s="1779"/>
      <c r="V190" s="1779"/>
      <c r="W190" s="1779"/>
      <c r="X190" s="1779"/>
      <c r="Y190" s="1779"/>
      <c r="Z190" s="1779"/>
      <c r="AA190" s="1779"/>
      <c r="AB190" s="1779"/>
      <c r="AC190" s="1779"/>
    </row>
    <row r="191" spans="1:29">
      <c r="A191" s="1779"/>
      <c r="B191" s="1779"/>
      <c r="C191" s="1779"/>
      <c r="D191" s="1779"/>
      <c r="E191" s="1779"/>
      <c r="F191" s="1779"/>
      <c r="G191" s="1779"/>
      <c r="H191" s="1779"/>
      <c r="I191" s="1779"/>
      <c r="J191" s="1779"/>
      <c r="K191" s="1780"/>
      <c r="L191" s="1781"/>
      <c r="M191" s="1779"/>
      <c r="N191" s="1779"/>
      <c r="O191" s="1779"/>
      <c r="P191" s="1779"/>
      <c r="Q191" s="1779"/>
      <c r="R191" s="1779"/>
      <c r="S191" s="1779"/>
      <c r="T191" s="1779"/>
      <c r="U191" s="1779"/>
      <c r="V191" s="1779"/>
      <c r="W191" s="1779"/>
      <c r="X191" s="1779"/>
      <c r="Y191" s="1779"/>
      <c r="Z191" s="1779"/>
      <c r="AA191" s="1779"/>
      <c r="AB191" s="1779"/>
      <c r="AC191" s="1779"/>
    </row>
    <row r="192" spans="1:29">
      <c r="A192" s="1779"/>
      <c r="B192" s="1779"/>
      <c r="C192" s="1779"/>
      <c r="D192" s="1779"/>
      <c r="E192" s="1779"/>
      <c r="F192" s="1779"/>
      <c r="G192" s="1779"/>
      <c r="H192" s="1779"/>
      <c r="I192" s="1779"/>
      <c r="J192" s="1779"/>
      <c r="K192" s="1780"/>
      <c r="L192" s="1781"/>
      <c r="M192" s="1779"/>
      <c r="N192" s="1779"/>
      <c r="O192" s="1779"/>
      <c r="P192" s="1779"/>
      <c r="Q192" s="1779"/>
      <c r="R192" s="1779"/>
      <c r="S192" s="1779"/>
      <c r="T192" s="1779"/>
      <c r="U192" s="1779"/>
      <c r="V192" s="1779"/>
      <c r="W192" s="1779"/>
      <c r="X192" s="1779"/>
      <c r="Y192" s="1779"/>
      <c r="Z192" s="1779"/>
      <c r="AA192" s="1779"/>
      <c r="AB192" s="1779"/>
      <c r="AC192" s="1779"/>
    </row>
    <row r="193" spans="1:29">
      <c r="A193" s="1779"/>
      <c r="B193" s="1779"/>
      <c r="C193" s="1779"/>
      <c r="D193" s="1779"/>
      <c r="E193" s="1779"/>
      <c r="F193" s="1779"/>
      <c r="G193" s="1779"/>
      <c r="H193" s="1779"/>
      <c r="I193" s="1779"/>
      <c r="J193" s="1779"/>
      <c r="K193" s="1780"/>
      <c r="L193" s="1781"/>
      <c r="M193" s="1779"/>
      <c r="N193" s="1779"/>
      <c r="O193" s="1779"/>
      <c r="P193" s="1779"/>
      <c r="Q193" s="1779"/>
      <c r="R193" s="1779"/>
      <c r="S193" s="1779"/>
      <c r="T193" s="1779"/>
      <c r="U193" s="1779"/>
      <c r="V193" s="1779"/>
      <c r="W193" s="1779"/>
      <c r="X193" s="1779"/>
      <c r="Y193" s="1779"/>
      <c r="Z193" s="1779"/>
      <c r="AA193" s="1779"/>
      <c r="AB193" s="1779"/>
      <c r="AC193" s="1779"/>
    </row>
    <row r="194" spans="1:29">
      <c r="A194" s="1779"/>
      <c r="B194" s="1779"/>
      <c r="C194" s="1779"/>
      <c r="D194" s="1779"/>
      <c r="E194" s="1779"/>
      <c r="F194" s="1779"/>
      <c r="G194" s="1779"/>
      <c r="H194" s="1779"/>
      <c r="I194" s="1779"/>
      <c r="J194" s="1779"/>
      <c r="K194" s="1780"/>
      <c r="L194" s="1781"/>
      <c r="M194" s="1779"/>
      <c r="N194" s="1779"/>
      <c r="O194" s="1779"/>
      <c r="P194" s="1779"/>
      <c r="Q194" s="1779"/>
      <c r="R194" s="1779"/>
      <c r="S194" s="1779"/>
      <c r="T194" s="1779"/>
      <c r="U194" s="1779"/>
      <c r="V194" s="1779"/>
      <c r="W194" s="1779"/>
      <c r="X194" s="1779"/>
      <c r="Y194" s="1779"/>
      <c r="Z194" s="1779"/>
      <c r="AA194" s="1779"/>
      <c r="AB194" s="1779"/>
      <c r="AC194" s="1779"/>
    </row>
    <row r="195" spans="1:29">
      <c r="A195" s="1779"/>
      <c r="B195" s="1779"/>
      <c r="C195" s="1779"/>
      <c r="D195" s="1779"/>
      <c r="E195" s="1779"/>
      <c r="F195" s="1779"/>
      <c r="G195" s="1779"/>
      <c r="H195" s="1779"/>
      <c r="I195" s="1779"/>
      <c r="J195" s="1779"/>
      <c r="K195" s="1780"/>
      <c r="L195" s="1781"/>
      <c r="M195" s="1779"/>
      <c r="N195" s="1779"/>
      <c r="O195" s="1779"/>
      <c r="P195" s="1779"/>
      <c r="Q195" s="1779"/>
      <c r="R195" s="1779"/>
      <c r="S195" s="1779"/>
      <c r="T195" s="1779"/>
      <c r="U195" s="1779"/>
      <c r="V195" s="1779"/>
      <c r="W195" s="1779"/>
      <c r="X195" s="1779"/>
      <c r="Y195" s="1779"/>
      <c r="Z195" s="1779"/>
      <c r="AA195" s="1779"/>
      <c r="AB195" s="1779"/>
      <c r="AC195" s="1779"/>
    </row>
    <row r="196" spans="1:29">
      <c r="A196" s="1779"/>
      <c r="B196" s="1779"/>
      <c r="C196" s="1779"/>
      <c r="D196" s="1779"/>
      <c r="E196" s="1779"/>
      <c r="F196" s="1779"/>
      <c r="G196" s="1779"/>
      <c r="H196" s="1779"/>
      <c r="I196" s="1779"/>
      <c r="J196" s="1779"/>
      <c r="K196" s="1780"/>
      <c r="L196" s="1781"/>
      <c r="M196" s="1779"/>
      <c r="N196" s="1779"/>
      <c r="O196" s="1779"/>
      <c r="P196" s="1779"/>
      <c r="Q196" s="1779"/>
      <c r="R196" s="1779"/>
      <c r="S196" s="1779"/>
      <c r="T196" s="1779"/>
      <c r="U196" s="1779"/>
      <c r="V196" s="1779"/>
      <c r="W196" s="1779"/>
      <c r="X196" s="1779"/>
      <c r="Y196" s="1779"/>
      <c r="Z196" s="1779"/>
      <c r="AA196" s="1779"/>
      <c r="AB196" s="1779"/>
      <c r="AC196" s="1779"/>
    </row>
    <row r="197" spans="1:29">
      <c r="A197" s="1779"/>
      <c r="B197" s="1779"/>
      <c r="C197" s="1779"/>
      <c r="D197" s="1779"/>
      <c r="E197" s="1779"/>
      <c r="F197" s="1779"/>
      <c r="G197" s="1779"/>
      <c r="H197" s="1779"/>
      <c r="I197" s="1779"/>
      <c r="J197" s="1779"/>
      <c r="K197" s="1780"/>
      <c r="L197" s="1781"/>
      <c r="M197" s="1779"/>
      <c r="N197" s="1779"/>
      <c r="O197" s="1779"/>
      <c r="P197" s="1779"/>
      <c r="Q197" s="1779"/>
      <c r="R197" s="1779"/>
      <c r="S197" s="1779"/>
      <c r="T197" s="1779"/>
      <c r="U197" s="1779"/>
      <c r="V197" s="1779"/>
      <c r="W197" s="1779"/>
      <c r="X197" s="1779"/>
      <c r="Y197" s="1779"/>
      <c r="Z197" s="1779"/>
      <c r="AA197" s="1779"/>
      <c r="AB197" s="1779"/>
      <c r="AC197" s="1779"/>
    </row>
    <row r="198" spans="1:29">
      <c r="A198" s="1779"/>
      <c r="B198" s="1779"/>
      <c r="C198" s="1779"/>
      <c r="D198" s="1779"/>
      <c r="E198" s="1779"/>
      <c r="F198" s="1779"/>
      <c r="G198" s="1779"/>
      <c r="H198" s="1779"/>
      <c r="I198" s="1779"/>
      <c r="J198" s="1779"/>
      <c r="K198" s="1780"/>
      <c r="L198" s="1781"/>
      <c r="M198" s="1779"/>
      <c r="N198" s="1779"/>
      <c r="O198" s="1779"/>
      <c r="P198" s="1779"/>
      <c r="Q198" s="1779"/>
      <c r="R198" s="1779"/>
      <c r="S198" s="1779"/>
      <c r="T198" s="1779"/>
      <c r="U198" s="1779"/>
      <c r="V198" s="1779"/>
      <c r="W198" s="1779"/>
      <c r="X198" s="1779"/>
      <c r="Y198" s="1779"/>
      <c r="Z198" s="1779"/>
      <c r="AA198" s="1779"/>
      <c r="AB198" s="1779"/>
      <c r="AC198" s="1779"/>
    </row>
    <row r="199" spans="1:29">
      <c r="A199" s="1779"/>
      <c r="B199" s="1779"/>
      <c r="C199" s="1779"/>
      <c r="D199" s="1779"/>
      <c r="E199" s="1779"/>
      <c r="F199" s="1779"/>
      <c r="G199" s="1779"/>
      <c r="H199" s="1779"/>
      <c r="I199" s="1779"/>
      <c r="J199" s="1779"/>
      <c r="K199" s="1780"/>
      <c r="L199" s="1781"/>
      <c r="M199" s="1779"/>
      <c r="N199" s="1779"/>
      <c r="O199" s="1779"/>
      <c r="P199" s="1779"/>
      <c r="Q199" s="1779"/>
      <c r="R199" s="1779"/>
      <c r="S199" s="1779"/>
      <c r="T199" s="1779"/>
      <c r="U199" s="1779"/>
      <c r="V199" s="1779"/>
      <c r="W199" s="1779"/>
      <c r="X199" s="1779"/>
      <c r="Y199" s="1779"/>
      <c r="Z199" s="1779"/>
      <c r="AA199" s="1779"/>
      <c r="AB199" s="1779"/>
      <c r="AC199" s="1779"/>
    </row>
    <row r="200" spans="1:29">
      <c r="A200" s="1779"/>
      <c r="B200" s="1779"/>
      <c r="C200" s="1779"/>
      <c r="D200" s="1779"/>
      <c r="E200" s="1779"/>
      <c r="F200" s="1779"/>
      <c r="G200" s="1779"/>
      <c r="H200" s="1779"/>
      <c r="I200" s="1779"/>
      <c r="J200" s="1779"/>
      <c r="K200" s="1780"/>
      <c r="L200" s="1781"/>
      <c r="M200" s="1779"/>
      <c r="N200" s="1779"/>
      <c r="O200" s="1779"/>
      <c r="P200" s="1779"/>
      <c r="Q200" s="1779"/>
      <c r="R200" s="1779"/>
      <c r="S200" s="1779"/>
      <c r="T200" s="1779"/>
      <c r="U200" s="1779"/>
      <c r="V200" s="1779"/>
      <c r="W200" s="1779"/>
      <c r="X200" s="1779"/>
      <c r="Y200" s="1779"/>
      <c r="Z200" s="1779"/>
      <c r="AA200" s="1779"/>
      <c r="AB200" s="1779"/>
      <c r="AC200" s="1779"/>
    </row>
    <row r="201" spans="1:29">
      <c r="A201" s="1779"/>
      <c r="B201" s="1779"/>
      <c r="C201" s="1779"/>
      <c r="D201" s="1779"/>
      <c r="E201" s="1779"/>
      <c r="F201" s="1779"/>
      <c r="G201" s="1779"/>
      <c r="H201" s="1779"/>
      <c r="I201" s="1779"/>
      <c r="J201" s="1779"/>
      <c r="K201" s="1780"/>
      <c r="L201" s="1781"/>
      <c r="M201" s="1779"/>
      <c r="N201" s="1779"/>
      <c r="O201" s="1779"/>
      <c r="P201" s="1779"/>
      <c r="Q201" s="1779"/>
      <c r="R201" s="1779"/>
      <c r="S201" s="1779"/>
      <c r="T201" s="1779"/>
      <c r="U201" s="1779"/>
      <c r="V201" s="1779"/>
      <c r="W201" s="1779"/>
      <c r="X201" s="1779"/>
      <c r="Y201" s="1779"/>
      <c r="Z201" s="1779"/>
      <c r="AA201" s="1779"/>
      <c r="AB201" s="1779"/>
      <c r="AC201" s="1779"/>
    </row>
    <row r="202" spans="1:29">
      <c r="A202" s="1779"/>
      <c r="B202" s="1779"/>
      <c r="C202" s="1779"/>
      <c r="D202" s="1779"/>
      <c r="E202" s="1779"/>
      <c r="F202" s="1779"/>
      <c r="G202" s="1779"/>
      <c r="H202" s="1779"/>
      <c r="I202" s="1779"/>
      <c r="J202" s="1779"/>
      <c r="K202" s="1780"/>
      <c r="L202" s="1781"/>
      <c r="M202" s="1779"/>
      <c r="N202" s="1779"/>
      <c r="O202" s="1779"/>
      <c r="P202" s="1779"/>
      <c r="Q202" s="1779"/>
      <c r="R202" s="1779"/>
      <c r="S202" s="1779"/>
      <c r="T202" s="1779"/>
      <c r="U202" s="1779"/>
      <c r="V202" s="1779"/>
      <c r="W202" s="1779"/>
      <c r="X202" s="1779"/>
      <c r="Y202" s="1779"/>
      <c r="Z202" s="1779"/>
      <c r="AA202" s="1779"/>
      <c r="AB202" s="1779"/>
      <c r="AC202" s="1779"/>
    </row>
    <row r="203" spans="1:29">
      <c r="A203" s="1779"/>
      <c r="B203" s="1779"/>
      <c r="C203" s="1779"/>
      <c r="D203" s="1779"/>
      <c r="E203" s="1779"/>
      <c r="F203" s="1779"/>
      <c r="G203" s="1779"/>
      <c r="H203" s="1779"/>
      <c r="I203" s="1779"/>
      <c r="J203" s="1779"/>
      <c r="K203" s="1780"/>
      <c r="L203" s="1781"/>
      <c r="M203" s="1779"/>
      <c r="N203" s="1779"/>
      <c r="O203" s="1779"/>
      <c r="P203" s="1779"/>
      <c r="Q203" s="1779"/>
      <c r="R203" s="1779"/>
      <c r="S203" s="1779"/>
      <c r="T203" s="1779"/>
      <c r="U203" s="1779"/>
      <c r="V203" s="1779"/>
      <c r="W203" s="1779"/>
      <c r="X203" s="1779"/>
      <c r="Y203" s="1779"/>
      <c r="Z203" s="1779"/>
      <c r="AA203" s="1779"/>
      <c r="AB203" s="1779"/>
      <c r="AC203" s="1779"/>
    </row>
    <row r="204" spans="1:29">
      <c r="A204" s="1779"/>
      <c r="B204" s="1779"/>
      <c r="C204" s="1779"/>
      <c r="D204" s="1779"/>
      <c r="E204" s="1779"/>
      <c r="F204" s="1779"/>
      <c r="G204" s="1779"/>
      <c r="H204" s="1779"/>
      <c r="I204" s="1779"/>
      <c r="J204" s="1779"/>
      <c r="K204" s="1780"/>
      <c r="L204" s="1781"/>
      <c r="M204" s="1779"/>
      <c r="N204" s="1779"/>
      <c r="O204" s="1779"/>
      <c r="P204" s="1779"/>
      <c r="Q204" s="1779"/>
      <c r="R204" s="1779"/>
      <c r="S204" s="1779"/>
      <c r="T204" s="1779"/>
      <c r="U204" s="1779"/>
      <c r="V204" s="1779"/>
      <c r="W204" s="1779"/>
      <c r="X204" s="1779"/>
      <c r="Y204" s="1779"/>
      <c r="Z204" s="1779"/>
      <c r="AA204" s="1779"/>
      <c r="AB204" s="1779"/>
      <c r="AC204" s="1779"/>
    </row>
    <row r="205" spans="1:29">
      <c r="A205" s="1779"/>
      <c r="B205" s="1779"/>
      <c r="C205" s="1779"/>
      <c r="D205" s="1779"/>
      <c r="E205" s="1779"/>
      <c r="F205" s="1779"/>
      <c r="G205" s="1779"/>
      <c r="H205" s="1779"/>
      <c r="I205" s="1779"/>
      <c r="J205" s="1779"/>
      <c r="K205" s="1780"/>
      <c r="L205" s="1781"/>
      <c r="M205" s="1779"/>
      <c r="N205" s="1779"/>
      <c r="O205" s="1779"/>
      <c r="P205" s="1779"/>
      <c r="Q205" s="1779"/>
      <c r="R205" s="1779"/>
      <c r="S205" s="1779"/>
      <c r="T205" s="1779"/>
      <c r="U205" s="1779"/>
      <c r="V205" s="1779"/>
      <c r="W205" s="1779"/>
      <c r="X205" s="1779"/>
      <c r="Y205" s="1779"/>
      <c r="Z205" s="1779"/>
      <c r="AA205" s="1779"/>
      <c r="AB205" s="1779"/>
      <c r="AC205" s="1779"/>
    </row>
    <row r="206" spans="1:29">
      <c r="A206" s="1779"/>
      <c r="B206" s="1779"/>
      <c r="C206" s="1779"/>
      <c r="D206" s="1779"/>
      <c r="E206" s="1779"/>
      <c r="F206" s="1779"/>
      <c r="G206" s="1779"/>
      <c r="H206" s="1779"/>
      <c r="I206" s="1779"/>
      <c r="J206" s="1779"/>
      <c r="K206" s="1780"/>
      <c r="L206" s="1781"/>
      <c r="M206" s="1779"/>
      <c r="N206" s="1779"/>
      <c r="O206" s="1779"/>
      <c r="P206" s="1779"/>
      <c r="Q206" s="1779"/>
      <c r="R206" s="1779"/>
      <c r="S206" s="1779"/>
      <c r="T206" s="1779"/>
      <c r="U206" s="1779"/>
      <c r="V206" s="1779"/>
      <c r="W206" s="1779"/>
      <c r="X206" s="1779"/>
      <c r="Y206" s="1779"/>
      <c r="Z206" s="1779"/>
      <c r="AA206" s="1779"/>
      <c r="AB206" s="1779"/>
      <c r="AC206" s="1779"/>
    </row>
    <row r="207" spans="1:29">
      <c r="A207" s="1779"/>
      <c r="B207" s="1779"/>
      <c r="C207" s="1779"/>
      <c r="D207" s="1779"/>
      <c r="E207" s="1779"/>
      <c r="F207" s="1779"/>
      <c r="G207" s="1779"/>
      <c r="H207" s="1779"/>
      <c r="I207" s="1779"/>
      <c r="J207" s="1779"/>
      <c r="K207" s="1780"/>
      <c r="L207" s="1781"/>
      <c r="M207" s="1779"/>
      <c r="N207" s="1779"/>
      <c r="O207" s="1779"/>
      <c r="P207" s="1779"/>
      <c r="Q207" s="1779"/>
      <c r="R207" s="1779"/>
      <c r="S207" s="1779"/>
      <c r="T207" s="1779"/>
      <c r="U207" s="1779"/>
      <c r="V207" s="1779"/>
      <c r="W207" s="1779"/>
      <c r="X207" s="1779"/>
      <c r="Y207" s="1779"/>
      <c r="Z207" s="1779"/>
      <c r="AA207" s="1779"/>
      <c r="AB207" s="1779"/>
      <c r="AC207" s="1779"/>
    </row>
    <row r="208" spans="1:29">
      <c r="A208" s="1779"/>
      <c r="B208" s="1779"/>
      <c r="C208" s="1779"/>
      <c r="D208" s="1779"/>
      <c r="E208" s="1779"/>
      <c r="F208" s="1779"/>
      <c r="G208" s="1779"/>
      <c r="H208" s="1779"/>
      <c r="I208" s="1779"/>
      <c r="J208" s="1779"/>
      <c r="K208" s="1780"/>
      <c r="L208" s="1781"/>
      <c r="M208" s="1779"/>
      <c r="N208" s="1779"/>
      <c r="O208" s="1779"/>
      <c r="P208" s="1779"/>
      <c r="Q208" s="1779"/>
      <c r="R208" s="1779"/>
      <c r="S208" s="1779"/>
      <c r="T208" s="1779"/>
      <c r="U208" s="1779"/>
      <c r="V208" s="1779"/>
      <c r="W208" s="1779"/>
      <c r="X208" s="1779"/>
      <c r="Y208" s="1779"/>
      <c r="Z208" s="1779"/>
      <c r="AA208" s="1779"/>
      <c r="AB208" s="1779"/>
      <c r="AC208" s="1779"/>
    </row>
    <row r="209" spans="1:29">
      <c r="A209" s="1779"/>
      <c r="B209" s="1779"/>
      <c r="C209" s="1779"/>
      <c r="D209" s="1779"/>
      <c r="E209" s="1779"/>
      <c r="F209" s="1779"/>
      <c r="G209" s="1779"/>
      <c r="H209" s="1779"/>
      <c r="I209" s="1779"/>
      <c r="J209" s="1779"/>
      <c r="K209" s="1780"/>
      <c r="L209" s="1781"/>
      <c r="M209" s="1779"/>
      <c r="N209" s="1779"/>
      <c r="O209" s="1779"/>
      <c r="P209" s="1779"/>
      <c r="Q209" s="1779"/>
      <c r="R209" s="1779"/>
      <c r="S209" s="1779"/>
      <c r="T209" s="1779"/>
      <c r="U209" s="1779"/>
      <c r="V209" s="1779"/>
      <c r="W209" s="1779"/>
      <c r="X209" s="1779"/>
      <c r="Y209" s="1779"/>
      <c r="Z209" s="1779"/>
      <c r="AA209" s="1779"/>
      <c r="AB209" s="1779"/>
      <c r="AC209" s="1779"/>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E40">
    <cfRule type="expression" dxfId="21" priority="13" stopIfTrue="1">
      <formula>$F$40="超过30%"</formula>
    </cfRule>
  </conditionalFormatting>
  <conditionalFormatting sqref="E41">
    <cfRule type="expression" dxfId="20" priority="11" stopIfTrue="1">
      <formula>$F$41="超过20%"</formula>
    </cfRule>
  </conditionalFormatting>
  <conditionalFormatting sqref="E42">
    <cfRule type="expression" dxfId="19" priority="10" stopIfTrue="1">
      <formula>$F$42="超过30%"</formula>
    </cfRule>
  </conditionalFormatting>
  <conditionalFormatting sqref="F7:F34 H7:H34 J7:J34">
    <cfRule type="cellIs" dxfId="18" priority="1" operator="notEqual">
      <formula>100</formula>
    </cfRule>
  </conditionalFormatting>
  <conditionalFormatting sqref="F36">
    <cfRule type="expression" dxfId="17" priority="4">
      <formula>$D$36="简单平均"</formula>
    </cfRule>
  </conditionalFormatting>
  <conditionalFormatting sqref="F40:F42 H40:H42 J40:J42">
    <cfRule type="containsText" dxfId="16" priority="14" stopIfTrue="1" operator="containsText" text="超过">
      <formula>NOT(ISERROR(SEARCH("超过",F40)))</formula>
    </cfRule>
  </conditionalFormatting>
  <conditionalFormatting sqref="G40">
    <cfRule type="expression" dxfId="15" priority="9" stopIfTrue="1">
      <formula>$H$52+$H$40="超过30%"</formula>
    </cfRule>
  </conditionalFormatting>
  <conditionalFormatting sqref="G41">
    <cfRule type="expression" dxfId="14" priority="8" stopIfTrue="1">
      <formula>$H$53+$H$41="超过20%"</formula>
    </cfRule>
  </conditionalFormatting>
  <conditionalFormatting sqref="G42">
    <cfRule type="expression" dxfId="13" priority="12" stopIfTrue="1">
      <formula>$H$54+$H$42="超过30%"</formula>
    </cfRule>
  </conditionalFormatting>
  <conditionalFormatting sqref="H36">
    <cfRule type="expression" dxfId="12" priority="3">
      <formula>$D$36="简单平均"</formula>
    </cfRule>
  </conditionalFormatting>
  <conditionalFormatting sqref="I40">
    <cfRule type="expression" dxfId="11" priority="7" stopIfTrue="1">
      <formula>$J$40="超过30%"</formula>
    </cfRule>
  </conditionalFormatting>
  <conditionalFormatting sqref="I41">
    <cfRule type="expression" dxfId="10" priority="6" stopIfTrue="1">
      <formula>$J$41="超过20%"</formula>
    </cfRule>
  </conditionalFormatting>
  <conditionalFormatting sqref="I42">
    <cfRule type="expression" dxfId="9" priority="5" stopIfTrue="1">
      <formula>$J$42="超过30%"</formula>
    </cfRule>
  </conditionalFormatting>
  <conditionalFormatting sqref="J36">
    <cfRule type="expression" dxfId="8" priority="2">
      <formula>$D$36="简单平均"</formula>
    </cfRule>
  </conditionalFormatting>
  <dataValidations count="15">
    <dataValidation type="list" allowBlank="1" showInputMessage="1" showErrorMessage="1" sqref="G15 E15 C15 I15" xr:uid="{00000000-0002-0000-2700-000000000000}">
      <formula1>交通便捷度</formula1>
    </dataValidation>
    <dataValidation type="list" allowBlank="1" showInputMessage="1" showErrorMessage="1" sqref="G17 C17 I17 E17" xr:uid="{00000000-0002-0000-2700-000001000000}">
      <formula1>公共配套设施</formula1>
    </dataValidation>
    <dataValidation type="list" allowBlank="1" showInputMessage="1" showErrorMessage="1" sqref="D1" xr:uid="{00000000-0002-0000-2700-000002000000}">
      <formula1>项目类型</formula1>
    </dataValidation>
    <dataValidation type="list" allowBlank="1" showInputMessage="1" showErrorMessage="1" sqref="C8 E8 G8 I8" xr:uid="{00000000-0002-0000-2700-000003000000}">
      <formula1>仓储交易情况</formula1>
    </dataValidation>
    <dataValidation type="list" allowBlank="1" showInputMessage="1" showErrorMessage="1" sqref="E9 G9 I9" xr:uid="{00000000-0002-0000-2700-000004000000}">
      <formula1>仓储用途</formula1>
    </dataValidation>
    <dataValidation type="list" allowBlank="1" showInputMessage="1" showErrorMessage="1" sqref="C21 E21 G21 I21" xr:uid="{00000000-0002-0000-2700-000005000000}">
      <formula1>环境</formula1>
    </dataValidation>
    <dataValidation type="list" allowBlank="1" showInputMessage="1" showErrorMessage="1" sqref="C22 E22 G22 I22" xr:uid="{00000000-0002-0000-2700-000006000000}">
      <formula1>仓储楼层</formula1>
    </dataValidation>
    <dataValidation type="list" allowBlank="1" showInputMessage="1" showErrorMessage="1" sqref="C26 E26 G26 I26" xr:uid="{00000000-0002-0000-2700-000007000000}">
      <formula1>仓储公共部分装修</formula1>
    </dataValidation>
    <dataValidation type="list" allowBlank="1" showInputMessage="1" showErrorMessage="1" sqref="C29 E29 G29 I29" xr:uid="{00000000-0002-0000-2700-000008000000}">
      <formula1>有无电梯</formula1>
    </dataValidation>
    <dataValidation type="list" allowBlank="1" showInputMessage="1" showErrorMessage="1" sqref="C31 E31 G31 I31" xr:uid="{00000000-0002-0000-2700-000009000000}">
      <formula1>是否封闭</formula1>
    </dataValidation>
    <dataValidation type="list" allowBlank="1" showInputMessage="1" showErrorMessage="1" sqref="B1" xr:uid="{00000000-0002-0000-2700-00000A000000}">
      <formula1>地类判定</formula1>
    </dataValidation>
    <dataValidation type="list" allowBlank="1" showInputMessage="1" showErrorMessage="1" sqref="C28 E28 G28 I28" xr:uid="{00000000-0002-0000-2700-00000B000000}">
      <formula1>仓储物业等级</formula1>
    </dataValidation>
    <dataValidation type="list" allowBlank="1" showInputMessage="1" showErrorMessage="1" sqref="C19 E19 G19 I19" xr:uid="{00000000-0002-0000-2700-00000C000000}">
      <formula1>基础设施水平</formula1>
    </dataValidation>
    <dataValidation type="list" allowBlank="1" showInputMessage="1" showErrorMessage="1" sqref="F1" xr:uid="{00000000-0002-0000-2700-00000D000000}">
      <formula1>"售价,租金"</formula1>
    </dataValidation>
    <dataValidation type="list" allowBlank="1" showInputMessage="1" showErrorMessage="1" sqref="D36" xr:uid="{00000000-0002-0000-2700-00000E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476" customWidth="1"/>
    <col min="2" max="2" width="9" style="1476"/>
    <col min="3" max="4" width="9.625" style="1476" customWidth="1"/>
    <col min="5" max="16384" width="9" style="1476"/>
  </cols>
  <sheetData>
    <row r="1" spans="1:4" ht="22.5">
      <c r="A1" s="1475" t="s">
        <v>1428</v>
      </c>
    </row>
    <row r="3" spans="1:4" ht="18.75">
      <c r="A3" s="1493" t="str">
        <f>项目基本情况!B5&amp;"："</f>
        <v>：</v>
      </c>
    </row>
    <row r="4" spans="1:4" ht="18.75">
      <c r="A4" s="1488" t="str">
        <f>"受贵公司委托，我公司对"&amp;项目基本情况!K2&amp;项目基本情况!B9&amp;"进行了预评估。"</f>
        <v>受贵公司委托，我公司对出让国有建设用地使用权进行了预评估。</v>
      </c>
    </row>
    <row r="5" spans="1:4" ht="18.75">
      <c r="A5" s="1491" t="s">
        <v>1429</v>
      </c>
    </row>
    <row r="6" spans="1:4" ht="75">
      <c r="A6" s="1488"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82949.97平方米。根据《建设工程规划许可证》[]、《出让合同》[]，估价对象规划建筑面积为82949.97平方米。</v>
      </c>
    </row>
    <row r="7" spans="1:4" ht="93.75">
      <c r="A7" s="2178" t="s">
        <v>2030</v>
      </c>
    </row>
    <row r="8" spans="1:4" ht="18.75">
      <c r="A8" s="1491" t="s">
        <v>1430</v>
      </c>
    </row>
    <row r="9" spans="1:4" ht="37.5">
      <c r="A9" s="1488" t="str">
        <f>IF(项目基本情况!B8="抵押",IF(项目基本情况!B5=项目基本情况!B6,定义!C51,定义!B51),定义!D51)</f>
        <v>本次评估为委托估价方了解标的物之市场价格提供参考依据而评估出让国有建设用地使用权市场价格。</v>
      </c>
    </row>
    <row r="10" spans="1:4" ht="18.75">
      <c r="A10" s="1493" t="s">
        <v>1544</v>
      </c>
    </row>
    <row r="11" spans="1:4" ht="18.75">
      <c r="A11" s="1477" t="str">
        <f>TEXT(项目基本情况!D3,"yyyy年m月d日;;")&amp;IF(项目基本情况!B3=项目基本情况!D3,"（评估专业人员勘察现场之日）","")</f>
        <v>2024年7月10日（评估专业人员勘察现场之日）</v>
      </c>
    </row>
    <row r="12" spans="1:4" ht="18.75">
      <c r="A12" s="1493" t="s">
        <v>1543</v>
      </c>
    </row>
    <row r="13" spans="1:4" ht="18.75">
      <c r="A13" s="1488" t="s">
        <v>1589</v>
      </c>
    </row>
    <row r="14" spans="1:4" ht="18.75">
      <c r="A14" s="1488" t="str">
        <f>"根据"&amp;项目基本情况!F12&amp;"，本次评估估价对象证载（地类）用途为"&amp;项目基本情况!B12&amp;"。"</f>
        <v>根据《国有土地使用证》[]，本次评估估价对象证载（地类）用途为。</v>
      </c>
      <c r="C14" s="1478"/>
      <c r="D14" s="1479"/>
    </row>
    <row r="15" spans="1:4" ht="18.75">
      <c r="A15" s="148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478"/>
      <c r="D15" s="1479"/>
    </row>
    <row r="16" spans="1:4" ht="18.75">
      <c r="A16" s="1488" t="s">
        <v>1590</v>
      </c>
    </row>
    <row r="17" spans="1:1" ht="56.25">
      <c r="A17" s="148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488"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488" t="s">
        <v>1591</v>
      </c>
    </row>
    <row r="20" spans="1:1" ht="56.25">
      <c r="A20" s="203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根据《国有土地使用证》[]，估价对象（分摊）出让国有建设用地使用权面积为82949.97平方米。根据《建设工程规划许可证》[]、《出让合同》[]，估价对象规划建筑面积为82949.97平方米。</v>
      </c>
    </row>
    <row r="21" spans="1:1" ht="93.75">
      <c r="A21" s="2179"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488" t="s">
        <v>1592</v>
      </c>
    </row>
    <row r="23" spans="1:1" ht="18.75">
      <c r="A23" s="2180" t="s">
        <v>2031</v>
      </c>
    </row>
    <row r="24" spans="1:1" ht="18.75">
      <c r="A24" s="1488" t="s">
        <v>1593</v>
      </c>
    </row>
    <row r="25" spans="1:1" ht="75">
      <c r="A25" s="1488" t="str">
        <f>定义!C53</f>
        <v>本次估价的“出让国有建设用地使用权价格”是指在估价对象土地所有权为国家所有，使用权性质为出让，在公开市场条件下、于估价期日2024年7月10日，在规划利用条件下、设定土地开发程度为红线外“七通”、宗地内场地，设定用途为，剩余土地使用年限为的出让国有建设用地使用权价格。</v>
      </c>
    </row>
    <row r="26" spans="1:1" ht="93.75">
      <c r="A26" s="1488"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488"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488"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493" t="s">
        <v>1545</v>
      </c>
    </row>
    <row r="30" spans="1:1" ht="75">
      <c r="A30" s="148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1494"/>
    </row>
    <row r="32" spans="1:1" ht="18.75">
      <c r="A32" s="1495" t="s">
        <v>1546</v>
      </c>
    </row>
  </sheetData>
  <sheetProtection formatCells="0" formatRows="0" insertRows="0" deleteRows="0"/>
  <phoneticPr fontId="22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23">
    <tabColor rgb="FF92D050"/>
  </sheetPr>
  <dimension ref="A1:AS682"/>
  <sheetViews>
    <sheetView zoomScale="70" zoomScaleNormal="70" workbookViewId="0">
      <pane ySplit="24" topLeftCell="A516" activePane="bottomLeft" state="frozen"/>
      <selection activeCell="C24" sqref="C24:C524"/>
      <selection pane="bottomLeft" activeCell="C24" sqref="C24:C524"/>
    </sheetView>
  </sheetViews>
  <sheetFormatPr defaultColWidth="9" defaultRowHeight="12.75"/>
  <cols>
    <col min="1" max="1" width="11.5" style="1045" customWidth="1"/>
    <col min="2" max="2" width="9.25" style="1058" customWidth="1"/>
    <col min="3" max="3" width="5" style="1058" customWidth="1"/>
    <col min="4" max="4" width="9" style="1058"/>
    <col min="5" max="5" width="5" style="1058" customWidth="1"/>
    <col min="6" max="6" width="9" style="1058"/>
    <col min="7" max="7" width="5" style="1058" customWidth="1"/>
    <col min="8" max="8" width="9" style="1058"/>
    <col min="9" max="9" width="5" style="1058" customWidth="1"/>
    <col min="10" max="10" width="9" style="1058"/>
    <col min="11" max="11" width="5" style="1058" customWidth="1"/>
    <col min="12" max="12" width="9" style="1058"/>
    <col min="13" max="13" width="5" style="1058" customWidth="1"/>
    <col min="14" max="14" width="9" style="1058"/>
    <col min="15" max="15" width="5" style="1058" customWidth="1"/>
    <col min="16" max="16" width="9" style="1058"/>
    <col min="17" max="17" width="5" style="1058" customWidth="1"/>
    <col min="18" max="18" width="9" style="1058"/>
    <col min="19" max="19" width="9" style="1045"/>
    <col min="20" max="35" width="9" style="237"/>
    <col min="36" max="16384" width="9" style="1045"/>
  </cols>
  <sheetData>
    <row r="1" spans="1:45" s="237" customFormat="1" ht="14.25" customHeight="1" thickBot="1">
      <c r="A1" s="339"/>
      <c r="B1" s="1828" t="s">
        <v>1660</v>
      </c>
      <c r="C1" s="3748" t="s">
        <v>1661</v>
      </c>
      <c r="D1" s="3749"/>
      <c r="E1" s="3749"/>
      <c r="F1" s="3749"/>
      <c r="G1" s="3749"/>
      <c r="H1" s="3749"/>
      <c r="I1" s="3749"/>
      <c r="J1" s="3749"/>
      <c r="K1" s="3749"/>
      <c r="L1" s="3749"/>
      <c r="M1" s="3749"/>
      <c r="N1" s="3749"/>
      <c r="O1" s="3749"/>
      <c r="P1" s="3749"/>
      <c r="Q1" s="3749"/>
      <c r="R1" s="3749"/>
      <c r="S1" s="3750"/>
      <c r="T1" s="1828" t="s">
        <v>1662</v>
      </c>
      <c r="U1" s="1654"/>
      <c r="V1" s="1654"/>
      <c r="W1" s="1654"/>
      <c r="X1" s="1654"/>
      <c r="Y1" s="1654"/>
      <c r="Z1" s="1654"/>
      <c r="AA1" s="1654"/>
      <c r="AB1" s="1654"/>
      <c r="AC1" s="1654"/>
      <c r="AD1" s="1654"/>
      <c r="AE1" s="1654"/>
      <c r="AF1" s="1654"/>
      <c r="AG1" s="1654"/>
      <c r="AH1" s="1654"/>
      <c r="AI1" s="1654"/>
      <c r="AJ1" s="1654"/>
      <c r="AK1" s="1654"/>
      <c r="AL1" s="1654"/>
      <c r="AM1" s="1654"/>
      <c r="AN1" s="1654"/>
      <c r="AO1" s="1654"/>
      <c r="AP1" s="1654"/>
      <c r="AQ1" s="1654"/>
      <c r="AR1" s="1654"/>
      <c r="AS1" s="1654"/>
    </row>
    <row r="2" spans="1:45" s="1628" customFormat="1">
      <c r="A2" s="1829"/>
      <c r="B2" s="2418" t="s">
        <v>1663</v>
      </c>
      <c r="C2" s="24" t="str">
        <f t="shared" ref="C2:L2" si="0">C3&amp;"(含)"&amp;"-"&amp;D3</f>
        <v>(含)-</v>
      </c>
      <c r="D2" s="868" t="str">
        <f t="shared" si="0"/>
        <v>(含)-</v>
      </c>
      <c r="E2" s="868" t="str">
        <f t="shared" si="0"/>
        <v>(含)-</v>
      </c>
      <c r="F2" s="868" t="str">
        <f t="shared" si="0"/>
        <v>(含)-</v>
      </c>
      <c r="G2" s="868" t="str">
        <f t="shared" si="0"/>
        <v>(含)-</v>
      </c>
      <c r="H2" s="868" t="str">
        <f t="shared" si="0"/>
        <v>(含)-</v>
      </c>
      <c r="I2" s="868" t="str">
        <f t="shared" si="0"/>
        <v>(含)-</v>
      </c>
      <c r="J2" s="868" t="str">
        <f t="shared" si="0"/>
        <v>(含)-</v>
      </c>
      <c r="K2" s="868" t="str">
        <f t="shared" si="0"/>
        <v>(含)-</v>
      </c>
      <c r="L2" s="868" t="str">
        <f t="shared" si="0"/>
        <v>(含)-</v>
      </c>
      <c r="M2" s="868" t="str">
        <f t="shared" ref="M2:R2" si="1">M3&amp;"(含)"&amp;"-"&amp;N3</f>
        <v>(含)-</v>
      </c>
      <c r="N2" s="868" t="str">
        <f t="shared" si="1"/>
        <v>(含)-</v>
      </c>
      <c r="O2" s="868" t="str">
        <f t="shared" si="1"/>
        <v>(含)-</v>
      </c>
      <c r="P2" s="868" t="str">
        <f t="shared" si="1"/>
        <v>(含)-</v>
      </c>
      <c r="Q2" s="868" t="str">
        <f t="shared" si="1"/>
        <v>(含)-</v>
      </c>
      <c r="R2" s="868" t="str">
        <f t="shared" si="1"/>
        <v>(含)-</v>
      </c>
      <c r="S2" s="1830" t="str">
        <f>S3&amp;"(含)"&amp;"-"</f>
        <v>(含)-</v>
      </c>
      <c r="T2" s="869"/>
      <c r="U2" s="1831"/>
      <c r="V2" s="1831"/>
      <c r="W2" s="1831"/>
      <c r="X2" s="1831"/>
      <c r="Y2" s="1831"/>
      <c r="Z2" s="1831"/>
      <c r="AA2" s="1831"/>
      <c r="AB2" s="1831"/>
      <c r="AC2" s="1831"/>
      <c r="AD2" s="1831"/>
      <c r="AE2" s="1831"/>
      <c r="AF2" s="1831"/>
      <c r="AG2" s="1831"/>
      <c r="AH2" s="1831"/>
      <c r="AI2" s="1831"/>
      <c r="AJ2" s="1831"/>
      <c r="AK2" s="1831"/>
      <c r="AL2" s="1831"/>
      <c r="AM2" s="1831"/>
      <c r="AN2" s="1831"/>
      <c r="AO2" s="1831"/>
      <c r="AP2" s="1831"/>
      <c r="AQ2" s="1831"/>
      <c r="AR2" s="1831"/>
      <c r="AS2" s="1831"/>
    </row>
    <row r="3" spans="1:45" s="1629" customFormat="1">
      <c r="A3" s="1832"/>
      <c r="B3" s="870"/>
      <c r="C3" s="871"/>
      <c r="D3" s="10"/>
      <c r="E3" s="10"/>
      <c r="F3" s="10"/>
      <c r="G3" s="10"/>
      <c r="H3" s="10"/>
      <c r="I3" s="10"/>
      <c r="J3" s="872"/>
      <c r="K3" s="872"/>
      <c r="L3" s="873"/>
      <c r="M3" s="1833"/>
      <c r="N3" s="1834"/>
      <c r="O3" s="10"/>
      <c r="P3" s="10"/>
      <c r="Q3" s="10"/>
      <c r="R3" s="10"/>
      <c r="S3" s="1835"/>
      <c r="T3" s="874"/>
      <c r="U3" s="1836"/>
      <c r="V3" s="1836"/>
      <c r="W3" s="1836"/>
      <c r="X3" s="1836"/>
      <c r="Y3" s="1836"/>
      <c r="Z3" s="1836"/>
      <c r="AA3" s="1836"/>
      <c r="AB3" s="1836"/>
      <c r="AC3" s="1836"/>
      <c r="AD3" s="1836"/>
      <c r="AE3" s="1836"/>
      <c r="AF3" s="1836"/>
      <c r="AG3" s="1836"/>
      <c r="AH3" s="1836"/>
      <c r="AI3" s="1836"/>
      <c r="AJ3" s="1836"/>
      <c r="AK3" s="1836"/>
      <c r="AL3" s="1836"/>
      <c r="AM3" s="1836"/>
      <c r="AN3" s="1836"/>
      <c r="AO3" s="1836"/>
      <c r="AP3" s="1836"/>
      <c r="AQ3" s="1836"/>
      <c r="AR3" s="1836"/>
      <c r="AS3" s="1836"/>
    </row>
    <row r="4" spans="1:45" s="1629" customFormat="1" ht="13.5" thickBot="1">
      <c r="A4" s="1837"/>
      <c r="B4" s="1838"/>
      <c r="C4" s="1839"/>
      <c r="D4" s="1840"/>
      <c r="E4" s="1840"/>
      <c r="F4" s="1840"/>
      <c r="G4" s="1840"/>
      <c r="H4" s="1840"/>
      <c r="I4" s="1840"/>
      <c r="J4" s="1840"/>
      <c r="K4" s="1840"/>
      <c r="L4" s="1840"/>
      <c r="M4" s="1841"/>
      <c r="N4" s="1842"/>
      <c r="O4" s="1840"/>
      <c r="P4" s="1840"/>
      <c r="Q4" s="1840"/>
      <c r="R4" s="1840"/>
      <c r="S4" s="1843"/>
      <c r="T4" s="1844"/>
      <c r="U4" s="1836"/>
      <c r="V4" s="1836"/>
      <c r="W4" s="1836"/>
      <c r="X4" s="1836"/>
      <c r="Y4" s="1836"/>
      <c r="Z4" s="1836"/>
      <c r="AA4" s="1836"/>
      <c r="AB4" s="1836"/>
      <c r="AC4" s="1836"/>
      <c r="AD4" s="1836"/>
      <c r="AE4" s="1836"/>
      <c r="AF4" s="1836"/>
      <c r="AG4" s="1836"/>
      <c r="AH4" s="1836"/>
      <c r="AI4" s="1836"/>
      <c r="AJ4" s="1836"/>
      <c r="AK4" s="1836"/>
      <c r="AL4" s="1836"/>
      <c r="AM4" s="1836"/>
      <c r="AN4" s="1836"/>
      <c r="AO4" s="1836"/>
      <c r="AP4" s="1836"/>
      <c r="AQ4" s="1836"/>
      <c r="AR4" s="1836"/>
      <c r="AS4" s="1836"/>
    </row>
    <row r="5" spans="1:45" s="53" customFormat="1">
      <c r="A5" s="1845"/>
      <c r="B5" s="2345" t="s">
        <v>2191</v>
      </c>
      <c r="C5" s="1846"/>
      <c r="D5" s="1847"/>
      <c r="E5" s="1847"/>
      <c r="F5" s="1847"/>
      <c r="G5" s="1847"/>
      <c r="H5" s="1847"/>
      <c r="I5" s="1847"/>
      <c r="J5" s="1847"/>
      <c r="K5" s="1847"/>
      <c r="L5" s="1848"/>
      <c r="M5" s="1849"/>
      <c r="N5" s="1849"/>
      <c r="O5" s="1847"/>
      <c r="P5" s="1847"/>
      <c r="Q5" s="1847"/>
      <c r="R5" s="1847"/>
      <c r="S5" s="1850"/>
      <c r="T5" s="1851"/>
      <c r="U5" s="1852"/>
      <c r="V5" s="1852"/>
      <c r="W5" s="1852"/>
      <c r="X5" s="1852"/>
      <c r="Y5" s="1852"/>
      <c r="Z5" s="1852"/>
      <c r="AA5" s="1852"/>
      <c r="AB5" s="1852"/>
      <c r="AC5" s="1852"/>
      <c r="AD5" s="1852"/>
      <c r="AE5" s="1852"/>
      <c r="AF5" s="1852"/>
      <c r="AG5" s="1852"/>
      <c r="AH5" s="1852"/>
      <c r="AI5" s="1852"/>
      <c r="AJ5" s="1852"/>
      <c r="AK5" s="1852"/>
      <c r="AL5" s="1852"/>
      <c r="AM5" s="1852"/>
      <c r="AN5" s="1852"/>
      <c r="AO5" s="1852"/>
      <c r="AP5" s="1852"/>
      <c r="AQ5" s="1852"/>
      <c r="AR5" s="1852"/>
      <c r="AS5" s="1852"/>
    </row>
    <row r="6" spans="1:45" s="53" customFormat="1" ht="13.5" thickBot="1">
      <c r="A6" s="1845"/>
      <c r="B6" s="1622"/>
      <c r="C6" s="1626">
        <v>100</v>
      </c>
      <c r="D6" s="1627">
        <f>C6-$T5</f>
        <v>100</v>
      </c>
      <c r="E6" s="1627">
        <f t="shared" ref="E6:S6" si="2">D6-$T5</f>
        <v>100</v>
      </c>
      <c r="F6" s="1627">
        <f t="shared" si="2"/>
        <v>100</v>
      </c>
      <c r="G6" s="1627">
        <f t="shared" si="2"/>
        <v>100</v>
      </c>
      <c r="H6" s="1627">
        <f t="shared" si="2"/>
        <v>100</v>
      </c>
      <c r="I6" s="1627">
        <f t="shared" si="2"/>
        <v>100</v>
      </c>
      <c r="J6" s="1627">
        <f t="shared" si="2"/>
        <v>100</v>
      </c>
      <c r="K6" s="1627">
        <f t="shared" si="2"/>
        <v>100</v>
      </c>
      <c r="L6" s="1627">
        <f t="shared" si="2"/>
        <v>100</v>
      </c>
      <c r="M6" s="1627">
        <f t="shared" si="2"/>
        <v>100</v>
      </c>
      <c r="N6" s="1627">
        <f t="shared" si="2"/>
        <v>100</v>
      </c>
      <c r="O6" s="1627">
        <f t="shared" si="2"/>
        <v>100</v>
      </c>
      <c r="P6" s="1627">
        <f t="shared" si="2"/>
        <v>100</v>
      </c>
      <c r="Q6" s="1627">
        <f t="shared" si="2"/>
        <v>100</v>
      </c>
      <c r="R6" s="1627">
        <f t="shared" si="2"/>
        <v>100</v>
      </c>
      <c r="S6" s="1627">
        <f t="shared" si="2"/>
        <v>100</v>
      </c>
      <c r="T6" s="1625"/>
      <c r="U6" s="1852"/>
      <c r="V6" s="1852"/>
      <c r="W6" s="1852"/>
      <c r="X6" s="1852"/>
      <c r="Y6" s="1852"/>
      <c r="Z6" s="1852"/>
      <c r="AA6" s="1852"/>
      <c r="AB6" s="1852"/>
      <c r="AC6" s="1852"/>
      <c r="AD6" s="1852"/>
      <c r="AE6" s="1852"/>
      <c r="AF6" s="1852"/>
      <c r="AG6" s="1852"/>
      <c r="AH6" s="1852"/>
      <c r="AI6" s="1852"/>
      <c r="AJ6" s="1852"/>
      <c r="AK6" s="1852"/>
      <c r="AL6" s="1852"/>
      <c r="AM6" s="1852"/>
      <c r="AN6" s="1852"/>
      <c r="AO6" s="1852"/>
      <c r="AP6" s="1852"/>
      <c r="AQ6" s="1852"/>
      <c r="AR6" s="1852"/>
      <c r="AS6" s="1852"/>
    </row>
    <row r="7" spans="1:45" s="53" customFormat="1">
      <c r="A7" s="1845"/>
      <c r="B7" s="2347" t="s">
        <v>2190</v>
      </c>
      <c r="C7" s="1619"/>
      <c r="D7" s="1620"/>
      <c r="E7" s="1620"/>
      <c r="F7" s="1620"/>
      <c r="G7" s="1620"/>
      <c r="H7" s="1620"/>
      <c r="I7" s="1620"/>
      <c r="J7" s="1620"/>
      <c r="K7" s="1620"/>
      <c r="L7" s="1620"/>
      <c r="M7" s="1853"/>
      <c r="N7" s="1854"/>
      <c r="O7" s="1855"/>
      <c r="P7" s="1855"/>
      <c r="Q7" s="1856"/>
      <c r="R7" s="1857"/>
      <c r="S7" s="1858"/>
      <c r="T7" s="875"/>
      <c r="U7" s="1852"/>
      <c r="V7" s="1852"/>
      <c r="W7" s="1852"/>
      <c r="X7" s="1852"/>
      <c r="Y7" s="1852"/>
      <c r="Z7" s="1852"/>
      <c r="AA7" s="1852"/>
      <c r="AB7" s="1852"/>
      <c r="AC7" s="1852"/>
      <c r="AD7" s="1852"/>
      <c r="AE7" s="1852"/>
      <c r="AF7" s="1852"/>
      <c r="AG7" s="1852"/>
      <c r="AH7" s="1852"/>
      <c r="AI7" s="1852"/>
      <c r="AJ7" s="1852"/>
      <c r="AK7" s="1852"/>
      <c r="AL7" s="1852"/>
      <c r="AM7" s="1852"/>
      <c r="AN7" s="1852"/>
      <c r="AO7" s="1852"/>
      <c r="AP7" s="1852"/>
      <c r="AQ7" s="1852"/>
      <c r="AR7" s="1852"/>
      <c r="AS7" s="1852"/>
    </row>
    <row r="8" spans="1:45" s="53" customFormat="1" ht="13.5" thickBot="1">
      <c r="A8" s="1845"/>
      <c r="B8" s="1622"/>
      <c r="C8" s="1626">
        <v>100</v>
      </c>
      <c r="D8" s="1627">
        <f>C8-$T7</f>
        <v>100</v>
      </c>
      <c r="E8" s="1627">
        <f t="shared" ref="E8:S8" si="3">D8-$T7</f>
        <v>100</v>
      </c>
      <c r="F8" s="1627">
        <f t="shared" si="3"/>
        <v>100</v>
      </c>
      <c r="G8" s="1627">
        <f t="shared" si="3"/>
        <v>100</v>
      </c>
      <c r="H8" s="1627">
        <f t="shared" si="3"/>
        <v>100</v>
      </c>
      <c r="I8" s="1627">
        <f t="shared" si="3"/>
        <v>100</v>
      </c>
      <c r="J8" s="1627">
        <f t="shared" si="3"/>
        <v>100</v>
      </c>
      <c r="K8" s="1627">
        <f t="shared" si="3"/>
        <v>100</v>
      </c>
      <c r="L8" s="1627">
        <f t="shared" si="3"/>
        <v>100</v>
      </c>
      <c r="M8" s="1627">
        <f t="shared" si="3"/>
        <v>100</v>
      </c>
      <c r="N8" s="1627">
        <f t="shared" si="3"/>
        <v>100</v>
      </c>
      <c r="O8" s="1627">
        <f t="shared" si="3"/>
        <v>100</v>
      </c>
      <c r="P8" s="1627">
        <f t="shared" si="3"/>
        <v>100</v>
      </c>
      <c r="Q8" s="1627">
        <f t="shared" si="3"/>
        <v>100</v>
      </c>
      <c r="R8" s="1627">
        <f t="shared" si="3"/>
        <v>100</v>
      </c>
      <c r="S8" s="1627">
        <f t="shared" si="3"/>
        <v>100</v>
      </c>
      <c r="T8" s="1625"/>
      <c r="U8" s="1852"/>
      <c r="V8" s="1852"/>
      <c r="W8" s="1852"/>
      <c r="X8" s="1852"/>
      <c r="Y8" s="1852"/>
      <c r="Z8" s="1852"/>
      <c r="AA8" s="1852"/>
      <c r="AB8" s="1852"/>
      <c r="AC8" s="1852"/>
      <c r="AD8" s="1852"/>
      <c r="AE8" s="1852"/>
      <c r="AF8" s="1852"/>
      <c r="AG8" s="1852"/>
      <c r="AH8" s="1852"/>
      <c r="AI8" s="1852"/>
      <c r="AJ8" s="1852"/>
      <c r="AK8" s="1852"/>
      <c r="AL8" s="1852"/>
      <c r="AM8" s="1852"/>
      <c r="AN8" s="1852"/>
      <c r="AO8" s="1852"/>
      <c r="AP8" s="1852"/>
      <c r="AQ8" s="1852"/>
      <c r="AR8" s="1852"/>
      <c r="AS8" s="1852"/>
    </row>
    <row r="9" spans="1:45" s="53" customFormat="1">
      <c r="A9" s="1845"/>
      <c r="B9" s="2347" t="s">
        <v>2189</v>
      </c>
      <c r="C9" s="1619"/>
      <c r="D9" s="1620"/>
      <c r="E9" s="1620"/>
      <c r="F9" s="1620"/>
      <c r="G9" s="1620"/>
      <c r="H9" s="1620"/>
      <c r="I9" s="1620"/>
      <c r="J9" s="1620"/>
      <c r="K9" s="1620"/>
      <c r="L9" s="1621"/>
      <c r="M9" s="1853"/>
      <c r="N9" s="1854"/>
      <c r="O9" s="1855"/>
      <c r="P9" s="1855"/>
      <c r="Q9" s="1856"/>
      <c r="R9" s="1857"/>
      <c r="S9" s="1858"/>
      <c r="T9" s="875"/>
      <c r="U9" s="1852"/>
      <c r="V9" s="1852"/>
      <c r="W9" s="1852"/>
      <c r="X9" s="1852"/>
      <c r="Y9" s="1852"/>
      <c r="Z9" s="1852"/>
      <c r="AA9" s="1852"/>
      <c r="AB9" s="1852"/>
      <c r="AC9" s="1852"/>
      <c r="AD9" s="1852"/>
      <c r="AE9" s="1852"/>
      <c r="AF9" s="1852"/>
      <c r="AG9" s="1852"/>
      <c r="AH9" s="1852"/>
      <c r="AI9" s="1852"/>
      <c r="AJ9" s="1852"/>
      <c r="AK9" s="1852"/>
      <c r="AL9" s="1852"/>
      <c r="AM9" s="1852"/>
      <c r="AN9" s="1852"/>
      <c r="AO9" s="1852"/>
      <c r="AP9" s="1852"/>
      <c r="AQ9" s="1852"/>
      <c r="AR9" s="1852"/>
      <c r="AS9" s="1852"/>
    </row>
    <row r="10" spans="1:45" s="53" customFormat="1" ht="13.5" thickBot="1">
      <c r="A10" s="1845"/>
      <c r="B10" s="2346"/>
      <c r="C10" s="1859">
        <v>100</v>
      </c>
      <c r="D10" s="1860">
        <f>C10-$T9</f>
        <v>100</v>
      </c>
      <c r="E10" s="1860">
        <f t="shared" ref="E10:S10" si="4">D10-$T9</f>
        <v>100</v>
      </c>
      <c r="F10" s="1860">
        <f t="shared" si="4"/>
        <v>100</v>
      </c>
      <c r="G10" s="1860">
        <f t="shared" si="4"/>
        <v>100</v>
      </c>
      <c r="H10" s="1860">
        <f t="shared" si="4"/>
        <v>100</v>
      </c>
      <c r="I10" s="1860">
        <f t="shared" si="4"/>
        <v>100</v>
      </c>
      <c r="J10" s="1860">
        <f t="shared" si="4"/>
        <v>100</v>
      </c>
      <c r="K10" s="1860">
        <f t="shared" si="4"/>
        <v>100</v>
      </c>
      <c r="L10" s="1860">
        <f t="shared" si="4"/>
        <v>100</v>
      </c>
      <c r="M10" s="1860">
        <f t="shared" si="4"/>
        <v>100</v>
      </c>
      <c r="N10" s="1860">
        <f t="shared" si="4"/>
        <v>100</v>
      </c>
      <c r="O10" s="1860">
        <f t="shared" si="4"/>
        <v>100</v>
      </c>
      <c r="P10" s="1860">
        <f t="shared" si="4"/>
        <v>100</v>
      </c>
      <c r="Q10" s="1860">
        <f t="shared" si="4"/>
        <v>100</v>
      </c>
      <c r="R10" s="1860">
        <f t="shared" si="4"/>
        <v>100</v>
      </c>
      <c r="S10" s="1860">
        <f t="shared" si="4"/>
        <v>100</v>
      </c>
      <c r="T10" s="1844"/>
      <c r="U10" s="1852"/>
      <c r="V10" s="1852"/>
      <c r="W10" s="1852"/>
      <c r="X10" s="1852"/>
      <c r="Y10" s="1852"/>
      <c r="Z10" s="1852"/>
      <c r="AA10" s="1852"/>
      <c r="AB10" s="1852"/>
      <c r="AC10" s="1852"/>
      <c r="AD10" s="1852"/>
      <c r="AE10" s="1852"/>
      <c r="AF10" s="1852"/>
      <c r="AG10" s="1852"/>
      <c r="AH10" s="1852"/>
      <c r="AI10" s="1852"/>
      <c r="AJ10" s="1852"/>
      <c r="AK10" s="1852"/>
      <c r="AL10" s="1852"/>
      <c r="AM10" s="1852"/>
      <c r="AN10" s="1852"/>
      <c r="AO10" s="1852"/>
      <c r="AP10" s="1852"/>
      <c r="AQ10" s="1852"/>
      <c r="AR10" s="1852"/>
      <c r="AS10" s="1852"/>
    </row>
    <row r="11" spans="1:45" s="53" customFormat="1">
      <c r="A11" s="1845"/>
      <c r="B11" s="2345" t="s">
        <v>2202</v>
      </c>
      <c r="C11" s="1846"/>
      <c r="D11" s="1847"/>
      <c r="E11" s="1847"/>
      <c r="F11" s="1847"/>
      <c r="G11" s="1847"/>
      <c r="H11" s="1847"/>
      <c r="I11" s="1847"/>
      <c r="J11" s="1847"/>
      <c r="K11" s="1847"/>
      <c r="L11" s="1847"/>
      <c r="M11" s="1849"/>
      <c r="N11" s="1861"/>
      <c r="O11" s="1862"/>
      <c r="P11" s="1862"/>
      <c r="Q11" s="1863"/>
      <c r="R11" s="1864"/>
      <c r="S11" s="1865"/>
      <c r="T11" s="1851"/>
      <c r="U11" s="1852"/>
      <c r="V11" s="1852"/>
      <c r="W11" s="1852"/>
      <c r="X11" s="1852"/>
      <c r="Y11" s="1852"/>
      <c r="Z11" s="1852"/>
      <c r="AA11" s="1852"/>
      <c r="AB11" s="1852"/>
      <c r="AC11" s="1852"/>
      <c r="AD11" s="1852"/>
      <c r="AE11" s="1852"/>
      <c r="AF11" s="1852"/>
      <c r="AG11" s="1852"/>
      <c r="AH11" s="1852"/>
      <c r="AI11" s="1852"/>
      <c r="AJ11" s="1852"/>
      <c r="AK11" s="1852"/>
      <c r="AL11" s="1852"/>
      <c r="AM11" s="1852"/>
      <c r="AN11" s="1852"/>
      <c r="AO11" s="1852"/>
      <c r="AP11" s="1852"/>
      <c r="AQ11" s="1852"/>
      <c r="AR11" s="1852"/>
      <c r="AS11" s="1852"/>
    </row>
    <row r="12" spans="1:45" s="53" customFormat="1" ht="13.5" thickBot="1">
      <c r="A12" s="1845"/>
      <c r="B12" s="1622"/>
      <c r="C12" s="1626">
        <v>100</v>
      </c>
      <c r="D12" s="1627">
        <f>C12-$T11</f>
        <v>100</v>
      </c>
      <c r="E12" s="1627">
        <f t="shared" ref="E12:S12" si="5">D12-$T11</f>
        <v>100</v>
      </c>
      <c r="F12" s="1627">
        <f t="shared" si="5"/>
        <v>100</v>
      </c>
      <c r="G12" s="1627">
        <f t="shared" si="5"/>
        <v>100</v>
      </c>
      <c r="H12" s="1627">
        <f t="shared" si="5"/>
        <v>100</v>
      </c>
      <c r="I12" s="1627">
        <f t="shared" si="5"/>
        <v>100</v>
      </c>
      <c r="J12" s="1627">
        <f t="shared" si="5"/>
        <v>100</v>
      </c>
      <c r="K12" s="1627">
        <f t="shared" si="5"/>
        <v>100</v>
      </c>
      <c r="L12" s="1627">
        <f t="shared" si="5"/>
        <v>100</v>
      </c>
      <c r="M12" s="1627">
        <f t="shared" si="5"/>
        <v>100</v>
      </c>
      <c r="N12" s="1627">
        <f t="shared" si="5"/>
        <v>100</v>
      </c>
      <c r="O12" s="1627">
        <f t="shared" si="5"/>
        <v>100</v>
      </c>
      <c r="P12" s="1627">
        <f t="shared" si="5"/>
        <v>100</v>
      </c>
      <c r="Q12" s="1627">
        <f t="shared" si="5"/>
        <v>100</v>
      </c>
      <c r="R12" s="1627">
        <f t="shared" si="5"/>
        <v>100</v>
      </c>
      <c r="S12" s="1627">
        <f t="shared" si="5"/>
        <v>100</v>
      </c>
      <c r="T12" s="1625"/>
      <c r="U12" s="1852"/>
      <c r="V12" s="1852"/>
      <c r="W12" s="1852"/>
      <c r="X12" s="1852"/>
      <c r="Y12" s="1852"/>
      <c r="Z12" s="1852"/>
      <c r="AA12" s="1852"/>
      <c r="AB12" s="1852"/>
      <c r="AC12" s="1852"/>
      <c r="AD12" s="1852"/>
      <c r="AE12" s="1852"/>
      <c r="AF12" s="1852"/>
      <c r="AG12" s="1852"/>
      <c r="AH12" s="1852"/>
      <c r="AI12" s="1852"/>
      <c r="AJ12" s="1852"/>
      <c r="AK12" s="1852"/>
      <c r="AL12" s="1852"/>
      <c r="AM12" s="1852"/>
      <c r="AN12" s="1852"/>
      <c r="AO12" s="1852"/>
      <c r="AP12" s="1852"/>
      <c r="AQ12" s="1852"/>
      <c r="AR12" s="1852"/>
      <c r="AS12" s="1852"/>
    </row>
    <row r="13" spans="1:45" s="53" customFormat="1">
      <c r="A13" s="1845"/>
      <c r="B13" s="2345" t="s">
        <v>2188</v>
      </c>
      <c r="C13" s="1846"/>
      <c r="D13" s="1847"/>
      <c r="E13" s="1847"/>
      <c r="F13" s="1847"/>
      <c r="G13" s="1847"/>
      <c r="H13" s="1847"/>
      <c r="I13" s="1847"/>
      <c r="J13" s="1847"/>
      <c r="K13" s="1847"/>
      <c r="L13" s="1847"/>
      <c r="M13" s="1849"/>
      <c r="N13" s="1861"/>
      <c r="O13" s="1862"/>
      <c r="P13" s="1862"/>
      <c r="Q13" s="1863"/>
      <c r="R13" s="1864"/>
      <c r="S13" s="1865"/>
      <c r="T13" s="1866"/>
      <c r="U13" s="1852"/>
      <c r="V13" s="1852"/>
      <c r="W13" s="1852"/>
      <c r="X13" s="1852"/>
      <c r="Y13" s="1852"/>
      <c r="Z13" s="1852"/>
      <c r="AA13" s="1852"/>
      <c r="AB13" s="1852"/>
      <c r="AC13" s="1852"/>
      <c r="AD13" s="1852"/>
      <c r="AE13" s="1852"/>
      <c r="AF13" s="1852"/>
      <c r="AG13" s="1852"/>
      <c r="AH13" s="1852"/>
      <c r="AI13" s="1852"/>
      <c r="AJ13" s="1852"/>
      <c r="AK13" s="1852"/>
      <c r="AL13" s="1852"/>
      <c r="AM13" s="1852"/>
      <c r="AN13" s="1852"/>
      <c r="AO13" s="1852"/>
      <c r="AP13" s="1852"/>
      <c r="AQ13" s="1852"/>
      <c r="AR13" s="1852"/>
      <c r="AS13" s="1852"/>
    </row>
    <row r="14" spans="1:45" s="53" customFormat="1" ht="13.5" thickBot="1">
      <c r="A14" s="1845"/>
      <c r="B14" s="1622"/>
      <c r="C14" s="1623"/>
      <c r="D14" s="1624"/>
      <c r="E14" s="1624"/>
      <c r="F14" s="1624"/>
      <c r="G14" s="1624"/>
      <c r="H14" s="1624"/>
      <c r="I14" s="1624"/>
      <c r="J14" s="1624"/>
      <c r="K14" s="1624"/>
      <c r="L14" s="1624"/>
      <c r="M14" s="1867"/>
      <c r="N14" s="1867"/>
      <c r="O14" s="1624"/>
      <c r="P14" s="1624"/>
      <c r="Q14" s="1624"/>
      <c r="R14" s="1624"/>
      <c r="S14" s="1868"/>
      <c r="T14" s="1625"/>
      <c r="U14" s="1852"/>
      <c r="V14" s="1852"/>
      <c r="W14" s="1852"/>
      <c r="X14" s="1852"/>
      <c r="Y14" s="1852"/>
      <c r="Z14" s="1852"/>
      <c r="AA14" s="1852"/>
      <c r="AB14" s="1852"/>
      <c r="AC14" s="1852"/>
      <c r="AD14" s="1852"/>
      <c r="AE14" s="1852"/>
      <c r="AF14" s="1852"/>
      <c r="AG14" s="1852"/>
      <c r="AH14" s="1852"/>
      <c r="AI14" s="1852"/>
      <c r="AJ14" s="1852"/>
      <c r="AK14" s="1852"/>
      <c r="AL14" s="1852"/>
      <c r="AM14" s="1852"/>
      <c r="AN14" s="1852"/>
      <c r="AO14" s="1852"/>
      <c r="AP14" s="1852"/>
      <c r="AQ14" s="1852"/>
      <c r="AR14" s="1852"/>
      <c r="AS14" s="1852"/>
    </row>
    <row r="15" spans="1:45" s="53" customFormat="1">
      <c r="A15" s="1845"/>
      <c r="B15" s="2345" t="s">
        <v>2187</v>
      </c>
      <c r="C15" s="1846"/>
      <c r="D15" s="1847"/>
      <c r="E15" s="1847"/>
      <c r="F15" s="1847"/>
      <c r="G15" s="1847"/>
      <c r="H15" s="1847"/>
      <c r="I15" s="1847"/>
      <c r="J15" s="1847"/>
      <c r="K15" s="1847"/>
      <c r="L15" s="1847"/>
      <c r="M15" s="1849"/>
      <c r="N15" s="1861"/>
      <c r="O15" s="1862"/>
      <c r="P15" s="1862"/>
      <c r="Q15" s="1863"/>
      <c r="R15" s="1864"/>
      <c r="S15" s="1865"/>
      <c r="T15" s="1866"/>
      <c r="U15" s="1852"/>
      <c r="V15" s="1852"/>
      <c r="W15" s="1852"/>
      <c r="X15" s="1852"/>
      <c r="Y15" s="1852"/>
      <c r="Z15" s="1852"/>
      <c r="AA15" s="1852"/>
      <c r="AB15" s="1852"/>
      <c r="AC15" s="1852"/>
      <c r="AD15" s="1852"/>
      <c r="AE15" s="1852"/>
      <c r="AF15" s="1852"/>
      <c r="AG15" s="1852"/>
      <c r="AH15" s="1852"/>
      <c r="AI15" s="1852"/>
      <c r="AJ15" s="1852"/>
      <c r="AK15" s="1852"/>
      <c r="AL15" s="1852"/>
      <c r="AM15" s="1852"/>
      <c r="AN15" s="1852"/>
      <c r="AO15" s="1852"/>
      <c r="AP15" s="1852"/>
      <c r="AQ15" s="1852"/>
      <c r="AR15" s="1852"/>
      <c r="AS15" s="1852"/>
    </row>
    <row r="16" spans="1:45" s="53" customFormat="1" ht="13.5" thickBot="1">
      <c r="A16" s="1845"/>
      <c r="B16" s="1838"/>
      <c r="C16" s="1839"/>
      <c r="D16" s="1840"/>
      <c r="E16" s="1840"/>
      <c r="F16" s="1840"/>
      <c r="G16" s="1840"/>
      <c r="H16" s="1840"/>
      <c r="I16" s="1840"/>
      <c r="J16" s="1840"/>
      <c r="K16" s="1840"/>
      <c r="L16" s="1840"/>
      <c r="M16" s="1841"/>
      <c r="N16" s="1841"/>
      <c r="O16" s="1840"/>
      <c r="P16" s="1840"/>
      <c r="Q16" s="1840"/>
      <c r="R16" s="1840"/>
      <c r="S16" s="1843"/>
      <c r="T16" s="1844"/>
      <c r="U16" s="1852"/>
      <c r="V16" s="1852"/>
      <c r="W16" s="1852"/>
      <c r="X16" s="1852"/>
      <c r="Y16" s="1852"/>
      <c r="Z16" s="1852"/>
      <c r="AA16" s="1852"/>
      <c r="AB16" s="1852"/>
      <c r="AC16" s="1852"/>
      <c r="AD16" s="1852"/>
      <c r="AE16" s="1852"/>
      <c r="AF16" s="1852"/>
      <c r="AG16" s="1852"/>
      <c r="AH16" s="1852"/>
      <c r="AI16" s="1852"/>
      <c r="AJ16" s="1852"/>
      <c r="AK16" s="1852"/>
      <c r="AL16" s="1852"/>
      <c r="AM16" s="1852"/>
      <c r="AN16" s="1852"/>
      <c r="AO16" s="1852"/>
      <c r="AP16" s="1852"/>
      <c r="AQ16" s="1852"/>
      <c r="AR16" s="1852"/>
      <c r="AS16" s="1852"/>
    </row>
    <row r="17" spans="1:45" s="1628" customFormat="1">
      <c r="A17" s="1869" t="s">
        <v>1664</v>
      </c>
      <c r="B17" s="1870" t="s">
        <v>1665</v>
      </c>
      <c r="C17" s="1871"/>
      <c r="D17" s="1872"/>
      <c r="E17" s="1872"/>
      <c r="F17" s="1872"/>
      <c r="G17" s="1872"/>
      <c r="H17" s="1872"/>
      <c r="I17" s="1872"/>
      <c r="J17" s="1872"/>
      <c r="K17" s="1872"/>
      <c r="L17" s="1873"/>
      <c r="M17" s="1874"/>
      <c r="N17" s="1875"/>
      <c r="O17" s="1876"/>
      <c r="P17" s="1876"/>
      <c r="Q17" s="1877"/>
      <c r="R17" s="1878"/>
      <c r="S17" s="1879"/>
      <c r="T17" s="1879"/>
      <c r="U17" s="1879"/>
      <c r="V17" s="1879"/>
      <c r="W17" s="1879"/>
      <c r="X17" s="1879"/>
      <c r="Y17" s="1879"/>
      <c r="Z17" s="1879"/>
      <c r="AA17" s="1879"/>
      <c r="AB17" s="1879"/>
      <c r="AC17" s="1879"/>
      <c r="AD17" s="1879"/>
      <c r="AE17" s="1879"/>
      <c r="AF17" s="1879"/>
      <c r="AG17" s="1879"/>
      <c r="AH17" s="1879"/>
      <c r="AI17" s="1879"/>
      <c r="AJ17" s="1879"/>
      <c r="AK17" s="1879"/>
      <c r="AL17" s="1879"/>
      <c r="AM17" s="1879"/>
      <c r="AN17" s="1879"/>
      <c r="AO17" s="1879"/>
      <c r="AP17" s="1879"/>
      <c r="AQ17" s="1879"/>
      <c r="AR17" s="1831"/>
      <c r="AS17" s="1831"/>
    </row>
    <row r="18" spans="1:45" s="1628" customFormat="1" ht="13.5" thickBot="1">
      <c r="A18" s="1880"/>
      <c r="B18" s="1881"/>
      <c r="C18" s="1882"/>
      <c r="D18" s="1883"/>
      <c r="E18" s="1883"/>
      <c r="F18" s="1883"/>
      <c r="G18" s="1883"/>
      <c r="H18" s="1883"/>
      <c r="I18" s="1883"/>
      <c r="J18" s="1883"/>
      <c r="K18" s="1883"/>
      <c r="L18" s="1883"/>
      <c r="M18" s="1884"/>
      <c r="N18" s="1884"/>
      <c r="O18" s="1883"/>
      <c r="P18" s="1883"/>
      <c r="Q18" s="1883"/>
      <c r="R18" s="1883"/>
      <c r="S18" s="1885"/>
      <c r="T18" s="1885"/>
      <c r="U18" s="1885"/>
      <c r="V18" s="1885"/>
      <c r="W18" s="1885"/>
      <c r="X18" s="1885"/>
      <c r="Y18" s="1885"/>
      <c r="Z18" s="1885"/>
      <c r="AA18" s="1885"/>
      <c r="AB18" s="1885"/>
      <c r="AC18" s="1885"/>
      <c r="AD18" s="1885"/>
      <c r="AE18" s="1885"/>
      <c r="AF18" s="1885"/>
      <c r="AG18" s="1885"/>
      <c r="AH18" s="1885"/>
      <c r="AI18" s="1885"/>
      <c r="AJ18" s="1885"/>
      <c r="AK18" s="1885"/>
      <c r="AL18" s="1885"/>
      <c r="AM18" s="1885"/>
      <c r="AN18" s="1885"/>
      <c r="AO18" s="1885"/>
      <c r="AP18" s="1885"/>
      <c r="AQ18" s="1885"/>
      <c r="AR18" s="1831"/>
      <c r="AS18" s="1831"/>
    </row>
    <row r="19" spans="1:45">
      <c r="A19" s="287"/>
      <c r="B19" s="867"/>
      <c r="C19" s="1638"/>
      <c r="D19" s="1638"/>
      <c r="E19" s="1638"/>
      <c r="F19" s="1638"/>
      <c r="G19" s="1638"/>
      <c r="H19" s="1638"/>
      <c r="I19" s="1638"/>
      <c r="J19" s="1638"/>
      <c r="K19" s="1638"/>
      <c r="L19" s="1638"/>
      <c r="M19" s="1638"/>
      <c r="N19" s="1638"/>
      <c r="O19" s="1638"/>
      <c r="P19" s="1638"/>
      <c r="Q19" s="1638"/>
      <c r="R19" s="1638"/>
      <c r="S19" s="1636"/>
    </row>
    <row r="20" spans="1:45" ht="15.75">
      <c r="A20" s="876" t="s">
        <v>768</v>
      </c>
      <c r="B20" s="710">
        <f>S22</f>
        <v>0</v>
      </c>
      <c r="C20" s="1638"/>
      <c r="D20" s="1638"/>
      <c r="E20" s="1638"/>
      <c r="F20" s="1638"/>
      <c r="G20" s="1638"/>
      <c r="H20" s="1638"/>
      <c r="I20" s="1638"/>
      <c r="J20" s="1638"/>
      <c r="K20" s="1638"/>
      <c r="L20" s="1638"/>
      <c r="M20" s="1638"/>
      <c r="N20" s="1638"/>
      <c r="O20" s="1638"/>
      <c r="P20" s="1638"/>
      <c r="Q20" s="1638"/>
      <c r="R20" s="1638"/>
      <c r="S20" s="1636"/>
    </row>
    <row r="21" spans="1:45" ht="15.75">
      <c r="A21" s="876" t="str">
        <f>IF(B23="土地面积","地面单价","楼面单价")</f>
        <v>楼面单价</v>
      </c>
      <c r="B21" s="710" t="e">
        <f>R22</f>
        <v>#DIV/0!</v>
      </c>
      <c r="C21" s="1638"/>
      <c r="D21" s="1638"/>
      <c r="E21" s="1638"/>
      <c r="F21" s="1638"/>
      <c r="G21" s="1638"/>
      <c r="H21" s="1638"/>
      <c r="I21" s="1638"/>
      <c r="J21" s="1638"/>
      <c r="K21" s="1638"/>
      <c r="L21" s="1638"/>
      <c r="M21" s="1638"/>
      <c r="N21" s="1638"/>
      <c r="O21" s="1638"/>
      <c r="P21" s="1638"/>
      <c r="Q21" s="1638"/>
      <c r="R21" s="1638"/>
      <c r="S21" s="1636"/>
    </row>
    <row r="22" spans="1:45">
      <c r="A22" s="734" t="s">
        <v>769</v>
      </c>
      <c r="B22" s="49">
        <f>SUM(B24:B10000)</f>
        <v>0</v>
      </c>
      <c r="C22" s="3745" t="s">
        <v>14</v>
      </c>
      <c r="D22" s="3746"/>
      <c r="E22" s="3746"/>
      <c r="F22" s="3746"/>
      <c r="G22" s="3746"/>
      <c r="H22" s="3746"/>
      <c r="I22" s="3746"/>
      <c r="J22" s="3746"/>
      <c r="K22" s="3746"/>
      <c r="L22" s="3746"/>
      <c r="M22" s="3746"/>
      <c r="N22" s="3746"/>
      <c r="O22" s="3746"/>
      <c r="P22" s="3746"/>
      <c r="Q22" s="3747"/>
      <c r="R22" s="49" t="e">
        <f>ROUND(S22*10000/B22,0)</f>
        <v>#DIV/0!</v>
      </c>
      <c r="S22" s="49">
        <f>SUM(S24:S10000)</f>
        <v>0</v>
      </c>
    </row>
    <row r="23" spans="1:45" s="1337" customFormat="1" ht="24">
      <c r="A23" s="14" t="s">
        <v>770</v>
      </c>
      <c r="B23" s="2419" t="s">
        <v>2210</v>
      </c>
      <c r="C23" s="14" t="s">
        <v>771</v>
      </c>
      <c r="D23" s="14" t="str">
        <f>B5</f>
        <v>修正项2</v>
      </c>
      <c r="E23" s="14" t="s">
        <v>771</v>
      </c>
      <c r="F23" s="14" t="str">
        <f>B7</f>
        <v>修正项3</v>
      </c>
      <c r="G23" s="14" t="s">
        <v>771</v>
      </c>
      <c r="H23" s="14" t="str">
        <f>B9</f>
        <v>修正项4</v>
      </c>
      <c r="I23" s="14" t="s">
        <v>771</v>
      </c>
      <c r="J23" s="14" t="str">
        <f>B11</f>
        <v>修正项5</v>
      </c>
      <c r="K23" s="14" t="s">
        <v>771</v>
      </c>
      <c r="L23" s="14" t="str">
        <f>B13</f>
        <v>修正项6</v>
      </c>
      <c r="M23" s="14" t="s">
        <v>771</v>
      </c>
      <c r="N23" s="14" t="str">
        <f>B15</f>
        <v>修正项7</v>
      </c>
      <c r="O23" s="14" t="s">
        <v>771</v>
      </c>
      <c r="P23" s="14" t="str">
        <f>B17</f>
        <v>楼层</v>
      </c>
      <c r="Q23" s="14" t="s">
        <v>771</v>
      </c>
      <c r="R23" s="14" t="s">
        <v>772</v>
      </c>
      <c r="S23" s="14" t="s">
        <v>773</v>
      </c>
      <c r="T23" s="15"/>
      <c r="U23" s="15"/>
      <c r="V23" s="15"/>
      <c r="W23" s="15"/>
      <c r="X23" s="15"/>
      <c r="Y23" s="15"/>
      <c r="Z23" s="15"/>
      <c r="AA23" s="15"/>
      <c r="AB23" s="15"/>
      <c r="AC23" s="15"/>
      <c r="AD23" s="15"/>
      <c r="AE23" s="15"/>
      <c r="AF23" s="15"/>
      <c r="AG23" s="15"/>
      <c r="AH23" s="15"/>
      <c r="AI23" s="15"/>
    </row>
    <row r="24" spans="1:45" s="1338" customFormat="1">
      <c r="A24" s="877" t="s">
        <v>774</v>
      </c>
      <c r="B24" s="877"/>
      <c r="C24" s="2775">
        <v>1</v>
      </c>
      <c r="D24" s="2776"/>
      <c r="E24" s="2775">
        <v>1</v>
      </c>
      <c r="F24" s="2776"/>
      <c r="G24" s="2775">
        <v>1</v>
      </c>
      <c r="H24" s="2776"/>
      <c r="I24" s="2775">
        <v>1</v>
      </c>
      <c r="J24" s="2776"/>
      <c r="K24" s="2775">
        <v>1</v>
      </c>
      <c r="L24" s="2776"/>
      <c r="M24" s="2775">
        <v>1</v>
      </c>
      <c r="N24" s="2776"/>
      <c r="O24" s="2775">
        <v>1</v>
      </c>
      <c r="P24" s="2776"/>
      <c r="Q24" s="2775">
        <v>1</v>
      </c>
      <c r="R24" s="877"/>
      <c r="S24" s="878">
        <f t="shared" ref="S24:S54" si="6">ROUND(R24*B24/10000,0)</f>
        <v>0</v>
      </c>
      <c r="T24" s="1630"/>
      <c r="U24" s="1630"/>
      <c r="V24" s="1630"/>
      <c r="W24" s="1630"/>
      <c r="X24" s="1630"/>
      <c r="Y24" s="1630"/>
      <c r="Z24" s="1630"/>
      <c r="AA24" s="1630"/>
      <c r="AB24" s="1630"/>
      <c r="AC24" s="1630"/>
      <c r="AD24" s="1630"/>
      <c r="AE24" s="1630"/>
      <c r="AF24" s="1630"/>
      <c r="AG24" s="1630"/>
      <c r="AH24" s="1630"/>
      <c r="AI24" s="1630"/>
    </row>
    <row r="25" spans="1:45">
      <c r="A25" s="880"/>
      <c r="B25" s="126"/>
      <c r="C25" s="49">
        <f>IF(B25="",1,(LOOKUP(B25,$3:$3,$4:$4)-LOOKUP($B$24,$3:$3,$4:$4)+100)/100)</f>
        <v>1</v>
      </c>
      <c r="D25" s="879"/>
      <c r="E25" s="49">
        <f>(SUMIF($5:$5,D25,$6:$6)-SUMIF($5:$5,$D$24,$6:$6)+100)/100</f>
        <v>1</v>
      </c>
      <c r="F25" s="879"/>
      <c r="G25" s="49">
        <f>(SUMIF($7:$7,F25,$8:$8)-SUMIF($7:$7,$F$24,$8:$8)+100)/100</f>
        <v>1</v>
      </c>
      <c r="H25" s="879"/>
      <c r="I25" s="49">
        <f>(SUMIF($9:$9,H25,$10:$10)-SUMIF($9:$9,$H$24,$10:$10)+100)/100</f>
        <v>1</v>
      </c>
      <c r="J25" s="879"/>
      <c r="K25" s="49">
        <f>(SUMIF($11:$11,J25,$12:$12)-SUMIF($11:$11,$J$24,$12:$12)+100)/100</f>
        <v>1</v>
      </c>
      <c r="L25" s="879"/>
      <c r="M25" s="49">
        <f>(SUMIF($13:$13,L25,$14:$14)-SUMIF($13:$13,$L$24,$14:$14)+100)/100</f>
        <v>1</v>
      </c>
      <c r="N25" s="879"/>
      <c r="O25" s="49">
        <f>(SUMIF($15:$15,N25,$16:$16)-SUMIF($15:$15,$N$24,$16:$16)+100)/100</f>
        <v>1</v>
      </c>
      <c r="P25" s="879"/>
      <c r="Q25" s="49">
        <f>(SUMIF($17:$17,P25,$18:$18)-SUMIF($17:$17,$P$24,$18:$18)+100)/100</f>
        <v>1</v>
      </c>
      <c r="R25" s="49">
        <f>IF(B25="",0,ROUND($R$24*C25*E25*G25*I25*K25*M25*O25*Q25,0))</f>
        <v>0</v>
      </c>
      <c r="S25" s="734">
        <f t="shared" si="6"/>
        <v>0</v>
      </c>
    </row>
    <row r="26" spans="1:45">
      <c r="A26" s="880"/>
      <c r="B26" s="126"/>
      <c r="C26" s="49">
        <f t="shared" ref="C26:C89" si="7">IF(B26="",1,(LOOKUP(B26,$3:$3,$4:$4)-LOOKUP($B$24,$3:$3,$4:$4)+100)/100)</f>
        <v>1</v>
      </c>
      <c r="D26" s="879"/>
      <c r="E26" s="49">
        <f t="shared" ref="E26:E89" si="8">(SUMIF($5:$5,D26,$6:$6)-SUMIF($5:$5,$D$24,$6:$6)+100)/100</f>
        <v>1</v>
      </c>
      <c r="F26" s="879"/>
      <c r="G26" s="49">
        <f t="shared" ref="G26:G89" si="9">(SUMIF($7:$7,F26,$8:$8)-SUMIF($7:$7,$F$24,$8:$8)+100)/100</f>
        <v>1</v>
      </c>
      <c r="H26" s="879"/>
      <c r="I26" s="49">
        <f t="shared" ref="I26:I89" si="10">(SUMIF($9:$9,H26,$10:$10)-SUMIF($9:$9,$H$24,$10:$10)+100)/100</f>
        <v>1</v>
      </c>
      <c r="J26" s="879"/>
      <c r="K26" s="49">
        <f t="shared" ref="K26:K89" si="11">(SUMIF($11:$11,J26,$12:$12)-SUMIF($11:$11,$J$24,$12:$12)+100)/100</f>
        <v>1</v>
      </c>
      <c r="L26" s="879"/>
      <c r="M26" s="49">
        <f t="shared" ref="M26:M89" si="12">(SUMIF($13:$13,L26,$14:$14)-SUMIF($13:$13,$L$24,$14:$14)+100)/100</f>
        <v>1</v>
      </c>
      <c r="N26" s="879"/>
      <c r="O26" s="49">
        <f t="shared" ref="O26:O89" si="13">(SUMIF($15:$15,N26,$16:$16)-SUMIF($15:$15,$N$24,$16:$16)+100)/100</f>
        <v>1</v>
      </c>
      <c r="P26" s="879"/>
      <c r="Q26" s="49">
        <f t="shared" ref="Q26:Q89" si="14">(SUMIF($17:$17,P26,$18:$18)-SUMIF($17:$17,$P$24,$18:$18)+100)/100</f>
        <v>1</v>
      </c>
      <c r="R26" s="49">
        <f t="shared" ref="R26:R89" si="15">IF(B26="",0,ROUND($R$24*C26*E26*G26*I26*K26*M26*O26*Q26,0))</f>
        <v>0</v>
      </c>
      <c r="S26" s="734">
        <f t="shared" si="6"/>
        <v>0</v>
      </c>
    </row>
    <row r="27" spans="1:45">
      <c r="A27" s="880"/>
      <c r="B27" s="126"/>
      <c r="C27" s="49">
        <f t="shared" si="7"/>
        <v>1</v>
      </c>
      <c r="D27" s="879"/>
      <c r="E27" s="49">
        <f t="shared" si="8"/>
        <v>1</v>
      </c>
      <c r="F27" s="879"/>
      <c r="G27" s="49">
        <f t="shared" si="9"/>
        <v>1</v>
      </c>
      <c r="H27" s="879"/>
      <c r="I27" s="49">
        <f t="shared" si="10"/>
        <v>1</v>
      </c>
      <c r="J27" s="879"/>
      <c r="K27" s="49">
        <f t="shared" si="11"/>
        <v>1</v>
      </c>
      <c r="L27" s="879"/>
      <c r="M27" s="49">
        <f t="shared" si="12"/>
        <v>1</v>
      </c>
      <c r="N27" s="879"/>
      <c r="O27" s="49">
        <f t="shared" si="13"/>
        <v>1</v>
      </c>
      <c r="P27" s="879"/>
      <c r="Q27" s="49">
        <f t="shared" si="14"/>
        <v>1</v>
      </c>
      <c r="R27" s="49">
        <f t="shared" si="15"/>
        <v>0</v>
      </c>
      <c r="S27" s="734">
        <f t="shared" si="6"/>
        <v>0</v>
      </c>
    </row>
    <row r="28" spans="1:45">
      <c r="A28" s="880"/>
      <c r="B28" s="126"/>
      <c r="C28" s="49">
        <f t="shared" si="7"/>
        <v>1</v>
      </c>
      <c r="D28" s="879"/>
      <c r="E28" s="49">
        <f t="shared" si="8"/>
        <v>1</v>
      </c>
      <c r="F28" s="879"/>
      <c r="G28" s="49">
        <f t="shared" si="9"/>
        <v>1</v>
      </c>
      <c r="H28" s="879"/>
      <c r="I28" s="49">
        <f t="shared" si="10"/>
        <v>1</v>
      </c>
      <c r="J28" s="879"/>
      <c r="K28" s="49">
        <f t="shared" si="11"/>
        <v>1</v>
      </c>
      <c r="L28" s="879"/>
      <c r="M28" s="49">
        <f t="shared" si="12"/>
        <v>1</v>
      </c>
      <c r="N28" s="879"/>
      <c r="O28" s="49">
        <f t="shared" si="13"/>
        <v>1</v>
      </c>
      <c r="P28" s="879"/>
      <c r="Q28" s="49">
        <f t="shared" si="14"/>
        <v>1</v>
      </c>
      <c r="R28" s="49">
        <f t="shared" si="15"/>
        <v>0</v>
      </c>
      <c r="S28" s="734">
        <f t="shared" si="6"/>
        <v>0</v>
      </c>
    </row>
    <row r="29" spans="1:45">
      <c r="A29" s="880"/>
      <c r="B29" s="126"/>
      <c r="C29" s="49">
        <f t="shared" si="7"/>
        <v>1</v>
      </c>
      <c r="D29" s="879"/>
      <c r="E29" s="49">
        <f t="shared" si="8"/>
        <v>1</v>
      </c>
      <c r="F29" s="879"/>
      <c r="G29" s="49">
        <f t="shared" si="9"/>
        <v>1</v>
      </c>
      <c r="H29" s="879"/>
      <c r="I29" s="49">
        <f t="shared" si="10"/>
        <v>1</v>
      </c>
      <c r="J29" s="879"/>
      <c r="K29" s="49">
        <f t="shared" si="11"/>
        <v>1</v>
      </c>
      <c r="L29" s="879"/>
      <c r="M29" s="49">
        <f t="shared" si="12"/>
        <v>1</v>
      </c>
      <c r="N29" s="879"/>
      <c r="O29" s="49">
        <f t="shared" si="13"/>
        <v>1</v>
      </c>
      <c r="P29" s="879"/>
      <c r="Q29" s="49">
        <f t="shared" si="14"/>
        <v>1</v>
      </c>
      <c r="R29" s="49">
        <f t="shared" si="15"/>
        <v>0</v>
      </c>
      <c r="S29" s="734">
        <f t="shared" si="6"/>
        <v>0</v>
      </c>
    </row>
    <row r="30" spans="1:45">
      <c r="A30" s="880"/>
      <c r="B30" s="126"/>
      <c r="C30" s="49">
        <f t="shared" si="7"/>
        <v>1</v>
      </c>
      <c r="D30" s="879"/>
      <c r="E30" s="49">
        <f t="shared" si="8"/>
        <v>1</v>
      </c>
      <c r="F30" s="879"/>
      <c r="G30" s="49">
        <f t="shared" si="9"/>
        <v>1</v>
      </c>
      <c r="H30" s="879"/>
      <c r="I30" s="49">
        <f t="shared" si="10"/>
        <v>1</v>
      </c>
      <c r="J30" s="879"/>
      <c r="K30" s="49">
        <f t="shared" si="11"/>
        <v>1</v>
      </c>
      <c r="L30" s="879"/>
      <c r="M30" s="49">
        <f t="shared" si="12"/>
        <v>1</v>
      </c>
      <c r="N30" s="879"/>
      <c r="O30" s="49">
        <f t="shared" si="13"/>
        <v>1</v>
      </c>
      <c r="P30" s="879"/>
      <c r="Q30" s="49">
        <f t="shared" si="14"/>
        <v>1</v>
      </c>
      <c r="R30" s="49">
        <f t="shared" si="15"/>
        <v>0</v>
      </c>
      <c r="S30" s="734">
        <f t="shared" si="6"/>
        <v>0</v>
      </c>
    </row>
    <row r="31" spans="1:45">
      <c r="A31" s="880"/>
      <c r="B31" s="126"/>
      <c r="C31" s="49">
        <f t="shared" si="7"/>
        <v>1</v>
      </c>
      <c r="D31" s="879"/>
      <c r="E31" s="49">
        <f t="shared" si="8"/>
        <v>1</v>
      </c>
      <c r="F31" s="879"/>
      <c r="G31" s="49">
        <f t="shared" si="9"/>
        <v>1</v>
      </c>
      <c r="H31" s="879"/>
      <c r="I31" s="49">
        <f t="shared" si="10"/>
        <v>1</v>
      </c>
      <c r="J31" s="879"/>
      <c r="K31" s="49">
        <f t="shared" si="11"/>
        <v>1</v>
      </c>
      <c r="L31" s="879"/>
      <c r="M31" s="49">
        <f t="shared" si="12"/>
        <v>1</v>
      </c>
      <c r="N31" s="879"/>
      <c r="O31" s="49">
        <f t="shared" si="13"/>
        <v>1</v>
      </c>
      <c r="P31" s="879"/>
      <c r="Q31" s="49">
        <f t="shared" si="14"/>
        <v>1</v>
      </c>
      <c r="R31" s="49">
        <f t="shared" si="15"/>
        <v>0</v>
      </c>
      <c r="S31" s="734">
        <f t="shared" si="6"/>
        <v>0</v>
      </c>
    </row>
    <row r="32" spans="1:45">
      <c r="A32" s="880"/>
      <c r="B32" s="126"/>
      <c r="C32" s="49">
        <f t="shared" si="7"/>
        <v>1</v>
      </c>
      <c r="D32" s="879"/>
      <c r="E32" s="49">
        <f t="shared" si="8"/>
        <v>1</v>
      </c>
      <c r="F32" s="879"/>
      <c r="G32" s="49">
        <f t="shared" si="9"/>
        <v>1</v>
      </c>
      <c r="H32" s="879"/>
      <c r="I32" s="49">
        <f t="shared" si="10"/>
        <v>1</v>
      </c>
      <c r="J32" s="879"/>
      <c r="K32" s="49">
        <f t="shared" si="11"/>
        <v>1</v>
      </c>
      <c r="L32" s="879"/>
      <c r="M32" s="49">
        <f t="shared" si="12"/>
        <v>1</v>
      </c>
      <c r="N32" s="879"/>
      <c r="O32" s="49">
        <f t="shared" si="13"/>
        <v>1</v>
      </c>
      <c r="P32" s="879"/>
      <c r="Q32" s="49">
        <f t="shared" si="14"/>
        <v>1</v>
      </c>
      <c r="R32" s="49">
        <f t="shared" si="15"/>
        <v>0</v>
      </c>
      <c r="S32" s="734">
        <f t="shared" si="6"/>
        <v>0</v>
      </c>
    </row>
    <row r="33" spans="1:19">
      <c r="A33" s="880"/>
      <c r="B33" s="126"/>
      <c r="C33" s="49">
        <f t="shared" si="7"/>
        <v>1</v>
      </c>
      <c r="D33" s="879"/>
      <c r="E33" s="49">
        <f t="shared" si="8"/>
        <v>1</v>
      </c>
      <c r="F33" s="879"/>
      <c r="G33" s="49">
        <f t="shared" si="9"/>
        <v>1</v>
      </c>
      <c r="H33" s="879"/>
      <c r="I33" s="49">
        <f t="shared" si="10"/>
        <v>1</v>
      </c>
      <c r="J33" s="879"/>
      <c r="K33" s="49">
        <f t="shared" si="11"/>
        <v>1</v>
      </c>
      <c r="L33" s="879"/>
      <c r="M33" s="49">
        <f t="shared" si="12"/>
        <v>1</v>
      </c>
      <c r="N33" s="879"/>
      <c r="O33" s="49">
        <f t="shared" si="13"/>
        <v>1</v>
      </c>
      <c r="P33" s="879"/>
      <c r="Q33" s="49">
        <f t="shared" si="14"/>
        <v>1</v>
      </c>
      <c r="R33" s="49">
        <f t="shared" si="15"/>
        <v>0</v>
      </c>
      <c r="S33" s="734">
        <f t="shared" si="6"/>
        <v>0</v>
      </c>
    </row>
    <row r="34" spans="1:19">
      <c r="A34" s="880"/>
      <c r="B34" s="126"/>
      <c r="C34" s="49">
        <f t="shared" si="7"/>
        <v>1</v>
      </c>
      <c r="D34" s="879"/>
      <c r="E34" s="49">
        <f t="shared" si="8"/>
        <v>1</v>
      </c>
      <c r="F34" s="879"/>
      <c r="G34" s="49">
        <f t="shared" si="9"/>
        <v>1</v>
      </c>
      <c r="H34" s="879"/>
      <c r="I34" s="49">
        <f t="shared" si="10"/>
        <v>1</v>
      </c>
      <c r="J34" s="879"/>
      <c r="K34" s="49">
        <f t="shared" si="11"/>
        <v>1</v>
      </c>
      <c r="L34" s="879"/>
      <c r="M34" s="49">
        <f t="shared" si="12"/>
        <v>1</v>
      </c>
      <c r="N34" s="879"/>
      <c r="O34" s="49">
        <f t="shared" si="13"/>
        <v>1</v>
      </c>
      <c r="P34" s="879"/>
      <c r="Q34" s="49">
        <f t="shared" si="14"/>
        <v>1</v>
      </c>
      <c r="R34" s="49">
        <f t="shared" si="15"/>
        <v>0</v>
      </c>
      <c r="S34" s="734">
        <f t="shared" si="6"/>
        <v>0</v>
      </c>
    </row>
    <row r="35" spans="1:19">
      <c r="A35" s="880"/>
      <c r="B35" s="126"/>
      <c r="C35" s="49">
        <f t="shared" si="7"/>
        <v>1</v>
      </c>
      <c r="D35" s="879"/>
      <c r="E35" s="49">
        <f t="shared" si="8"/>
        <v>1</v>
      </c>
      <c r="F35" s="879"/>
      <c r="G35" s="49">
        <f t="shared" si="9"/>
        <v>1</v>
      </c>
      <c r="H35" s="879"/>
      <c r="I35" s="49">
        <f t="shared" si="10"/>
        <v>1</v>
      </c>
      <c r="J35" s="879"/>
      <c r="K35" s="49">
        <f t="shared" si="11"/>
        <v>1</v>
      </c>
      <c r="L35" s="879"/>
      <c r="M35" s="49">
        <f t="shared" si="12"/>
        <v>1</v>
      </c>
      <c r="N35" s="879"/>
      <c r="O35" s="49">
        <f t="shared" si="13"/>
        <v>1</v>
      </c>
      <c r="P35" s="879"/>
      <c r="Q35" s="49">
        <f t="shared" si="14"/>
        <v>1</v>
      </c>
      <c r="R35" s="49">
        <f t="shared" si="15"/>
        <v>0</v>
      </c>
      <c r="S35" s="734">
        <f t="shared" si="6"/>
        <v>0</v>
      </c>
    </row>
    <row r="36" spans="1:19">
      <c r="A36" s="880"/>
      <c r="B36" s="126"/>
      <c r="C36" s="49">
        <f t="shared" si="7"/>
        <v>1</v>
      </c>
      <c r="D36" s="879"/>
      <c r="E36" s="49">
        <f t="shared" si="8"/>
        <v>1</v>
      </c>
      <c r="F36" s="879"/>
      <c r="G36" s="49">
        <f t="shared" si="9"/>
        <v>1</v>
      </c>
      <c r="H36" s="879"/>
      <c r="I36" s="49">
        <f t="shared" si="10"/>
        <v>1</v>
      </c>
      <c r="J36" s="879"/>
      <c r="K36" s="49">
        <f t="shared" si="11"/>
        <v>1</v>
      </c>
      <c r="L36" s="879"/>
      <c r="M36" s="49">
        <f t="shared" si="12"/>
        <v>1</v>
      </c>
      <c r="N36" s="879"/>
      <c r="O36" s="49">
        <f t="shared" si="13"/>
        <v>1</v>
      </c>
      <c r="P36" s="879"/>
      <c r="Q36" s="49">
        <f t="shared" si="14"/>
        <v>1</v>
      </c>
      <c r="R36" s="49">
        <f t="shared" si="15"/>
        <v>0</v>
      </c>
      <c r="S36" s="734">
        <f t="shared" si="6"/>
        <v>0</v>
      </c>
    </row>
    <row r="37" spans="1:19">
      <c r="A37" s="880"/>
      <c r="B37" s="126"/>
      <c r="C37" s="49">
        <f t="shared" si="7"/>
        <v>1</v>
      </c>
      <c r="D37" s="879"/>
      <c r="E37" s="49">
        <f t="shared" si="8"/>
        <v>1</v>
      </c>
      <c r="F37" s="879"/>
      <c r="G37" s="49">
        <f t="shared" si="9"/>
        <v>1</v>
      </c>
      <c r="H37" s="879"/>
      <c r="I37" s="49">
        <f t="shared" si="10"/>
        <v>1</v>
      </c>
      <c r="J37" s="879"/>
      <c r="K37" s="49">
        <f t="shared" si="11"/>
        <v>1</v>
      </c>
      <c r="L37" s="879"/>
      <c r="M37" s="49">
        <f t="shared" si="12"/>
        <v>1</v>
      </c>
      <c r="N37" s="879"/>
      <c r="O37" s="49">
        <f t="shared" si="13"/>
        <v>1</v>
      </c>
      <c r="P37" s="879"/>
      <c r="Q37" s="49">
        <f t="shared" si="14"/>
        <v>1</v>
      </c>
      <c r="R37" s="49">
        <f t="shared" si="15"/>
        <v>0</v>
      </c>
      <c r="S37" s="734">
        <f t="shared" si="6"/>
        <v>0</v>
      </c>
    </row>
    <row r="38" spans="1:19">
      <c r="A38" s="880"/>
      <c r="B38" s="126"/>
      <c r="C38" s="49">
        <f t="shared" si="7"/>
        <v>1</v>
      </c>
      <c r="D38" s="879"/>
      <c r="E38" s="49">
        <f t="shared" si="8"/>
        <v>1</v>
      </c>
      <c r="F38" s="879"/>
      <c r="G38" s="49">
        <f t="shared" si="9"/>
        <v>1</v>
      </c>
      <c r="H38" s="879"/>
      <c r="I38" s="49">
        <f t="shared" si="10"/>
        <v>1</v>
      </c>
      <c r="J38" s="879"/>
      <c r="K38" s="49">
        <f t="shared" si="11"/>
        <v>1</v>
      </c>
      <c r="L38" s="879"/>
      <c r="M38" s="49">
        <f t="shared" si="12"/>
        <v>1</v>
      </c>
      <c r="N38" s="879"/>
      <c r="O38" s="49">
        <f t="shared" si="13"/>
        <v>1</v>
      </c>
      <c r="P38" s="879"/>
      <c r="Q38" s="49">
        <f t="shared" si="14"/>
        <v>1</v>
      </c>
      <c r="R38" s="49">
        <f t="shared" si="15"/>
        <v>0</v>
      </c>
      <c r="S38" s="734">
        <f t="shared" si="6"/>
        <v>0</v>
      </c>
    </row>
    <row r="39" spans="1:19">
      <c r="A39" s="880"/>
      <c r="B39" s="126"/>
      <c r="C39" s="49">
        <f t="shared" si="7"/>
        <v>1</v>
      </c>
      <c r="D39" s="879"/>
      <c r="E39" s="49">
        <f t="shared" si="8"/>
        <v>1</v>
      </c>
      <c r="F39" s="879"/>
      <c r="G39" s="49">
        <f t="shared" si="9"/>
        <v>1</v>
      </c>
      <c r="H39" s="879"/>
      <c r="I39" s="49">
        <f t="shared" si="10"/>
        <v>1</v>
      </c>
      <c r="J39" s="879"/>
      <c r="K39" s="49">
        <f t="shared" si="11"/>
        <v>1</v>
      </c>
      <c r="L39" s="879"/>
      <c r="M39" s="49">
        <f t="shared" si="12"/>
        <v>1</v>
      </c>
      <c r="N39" s="879"/>
      <c r="O39" s="49">
        <f t="shared" si="13"/>
        <v>1</v>
      </c>
      <c r="P39" s="879"/>
      <c r="Q39" s="49">
        <f t="shared" si="14"/>
        <v>1</v>
      </c>
      <c r="R39" s="49">
        <f t="shared" si="15"/>
        <v>0</v>
      </c>
      <c r="S39" s="734">
        <f t="shared" si="6"/>
        <v>0</v>
      </c>
    </row>
    <row r="40" spans="1:19">
      <c r="A40" s="880"/>
      <c r="B40" s="126"/>
      <c r="C40" s="49">
        <f t="shared" si="7"/>
        <v>1</v>
      </c>
      <c r="D40" s="879"/>
      <c r="E40" s="49">
        <f t="shared" si="8"/>
        <v>1</v>
      </c>
      <c r="F40" s="879"/>
      <c r="G40" s="49">
        <f t="shared" si="9"/>
        <v>1</v>
      </c>
      <c r="H40" s="879"/>
      <c r="I40" s="49">
        <f t="shared" si="10"/>
        <v>1</v>
      </c>
      <c r="J40" s="879"/>
      <c r="K40" s="49">
        <f t="shared" si="11"/>
        <v>1</v>
      </c>
      <c r="L40" s="879"/>
      <c r="M40" s="49">
        <f t="shared" si="12"/>
        <v>1</v>
      </c>
      <c r="N40" s="879"/>
      <c r="O40" s="49">
        <f t="shared" si="13"/>
        <v>1</v>
      </c>
      <c r="P40" s="879"/>
      <c r="Q40" s="49">
        <f t="shared" si="14"/>
        <v>1</v>
      </c>
      <c r="R40" s="49">
        <f t="shared" si="15"/>
        <v>0</v>
      </c>
      <c r="S40" s="734">
        <f t="shared" si="6"/>
        <v>0</v>
      </c>
    </row>
    <row r="41" spans="1:19">
      <c r="A41" s="880"/>
      <c r="B41" s="126"/>
      <c r="C41" s="49">
        <f t="shared" si="7"/>
        <v>1</v>
      </c>
      <c r="D41" s="879"/>
      <c r="E41" s="49">
        <f t="shared" si="8"/>
        <v>1</v>
      </c>
      <c r="F41" s="879"/>
      <c r="G41" s="49">
        <f t="shared" si="9"/>
        <v>1</v>
      </c>
      <c r="H41" s="879"/>
      <c r="I41" s="49">
        <f t="shared" si="10"/>
        <v>1</v>
      </c>
      <c r="J41" s="879"/>
      <c r="K41" s="49">
        <f t="shared" si="11"/>
        <v>1</v>
      </c>
      <c r="L41" s="879"/>
      <c r="M41" s="49">
        <f t="shared" si="12"/>
        <v>1</v>
      </c>
      <c r="N41" s="879"/>
      <c r="O41" s="49">
        <f t="shared" si="13"/>
        <v>1</v>
      </c>
      <c r="P41" s="879"/>
      <c r="Q41" s="49">
        <f t="shared" si="14"/>
        <v>1</v>
      </c>
      <c r="R41" s="49">
        <f t="shared" si="15"/>
        <v>0</v>
      </c>
      <c r="S41" s="734">
        <f t="shared" si="6"/>
        <v>0</v>
      </c>
    </row>
    <row r="42" spans="1:19">
      <c r="A42" s="880"/>
      <c r="B42" s="126"/>
      <c r="C42" s="49">
        <f t="shared" si="7"/>
        <v>1</v>
      </c>
      <c r="D42" s="879"/>
      <c r="E42" s="49">
        <f t="shared" si="8"/>
        <v>1</v>
      </c>
      <c r="F42" s="879"/>
      <c r="G42" s="49">
        <f t="shared" si="9"/>
        <v>1</v>
      </c>
      <c r="H42" s="879"/>
      <c r="I42" s="49">
        <f t="shared" si="10"/>
        <v>1</v>
      </c>
      <c r="J42" s="879"/>
      <c r="K42" s="49">
        <f t="shared" si="11"/>
        <v>1</v>
      </c>
      <c r="L42" s="879"/>
      <c r="M42" s="49">
        <f t="shared" si="12"/>
        <v>1</v>
      </c>
      <c r="N42" s="879"/>
      <c r="O42" s="49">
        <f t="shared" si="13"/>
        <v>1</v>
      </c>
      <c r="P42" s="879"/>
      <c r="Q42" s="49">
        <f t="shared" si="14"/>
        <v>1</v>
      </c>
      <c r="R42" s="49">
        <f t="shared" si="15"/>
        <v>0</v>
      </c>
      <c r="S42" s="734">
        <f t="shared" si="6"/>
        <v>0</v>
      </c>
    </row>
    <row r="43" spans="1:19">
      <c r="A43" s="880"/>
      <c r="B43" s="126"/>
      <c r="C43" s="49">
        <f t="shared" si="7"/>
        <v>1</v>
      </c>
      <c r="D43" s="879"/>
      <c r="E43" s="49">
        <f t="shared" si="8"/>
        <v>1</v>
      </c>
      <c r="F43" s="879"/>
      <c r="G43" s="49">
        <f t="shared" si="9"/>
        <v>1</v>
      </c>
      <c r="H43" s="879"/>
      <c r="I43" s="49">
        <f t="shared" si="10"/>
        <v>1</v>
      </c>
      <c r="J43" s="879"/>
      <c r="K43" s="49">
        <f t="shared" si="11"/>
        <v>1</v>
      </c>
      <c r="L43" s="879"/>
      <c r="M43" s="49">
        <f t="shared" si="12"/>
        <v>1</v>
      </c>
      <c r="N43" s="879"/>
      <c r="O43" s="49">
        <f t="shared" si="13"/>
        <v>1</v>
      </c>
      <c r="P43" s="879"/>
      <c r="Q43" s="49">
        <f t="shared" si="14"/>
        <v>1</v>
      </c>
      <c r="R43" s="49">
        <f t="shared" si="15"/>
        <v>0</v>
      </c>
      <c r="S43" s="734">
        <f t="shared" si="6"/>
        <v>0</v>
      </c>
    </row>
    <row r="44" spans="1:19">
      <c r="A44" s="880"/>
      <c r="B44" s="126"/>
      <c r="C44" s="49">
        <f t="shared" si="7"/>
        <v>1</v>
      </c>
      <c r="D44" s="879"/>
      <c r="E44" s="49">
        <f t="shared" si="8"/>
        <v>1</v>
      </c>
      <c r="F44" s="879"/>
      <c r="G44" s="49">
        <f t="shared" si="9"/>
        <v>1</v>
      </c>
      <c r="H44" s="879"/>
      <c r="I44" s="49">
        <f t="shared" si="10"/>
        <v>1</v>
      </c>
      <c r="J44" s="879"/>
      <c r="K44" s="49">
        <f t="shared" si="11"/>
        <v>1</v>
      </c>
      <c r="L44" s="879"/>
      <c r="M44" s="49">
        <f t="shared" si="12"/>
        <v>1</v>
      </c>
      <c r="N44" s="879"/>
      <c r="O44" s="49">
        <f t="shared" si="13"/>
        <v>1</v>
      </c>
      <c r="P44" s="879"/>
      <c r="Q44" s="49">
        <f t="shared" si="14"/>
        <v>1</v>
      </c>
      <c r="R44" s="49">
        <f t="shared" si="15"/>
        <v>0</v>
      </c>
      <c r="S44" s="734">
        <f t="shared" si="6"/>
        <v>0</v>
      </c>
    </row>
    <row r="45" spans="1:19">
      <c r="A45" s="880"/>
      <c r="B45" s="126"/>
      <c r="C45" s="49">
        <f t="shared" si="7"/>
        <v>1</v>
      </c>
      <c r="D45" s="879"/>
      <c r="E45" s="49">
        <f t="shared" si="8"/>
        <v>1</v>
      </c>
      <c r="F45" s="879"/>
      <c r="G45" s="49">
        <f t="shared" si="9"/>
        <v>1</v>
      </c>
      <c r="H45" s="879"/>
      <c r="I45" s="49">
        <f t="shared" si="10"/>
        <v>1</v>
      </c>
      <c r="J45" s="879"/>
      <c r="K45" s="49">
        <f t="shared" si="11"/>
        <v>1</v>
      </c>
      <c r="L45" s="879"/>
      <c r="M45" s="49">
        <f t="shared" si="12"/>
        <v>1</v>
      </c>
      <c r="N45" s="879"/>
      <c r="O45" s="49">
        <f t="shared" si="13"/>
        <v>1</v>
      </c>
      <c r="P45" s="879"/>
      <c r="Q45" s="49">
        <f t="shared" si="14"/>
        <v>1</v>
      </c>
      <c r="R45" s="49">
        <f t="shared" si="15"/>
        <v>0</v>
      </c>
      <c r="S45" s="734">
        <f t="shared" si="6"/>
        <v>0</v>
      </c>
    </row>
    <row r="46" spans="1:19">
      <c r="A46" s="880"/>
      <c r="B46" s="126"/>
      <c r="C46" s="49">
        <f t="shared" si="7"/>
        <v>1</v>
      </c>
      <c r="D46" s="879"/>
      <c r="E46" s="49">
        <f t="shared" si="8"/>
        <v>1</v>
      </c>
      <c r="F46" s="879"/>
      <c r="G46" s="49">
        <f t="shared" si="9"/>
        <v>1</v>
      </c>
      <c r="H46" s="879"/>
      <c r="I46" s="49">
        <f t="shared" si="10"/>
        <v>1</v>
      </c>
      <c r="J46" s="879"/>
      <c r="K46" s="49">
        <f t="shared" si="11"/>
        <v>1</v>
      </c>
      <c r="L46" s="879"/>
      <c r="M46" s="49">
        <f t="shared" si="12"/>
        <v>1</v>
      </c>
      <c r="N46" s="879"/>
      <c r="O46" s="49">
        <f t="shared" si="13"/>
        <v>1</v>
      </c>
      <c r="P46" s="879"/>
      <c r="Q46" s="49">
        <f t="shared" si="14"/>
        <v>1</v>
      </c>
      <c r="R46" s="49">
        <f t="shared" si="15"/>
        <v>0</v>
      </c>
      <c r="S46" s="734">
        <f t="shared" si="6"/>
        <v>0</v>
      </c>
    </row>
    <row r="47" spans="1:19">
      <c r="A47" s="880"/>
      <c r="B47" s="126"/>
      <c r="C47" s="49">
        <f t="shared" si="7"/>
        <v>1</v>
      </c>
      <c r="D47" s="879"/>
      <c r="E47" s="49">
        <f t="shared" si="8"/>
        <v>1</v>
      </c>
      <c r="F47" s="879"/>
      <c r="G47" s="49">
        <f t="shared" si="9"/>
        <v>1</v>
      </c>
      <c r="H47" s="879"/>
      <c r="I47" s="49">
        <f t="shared" si="10"/>
        <v>1</v>
      </c>
      <c r="J47" s="879"/>
      <c r="K47" s="49">
        <f t="shared" si="11"/>
        <v>1</v>
      </c>
      <c r="L47" s="879"/>
      <c r="M47" s="49">
        <f t="shared" si="12"/>
        <v>1</v>
      </c>
      <c r="N47" s="879"/>
      <c r="O47" s="49">
        <f t="shared" si="13"/>
        <v>1</v>
      </c>
      <c r="P47" s="879"/>
      <c r="Q47" s="49">
        <f t="shared" si="14"/>
        <v>1</v>
      </c>
      <c r="R47" s="49">
        <f t="shared" si="15"/>
        <v>0</v>
      </c>
      <c r="S47" s="734">
        <f t="shared" si="6"/>
        <v>0</v>
      </c>
    </row>
    <row r="48" spans="1:19">
      <c r="A48" s="880"/>
      <c r="B48" s="126"/>
      <c r="C48" s="49">
        <f t="shared" si="7"/>
        <v>1</v>
      </c>
      <c r="D48" s="879"/>
      <c r="E48" s="49">
        <f t="shared" si="8"/>
        <v>1</v>
      </c>
      <c r="F48" s="879"/>
      <c r="G48" s="49">
        <f t="shared" si="9"/>
        <v>1</v>
      </c>
      <c r="H48" s="879"/>
      <c r="I48" s="49">
        <f t="shared" si="10"/>
        <v>1</v>
      </c>
      <c r="J48" s="879"/>
      <c r="K48" s="49">
        <f t="shared" si="11"/>
        <v>1</v>
      </c>
      <c r="L48" s="879"/>
      <c r="M48" s="49">
        <f t="shared" si="12"/>
        <v>1</v>
      </c>
      <c r="N48" s="879"/>
      <c r="O48" s="49">
        <f t="shared" si="13"/>
        <v>1</v>
      </c>
      <c r="P48" s="879"/>
      <c r="Q48" s="49">
        <f t="shared" si="14"/>
        <v>1</v>
      </c>
      <c r="R48" s="49">
        <f t="shared" si="15"/>
        <v>0</v>
      </c>
      <c r="S48" s="734">
        <f t="shared" si="6"/>
        <v>0</v>
      </c>
    </row>
    <row r="49" spans="1:19">
      <c r="A49" s="880"/>
      <c r="B49" s="126"/>
      <c r="C49" s="49">
        <f t="shared" si="7"/>
        <v>1</v>
      </c>
      <c r="D49" s="879"/>
      <c r="E49" s="49">
        <f t="shared" si="8"/>
        <v>1</v>
      </c>
      <c r="F49" s="879"/>
      <c r="G49" s="49">
        <f t="shared" si="9"/>
        <v>1</v>
      </c>
      <c r="H49" s="879"/>
      <c r="I49" s="49">
        <f t="shared" si="10"/>
        <v>1</v>
      </c>
      <c r="J49" s="879"/>
      <c r="K49" s="49">
        <f t="shared" si="11"/>
        <v>1</v>
      </c>
      <c r="L49" s="879"/>
      <c r="M49" s="49">
        <f t="shared" si="12"/>
        <v>1</v>
      </c>
      <c r="N49" s="879"/>
      <c r="O49" s="49">
        <f t="shared" si="13"/>
        <v>1</v>
      </c>
      <c r="P49" s="879"/>
      <c r="Q49" s="49">
        <f t="shared" si="14"/>
        <v>1</v>
      </c>
      <c r="R49" s="49">
        <f t="shared" si="15"/>
        <v>0</v>
      </c>
      <c r="S49" s="734">
        <f t="shared" si="6"/>
        <v>0</v>
      </c>
    </row>
    <row r="50" spans="1:19">
      <c r="A50" s="880"/>
      <c r="B50" s="126"/>
      <c r="C50" s="49">
        <f t="shared" si="7"/>
        <v>1</v>
      </c>
      <c r="D50" s="879"/>
      <c r="E50" s="49">
        <f t="shared" si="8"/>
        <v>1</v>
      </c>
      <c r="F50" s="879"/>
      <c r="G50" s="49">
        <f t="shared" si="9"/>
        <v>1</v>
      </c>
      <c r="H50" s="879"/>
      <c r="I50" s="49">
        <f t="shared" si="10"/>
        <v>1</v>
      </c>
      <c r="J50" s="879"/>
      <c r="K50" s="49">
        <f t="shared" si="11"/>
        <v>1</v>
      </c>
      <c r="L50" s="879"/>
      <c r="M50" s="49">
        <f t="shared" si="12"/>
        <v>1</v>
      </c>
      <c r="N50" s="879"/>
      <c r="O50" s="49">
        <f t="shared" si="13"/>
        <v>1</v>
      </c>
      <c r="P50" s="879"/>
      <c r="Q50" s="49">
        <f t="shared" si="14"/>
        <v>1</v>
      </c>
      <c r="R50" s="49">
        <f t="shared" si="15"/>
        <v>0</v>
      </c>
      <c r="S50" s="734">
        <f t="shared" si="6"/>
        <v>0</v>
      </c>
    </row>
    <row r="51" spans="1:19">
      <c r="A51" s="880"/>
      <c r="B51" s="126"/>
      <c r="C51" s="49">
        <f t="shared" si="7"/>
        <v>1</v>
      </c>
      <c r="D51" s="879"/>
      <c r="E51" s="49">
        <f t="shared" si="8"/>
        <v>1</v>
      </c>
      <c r="F51" s="879"/>
      <c r="G51" s="49">
        <f t="shared" si="9"/>
        <v>1</v>
      </c>
      <c r="H51" s="879"/>
      <c r="I51" s="49">
        <f t="shared" si="10"/>
        <v>1</v>
      </c>
      <c r="J51" s="879"/>
      <c r="K51" s="49">
        <f t="shared" si="11"/>
        <v>1</v>
      </c>
      <c r="L51" s="879"/>
      <c r="M51" s="49">
        <f t="shared" si="12"/>
        <v>1</v>
      </c>
      <c r="N51" s="879"/>
      <c r="O51" s="49">
        <f t="shared" si="13"/>
        <v>1</v>
      </c>
      <c r="P51" s="879"/>
      <c r="Q51" s="49">
        <f t="shared" si="14"/>
        <v>1</v>
      </c>
      <c r="R51" s="49">
        <f t="shared" si="15"/>
        <v>0</v>
      </c>
      <c r="S51" s="734">
        <f t="shared" si="6"/>
        <v>0</v>
      </c>
    </row>
    <row r="52" spans="1:19">
      <c r="A52" s="880"/>
      <c r="B52" s="126"/>
      <c r="C52" s="49">
        <f t="shared" si="7"/>
        <v>1</v>
      </c>
      <c r="D52" s="879"/>
      <c r="E52" s="49">
        <f t="shared" si="8"/>
        <v>1</v>
      </c>
      <c r="F52" s="879"/>
      <c r="G52" s="49">
        <f t="shared" si="9"/>
        <v>1</v>
      </c>
      <c r="H52" s="879"/>
      <c r="I52" s="49">
        <f t="shared" si="10"/>
        <v>1</v>
      </c>
      <c r="J52" s="879"/>
      <c r="K52" s="49">
        <f t="shared" si="11"/>
        <v>1</v>
      </c>
      <c r="L52" s="879"/>
      <c r="M52" s="49">
        <f t="shared" si="12"/>
        <v>1</v>
      </c>
      <c r="N52" s="879"/>
      <c r="O52" s="49">
        <f t="shared" si="13"/>
        <v>1</v>
      </c>
      <c r="P52" s="879"/>
      <c r="Q52" s="49">
        <f t="shared" si="14"/>
        <v>1</v>
      </c>
      <c r="R52" s="49">
        <f t="shared" si="15"/>
        <v>0</v>
      </c>
      <c r="S52" s="734">
        <f t="shared" si="6"/>
        <v>0</v>
      </c>
    </row>
    <row r="53" spans="1:19">
      <c r="A53" s="880"/>
      <c r="B53" s="126"/>
      <c r="C53" s="49">
        <f t="shared" si="7"/>
        <v>1</v>
      </c>
      <c r="D53" s="879"/>
      <c r="E53" s="49">
        <f t="shared" si="8"/>
        <v>1</v>
      </c>
      <c r="F53" s="879"/>
      <c r="G53" s="49">
        <f t="shared" si="9"/>
        <v>1</v>
      </c>
      <c r="H53" s="879"/>
      <c r="I53" s="49">
        <f t="shared" si="10"/>
        <v>1</v>
      </c>
      <c r="J53" s="879"/>
      <c r="K53" s="49">
        <f t="shared" si="11"/>
        <v>1</v>
      </c>
      <c r="L53" s="879"/>
      <c r="M53" s="49">
        <f t="shared" si="12"/>
        <v>1</v>
      </c>
      <c r="N53" s="879"/>
      <c r="O53" s="49">
        <f t="shared" si="13"/>
        <v>1</v>
      </c>
      <c r="P53" s="879"/>
      <c r="Q53" s="49">
        <f t="shared" si="14"/>
        <v>1</v>
      </c>
      <c r="R53" s="49">
        <f t="shared" si="15"/>
        <v>0</v>
      </c>
      <c r="S53" s="734">
        <f t="shared" si="6"/>
        <v>0</v>
      </c>
    </row>
    <row r="54" spans="1:19">
      <c r="A54" s="880"/>
      <c r="B54" s="126"/>
      <c r="C54" s="49">
        <f t="shared" si="7"/>
        <v>1</v>
      </c>
      <c r="D54" s="879"/>
      <c r="E54" s="49">
        <f t="shared" si="8"/>
        <v>1</v>
      </c>
      <c r="F54" s="879"/>
      <c r="G54" s="49">
        <f t="shared" si="9"/>
        <v>1</v>
      </c>
      <c r="H54" s="879"/>
      <c r="I54" s="49">
        <f t="shared" si="10"/>
        <v>1</v>
      </c>
      <c r="J54" s="879"/>
      <c r="K54" s="49">
        <f t="shared" si="11"/>
        <v>1</v>
      </c>
      <c r="L54" s="879"/>
      <c r="M54" s="49">
        <f t="shared" si="12"/>
        <v>1</v>
      </c>
      <c r="N54" s="879"/>
      <c r="O54" s="49">
        <f t="shared" si="13"/>
        <v>1</v>
      </c>
      <c r="P54" s="879"/>
      <c r="Q54" s="49">
        <f t="shared" si="14"/>
        <v>1</v>
      </c>
      <c r="R54" s="49">
        <f t="shared" si="15"/>
        <v>0</v>
      </c>
      <c r="S54" s="734">
        <f t="shared" si="6"/>
        <v>0</v>
      </c>
    </row>
    <row r="55" spans="1:19">
      <c r="A55" s="880"/>
      <c r="B55" s="126"/>
      <c r="C55" s="49">
        <f t="shared" si="7"/>
        <v>1</v>
      </c>
      <c r="D55" s="879"/>
      <c r="E55" s="49">
        <f t="shared" si="8"/>
        <v>1</v>
      </c>
      <c r="F55" s="879"/>
      <c r="G55" s="49">
        <f t="shared" si="9"/>
        <v>1</v>
      </c>
      <c r="H55" s="879"/>
      <c r="I55" s="49">
        <f t="shared" si="10"/>
        <v>1</v>
      </c>
      <c r="J55" s="879"/>
      <c r="K55" s="49">
        <f t="shared" si="11"/>
        <v>1</v>
      </c>
      <c r="L55" s="879"/>
      <c r="M55" s="49">
        <f t="shared" si="12"/>
        <v>1</v>
      </c>
      <c r="N55" s="879"/>
      <c r="O55" s="49">
        <f t="shared" si="13"/>
        <v>1</v>
      </c>
      <c r="P55" s="879"/>
      <c r="Q55" s="49">
        <f t="shared" si="14"/>
        <v>1</v>
      </c>
      <c r="R55" s="49">
        <f t="shared" si="15"/>
        <v>0</v>
      </c>
      <c r="S55" s="734">
        <f t="shared" ref="S55:S77" si="16">ROUND(R55*B55/10000,0)</f>
        <v>0</v>
      </c>
    </row>
    <row r="56" spans="1:19">
      <c r="A56" s="880"/>
      <c r="B56" s="126"/>
      <c r="C56" s="49">
        <f t="shared" si="7"/>
        <v>1</v>
      </c>
      <c r="D56" s="879"/>
      <c r="E56" s="49">
        <f t="shared" si="8"/>
        <v>1</v>
      </c>
      <c r="F56" s="879"/>
      <c r="G56" s="49">
        <f t="shared" si="9"/>
        <v>1</v>
      </c>
      <c r="H56" s="879"/>
      <c r="I56" s="49">
        <f t="shared" si="10"/>
        <v>1</v>
      </c>
      <c r="J56" s="879"/>
      <c r="K56" s="49">
        <f t="shared" si="11"/>
        <v>1</v>
      </c>
      <c r="L56" s="879"/>
      <c r="M56" s="49">
        <f t="shared" si="12"/>
        <v>1</v>
      </c>
      <c r="N56" s="879"/>
      <c r="O56" s="49">
        <f t="shared" si="13"/>
        <v>1</v>
      </c>
      <c r="P56" s="879"/>
      <c r="Q56" s="49">
        <f t="shared" si="14"/>
        <v>1</v>
      </c>
      <c r="R56" s="49">
        <f t="shared" si="15"/>
        <v>0</v>
      </c>
      <c r="S56" s="734">
        <f t="shared" si="16"/>
        <v>0</v>
      </c>
    </row>
    <row r="57" spans="1:19">
      <c r="A57" s="880"/>
      <c r="B57" s="126"/>
      <c r="C57" s="49">
        <f t="shared" si="7"/>
        <v>1</v>
      </c>
      <c r="D57" s="879"/>
      <c r="E57" s="49">
        <f t="shared" si="8"/>
        <v>1</v>
      </c>
      <c r="F57" s="879"/>
      <c r="G57" s="49">
        <f t="shared" si="9"/>
        <v>1</v>
      </c>
      <c r="H57" s="879"/>
      <c r="I57" s="49">
        <f t="shared" si="10"/>
        <v>1</v>
      </c>
      <c r="J57" s="879"/>
      <c r="K57" s="49">
        <f t="shared" si="11"/>
        <v>1</v>
      </c>
      <c r="L57" s="879"/>
      <c r="M57" s="49">
        <f t="shared" si="12"/>
        <v>1</v>
      </c>
      <c r="N57" s="879"/>
      <c r="O57" s="49">
        <f t="shared" si="13"/>
        <v>1</v>
      </c>
      <c r="P57" s="879"/>
      <c r="Q57" s="49">
        <f t="shared" si="14"/>
        <v>1</v>
      </c>
      <c r="R57" s="49">
        <f t="shared" si="15"/>
        <v>0</v>
      </c>
      <c r="S57" s="734">
        <f t="shared" si="16"/>
        <v>0</v>
      </c>
    </row>
    <row r="58" spans="1:19">
      <c r="A58" s="880"/>
      <c r="B58" s="126"/>
      <c r="C58" s="49">
        <f t="shared" si="7"/>
        <v>1</v>
      </c>
      <c r="D58" s="879"/>
      <c r="E58" s="49">
        <f t="shared" si="8"/>
        <v>1</v>
      </c>
      <c r="F58" s="879"/>
      <c r="G58" s="49">
        <f t="shared" si="9"/>
        <v>1</v>
      </c>
      <c r="H58" s="879"/>
      <c r="I58" s="49">
        <f t="shared" si="10"/>
        <v>1</v>
      </c>
      <c r="J58" s="879"/>
      <c r="K58" s="49">
        <f t="shared" si="11"/>
        <v>1</v>
      </c>
      <c r="L58" s="879"/>
      <c r="M58" s="49">
        <f t="shared" si="12"/>
        <v>1</v>
      </c>
      <c r="N58" s="879"/>
      <c r="O58" s="49">
        <f t="shared" si="13"/>
        <v>1</v>
      </c>
      <c r="P58" s="879"/>
      <c r="Q58" s="49">
        <f t="shared" si="14"/>
        <v>1</v>
      </c>
      <c r="R58" s="49">
        <f t="shared" si="15"/>
        <v>0</v>
      </c>
      <c r="S58" s="734">
        <f t="shared" si="16"/>
        <v>0</v>
      </c>
    </row>
    <row r="59" spans="1:19">
      <c r="A59" s="880"/>
      <c r="B59" s="126"/>
      <c r="C59" s="49">
        <f t="shared" si="7"/>
        <v>1</v>
      </c>
      <c r="D59" s="879"/>
      <c r="E59" s="49">
        <f t="shared" si="8"/>
        <v>1</v>
      </c>
      <c r="F59" s="879"/>
      <c r="G59" s="49">
        <f t="shared" si="9"/>
        <v>1</v>
      </c>
      <c r="H59" s="879"/>
      <c r="I59" s="49">
        <f t="shared" si="10"/>
        <v>1</v>
      </c>
      <c r="J59" s="879"/>
      <c r="K59" s="49">
        <f t="shared" si="11"/>
        <v>1</v>
      </c>
      <c r="L59" s="879"/>
      <c r="M59" s="49">
        <f t="shared" si="12"/>
        <v>1</v>
      </c>
      <c r="N59" s="879"/>
      <c r="O59" s="49">
        <f t="shared" si="13"/>
        <v>1</v>
      </c>
      <c r="P59" s="879"/>
      <c r="Q59" s="49">
        <f t="shared" si="14"/>
        <v>1</v>
      </c>
      <c r="R59" s="49">
        <f t="shared" si="15"/>
        <v>0</v>
      </c>
      <c r="S59" s="734">
        <f t="shared" si="16"/>
        <v>0</v>
      </c>
    </row>
    <row r="60" spans="1:19">
      <c r="A60" s="880"/>
      <c r="B60" s="126"/>
      <c r="C60" s="49">
        <f t="shared" si="7"/>
        <v>1</v>
      </c>
      <c r="D60" s="879"/>
      <c r="E60" s="49">
        <f t="shared" si="8"/>
        <v>1</v>
      </c>
      <c r="F60" s="879"/>
      <c r="G60" s="49">
        <f t="shared" si="9"/>
        <v>1</v>
      </c>
      <c r="H60" s="879"/>
      <c r="I60" s="49">
        <f t="shared" si="10"/>
        <v>1</v>
      </c>
      <c r="J60" s="879"/>
      <c r="K60" s="49">
        <f t="shared" si="11"/>
        <v>1</v>
      </c>
      <c r="L60" s="879"/>
      <c r="M60" s="49">
        <f t="shared" si="12"/>
        <v>1</v>
      </c>
      <c r="N60" s="879"/>
      <c r="O60" s="49">
        <f t="shared" si="13"/>
        <v>1</v>
      </c>
      <c r="P60" s="879"/>
      <c r="Q60" s="49">
        <f t="shared" si="14"/>
        <v>1</v>
      </c>
      <c r="R60" s="49">
        <f t="shared" si="15"/>
        <v>0</v>
      </c>
      <c r="S60" s="734">
        <f t="shared" si="16"/>
        <v>0</v>
      </c>
    </row>
    <row r="61" spans="1:19">
      <c r="A61" s="880"/>
      <c r="B61" s="126"/>
      <c r="C61" s="49">
        <f t="shared" si="7"/>
        <v>1</v>
      </c>
      <c r="D61" s="879"/>
      <c r="E61" s="49">
        <f t="shared" si="8"/>
        <v>1</v>
      </c>
      <c r="F61" s="879"/>
      <c r="G61" s="49">
        <f t="shared" si="9"/>
        <v>1</v>
      </c>
      <c r="H61" s="879"/>
      <c r="I61" s="49">
        <f t="shared" si="10"/>
        <v>1</v>
      </c>
      <c r="J61" s="879"/>
      <c r="K61" s="49">
        <f t="shared" si="11"/>
        <v>1</v>
      </c>
      <c r="L61" s="879"/>
      <c r="M61" s="49">
        <f t="shared" si="12"/>
        <v>1</v>
      </c>
      <c r="N61" s="879"/>
      <c r="O61" s="49">
        <f t="shared" si="13"/>
        <v>1</v>
      </c>
      <c r="P61" s="879"/>
      <c r="Q61" s="49">
        <f t="shared" si="14"/>
        <v>1</v>
      </c>
      <c r="R61" s="49">
        <f t="shared" si="15"/>
        <v>0</v>
      </c>
      <c r="S61" s="734">
        <f t="shared" si="16"/>
        <v>0</v>
      </c>
    </row>
    <row r="62" spans="1:19">
      <c r="A62" s="880"/>
      <c r="B62" s="126"/>
      <c r="C62" s="49">
        <f t="shared" si="7"/>
        <v>1</v>
      </c>
      <c r="D62" s="879"/>
      <c r="E62" s="49">
        <f t="shared" si="8"/>
        <v>1</v>
      </c>
      <c r="F62" s="879"/>
      <c r="G62" s="49">
        <f t="shared" si="9"/>
        <v>1</v>
      </c>
      <c r="H62" s="879"/>
      <c r="I62" s="49">
        <f t="shared" si="10"/>
        <v>1</v>
      </c>
      <c r="J62" s="879"/>
      <c r="K62" s="49">
        <f t="shared" si="11"/>
        <v>1</v>
      </c>
      <c r="L62" s="879"/>
      <c r="M62" s="49">
        <f t="shared" si="12"/>
        <v>1</v>
      </c>
      <c r="N62" s="879"/>
      <c r="O62" s="49">
        <f t="shared" si="13"/>
        <v>1</v>
      </c>
      <c r="P62" s="879"/>
      <c r="Q62" s="49">
        <f t="shared" si="14"/>
        <v>1</v>
      </c>
      <c r="R62" s="49">
        <f t="shared" si="15"/>
        <v>0</v>
      </c>
      <c r="S62" s="734">
        <f t="shared" si="16"/>
        <v>0</v>
      </c>
    </row>
    <row r="63" spans="1:19">
      <c r="A63" s="880"/>
      <c r="B63" s="126"/>
      <c r="C63" s="49">
        <f t="shared" si="7"/>
        <v>1</v>
      </c>
      <c r="D63" s="879"/>
      <c r="E63" s="49">
        <f t="shared" si="8"/>
        <v>1</v>
      </c>
      <c r="F63" s="879"/>
      <c r="G63" s="49">
        <f t="shared" si="9"/>
        <v>1</v>
      </c>
      <c r="H63" s="879"/>
      <c r="I63" s="49">
        <f t="shared" si="10"/>
        <v>1</v>
      </c>
      <c r="J63" s="879"/>
      <c r="K63" s="49">
        <f t="shared" si="11"/>
        <v>1</v>
      </c>
      <c r="L63" s="879"/>
      <c r="M63" s="49">
        <f t="shared" si="12"/>
        <v>1</v>
      </c>
      <c r="N63" s="879"/>
      <c r="O63" s="49">
        <f t="shared" si="13"/>
        <v>1</v>
      </c>
      <c r="P63" s="879"/>
      <c r="Q63" s="49">
        <f t="shared" si="14"/>
        <v>1</v>
      </c>
      <c r="R63" s="49">
        <f t="shared" si="15"/>
        <v>0</v>
      </c>
      <c r="S63" s="734">
        <f t="shared" si="16"/>
        <v>0</v>
      </c>
    </row>
    <row r="64" spans="1:19">
      <c r="A64" s="880"/>
      <c r="B64" s="126"/>
      <c r="C64" s="49">
        <f t="shared" si="7"/>
        <v>1</v>
      </c>
      <c r="D64" s="879"/>
      <c r="E64" s="49">
        <f t="shared" si="8"/>
        <v>1</v>
      </c>
      <c r="F64" s="879"/>
      <c r="G64" s="49">
        <f t="shared" si="9"/>
        <v>1</v>
      </c>
      <c r="H64" s="879"/>
      <c r="I64" s="49">
        <f t="shared" si="10"/>
        <v>1</v>
      </c>
      <c r="J64" s="879"/>
      <c r="K64" s="49">
        <f t="shared" si="11"/>
        <v>1</v>
      </c>
      <c r="L64" s="879"/>
      <c r="M64" s="49">
        <f t="shared" si="12"/>
        <v>1</v>
      </c>
      <c r="N64" s="879"/>
      <c r="O64" s="49">
        <f t="shared" si="13"/>
        <v>1</v>
      </c>
      <c r="P64" s="879"/>
      <c r="Q64" s="49">
        <f t="shared" si="14"/>
        <v>1</v>
      </c>
      <c r="R64" s="49">
        <f t="shared" si="15"/>
        <v>0</v>
      </c>
      <c r="S64" s="734">
        <f t="shared" si="16"/>
        <v>0</v>
      </c>
    </row>
    <row r="65" spans="1:19">
      <c r="A65" s="880"/>
      <c r="B65" s="126"/>
      <c r="C65" s="49">
        <f t="shared" si="7"/>
        <v>1</v>
      </c>
      <c r="D65" s="879"/>
      <c r="E65" s="49">
        <f t="shared" si="8"/>
        <v>1</v>
      </c>
      <c r="F65" s="879"/>
      <c r="G65" s="49">
        <f t="shared" si="9"/>
        <v>1</v>
      </c>
      <c r="H65" s="879"/>
      <c r="I65" s="49">
        <f t="shared" si="10"/>
        <v>1</v>
      </c>
      <c r="J65" s="879"/>
      <c r="K65" s="49">
        <f t="shared" si="11"/>
        <v>1</v>
      </c>
      <c r="L65" s="879"/>
      <c r="M65" s="49">
        <f t="shared" si="12"/>
        <v>1</v>
      </c>
      <c r="N65" s="879"/>
      <c r="O65" s="49">
        <f t="shared" si="13"/>
        <v>1</v>
      </c>
      <c r="P65" s="879"/>
      <c r="Q65" s="49">
        <f t="shared" si="14"/>
        <v>1</v>
      </c>
      <c r="R65" s="49">
        <f t="shared" si="15"/>
        <v>0</v>
      </c>
      <c r="S65" s="734">
        <f t="shared" si="16"/>
        <v>0</v>
      </c>
    </row>
    <row r="66" spans="1:19">
      <c r="A66" s="880"/>
      <c r="B66" s="126"/>
      <c r="C66" s="49">
        <f t="shared" si="7"/>
        <v>1</v>
      </c>
      <c r="D66" s="879"/>
      <c r="E66" s="49">
        <f t="shared" si="8"/>
        <v>1</v>
      </c>
      <c r="F66" s="879"/>
      <c r="G66" s="49">
        <f t="shared" si="9"/>
        <v>1</v>
      </c>
      <c r="H66" s="879"/>
      <c r="I66" s="49">
        <f t="shared" si="10"/>
        <v>1</v>
      </c>
      <c r="J66" s="879"/>
      <c r="K66" s="49">
        <f t="shared" si="11"/>
        <v>1</v>
      </c>
      <c r="L66" s="879"/>
      <c r="M66" s="49">
        <f t="shared" si="12"/>
        <v>1</v>
      </c>
      <c r="N66" s="879"/>
      <c r="O66" s="49">
        <f t="shared" si="13"/>
        <v>1</v>
      </c>
      <c r="P66" s="879"/>
      <c r="Q66" s="49">
        <f t="shared" si="14"/>
        <v>1</v>
      </c>
      <c r="R66" s="49">
        <f t="shared" si="15"/>
        <v>0</v>
      </c>
      <c r="S66" s="734">
        <f t="shared" si="16"/>
        <v>0</v>
      </c>
    </row>
    <row r="67" spans="1:19">
      <c r="A67" s="880"/>
      <c r="B67" s="126"/>
      <c r="C67" s="49">
        <f t="shared" si="7"/>
        <v>1</v>
      </c>
      <c r="D67" s="879"/>
      <c r="E67" s="49">
        <f t="shared" si="8"/>
        <v>1</v>
      </c>
      <c r="F67" s="879"/>
      <c r="G67" s="49">
        <f t="shared" si="9"/>
        <v>1</v>
      </c>
      <c r="H67" s="879"/>
      <c r="I67" s="49">
        <f t="shared" si="10"/>
        <v>1</v>
      </c>
      <c r="J67" s="879"/>
      <c r="K67" s="49">
        <f t="shared" si="11"/>
        <v>1</v>
      </c>
      <c r="L67" s="879"/>
      <c r="M67" s="49">
        <f t="shared" si="12"/>
        <v>1</v>
      </c>
      <c r="N67" s="879"/>
      <c r="O67" s="49">
        <f t="shared" si="13"/>
        <v>1</v>
      </c>
      <c r="P67" s="879"/>
      <c r="Q67" s="49">
        <f t="shared" si="14"/>
        <v>1</v>
      </c>
      <c r="R67" s="49">
        <f t="shared" si="15"/>
        <v>0</v>
      </c>
      <c r="S67" s="734">
        <f t="shared" si="16"/>
        <v>0</v>
      </c>
    </row>
    <row r="68" spans="1:19">
      <c r="A68" s="880"/>
      <c r="B68" s="126"/>
      <c r="C68" s="49">
        <f t="shared" si="7"/>
        <v>1</v>
      </c>
      <c r="D68" s="879"/>
      <c r="E68" s="49">
        <f t="shared" si="8"/>
        <v>1</v>
      </c>
      <c r="F68" s="879"/>
      <c r="G68" s="49">
        <f t="shared" si="9"/>
        <v>1</v>
      </c>
      <c r="H68" s="879"/>
      <c r="I68" s="49">
        <f t="shared" si="10"/>
        <v>1</v>
      </c>
      <c r="J68" s="879"/>
      <c r="K68" s="49">
        <f t="shared" si="11"/>
        <v>1</v>
      </c>
      <c r="L68" s="879"/>
      <c r="M68" s="49">
        <f t="shared" si="12"/>
        <v>1</v>
      </c>
      <c r="N68" s="879"/>
      <c r="O68" s="49">
        <f t="shared" si="13"/>
        <v>1</v>
      </c>
      <c r="P68" s="879"/>
      <c r="Q68" s="49">
        <f t="shared" si="14"/>
        <v>1</v>
      </c>
      <c r="R68" s="49">
        <f t="shared" si="15"/>
        <v>0</v>
      </c>
      <c r="S68" s="734">
        <f t="shared" si="16"/>
        <v>0</v>
      </c>
    </row>
    <row r="69" spans="1:19">
      <c r="A69" s="880"/>
      <c r="B69" s="126"/>
      <c r="C69" s="49">
        <f t="shared" si="7"/>
        <v>1</v>
      </c>
      <c r="D69" s="879"/>
      <c r="E69" s="49">
        <f t="shared" si="8"/>
        <v>1</v>
      </c>
      <c r="F69" s="879"/>
      <c r="G69" s="49">
        <f t="shared" si="9"/>
        <v>1</v>
      </c>
      <c r="H69" s="879"/>
      <c r="I69" s="49">
        <f t="shared" si="10"/>
        <v>1</v>
      </c>
      <c r="J69" s="879"/>
      <c r="K69" s="49">
        <f t="shared" si="11"/>
        <v>1</v>
      </c>
      <c r="L69" s="879"/>
      <c r="M69" s="49">
        <f t="shared" si="12"/>
        <v>1</v>
      </c>
      <c r="N69" s="879"/>
      <c r="O69" s="49">
        <f t="shared" si="13"/>
        <v>1</v>
      </c>
      <c r="P69" s="879"/>
      <c r="Q69" s="49">
        <f t="shared" si="14"/>
        <v>1</v>
      </c>
      <c r="R69" s="49">
        <f t="shared" si="15"/>
        <v>0</v>
      </c>
      <c r="S69" s="734">
        <f t="shared" si="16"/>
        <v>0</v>
      </c>
    </row>
    <row r="70" spans="1:19">
      <c r="A70" s="880"/>
      <c r="B70" s="126"/>
      <c r="C70" s="49">
        <f t="shared" si="7"/>
        <v>1</v>
      </c>
      <c r="D70" s="879"/>
      <c r="E70" s="49">
        <f t="shared" si="8"/>
        <v>1</v>
      </c>
      <c r="F70" s="879"/>
      <c r="G70" s="49">
        <f t="shared" si="9"/>
        <v>1</v>
      </c>
      <c r="H70" s="879"/>
      <c r="I70" s="49">
        <f t="shared" si="10"/>
        <v>1</v>
      </c>
      <c r="J70" s="879"/>
      <c r="K70" s="49">
        <f t="shared" si="11"/>
        <v>1</v>
      </c>
      <c r="L70" s="879"/>
      <c r="M70" s="49">
        <f t="shared" si="12"/>
        <v>1</v>
      </c>
      <c r="N70" s="879"/>
      <c r="O70" s="49">
        <f t="shared" si="13"/>
        <v>1</v>
      </c>
      <c r="P70" s="879"/>
      <c r="Q70" s="49">
        <f t="shared" si="14"/>
        <v>1</v>
      </c>
      <c r="R70" s="49">
        <f t="shared" si="15"/>
        <v>0</v>
      </c>
      <c r="S70" s="734">
        <f t="shared" si="16"/>
        <v>0</v>
      </c>
    </row>
    <row r="71" spans="1:19">
      <c r="A71" s="880"/>
      <c r="B71" s="126"/>
      <c r="C71" s="49">
        <f t="shared" si="7"/>
        <v>1</v>
      </c>
      <c r="D71" s="879"/>
      <c r="E71" s="49">
        <f t="shared" si="8"/>
        <v>1</v>
      </c>
      <c r="F71" s="879"/>
      <c r="G71" s="49">
        <f t="shared" si="9"/>
        <v>1</v>
      </c>
      <c r="H71" s="879"/>
      <c r="I71" s="49">
        <f t="shared" si="10"/>
        <v>1</v>
      </c>
      <c r="J71" s="879"/>
      <c r="K71" s="49">
        <f t="shared" si="11"/>
        <v>1</v>
      </c>
      <c r="L71" s="879"/>
      <c r="M71" s="49">
        <f t="shared" si="12"/>
        <v>1</v>
      </c>
      <c r="N71" s="879"/>
      <c r="O71" s="49">
        <f t="shared" si="13"/>
        <v>1</v>
      </c>
      <c r="P71" s="879"/>
      <c r="Q71" s="49">
        <f t="shared" si="14"/>
        <v>1</v>
      </c>
      <c r="R71" s="49">
        <f t="shared" si="15"/>
        <v>0</v>
      </c>
      <c r="S71" s="734">
        <f t="shared" si="16"/>
        <v>0</v>
      </c>
    </row>
    <row r="72" spans="1:19">
      <c r="A72" s="880"/>
      <c r="B72" s="126"/>
      <c r="C72" s="49">
        <f t="shared" si="7"/>
        <v>1</v>
      </c>
      <c r="D72" s="879"/>
      <c r="E72" s="49">
        <f t="shared" si="8"/>
        <v>1</v>
      </c>
      <c r="F72" s="879"/>
      <c r="G72" s="49">
        <f t="shared" si="9"/>
        <v>1</v>
      </c>
      <c r="H72" s="879"/>
      <c r="I72" s="49">
        <f t="shared" si="10"/>
        <v>1</v>
      </c>
      <c r="J72" s="879"/>
      <c r="K72" s="49">
        <f t="shared" si="11"/>
        <v>1</v>
      </c>
      <c r="L72" s="879"/>
      <c r="M72" s="49">
        <f t="shared" si="12"/>
        <v>1</v>
      </c>
      <c r="N72" s="879"/>
      <c r="O72" s="49">
        <f t="shared" si="13"/>
        <v>1</v>
      </c>
      <c r="P72" s="879"/>
      <c r="Q72" s="49">
        <f t="shared" si="14"/>
        <v>1</v>
      </c>
      <c r="R72" s="49">
        <f t="shared" si="15"/>
        <v>0</v>
      </c>
      <c r="S72" s="734">
        <f t="shared" si="16"/>
        <v>0</v>
      </c>
    </row>
    <row r="73" spans="1:19">
      <c r="A73" s="880"/>
      <c r="B73" s="126"/>
      <c r="C73" s="49">
        <f t="shared" si="7"/>
        <v>1</v>
      </c>
      <c r="D73" s="879"/>
      <c r="E73" s="49">
        <f t="shared" si="8"/>
        <v>1</v>
      </c>
      <c r="F73" s="879"/>
      <c r="G73" s="49">
        <f t="shared" si="9"/>
        <v>1</v>
      </c>
      <c r="H73" s="879"/>
      <c r="I73" s="49">
        <f t="shared" si="10"/>
        <v>1</v>
      </c>
      <c r="J73" s="879"/>
      <c r="K73" s="49">
        <f t="shared" si="11"/>
        <v>1</v>
      </c>
      <c r="L73" s="879"/>
      <c r="M73" s="49">
        <f t="shared" si="12"/>
        <v>1</v>
      </c>
      <c r="N73" s="879"/>
      <c r="O73" s="49">
        <f t="shared" si="13"/>
        <v>1</v>
      </c>
      <c r="P73" s="879"/>
      <c r="Q73" s="49">
        <f t="shared" si="14"/>
        <v>1</v>
      </c>
      <c r="R73" s="49">
        <f t="shared" si="15"/>
        <v>0</v>
      </c>
      <c r="S73" s="734">
        <f t="shared" si="16"/>
        <v>0</v>
      </c>
    </row>
    <row r="74" spans="1:19">
      <c r="A74" s="880"/>
      <c r="B74" s="126"/>
      <c r="C74" s="49">
        <f t="shared" si="7"/>
        <v>1</v>
      </c>
      <c r="D74" s="879"/>
      <c r="E74" s="49">
        <f t="shared" si="8"/>
        <v>1</v>
      </c>
      <c r="F74" s="879"/>
      <c r="G74" s="49">
        <f t="shared" si="9"/>
        <v>1</v>
      </c>
      <c r="H74" s="879"/>
      <c r="I74" s="49">
        <f t="shared" si="10"/>
        <v>1</v>
      </c>
      <c r="J74" s="879"/>
      <c r="K74" s="49">
        <f t="shared" si="11"/>
        <v>1</v>
      </c>
      <c r="L74" s="879"/>
      <c r="M74" s="49">
        <f t="shared" si="12"/>
        <v>1</v>
      </c>
      <c r="N74" s="879"/>
      <c r="O74" s="49">
        <f t="shared" si="13"/>
        <v>1</v>
      </c>
      <c r="P74" s="879"/>
      <c r="Q74" s="49">
        <f t="shared" si="14"/>
        <v>1</v>
      </c>
      <c r="R74" s="49">
        <f t="shared" si="15"/>
        <v>0</v>
      </c>
      <c r="S74" s="734">
        <f t="shared" si="16"/>
        <v>0</v>
      </c>
    </row>
    <row r="75" spans="1:19">
      <c r="A75" s="880"/>
      <c r="B75" s="126"/>
      <c r="C75" s="49">
        <f t="shared" si="7"/>
        <v>1</v>
      </c>
      <c r="D75" s="879"/>
      <c r="E75" s="49">
        <f t="shared" si="8"/>
        <v>1</v>
      </c>
      <c r="F75" s="879"/>
      <c r="G75" s="49">
        <f t="shared" si="9"/>
        <v>1</v>
      </c>
      <c r="H75" s="879"/>
      <c r="I75" s="49">
        <f t="shared" si="10"/>
        <v>1</v>
      </c>
      <c r="J75" s="879"/>
      <c r="K75" s="49">
        <f t="shared" si="11"/>
        <v>1</v>
      </c>
      <c r="L75" s="879"/>
      <c r="M75" s="49">
        <f t="shared" si="12"/>
        <v>1</v>
      </c>
      <c r="N75" s="879"/>
      <c r="O75" s="49">
        <f t="shared" si="13"/>
        <v>1</v>
      </c>
      <c r="P75" s="879"/>
      <c r="Q75" s="49">
        <f t="shared" si="14"/>
        <v>1</v>
      </c>
      <c r="R75" s="49">
        <f t="shared" si="15"/>
        <v>0</v>
      </c>
      <c r="S75" s="734">
        <f t="shared" si="16"/>
        <v>0</v>
      </c>
    </row>
    <row r="76" spans="1:19">
      <c r="A76" s="880"/>
      <c r="B76" s="126"/>
      <c r="C76" s="49">
        <f t="shared" si="7"/>
        <v>1</v>
      </c>
      <c r="D76" s="879"/>
      <c r="E76" s="49">
        <f t="shared" si="8"/>
        <v>1</v>
      </c>
      <c r="F76" s="879"/>
      <c r="G76" s="49">
        <f t="shared" si="9"/>
        <v>1</v>
      </c>
      <c r="H76" s="879"/>
      <c r="I76" s="49">
        <f t="shared" si="10"/>
        <v>1</v>
      </c>
      <c r="J76" s="879"/>
      <c r="K76" s="49">
        <f t="shared" si="11"/>
        <v>1</v>
      </c>
      <c r="L76" s="879"/>
      <c r="M76" s="49">
        <f t="shared" si="12"/>
        <v>1</v>
      </c>
      <c r="N76" s="879"/>
      <c r="O76" s="49">
        <f t="shared" si="13"/>
        <v>1</v>
      </c>
      <c r="P76" s="879"/>
      <c r="Q76" s="49">
        <f t="shared" si="14"/>
        <v>1</v>
      </c>
      <c r="R76" s="49">
        <f t="shared" si="15"/>
        <v>0</v>
      </c>
      <c r="S76" s="734">
        <f t="shared" si="16"/>
        <v>0</v>
      </c>
    </row>
    <row r="77" spans="1:19">
      <c r="A77" s="880"/>
      <c r="B77" s="126"/>
      <c r="C77" s="49">
        <f t="shared" si="7"/>
        <v>1</v>
      </c>
      <c r="D77" s="879"/>
      <c r="E77" s="49">
        <f t="shared" si="8"/>
        <v>1</v>
      </c>
      <c r="F77" s="879"/>
      <c r="G77" s="49">
        <f t="shared" si="9"/>
        <v>1</v>
      </c>
      <c r="H77" s="879"/>
      <c r="I77" s="49">
        <f t="shared" si="10"/>
        <v>1</v>
      </c>
      <c r="J77" s="879"/>
      <c r="K77" s="49">
        <f t="shared" si="11"/>
        <v>1</v>
      </c>
      <c r="L77" s="879"/>
      <c r="M77" s="49">
        <f t="shared" si="12"/>
        <v>1</v>
      </c>
      <c r="N77" s="879"/>
      <c r="O77" s="49">
        <f t="shared" si="13"/>
        <v>1</v>
      </c>
      <c r="P77" s="879"/>
      <c r="Q77" s="49">
        <f t="shared" si="14"/>
        <v>1</v>
      </c>
      <c r="R77" s="49">
        <f t="shared" si="15"/>
        <v>0</v>
      </c>
      <c r="S77" s="734">
        <f t="shared" si="16"/>
        <v>0</v>
      </c>
    </row>
    <row r="78" spans="1:19">
      <c r="A78" s="880"/>
      <c r="B78" s="126"/>
      <c r="C78" s="49">
        <f t="shared" si="7"/>
        <v>1</v>
      </c>
      <c r="D78" s="879"/>
      <c r="E78" s="49">
        <f t="shared" si="8"/>
        <v>1</v>
      </c>
      <c r="F78" s="879"/>
      <c r="G78" s="49">
        <f t="shared" si="9"/>
        <v>1</v>
      </c>
      <c r="H78" s="879"/>
      <c r="I78" s="49">
        <f t="shared" si="10"/>
        <v>1</v>
      </c>
      <c r="J78" s="879"/>
      <c r="K78" s="49">
        <f t="shared" si="11"/>
        <v>1</v>
      </c>
      <c r="L78" s="879"/>
      <c r="M78" s="49">
        <f t="shared" si="12"/>
        <v>1</v>
      </c>
      <c r="N78" s="879"/>
      <c r="O78" s="49">
        <f t="shared" si="13"/>
        <v>1</v>
      </c>
      <c r="P78" s="879"/>
      <c r="Q78" s="49">
        <f t="shared" si="14"/>
        <v>1</v>
      </c>
      <c r="R78" s="49">
        <f t="shared" si="15"/>
        <v>0</v>
      </c>
      <c r="S78" s="734">
        <f t="shared" ref="S78:S122" si="17">ROUND(R78*B78/10000,0)</f>
        <v>0</v>
      </c>
    </row>
    <row r="79" spans="1:19">
      <c r="A79" s="880"/>
      <c r="B79" s="126"/>
      <c r="C79" s="49">
        <f t="shared" si="7"/>
        <v>1</v>
      </c>
      <c r="D79" s="879"/>
      <c r="E79" s="49">
        <f t="shared" si="8"/>
        <v>1</v>
      </c>
      <c r="F79" s="879"/>
      <c r="G79" s="49">
        <f t="shared" si="9"/>
        <v>1</v>
      </c>
      <c r="H79" s="879"/>
      <c r="I79" s="49">
        <f t="shared" si="10"/>
        <v>1</v>
      </c>
      <c r="J79" s="879"/>
      <c r="K79" s="49">
        <f t="shared" si="11"/>
        <v>1</v>
      </c>
      <c r="L79" s="879"/>
      <c r="M79" s="49">
        <f t="shared" si="12"/>
        <v>1</v>
      </c>
      <c r="N79" s="879"/>
      <c r="O79" s="49">
        <f t="shared" si="13"/>
        <v>1</v>
      </c>
      <c r="P79" s="879"/>
      <c r="Q79" s="49">
        <f t="shared" si="14"/>
        <v>1</v>
      </c>
      <c r="R79" s="49">
        <f t="shared" si="15"/>
        <v>0</v>
      </c>
      <c r="S79" s="734">
        <f t="shared" si="17"/>
        <v>0</v>
      </c>
    </row>
    <row r="80" spans="1:19">
      <c r="A80" s="880"/>
      <c r="B80" s="126"/>
      <c r="C80" s="49">
        <f t="shared" si="7"/>
        <v>1</v>
      </c>
      <c r="D80" s="879"/>
      <c r="E80" s="49">
        <f t="shared" si="8"/>
        <v>1</v>
      </c>
      <c r="F80" s="879"/>
      <c r="G80" s="49">
        <f t="shared" si="9"/>
        <v>1</v>
      </c>
      <c r="H80" s="879"/>
      <c r="I80" s="49">
        <f t="shared" si="10"/>
        <v>1</v>
      </c>
      <c r="J80" s="879"/>
      <c r="K80" s="49">
        <f t="shared" si="11"/>
        <v>1</v>
      </c>
      <c r="L80" s="879"/>
      <c r="M80" s="49">
        <f t="shared" si="12"/>
        <v>1</v>
      </c>
      <c r="N80" s="879"/>
      <c r="O80" s="49">
        <f t="shared" si="13"/>
        <v>1</v>
      </c>
      <c r="P80" s="879"/>
      <c r="Q80" s="49">
        <f t="shared" si="14"/>
        <v>1</v>
      </c>
      <c r="R80" s="49">
        <f t="shared" si="15"/>
        <v>0</v>
      </c>
      <c r="S80" s="734">
        <f t="shared" si="17"/>
        <v>0</v>
      </c>
    </row>
    <row r="81" spans="1:19">
      <c r="A81" s="880"/>
      <c r="B81" s="126"/>
      <c r="C81" s="49">
        <f t="shared" si="7"/>
        <v>1</v>
      </c>
      <c r="D81" s="879"/>
      <c r="E81" s="49">
        <f t="shared" si="8"/>
        <v>1</v>
      </c>
      <c r="F81" s="879"/>
      <c r="G81" s="49">
        <f t="shared" si="9"/>
        <v>1</v>
      </c>
      <c r="H81" s="879"/>
      <c r="I81" s="49">
        <f t="shared" si="10"/>
        <v>1</v>
      </c>
      <c r="J81" s="879"/>
      <c r="K81" s="49">
        <f t="shared" si="11"/>
        <v>1</v>
      </c>
      <c r="L81" s="879"/>
      <c r="M81" s="49">
        <f t="shared" si="12"/>
        <v>1</v>
      </c>
      <c r="N81" s="879"/>
      <c r="O81" s="49">
        <f t="shared" si="13"/>
        <v>1</v>
      </c>
      <c r="P81" s="879"/>
      <c r="Q81" s="49">
        <f t="shared" si="14"/>
        <v>1</v>
      </c>
      <c r="R81" s="49">
        <f t="shared" si="15"/>
        <v>0</v>
      </c>
      <c r="S81" s="734">
        <f t="shared" si="17"/>
        <v>0</v>
      </c>
    </row>
    <row r="82" spans="1:19">
      <c r="A82" s="880"/>
      <c r="B82" s="126"/>
      <c r="C82" s="49">
        <f t="shared" si="7"/>
        <v>1</v>
      </c>
      <c r="D82" s="879"/>
      <c r="E82" s="49">
        <f t="shared" si="8"/>
        <v>1</v>
      </c>
      <c r="F82" s="879"/>
      <c r="G82" s="49">
        <f t="shared" si="9"/>
        <v>1</v>
      </c>
      <c r="H82" s="879"/>
      <c r="I82" s="49">
        <f t="shared" si="10"/>
        <v>1</v>
      </c>
      <c r="J82" s="879"/>
      <c r="K82" s="49">
        <f t="shared" si="11"/>
        <v>1</v>
      </c>
      <c r="L82" s="879"/>
      <c r="M82" s="49">
        <f t="shared" si="12"/>
        <v>1</v>
      </c>
      <c r="N82" s="879"/>
      <c r="O82" s="49">
        <f t="shared" si="13"/>
        <v>1</v>
      </c>
      <c r="P82" s="879"/>
      <c r="Q82" s="49">
        <f t="shared" si="14"/>
        <v>1</v>
      </c>
      <c r="R82" s="49">
        <f t="shared" si="15"/>
        <v>0</v>
      </c>
      <c r="S82" s="734">
        <f t="shared" si="17"/>
        <v>0</v>
      </c>
    </row>
    <row r="83" spans="1:19">
      <c r="A83" s="880"/>
      <c r="B83" s="126"/>
      <c r="C83" s="49">
        <f t="shared" si="7"/>
        <v>1</v>
      </c>
      <c r="D83" s="879"/>
      <c r="E83" s="49">
        <f t="shared" si="8"/>
        <v>1</v>
      </c>
      <c r="F83" s="879"/>
      <c r="G83" s="49">
        <f t="shared" si="9"/>
        <v>1</v>
      </c>
      <c r="H83" s="879"/>
      <c r="I83" s="49">
        <f t="shared" si="10"/>
        <v>1</v>
      </c>
      <c r="J83" s="879"/>
      <c r="K83" s="49">
        <f t="shared" si="11"/>
        <v>1</v>
      </c>
      <c r="L83" s="879"/>
      <c r="M83" s="49">
        <f t="shared" si="12"/>
        <v>1</v>
      </c>
      <c r="N83" s="879"/>
      <c r="O83" s="49">
        <f t="shared" si="13"/>
        <v>1</v>
      </c>
      <c r="P83" s="879"/>
      <c r="Q83" s="49">
        <f t="shared" si="14"/>
        <v>1</v>
      </c>
      <c r="R83" s="49">
        <f t="shared" si="15"/>
        <v>0</v>
      </c>
      <c r="S83" s="734">
        <f t="shared" si="17"/>
        <v>0</v>
      </c>
    </row>
    <row r="84" spans="1:19">
      <c r="A84" s="880"/>
      <c r="B84" s="126"/>
      <c r="C84" s="49">
        <f t="shared" si="7"/>
        <v>1</v>
      </c>
      <c r="D84" s="879"/>
      <c r="E84" s="49">
        <f t="shared" si="8"/>
        <v>1</v>
      </c>
      <c r="F84" s="879"/>
      <c r="G84" s="49">
        <f t="shared" si="9"/>
        <v>1</v>
      </c>
      <c r="H84" s="879"/>
      <c r="I84" s="49">
        <f t="shared" si="10"/>
        <v>1</v>
      </c>
      <c r="J84" s="879"/>
      <c r="K84" s="49">
        <f t="shared" si="11"/>
        <v>1</v>
      </c>
      <c r="L84" s="879"/>
      <c r="M84" s="49">
        <f t="shared" si="12"/>
        <v>1</v>
      </c>
      <c r="N84" s="879"/>
      <c r="O84" s="49">
        <f t="shared" si="13"/>
        <v>1</v>
      </c>
      <c r="P84" s="879"/>
      <c r="Q84" s="49">
        <f t="shared" si="14"/>
        <v>1</v>
      </c>
      <c r="R84" s="49">
        <f t="shared" si="15"/>
        <v>0</v>
      </c>
      <c r="S84" s="734">
        <f t="shared" si="17"/>
        <v>0</v>
      </c>
    </row>
    <row r="85" spans="1:19">
      <c r="A85" s="880"/>
      <c r="B85" s="126"/>
      <c r="C85" s="49">
        <f t="shared" si="7"/>
        <v>1</v>
      </c>
      <c r="D85" s="879"/>
      <c r="E85" s="49">
        <f t="shared" si="8"/>
        <v>1</v>
      </c>
      <c r="F85" s="879"/>
      <c r="G85" s="49">
        <f t="shared" si="9"/>
        <v>1</v>
      </c>
      <c r="H85" s="879"/>
      <c r="I85" s="49">
        <f t="shared" si="10"/>
        <v>1</v>
      </c>
      <c r="J85" s="879"/>
      <c r="K85" s="49">
        <f t="shared" si="11"/>
        <v>1</v>
      </c>
      <c r="L85" s="879"/>
      <c r="M85" s="49">
        <f t="shared" si="12"/>
        <v>1</v>
      </c>
      <c r="N85" s="879"/>
      <c r="O85" s="49">
        <f t="shared" si="13"/>
        <v>1</v>
      </c>
      <c r="P85" s="879"/>
      <c r="Q85" s="49">
        <f t="shared" si="14"/>
        <v>1</v>
      </c>
      <c r="R85" s="49">
        <f t="shared" si="15"/>
        <v>0</v>
      </c>
      <c r="S85" s="734">
        <f t="shared" si="17"/>
        <v>0</v>
      </c>
    </row>
    <row r="86" spans="1:19">
      <c r="A86" s="880"/>
      <c r="B86" s="126"/>
      <c r="C86" s="49">
        <f t="shared" si="7"/>
        <v>1</v>
      </c>
      <c r="D86" s="879"/>
      <c r="E86" s="49">
        <f t="shared" si="8"/>
        <v>1</v>
      </c>
      <c r="F86" s="879"/>
      <c r="G86" s="49">
        <f t="shared" si="9"/>
        <v>1</v>
      </c>
      <c r="H86" s="879"/>
      <c r="I86" s="49">
        <f t="shared" si="10"/>
        <v>1</v>
      </c>
      <c r="J86" s="879"/>
      <c r="K86" s="49">
        <f t="shared" si="11"/>
        <v>1</v>
      </c>
      <c r="L86" s="879"/>
      <c r="M86" s="49">
        <f t="shared" si="12"/>
        <v>1</v>
      </c>
      <c r="N86" s="879"/>
      <c r="O86" s="49">
        <f t="shared" si="13"/>
        <v>1</v>
      </c>
      <c r="P86" s="879"/>
      <c r="Q86" s="49">
        <f t="shared" si="14"/>
        <v>1</v>
      </c>
      <c r="R86" s="49">
        <f t="shared" si="15"/>
        <v>0</v>
      </c>
      <c r="S86" s="734">
        <f t="shared" si="17"/>
        <v>0</v>
      </c>
    </row>
    <row r="87" spans="1:19">
      <c r="A87" s="880"/>
      <c r="B87" s="126"/>
      <c r="C87" s="49">
        <f t="shared" si="7"/>
        <v>1</v>
      </c>
      <c r="D87" s="879"/>
      <c r="E87" s="49">
        <f t="shared" si="8"/>
        <v>1</v>
      </c>
      <c r="F87" s="879"/>
      <c r="G87" s="49">
        <f t="shared" si="9"/>
        <v>1</v>
      </c>
      <c r="H87" s="879"/>
      <c r="I87" s="49">
        <f t="shared" si="10"/>
        <v>1</v>
      </c>
      <c r="J87" s="879"/>
      <c r="K87" s="49">
        <f t="shared" si="11"/>
        <v>1</v>
      </c>
      <c r="L87" s="879"/>
      <c r="M87" s="49">
        <f t="shared" si="12"/>
        <v>1</v>
      </c>
      <c r="N87" s="879"/>
      <c r="O87" s="49">
        <f t="shared" si="13"/>
        <v>1</v>
      </c>
      <c r="P87" s="879"/>
      <c r="Q87" s="49">
        <f t="shared" si="14"/>
        <v>1</v>
      </c>
      <c r="R87" s="49">
        <f t="shared" si="15"/>
        <v>0</v>
      </c>
      <c r="S87" s="734">
        <f t="shared" si="17"/>
        <v>0</v>
      </c>
    </row>
    <row r="88" spans="1:19">
      <c r="A88" s="880"/>
      <c r="B88" s="126"/>
      <c r="C88" s="49">
        <f t="shared" si="7"/>
        <v>1</v>
      </c>
      <c r="D88" s="879"/>
      <c r="E88" s="49">
        <f t="shared" si="8"/>
        <v>1</v>
      </c>
      <c r="F88" s="879"/>
      <c r="G88" s="49">
        <f t="shared" si="9"/>
        <v>1</v>
      </c>
      <c r="H88" s="879"/>
      <c r="I88" s="49">
        <f t="shared" si="10"/>
        <v>1</v>
      </c>
      <c r="J88" s="879"/>
      <c r="K88" s="49">
        <f t="shared" si="11"/>
        <v>1</v>
      </c>
      <c r="L88" s="879"/>
      <c r="M88" s="49">
        <f t="shared" si="12"/>
        <v>1</v>
      </c>
      <c r="N88" s="879"/>
      <c r="O88" s="49">
        <f t="shared" si="13"/>
        <v>1</v>
      </c>
      <c r="P88" s="879"/>
      <c r="Q88" s="49">
        <f t="shared" si="14"/>
        <v>1</v>
      </c>
      <c r="R88" s="49">
        <f t="shared" si="15"/>
        <v>0</v>
      </c>
      <c r="S88" s="734">
        <f t="shared" si="17"/>
        <v>0</v>
      </c>
    </row>
    <row r="89" spans="1:19">
      <c r="A89" s="880"/>
      <c r="B89" s="126"/>
      <c r="C89" s="49">
        <f t="shared" si="7"/>
        <v>1</v>
      </c>
      <c r="D89" s="879"/>
      <c r="E89" s="49">
        <f t="shared" si="8"/>
        <v>1</v>
      </c>
      <c r="F89" s="879"/>
      <c r="G89" s="49">
        <f t="shared" si="9"/>
        <v>1</v>
      </c>
      <c r="H89" s="879"/>
      <c r="I89" s="49">
        <f t="shared" si="10"/>
        <v>1</v>
      </c>
      <c r="J89" s="879"/>
      <c r="K89" s="49">
        <f t="shared" si="11"/>
        <v>1</v>
      </c>
      <c r="L89" s="879"/>
      <c r="M89" s="49">
        <f t="shared" si="12"/>
        <v>1</v>
      </c>
      <c r="N89" s="879"/>
      <c r="O89" s="49">
        <f t="shared" si="13"/>
        <v>1</v>
      </c>
      <c r="P89" s="879"/>
      <c r="Q89" s="49">
        <f t="shared" si="14"/>
        <v>1</v>
      </c>
      <c r="R89" s="49">
        <f t="shared" si="15"/>
        <v>0</v>
      </c>
      <c r="S89" s="734">
        <f t="shared" si="17"/>
        <v>0</v>
      </c>
    </row>
    <row r="90" spans="1:19">
      <c r="A90" s="880"/>
      <c r="B90" s="126"/>
      <c r="C90" s="49">
        <f t="shared" ref="C90:C153" si="18">IF(B90="",1,(LOOKUP(B90,$3:$3,$4:$4)-LOOKUP($B$24,$3:$3,$4:$4)+100)/100)</f>
        <v>1</v>
      </c>
      <c r="D90" s="879"/>
      <c r="E90" s="49">
        <f t="shared" ref="E90:E153" si="19">(SUMIF($5:$5,D90,$6:$6)-SUMIF($5:$5,$D$24,$6:$6)+100)/100</f>
        <v>1</v>
      </c>
      <c r="F90" s="879"/>
      <c r="G90" s="49">
        <f t="shared" ref="G90:G153" si="20">(SUMIF($7:$7,F90,$8:$8)-SUMIF($7:$7,$F$24,$8:$8)+100)/100</f>
        <v>1</v>
      </c>
      <c r="H90" s="879"/>
      <c r="I90" s="49">
        <f t="shared" ref="I90:I153" si="21">(SUMIF($9:$9,H90,$10:$10)-SUMIF($9:$9,$H$24,$10:$10)+100)/100</f>
        <v>1</v>
      </c>
      <c r="J90" s="879"/>
      <c r="K90" s="49">
        <f t="shared" ref="K90:K153" si="22">(SUMIF($11:$11,J90,$12:$12)-SUMIF($11:$11,$J$24,$12:$12)+100)/100</f>
        <v>1</v>
      </c>
      <c r="L90" s="879"/>
      <c r="M90" s="49">
        <f t="shared" ref="M90:M153" si="23">(SUMIF($13:$13,L90,$14:$14)-SUMIF($13:$13,$L$24,$14:$14)+100)/100</f>
        <v>1</v>
      </c>
      <c r="N90" s="879"/>
      <c r="O90" s="49">
        <f t="shared" ref="O90:O153" si="24">(SUMIF($15:$15,N90,$16:$16)-SUMIF($15:$15,$N$24,$16:$16)+100)/100</f>
        <v>1</v>
      </c>
      <c r="P90" s="879"/>
      <c r="Q90" s="49">
        <f t="shared" ref="Q90:Q153" si="25">(SUMIF($17:$17,P90,$18:$18)-SUMIF($17:$17,$P$24,$18:$18)+100)/100</f>
        <v>1</v>
      </c>
      <c r="R90" s="49">
        <f t="shared" ref="R90:R153" si="26">IF(B90="",0,ROUND($R$24*C90*E90*G90*I90*K90*M90*O90*Q90,0))</f>
        <v>0</v>
      </c>
      <c r="S90" s="734">
        <f t="shared" si="17"/>
        <v>0</v>
      </c>
    </row>
    <row r="91" spans="1:19">
      <c r="A91" s="880"/>
      <c r="B91" s="126"/>
      <c r="C91" s="49">
        <f t="shared" si="18"/>
        <v>1</v>
      </c>
      <c r="D91" s="879"/>
      <c r="E91" s="49">
        <f t="shared" si="19"/>
        <v>1</v>
      </c>
      <c r="F91" s="879"/>
      <c r="G91" s="49">
        <f t="shared" si="20"/>
        <v>1</v>
      </c>
      <c r="H91" s="879"/>
      <c r="I91" s="49">
        <f t="shared" si="21"/>
        <v>1</v>
      </c>
      <c r="J91" s="879"/>
      <c r="K91" s="49">
        <f t="shared" si="22"/>
        <v>1</v>
      </c>
      <c r="L91" s="879"/>
      <c r="M91" s="49">
        <f t="shared" si="23"/>
        <v>1</v>
      </c>
      <c r="N91" s="879"/>
      <c r="O91" s="49">
        <f t="shared" si="24"/>
        <v>1</v>
      </c>
      <c r="P91" s="879"/>
      <c r="Q91" s="49">
        <f t="shared" si="25"/>
        <v>1</v>
      </c>
      <c r="R91" s="49">
        <f t="shared" si="26"/>
        <v>0</v>
      </c>
      <c r="S91" s="734">
        <f t="shared" si="17"/>
        <v>0</v>
      </c>
    </row>
    <row r="92" spans="1:19">
      <c r="A92" s="880"/>
      <c r="B92" s="126"/>
      <c r="C92" s="49">
        <f t="shared" si="18"/>
        <v>1</v>
      </c>
      <c r="D92" s="879"/>
      <c r="E92" s="49">
        <f t="shared" si="19"/>
        <v>1</v>
      </c>
      <c r="F92" s="879"/>
      <c r="G92" s="49">
        <f t="shared" si="20"/>
        <v>1</v>
      </c>
      <c r="H92" s="879"/>
      <c r="I92" s="49">
        <f t="shared" si="21"/>
        <v>1</v>
      </c>
      <c r="J92" s="879"/>
      <c r="K92" s="49">
        <f t="shared" si="22"/>
        <v>1</v>
      </c>
      <c r="L92" s="879"/>
      <c r="M92" s="49">
        <f t="shared" si="23"/>
        <v>1</v>
      </c>
      <c r="N92" s="879"/>
      <c r="O92" s="49">
        <f t="shared" si="24"/>
        <v>1</v>
      </c>
      <c r="P92" s="879"/>
      <c r="Q92" s="49">
        <f t="shared" si="25"/>
        <v>1</v>
      </c>
      <c r="R92" s="49">
        <f t="shared" si="26"/>
        <v>0</v>
      </c>
      <c r="S92" s="734">
        <f t="shared" si="17"/>
        <v>0</v>
      </c>
    </row>
    <row r="93" spans="1:19">
      <c r="A93" s="880"/>
      <c r="B93" s="126"/>
      <c r="C93" s="49">
        <f t="shared" si="18"/>
        <v>1</v>
      </c>
      <c r="D93" s="879"/>
      <c r="E93" s="49">
        <f t="shared" si="19"/>
        <v>1</v>
      </c>
      <c r="F93" s="879"/>
      <c r="G93" s="49">
        <f t="shared" si="20"/>
        <v>1</v>
      </c>
      <c r="H93" s="879"/>
      <c r="I93" s="49">
        <f t="shared" si="21"/>
        <v>1</v>
      </c>
      <c r="J93" s="879"/>
      <c r="K93" s="49">
        <f t="shared" si="22"/>
        <v>1</v>
      </c>
      <c r="L93" s="879"/>
      <c r="M93" s="49">
        <f t="shared" si="23"/>
        <v>1</v>
      </c>
      <c r="N93" s="879"/>
      <c r="O93" s="49">
        <f t="shared" si="24"/>
        <v>1</v>
      </c>
      <c r="P93" s="879"/>
      <c r="Q93" s="49">
        <f t="shared" si="25"/>
        <v>1</v>
      </c>
      <c r="R93" s="49">
        <f t="shared" si="26"/>
        <v>0</v>
      </c>
      <c r="S93" s="734">
        <f t="shared" si="17"/>
        <v>0</v>
      </c>
    </row>
    <row r="94" spans="1:19">
      <c r="A94" s="880"/>
      <c r="B94" s="126"/>
      <c r="C94" s="49">
        <f t="shared" si="18"/>
        <v>1</v>
      </c>
      <c r="D94" s="879"/>
      <c r="E94" s="49">
        <f t="shared" si="19"/>
        <v>1</v>
      </c>
      <c r="F94" s="879"/>
      <c r="G94" s="49">
        <f t="shared" si="20"/>
        <v>1</v>
      </c>
      <c r="H94" s="879"/>
      <c r="I94" s="49">
        <f t="shared" si="21"/>
        <v>1</v>
      </c>
      <c r="J94" s="879"/>
      <c r="K94" s="49">
        <f t="shared" si="22"/>
        <v>1</v>
      </c>
      <c r="L94" s="879"/>
      <c r="M94" s="49">
        <f t="shared" si="23"/>
        <v>1</v>
      </c>
      <c r="N94" s="879"/>
      <c r="O94" s="49">
        <f t="shared" si="24"/>
        <v>1</v>
      </c>
      <c r="P94" s="879"/>
      <c r="Q94" s="49">
        <f t="shared" si="25"/>
        <v>1</v>
      </c>
      <c r="R94" s="49">
        <f t="shared" si="26"/>
        <v>0</v>
      </c>
      <c r="S94" s="734">
        <f t="shared" si="17"/>
        <v>0</v>
      </c>
    </row>
    <row r="95" spans="1:19">
      <c r="A95" s="880"/>
      <c r="B95" s="126"/>
      <c r="C95" s="49">
        <f t="shared" si="18"/>
        <v>1</v>
      </c>
      <c r="D95" s="879"/>
      <c r="E95" s="49">
        <f t="shared" si="19"/>
        <v>1</v>
      </c>
      <c r="F95" s="879"/>
      <c r="G95" s="49">
        <f t="shared" si="20"/>
        <v>1</v>
      </c>
      <c r="H95" s="879"/>
      <c r="I95" s="49">
        <f t="shared" si="21"/>
        <v>1</v>
      </c>
      <c r="J95" s="879"/>
      <c r="K95" s="49">
        <f t="shared" si="22"/>
        <v>1</v>
      </c>
      <c r="L95" s="879"/>
      <c r="M95" s="49">
        <f t="shared" si="23"/>
        <v>1</v>
      </c>
      <c r="N95" s="879"/>
      <c r="O95" s="49">
        <f t="shared" si="24"/>
        <v>1</v>
      </c>
      <c r="P95" s="879"/>
      <c r="Q95" s="49">
        <f t="shared" si="25"/>
        <v>1</v>
      </c>
      <c r="R95" s="49">
        <f t="shared" si="26"/>
        <v>0</v>
      </c>
      <c r="S95" s="734">
        <f t="shared" si="17"/>
        <v>0</v>
      </c>
    </row>
    <row r="96" spans="1:19">
      <c r="A96" s="880"/>
      <c r="B96" s="126"/>
      <c r="C96" s="49">
        <f t="shared" si="18"/>
        <v>1</v>
      </c>
      <c r="D96" s="879"/>
      <c r="E96" s="49">
        <f t="shared" si="19"/>
        <v>1</v>
      </c>
      <c r="F96" s="879"/>
      <c r="G96" s="49">
        <f t="shared" si="20"/>
        <v>1</v>
      </c>
      <c r="H96" s="879"/>
      <c r="I96" s="49">
        <f t="shared" si="21"/>
        <v>1</v>
      </c>
      <c r="J96" s="879"/>
      <c r="K96" s="49">
        <f t="shared" si="22"/>
        <v>1</v>
      </c>
      <c r="L96" s="879"/>
      <c r="M96" s="49">
        <f t="shared" si="23"/>
        <v>1</v>
      </c>
      <c r="N96" s="879"/>
      <c r="O96" s="49">
        <f t="shared" si="24"/>
        <v>1</v>
      </c>
      <c r="P96" s="879"/>
      <c r="Q96" s="49">
        <f t="shared" si="25"/>
        <v>1</v>
      </c>
      <c r="R96" s="49">
        <f t="shared" si="26"/>
        <v>0</v>
      </c>
      <c r="S96" s="734">
        <f t="shared" si="17"/>
        <v>0</v>
      </c>
    </row>
    <row r="97" spans="1:19">
      <c r="A97" s="880"/>
      <c r="B97" s="126"/>
      <c r="C97" s="49">
        <f t="shared" si="18"/>
        <v>1</v>
      </c>
      <c r="D97" s="879"/>
      <c r="E97" s="49">
        <f t="shared" si="19"/>
        <v>1</v>
      </c>
      <c r="F97" s="879"/>
      <c r="G97" s="49">
        <f t="shared" si="20"/>
        <v>1</v>
      </c>
      <c r="H97" s="879"/>
      <c r="I97" s="49">
        <f t="shared" si="21"/>
        <v>1</v>
      </c>
      <c r="J97" s="879"/>
      <c r="K97" s="49">
        <f t="shared" si="22"/>
        <v>1</v>
      </c>
      <c r="L97" s="879"/>
      <c r="M97" s="49">
        <f t="shared" si="23"/>
        <v>1</v>
      </c>
      <c r="N97" s="879"/>
      <c r="O97" s="49">
        <f t="shared" si="24"/>
        <v>1</v>
      </c>
      <c r="P97" s="879"/>
      <c r="Q97" s="49">
        <f t="shared" si="25"/>
        <v>1</v>
      </c>
      <c r="R97" s="49">
        <f t="shared" si="26"/>
        <v>0</v>
      </c>
      <c r="S97" s="734">
        <f t="shared" si="17"/>
        <v>0</v>
      </c>
    </row>
    <row r="98" spans="1:19">
      <c r="A98" s="880"/>
      <c r="B98" s="126"/>
      <c r="C98" s="49">
        <f t="shared" si="18"/>
        <v>1</v>
      </c>
      <c r="D98" s="879"/>
      <c r="E98" s="49">
        <f t="shared" si="19"/>
        <v>1</v>
      </c>
      <c r="F98" s="879"/>
      <c r="G98" s="49">
        <f t="shared" si="20"/>
        <v>1</v>
      </c>
      <c r="H98" s="879"/>
      <c r="I98" s="49">
        <f t="shared" si="21"/>
        <v>1</v>
      </c>
      <c r="J98" s="879"/>
      <c r="K98" s="49">
        <f t="shared" si="22"/>
        <v>1</v>
      </c>
      <c r="L98" s="879"/>
      <c r="M98" s="49">
        <f t="shared" si="23"/>
        <v>1</v>
      </c>
      <c r="N98" s="879"/>
      <c r="O98" s="49">
        <f t="shared" si="24"/>
        <v>1</v>
      </c>
      <c r="P98" s="879"/>
      <c r="Q98" s="49">
        <f t="shared" si="25"/>
        <v>1</v>
      </c>
      <c r="R98" s="49">
        <f t="shared" si="26"/>
        <v>0</v>
      </c>
      <c r="S98" s="734">
        <f t="shared" si="17"/>
        <v>0</v>
      </c>
    </row>
    <row r="99" spans="1:19">
      <c r="A99" s="880"/>
      <c r="B99" s="126"/>
      <c r="C99" s="49">
        <f t="shared" si="18"/>
        <v>1</v>
      </c>
      <c r="D99" s="879"/>
      <c r="E99" s="49">
        <f t="shared" si="19"/>
        <v>1</v>
      </c>
      <c r="F99" s="879"/>
      <c r="G99" s="49">
        <f t="shared" si="20"/>
        <v>1</v>
      </c>
      <c r="H99" s="879"/>
      <c r="I99" s="49">
        <f t="shared" si="21"/>
        <v>1</v>
      </c>
      <c r="J99" s="879"/>
      <c r="K99" s="49">
        <f t="shared" si="22"/>
        <v>1</v>
      </c>
      <c r="L99" s="879"/>
      <c r="M99" s="49">
        <f t="shared" si="23"/>
        <v>1</v>
      </c>
      <c r="N99" s="879"/>
      <c r="O99" s="49">
        <f t="shared" si="24"/>
        <v>1</v>
      </c>
      <c r="P99" s="879"/>
      <c r="Q99" s="49">
        <f t="shared" si="25"/>
        <v>1</v>
      </c>
      <c r="R99" s="49">
        <f t="shared" si="26"/>
        <v>0</v>
      </c>
      <c r="S99" s="734">
        <f t="shared" si="17"/>
        <v>0</v>
      </c>
    </row>
    <row r="100" spans="1:19">
      <c r="A100" s="880"/>
      <c r="B100" s="126"/>
      <c r="C100" s="49">
        <f t="shared" si="18"/>
        <v>1</v>
      </c>
      <c r="D100" s="879"/>
      <c r="E100" s="49">
        <f t="shared" si="19"/>
        <v>1</v>
      </c>
      <c r="F100" s="879"/>
      <c r="G100" s="49">
        <f t="shared" si="20"/>
        <v>1</v>
      </c>
      <c r="H100" s="879"/>
      <c r="I100" s="49">
        <f t="shared" si="21"/>
        <v>1</v>
      </c>
      <c r="J100" s="879"/>
      <c r="K100" s="49">
        <f t="shared" si="22"/>
        <v>1</v>
      </c>
      <c r="L100" s="879"/>
      <c r="M100" s="49">
        <f t="shared" si="23"/>
        <v>1</v>
      </c>
      <c r="N100" s="879"/>
      <c r="O100" s="49">
        <f t="shared" si="24"/>
        <v>1</v>
      </c>
      <c r="P100" s="879"/>
      <c r="Q100" s="49">
        <f t="shared" si="25"/>
        <v>1</v>
      </c>
      <c r="R100" s="49">
        <f t="shared" si="26"/>
        <v>0</v>
      </c>
      <c r="S100" s="734">
        <f t="shared" si="17"/>
        <v>0</v>
      </c>
    </row>
    <row r="101" spans="1:19">
      <c r="A101" s="880"/>
      <c r="B101" s="126"/>
      <c r="C101" s="49">
        <f t="shared" si="18"/>
        <v>1</v>
      </c>
      <c r="D101" s="879"/>
      <c r="E101" s="49">
        <f t="shared" si="19"/>
        <v>1</v>
      </c>
      <c r="F101" s="879"/>
      <c r="G101" s="49">
        <f t="shared" si="20"/>
        <v>1</v>
      </c>
      <c r="H101" s="879"/>
      <c r="I101" s="49">
        <f t="shared" si="21"/>
        <v>1</v>
      </c>
      <c r="J101" s="879"/>
      <c r="K101" s="49">
        <f t="shared" si="22"/>
        <v>1</v>
      </c>
      <c r="L101" s="879"/>
      <c r="M101" s="49">
        <f t="shared" si="23"/>
        <v>1</v>
      </c>
      <c r="N101" s="879"/>
      <c r="O101" s="49">
        <f t="shared" si="24"/>
        <v>1</v>
      </c>
      <c r="P101" s="879"/>
      <c r="Q101" s="49">
        <f t="shared" si="25"/>
        <v>1</v>
      </c>
      <c r="R101" s="49">
        <f t="shared" si="26"/>
        <v>0</v>
      </c>
      <c r="S101" s="734">
        <f t="shared" si="17"/>
        <v>0</v>
      </c>
    </row>
    <row r="102" spans="1:19">
      <c r="A102" s="880"/>
      <c r="B102" s="126"/>
      <c r="C102" s="49">
        <f t="shared" si="18"/>
        <v>1</v>
      </c>
      <c r="D102" s="879"/>
      <c r="E102" s="49">
        <f t="shared" si="19"/>
        <v>1</v>
      </c>
      <c r="F102" s="879"/>
      <c r="G102" s="49">
        <f t="shared" si="20"/>
        <v>1</v>
      </c>
      <c r="H102" s="879"/>
      <c r="I102" s="49">
        <f t="shared" si="21"/>
        <v>1</v>
      </c>
      <c r="J102" s="879"/>
      <c r="K102" s="49">
        <f t="shared" si="22"/>
        <v>1</v>
      </c>
      <c r="L102" s="879"/>
      <c r="M102" s="49">
        <f t="shared" si="23"/>
        <v>1</v>
      </c>
      <c r="N102" s="879"/>
      <c r="O102" s="49">
        <f t="shared" si="24"/>
        <v>1</v>
      </c>
      <c r="P102" s="879"/>
      <c r="Q102" s="49">
        <f t="shared" si="25"/>
        <v>1</v>
      </c>
      <c r="R102" s="49">
        <f t="shared" si="26"/>
        <v>0</v>
      </c>
      <c r="S102" s="734">
        <f t="shared" si="17"/>
        <v>0</v>
      </c>
    </row>
    <row r="103" spans="1:19">
      <c r="A103" s="880"/>
      <c r="B103" s="126"/>
      <c r="C103" s="49">
        <f t="shared" si="18"/>
        <v>1</v>
      </c>
      <c r="D103" s="879"/>
      <c r="E103" s="49">
        <f t="shared" si="19"/>
        <v>1</v>
      </c>
      <c r="F103" s="879"/>
      <c r="G103" s="49">
        <f t="shared" si="20"/>
        <v>1</v>
      </c>
      <c r="H103" s="879"/>
      <c r="I103" s="49">
        <f t="shared" si="21"/>
        <v>1</v>
      </c>
      <c r="J103" s="879"/>
      <c r="K103" s="49">
        <f t="shared" si="22"/>
        <v>1</v>
      </c>
      <c r="L103" s="879"/>
      <c r="M103" s="49">
        <f t="shared" si="23"/>
        <v>1</v>
      </c>
      <c r="N103" s="879"/>
      <c r="O103" s="49">
        <f t="shared" si="24"/>
        <v>1</v>
      </c>
      <c r="P103" s="879"/>
      <c r="Q103" s="49">
        <f t="shared" si="25"/>
        <v>1</v>
      </c>
      <c r="R103" s="49">
        <f t="shared" si="26"/>
        <v>0</v>
      </c>
      <c r="S103" s="734">
        <f t="shared" si="17"/>
        <v>0</v>
      </c>
    </row>
    <row r="104" spans="1:19">
      <c r="A104" s="880"/>
      <c r="B104" s="126"/>
      <c r="C104" s="49">
        <f t="shared" si="18"/>
        <v>1</v>
      </c>
      <c r="D104" s="879"/>
      <c r="E104" s="49">
        <f t="shared" si="19"/>
        <v>1</v>
      </c>
      <c r="F104" s="879"/>
      <c r="G104" s="49">
        <f t="shared" si="20"/>
        <v>1</v>
      </c>
      <c r="H104" s="879"/>
      <c r="I104" s="49">
        <f t="shared" si="21"/>
        <v>1</v>
      </c>
      <c r="J104" s="879"/>
      <c r="K104" s="49">
        <f t="shared" si="22"/>
        <v>1</v>
      </c>
      <c r="L104" s="879"/>
      <c r="M104" s="49">
        <f t="shared" si="23"/>
        <v>1</v>
      </c>
      <c r="N104" s="879"/>
      <c r="O104" s="49">
        <f t="shared" si="24"/>
        <v>1</v>
      </c>
      <c r="P104" s="879"/>
      <c r="Q104" s="49">
        <f t="shared" si="25"/>
        <v>1</v>
      </c>
      <c r="R104" s="49">
        <f t="shared" si="26"/>
        <v>0</v>
      </c>
      <c r="S104" s="734">
        <f t="shared" si="17"/>
        <v>0</v>
      </c>
    </row>
    <row r="105" spans="1:19">
      <c r="A105" s="880"/>
      <c r="B105" s="126"/>
      <c r="C105" s="49">
        <f t="shared" si="18"/>
        <v>1</v>
      </c>
      <c r="D105" s="879"/>
      <c r="E105" s="49">
        <f t="shared" si="19"/>
        <v>1</v>
      </c>
      <c r="F105" s="879"/>
      <c r="G105" s="49">
        <f t="shared" si="20"/>
        <v>1</v>
      </c>
      <c r="H105" s="879"/>
      <c r="I105" s="49">
        <f t="shared" si="21"/>
        <v>1</v>
      </c>
      <c r="J105" s="879"/>
      <c r="K105" s="49">
        <f t="shared" si="22"/>
        <v>1</v>
      </c>
      <c r="L105" s="879"/>
      <c r="M105" s="49">
        <f t="shared" si="23"/>
        <v>1</v>
      </c>
      <c r="N105" s="879"/>
      <c r="O105" s="49">
        <f t="shared" si="24"/>
        <v>1</v>
      </c>
      <c r="P105" s="879"/>
      <c r="Q105" s="49">
        <f t="shared" si="25"/>
        <v>1</v>
      </c>
      <c r="R105" s="49">
        <f t="shared" si="26"/>
        <v>0</v>
      </c>
      <c r="S105" s="734">
        <f t="shared" si="17"/>
        <v>0</v>
      </c>
    </row>
    <row r="106" spans="1:19">
      <c r="A106" s="880"/>
      <c r="B106" s="126"/>
      <c r="C106" s="49">
        <f t="shared" si="18"/>
        <v>1</v>
      </c>
      <c r="D106" s="879"/>
      <c r="E106" s="49">
        <f t="shared" si="19"/>
        <v>1</v>
      </c>
      <c r="F106" s="879"/>
      <c r="G106" s="49">
        <f t="shared" si="20"/>
        <v>1</v>
      </c>
      <c r="H106" s="879"/>
      <c r="I106" s="49">
        <f t="shared" si="21"/>
        <v>1</v>
      </c>
      <c r="J106" s="879"/>
      <c r="K106" s="49">
        <f t="shared" si="22"/>
        <v>1</v>
      </c>
      <c r="L106" s="879"/>
      <c r="M106" s="49">
        <f t="shared" si="23"/>
        <v>1</v>
      </c>
      <c r="N106" s="879"/>
      <c r="O106" s="49">
        <f t="shared" si="24"/>
        <v>1</v>
      </c>
      <c r="P106" s="879"/>
      <c r="Q106" s="49">
        <f t="shared" si="25"/>
        <v>1</v>
      </c>
      <c r="R106" s="49">
        <f t="shared" si="26"/>
        <v>0</v>
      </c>
      <c r="S106" s="734">
        <f t="shared" si="17"/>
        <v>0</v>
      </c>
    </row>
    <row r="107" spans="1:19">
      <c r="A107" s="880"/>
      <c r="B107" s="126"/>
      <c r="C107" s="49">
        <f t="shared" si="18"/>
        <v>1</v>
      </c>
      <c r="D107" s="879"/>
      <c r="E107" s="49">
        <f t="shared" si="19"/>
        <v>1</v>
      </c>
      <c r="F107" s="879"/>
      <c r="G107" s="49">
        <f t="shared" si="20"/>
        <v>1</v>
      </c>
      <c r="H107" s="879"/>
      <c r="I107" s="49">
        <f t="shared" si="21"/>
        <v>1</v>
      </c>
      <c r="J107" s="879"/>
      <c r="K107" s="49">
        <f t="shared" si="22"/>
        <v>1</v>
      </c>
      <c r="L107" s="879"/>
      <c r="M107" s="49">
        <f t="shared" si="23"/>
        <v>1</v>
      </c>
      <c r="N107" s="879"/>
      <c r="O107" s="49">
        <f t="shared" si="24"/>
        <v>1</v>
      </c>
      <c r="P107" s="879"/>
      <c r="Q107" s="49">
        <f t="shared" si="25"/>
        <v>1</v>
      </c>
      <c r="R107" s="49">
        <f t="shared" si="26"/>
        <v>0</v>
      </c>
      <c r="S107" s="734">
        <f t="shared" si="17"/>
        <v>0</v>
      </c>
    </row>
    <row r="108" spans="1:19">
      <c r="A108" s="880"/>
      <c r="B108" s="126"/>
      <c r="C108" s="49">
        <f t="shared" si="18"/>
        <v>1</v>
      </c>
      <c r="D108" s="879"/>
      <c r="E108" s="49">
        <f t="shared" si="19"/>
        <v>1</v>
      </c>
      <c r="F108" s="879"/>
      <c r="G108" s="49">
        <f t="shared" si="20"/>
        <v>1</v>
      </c>
      <c r="H108" s="879"/>
      <c r="I108" s="49">
        <f t="shared" si="21"/>
        <v>1</v>
      </c>
      <c r="J108" s="879"/>
      <c r="K108" s="49">
        <f t="shared" si="22"/>
        <v>1</v>
      </c>
      <c r="L108" s="879"/>
      <c r="M108" s="49">
        <f t="shared" si="23"/>
        <v>1</v>
      </c>
      <c r="N108" s="879"/>
      <c r="O108" s="49">
        <f t="shared" si="24"/>
        <v>1</v>
      </c>
      <c r="P108" s="879"/>
      <c r="Q108" s="49">
        <f t="shared" si="25"/>
        <v>1</v>
      </c>
      <c r="R108" s="49">
        <f t="shared" si="26"/>
        <v>0</v>
      </c>
      <c r="S108" s="734">
        <f t="shared" si="17"/>
        <v>0</v>
      </c>
    </row>
    <row r="109" spans="1:19">
      <c r="A109" s="880"/>
      <c r="B109" s="126"/>
      <c r="C109" s="49">
        <f t="shared" si="18"/>
        <v>1</v>
      </c>
      <c r="D109" s="879"/>
      <c r="E109" s="49">
        <f t="shared" si="19"/>
        <v>1</v>
      </c>
      <c r="F109" s="879"/>
      <c r="G109" s="49">
        <f t="shared" si="20"/>
        <v>1</v>
      </c>
      <c r="H109" s="879"/>
      <c r="I109" s="49">
        <f t="shared" si="21"/>
        <v>1</v>
      </c>
      <c r="J109" s="879"/>
      <c r="K109" s="49">
        <f t="shared" si="22"/>
        <v>1</v>
      </c>
      <c r="L109" s="879"/>
      <c r="M109" s="49">
        <f t="shared" si="23"/>
        <v>1</v>
      </c>
      <c r="N109" s="879"/>
      <c r="O109" s="49">
        <f t="shared" si="24"/>
        <v>1</v>
      </c>
      <c r="P109" s="879"/>
      <c r="Q109" s="49">
        <f t="shared" si="25"/>
        <v>1</v>
      </c>
      <c r="R109" s="49">
        <f t="shared" si="26"/>
        <v>0</v>
      </c>
      <c r="S109" s="734">
        <f t="shared" si="17"/>
        <v>0</v>
      </c>
    </row>
    <row r="110" spans="1:19">
      <c r="A110" s="880"/>
      <c r="B110" s="126"/>
      <c r="C110" s="49">
        <f t="shared" si="18"/>
        <v>1</v>
      </c>
      <c r="D110" s="879"/>
      <c r="E110" s="49">
        <f t="shared" si="19"/>
        <v>1</v>
      </c>
      <c r="F110" s="879"/>
      <c r="G110" s="49">
        <f t="shared" si="20"/>
        <v>1</v>
      </c>
      <c r="H110" s="879"/>
      <c r="I110" s="49">
        <f t="shared" si="21"/>
        <v>1</v>
      </c>
      <c r="J110" s="879"/>
      <c r="K110" s="49">
        <f t="shared" si="22"/>
        <v>1</v>
      </c>
      <c r="L110" s="879"/>
      <c r="M110" s="49">
        <f t="shared" si="23"/>
        <v>1</v>
      </c>
      <c r="N110" s="879"/>
      <c r="O110" s="49">
        <f t="shared" si="24"/>
        <v>1</v>
      </c>
      <c r="P110" s="879"/>
      <c r="Q110" s="49">
        <f t="shared" si="25"/>
        <v>1</v>
      </c>
      <c r="R110" s="49">
        <f t="shared" si="26"/>
        <v>0</v>
      </c>
      <c r="S110" s="734">
        <f t="shared" si="17"/>
        <v>0</v>
      </c>
    </row>
    <row r="111" spans="1:19">
      <c r="A111" s="880"/>
      <c r="B111" s="126"/>
      <c r="C111" s="49">
        <f t="shared" si="18"/>
        <v>1</v>
      </c>
      <c r="D111" s="879"/>
      <c r="E111" s="49">
        <f t="shared" si="19"/>
        <v>1</v>
      </c>
      <c r="F111" s="879"/>
      <c r="G111" s="49">
        <f t="shared" si="20"/>
        <v>1</v>
      </c>
      <c r="H111" s="879"/>
      <c r="I111" s="49">
        <f t="shared" si="21"/>
        <v>1</v>
      </c>
      <c r="J111" s="879"/>
      <c r="K111" s="49">
        <f t="shared" si="22"/>
        <v>1</v>
      </c>
      <c r="L111" s="879"/>
      <c r="M111" s="49">
        <f t="shared" si="23"/>
        <v>1</v>
      </c>
      <c r="N111" s="879"/>
      <c r="O111" s="49">
        <f t="shared" si="24"/>
        <v>1</v>
      </c>
      <c r="P111" s="879"/>
      <c r="Q111" s="49">
        <f t="shared" si="25"/>
        <v>1</v>
      </c>
      <c r="R111" s="49">
        <f t="shared" si="26"/>
        <v>0</v>
      </c>
      <c r="S111" s="734">
        <f t="shared" si="17"/>
        <v>0</v>
      </c>
    </row>
    <row r="112" spans="1:19">
      <c r="A112" s="880"/>
      <c r="B112" s="126"/>
      <c r="C112" s="49">
        <f t="shared" si="18"/>
        <v>1</v>
      </c>
      <c r="D112" s="879"/>
      <c r="E112" s="49">
        <f t="shared" si="19"/>
        <v>1</v>
      </c>
      <c r="F112" s="879"/>
      <c r="G112" s="49">
        <f t="shared" si="20"/>
        <v>1</v>
      </c>
      <c r="H112" s="879"/>
      <c r="I112" s="49">
        <f t="shared" si="21"/>
        <v>1</v>
      </c>
      <c r="J112" s="879"/>
      <c r="K112" s="49">
        <f t="shared" si="22"/>
        <v>1</v>
      </c>
      <c r="L112" s="879"/>
      <c r="M112" s="49">
        <f t="shared" si="23"/>
        <v>1</v>
      </c>
      <c r="N112" s="879"/>
      <c r="O112" s="49">
        <f t="shared" si="24"/>
        <v>1</v>
      </c>
      <c r="P112" s="879"/>
      <c r="Q112" s="49">
        <f t="shared" si="25"/>
        <v>1</v>
      </c>
      <c r="R112" s="49">
        <f t="shared" si="26"/>
        <v>0</v>
      </c>
      <c r="S112" s="734">
        <f t="shared" si="17"/>
        <v>0</v>
      </c>
    </row>
    <row r="113" spans="1:19">
      <c r="A113" s="880"/>
      <c r="B113" s="126"/>
      <c r="C113" s="49">
        <f t="shared" si="18"/>
        <v>1</v>
      </c>
      <c r="D113" s="879"/>
      <c r="E113" s="49">
        <f t="shared" si="19"/>
        <v>1</v>
      </c>
      <c r="F113" s="879"/>
      <c r="G113" s="49">
        <f t="shared" si="20"/>
        <v>1</v>
      </c>
      <c r="H113" s="879"/>
      <c r="I113" s="49">
        <f t="shared" si="21"/>
        <v>1</v>
      </c>
      <c r="J113" s="879"/>
      <c r="K113" s="49">
        <f t="shared" si="22"/>
        <v>1</v>
      </c>
      <c r="L113" s="879"/>
      <c r="M113" s="49">
        <f t="shared" si="23"/>
        <v>1</v>
      </c>
      <c r="N113" s="879"/>
      <c r="O113" s="49">
        <f t="shared" si="24"/>
        <v>1</v>
      </c>
      <c r="P113" s="879"/>
      <c r="Q113" s="49">
        <f t="shared" si="25"/>
        <v>1</v>
      </c>
      <c r="R113" s="49">
        <f t="shared" si="26"/>
        <v>0</v>
      </c>
      <c r="S113" s="734">
        <f t="shared" si="17"/>
        <v>0</v>
      </c>
    </row>
    <row r="114" spans="1:19">
      <c r="A114" s="880"/>
      <c r="B114" s="126"/>
      <c r="C114" s="49">
        <f t="shared" si="18"/>
        <v>1</v>
      </c>
      <c r="D114" s="879"/>
      <c r="E114" s="49">
        <f t="shared" si="19"/>
        <v>1</v>
      </c>
      <c r="F114" s="879"/>
      <c r="G114" s="49">
        <f t="shared" si="20"/>
        <v>1</v>
      </c>
      <c r="H114" s="879"/>
      <c r="I114" s="49">
        <f t="shared" si="21"/>
        <v>1</v>
      </c>
      <c r="J114" s="879"/>
      <c r="K114" s="49">
        <f t="shared" si="22"/>
        <v>1</v>
      </c>
      <c r="L114" s="879"/>
      <c r="M114" s="49">
        <f t="shared" si="23"/>
        <v>1</v>
      </c>
      <c r="N114" s="879"/>
      <c r="O114" s="49">
        <f t="shared" si="24"/>
        <v>1</v>
      </c>
      <c r="P114" s="879"/>
      <c r="Q114" s="49">
        <f t="shared" si="25"/>
        <v>1</v>
      </c>
      <c r="R114" s="49">
        <f t="shared" si="26"/>
        <v>0</v>
      </c>
      <c r="S114" s="734">
        <f t="shared" si="17"/>
        <v>0</v>
      </c>
    </row>
    <row r="115" spans="1:19">
      <c r="A115" s="880"/>
      <c r="B115" s="126"/>
      <c r="C115" s="49">
        <f t="shared" si="18"/>
        <v>1</v>
      </c>
      <c r="D115" s="879"/>
      <c r="E115" s="49">
        <f t="shared" si="19"/>
        <v>1</v>
      </c>
      <c r="F115" s="879"/>
      <c r="G115" s="49">
        <f t="shared" si="20"/>
        <v>1</v>
      </c>
      <c r="H115" s="879"/>
      <c r="I115" s="49">
        <f t="shared" si="21"/>
        <v>1</v>
      </c>
      <c r="J115" s="879"/>
      <c r="K115" s="49">
        <f t="shared" si="22"/>
        <v>1</v>
      </c>
      <c r="L115" s="879"/>
      <c r="M115" s="49">
        <f t="shared" si="23"/>
        <v>1</v>
      </c>
      <c r="N115" s="879"/>
      <c r="O115" s="49">
        <f t="shared" si="24"/>
        <v>1</v>
      </c>
      <c r="P115" s="879"/>
      <c r="Q115" s="49">
        <f t="shared" si="25"/>
        <v>1</v>
      </c>
      <c r="R115" s="49">
        <f t="shared" si="26"/>
        <v>0</v>
      </c>
      <c r="S115" s="734">
        <f t="shared" si="17"/>
        <v>0</v>
      </c>
    </row>
    <row r="116" spans="1:19">
      <c r="A116" s="880"/>
      <c r="B116" s="126"/>
      <c r="C116" s="49">
        <f t="shared" si="18"/>
        <v>1</v>
      </c>
      <c r="D116" s="879"/>
      <c r="E116" s="49">
        <f t="shared" si="19"/>
        <v>1</v>
      </c>
      <c r="F116" s="879"/>
      <c r="G116" s="49">
        <f t="shared" si="20"/>
        <v>1</v>
      </c>
      <c r="H116" s="879"/>
      <c r="I116" s="49">
        <f t="shared" si="21"/>
        <v>1</v>
      </c>
      <c r="J116" s="879"/>
      <c r="K116" s="49">
        <f t="shared" si="22"/>
        <v>1</v>
      </c>
      <c r="L116" s="879"/>
      <c r="M116" s="49">
        <f t="shared" si="23"/>
        <v>1</v>
      </c>
      <c r="N116" s="879"/>
      <c r="O116" s="49">
        <f t="shared" si="24"/>
        <v>1</v>
      </c>
      <c r="P116" s="879"/>
      <c r="Q116" s="49">
        <f t="shared" si="25"/>
        <v>1</v>
      </c>
      <c r="R116" s="49">
        <f t="shared" si="26"/>
        <v>0</v>
      </c>
      <c r="S116" s="734">
        <f t="shared" si="17"/>
        <v>0</v>
      </c>
    </row>
    <row r="117" spans="1:19">
      <c r="A117" s="880"/>
      <c r="B117" s="126"/>
      <c r="C117" s="49">
        <f t="shared" si="18"/>
        <v>1</v>
      </c>
      <c r="D117" s="879"/>
      <c r="E117" s="49">
        <f t="shared" si="19"/>
        <v>1</v>
      </c>
      <c r="F117" s="879"/>
      <c r="G117" s="49">
        <f t="shared" si="20"/>
        <v>1</v>
      </c>
      <c r="H117" s="879"/>
      <c r="I117" s="49">
        <f t="shared" si="21"/>
        <v>1</v>
      </c>
      <c r="J117" s="879"/>
      <c r="K117" s="49">
        <f t="shared" si="22"/>
        <v>1</v>
      </c>
      <c r="L117" s="879"/>
      <c r="M117" s="49">
        <f t="shared" si="23"/>
        <v>1</v>
      </c>
      <c r="N117" s="879"/>
      <c r="O117" s="49">
        <f t="shared" si="24"/>
        <v>1</v>
      </c>
      <c r="P117" s="879"/>
      <c r="Q117" s="49">
        <f t="shared" si="25"/>
        <v>1</v>
      </c>
      <c r="R117" s="49">
        <f t="shared" si="26"/>
        <v>0</v>
      </c>
      <c r="S117" s="734">
        <f t="shared" si="17"/>
        <v>0</v>
      </c>
    </row>
    <row r="118" spans="1:19">
      <c r="A118" s="880"/>
      <c r="B118" s="126"/>
      <c r="C118" s="49">
        <f t="shared" si="18"/>
        <v>1</v>
      </c>
      <c r="D118" s="879"/>
      <c r="E118" s="49">
        <f t="shared" si="19"/>
        <v>1</v>
      </c>
      <c r="F118" s="879"/>
      <c r="G118" s="49">
        <f t="shared" si="20"/>
        <v>1</v>
      </c>
      <c r="H118" s="879"/>
      <c r="I118" s="49">
        <f t="shared" si="21"/>
        <v>1</v>
      </c>
      <c r="J118" s="879"/>
      <c r="K118" s="49">
        <f t="shared" si="22"/>
        <v>1</v>
      </c>
      <c r="L118" s="879"/>
      <c r="M118" s="49">
        <f t="shared" si="23"/>
        <v>1</v>
      </c>
      <c r="N118" s="879"/>
      <c r="O118" s="49">
        <f t="shared" si="24"/>
        <v>1</v>
      </c>
      <c r="P118" s="879"/>
      <c r="Q118" s="49">
        <f t="shared" si="25"/>
        <v>1</v>
      </c>
      <c r="R118" s="49">
        <f t="shared" si="26"/>
        <v>0</v>
      </c>
      <c r="S118" s="734">
        <f t="shared" si="17"/>
        <v>0</v>
      </c>
    </row>
    <row r="119" spans="1:19">
      <c r="A119" s="880"/>
      <c r="B119" s="126"/>
      <c r="C119" s="49">
        <f t="shared" si="18"/>
        <v>1</v>
      </c>
      <c r="D119" s="879"/>
      <c r="E119" s="49">
        <f t="shared" si="19"/>
        <v>1</v>
      </c>
      <c r="F119" s="879"/>
      <c r="G119" s="49">
        <f t="shared" si="20"/>
        <v>1</v>
      </c>
      <c r="H119" s="879"/>
      <c r="I119" s="49">
        <f t="shared" si="21"/>
        <v>1</v>
      </c>
      <c r="J119" s="879"/>
      <c r="K119" s="49">
        <f t="shared" si="22"/>
        <v>1</v>
      </c>
      <c r="L119" s="879"/>
      <c r="M119" s="49">
        <f t="shared" si="23"/>
        <v>1</v>
      </c>
      <c r="N119" s="879"/>
      <c r="O119" s="49">
        <f t="shared" si="24"/>
        <v>1</v>
      </c>
      <c r="P119" s="879"/>
      <c r="Q119" s="49">
        <f t="shared" si="25"/>
        <v>1</v>
      </c>
      <c r="R119" s="49">
        <f t="shared" si="26"/>
        <v>0</v>
      </c>
      <c r="S119" s="734">
        <f t="shared" si="17"/>
        <v>0</v>
      </c>
    </row>
    <row r="120" spans="1:19">
      <c r="A120" s="880"/>
      <c r="B120" s="126"/>
      <c r="C120" s="49">
        <f t="shared" si="18"/>
        <v>1</v>
      </c>
      <c r="D120" s="879"/>
      <c r="E120" s="49">
        <f t="shared" si="19"/>
        <v>1</v>
      </c>
      <c r="F120" s="879"/>
      <c r="G120" s="49">
        <f t="shared" si="20"/>
        <v>1</v>
      </c>
      <c r="H120" s="879"/>
      <c r="I120" s="49">
        <f t="shared" si="21"/>
        <v>1</v>
      </c>
      <c r="J120" s="879"/>
      <c r="K120" s="49">
        <f t="shared" si="22"/>
        <v>1</v>
      </c>
      <c r="L120" s="879"/>
      <c r="M120" s="49">
        <f t="shared" si="23"/>
        <v>1</v>
      </c>
      <c r="N120" s="879"/>
      <c r="O120" s="49">
        <f t="shared" si="24"/>
        <v>1</v>
      </c>
      <c r="P120" s="879"/>
      <c r="Q120" s="49">
        <f t="shared" si="25"/>
        <v>1</v>
      </c>
      <c r="R120" s="49">
        <f t="shared" si="26"/>
        <v>0</v>
      </c>
      <c r="S120" s="734">
        <f t="shared" si="17"/>
        <v>0</v>
      </c>
    </row>
    <row r="121" spans="1:19">
      <c r="A121" s="880"/>
      <c r="B121" s="126"/>
      <c r="C121" s="49">
        <f t="shared" si="18"/>
        <v>1</v>
      </c>
      <c r="D121" s="879"/>
      <c r="E121" s="49">
        <f t="shared" si="19"/>
        <v>1</v>
      </c>
      <c r="F121" s="879"/>
      <c r="G121" s="49">
        <f t="shared" si="20"/>
        <v>1</v>
      </c>
      <c r="H121" s="879"/>
      <c r="I121" s="49">
        <f t="shared" si="21"/>
        <v>1</v>
      </c>
      <c r="J121" s="879"/>
      <c r="K121" s="49">
        <f t="shared" si="22"/>
        <v>1</v>
      </c>
      <c r="L121" s="879"/>
      <c r="M121" s="49">
        <f t="shared" si="23"/>
        <v>1</v>
      </c>
      <c r="N121" s="879"/>
      <c r="O121" s="49">
        <f t="shared" si="24"/>
        <v>1</v>
      </c>
      <c r="P121" s="879"/>
      <c r="Q121" s="49">
        <f t="shared" si="25"/>
        <v>1</v>
      </c>
      <c r="R121" s="49">
        <f t="shared" si="26"/>
        <v>0</v>
      </c>
      <c r="S121" s="734">
        <f t="shared" si="17"/>
        <v>0</v>
      </c>
    </row>
    <row r="122" spans="1:19">
      <c r="A122" s="880"/>
      <c r="B122" s="126"/>
      <c r="C122" s="49">
        <f t="shared" si="18"/>
        <v>1</v>
      </c>
      <c r="D122" s="879"/>
      <c r="E122" s="49">
        <f t="shared" si="19"/>
        <v>1</v>
      </c>
      <c r="F122" s="879"/>
      <c r="G122" s="49">
        <f t="shared" si="20"/>
        <v>1</v>
      </c>
      <c r="H122" s="879"/>
      <c r="I122" s="49">
        <f t="shared" si="21"/>
        <v>1</v>
      </c>
      <c r="J122" s="879"/>
      <c r="K122" s="49">
        <f t="shared" si="22"/>
        <v>1</v>
      </c>
      <c r="L122" s="879"/>
      <c r="M122" s="49">
        <f t="shared" si="23"/>
        <v>1</v>
      </c>
      <c r="N122" s="879"/>
      <c r="O122" s="49">
        <f t="shared" si="24"/>
        <v>1</v>
      </c>
      <c r="P122" s="879"/>
      <c r="Q122" s="49">
        <f t="shared" si="25"/>
        <v>1</v>
      </c>
      <c r="R122" s="49">
        <f t="shared" si="26"/>
        <v>0</v>
      </c>
      <c r="S122" s="734">
        <f t="shared" si="17"/>
        <v>0</v>
      </c>
    </row>
    <row r="123" spans="1:19">
      <c r="A123" s="880"/>
      <c r="B123" s="126"/>
      <c r="C123" s="49">
        <f t="shared" si="18"/>
        <v>1</v>
      </c>
      <c r="D123" s="879"/>
      <c r="E123" s="49">
        <f t="shared" si="19"/>
        <v>1</v>
      </c>
      <c r="F123" s="879"/>
      <c r="G123" s="49">
        <f t="shared" si="20"/>
        <v>1</v>
      </c>
      <c r="H123" s="879"/>
      <c r="I123" s="49">
        <f t="shared" si="21"/>
        <v>1</v>
      </c>
      <c r="J123" s="879"/>
      <c r="K123" s="49">
        <f t="shared" si="22"/>
        <v>1</v>
      </c>
      <c r="L123" s="879"/>
      <c r="M123" s="49">
        <f t="shared" si="23"/>
        <v>1</v>
      </c>
      <c r="N123" s="879"/>
      <c r="O123" s="49">
        <f t="shared" si="24"/>
        <v>1</v>
      </c>
      <c r="P123" s="879"/>
      <c r="Q123" s="49">
        <f t="shared" si="25"/>
        <v>1</v>
      </c>
      <c r="R123" s="49">
        <f t="shared" si="26"/>
        <v>0</v>
      </c>
      <c r="S123" s="734">
        <f t="shared" ref="S123:S186" si="27">ROUND(R123*B123/10000,0)</f>
        <v>0</v>
      </c>
    </row>
    <row r="124" spans="1:19">
      <c r="A124" s="880"/>
      <c r="B124" s="126"/>
      <c r="C124" s="49">
        <f t="shared" si="18"/>
        <v>1</v>
      </c>
      <c r="D124" s="879"/>
      <c r="E124" s="49">
        <f t="shared" si="19"/>
        <v>1</v>
      </c>
      <c r="F124" s="879"/>
      <c r="G124" s="49">
        <f t="shared" si="20"/>
        <v>1</v>
      </c>
      <c r="H124" s="879"/>
      <c r="I124" s="49">
        <f t="shared" si="21"/>
        <v>1</v>
      </c>
      <c r="J124" s="879"/>
      <c r="K124" s="49">
        <f t="shared" si="22"/>
        <v>1</v>
      </c>
      <c r="L124" s="879"/>
      <c r="M124" s="49">
        <f t="shared" si="23"/>
        <v>1</v>
      </c>
      <c r="N124" s="879"/>
      <c r="O124" s="49">
        <f t="shared" si="24"/>
        <v>1</v>
      </c>
      <c r="P124" s="879"/>
      <c r="Q124" s="49">
        <f t="shared" si="25"/>
        <v>1</v>
      </c>
      <c r="R124" s="49">
        <f t="shared" si="26"/>
        <v>0</v>
      </c>
      <c r="S124" s="734">
        <f t="shared" si="27"/>
        <v>0</v>
      </c>
    </row>
    <row r="125" spans="1:19">
      <c r="A125" s="880"/>
      <c r="B125" s="126"/>
      <c r="C125" s="49">
        <f t="shared" si="18"/>
        <v>1</v>
      </c>
      <c r="D125" s="879"/>
      <c r="E125" s="49">
        <f t="shared" si="19"/>
        <v>1</v>
      </c>
      <c r="F125" s="879"/>
      <c r="G125" s="49">
        <f t="shared" si="20"/>
        <v>1</v>
      </c>
      <c r="H125" s="879"/>
      <c r="I125" s="49">
        <f t="shared" si="21"/>
        <v>1</v>
      </c>
      <c r="J125" s="879"/>
      <c r="K125" s="49">
        <f t="shared" si="22"/>
        <v>1</v>
      </c>
      <c r="L125" s="879"/>
      <c r="M125" s="49">
        <f t="shared" si="23"/>
        <v>1</v>
      </c>
      <c r="N125" s="879"/>
      <c r="O125" s="49">
        <f t="shared" si="24"/>
        <v>1</v>
      </c>
      <c r="P125" s="879"/>
      <c r="Q125" s="49">
        <f t="shared" si="25"/>
        <v>1</v>
      </c>
      <c r="R125" s="49">
        <f t="shared" si="26"/>
        <v>0</v>
      </c>
      <c r="S125" s="734">
        <f t="shared" si="27"/>
        <v>0</v>
      </c>
    </row>
    <row r="126" spans="1:19">
      <c r="A126" s="880"/>
      <c r="B126" s="126"/>
      <c r="C126" s="49">
        <f t="shared" si="18"/>
        <v>1</v>
      </c>
      <c r="D126" s="879"/>
      <c r="E126" s="49">
        <f t="shared" si="19"/>
        <v>1</v>
      </c>
      <c r="F126" s="879"/>
      <c r="G126" s="49">
        <f t="shared" si="20"/>
        <v>1</v>
      </c>
      <c r="H126" s="879"/>
      <c r="I126" s="49">
        <f t="shared" si="21"/>
        <v>1</v>
      </c>
      <c r="J126" s="879"/>
      <c r="K126" s="49">
        <f t="shared" si="22"/>
        <v>1</v>
      </c>
      <c r="L126" s="879"/>
      <c r="M126" s="49">
        <f t="shared" si="23"/>
        <v>1</v>
      </c>
      <c r="N126" s="879"/>
      <c r="O126" s="49">
        <f t="shared" si="24"/>
        <v>1</v>
      </c>
      <c r="P126" s="879"/>
      <c r="Q126" s="49">
        <f t="shared" si="25"/>
        <v>1</v>
      </c>
      <c r="R126" s="49">
        <f t="shared" si="26"/>
        <v>0</v>
      </c>
      <c r="S126" s="734">
        <f t="shared" si="27"/>
        <v>0</v>
      </c>
    </row>
    <row r="127" spans="1:19">
      <c r="A127" s="880"/>
      <c r="B127" s="126"/>
      <c r="C127" s="49">
        <f t="shared" si="18"/>
        <v>1</v>
      </c>
      <c r="D127" s="879"/>
      <c r="E127" s="49">
        <f t="shared" si="19"/>
        <v>1</v>
      </c>
      <c r="F127" s="879"/>
      <c r="G127" s="49">
        <f t="shared" si="20"/>
        <v>1</v>
      </c>
      <c r="H127" s="879"/>
      <c r="I127" s="49">
        <f t="shared" si="21"/>
        <v>1</v>
      </c>
      <c r="J127" s="879"/>
      <c r="K127" s="49">
        <f t="shared" si="22"/>
        <v>1</v>
      </c>
      <c r="L127" s="879"/>
      <c r="M127" s="49">
        <f t="shared" si="23"/>
        <v>1</v>
      </c>
      <c r="N127" s="879"/>
      <c r="O127" s="49">
        <f t="shared" si="24"/>
        <v>1</v>
      </c>
      <c r="P127" s="879"/>
      <c r="Q127" s="49">
        <f t="shared" si="25"/>
        <v>1</v>
      </c>
      <c r="R127" s="49">
        <f t="shared" si="26"/>
        <v>0</v>
      </c>
      <c r="S127" s="734">
        <f t="shared" si="27"/>
        <v>0</v>
      </c>
    </row>
    <row r="128" spans="1:19">
      <c r="A128" s="880"/>
      <c r="B128" s="126"/>
      <c r="C128" s="49">
        <f t="shared" si="18"/>
        <v>1</v>
      </c>
      <c r="D128" s="879"/>
      <c r="E128" s="49">
        <f t="shared" si="19"/>
        <v>1</v>
      </c>
      <c r="F128" s="879"/>
      <c r="G128" s="49">
        <f t="shared" si="20"/>
        <v>1</v>
      </c>
      <c r="H128" s="879"/>
      <c r="I128" s="49">
        <f t="shared" si="21"/>
        <v>1</v>
      </c>
      <c r="J128" s="879"/>
      <c r="K128" s="49">
        <f t="shared" si="22"/>
        <v>1</v>
      </c>
      <c r="L128" s="879"/>
      <c r="M128" s="49">
        <f t="shared" si="23"/>
        <v>1</v>
      </c>
      <c r="N128" s="879"/>
      <c r="O128" s="49">
        <f t="shared" si="24"/>
        <v>1</v>
      </c>
      <c r="P128" s="879"/>
      <c r="Q128" s="49">
        <f t="shared" si="25"/>
        <v>1</v>
      </c>
      <c r="R128" s="49">
        <f t="shared" si="26"/>
        <v>0</v>
      </c>
      <c r="S128" s="734">
        <f t="shared" si="27"/>
        <v>0</v>
      </c>
    </row>
    <row r="129" spans="1:19">
      <c r="A129" s="880"/>
      <c r="B129" s="126"/>
      <c r="C129" s="49">
        <f t="shared" si="18"/>
        <v>1</v>
      </c>
      <c r="D129" s="879"/>
      <c r="E129" s="49">
        <f t="shared" si="19"/>
        <v>1</v>
      </c>
      <c r="F129" s="879"/>
      <c r="G129" s="49">
        <f t="shared" si="20"/>
        <v>1</v>
      </c>
      <c r="H129" s="879"/>
      <c r="I129" s="49">
        <f t="shared" si="21"/>
        <v>1</v>
      </c>
      <c r="J129" s="879"/>
      <c r="K129" s="49">
        <f t="shared" si="22"/>
        <v>1</v>
      </c>
      <c r="L129" s="879"/>
      <c r="M129" s="49">
        <f t="shared" si="23"/>
        <v>1</v>
      </c>
      <c r="N129" s="879"/>
      <c r="O129" s="49">
        <f t="shared" si="24"/>
        <v>1</v>
      </c>
      <c r="P129" s="879"/>
      <c r="Q129" s="49">
        <f t="shared" si="25"/>
        <v>1</v>
      </c>
      <c r="R129" s="49">
        <f t="shared" si="26"/>
        <v>0</v>
      </c>
      <c r="S129" s="734">
        <f t="shared" si="27"/>
        <v>0</v>
      </c>
    </row>
    <row r="130" spans="1:19">
      <c r="A130" s="880"/>
      <c r="B130" s="126"/>
      <c r="C130" s="49">
        <f t="shared" si="18"/>
        <v>1</v>
      </c>
      <c r="D130" s="879"/>
      <c r="E130" s="49">
        <f t="shared" si="19"/>
        <v>1</v>
      </c>
      <c r="F130" s="879"/>
      <c r="G130" s="49">
        <f t="shared" si="20"/>
        <v>1</v>
      </c>
      <c r="H130" s="879"/>
      <c r="I130" s="49">
        <f t="shared" si="21"/>
        <v>1</v>
      </c>
      <c r="J130" s="879"/>
      <c r="K130" s="49">
        <f t="shared" si="22"/>
        <v>1</v>
      </c>
      <c r="L130" s="879"/>
      <c r="M130" s="49">
        <f t="shared" si="23"/>
        <v>1</v>
      </c>
      <c r="N130" s="879"/>
      <c r="O130" s="49">
        <f t="shared" si="24"/>
        <v>1</v>
      </c>
      <c r="P130" s="879"/>
      <c r="Q130" s="49">
        <f t="shared" si="25"/>
        <v>1</v>
      </c>
      <c r="R130" s="49">
        <f t="shared" si="26"/>
        <v>0</v>
      </c>
      <c r="S130" s="734">
        <f t="shared" si="27"/>
        <v>0</v>
      </c>
    </row>
    <row r="131" spans="1:19">
      <c r="A131" s="880"/>
      <c r="B131" s="126"/>
      <c r="C131" s="49">
        <f t="shared" si="18"/>
        <v>1</v>
      </c>
      <c r="D131" s="879"/>
      <c r="E131" s="49">
        <f t="shared" si="19"/>
        <v>1</v>
      </c>
      <c r="F131" s="879"/>
      <c r="G131" s="49">
        <f t="shared" si="20"/>
        <v>1</v>
      </c>
      <c r="H131" s="879"/>
      <c r="I131" s="49">
        <f t="shared" si="21"/>
        <v>1</v>
      </c>
      <c r="J131" s="879"/>
      <c r="K131" s="49">
        <f t="shared" si="22"/>
        <v>1</v>
      </c>
      <c r="L131" s="879"/>
      <c r="M131" s="49">
        <f t="shared" si="23"/>
        <v>1</v>
      </c>
      <c r="N131" s="879"/>
      <c r="O131" s="49">
        <f t="shared" si="24"/>
        <v>1</v>
      </c>
      <c r="P131" s="879"/>
      <c r="Q131" s="49">
        <f t="shared" si="25"/>
        <v>1</v>
      </c>
      <c r="R131" s="49">
        <f t="shared" si="26"/>
        <v>0</v>
      </c>
      <c r="S131" s="734">
        <f t="shared" si="27"/>
        <v>0</v>
      </c>
    </row>
    <row r="132" spans="1:19">
      <c r="A132" s="880"/>
      <c r="B132" s="126"/>
      <c r="C132" s="49">
        <f t="shared" si="18"/>
        <v>1</v>
      </c>
      <c r="D132" s="879"/>
      <c r="E132" s="49">
        <f t="shared" si="19"/>
        <v>1</v>
      </c>
      <c r="F132" s="879"/>
      <c r="G132" s="49">
        <f t="shared" si="20"/>
        <v>1</v>
      </c>
      <c r="H132" s="879"/>
      <c r="I132" s="49">
        <f t="shared" si="21"/>
        <v>1</v>
      </c>
      <c r="J132" s="879"/>
      <c r="K132" s="49">
        <f t="shared" si="22"/>
        <v>1</v>
      </c>
      <c r="L132" s="879"/>
      <c r="M132" s="49">
        <f t="shared" si="23"/>
        <v>1</v>
      </c>
      <c r="N132" s="879"/>
      <c r="O132" s="49">
        <f t="shared" si="24"/>
        <v>1</v>
      </c>
      <c r="P132" s="879"/>
      <c r="Q132" s="49">
        <f t="shared" si="25"/>
        <v>1</v>
      </c>
      <c r="R132" s="49">
        <f t="shared" si="26"/>
        <v>0</v>
      </c>
      <c r="S132" s="734">
        <f t="shared" si="27"/>
        <v>0</v>
      </c>
    </row>
    <row r="133" spans="1:19">
      <c r="A133" s="880"/>
      <c r="B133" s="126"/>
      <c r="C133" s="49">
        <f t="shared" si="18"/>
        <v>1</v>
      </c>
      <c r="D133" s="879"/>
      <c r="E133" s="49">
        <f t="shared" si="19"/>
        <v>1</v>
      </c>
      <c r="F133" s="879"/>
      <c r="G133" s="49">
        <f t="shared" si="20"/>
        <v>1</v>
      </c>
      <c r="H133" s="879"/>
      <c r="I133" s="49">
        <f t="shared" si="21"/>
        <v>1</v>
      </c>
      <c r="J133" s="879"/>
      <c r="K133" s="49">
        <f t="shared" si="22"/>
        <v>1</v>
      </c>
      <c r="L133" s="879"/>
      <c r="M133" s="49">
        <f t="shared" si="23"/>
        <v>1</v>
      </c>
      <c r="N133" s="879"/>
      <c r="O133" s="49">
        <f t="shared" si="24"/>
        <v>1</v>
      </c>
      <c r="P133" s="879"/>
      <c r="Q133" s="49">
        <f t="shared" si="25"/>
        <v>1</v>
      </c>
      <c r="R133" s="49">
        <f t="shared" si="26"/>
        <v>0</v>
      </c>
      <c r="S133" s="734">
        <f t="shared" si="27"/>
        <v>0</v>
      </c>
    </row>
    <row r="134" spans="1:19">
      <c r="A134" s="880"/>
      <c r="B134" s="126"/>
      <c r="C134" s="49">
        <f t="shared" si="18"/>
        <v>1</v>
      </c>
      <c r="D134" s="879"/>
      <c r="E134" s="49">
        <f t="shared" si="19"/>
        <v>1</v>
      </c>
      <c r="F134" s="879"/>
      <c r="G134" s="49">
        <f t="shared" si="20"/>
        <v>1</v>
      </c>
      <c r="H134" s="879"/>
      <c r="I134" s="49">
        <f t="shared" si="21"/>
        <v>1</v>
      </c>
      <c r="J134" s="879"/>
      <c r="K134" s="49">
        <f t="shared" si="22"/>
        <v>1</v>
      </c>
      <c r="L134" s="879"/>
      <c r="M134" s="49">
        <f t="shared" si="23"/>
        <v>1</v>
      </c>
      <c r="N134" s="879"/>
      <c r="O134" s="49">
        <f t="shared" si="24"/>
        <v>1</v>
      </c>
      <c r="P134" s="879"/>
      <c r="Q134" s="49">
        <f t="shared" si="25"/>
        <v>1</v>
      </c>
      <c r="R134" s="49">
        <f t="shared" si="26"/>
        <v>0</v>
      </c>
      <c r="S134" s="734">
        <f t="shared" si="27"/>
        <v>0</v>
      </c>
    </row>
    <row r="135" spans="1:19">
      <c r="A135" s="880"/>
      <c r="B135" s="126"/>
      <c r="C135" s="49">
        <f t="shared" si="18"/>
        <v>1</v>
      </c>
      <c r="D135" s="879"/>
      <c r="E135" s="49">
        <f t="shared" si="19"/>
        <v>1</v>
      </c>
      <c r="F135" s="879"/>
      <c r="G135" s="49">
        <f t="shared" si="20"/>
        <v>1</v>
      </c>
      <c r="H135" s="879"/>
      <c r="I135" s="49">
        <f t="shared" si="21"/>
        <v>1</v>
      </c>
      <c r="J135" s="879"/>
      <c r="K135" s="49">
        <f t="shared" si="22"/>
        <v>1</v>
      </c>
      <c r="L135" s="879"/>
      <c r="M135" s="49">
        <f t="shared" si="23"/>
        <v>1</v>
      </c>
      <c r="N135" s="879"/>
      <c r="O135" s="49">
        <f t="shared" si="24"/>
        <v>1</v>
      </c>
      <c r="P135" s="879"/>
      <c r="Q135" s="49">
        <f t="shared" si="25"/>
        <v>1</v>
      </c>
      <c r="R135" s="49">
        <f t="shared" si="26"/>
        <v>0</v>
      </c>
      <c r="S135" s="734">
        <f t="shared" si="27"/>
        <v>0</v>
      </c>
    </row>
    <row r="136" spans="1:19">
      <c r="A136" s="880"/>
      <c r="B136" s="126"/>
      <c r="C136" s="49">
        <f t="shared" si="18"/>
        <v>1</v>
      </c>
      <c r="D136" s="879"/>
      <c r="E136" s="49">
        <f t="shared" si="19"/>
        <v>1</v>
      </c>
      <c r="F136" s="879"/>
      <c r="G136" s="49">
        <f t="shared" si="20"/>
        <v>1</v>
      </c>
      <c r="H136" s="879"/>
      <c r="I136" s="49">
        <f t="shared" si="21"/>
        <v>1</v>
      </c>
      <c r="J136" s="879"/>
      <c r="K136" s="49">
        <f t="shared" si="22"/>
        <v>1</v>
      </c>
      <c r="L136" s="879"/>
      <c r="M136" s="49">
        <f t="shared" si="23"/>
        <v>1</v>
      </c>
      <c r="N136" s="879"/>
      <c r="O136" s="49">
        <f t="shared" si="24"/>
        <v>1</v>
      </c>
      <c r="P136" s="879"/>
      <c r="Q136" s="49">
        <f t="shared" si="25"/>
        <v>1</v>
      </c>
      <c r="R136" s="49">
        <f t="shared" si="26"/>
        <v>0</v>
      </c>
      <c r="S136" s="734">
        <f t="shared" si="27"/>
        <v>0</v>
      </c>
    </row>
    <row r="137" spans="1:19">
      <c r="A137" s="880"/>
      <c r="B137" s="126"/>
      <c r="C137" s="49">
        <f t="shared" si="18"/>
        <v>1</v>
      </c>
      <c r="D137" s="879"/>
      <c r="E137" s="49">
        <f t="shared" si="19"/>
        <v>1</v>
      </c>
      <c r="F137" s="879"/>
      <c r="G137" s="49">
        <f t="shared" si="20"/>
        <v>1</v>
      </c>
      <c r="H137" s="879"/>
      <c r="I137" s="49">
        <f t="shared" si="21"/>
        <v>1</v>
      </c>
      <c r="J137" s="879"/>
      <c r="K137" s="49">
        <f t="shared" si="22"/>
        <v>1</v>
      </c>
      <c r="L137" s="879"/>
      <c r="M137" s="49">
        <f t="shared" si="23"/>
        <v>1</v>
      </c>
      <c r="N137" s="879"/>
      <c r="O137" s="49">
        <f t="shared" si="24"/>
        <v>1</v>
      </c>
      <c r="P137" s="879"/>
      <c r="Q137" s="49">
        <f t="shared" si="25"/>
        <v>1</v>
      </c>
      <c r="R137" s="49">
        <f t="shared" si="26"/>
        <v>0</v>
      </c>
      <c r="S137" s="734">
        <f t="shared" si="27"/>
        <v>0</v>
      </c>
    </row>
    <row r="138" spans="1:19">
      <c r="A138" s="880"/>
      <c r="B138" s="126"/>
      <c r="C138" s="49">
        <f t="shared" si="18"/>
        <v>1</v>
      </c>
      <c r="D138" s="879"/>
      <c r="E138" s="49">
        <f t="shared" si="19"/>
        <v>1</v>
      </c>
      <c r="F138" s="879"/>
      <c r="G138" s="49">
        <f t="shared" si="20"/>
        <v>1</v>
      </c>
      <c r="H138" s="879"/>
      <c r="I138" s="49">
        <f t="shared" si="21"/>
        <v>1</v>
      </c>
      <c r="J138" s="879"/>
      <c r="K138" s="49">
        <f t="shared" si="22"/>
        <v>1</v>
      </c>
      <c r="L138" s="879"/>
      <c r="M138" s="49">
        <f t="shared" si="23"/>
        <v>1</v>
      </c>
      <c r="N138" s="879"/>
      <c r="O138" s="49">
        <f t="shared" si="24"/>
        <v>1</v>
      </c>
      <c r="P138" s="879"/>
      <c r="Q138" s="49">
        <f t="shared" si="25"/>
        <v>1</v>
      </c>
      <c r="R138" s="49">
        <f t="shared" si="26"/>
        <v>0</v>
      </c>
      <c r="S138" s="734">
        <f t="shared" si="27"/>
        <v>0</v>
      </c>
    </row>
    <row r="139" spans="1:19">
      <c r="A139" s="880"/>
      <c r="B139" s="126"/>
      <c r="C139" s="49">
        <f t="shared" si="18"/>
        <v>1</v>
      </c>
      <c r="D139" s="879"/>
      <c r="E139" s="49">
        <f t="shared" si="19"/>
        <v>1</v>
      </c>
      <c r="F139" s="879"/>
      <c r="G139" s="49">
        <f t="shared" si="20"/>
        <v>1</v>
      </c>
      <c r="H139" s="879"/>
      <c r="I139" s="49">
        <f t="shared" si="21"/>
        <v>1</v>
      </c>
      <c r="J139" s="879"/>
      <c r="K139" s="49">
        <f t="shared" si="22"/>
        <v>1</v>
      </c>
      <c r="L139" s="879"/>
      <c r="M139" s="49">
        <f t="shared" si="23"/>
        <v>1</v>
      </c>
      <c r="N139" s="879"/>
      <c r="O139" s="49">
        <f t="shared" si="24"/>
        <v>1</v>
      </c>
      <c r="P139" s="879"/>
      <c r="Q139" s="49">
        <f t="shared" si="25"/>
        <v>1</v>
      </c>
      <c r="R139" s="49">
        <f t="shared" si="26"/>
        <v>0</v>
      </c>
      <c r="S139" s="734">
        <f t="shared" si="27"/>
        <v>0</v>
      </c>
    </row>
    <row r="140" spans="1:19">
      <c r="A140" s="880"/>
      <c r="B140" s="126"/>
      <c r="C140" s="49">
        <f t="shared" si="18"/>
        <v>1</v>
      </c>
      <c r="D140" s="879"/>
      <c r="E140" s="49">
        <f t="shared" si="19"/>
        <v>1</v>
      </c>
      <c r="F140" s="879"/>
      <c r="G140" s="49">
        <f t="shared" si="20"/>
        <v>1</v>
      </c>
      <c r="H140" s="879"/>
      <c r="I140" s="49">
        <f t="shared" si="21"/>
        <v>1</v>
      </c>
      <c r="J140" s="879"/>
      <c r="K140" s="49">
        <f t="shared" si="22"/>
        <v>1</v>
      </c>
      <c r="L140" s="879"/>
      <c r="M140" s="49">
        <f t="shared" si="23"/>
        <v>1</v>
      </c>
      <c r="N140" s="879"/>
      <c r="O140" s="49">
        <f t="shared" si="24"/>
        <v>1</v>
      </c>
      <c r="P140" s="879"/>
      <c r="Q140" s="49">
        <f t="shared" si="25"/>
        <v>1</v>
      </c>
      <c r="R140" s="49">
        <f t="shared" si="26"/>
        <v>0</v>
      </c>
      <c r="S140" s="734">
        <f t="shared" si="27"/>
        <v>0</v>
      </c>
    </row>
    <row r="141" spans="1:19">
      <c r="A141" s="880"/>
      <c r="B141" s="126"/>
      <c r="C141" s="49">
        <f t="shared" si="18"/>
        <v>1</v>
      </c>
      <c r="D141" s="879"/>
      <c r="E141" s="49">
        <f t="shared" si="19"/>
        <v>1</v>
      </c>
      <c r="F141" s="879"/>
      <c r="G141" s="49">
        <f t="shared" si="20"/>
        <v>1</v>
      </c>
      <c r="H141" s="879"/>
      <c r="I141" s="49">
        <f t="shared" si="21"/>
        <v>1</v>
      </c>
      <c r="J141" s="879"/>
      <c r="K141" s="49">
        <f t="shared" si="22"/>
        <v>1</v>
      </c>
      <c r="L141" s="879"/>
      <c r="M141" s="49">
        <f t="shared" si="23"/>
        <v>1</v>
      </c>
      <c r="N141" s="879"/>
      <c r="O141" s="49">
        <f t="shared" si="24"/>
        <v>1</v>
      </c>
      <c r="P141" s="879"/>
      <c r="Q141" s="49">
        <f t="shared" si="25"/>
        <v>1</v>
      </c>
      <c r="R141" s="49">
        <f t="shared" si="26"/>
        <v>0</v>
      </c>
      <c r="S141" s="734">
        <f t="shared" si="27"/>
        <v>0</v>
      </c>
    </row>
    <row r="142" spans="1:19">
      <c r="A142" s="880"/>
      <c r="B142" s="126"/>
      <c r="C142" s="49">
        <f t="shared" si="18"/>
        <v>1</v>
      </c>
      <c r="D142" s="879"/>
      <c r="E142" s="49">
        <f t="shared" si="19"/>
        <v>1</v>
      </c>
      <c r="F142" s="879"/>
      <c r="G142" s="49">
        <f t="shared" si="20"/>
        <v>1</v>
      </c>
      <c r="H142" s="879"/>
      <c r="I142" s="49">
        <f t="shared" si="21"/>
        <v>1</v>
      </c>
      <c r="J142" s="879"/>
      <c r="K142" s="49">
        <f t="shared" si="22"/>
        <v>1</v>
      </c>
      <c r="L142" s="879"/>
      <c r="M142" s="49">
        <f t="shared" si="23"/>
        <v>1</v>
      </c>
      <c r="N142" s="879"/>
      <c r="O142" s="49">
        <f t="shared" si="24"/>
        <v>1</v>
      </c>
      <c r="P142" s="879"/>
      <c r="Q142" s="49">
        <f t="shared" si="25"/>
        <v>1</v>
      </c>
      <c r="R142" s="49">
        <f t="shared" si="26"/>
        <v>0</v>
      </c>
      <c r="S142" s="734">
        <f t="shared" si="27"/>
        <v>0</v>
      </c>
    </row>
    <row r="143" spans="1:19">
      <c r="A143" s="880"/>
      <c r="B143" s="126"/>
      <c r="C143" s="49">
        <f t="shared" si="18"/>
        <v>1</v>
      </c>
      <c r="D143" s="879"/>
      <c r="E143" s="49">
        <f t="shared" si="19"/>
        <v>1</v>
      </c>
      <c r="F143" s="879"/>
      <c r="G143" s="49">
        <f t="shared" si="20"/>
        <v>1</v>
      </c>
      <c r="H143" s="879"/>
      <c r="I143" s="49">
        <f t="shared" si="21"/>
        <v>1</v>
      </c>
      <c r="J143" s="879"/>
      <c r="K143" s="49">
        <f t="shared" si="22"/>
        <v>1</v>
      </c>
      <c r="L143" s="879"/>
      <c r="M143" s="49">
        <f t="shared" si="23"/>
        <v>1</v>
      </c>
      <c r="N143" s="879"/>
      <c r="O143" s="49">
        <f t="shared" si="24"/>
        <v>1</v>
      </c>
      <c r="P143" s="879"/>
      <c r="Q143" s="49">
        <f t="shared" si="25"/>
        <v>1</v>
      </c>
      <c r="R143" s="49">
        <f t="shared" si="26"/>
        <v>0</v>
      </c>
      <c r="S143" s="734">
        <f t="shared" si="27"/>
        <v>0</v>
      </c>
    </row>
    <row r="144" spans="1:19">
      <c r="A144" s="880"/>
      <c r="B144" s="126"/>
      <c r="C144" s="49">
        <f t="shared" si="18"/>
        <v>1</v>
      </c>
      <c r="D144" s="879"/>
      <c r="E144" s="49">
        <f t="shared" si="19"/>
        <v>1</v>
      </c>
      <c r="F144" s="879"/>
      <c r="G144" s="49">
        <f t="shared" si="20"/>
        <v>1</v>
      </c>
      <c r="H144" s="879"/>
      <c r="I144" s="49">
        <f t="shared" si="21"/>
        <v>1</v>
      </c>
      <c r="J144" s="879"/>
      <c r="K144" s="49">
        <f t="shared" si="22"/>
        <v>1</v>
      </c>
      <c r="L144" s="879"/>
      <c r="M144" s="49">
        <f t="shared" si="23"/>
        <v>1</v>
      </c>
      <c r="N144" s="879"/>
      <c r="O144" s="49">
        <f t="shared" si="24"/>
        <v>1</v>
      </c>
      <c r="P144" s="879"/>
      <c r="Q144" s="49">
        <f t="shared" si="25"/>
        <v>1</v>
      </c>
      <c r="R144" s="49">
        <f t="shared" si="26"/>
        <v>0</v>
      </c>
      <c r="S144" s="734">
        <f t="shared" si="27"/>
        <v>0</v>
      </c>
    </row>
    <row r="145" spans="1:19">
      <c r="A145" s="880"/>
      <c r="B145" s="126"/>
      <c r="C145" s="49">
        <f t="shared" si="18"/>
        <v>1</v>
      </c>
      <c r="D145" s="879"/>
      <c r="E145" s="49">
        <f t="shared" si="19"/>
        <v>1</v>
      </c>
      <c r="F145" s="879"/>
      <c r="G145" s="49">
        <f t="shared" si="20"/>
        <v>1</v>
      </c>
      <c r="H145" s="879"/>
      <c r="I145" s="49">
        <f t="shared" si="21"/>
        <v>1</v>
      </c>
      <c r="J145" s="879"/>
      <c r="K145" s="49">
        <f t="shared" si="22"/>
        <v>1</v>
      </c>
      <c r="L145" s="879"/>
      <c r="M145" s="49">
        <f t="shared" si="23"/>
        <v>1</v>
      </c>
      <c r="N145" s="879"/>
      <c r="O145" s="49">
        <f t="shared" si="24"/>
        <v>1</v>
      </c>
      <c r="P145" s="879"/>
      <c r="Q145" s="49">
        <f t="shared" si="25"/>
        <v>1</v>
      </c>
      <c r="R145" s="49">
        <f t="shared" si="26"/>
        <v>0</v>
      </c>
      <c r="S145" s="734">
        <f t="shared" si="27"/>
        <v>0</v>
      </c>
    </row>
    <row r="146" spans="1:19">
      <c r="A146" s="880"/>
      <c r="B146" s="126"/>
      <c r="C146" s="49">
        <f t="shared" si="18"/>
        <v>1</v>
      </c>
      <c r="D146" s="879"/>
      <c r="E146" s="49">
        <f t="shared" si="19"/>
        <v>1</v>
      </c>
      <c r="F146" s="879"/>
      <c r="G146" s="49">
        <f t="shared" si="20"/>
        <v>1</v>
      </c>
      <c r="H146" s="879"/>
      <c r="I146" s="49">
        <f t="shared" si="21"/>
        <v>1</v>
      </c>
      <c r="J146" s="879"/>
      <c r="K146" s="49">
        <f t="shared" si="22"/>
        <v>1</v>
      </c>
      <c r="L146" s="879"/>
      <c r="M146" s="49">
        <f t="shared" si="23"/>
        <v>1</v>
      </c>
      <c r="N146" s="879"/>
      <c r="O146" s="49">
        <f t="shared" si="24"/>
        <v>1</v>
      </c>
      <c r="P146" s="879"/>
      <c r="Q146" s="49">
        <f t="shared" si="25"/>
        <v>1</v>
      </c>
      <c r="R146" s="49">
        <f t="shared" si="26"/>
        <v>0</v>
      </c>
      <c r="S146" s="734">
        <f t="shared" si="27"/>
        <v>0</v>
      </c>
    </row>
    <row r="147" spans="1:19">
      <c r="A147" s="880"/>
      <c r="B147" s="126"/>
      <c r="C147" s="49">
        <f t="shared" si="18"/>
        <v>1</v>
      </c>
      <c r="D147" s="879"/>
      <c r="E147" s="49">
        <f t="shared" si="19"/>
        <v>1</v>
      </c>
      <c r="F147" s="879"/>
      <c r="G147" s="49">
        <f t="shared" si="20"/>
        <v>1</v>
      </c>
      <c r="H147" s="879"/>
      <c r="I147" s="49">
        <f t="shared" si="21"/>
        <v>1</v>
      </c>
      <c r="J147" s="879"/>
      <c r="K147" s="49">
        <f t="shared" si="22"/>
        <v>1</v>
      </c>
      <c r="L147" s="879"/>
      <c r="M147" s="49">
        <f t="shared" si="23"/>
        <v>1</v>
      </c>
      <c r="N147" s="879"/>
      <c r="O147" s="49">
        <f t="shared" si="24"/>
        <v>1</v>
      </c>
      <c r="P147" s="879"/>
      <c r="Q147" s="49">
        <f t="shared" si="25"/>
        <v>1</v>
      </c>
      <c r="R147" s="49">
        <f t="shared" si="26"/>
        <v>0</v>
      </c>
      <c r="S147" s="734">
        <f t="shared" si="27"/>
        <v>0</v>
      </c>
    </row>
    <row r="148" spans="1:19">
      <c r="A148" s="880"/>
      <c r="B148" s="126"/>
      <c r="C148" s="49">
        <f t="shared" si="18"/>
        <v>1</v>
      </c>
      <c r="D148" s="879"/>
      <c r="E148" s="49">
        <f t="shared" si="19"/>
        <v>1</v>
      </c>
      <c r="F148" s="879"/>
      <c r="G148" s="49">
        <f t="shared" si="20"/>
        <v>1</v>
      </c>
      <c r="H148" s="879"/>
      <c r="I148" s="49">
        <f t="shared" si="21"/>
        <v>1</v>
      </c>
      <c r="J148" s="879"/>
      <c r="K148" s="49">
        <f t="shared" si="22"/>
        <v>1</v>
      </c>
      <c r="L148" s="879"/>
      <c r="M148" s="49">
        <f t="shared" si="23"/>
        <v>1</v>
      </c>
      <c r="N148" s="879"/>
      <c r="O148" s="49">
        <f t="shared" si="24"/>
        <v>1</v>
      </c>
      <c r="P148" s="879"/>
      <c r="Q148" s="49">
        <f t="shared" si="25"/>
        <v>1</v>
      </c>
      <c r="R148" s="49">
        <f t="shared" si="26"/>
        <v>0</v>
      </c>
      <c r="S148" s="734">
        <f t="shared" si="27"/>
        <v>0</v>
      </c>
    </row>
    <row r="149" spans="1:19">
      <c r="A149" s="880"/>
      <c r="B149" s="126"/>
      <c r="C149" s="49">
        <f t="shared" si="18"/>
        <v>1</v>
      </c>
      <c r="D149" s="879"/>
      <c r="E149" s="49">
        <f t="shared" si="19"/>
        <v>1</v>
      </c>
      <c r="F149" s="879"/>
      <c r="G149" s="49">
        <f t="shared" si="20"/>
        <v>1</v>
      </c>
      <c r="H149" s="879"/>
      <c r="I149" s="49">
        <f t="shared" si="21"/>
        <v>1</v>
      </c>
      <c r="J149" s="879"/>
      <c r="K149" s="49">
        <f t="shared" si="22"/>
        <v>1</v>
      </c>
      <c r="L149" s="879"/>
      <c r="M149" s="49">
        <f t="shared" si="23"/>
        <v>1</v>
      </c>
      <c r="N149" s="879"/>
      <c r="O149" s="49">
        <f t="shared" si="24"/>
        <v>1</v>
      </c>
      <c r="P149" s="879"/>
      <c r="Q149" s="49">
        <f t="shared" si="25"/>
        <v>1</v>
      </c>
      <c r="R149" s="49">
        <f t="shared" si="26"/>
        <v>0</v>
      </c>
      <c r="S149" s="734">
        <f t="shared" si="27"/>
        <v>0</v>
      </c>
    </row>
    <row r="150" spans="1:19">
      <c r="A150" s="880"/>
      <c r="B150" s="126"/>
      <c r="C150" s="49">
        <f t="shared" si="18"/>
        <v>1</v>
      </c>
      <c r="D150" s="879"/>
      <c r="E150" s="49">
        <f t="shared" si="19"/>
        <v>1</v>
      </c>
      <c r="F150" s="879"/>
      <c r="G150" s="49">
        <f t="shared" si="20"/>
        <v>1</v>
      </c>
      <c r="H150" s="879"/>
      <c r="I150" s="49">
        <f t="shared" si="21"/>
        <v>1</v>
      </c>
      <c r="J150" s="879"/>
      <c r="K150" s="49">
        <f t="shared" si="22"/>
        <v>1</v>
      </c>
      <c r="L150" s="879"/>
      <c r="M150" s="49">
        <f t="shared" si="23"/>
        <v>1</v>
      </c>
      <c r="N150" s="879"/>
      <c r="O150" s="49">
        <f t="shared" si="24"/>
        <v>1</v>
      </c>
      <c r="P150" s="879"/>
      <c r="Q150" s="49">
        <f t="shared" si="25"/>
        <v>1</v>
      </c>
      <c r="R150" s="49">
        <f t="shared" si="26"/>
        <v>0</v>
      </c>
      <c r="S150" s="734">
        <f t="shared" si="27"/>
        <v>0</v>
      </c>
    </row>
    <row r="151" spans="1:19">
      <c r="A151" s="880"/>
      <c r="B151" s="126"/>
      <c r="C151" s="49">
        <f t="shared" si="18"/>
        <v>1</v>
      </c>
      <c r="D151" s="879"/>
      <c r="E151" s="49">
        <f t="shared" si="19"/>
        <v>1</v>
      </c>
      <c r="F151" s="879"/>
      <c r="G151" s="49">
        <f t="shared" si="20"/>
        <v>1</v>
      </c>
      <c r="H151" s="879"/>
      <c r="I151" s="49">
        <f t="shared" si="21"/>
        <v>1</v>
      </c>
      <c r="J151" s="879"/>
      <c r="K151" s="49">
        <f t="shared" si="22"/>
        <v>1</v>
      </c>
      <c r="L151" s="879"/>
      <c r="M151" s="49">
        <f t="shared" si="23"/>
        <v>1</v>
      </c>
      <c r="N151" s="879"/>
      <c r="O151" s="49">
        <f t="shared" si="24"/>
        <v>1</v>
      </c>
      <c r="P151" s="879"/>
      <c r="Q151" s="49">
        <f t="shared" si="25"/>
        <v>1</v>
      </c>
      <c r="R151" s="49">
        <f t="shared" si="26"/>
        <v>0</v>
      </c>
      <c r="S151" s="734">
        <f t="shared" si="27"/>
        <v>0</v>
      </c>
    </row>
    <row r="152" spans="1:19">
      <c r="A152" s="880"/>
      <c r="B152" s="126"/>
      <c r="C152" s="49">
        <f t="shared" si="18"/>
        <v>1</v>
      </c>
      <c r="D152" s="879"/>
      <c r="E152" s="49">
        <f t="shared" si="19"/>
        <v>1</v>
      </c>
      <c r="F152" s="879"/>
      <c r="G152" s="49">
        <f t="shared" si="20"/>
        <v>1</v>
      </c>
      <c r="H152" s="879"/>
      <c r="I152" s="49">
        <f t="shared" si="21"/>
        <v>1</v>
      </c>
      <c r="J152" s="879"/>
      <c r="K152" s="49">
        <f t="shared" si="22"/>
        <v>1</v>
      </c>
      <c r="L152" s="879"/>
      <c r="M152" s="49">
        <f t="shared" si="23"/>
        <v>1</v>
      </c>
      <c r="N152" s="879"/>
      <c r="O152" s="49">
        <f t="shared" si="24"/>
        <v>1</v>
      </c>
      <c r="P152" s="879"/>
      <c r="Q152" s="49">
        <f t="shared" si="25"/>
        <v>1</v>
      </c>
      <c r="R152" s="49">
        <f t="shared" si="26"/>
        <v>0</v>
      </c>
      <c r="S152" s="734">
        <f t="shared" si="27"/>
        <v>0</v>
      </c>
    </row>
    <row r="153" spans="1:19">
      <c r="A153" s="880"/>
      <c r="B153" s="126"/>
      <c r="C153" s="49">
        <f t="shared" si="18"/>
        <v>1</v>
      </c>
      <c r="D153" s="879"/>
      <c r="E153" s="49">
        <f t="shared" si="19"/>
        <v>1</v>
      </c>
      <c r="F153" s="879"/>
      <c r="G153" s="49">
        <f t="shared" si="20"/>
        <v>1</v>
      </c>
      <c r="H153" s="879"/>
      <c r="I153" s="49">
        <f t="shared" si="21"/>
        <v>1</v>
      </c>
      <c r="J153" s="879"/>
      <c r="K153" s="49">
        <f t="shared" si="22"/>
        <v>1</v>
      </c>
      <c r="L153" s="879"/>
      <c r="M153" s="49">
        <f t="shared" si="23"/>
        <v>1</v>
      </c>
      <c r="N153" s="879"/>
      <c r="O153" s="49">
        <f t="shared" si="24"/>
        <v>1</v>
      </c>
      <c r="P153" s="879"/>
      <c r="Q153" s="49">
        <f t="shared" si="25"/>
        <v>1</v>
      </c>
      <c r="R153" s="49">
        <f t="shared" si="26"/>
        <v>0</v>
      </c>
      <c r="S153" s="734">
        <f t="shared" si="27"/>
        <v>0</v>
      </c>
    </row>
    <row r="154" spans="1:19">
      <c r="A154" s="880"/>
      <c r="B154" s="126"/>
      <c r="C154" s="49">
        <f t="shared" ref="C154:C217" si="28">IF(B154="",1,(LOOKUP(B154,$3:$3,$4:$4)-LOOKUP($B$24,$3:$3,$4:$4)+100)/100)</f>
        <v>1</v>
      </c>
      <c r="D154" s="879"/>
      <c r="E154" s="49">
        <f t="shared" ref="E154:E217" si="29">(SUMIF($5:$5,D154,$6:$6)-SUMIF($5:$5,$D$24,$6:$6)+100)/100</f>
        <v>1</v>
      </c>
      <c r="F154" s="879"/>
      <c r="G154" s="49">
        <f t="shared" ref="G154:G217" si="30">(SUMIF($7:$7,F154,$8:$8)-SUMIF($7:$7,$F$24,$8:$8)+100)/100</f>
        <v>1</v>
      </c>
      <c r="H154" s="879"/>
      <c r="I154" s="49">
        <f t="shared" ref="I154:I217" si="31">(SUMIF($9:$9,H154,$10:$10)-SUMIF($9:$9,$H$24,$10:$10)+100)/100</f>
        <v>1</v>
      </c>
      <c r="J154" s="879"/>
      <c r="K154" s="49">
        <f t="shared" ref="K154:K217" si="32">(SUMIF($11:$11,J154,$12:$12)-SUMIF($11:$11,$J$24,$12:$12)+100)/100</f>
        <v>1</v>
      </c>
      <c r="L154" s="879"/>
      <c r="M154" s="49">
        <f t="shared" ref="M154:M217" si="33">(SUMIF($13:$13,L154,$14:$14)-SUMIF($13:$13,$L$24,$14:$14)+100)/100</f>
        <v>1</v>
      </c>
      <c r="N154" s="879"/>
      <c r="O154" s="49">
        <f t="shared" ref="O154:O217" si="34">(SUMIF($15:$15,N154,$16:$16)-SUMIF($15:$15,$N$24,$16:$16)+100)/100</f>
        <v>1</v>
      </c>
      <c r="P154" s="879"/>
      <c r="Q154" s="49">
        <f t="shared" ref="Q154:Q217" si="35">(SUMIF($17:$17,P154,$18:$18)-SUMIF($17:$17,$P$24,$18:$18)+100)/100</f>
        <v>1</v>
      </c>
      <c r="R154" s="49">
        <f t="shared" ref="R154:R217" si="36">IF(B154="",0,ROUND($R$24*C154*E154*G154*I154*K154*M154*O154*Q154,0))</f>
        <v>0</v>
      </c>
      <c r="S154" s="734">
        <f t="shared" si="27"/>
        <v>0</v>
      </c>
    </row>
    <row r="155" spans="1:19">
      <c r="A155" s="880"/>
      <c r="B155" s="126"/>
      <c r="C155" s="49">
        <f t="shared" si="28"/>
        <v>1</v>
      </c>
      <c r="D155" s="879"/>
      <c r="E155" s="49">
        <f t="shared" si="29"/>
        <v>1</v>
      </c>
      <c r="F155" s="879"/>
      <c r="G155" s="49">
        <f t="shared" si="30"/>
        <v>1</v>
      </c>
      <c r="H155" s="879"/>
      <c r="I155" s="49">
        <f t="shared" si="31"/>
        <v>1</v>
      </c>
      <c r="J155" s="879"/>
      <c r="K155" s="49">
        <f t="shared" si="32"/>
        <v>1</v>
      </c>
      <c r="L155" s="879"/>
      <c r="M155" s="49">
        <f t="shared" si="33"/>
        <v>1</v>
      </c>
      <c r="N155" s="879"/>
      <c r="O155" s="49">
        <f t="shared" si="34"/>
        <v>1</v>
      </c>
      <c r="P155" s="879"/>
      <c r="Q155" s="49">
        <f t="shared" si="35"/>
        <v>1</v>
      </c>
      <c r="R155" s="49">
        <f t="shared" si="36"/>
        <v>0</v>
      </c>
      <c r="S155" s="734">
        <f t="shared" si="27"/>
        <v>0</v>
      </c>
    </row>
    <row r="156" spans="1:19">
      <c r="A156" s="880"/>
      <c r="B156" s="126"/>
      <c r="C156" s="49">
        <f t="shared" si="28"/>
        <v>1</v>
      </c>
      <c r="D156" s="879"/>
      <c r="E156" s="49">
        <f t="shared" si="29"/>
        <v>1</v>
      </c>
      <c r="F156" s="879"/>
      <c r="G156" s="49">
        <f t="shared" si="30"/>
        <v>1</v>
      </c>
      <c r="H156" s="879"/>
      <c r="I156" s="49">
        <f t="shared" si="31"/>
        <v>1</v>
      </c>
      <c r="J156" s="879"/>
      <c r="K156" s="49">
        <f t="shared" si="32"/>
        <v>1</v>
      </c>
      <c r="L156" s="879"/>
      <c r="M156" s="49">
        <f t="shared" si="33"/>
        <v>1</v>
      </c>
      <c r="N156" s="879"/>
      <c r="O156" s="49">
        <f t="shared" si="34"/>
        <v>1</v>
      </c>
      <c r="P156" s="879"/>
      <c r="Q156" s="49">
        <f t="shared" si="35"/>
        <v>1</v>
      </c>
      <c r="R156" s="49">
        <f t="shared" si="36"/>
        <v>0</v>
      </c>
      <c r="S156" s="734">
        <f t="shared" si="27"/>
        <v>0</v>
      </c>
    </row>
    <row r="157" spans="1:19">
      <c r="A157" s="880"/>
      <c r="B157" s="126"/>
      <c r="C157" s="49">
        <f t="shared" si="28"/>
        <v>1</v>
      </c>
      <c r="D157" s="879"/>
      <c r="E157" s="49">
        <f t="shared" si="29"/>
        <v>1</v>
      </c>
      <c r="F157" s="879"/>
      <c r="G157" s="49">
        <f t="shared" si="30"/>
        <v>1</v>
      </c>
      <c r="H157" s="879"/>
      <c r="I157" s="49">
        <f t="shared" si="31"/>
        <v>1</v>
      </c>
      <c r="J157" s="879"/>
      <c r="K157" s="49">
        <f t="shared" si="32"/>
        <v>1</v>
      </c>
      <c r="L157" s="879"/>
      <c r="M157" s="49">
        <f t="shared" si="33"/>
        <v>1</v>
      </c>
      <c r="N157" s="879"/>
      <c r="O157" s="49">
        <f t="shared" si="34"/>
        <v>1</v>
      </c>
      <c r="P157" s="879"/>
      <c r="Q157" s="49">
        <f t="shared" si="35"/>
        <v>1</v>
      </c>
      <c r="R157" s="49">
        <f t="shared" si="36"/>
        <v>0</v>
      </c>
      <c r="S157" s="734">
        <f t="shared" si="27"/>
        <v>0</v>
      </c>
    </row>
    <row r="158" spans="1:19">
      <c r="A158" s="880"/>
      <c r="B158" s="126"/>
      <c r="C158" s="49">
        <f t="shared" si="28"/>
        <v>1</v>
      </c>
      <c r="D158" s="879"/>
      <c r="E158" s="49">
        <f t="shared" si="29"/>
        <v>1</v>
      </c>
      <c r="F158" s="879"/>
      <c r="G158" s="49">
        <f t="shared" si="30"/>
        <v>1</v>
      </c>
      <c r="H158" s="879"/>
      <c r="I158" s="49">
        <f t="shared" si="31"/>
        <v>1</v>
      </c>
      <c r="J158" s="879"/>
      <c r="K158" s="49">
        <f t="shared" si="32"/>
        <v>1</v>
      </c>
      <c r="L158" s="879"/>
      <c r="M158" s="49">
        <f t="shared" si="33"/>
        <v>1</v>
      </c>
      <c r="N158" s="879"/>
      <c r="O158" s="49">
        <f t="shared" si="34"/>
        <v>1</v>
      </c>
      <c r="P158" s="879"/>
      <c r="Q158" s="49">
        <f t="shared" si="35"/>
        <v>1</v>
      </c>
      <c r="R158" s="49">
        <f t="shared" si="36"/>
        <v>0</v>
      </c>
      <c r="S158" s="734">
        <f t="shared" si="27"/>
        <v>0</v>
      </c>
    </row>
    <row r="159" spans="1:19">
      <c r="A159" s="880"/>
      <c r="B159" s="126"/>
      <c r="C159" s="49">
        <f t="shared" si="28"/>
        <v>1</v>
      </c>
      <c r="D159" s="879"/>
      <c r="E159" s="49">
        <f t="shared" si="29"/>
        <v>1</v>
      </c>
      <c r="F159" s="879"/>
      <c r="G159" s="49">
        <f t="shared" si="30"/>
        <v>1</v>
      </c>
      <c r="H159" s="879"/>
      <c r="I159" s="49">
        <f t="shared" si="31"/>
        <v>1</v>
      </c>
      <c r="J159" s="879"/>
      <c r="K159" s="49">
        <f t="shared" si="32"/>
        <v>1</v>
      </c>
      <c r="L159" s="879"/>
      <c r="M159" s="49">
        <f t="shared" si="33"/>
        <v>1</v>
      </c>
      <c r="N159" s="879"/>
      <c r="O159" s="49">
        <f t="shared" si="34"/>
        <v>1</v>
      </c>
      <c r="P159" s="879"/>
      <c r="Q159" s="49">
        <f t="shared" si="35"/>
        <v>1</v>
      </c>
      <c r="R159" s="49">
        <f t="shared" si="36"/>
        <v>0</v>
      </c>
      <c r="S159" s="734">
        <f t="shared" si="27"/>
        <v>0</v>
      </c>
    </row>
    <row r="160" spans="1:19">
      <c r="A160" s="880"/>
      <c r="B160" s="126"/>
      <c r="C160" s="49">
        <f t="shared" si="28"/>
        <v>1</v>
      </c>
      <c r="D160" s="879"/>
      <c r="E160" s="49">
        <f t="shared" si="29"/>
        <v>1</v>
      </c>
      <c r="F160" s="879"/>
      <c r="G160" s="49">
        <f t="shared" si="30"/>
        <v>1</v>
      </c>
      <c r="H160" s="879"/>
      <c r="I160" s="49">
        <f t="shared" si="31"/>
        <v>1</v>
      </c>
      <c r="J160" s="879"/>
      <c r="K160" s="49">
        <f t="shared" si="32"/>
        <v>1</v>
      </c>
      <c r="L160" s="879"/>
      <c r="M160" s="49">
        <f t="shared" si="33"/>
        <v>1</v>
      </c>
      <c r="N160" s="879"/>
      <c r="O160" s="49">
        <f t="shared" si="34"/>
        <v>1</v>
      </c>
      <c r="P160" s="879"/>
      <c r="Q160" s="49">
        <f t="shared" si="35"/>
        <v>1</v>
      </c>
      <c r="R160" s="49">
        <f t="shared" si="36"/>
        <v>0</v>
      </c>
      <c r="S160" s="734">
        <f t="shared" si="27"/>
        <v>0</v>
      </c>
    </row>
    <row r="161" spans="1:19">
      <c r="A161" s="880"/>
      <c r="B161" s="126"/>
      <c r="C161" s="49">
        <f t="shared" si="28"/>
        <v>1</v>
      </c>
      <c r="D161" s="879"/>
      <c r="E161" s="49">
        <f t="shared" si="29"/>
        <v>1</v>
      </c>
      <c r="F161" s="879"/>
      <c r="G161" s="49">
        <f t="shared" si="30"/>
        <v>1</v>
      </c>
      <c r="H161" s="879"/>
      <c r="I161" s="49">
        <f t="shared" si="31"/>
        <v>1</v>
      </c>
      <c r="J161" s="879"/>
      <c r="K161" s="49">
        <f t="shared" si="32"/>
        <v>1</v>
      </c>
      <c r="L161" s="879"/>
      <c r="M161" s="49">
        <f t="shared" si="33"/>
        <v>1</v>
      </c>
      <c r="N161" s="879"/>
      <c r="O161" s="49">
        <f t="shared" si="34"/>
        <v>1</v>
      </c>
      <c r="P161" s="879"/>
      <c r="Q161" s="49">
        <f t="shared" si="35"/>
        <v>1</v>
      </c>
      <c r="R161" s="49">
        <f t="shared" si="36"/>
        <v>0</v>
      </c>
      <c r="S161" s="734">
        <f t="shared" si="27"/>
        <v>0</v>
      </c>
    </row>
    <row r="162" spans="1:19">
      <c r="A162" s="880"/>
      <c r="B162" s="126"/>
      <c r="C162" s="49">
        <f t="shared" si="28"/>
        <v>1</v>
      </c>
      <c r="D162" s="879"/>
      <c r="E162" s="49">
        <f t="shared" si="29"/>
        <v>1</v>
      </c>
      <c r="F162" s="879"/>
      <c r="G162" s="49">
        <f t="shared" si="30"/>
        <v>1</v>
      </c>
      <c r="H162" s="879"/>
      <c r="I162" s="49">
        <f t="shared" si="31"/>
        <v>1</v>
      </c>
      <c r="J162" s="879"/>
      <c r="K162" s="49">
        <f t="shared" si="32"/>
        <v>1</v>
      </c>
      <c r="L162" s="879"/>
      <c r="M162" s="49">
        <f t="shared" si="33"/>
        <v>1</v>
      </c>
      <c r="N162" s="879"/>
      <c r="O162" s="49">
        <f t="shared" si="34"/>
        <v>1</v>
      </c>
      <c r="P162" s="879"/>
      <c r="Q162" s="49">
        <f t="shared" si="35"/>
        <v>1</v>
      </c>
      <c r="R162" s="49">
        <f t="shared" si="36"/>
        <v>0</v>
      </c>
      <c r="S162" s="734">
        <f t="shared" si="27"/>
        <v>0</v>
      </c>
    </row>
    <row r="163" spans="1:19">
      <c r="A163" s="880"/>
      <c r="B163" s="126"/>
      <c r="C163" s="49">
        <f t="shared" si="28"/>
        <v>1</v>
      </c>
      <c r="D163" s="879"/>
      <c r="E163" s="49">
        <f t="shared" si="29"/>
        <v>1</v>
      </c>
      <c r="F163" s="879"/>
      <c r="G163" s="49">
        <f t="shared" si="30"/>
        <v>1</v>
      </c>
      <c r="H163" s="879"/>
      <c r="I163" s="49">
        <f t="shared" si="31"/>
        <v>1</v>
      </c>
      <c r="J163" s="879"/>
      <c r="K163" s="49">
        <f t="shared" si="32"/>
        <v>1</v>
      </c>
      <c r="L163" s="879"/>
      <c r="M163" s="49">
        <f t="shared" si="33"/>
        <v>1</v>
      </c>
      <c r="N163" s="879"/>
      <c r="O163" s="49">
        <f t="shared" si="34"/>
        <v>1</v>
      </c>
      <c r="P163" s="879"/>
      <c r="Q163" s="49">
        <f t="shared" si="35"/>
        <v>1</v>
      </c>
      <c r="R163" s="49">
        <f t="shared" si="36"/>
        <v>0</v>
      </c>
      <c r="S163" s="734">
        <f t="shared" si="27"/>
        <v>0</v>
      </c>
    </row>
    <row r="164" spans="1:19">
      <c r="A164" s="880"/>
      <c r="B164" s="126"/>
      <c r="C164" s="49">
        <f t="shared" si="28"/>
        <v>1</v>
      </c>
      <c r="D164" s="879"/>
      <c r="E164" s="49">
        <f t="shared" si="29"/>
        <v>1</v>
      </c>
      <c r="F164" s="879"/>
      <c r="G164" s="49">
        <f t="shared" si="30"/>
        <v>1</v>
      </c>
      <c r="H164" s="879"/>
      <c r="I164" s="49">
        <f t="shared" si="31"/>
        <v>1</v>
      </c>
      <c r="J164" s="879"/>
      <c r="K164" s="49">
        <f t="shared" si="32"/>
        <v>1</v>
      </c>
      <c r="L164" s="879"/>
      <c r="M164" s="49">
        <f t="shared" si="33"/>
        <v>1</v>
      </c>
      <c r="N164" s="879"/>
      <c r="O164" s="49">
        <f t="shared" si="34"/>
        <v>1</v>
      </c>
      <c r="P164" s="879"/>
      <c r="Q164" s="49">
        <f t="shared" si="35"/>
        <v>1</v>
      </c>
      <c r="R164" s="49">
        <f t="shared" si="36"/>
        <v>0</v>
      </c>
      <c r="S164" s="734">
        <f t="shared" si="27"/>
        <v>0</v>
      </c>
    </row>
    <row r="165" spans="1:19">
      <c r="A165" s="880"/>
      <c r="B165" s="126"/>
      <c r="C165" s="49">
        <f t="shared" si="28"/>
        <v>1</v>
      </c>
      <c r="D165" s="879"/>
      <c r="E165" s="49">
        <f t="shared" si="29"/>
        <v>1</v>
      </c>
      <c r="F165" s="879"/>
      <c r="G165" s="49">
        <f t="shared" si="30"/>
        <v>1</v>
      </c>
      <c r="H165" s="879"/>
      <c r="I165" s="49">
        <f t="shared" si="31"/>
        <v>1</v>
      </c>
      <c r="J165" s="879"/>
      <c r="K165" s="49">
        <f t="shared" si="32"/>
        <v>1</v>
      </c>
      <c r="L165" s="879"/>
      <c r="M165" s="49">
        <f t="shared" si="33"/>
        <v>1</v>
      </c>
      <c r="N165" s="879"/>
      <c r="O165" s="49">
        <f t="shared" si="34"/>
        <v>1</v>
      </c>
      <c r="P165" s="879"/>
      <c r="Q165" s="49">
        <f t="shared" si="35"/>
        <v>1</v>
      </c>
      <c r="R165" s="49">
        <f t="shared" si="36"/>
        <v>0</v>
      </c>
      <c r="S165" s="734">
        <f t="shared" si="27"/>
        <v>0</v>
      </c>
    </row>
    <row r="166" spans="1:19">
      <c r="A166" s="880"/>
      <c r="B166" s="126"/>
      <c r="C166" s="49">
        <f t="shared" si="28"/>
        <v>1</v>
      </c>
      <c r="D166" s="879"/>
      <c r="E166" s="49">
        <f t="shared" si="29"/>
        <v>1</v>
      </c>
      <c r="F166" s="879"/>
      <c r="G166" s="49">
        <f t="shared" si="30"/>
        <v>1</v>
      </c>
      <c r="H166" s="879"/>
      <c r="I166" s="49">
        <f t="shared" si="31"/>
        <v>1</v>
      </c>
      <c r="J166" s="879"/>
      <c r="K166" s="49">
        <f t="shared" si="32"/>
        <v>1</v>
      </c>
      <c r="L166" s="879"/>
      <c r="M166" s="49">
        <f t="shared" si="33"/>
        <v>1</v>
      </c>
      <c r="N166" s="879"/>
      <c r="O166" s="49">
        <f t="shared" si="34"/>
        <v>1</v>
      </c>
      <c r="P166" s="879"/>
      <c r="Q166" s="49">
        <f t="shared" si="35"/>
        <v>1</v>
      </c>
      <c r="R166" s="49">
        <f t="shared" si="36"/>
        <v>0</v>
      </c>
      <c r="S166" s="734">
        <f t="shared" si="27"/>
        <v>0</v>
      </c>
    </row>
    <row r="167" spans="1:19">
      <c r="A167" s="880"/>
      <c r="B167" s="126"/>
      <c r="C167" s="49">
        <f t="shared" si="28"/>
        <v>1</v>
      </c>
      <c r="D167" s="879"/>
      <c r="E167" s="49">
        <f t="shared" si="29"/>
        <v>1</v>
      </c>
      <c r="F167" s="879"/>
      <c r="G167" s="49">
        <f t="shared" si="30"/>
        <v>1</v>
      </c>
      <c r="H167" s="879"/>
      <c r="I167" s="49">
        <f t="shared" si="31"/>
        <v>1</v>
      </c>
      <c r="J167" s="879"/>
      <c r="K167" s="49">
        <f t="shared" si="32"/>
        <v>1</v>
      </c>
      <c r="L167" s="879"/>
      <c r="M167" s="49">
        <f t="shared" si="33"/>
        <v>1</v>
      </c>
      <c r="N167" s="879"/>
      <c r="O167" s="49">
        <f t="shared" si="34"/>
        <v>1</v>
      </c>
      <c r="P167" s="879"/>
      <c r="Q167" s="49">
        <f t="shared" si="35"/>
        <v>1</v>
      </c>
      <c r="R167" s="49">
        <f t="shared" si="36"/>
        <v>0</v>
      </c>
      <c r="S167" s="734">
        <f t="shared" si="27"/>
        <v>0</v>
      </c>
    </row>
    <row r="168" spans="1:19">
      <c r="A168" s="880"/>
      <c r="B168" s="126"/>
      <c r="C168" s="49">
        <f t="shared" si="28"/>
        <v>1</v>
      </c>
      <c r="D168" s="879"/>
      <c r="E168" s="49">
        <f t="shared" si="29"/>
        <v>1</v>
      </c>
      <c r="F168" s="879"/>
      <c r="G168" s="49">
        <f t="shared" si="30"/>
        <v>1</v>
      </c>
      <c r="H168" s="879"/>
      <c r="I168" s="49">
        <f t="shared" si="31"/>
        <v>1</v>
      </c>
      <c r="J168" s="879"/>
      <c r="K168" s="49">
        <f t="shared" si="32"/>
        <v>1</v>
      </c>
      <c r="L168" s="879"/>
      <c r="M168" s="49">
        <f t="shared" si="33"/>
        <v>1</v>
      </c>
      <c r="N168" s="879"/>
      <c r="O168" s="49">
        <f t="shared" si="34"/>
        <v>1</v>
      </c>
      <c r="P168" s="879"/>
      <c r="Q168" s="49">
        <f t="shared" si="35"/>
        <v>1</v>
      </c>
      <c r="R168" s="49">
        <f t="shared" si="36"/>
        <v>0</v>
      </c>
      <c r="S168" s="734">
        <f t="shared" si="27"/>
        <v>0</v>
      </c>
    </row>
    <row r="169" spans="1:19">
      <c r="A169" s="880"/>
      <c r="B169" s="126"/>
      <c r="C169" s="49">
        <f t="shared" si="28"/>
        <v>1</v>
      </c>
      <c r="D169" s="879"/>
      <c r="E169" s="49">
        <f t="shared" si="29"/>
        <v>1</v>
      </c>
      <c r="F169" s="879"/>
      <c r="G169" s="49">
        <f t="shared" si="30"/>
        <v>1</v>
      </c>
      <c r="H169" s="879"/>
      <c r="I169" s="49">
        <f t="shared" si="31"/>
        <v>1</v>
      </c>
      <c r="J169" s="879"/>
      <c r="K169" s="49">
        <f t="shared" si="32"/>
        <v>1</v>
      </c>
      <c r="L169" s="879"/>
      <c r="M169" s="49">
        <f t="shared" si="33"/>
        <v>1</v>
      </c>
      <c r="N169" s="879"/>
      <c r="O169" s="49">
        <f t="shared" si="34"/>
        <v>1</v>
      </c>
      <c r="P169" s="879"/>
      <c r="Q169" s="49">
        <f t="shared" si="35"/>
        <v>1</v>
      </c>
      <c r="R169" s="49">
        <f t="shared" si="36"/>
        <v>0</v>
      </c>
      <c r="S169" s="734">
        <f t="shared" si="27"/>
        <v>0</v>
      </c>
    </row>
    <row r="170" spans="1:19">
      <c r="A170" s="880"/>
      <c r="B170" s="126"/>
      <c r="C170" s="49">
        <f t="shared" si="28"/>
        <v>1</v>
      </c>
      <c r="D170" s="879"/>
      <c r="E170" s="49">
        <f t="shared" si="29"/>
        <v>1</v>
      </c>
      <c r="F170" s="879"/>
      <c r="G170" s="49">
        <f t="shared" si="30"/>
        <v>1</v>
      </c>
      <c r="H170" s="879"/>
      <c r="I170" s="49">
        <f t="shared" si="31"/>
        <v>1</v>
      </c>
      <c r="J170" s="879"/>
      <c r="K170" s="49">
        <f t="shared" si="32"/>
        <v>1</v>
      </c>
      <c r="L170" s="879"/>
      <c r="M170" s="49">
        <f t="shared" si="33"/>
        <v>1</v>
      </c>
      <c r="N170" s="879"/>
      <c r="O170" s="49">
        <f t="shared" si="34"/>
        <v>1</v>
      </c>
      <c r="P170" s="879"/>
      <c r="Q170" s="49">
        <f t="shared" si="35"/>
        <v>1</v>
      </c>
      <c r="R170" s="49">
        <f t="shared" si="36"/>
        <v>0</v>
      </c>
      <c r="S170" s="734">
        <f t="shared" si="27"/>
        <v>0</v>
      </c>
    </row>
    <row r="171" spans="1:19">
      <c r="A171" s="880"/>
      <c r="B171" s="126"/>
      <c r="C171" s="49">
        <f t="shared" si="28"/>
        <v>1</v>
      </c>
      <c r="D171" s="879"/>
      <c r="E171" s="49">
        <f t="shared" si="29"/>
        <v>1</v>
      </c>
      <c r="F171" s="879"/>
      <c r="G171" s="49">
        <f t="shared" si="30"/>
        <v>1</v>
      </c>
      <c r="H171" s="879"/>
      <c r="I171" s="49">
        <f t="shared" si="31"/>
        <v>1</v>
      </c>
      <c r="J171" s="879"/>
      <c r="K171" s="49">
        <f t="shared" si="32"/>
        <v>1</v>
      </c>
      <c r="L171" s="879"/>
      <c r="M171" s="49">
        <f t="shared" si="33"/>
        <v>1</v>
      </c>
      <c r="N171" s="879"/>
      <c r="O171" s="49">
        <f t="shared" si="34"/>
        <v>1</v>
      </c>
      <c r="P171" s="879"/>
      <c r="Q171" s="49">
        <f t="shared" si="35"/>
        <v>1</v>
      </c>
      <c r="R171" s="49">
        <f t="shared" si="36"/>
        <v>0</v>
      </c>
      <c r="S171" s="734">
        <f t="shared" si="27"/>
        <v>0</v>
      </c>
    </row>
    <row r="172" spans="1:19">
      <c r="A172" s="880"/>
      <c r="B172" s="126"/>
      <c r="C172" s="49">
        <f t="shared" si="28"/>
        <v>1</v>
      </c>
      <c r="D172" s="879"/>
      <c r="E172" s="49">
        <f t="shared" si="29"/>
        <v>1</v>
      </c>
      <c r="F172" s="879"/>
      <c r="G172" s="49">
        <f t="shared" si="30"/>
        <v>1</v>
      </c>
      <c r="H172" s="879"/>
      <c r="I172" s="49">
        <f t="shared" si="31"/>
        <v>1</v>
      </c>
      <c r="J172" s="879"/>
      <c r="K172" s="49">
        <f t="shared" si="32"/>
        <v>1</v>
      </c>
      <c r="L172" s="879"/>
      <c r="M172" s="49">
        <f t="shared" si="33"/>
        <v>1</v>
      </c>
      <c r="N172" s="879"/>
      <c r="O172" s="49">
        <f t="shared" si="34"/>
        <v>1</v>
      </c>
      <c r="P172" s="879"/>
      <c r="Q172" s="49">
        <f t="shared" si="35"/>
        <v>1</v>
      </c>
      <c r="R172" s="49">
        <f t="shared" si="36"/>
        <v>0</v>
      </c>
      <c r="S172" s="734">
        <f t="shared" si="27"/>
        <v>0</v>
      </c>
    </row>
    <row r="173" spans="1:19">
      <c r="A173" s="880"/>
      <c r="B173" s="126"/>
      <c r="C173" s="49">
        <f t="shared" si="28"/>
        <v>1</v>
      </c>
      <c r="D173" s="879"/>
      <c r="E173" s="49">
        <f t="shared" si="29"/>
        <v>1</v>
      </c>
      <c r="F173" s="879"/>
      <c r="G173" s="49">
        <f t="shared" si="30"/>
        <v>1</v>
      </c>
      <c r="H173" s="879"/>
      <c r="I173" s="49">
        <f t="shared" si="31"/>
        <v>1</v>
      </c>
      <c r="J173" s="879"/>
      <c r="K173" s="49">
        <f t="shared" si="32"/>
        <v>1</v>
      </c>
      <c r="L173" s="879"/>
      <c r="M173" s="49">
        <f t="shared" si="33"/>
        <v>1</v>
      </c>
      <c r="N173" s="879"/>
      <c r="O173" s="49">
        <f t="shared" si="34"/>
        <v>1</v>
      </c>
      <c r="P173" s="879"/>
      <c r="Q173" s="49">
        <f t="shared" si="35"/>
        <v>1</v>
      </c>
      <c r="R173" s="49">
        <f t="shared" si="36"/>
        <v>0</v>
      </c>
      <c r="S173" s="734">
        <f t="shared" si="27"/>
        <v>0</v>
      </c>
    </row>
    <row r="174" spans="1:19">
      <c r="A174" s="880"/>
      <c r="B174" s="126"/>
      <c r="C174" s="49">
        <f t="shared" si="28"/>
        <v>1</v>
      </c>
      <c r="D174" s="879"/>
      <c r="E174" s="49">
        <f t="shared" si="29"/>
        <v>1</v>
      </c>
      <c r="F174" s="879"/>
      <c r="G174" s="49">
        <f t="shared" si="30"/>
        <v>1</v>
      </c>
      <c r="H174" s="879"/>
      <c r="I174" s="49">
        <f t="shared" si="31"/>
        <v>1</v>
      </c>
      <c r="J174" s="879"/>
      <c r="K174" s="49">
        <f t="shared" si="32"/>
        <v>1</v>
      </c>
      <c r="L174" s="879"/>
      <c r="M174" s="49">
        <f t="shared" si="33"/>
        <v>1</v>
      </c>
      <c r="N174" s="879"/>
      <c r="O174" s="49">
        <f t="shared" si="34"/>
        <v>1</v>
      </c>
      <c r="P174" s="879"/>
      <c r="Q174" s="49">
        <f t="shared" si="35"/>
        <v>1</v>
      </c>
      <c r="R174" s="49">
        <f t="shared" si="36"/>
        <v>0</v>
      </c>
      <c r="S174" s="734">
        <f t="shared" si="27"/>
        <v>0</v>
      </c>
    </row>
    <row r="175" spans="1:19">
      <c r="A175" s="880"/>
      <c r="B175" s="126"/>
      <c r="C175" s="49">
        <f t="shared" si="28"/>
        <v>1</v>
      </c>
      <c r="D175" s="879"/>
      <c r="E175" s="49">
        <f t="shared" si="29"/>
        <v>1</v>
      </c>
      <c r="F175" s="879"/>
      <c r="G175" s="49">
        <f t="shared" si="30"/>
        <v>1</v>
      </c>
      <c r="H175" s="879"/>
      <c r="I175" s="49">
        <f t="shared" si="31"/>
        <v>1</v>
      </c>
      <c r="J175" s="879"/>
      <c r="K175" s="49">
        <f t="shared" si="32"/>
        <v>1</v>
      </c>
      <c r="L175" s="879"/>
      <c r="M175" s="49">
        <f t="shared" si="33"/>
        <v>1</v>
      </c>
      <c r="N175" s="879"/>
      <c r="O175" s="49">
        <f t="shared" si="34"/>
        <v>1</v>
      </c>
      <c r="P175" s="879"/>
      <c r="Q175" s="49">
        <f t="shared" si="35"/>
        <v>1</v>
      </c>
      <c r="R175" s="49">
        <f t="shared" si="36"/>
        <v>0</v>
      </c>
      <c r="S175" s="734">
        <f t="shared" si="27"/>
        <v>0</v>
      </c>
    </row>
    <row r="176" spans="1:19">
      <c r="A176" s="880"/>
      <c r="B176" s="126"/>
      <c r="C176" s="49">
        <f t="shared" si="28"/>
        <v>1</v>
      </c>
      <c r="D176" s="879"/>
      <c r="E176" s="49">
        <f t="shared" si="29"/>
        <v>1</v>
      </c>
      <c r="F176" s="879"/>
      <c r="G176" s="49">
        <f t="shared" si="30"/>
        <v>1</v>
      </c>
      <c r="H176" s="879"/>
      <c r="I176" s="49">
        <f t="shared" si="31"/>
        <v>1</v>
      </c>
      <c r="J176" s="879"/>
      <c r="K176" s="49">
        <f t="shared" si="32"/>
        <v>1</v>
      </c>
      <c r="L176" s="879"/>
      <c r="M176" s="49">
        <f t="shared" si="33"/>
        <v>1</v>
      </c>
      <c r="N176" s="879"/>
      <c r="O176" s="49">
        <f t="shared" si="34"/>
        <v>1</v>
      </c>
      <c r="P176" s="879"/>
      <c r="Q176" s="49">
        <f t="shared" si="35"/>
        <v>1</v>
      </c>
      <c r="R176" s="49">
        <f t="shared" si="36"/>
        <v>0</v>
      </c>
      <c r="S176" s="734">
        <f t="shared" si="27"/>
        <v>0</v>
      </c>
    </row>
    <row r="177" spans="1:19">
      <c r="A177" s="880"/>
      <c r="B177" s="126"/>
      <c r="C177" s="49">
        <f t="shared" si="28"/>
        <v>1</v>
      </c>
      <c r="D177" s="879"/>
      <c r="E177" s="49">
        <f t="shared" si="29"/>
        <v>1</v>
      </c>
      <c r="F177" s="879"/>
      <c r="G177" s="49">
        <f t="shared" si="30"/>
        <v>1</v>
      </c>
      <c r="H177" s="879"/>
      <c r="I177" s="49">
        <f t="shared" si="31"/>
        <v>1</v>
      </c>
      <c r="J177" s="879"/>
      <c r="K177" s="49">
        <f t="shared" si="32"/>
        <v>1</v>
      </c>
      <c r="L177" s="879"/>
      <c r="M177" s="49">
        <f t="shared" si="33"/>
        <v>1</v>
      </c>
      <c r="N177" s="879"/>
      <c r="O177" s="49">
        <f t="shared" si="34"/>
        <v>1</v>
      </c>
      <c r="P177" s="879"/>
      <c r="Q177" s="49">
        <f t="shared" si="35"/>
        <v>1</v>
      </c>
      <c r="R177" s="49">
        <f t="shared" si="36"/>
        <v>0</v>
      </c>
      <c r="S177" s="734">
        <f t="shared" si="27"/>
        <v>0</v>
      </c>
    </row>
    <row r="178" spans="1:19">
      <c r="A178" s="880"/>
      <c r="B178" s="126"/>
      <c r="C178" s="49">
        <f t="shared" si="28"/>
        <v>1</v>
      </c>
      <c r="D178" s="879"/>
      <c r="E178" s="49">
        <f t="shared" si="29"/>
        <v>1</v>
      </c>
      <c r="F178" s="879"/>
      <c r="G178" s="49">
        <f t="shared" si="30"/>
        <v>1</v>
      </c>
      <c r="H178" s="879"/>
      <c r="I178" s="49">
        <f t="shared" si="31"/>
        <v>1</v>
      </c>
      <c r="J178" s="879"/>
      <c r="K178" s="49">
        <f t="shared" si="32"/>
        <v>1</v>
      </c>
      <c r="L178" s="879"/>
      <c r="M178" s="49">
        <f t="shared" si="33"/>
        <v>1</v>
      </c>
      <c r="N178" s="879"/>
      <c r="O178" s="49">
        <f t="shared" si="34"/>
        <v>1</v>
      </c>
      <c r="P178" s="879"/>
      <c r="Q178" s="49">
        <f t="shared" si="35"/>
        <v>1</v>
      </c>
      <c r="R178" s="49">
        <f t="shared" si="36"/>
        <v>0</v>
      </c>
      <c r="S178" s="734">
        <f t="shared" si="27"/>
        <v>0</v>
      </c>
    </row>
    <row r="179" spans="1:19">
      <c r="A179" s="880"/>
      <c r="B179" s="126"/>
      <c r="C179" s="49">
        <f t="shared" si="28"/>
        <v>1</v>
      </c>
      <c r="D179" s="879"/>
      <c r="E179" s="49">
        <f t="shared" si="29"/>
        <v>1</v>
      </c>
      <c r="F179" s="879"/>
      <c r="G179" s="49">
        <f t="shared" si="30"/>
        <v>1</v>
      </c>
      <c r="H179" s="879"/>
      <c r="I179" s="49">
        <f t="shared" si="31"/>
        <v>1</v>
      </c>
      <c r="J179" s="879"/>
      <c r="K179" s="49">
        <f t="shared" si="32"/>
        <v>1</v>
      </c>
      <c r="L179" s="879"/>
      <c r="M179" s="49">
        <f t="shared" si="33"/>
        <v>1</v>
      </c>
      <c r="N179" s="879"/>
      <c r="O179" s="49">
        <f t="shared" si="34"/>
        <v>1</v>
      </c>
      <c r="P179" s="879"/>
      <c r="Q179" s="49">
        <f t="shared" si="35"/>
        <v>1</v>
      </c>
      <c r="R179" s="49">
        <f t="shared" si="36"/>
        <v>0</v>
      </c>
      <c r="S179" s="734">
        <f t="shared" si="27"/>
        <v>0</v>
      </c>
    </row>
    <row r="180" spans="1:19">
      <c r="A180" s="880"/>
      <c r="B180" s="126"/>
      <c r="C180" s="49">
        <f t="shared" si="28"/>
        <v>1</v>
      </c>
      <c r="D180" s="879"/>
      <c r="E180" s="49">
        <f t="shared" si="29"/>
        <v>1</v>
      </c>
      <c r="F180" s="879"/>
      <c r="G180" s="49">
        <f t="shared" si="30"/>
        <v>1</v>
      </c>
      <c r="H180" s="879"/>
      <c r="I180" s="49">
        <f t="shared" si="31"/>
        <v>1</v>
      </c>
      <c r="J180" s="879"/>
      <c r="K180" s="49">
        <f t="shared" si="32"/>
        <v>1</v>
      </c>
      <c r="L180" s="879"/>
      <c r="M180" s="49">
        <f t="shared" si="33"/>
        <v>1</v>
      </c>
      <c r="N180" s="879"/>
      <c r="O180" s="49">
        <f t="shared" si="34"/>
        <v>1</v>
      </c>
      <c r="P180" s="879"/>
      <c r="Q180" s="49">
        <f t="shared" si="35"/>
        <v>1</v>
      </c>
      <c r="R180" s="49">
        <f t="shared" si="36"/>
        <v>0</v>
      </c>
      <c r="S180" s="734">
        <f t="shared" si="27"/>
        <v>0</v>
      </c>
    </row>
    <row r="181" spans="1:19">
      <c r="A181" s="880"/>
      <c r="B181" s="126"/>
      <c r="C181" s="49">
        <f t="shared" si="28"/>
        <v>1</v>
      </c>
      <c r="D181" s="879"/>
      <c r="E181" s="49">
        <f t="shared" si="29"/>
        <v>1</v>
      </c>
      <c r="F181" s="879"/>
      <c r="G181" s="49">
        <f t="shared" si="30"/>
        <v>1</v>
      </c>
      <c r="H181" s="879"/>
      <c r="I181" s="49">
        <f t="shared" si="31"/>
        <v>1</v>
      </c>
      <c r="J181" s="879"/>
      <c r="K181" s="49">
        <f t="shared" si="32"/>
        <v>1</v>
      </c>
      <c r="L181" s="879"/>
      <c r="M181" s="49">
        <f t="shared" si="33"/>
        <v>1</v>
      </c>
      <c r="N181" s="879"/>
      <c r="O181" s="49">
        <f t="shared" si="34"/>
        <v>1</v>
      </c>
      <c r="P181" s="879"/>
      <c r="Q181" s="49">
        <f t="shared" si="35"/>
        <v>1</v>
      </c>
      <c r="R181" s="49">
        <f t="shared" si="36"/>
        <v>0</v>
      </c>
      <c r="S181" s="734">
        <f t="shared" si="27"/>
        <v>0</v>
      </c>
    </row>
    <row r="182" spans="1:19">
      <c r="A182" s="880"/>
      <c r="B182" s="126"/>
      <c r="C182" s="49">
        <f t="shared" si="28"/>
        <v>1</v>
      </c>
      <c r="D182" s="879"/>
      <c r="E182" s="49">
        <f t="shared" si="29"/>
        <v>1</v>
      </c>
      <c r="F182" s="879"/>
      <c r="G182" s="49">
        <f t="shared" si="30"/>
        <v>1</v>
      </c>
      <c r="H182" s="879"/>
      <c r="I182" s="49">
        <f t="shared" si="31"/>
        <v>1</v>
      </c>
      <c r="J182" s="879"/>
      <c r="K182" s="49">
        <f t="shared" si="32"/>
        <v>1</v>
      </c>
      <c r="L182" s="879"/>
      <c r="M182" s="49">
        <f t="shared" si="33"/>
        <v>1</v>
      </c>
      <c r="N182" s="879"/>
      <c r="O182" s="49">
        <f t="shared" si="34"/>
        <v>1</v>
      </c>
      <c r="P182" s="879"/>
      <c r="Q182" s="49">
        <f t="shared" si="35"/>
        <v>1</v>
      </c>
      <c r="R182" s="49">
        <f t="shared" si="36"/>
        <v>0</v>
      </c>
      <c r="S182" s="734">
        <f t="shared" si="27"/>
        <v>0</v>
      </c>
    </row>
    <row r="183" spans="1:19">
      <c r="A183" s="880"/>
      <c r="B183" s="126"/>
      <c r="C183" s="49">
        <f t="shared" si="28"/>
        <v>1</v>
      </c>
      <c r="D183" s="879"/>
      <c r="E183" s="49">
        <f t="shared" si="29"/>
        <v>1</v>
      </c>
      <c r="F183" s="879"/>
      <c r="G183" s="49">
        <f t="shared" si="30"/>
        <v>1</v>
      </c>
      <c r="H183" s="879"/>
      <c r="I183" s="49">
        <f t="shared" si="31"/>
        <v>1</v>
      </c>
      <c r="J183" s="879"/>
      <c r="K183" s="49">
        <f t="shared" si="32"/>
        <v>1</v>
      </c>
      <c r="L183" s="879"/>
      <c r="M183" s="49">
        <f t="shared" si="33"/>
        <v>1</v>
      </c>
      <c r="N183" s="879"/>
      <c r="O183" s="49">
        <f t="shared" si="34"/>
        <v>1</v>
      </c>
      <c r="P183" s="879"/>
      <c r="Q183" s="49">
        <f t="shared" si="35"/>
        <v>1</v>
      </c>
      <c r="R183" s="49">
        <f t="shared" si="36"/>
        <v>0</v>
      </c>
      <c r="S183" s="734">
        <f t="shared" si="27"/>
        <v>0</v>
      </c>
    </row>
    <row r="184" spans="1:19">
      <c r="A184" s="880"/>
      <c r="B184" s="126"/>
      <c r="C184" s="49">
        <f t="shared" si="28"/>
        <v>1</v>
      </c>
      <c r="D184" s="879"/>
      <c r="E184" s="49">
        <f t="shared" si="29"/>
        <v>1</v>
      </c>
      <c r="F184" s="879"/>
      <c r="G184" s="49">
        <f t="shared" si="30"/>
        <v>1</v>
      </c>
      <c r="H184" s="879"/>
      <c r="I184" s="49">
        <f t="shared" si="31"/>
        <v>1</v>
      </c>
      <c r="J184" s="879"/>
      <c r="K184" s="49">
        <f t="shared" si="32"/>
        <v>1</v>
      </c>
      <c r="L184" s="879"/>
      <c r="M184" s="49">
        <f t="shared" si="33"/>
        <v>1</v>
      </c>
      <c r="N184" s="879"/>
      <c r="O184" s="49">
        <f t="shared" si="34"/>
        <v>1</v>
      </c>
      <c r="P184" s="879"/>
      <c r="Q184" s="49">
        <f t="shared" si="35"/>
        <v>1</v>
      </c>
      <c r="R184" s="49">
        <f t="shared" si="36"/>
        <v>0</v>
      </c>
      <c r="S184" s="734">
        <f t="shared" si="27"/>
        <v>0</v>
      </c>
    </row>
    <row r="185" spans="1:19">
      <c r="A185" s="880"/>
      <c r="B185" s="126"/>
      <c r="C185" s="49">
        <f t="shared" si="28"/>
        <v>1</v>
      </c>
      <c r="D185" s="879"/>
      <c r="E185" s="49">
        <f t="shared" si="29"/>
        <v>1</v>
      </c>
      <c r="F185" s="879"/>
      <c r="G185" s="49">
        <f t="shared" si="30"/>
        <v>1</v>
      </c>
      <c r="H185" s="879"/>
      <c r="I185" s="49">
        <f t="shared" si="31"/>
        <v>1</v>
      </c>
      <c r="J185" s="879"/>
      <c r="K185" s="49">
        <f t="shared" si="32"/>
        <v>1</v>
      </c>
      <c r="L185" s="879"/>
      <c r="M185" s="49">
        <f t="shared" si="33"/>
        <v>1</v>
      </c>
      <c r="N185" s="879"/>
      <c r="O185" s="49">
        <f t="shared" si="34"/>
        <v>1</v>
      </c>
      <c r="P185" s="879"/>
      <c r="Q185" s="49">
        <f t="shared" si="35"/>
        <v>1</v>
      </c>
      <c r="R185" s="49">
        <f t="shared" si="36"/>
        <v>0</v>
      </c>
      <c r="S185" s="734">
        <f t="shared" si="27"/>
        <v>0</v>
      </c>
    </row>
    <row r="186" spans="1:19">
      <c r="A186" s="880"/>
      <c r="B186" s="126"/>
      <c r="C186" s="49">
        <f t="shared" si="28"/>
        <v>1</v>
      </c>
      <c r="D186" s="879"/>
      <c r="E186" s="49">
        <f t="shared" si="29"/>
        <v>1</v>
      </c>
      <c r="F186" s="879"/>
      <c r="G186" s="49">
        <f t="shared" si="30"/>
        <v>1</v>
      </c>
      <c r="H186" s="879"/>
      <c r="I186" s="49">
        <f t="shared" si="31"/>
        <v>1</v>
      </c>
      <c r="J186" s="879"/>
      <c r="K186" s="49">
        <f t="shared" si="32"/>
        <v>1</v>
      </c>
      <c r="L186" s="879"/>
      <c r="M186" s="49">
        <f t="shared" si="33"/>
        <v>1</v>
      </c>
      <c r="N186" s="879"/>
      <c r="O186" s="49">
        <f t="shared" si="34"/>
        <v>1</v>
      </c>
      <c r="P186" s="879"/>
      <c r="Q186" s="49">
        <f t="shared" si="35"/>
        <v>1</v>
      </c>
      <c r="R186" s="49">
        <f t="shared" si="36"/>
        <v>0</v>
      </c>
      <c r="S186" s="734">
        <f t="shared" si="27"/>
        <v>0</v>
      </c>
    </row>
    <row r="187" spans="1:19">
      <c r="A187" s="880"/>
      <c r="B187" s="126"/>
      <c r="C187" s="49">
        <f t="shared" si="28"/>
        <v>1</v>
      </c>
      <c r="D187" s="879"/>
      <c r="E187" s="49">
        <f t="shared" si="29"/>
        <v>1</v>
      </c>
      <c r="F187" s="879"/>
      <c r="G187" s="49">
        <f t="shared" si="30"/>
        <v>1</v>
      </c>
      <c r="H187" s="879"/>
      <c r="I187" s="49">
        <f t="shared" si="31"/>
        <v>1</v>
      </c>
      <c r="J187" s="879"/>
      <c r="K187" s="49">
        <f t="shared" si="32"/>
        <v>1</v>
      </c>
      <c r="L187" s="879"/>
      <c r="M187" s="49">
        <f t="shared" si="33"/>
        <v>1</v>
      </c>
      <c r="N187" s="879"/>
      <c r="O187" s="49">
        <f t="shared" si="34"/>
        <v>1</v>
      </c>
      <c r="P187" s="879"/>
      <c r="Q187" s="49">
        <f t="shared" si="35"/>
        <v>1</v>
      </c>
      <c r="R187" s="49">
        <f t="shared" si="36"/>
        <v>0</v>
      </c>
      <c r="S187" s="734">
        <f t="shared" ref="S187:S222" si="37">ROUND(R187*B187/10000,0)</f>
        <v>0</v>
      </c>
    </row>
    <row r="188" spans="1:19">
      <c r="A188" s="880"/>
      <c r="B188" s="126"/>
      <c r="C188" s="49">
        <f t="shared" si="28"/>
        <v>1</v>
      </c>
      <c r="D188" s="879"/>
      <c r="E188" s="49">
        <f t="shared" si="29"/>
        <v>1</v>
      </c>
      <c r="F188" s="879"/>
      <c r="G188" s="49">
        <f t="shared" si="30"/>
        <v>1</v>
      </c>
      <c r="H188" s="879"/>
      <c r="I188" s="49">
        <f t="shared" si="31"/>
        <v>1</v>
      </c>
      <c r="J188" s="879"/>
      <c r="K188" s="49">
        <f t="shared" si="32"/>
        <v>1</v>
      </c>
      <c r="L188" s="879"/>
      <c r="M188" s="49">
        <f t="shared" si="33"/>
        <v>1</v>
      </c>
      <c r="N188" s="879"/>
      <c r="O188" s="49">
        <f t="shared" si="34"/>
        <v>1</v>
      </c>
      <c r="P188" s="879"/>
      <c r="Q188" s="49">
        <f t="shared" si="35"/>
        <v>1</v>
      </c>
      <c r="R188" s="49">
        <f t="shared" si="36"/>
        <v>0</v>
      </c>
      <c r="S188" s="734">
        <f t="shared" si="37"/>
        <v>0</v>
      </c>
    </row>
    <row r="189" spans="1:19">
      <c r="A189" s="880"/>
      <c r="B189" s="126"/>
      <c r="C189" s="49">
        <f t="shared" si="28"/>
        <v>1</v>
      </c>
      <c r="D189" s="879"/>
      <c r="E189" s="49">
        <f t="shared" si="29"/>
        <v>1</v>
      </c>
      <c r="F189" s="879"/>
      <c r="G189" s="49">
        <f t="shared" si="30"/>
        <v>1</v>
      </c>
      <c r="H189" s="879"/>
      <c r="I189" s="49">
        <f t="shared" si="31"/>
        <v>1</v>
      </c>
      <c r="J189" s="879"/>
      <c r="K189" s="49">
        <f t="shared" si="32"/>
        <v>1</v>
      </c>
      <c r="L189" s="879"/>
      <c r="M189" s="49">
        <f t="shared" si="33"/>
        <v>1</v>
      </c>
      <c r="N189" s="879"/>
      <c r="O189" s="49">
        <f t="shared" si="34"/>
        <v>1</v>
      </c>
      <c r="P189" s="879"/>
      <c r="Q189" s="49">
        <f t="shared" si="35"/>
        <v>1</v>
      </c>
      <c r="R189" s="49">
        <f t="shared" si="36"/>
        <v>0</v>
      </c>
      <c r="S189" s="734">
        <f t="shared" si="37"/>
        <v>0</v>
      </c>
    </row>
    <row r="190" spans="1:19">
      <c r="A190" s="880"/>
      <c r="B190" s="126"/>
      <c r="C190" s="49">
        <f t="shared" si="28"/>
        <v>1</v>
      </c>
      <c r="D190" s="879"/>
      <c r="E190" s="49">
        <f t="shared" si="29"/>
        <v>1</v>
      </c>
      <c r="F190" s="879"/>
      <c r="G190" s="49">
        <f t="shared" si="30"/>
        <v>1</v>
      </c>
      <c r="H190" s="879"/>
      <c r="I190" s="49">
        <f t="shared" si="31"/>
        <v>1</v>
      </c>
      <c r="J190" s="879"/>
      <c r="K190" s="49">
        <f t="shared" si="32"/>
        <v>1</v>
      </c>
      <c r="L190" s="879"/>
      <c r="M190" s="49">
        <f t="shared" si="33"/>
        <v>1</v>
      </c>
      <c r="N190" s="879"/>
      <c r="O190" s="49">
        <f t="shared" si="34"/>
        <v>1</v>
      </c>
      <c r="P190" s="879"/>
      <c r="Q190" s="49">
        <f t="shared" si="35"/>
        <v>1</v>
      </c>
      <c r="R190" s="49">
        <f t="shared" si="36"/>
        <v>0</v>
      </c>
      <c r="S190" s="734">
        <f t="shared" si="37"/>
        <v>0</v>
      </c>
    </row>
    <row r="191" spans="1:19">
      <c r="A191" s="880"/>
      <c r="B191" s="126"/>
      <c r="C191" s="49">
        <f t="shared" si="28"/>
        <v>1</v>
      </c>
      <c r="D191" s="879"/>
      <c r="E191" s="49">
        <f t="shared" si="29"/>
        <v>1</v>
      </c>
      <c r="F191" s="879"/>
      <c r="G191" s="49">
        <f t="shared" si="30"/>
        <v>1</v>
      </c>
      <c r="H191" s="879"/>
      <c r="I191" s="49">
        <f t="shared" si="31"/>
        <v>1</v>
      </c>
      <c r="J191" s="879"/>
      <c r="K191" s="49">
        <f t="shared" si="32"/>
        <v>1</v>
      </c>
      <c r="L191" s="879"/>
      <c r="M191" s="49">
        <f t="shared" si="33"/>
        <v>1</v>
      </c>
      <c r="N191" s="879"/>
      <c r="O191" s="49">
        <f t="shared" si="34"/>
        <v>1</v>
      </c>
      <c r="P191" s="879"/>
      <c r="Q191" s="49">
        <f t="shared" si="35"/>
        <v>1</v>
      </c>
      <c r="R191" s="49">
        <f t="shared" si="36"/>
        <v>0</v>
      </c>
      <c r="S191" s="734">
        <f t="shared" si="37"/>
        <v>0</v>
      </c>
    </row>
    <row r="192" spans="1:19">
      <c r="A192" s="880"/>
      <c r="B192" s="126"/>
      <c r="C192" s="49">
        <f t="shared" si="28"/>
        <v>1</v>
      </c>
      <c r="D192" s="879"/>
      <c r="E192" s="49">
        <f t="shared" si="29"/>
        <v>1</v>
      </c>
      <c r="F192" s="879"/>
      <c r="G192" s="49">
        <f t="shared" si="30"/>
        <v>1</v>
      </c>
      <c r="H192" s="879"/>
      <c r="I192" s="49">
        <f t="shared" si="31"/>
        <v>1</v>
      </c>
      <c r="J192" s="879"/>
      <c r="K192" s="49">
        <f t="shared" si="32"/>
        <v>1</v>
      </c>
      <c r="L192" s="879"/>
      <c r="M192" s="49">
        <f t="shared" si="33"/>
        <v>1</v>
      </c>
      <c r="N192" s="879"/>
      <c r="O192" s="49">
        <f t="shared" si="34"/>
        <v>1</v>
      </c>
      <c r="P192" s="879"/>
      <c r="Q192" s="49">
        <f t="shared" si="35"/>
        <v>1</v>
      </c>
      <c r="R192" s="49">
        <f t="shared" si="36"/>
        <v>0</v>
      </c>
      <c r="S192" s="734">
        <f t="shared" si="37"/>
        <v>0</v>
      </c>
    </row>
    <row r="193" spans="1:19">
      <c r="A193" s="880"/>
      <c r="B193" s="126"/>
      <c r="C193" s="49">
        <f t="shared" si="28"/>
        <v>1</v>
      </c>
      <c r="D193" s="879"/>
      <c r="E193" s="49">
        <f t="shared" si="29"/>
        <v>1</v>
      </c>
      <c r="F193" s="879"/>
      <c r="G193" s="49">
        <f t="shared" si="30"/>
        <v>1</v>
      </c>
      <c r="H193" s="879"/>
      <c r="I193" s="49">
        <f t="shared" si="31"/>
        <v>1</v>
      </c>
      <c r="J193" s="879"/>
      <c r="K193" s="49">
        <f t="shared" si="32"/>
        <v>1</v>
      </c>
      <c r="L193" s="879"/>
      <c r="M193" s="49">
        <f t="shared" si="33"/>
        <v>1</v>
      </c>
      <c r="N193" s="879"/>
      <c r="O193" s="49">
        <f t="shared" si="34"/>
        <v>1</v>
      </c>
      <c r="P193" s="879"/>
      <c r="Q193" s="49">
        <f t="shared" si="35"/>
        <v>1</v>
      </c>
      <c r="R193" s="49">
        <f t="shared" si="36"/>
        <v>0</v>
      </c>
      <c r="S193" s="734">
        <f t="shared" si="37"/>
        <v>0</v>
      </c>
    </row>
    <row r="194" spans="1:19">
      <c r="A194" s="880"/>
      <c r="B194" s="126"/>
      <c r="C194" s="49">
        <f t="shared" si="28"/>
        <v>1</v>
      </c>
      <c r="D194" s="879"/>
      <c r="E194" s="49">
        <f t="shared" si="29"/>
        <v>1</v>
      </c>
      <c r="F194" s="879"/>
      <c r="G194" s="49">
        <f t="shared" si="30"/>
        <v>1</v>
      </c>
      <c r="H194" s="879"/>
      <c r="I194" s="49">
        <f t="shared" si="31"/>
        <v>1</v>
      </c>
      <c r="J194" s="879"/>
      <c r="K194" s="49">
        <f t="shared" si="32"/>
        <v>1</v>
      </c>
      <c r="L194" s="879"/>
      <c r="M194" s="49">
        <f t="shared" si="33"/>
        <v>1</v>
      </c>
      <c r="N194" s="879"/>
      <c r="O194" s="49">
        <f t="shared" si="34"/>
        <v>1</v>
      </c>
      <c r="P194" s="879"/>
      <c r="Q194" s="49">
        <f t="shared" si="35"/>
        <v>1</v>
      </c>
      <c r="R194" s="49">
        <f t="shared" si="36"/>
        <v>0</v>
      </c>
      <c r="S194" s="734">
        <f t="shared" si="37"/>
        <v>0</v>
      </c>
    </row>
    <row r="195" spans="1:19">
      <c r="A195" s="880"/>
      <c r="B195" s="126"/>
      <c r="C195" s="49">
        <f t="shared" si="28"/>
        <v>1</v>
      </c>
      <c r="D195" s="879"/>
      <c r="E195" s="49">
        <f t="shared" si="29"/>
        <v>1</v>
      </c>
      <c r="F195" s="879"/>
      <c r="G195" s="49">
        <f t="shared" si="30"/>
        <v>1</v>
      </c>
      <c r="H195" s="879"/>
      <c r="I195" s="49">
        <f t="shared" si="31"/>
        <v>1</v>
      </c>
      <c r="J195" s="879"/>
      <c r="K195" s="49">
        <f t="shared" si="32"/>
        <v>1</v>
      </c>
      <c r="L195" s="879"/>
      <c r="M195" s="49">
        <f t="shared" si="33"/>
        <v>1</v>
      </c>
      <c r="N195" s="879"/>
      <c r="O195" s="49">
        <f t="shared" si="34"/>
        <v>1</v>
      </c>
      <c r="P195" s="879"/>
      <c r="Q195" s="49">
        <f t="shared" si="35"/>
        <v>1</v>
      </c>
      <c r="R195" s="49">
        <f t="shared" si="36"/>
        <v>0</v>
      </c>
      <c r="S195" s="734">
        <f t="shared" si="37"/>
        <v>0</v>
      </c>
    </row>
    <row r="196" spans="1:19">
      <c r="A196" s="880"/>
      <c r="B196" s="126"/>
      <c r="C196" s="49">
        <f t="shared" si="28"/>
        <v>1</v>
      </c>
      <c r="D196" s="879"/>
      <c r="E196" s="49">
        <f t="shared" si="29"/>
        <v>1</v>
      </c>
      <c r="F196" s="879"/>
      <c r="G196" s="49">
        <f t="shared" si="30"/>
        <v>1</v>
      </c>
      <c r="H196" s="879"/>
      <c r="I196" s="49">
        <f t="shared" si="31"/>
        <v>1</v>
      </c>
      <c r="J196" s="879"/>
      <c r="K196" s="49">
        <f t="shared" si="32"/>
        <v>1</v>
      </c>
      <c r="L196" s="879"/>
      <c r="M196" s="49">
        <f t="shared" si="33"/>
        <v>1</v>
      </c>
      <c r="N196" s="879"/>
      <c r="O196" s="49">
        <f t="shared" si="34"/>
        <v>1</v>
      </c>
      <c r="P196" s="879"/>
      <c r="Q196" s="49">
        <f t="shared" si="35"/>
        <v>1</v>
      </c>
      <c r="R196" s="49">
        <f t="shared" si="36"/>
        <v>0</v>
      </c>
      <c r="S196" s="734">
        <f t="shared" si="37"/>
        <v>0</v>
      </c>
    </row>
    <row r="197" spans="1:19">
      <c r="A197" s="880"/>
      <c r="B197" s="126"/>
      <c r="C197" s="49">
        <f t="shared" si="28"/>
        <v>1</v>
      </c>
      <c r="D197" s="879"/>
      <c r="E197" s="49">
        <f t="shared" si="29"/>
        <v>1</v>
      </c>
      <c r="F197" s="879"/>
      <c r="G197" s="49">
        <f t="shared" si="30"/>
        <v>1</v>
      </c>
      <c r="H197" s="879"/>
      <c r="I197" s="49">
        <f t="shared" si="31"/>
        <v>1</v>
      </c>
      <c r="J197" s="879"/>
      <c r="K197" s="49">
        <f t="shared" si="32"/>
        <v>1</v>
      </c>
      <c r="L197" s="879"/>
      <c r="M197" s="49">
        <f t="shared" si="33"/>
        <v>1</v>
      </c>
      <c r="N197" s="879"/>
      <c r="O197" s="49">
        <f t="shared" si="34"/>
        <v>1</v>
      </c>
      <c r="P197" s="879"/>
      <c r="Q197" s="49">
        <f t="shared" si="35"/>
        <v>1</v>
      </c>
      <c r="R197" s="49">
        <f t="shared" si="36"/>
        <v>0</v>
      </c>
      <c r="S197" s="734">
        <f t="shared" si="37"/>
        <v>0</v>
      </c>
    </row>
    <row r="198" spans="1:19">
      <c r="A198" s="880"/>
      <c r="B198" s="126"/>
      <c r="C198" s="49">
        <f t="shared" si="28"/>
        <v>1</v>
      </c>
      <c r="D198" s="879"/>
      <c r="E198" s="49">
        <f t="shared" si="29"/>
        <v>1</v>
      </c>
      <c r="F198" s="879"/>
      <c r="G198" s="49">
        <f t="shared" si="30"/>
        <v>1</v>
      </c>
      <c r="H198" s="879"/>
      <c r="I198" s="49">
        <f t="shared" si="31"/>
        <v>1</v>
      </c>
      <c r="J198" s="879"/>
      <c r="K198" s="49">
        <f t="shared" si="32"/>
        <v>1</v>
      </c>
      <c r="L198" s="879"/>
      <c r="M198" s="49">
        <f t="shared" si="33"/>
        <v>1</v>
      </c>
      <c r="N198" s="879"/>
      <c r="O198" s="49">
        <f t="shared" si="34"/>
        <v>1</v>
      </c>
      <c r="P198" s="879"/>
      <c r="Q198" s="49">
        <f t="shared" si="35"/>
        <v>1</v>
      </c>
      <c r="R198" s="49">
        <f t="shared" si="36"/>
        <v>0</v>
      </c>
      <c r="S198" s="734">
        <f t="shared" si="37"/>
        <v>0</v>
      </c>
    </row>
    <row r="199" spans="1:19">
      <c r="A199" s="880"/>
      <c r="B199" s="126"/>
      <c r="C199" s="49">
        <f t="shared" si="28"/>
        <v>1</v>
      </c>
      <c r="D199" s="879"/>
      <c r="E199" s="49">
        <f t="shared" si="29"/>
        <v>1</v>
      </c>
      <c r="F199" s="879"/>
      <c r="G199" s="49">
        <f t="shared" si="30"/>
        <v>1</v>
      </c>
      <c r="H199" s="879"/>
      <c r="I199" s="49">
        <f t="shared" si="31"/>
        <v>1</v>
      </c>
      <c r="J199" s="879"/>
      <c r="K199" s="49">
        <f t="shared" si="32"/>
        <v>1</v>
      </c>
      <c r="L199" s="879"/>
      <c r="M199" s="49">
        <f t="shared" si="33"/>
        <v>1</v>
      </c>
      <c r="N199" s="879"/>
      <c r="O199" s="49">
        <f t="shared" si="34"/>
        <v>1</v>
      </c>
      <c r="P199" s="879"/>
      <c r="Q199" s="49">
        <f t="shared" si="35"/>
        <v>1</v>
      </c>
      <c r="R199" s="49">
        <f t="shared" si="36"/>
        <v>0</v>
      </c>
      <c r="S199" s="734">
        <f t="shared" si="37"/>
        <v>0</v>
      </c>
    </row>
    <row r="200" spans="1:19">
      <c r="A200" s="880"/>
      <c r="B200" s="126"/>
      <c r="C200" s="49">
        <f t="shared" si="28"/>
        <v>1</v>
      </c>
      <c r="D200" s="879"/>
      <c r="E200" s="49">
        <f t="shared" si="29"/>
        <v>1</v>
      </c>
      <c r="F200" s="879"/>
      <c r="G200" s="49">
        <f t="shared" si="30"/>
        <v>1</v>
      </c>
      <c r="H200" s="879"/>
      <c r="I200" s="49">
        <f t="shared" si="31"/>
        <v>1</v>
      </c>
      <c r="J200" s="879"/>
      <c r="K200" s="49">
        <f t="shared" si="32"/>
        <v>1</v>
      </c>
      <c r="L200" s="879"/>
      <c r="M200" s="49">
        <f t="shared" si="33"/>
        <v>1</v>
      </c>
      <c r="N200" s="879"/>
      <c r="O200" s="49">
        <f t="shared" si="34"/>
        <v>1</v>
      </c>
      <c r="P200" s="879"/>
      <c r="Q200" s="49">
        <f t="shared" si="35"/>
        <v>1</v>
      </c>
      <c r="R200" s="49">
        <f t="shared" si="36"/>
        <v>0</v>
      </c>
      <c r="S200" s="734">
        <f t="shared" si="37"/>
        <v>0</v>
      </c>
    </row>
    <row r="201" spans="1:19">
      <c r="A201" s="880"/>
      <c r="B201" s="126"/>
      <c r="C201" s="49">
        <f t="shared" si="28"/>
        <v>1</v>
      </c>
      <c r="D201" s="879"/>
      <c r="E201" s="49">
        <f t="shared" si="29"/>
        <v>1</v>
      </c>
      <c r="F201" s="879"/>
      <c r="G201" s="49">
        <f t="shared" si="30"/>
        <v>1</v>
      </c>
      <c r="H201" s="879"/>
      <c r="I201" s="49">
        <f t="shared" si="31"/>
        <v>1</v>
      </c>
      <c r="J201" s="879"/>
      <c r="K201" s="49">
        <f t="shared" si="32"/>
        <v>1</v>
      </c>
      <c r="L201" s="879"/>
      <c r="M201" s="49">
        <f t="shared" si="33"/>
        <v>1</v>
      </c>
      <c r="N201" s="879"/>
      <c r="O201" s="49">
        <f t="shared" si="34"/>
        <v>1</v>
      </c>
      <c r="P201" s="879"/>
      <c r="Q201" s="49">
        <f t="shared" si="35"/>
        <v>1</v>
      </c>
      <c r="R201" s="49">
        <f t="shared" si="36"/>
        <v>0</v>
      </c>
      <c r="S201" s="734">
        <f t="shared" si="37"/>
        <v>0</v>
      </c>
    </row>
    <row r="202" spans="1:19">
      <c r="A202" s="880"/>
      <c r="B202" s="126"/>
      <c r="C202" s="49">
        <f t="shared" si="28"/>
        <v>1</v>
      </c>
      <c r="D202" s="879"/>
      <c r="E202" s="49">
        <f t="shared" si="29"/>
        <v>1</v>
      </c>
      <c r="F202" s="879"/>
      <c r="G202" s="49">
        <f t="shared" si="30"/>
        <v>1</v>
      </c>
      <c r="H202" s="879"/>
      <c r="I202" s="49">
        <f t="shared" si="31"/>
        <v>1</v>
      </c>
      <c r="J202" s="879"/>
      <c r="K202" s="49">
        <f t="shared" si="32"/>
        <v>1</v>
      </c>
      <c r="L202" s="879"/>
      <c r="M202" s="49">
        <f t="shared" si="33"/>
        <v>1</v>
      </c>
      <c r="N202" s="879"/>
      <c r="O202" s="49">
        <f t="shared" si="34"/>
        <v>1</v>
      </c>
      <c r="P202" s="879"/>
      <c r="Q202" s="49">
        <f t="shared" si="35"/>
        <v>1</v>
      </c>
      <c r="R202" s="49">
        <f t="shared" si="36"/>
        <v>0</v>
      </c>
      <c r="S202" s="734">
        <f t="shared" si="37"/>
        <v>0</v>
      </c>
    </row>
    <row r="203" spans="1:19">
      <c r="A203" s="880"/>
      <c r="B203" s="126"/>
      <c r="C203" s="49">
        <f t="shared" si="28"/>
        <v>1</v>
      </c>
      <c r="D203" s="879"/>
      <c r="E203" s="49">
        <f t="shared" si="29"/>
        <v>1</v>
      </c>
      <c r="F203" s="879"/>
      <c r="G203" s="49">
        <f t="shared" si="30"/>
        <v>1</v>
      </c>
      <c r="H203" s="879"/>
      <c r="I203" s="49">
        <f t="shared" si="31"/>
        <v>1</v>
      </c>
      <c r="J203" s="879"/>
      <c r="K203" s="49">
        <f t="shared" si="32"/>
        <v>1</v>
      </c>
      <c r="L203" s="879"/>
      <c r="M203" s="49">
        <f t="shared" si="33"/>
        <v>1</v>
      </c>
      <c r="N203" s="879"/>
      <c r="O203" s="49">
        <f t="shared" si="34"/>
        <v>1</v>
      </c>
      <c r="P203" s="879"/>
      <c r="Q203" s="49">
        <f t="shared" si="35"/>
        <v>1</v>
      </c>
      <c r="R203" s="49">
        <f t="shared" si="36"/>
        <v>0</v>
      </c>
      <c r="S203" s="734">
        <f t="shared" si="37"/>
        <v>0</v>
      </c>
    </row>
    <row r="204" spans="1:19">
      <c r="A204" s="880"/>
      <c r="B204" s="126"/>
      <c r="C204" s="49">
        <f t="shared" si="28"/>
        <v>1</v>
      </c>
      <c r="D204" s="879"/>
      <c r="E204" s="49">
        <f t="shared" si="29"/>
        <v>1</v>
      </c>
      <c r="F204" s="879"/>
      <c r="G204" s="49">
        <f t="shared" si="30"/>
        <v>1</v>
      </c>
      <c r="H204" s="879"/>
      <c r="I204" s="49">
        <f t="shared" si="31"/>
        <v>1</v>
      </c>
      <c r="J204" s="879"/>
      <c r="K204" s="49">
        <f t="shared" si="32"/>
        <v>1</v>
      </c>
      <c r="L204" s="879"/>
      <c r="M204" s="49">
        <f t="shared" si="33"/>
        <v>1</v>
      </c>
      <c r="N204" s="879"/>
      <c r="O204" s="49">
        <f t="shared" si="34"/>
        <v>1</v>
      </c>
      <c r="P204" s="879"/>
      <c r="Q204" s="49">
        <f t="shared" si="35"/>
        <v>1</v>
      </c>
      <c r="R204" s="49">
        <f t="shared" si="36"/>
        <v>0</v>
      </c>
      <c r="S204" s="734">
        <f t="shared" si="37"/>
        <v>0</v>
      </c>
    </row>
    <row r="205" spans="1:19">
      <c r="A205" s="880"/>
      <c r="B205" s="126"/>
      <c r="C205" s="49">
        <f t="shared" si="28"/>
        <v>1</v>
      </c>
      <c r="D205" s="879"/>
      <c r="E205" s="49">
        <f t="shared" si="29"/>
        <v>1</v>
      </c>
      <c r="F205" s="879"/>
      <c r="G205" s="49">
        <f t="shared" si="30"/>
        <v>1</v>
      </c>
      <c r="H205" s="879"/>
      <c r="I205" s="49">
        <f t="shared" si="31"/>
        <v>1</v>
      </c>
      <c r="J205" s="879"/>
      <c r="K205" s="49">
        <f t="shared" si="32"/>
        <v>1</v>
      </c>
      <c r="L205" s="879"/>
      <c r="M205" s="49">
        <f t="shared" si="33"/>
        <v>1</v>
      </c>
      <c r="N205" s="879"/>
      <c r="O205" s="49">
        <f t="shared" si="34"/>
        <v>1</v>
      </c>
      <c r="P205" s="879"/>
      <c r="Q205" s="49">
        <f t="shared" si="35"/>
        <v>1</v>
      </c>
      <c r="R205" s="49">
        <f t="shared" si="36"/>
        <v>0</v>
      </c>
      <c r="S205" s="734">
        <f t="shared" si="37"/>
        <v>0</v>
      </c>
    </row>
    <row r="206" spans="1:19">
      <c r="A206" s="880"/>
      <c r="B206" s="126"/>
      <c r="C206" s="49">
        <f t="shared" si="28"/>
        <v>1</v>
      </c>
      <c r="D206" s="879"/>
      <c r="E206" s="49">
        <f t="shared" si="29"/>
        <v>1</v>
      </c>
      <c r="F206" s="879"/>
      <c r="G206" s="49">
        <f t="shared" si="30"/>
        <v>1</v>
      </c>
      <c r="H206" s="879"/>
      <c r="I206" s="49">
        <f t="shared" si="31"/>
        <v>1</v>
      </c>
      <c r="J206" s="879"/>
      <c r="K206" s="49">
        <f t="shared" si="32"/>
        <v>1</v>
      </c>
      <c r="L206" s="879"/>
      <c r="M206" s="49">
        <f t="shared" si="33"/>
        <v>1</v>
      </c>
      <c r="N206" s="879"/>
      <c r="O206" s="49">
        <f t="shared" si="34"/>
        <v>1</v>
      </c>
      <c r="P206" s="879"/>
      <c r="Q206" s="49">
        <f t="shared" si="35"/>
        <v>1</v>
      </c>
      <c r="R206" s="49">
        <f t="shared" si="36"/>
        <v>0</v>
      </c>
      <c r="S206" s="734">
        <f t="shared" si="37"/>
        <v>0</v>
      </c>
    </row>
    <row r="207" spans="1:19">
      <c r="A207" s="880"/>
      <c r="B207" s="126"/>
      <c r="C207" s="49">
        <f t="shared" si="28"/>
        <v>1</v>
      </c>
      <c r="D207" s="879"/>
      <c r="E207" s="49">
        <f t="shared" si="29"/>
        <v>1</v>
      </c>
      <c r="F207" s="879"/>
      <c r="G207" s="49">
        <f t="shared" si="30"/>
        <v>1</v>
      </c>
      <c r="H207" s="879"/>
      <c r="I207" s="49">
        <f t="shared" si="31"/>
        <v>1</v>
      </c>
      <c r="J207" s="879"/>
      <c r="K207" s="49">
        <f t="shared" si="32"/>
        <v>1</v>
      </c>
      <c r="L207" s="879"/>
      <c r="M207" s="49">
        <f t="shared" si="33"/>
        <v>1</v>
      </c>
      <c r="N207" s="879"/>
      <c r="O207" s="49">
        <f t="shared" si="34"/>
        <v>1</v>
      </c>
      <c r="P207" s="879"/>
      <c r="Q207" s="49">
        <f t="shared" si="35"/>
        <v>1</v>
      </c>
      <c r="R207" s="49">
        <f t="shared" si="36"/>
        <v>0</v>
      </c>
      <c r="S207" s="734">
        <f t="shared" si="37"/>
        <v>0</v>
      </c>
    </row>
    <row r="208" spans="1:19">
      <c r="A208" s="880"/>
      <c r="B208" s="126"/>
      <c r="C208" s="49">
        <f t="shared" si="28"/>
        <v>1</v>
      </c>
      <c r="D208" s="879"/>
      <c r="E208" s="49">
        <f t="shared" si="29"/>
        <v>1</v>
      </c>
      <c r="F208" s="879"/>
      <c r="G208" s="49">
        <f t="shared" si="30"/>
        <v>1</v>
      </c>
      <c r="H208" s="879"/>
      <c r="I208" s="49">
        <f t="shared" si="31"/>
        <v>1</v>
      </c>
      <c r="J208" s="879"/>
      <c r="K208" s="49">
        <f t="shared" si="32"/>
        <v>1</v>
      </c>
      <c r="L208" s="879"/>
      <c r="M208" s="49">
        <f t="shared" si="33"/>
        <v>1</v>
      </c>
      <c r="N208" s="879"/>
      <c r="O208" s="49">
        <f t="shared" si="34"/>
        <v>1</v>
      </c>
      <c r="P208" s="879"/>
      <c r="Q208" s="49">
        <f t="shared" si="35"/>
        <v>1</v>
      </c>
      <c r="R208" s="49">
        <f t="shared" si="36"/>
        <v>0</v>
      </c>
      <c r="S208" s="734">
        <f t="shared" si="37"/>
        <v>0</v>
      </c>
    </row>
    <row r="209" spans="1:19">
      <c r="A209" s="880"/>
      <c r="B209" s="126"/>
      <c r="C209" s="49">
        <f t="shared" si="28"/>
        <v>1</v>
      </c>
      <c r="D209" s="879"/>
      <c r="E209" s="49">
        <f t="shared" si="29"/>
        <v>1</v>
      </c>
      <c r="F209" s="879"/>
      <c r="G209" s="49">
        <f t="shared" si="30"/>
        <v>1</v>
      </c>
      <c r="H209" s="879"/>
      <c r="I209" s="49">
        <f t="shared" si="31"/>
        <v>1</v>
      </c>
      <c r="J209" s="879"/>
      <c r="K209" s="49">
        <f t="shared" si="32"/>
        <v>1</v>
      </c>
      <c r="L209" s="879"/>
      <c r="M209" s="49">
        <f t="shared" si="33"/>
        <v>1</v>
      </c>
      <c r="N209" s="879"/>
      <c r="O209" s="49">
        <f t="shared" si="34"/>
        <v>1</v>
      </c>
      <c r="P209" s="879"/>
      <c r="Q209" s="49">
        <f t="shared" si="35"/>
        <v>1</v>
      </c>
      <c r="R209" s="49">
        <f t="shared" si="36"/>
        <v>0</v>
      </c>
      <c r="S209" s="734">
        <f t="shared" si="37"/>
        <v>0</v>
      </c>
    </row>
    <row r="210" spans="1:19">
      <c r="A210" s="880"/>
      <c r="B210" s="126"/>
      <c r="C210" s="49">
        <f t="shared" si="28"/>
        <v>1</v>
      </c>
      <c r="D210" s="879"/>
      <c r="E210" s="49">
        <f t="shared" si="29"/>
        <v>1</v>
      </c>
      <c r="F210" s="879"/>
      <c r="G210" s="49">
        <f t="shared" si="30"/>
        <v>1</v>
      </c>
      <c r="H210" s="879"/>
      <c r="I210" s="49">
        <f t="shared" si="31"/>
        <v>1</v>
      </c>
      <c r="J210" s="879"/>
      <c r="K210" s="49">
        <f t="shared" si="32"/>
        <v>1</v>
      </c>
      <c r="L210" s="879"/>
      <c r="M210" s="49">
        <f t="shared" si="33"/>
        <v>1</v>
      </c>
      <c r="N210" s="879"/>
      <c r="O210" s="49">
        <f t="shared" si="34"/>
        <v>1</v>
      </c>
      <c r="P210" s="879"/>
      <c r="Q210" s="49">
        <f t="shared" si="35"/>
        <v>1</v>
      </c>
      <c r="R210" s="49">
        <f t="shared" si="36"/>
        <v>0</v>
      </c>
      <c r="S210" s="734">
        <f t="shared" si="37"/>
        <v>0</v>
      </c>
    </row>
    <row r="211" spans="1:19">
      <c r="A211" s="880"/>
      <c r="B211" s="126"/>
      <c r="C211" s="49">
        <f t="shared" si="28"/>
        <v>1</v>
      </c>
      <c r="D211" s="879"/>
      <c r="E211" s="49">
        <f t="shared" si="29"/>
        <v>1</v>
      </c>
      <c r="F211" s="879"/>
      <c r="G211" s="49">
        <f t="shared" si="30"/>
        <v>1</v>
      </c>
      <c r="H211" s="879"/>
      <c r="I211" s="49">
        <f t="shared" si="31"/>
        <v>1</v>
      </c>
      <c r="J211" s="879"/>
      <c r="K211" s="49">
        <f t="shared" si="32"/>
        <v>1</v>
      </c>
      <c r="L211" s="879"/>
      <c r="M211" s="49">
        <f t="shared" si="33"/>
        <v>1</v>
      </c>
      <c r="N211" s="879"/>
      <c r="O211" s="49">
        <f t="shared" si="34"/>
        <v>1</v>
      </c>
      <c r="P211" s="879"/>
      <c r="Q211" s="49">
        <f t="shared" si="35"/>
        <v>1</v>
      </c>
      <c r="R211" s="49">
        <f t="shared" si="36"/>
        <v>0</v>
      </c>
      <c r="S211" s="734">
        <f t="shared" si="37"/>
        <v>0</v>
      </c>
    </row>
    <row r="212" spans="1:19">
      <c r="A212" s="880"/>
      <c r="B212" s="126"/>
      <c r="C212" s="49">
        <f t="shared" si="28"/>
        <v>1</v>
      </c>
      <c r="D212" s="879"/>
      <c r="E212" s="49">
        <f t="shared" si="29"/>
        <v>1</v>
      </c>
      <c r="F212" s="879"/>
      <c r="G212" s="49">
        <f t="shared" si="30"/>
        <v>1</v>
      </c>
      <c r="H212" s="879"/>
      <c r="I212" s="49">
        <f t="shared" si="31"/>
        <v>1</v>
      </c>
      <c r="J212" s="879"/>
      <c r="K212" s="49">
        <f t="shared" si="32"/>
        <v>1</v>
      </c>
      <c r="L212" s="879"/>
      <c r="M212" s="49">
        <f t="shared" si="33"/>
        <v>1</v>
      </c>
      <c r="N212" s="879"/>
      <c r="O212" s="49">
        <f t="shared" si="34"/>
        <v>1</v>
      </c>
      <c r="P212" s="879"/>
      <c r="Q212" s="49">
        <f t="shared" si="35"/>
        <v>1</v>
      </c>
      <c r="R212" s="49">
        <f t="shared" si="36"/>
        <v>0</v>
      </c>
      <c r="S212" s="734">
        <f t="shared" si="37"/>
        <v>0</v>
      </c>
    </row>
    <row r="213" spans="1:19">
      <c r="A213" s="880"/>
      <c r="B213" s="126"/>
      <c r="C213" s="49">
        <f t="shared" si="28"/>
        <v>1</v>
      </c>
      <c r="D213" s="879"/>
      <c r="E213" s="49">
        <f t="shared" si="29"/>
        <v>1</v>
      </c>
      <c r="F213" s="879"/>
      <c r="G213" s="49">
        <f t="shared" si="30"/>
        <v>1</v>
      </c>
      <c r="H213" s="879"/>
      <c r="I213" s="49">
        <f t="shared" si="31"/>
        <v>1</v>
      </c>
      <c r="J213" s="879"/>
      <c r="K213" s="49">
        <f t="shared" si="32"/>
        <v>1</v>
      </c>
      <c r="L213" s="879"/>
      <c r="M213" s="49">
        <f t="shared" si="33"/>
        <v>1</v>
      </c>
      <c r="N213" s="879"/>
      <c r="O213" s="49">
        <f t="shared" si="34"/>
        <v>1</v>
      </c>
      <c r="P213" s="879"/>
      <c r="Q213" s="49">
        <f t="shared" si="35"/>
        <v>1</v>
      </c>
      <c r="R213" s="49">
        <f t="shared" si="36"/>
        <v>0</v>
      </c>
      <c r="S213" s="734">
        <f t="shared" si="37"/>
        <v>0</v>
      </c>
    </row>
    <row r="214" spans="1:19">
      <c r="A214" s="880"/>
      <c r="B214" s="126"/>
      <c r="C214" s="49">
        <f t="shared" si="28"/>
        <v>1</v>
      </c>
      <c r="D214" s="879"/>
      <c r="E214" s="49">
        <f t="shared" si="29"/>
        <v>1</v>
      </c>
      <c r="F214" s="879"/>
      <c r="G214" s="49">
        <f t="shared" si="30"/>
        <v>1</v>
      </c>
      <c r="H214" s="879"/>
      <c r="I214" s="49">
        <f t="shared" si="31"/>
        <v>1</v>
      </c>
      <c r="J214" s="879"/>
      <c r="K214" s="49">
        <f t="shared" si="32"/>
        <v>1</v>
      </c>
      <c r="L214" s="879"/>
      <c r="M214" s="49">
        <f t="shared" si="33"/>
        <v>1</v>
      </c>
      <c r="N214" s="879"/>
      <c r="O214" s="49">
        <f t="shared" si="34"/>
        <v>1</v>
      </c>
      <c r="P214" s="879"/>
      <c r="Q214" s="49">
        <f t="shared" si="35"/>
        <v>1</v>
      </c>
      <c r="R214" s="49">
        <f t="shared" si="36"/>
        <v>0</v>
      </c>
      <c r="S214" s="734">
        <f t="shared" si="37"/>
        <v>0</v>
      </c>
    </row>
    <row r="215" spans="1:19">
      <c r="A215" s="880"/>
      <c r="B215" s="126"/>
      <c r="C215" s="49">
        <f t="shared" si="28"/>
        <v>1</v>
      </c>
      <c r="D215" s="879"/>
      <c r="E215" s="49">
        <f t="shared" si="29"/>
        <v>1</v>
      </c>
      <c r="F215" s="879"/>
      <c r="G215" s="49">
        <f t="shared" si="30"/>
        <v>1</v>
      </c>
      <c r="H215" s="879"/>
      <c r="I215" s="49">
        <f t="shared" si="31"/>
        <v>1</v>
      </c>
      <c r="J215" s="879"/>
      <c r="K215" s="49">
        <f t="shared" si="32"/>
        <v>1</v>
      </c>
      <c r="L215" s="879"/>
      <c r="M215" s="49">
        <f t="shared" si="33"/>
        <v>1</v>
      </c>
      <c r="N215" s="879"/>
      <c r="O215" s="49">
        <f t="shared" si="34"/>
        <v>1</v>
      </c>
      <c r="P215" s="879"/>
      <c r="Q215" s="49">
        <f t="shared" si="35"/>
        <v>1</v>
      </c>
      <c r="R215" s="49">
        <f t="shared" si="36"/>
        <v>0</v>
      </c>
      <c r="S215" s="734">
        <f t="shared" si="37"/>
        <v>0</v>
      </c>
    </row>
    <row r="216" spans="1:19">
      <c r="A216" s="880"/>
      <c r="B216" s="126"/>
      <c r="C216" s="49">
        <f t="shared" si="28"/>
        <v>1</v>
      </c>
      <c r="D216" s="879"/>
      <c r="E216" s="49">
        <f t="shared" si="29"/>
        <v>1</v>
      </c>
      <c r="F216" s="879"/>
      <c r="G216" s="49">
        <f t="shared" si="30"/>
        <v>1</v>
      </c>
      <c r="H216" s="879"/>
      <c r="I216" s="49">
        <f t="shared" si="31"/>
        <v>1</v>
      </c>
      <c r="J216" s="879"/>
      <c r="K216" s="49">
        <f t="shared" si="32"/>
        <v>1</v>
      </c>
      <c r="L216" s="879"/>
      <c r="M216" s="49">
        <f t="shared" si="33"/>
        <v>1</v>
      </c>
      <c r="N216" s="879"/>
      <c r="O216" s="49">
        <f t="shared" si="34"/>
        <v>1</v>
      </c>
      <c r="P216" s="879"/>
      <c r="Q216" s="49">
        <f t="shared" si="35"/>
        <v>1</v>
      </c>
      <c r="R216" s="49">
        <f t="shared" si="36"/>
        <v>0</v>
      </c>
      <c r="S216" s="734">
        <f t="shared" si="37"/>
        <v>0</v>
      </c>
    </row>
    <row r="217" spans="1:19">
      <c r="A217" s="880"/>
      <c r="B217" s="126"/>
      <c r="C217" s="49">
        <f t="shared" si="28"/>
        <v>1</v>
      </c>
      <c r="D217" s="879"/>
      <c r="E217" s="49">
        <f t="shared" si="29"/>
        <v>1</v>
      </c>
      <c r="F217" s="879"/>
      <c r="G217" s="49">
        <f t="shared" si="30"/>
        <v>1</v>
      </c>
      <c r="H217" s="879"/>
      <c r="I217" s="49">
        <f t="shared" si="31"/>
        <v>1</v>
      </c>
      <c r="J217" s="879"/>
      <c r="K217" s="49">
        <f t="shared" si="32"/>
        <v>1</v>
      </c>
      <c r="L217" s="879"/>
      <c r="M217" s="49">
        <f t="shared" si="33"/>
        <v>1</v>
      </c>
      <c r="N217" s="879"/>
      <c r="O217" s="49">
        <f t="shared" si="34"/>
        <v>1</v>
      </c>
      <c r="P217" s="879"/>
      <c r="Q217" s="49">
        <f t="shared" si="35"/>
        <v>1</v>
      </c>
      <c r="R217" s="49">
        <f t="shared" si="36"/>
        <v>0</v>
      </c>
      <c r="S217" s="734">
        <f t="shared" si="37"/>
        <v>0</v>
      </c>
    </row>
    <row r="218" spans="1:19">
      <c r="A218" s="880"/>
      <c r="B218" s="126"/>
      <c r="C218" s="49">
        <f t="shared" ref="C218:C281" si="38">IF(B218="",1,(LOOKUP(B218,$3:$3,$4:$4)-LOOKUP($B$24,$3:$3,$4:$4)+100)/100)</f>
        <v>1</v>
      </c>
      <c r="D218" s="879"/>
      <c r="E218" s="49">
        <f t="shared" ref="E218:E281" si="39">(SUMIF($5:$5,D218,$6:$6)-SUMIF($5:$5,$D$24,$6:$6)+100)/100</f>
        <v>1</v>
      </c>
      <c r="F218" s="879"/>
      <c r="G218" s="49">
        <f t="shared" ref="G218:G281" si="40">(SUMIF($7:$7,F218,$8:$8)-SUMIF($7:$7,$F$24,$8:$8)+100)/100</f>
        <v>1</v>
      </c>
      <c r="H218" s="879"/>
      <c r="I218" s="49">
        <f t="shared" ref="I218:I281" si="41">(SUMIF($9:$9,H218,$10:$10)-SUMIF($9:$9,$H$24,$10:$10)+100)/100</f>
        <v>1</v>
      </c>
      <c r="J218" s="879"/>
      <c r="K218" s="49">
        <f t="shared" ref="K218:K281" si="42">(SUMIF($11:$11,J218,$12:$12)-SUMIF($11:$11,$J$24,$12:$12)+100)/100</f>
        <v>1</v>
      </c>
      <c r="L218" s="879"/>
      <c r="M218" s="49">
        <f t="shared" ref="M218:M281" si="43">(SUMIF($13:$13,L218,$14:$14)-SUMIF($13:$13,$L$24,$14:$14)+100)/100</f>
        <v>1</v>
      </c>
      <c r="N218" s="879"/>
      <c r="O218" s="49">
        <f t="shared" ref="O218:O281" si="44">(SUMIF($15:$15,N218,$16:$16)-SUMIF($15:$15,$N$24,$16:$16)+100)/100</f>
        <v>1</v>
      </c>
      <c r="P218" s="879"/>
      <c r="Q218" s="49">
        <f t="shared" ref="Q218:Q281" si="45">(SUMIF($17:$17,P218,$18:$18)-SUMIF($17:$17,$P$24,$18:$18)+100)/100</f>
        <v>1</v>
      </c>
      <c r="R218" s="49">
        <f t="shared" ref="R218:R281" si="46">IF(B218="",0,ROUND($R$24*C218*E218*G218*I218*K218*M218*O218*Q218,0))</f>
        <v>0</v>
      </c>
      <c r="S218" s="734">
        <f t="shared" si="37"/>
        <v>0</v>
      </c>
    </row>
    <row r="219" spans="1:19">
      <c r="A219" s="880"/>
      <c r="B219" s="126"/>
      <c r="C219" s="49">
        <f t="shared" si="38"/>
        <v>1</v>
      </c>
      <c r="D219" s="879"/>
      <c r="E219" s="49">
        <f t="shared" si="39"/>
        <v>1</v>
      </c>
      <c r="F219" s="879"/>
      <c r="G219" s="49">
        <f t="shared" si="40"/>
        <v>1</v>
      </c>
      <c r="H219" s="879"/>
      <c r="I219" s="49">
        <f t="shared" si="41"/>
        <v>1</v>
      </c>
      <c r="J219" s="879"/>
      <c r="K219" s="49">
        <f t="shared" si="42"/>
        <v>1</v>
      </c>
      <c r="L219" s="879"/>
      <c r="M219" s="49">
        <f t="shared" si="43"/>
        <v>1</v>
      </c>
      <c r="N219" s="879"/>
      <c r="O219" s="49">
        <f t="shared" si="44"/>
        <v>1</v>
      </c>
      <c r="P219" s="879"/>
      <c r="Q219" s="49">
        <f t="shared" si="45"/>
        <v>1</v>
      </c>
      <c r="R219" s="49">
        <f t="shared" si="46"/>
        <v>0</v>
      </c>
      <c r="S219" s="734">
        <f t="shared" si="37"/>
        <v>0</v>
      </c>
    </row>
    <row r="220" spans="1:19">
      <c r="A220" s="880"/>
      <c r="B220" s="126"/>
      <c r="C220" s="49">
        <f t="shared" si="38"/>
        <v>1</v>
      </c>
      <c r="D220" s="879"/>
      <c r="E220" s="49">
        <f t="shared" si="39"/>
        <v>1</v>
      </c>
      <c r="F220" s="879"/>
      <c r="G220" s="49">
        <f t="shared" si="40"/>
        <v>1</v>
      </c>
      <c r="H220" s="879"/>
      <c r="I220" s="49">
        <f t="shared" si="41"/>
        <v>1</v>
      </c>
      <c r="J220" s="879"/>
      <c r="K220" s="49">
        <f t="shared" si="42"/>
        <v>1</v>
      </c>
      <c r="L220" s="879"/>
      <c r="M220" s="49">
        <f t="shared" si="43"/>
        <v>1</v>
      </c>
      <c r="N220" s="879"/>
      <c r="O220" s="49">
        <f t="shared" si="44"/>
        <v>1</v>
      </c>
      <c r="P220" s="879"/>
      <c r="Q220" s="49">
        <f t="shared" si="45"/>
        <v>1</v>
      </c>
      <c r="R220" s="49">
        <f t="shared" si="46"/>
        <v>0</v>
      </c>
      <c r="S220" s="734">
        <f t="shared" si="37"/>
        <v>0</v>
      </c>
    </row>
    <row r="221" spans="1:19">
      <c r="A221" s="880"/>
      <c r="B221" s="126"/>
      <c r="C221" s="49">
        <f t="shared" si="38"/>
        <v>1</v>
      </c>
      <c r="D221" s="879"/>
      <c r="E221" s="49">
        <f t="shared" si="39"/>
        <v>1</v>
      </c>
      <c r="F221" s="879"/>
      <c r="G221" s="49">
        <f t="shared" si="40"/>
        <v>1</v>
      </c>
      <c r="H221" s="879"/>
      <c r="I221" s="49">
        <f t="shared" si="41"/>
        <v>1</v>
      </c>
      <c r="J221" s="879"/>
      <c r="K221" s="49">
        <f t="shared" si="42"/>
        <v>1</v>
      </c>
      <c r="L221" s="879"/>
      <c r="M221" s="49">
        <f t="shared" si="43"/>
        <v>1</v>
      </c>
      <c r="N221" s="879"/>
      <c r="O221" s="49">
        <f t="shared" si="44"/>
        <v>1</v>
      </c>
      <c r="P221" s="879"/>
      <c r="Q221" s="49">
        <f t="shared" si="45"/>
        <v>1</v>
      </c>
      <c r="R221" s="49">
        <f t="shared" si="46"/>
        <v>0</v>
      </c>
      <c r="S221" s="734">
        <f t="shared" si="37"/>
        <v>0</v>
      </c>
    </row>
    <row r="222" spans="1:19">
      <c r="A222" s="880"/>
      <c r="B222" s="126"/>
      <c r="C222" s="49">
        <f t="shared" si="38"/>
        <v>1</v>
      </c>
      <c r="D222" s="879"/>
      <c r="E222" s="49">
        <f t="shared" si="39"/>
        <v>1</v>
      </c>
      <c r="F222" s="879"/>
      <c r="G222" s="49">
        <f t="shared" si="40"/>
        <v>1</v>
      </c>
      <c r="H222" s="879"/>
      <c r="I222" s="49">
        <f t="shared" si="41"/>
        <v>1</v>
      </c>
      <c r="J222" s="879"/>
      <c r="K222" s="49">
        <f t="shared" si="42"/>
        <v>1</v>
      </c>
      <c r="L222" s="879"/>
      <c r="M222" s="49">
        <f t="shared" si="43"/>
        <v>1</v>
      </c>
      <c r="N222" s="879"/>
      <c r="O222" s="49">
        <f t="shared" si="44"/>
        <v>1</v>
      </c>
      <c r="P222" s="879"/>
      <c r="Q222" s="49">
        <f t="shared" si="45"/>
        <v>1</v>
      </c>
      <c r="R222" s="49">
        <f t="shared" si="46"/>
        <v>0</v>
      </c>
      <c r="S222" s="734">
        <f t="shared" si="37"/>
        <v>0</v>
      </c>
    </row>
    <row r="223" spans="1:19">
      <c r="A223" s="880"/>
      <c r="B223" s="126"/>
      <c r="C223" s="49">
        <f t="shared" si="38"/>
        <v>1</v>
      </c>
      <c r="D223" s="879"/>
      <c r="E223" s="49">
        <f t="shared" si="39"/>
        <v>1</v>
      </c>
      <c r="F223" s="879"/>
      <c r="G223" s="49">
        <f t="shared" si="40"/>
        <v>1</v>
      </c>
      <c r="H223" s="879"/>
      <c r="I223" s="49">
        <f t="shared" si="41"/>
        <v>1</v>
      </c>
      <c r="J223" s="879"/>
      <c r="K223" s="49">
        <f t="shared" si="42"/>
        <v>1</v>
      </c>
      <c r="L223" s="879"/>
      <c r="M223" s="49">
        <f t="shared" si="43"/>
        <v>1</v>
      </c>
      <c r="N223" s="879"/>
      <c r="O223" s="49">
        <f t="shared" si="44"/>
        <v>1</v>
      </c>
      <c r="P223" s="879"/>
      <c r="Q223" s="49">
        <f t="shared" si="45"/>
        <v>1</v>
      </c>
      <c r="R223" s="49">
        <f t="shared" si="46"/>
        <v>0</v>
      </c>
      <c r="S223" s="734">
        <f t="shared" ref="S223:S286" si="47">ROUND(R223*B223/10000,0)</f>
        <v>0</v>
      </c>
    </row>
    <row r="224" spans="1:19">
      <c r="A224" s="880"/>
      <c r="B224" s="126"/>
      <c r="C224" s="49">
        <f t="shared" si="38"/>
        <v>1</v>
      </c>
      <c r="D224" s="879"/>
      <c r="E224" s="49">
        <f t="shared" si="39"/>
        <v>1</v>
      </c>
      <c r="F224" s="879"/>
      <c r="G224" s="49">
        <f t="shared" si="40"/>
        <v>1</v>
      </c>
      <c r="H224" s="879"/>
      <c r="I224" s="49">
        <f t="shared" si="41"/>
        <v>1</v>
      </c>
      <c r="J224" s="879"/>
      <c r="K224" s="49">
        <f t="shared" si="42"/>
        <v>1</v>
      </c>
      <c r="L224" s="879"/>
      <c r="M224" s="49">
        <f t="shared" si="43"/>
        <v>1</v>
      </c>
      <c r="N224" s="879"/>
      <c r="O224" s="49">
        <f t="shared" si="44"/>
        <v>1</v>
      </c>
      <c r="P224" s="879"/>
      <c r="Q224" s="49">
        <f t="shared" si="45"/>
        <v>1</v>
      </c>
      <c r="R224" s="49">
        <f t="shared" si="46"/>
        <v>0</v>
      </c>
      <c r="S224" s="734">
        <f t="shared" si="47"/>
        <v>0</v>
      </c>
    </row>
    <row r="225" spans="1:19">
      <c r="A225" s="880"/>
      <c r="B225" s="126"/>
      <c r="C225" s="49">
        <f t="shared" si="38"/>
        <v>1</v>
      </c>
      <c r="D225" s="879"/>
      <c r="E225" s="49">
        <f t="shared" si="39"/>
        <v>1</v>
      </c>
      <c r="F225" s="879"/>
      <c r="G225" s="49">
        <f t="shared" si="40"/>
        <v>1</v>
      </c>
      <c r="H225" s="879"/>
      <c r="I225" s="49">
        <f t="shared" si="41"/>
        <v>1</v>
      </c>
      <c r="J225" s="879"/>
      <c r="K225" s="49">
        <f t="shared" si="42"/>
        <v>1</v>
      </c>
      <c r="L225" s="879"/>
      <c r="M225" s="49">
        <f t="shared" si="43"/>
        <v>1</v>
      </c>
      <c r="N225" s="879"/>
      <c r="O225" s="49">
        <f t="shared" si="44"/>
        <v>1</v>
      </c>
      <c r="P225" s="879"/>
      <c r="Q225" s="49">
        <f t="shared" si="45"/>
        <v>1</v>
      </c>
      <c r="R225" s="49">
        <f t="shared" si="46"/>
        <v>0</v>
      </c>
      <c r="S225" s="734">
        <f t="shared" si="47"/>
        <v>0</v>
      </c>
    </row>
    <row r="226" spans="1:19">
      <c r="A226" s="880"/>
      <c r="B226" s="126"/>
      <c r="C226" s="49">
        <f t="shared" si="38"/>
        <v>1</v>
      </c>
      <c r="D226" s="879"/>
      <c r="E226" s="49">
        <f t="shared" si="39"/>
        <v>1</v>
      </c>
      <c r="F226" s="879"/>
      <c r="G226" s="49">
        <f t="shared" si="40"/>
        <v>1</v>
      </c>
      <c r="H226" s="879"/>
      <c r="I226" s="49">
        <f t="shared" si="41"/>
        <v>1</v>
      </c>
      <c r="J226" s="879"/>
      <c r="K226" s="49">
        <f t="shared" si="42"/>
        <v>1</v>
      </c>
      <c r="L226" s="879"/>
      <c r="M226" s="49">
        <f t="shared" si="43"/>
        <v>1</v>
      </c>
      <c r="N226" s="879"/>
      <c r="O226" s="49">
        <f t="shared" si="44"/>
        <v>1</v>
      </c>
      <c r="P226" s="879"/>
      <c r="Q226" s="49">
        <f t="shared" si="45"/>
        <v>1</v>
      </c>
      <c r="R226" s="49">
        <f t="shared" si="46"/>
        <v>0</v>
      </c>
      <c r="S226" s="734">
        <f t="shared" si="47"/>
        <v>0</v>
      </c>
    </row>
    <row r="227" spans="1:19">
      <c r="A227" s="880"/>
      <c r="B227" s="126"/>
      <c r="C227" s="49">
        <f t="shared" si="38"/>
        <v>1</v>
      </c>
      <c r="D227" s="879"/>
      <c r="E227" s="49">
        <f t="shared" si="39"/>
        <v>1</v>
      </c>
      <c r="F227" s="879"/>
      <c r="G227" s="49">
        <f t="shared" si="40"/>
        <v>1</v>
      </c>
      <c r="H227" s="879"/>
      <c r="I227" s="49">
        <f t="shared" si="41"/>
        <v>1</v>
      </c>
      <c r="J227" s="879"/>
      <c r="K227" s="49">
        <f t="shared" si="42"/>
        <v>1</v>
      </c>
      <c r="L227" s="879"/>
      <c r="M227" s="49">
        <f t="shared" si="43"/>
        <v>1</v>
      </c>
      <c r="N227" s="879"/>
      <c r="O227" s="49">
        <f t="shared" si="44"/>
        <v>1</v>
      </c>
      <c r="P227" s="879"/>
      <c r="Q227" s="49">
        <f t="shared" si="45"/>
        <v>1</v>
      </c>
      <c r="R227" s="49">
        <f t="shared" si="46"/>
        <v>0</v>
      </c>
      <c r="S227" s="734">
        <f t="shared" si="47"/>
        <v>0</v>
      </c>
    </row>
    <row r="228" spans="1:19">
      <c r="A228" s="880"/>
      <c r="B228" s="126"/>
      <c r="C228" s="49">
        <f t="shared" si="38"/>
        <v>1</v>
      </c>
      <c r="D228" s="879"/>
      <c r="E228" s="49">
        <f t="shared" si="39"/>
        <v>1</v>
      </c>
      <c r="F228" s="879"/>
      <c r="G228" s="49">
        <f t="shared" si="40"/>
        <v>1</v>
      </c>
      <c r="H228" s="879"/>
      <c r="I228" s="49">
        <f t="shared" si="41"/>
        <v>1</v>
      </c>
      <c r="J228" s="879"/>
      <c r="K228" s="49">
        <f t="shared" si="42"/>
        <v>1</v>
      </c>
      <c r="L228" s="879"/>
      <c r="M228" s="49">
        <f t="shared" si="43"/>
        <v>1</v>
      </c>
      <c r="N228" s="879"/>
      <c r="O228" s="49">
        <f t="shared" si="44"/>
        <v>1</v>
      </c>
      <c r="P228" s="879"/>
      <c r="Q228" s="49">
        <f t="shared" si="45"/>
        <v>1</v>
      </c>
      <c r="R228" s="49">
        <f t="shared" si="46"/>
        <v>0</v>
      </c>
      <c r="S228" s="734">
        <f t="shared" si="47"/>
        <v>0</v>
      </c>
    </row>
    <row r="229" spans="1:19">
      <c r="A229" s="880"/>
      <c r="B229" s="126"/>
      <c r="C229" s="49">
        <f t="shared" si="38"/>
        <v>1</v>
      </c>
      <c r="D229" s="879"/>
      <c r="E229" s="49">
        <f t="shared" si="39"/>
        <v>1</v>
      </c>
      <c r="F229" s="879"/>
      <c r="G229" s="49">
        <f t="shared" si="40"/>
        <v>1</v>
      </c>
      <c r="H229" s="879"/>
      <c r="I229" s="49">
        <f t="shared" si="41"/>
        <v>1</v>
      </c>
      <c r="J229" s="879"/>
      <c r="K229" s="49">
        <f t="shared" si="42"/>
        <v>1</v>
      </c>
      <c r="L229" s="879"/>
      <c r="M229" s="49">
        <f t="shared" si="43"/>
        <v>1</v>
      </c>
      <c r="N229" s="879"/>
      <c r="O229" s="49">
        <f t="shared" si="44"/>
        <v>1</v>
      </c>
      <c r="P229" s="879"/>
      <c r="Q229" s="49">
        <f t="shared" si="45"/>
        <v>1</v>
      </c>
      <c r="R229" s="49">
        <f t="shared" si="46"/>
        <v>0</v>
      </c>
      <c r="S229" s="734">
        <f t="shared" si="47"/>
        <v>0</v>
      </c>
    </row>
    <row r="230" spans="1:19">
      <c r="A230" s="880"/>
      <c r="B230" s="126"/>
      <c r="C230" s="49">
        <f t="shared" si="38"/>
        <v>1</v>
      </c>
      <c r="D230" s="879"/>
      <c r="E230" s="49">
        <f t="shared" si="39"/>
        <v>1</v>
      </c>
      <c r="F230" s="879"/>
      <c r="G230" s="49">
        <f t="shared" si="40"/>
        <v>1</v>
      </c>
      <c r="H230" s="879"/>
      <c r="I230" s="49">
        <f t="shared" si="41"/>
        <v>1</v>
      </c>
      <c r="J230" s="879"/>
      <c r="K230" s="49">
        <f t="shared" si="42"/>
        <v>1</v>
      </c>
      <c r="L230" s="879"/>
      <c r="M230" s="49">
        <f t="shared" si="43"/>
        <v>1</v>
      </c>
      <c r="N230" s="879"/>
      <c r="O230" s="49">
        <f t="shared" si="44"/>
        <v>1</v>
      </c>
      <c r="P230" s="879"/>
      <c r="Q230" s="49">
        <f t="shared" si="45"/>
        <v>1</v>
      </c>
      <c r="R230" s="49">
        <f t="shared" si="46"/>
        <v>0</v>
      </c>
      <c r="S230" s="734">
        <f t="shared" si="47"/>
        <v>0</v>
      </c>
    </row>
    <row r="231" spans="1:19">
      <c r="A231" s="880"/>
      <c r="B231" s="126"/>
      <c r="C231" s="49">
        <f t="shared" si="38"/>
        <v>1</v>
      </c>
      <c r="D231" s="879"/>
      <c r="E231" s="49">
        <f t="shared" si="39"/>
        <v>1</v>
      </c>
      <c r="F231" s="879"/>
      <c r="G231" s="49">
        <f t="shared" si="40"/>
        <v>1</v>
      </c>
      <c r="H231" s="879"/>
      <c r="I231" s="49">
        <f t="shared" si="41"/>
        <v>1</v>
      </c>
      <c r="J231" s="879"/>
      <c r="K231" s="49">
        <f t="shared" si="42"/>
        <v>1</v>
      </c>
      <c r="L231" s="879"/>
      <c r="M231" s="49">
        <f t="shared" si="43"/>
        <v>1</v>
      </c>
      <c r="N231" s="879"/>
      <c r="O231" s="49">
        <f t="shared" si="44"/>
        <v>1</v>
      </c>
      <c r="P231" s="879"/>
      <c r="Q231" s="49">
        <f t="shared" si="45"/>
        <v>1</v>
      </c>
      <c r="R231" s="49">
        <f t="shared" si="46"/>
        <v>0</v>
      </c>
      <c r="S231" s="734">
        <f t="shared" si="47"/>
        <v>0</v>
      </c>
    </row>
    <row r="232" spans="1:19">
      <c r="A232" s="880"/>
      <c r="B232" s="126"/>
      <c r="C232" s="49">
        <f t="shared" si="38"/>
        <v>1</v>
      </c>
      <c r="D232" s="879"/>
      <c r="E232" s="49">
        <f t="shared" si="39"/>
        <v>1</v>
      </c>
      <c r="F232" s="879"/>
      <c r="G232" s="49">
        <f t="shared" si="40"/>
        <v>1</v>
      </c>
      <c r="H232" s="879"/>
      <c r="I232" s="49">
        <f t="shared" si="41"/>
        <v>1</v>
      </c>
      <c r="J232" s="879"/>
      <c r="K232" s="49">
        <f t="shared" si="42"/>
        <v>1</v>
      </c>
      <c r="L232" s="879"/>
      <c r="M232" s="49">
        <f t="shared" si="43"/>
        <v>1</v>
      </c>
      <c r="N232" s="879"/>
      <c r="O232" s="49">
        <f t="shared" si="44"/>
        <v>1</v>
      </c>
      <c r="P232" s="879"/>
      <c r="Q232" s="49">
        <f t="shared" si="45"/>
        <v>1</v>
      </c>
      <c r="R232" s="49">
        <f t="shared" si="46"/>
        <v>0</v>
      </c>
      <c r="S232" s="734">
        <f t="shared" si="47"/>
        <v>0</v>
      </c>
    </row>
    <row r="233" spans="1:19">
      <c r="A233" s="880"/>
      <c r="B233" s="126"/>
      <c r="C233" s="49">
        <f t="shared" si="38"/>
        <v>1</v>
      </c>
      <c r="D233" s="879"/>
      <c r="E233" s="49">
        <f t="shared" si="39"/>
        <v>1</v>
      </c>
      <c r="F233" s="879"/>
      <c r="G233" s="49">
        <f t="shared" si="40"/>
        <v>1</v>
      </c>
      <c r="H233" s="879"/>
      <c r="I233" s="49">
        <f t="shared" si="41"/>
        <v>1</v>
      </c>
      <c r="J233" s="879"/>
      <c r="K233" s="49">
        <f t="shared" si="42"/>
        <v>1</v>
      </c>
      <c r="L233" s="879"/>
      <c r="M233" s="49">
        <f t="shared" si="43"/>
        <v>1</v>
      </c>
      <c r="N233" s="879"/>
      <c r="O233" s="49">
        <f t="shared" si="44"/>
        <v>1</v>
      </c>
      <c r="P233" s="879"/>
      <c r="Q233" s="49">
        <f t="shared" si="45"/>
        <v>1</v>
      </c>
      <c r="R233" s="49">
        <f t="shared" si="46"/>
        <v>0</v>
      </c>
      <c r="S233" s="734">
        <f t="shared" si="47"/>
        <v>0</v>
      </c>
    </row>
    <row r="234" spans="1:19">
      <c r="A234" s="880"/>
      <c r="B234" s="126"/>
      <c r="C234" s="49">
        <f t="shared" si="38"/>
        <v>1</v>
      </c>
      <c r="D234" s="879"/>
      <c r="E234" s="49">
        <f t="shared" si="39"/>
        <v>1</v>
      </c>
      <c r="F234" s="879"/>
      <c r="G234" s="49">
        <f t="shared" si="40"/>
        <v>1</v>
      </c>
      <c r="H234" s="879"/>
      <c r="I234" s="49">
        <f t="shared" si="41"/>
        <v>1</v>
      </c>
      <c r="J234" s="879"/>
      <c r="K234" s="49">
        <f t="shared" si="42"/>
        <v>1</v>
      </c>
      <c r="L234" s="879"/>
      <c r="M234" s="49">
        <f t="shared" si="43"/>
        <v>1</v>
      </c>
      <c r="N234" s="879"/>
      <c r="O234" s="49">
        <f t="shared" si="44"/>
        <v>1</v>
      </c>
      <c r="P234" s="879"/>
      <c r="Q234" s="49">
        <f t="shared" si="45"/>
        <v>1</v>
      </c>
      <c r="R234" s="49">
        <f t="shared" si="46"/>
        <v>0</v>
      </c>
      <c r="S234" s="734">
        <f t="shared" si="47"/>
        <v>0</v>
      </c>
    </row>
    <row r="235" spans="1:19">
      <c r="A235" s="880"/>
      <c r="B235" s="126"/>
      <c r="C235" s="49">
        <f t="shared" si="38"/>
        <v>1</v>
      </c>
      <c r="D235" s="879"/>
      <c r="E235" s="49">
        <f t="shared" si="39"/>
        <v>1</v>
      </c>
      <c r="F235" s="879"/>
      <c r="G235" s="49">
        <f t="shared" si="40"/>
        <v>1</v>
      </c>
      <c r="H235" s="879"/>
      <c r="I235" s="49">
        <f t="shared" si="41"/>
        <v>1</v>
      </c>
      <c r="J235" s="879"/>
      <c r="K235" s="49">
        <f t="shared" si="42"/>
        <v>1</v>
      </c>
      <c r="L235" s="879"/>
      <c r="M235" s="49">
        <f t="shared" si="43"/>
        <v>1</v>
      </c>
      <c r="N235" s="879"/>
      <c r="O235" s="49">
        <f t="shared" si="44"/>
        <v>1</v>
      </c>
      <c r="P235" s="879"/>
      <c r="Q235" s="49">
        <f t="shared" si="45"/>
        <v>1</v>
      </c>
      <c r="R235" s="49">
        <f t="shared" si="46"/>
        <v>0</v>
      </c>
      <c r="S235" s="734">
        <f t="shared" si="47"/>
        <v>0</v>
      </c>
    </row>
    <row r="236" spans="1:19">
      <c r="A236" s="880"/>
      <c r="B236" s="126"/>
      <c r="C236" s="49">
        <f t="shared" si="38"/>
        <v>1</v>
      </c>
      <c r="D236" s="879"/>
      <c r="E236" s="49">
        <f t="shared" si="39"/>
        <v>1</v>
      </c>
      <c r="F236" s="879"/>
      <c r="G236" s="49">
        <f t="shared" si="40"/>
        <v>1</v>
      </c>
      <c r="H236" s="879"/>
      <c r="I236" s="49">
        <f t="shared" si="41"/>
        <v>1</v>
      </c>
      <c r="J236" s="879"/>
      <c r="K236" s="49">
        <f t="shared" si="42"/>
        <v>1</v>
      </c>
      <c r="L236" s="879"/>
      <c r="M236" s="49">
        <f t="shared" si="43"/>
        <v>1</v>
      </c>
      <c r="N236" s="879"/>
      <c r="O236" s="49">
        <f t="shared" si="44"/>
        <v>1</v>
      </c>
      <c r="P236" s="879"/>
      <c r="Q236" s="49">
        <f t="shared" si="45"/>
        <v>1</v>
      </c>
      <c r="R236" s="49">
        <f t="shared" si="46"/>
        <v>0</v>
      </c>
      <c r="S236" s="734">
        <f t="shared" si="47"/>
        <v>0</v>
      </c>
    </row>
    <row r="237" spans="1:19">
      <c r="A237" s="880"/>
      <c r="B237" s="126"/>
      <c r="C237" s="49">
        <f t="shared" si="38"/>
        <v>1</v>
      </c>
      <c r="D237" s="879"/>
      <c r="E237" s="49">
        <f t="shared" si="39"/>
        <v>1</v>
      </c>
      <c r="F237" s="879"/>
      <c r="G237" s="49">
        <f t="shared" si="40"/>
        <v>1</v>
      </c>
      <c r="H237" s="879"/>
      <c r="I237" s="49">
        <f t="shared" si="41"/>
        <v>1</v>
      </c>
      <c r="J237" s="879"/>
      <c r="K237" s="49">
        <f t="shared" si="42"/>
        <v>1</v>
      </c>
      <c r="L237" s="879"/>
      <c r="M237" s="49">
        <f t="shared" si="43"/>
        <v>1</v>
      </c>
      <c r="N237" s="879"/>
      <c r="O237" s="49">
        <f t="shared" si="44"/>
        <v>1</v>
      </c>
      <c r="P237" s="879"/>
      <c r="Q237" s="49">
        <f t="shared" si="45"/>
        <v>1</v>
      </c>
      <c r="R237" s="49">
        <f t="shared" si="46"/>
        <v>0</v>
      </c>
      <c r="S237" s="734">
        <f t="shared" si="47"/>
        <v>0</v>
      </c>
    </row>
    <row r="238" spans="1:19">
      <c r="A238" s="880"/>
      <c r="B238" s="126"/>
      <c r="C238" s="49">
        <f t="shared" si="38"/>
        <v>1</v>
      </c>
      <c r="D238" s="879"/>
      <c r="E238" s="49">
        <f t="shared" si="39"/>
        <v>1</v>
      </c>
      <c r="F238" s="879"/>
      <c r="G238" s="49">
        <f t="shared" si="40"/>
        <v>1</v>
      </c>
      <c r="H238" s="879"/>
      <c r="I238" s="49">
        <f t="shared" si="41"/>
        <v>1</v>
      </c>
      <c r="J238" s="879"/>
      <c r="K238" s="49">
        <f t="shared" si="42"/>
        <v>1</v>
      </c>
      <c r="L238" s="879"/>
      <c r="M238" s="49">
        <f t="shared" si="43"/>
        <v>1</v>
      </c>
      <c r="N238" s="879"/>
      <c r="O238" s="49">
        <f t="shared" si="44"/>
        <v>1</v>
      </c>
      <c r="P238" s="879"/>
      <c r="Q238" s="49">
        <f t="shared" si="45"/>
        <v>1</v>
      </c>
      <c r="R238" s="49">
        <f t="shared" si="46"/>
        <v>0</v>
      </c>
      <c r="S238" s="734">
        <f t="shared" si="47"/>
        <v>0</v>
      </c>
    </row>
    <row r="239" spans="1:19">
      <c r="A239" s="880"/>
      <c r="B239" s="126"/>
      <c r="C239" s="49">
        <f t="shared" si="38"/>
        <v>1</v>
      </c>
      <c r="D239" s="879"/>
      <c r="E239" s="49">
        <f t="shared" si="39"/>
        <v>1</v>
      </c>
      <c r="F239" s="879"/>
      <c r="G239" s="49">
        <f t="shared" si="40"/>
        <v>1</v>
      </c>
      <c r="H239" s="879"/>
      <c r="I239" s="49">
        <f t="shared" si="41"/>
        <v>1</v>
      </c>
      <c r="J239" s="879"/>
      <c r="K239" s="49">
        <f t="shared" si="42"/>
        <v>1</v>
      </c>
      <c r="L239" s="879"/>
      <c r="M239" s="49">
        <f t="shared" si="43"/>
        <v>1</v>
      </c>
      <c r="N239" s="879"/>
      <c r="O239" s="49">
        <f t="shared" si="44"/>
        <v>1</v>
      </c>
      <c r="P239" s="879"/>
      <c r="Q239" s="49">
        <f t="shared" si="45"/>
        <v>1</v>
      </c>
      <c r="R239" s="49">
        <f t="shared" si="46"/>
        <v>0</v>
      </c>
      <c r="S239" s="734">
        <f t="shared" si="47"/>
        <v>0</v>
      </c>
    </row>
    <row r="240" spans="1:19">
      <c r="A240" s="880"/>
      <c r="B240" s="126"/>
      <c r="C240" s="49">
        <f t="shared" si="38"/>
        <v>1</v>
      </c>
      <c r="D240" s="879"/>
      <c r="E240" s="49">
        <f t="shared" si="39"/>
        <v>1</v>
      </c>
      <c r="F240" s="879"/>
      <c r="G240" s="49">
        <f t="shared" si="40"/>
        <v>1</v>
      </c>
      <c r="H240" s="879"/>
      <c r="I240" s="49">
        <f t="shared" si="41"/>
        <v>1</v>
      </c>
      <c r="J240" s="879"/>
      <c r="K240" s="49">
        <f t="shared" si="42"/>
        <v>1</v>
      </c>
      <c r="L240" s="879"/>
      <c r="M240" s="49">
        <f t="shared" si="43"/>
        <v>1</v>
      </c>
      <c r="N240" s="879"/>
      <c r="O240" s="49">
        <f t="shared" si="44"/>
        <v>1</v>
      </c>
      <c r="P240" s="879"/>
      <c r="Q240" s="49">
        <f t="shared" si="45"/>
        <v>1</v>
      </c>
      <c r="R240" s="49">
        <f t="shared" si="46"/>
        <v>0</v>
      </c>
      <c r="S240" s="734">
        <f t="shared" si="47"/>
        <v>0</v>
      </c>
    </row>
    <row r="241" spans="1:19">
      <c r="A241" s="880"/>
      <c r="B241" s="126"/>
      <c r="C241" s="49">
        <f t="shared" si="38"/>
        <v>1</v>
      </c>
      <c r="D241" s="879"/>
      <c r="E241" s="49">
        <f t="shared" si="39"/>
        <v>1</v>
      </c>
      <c r="F241" s="879"/>
      <c r="G241" s="49">
        <f t="shared" si="40"/>
        <v>1</v>
      </c>
      <c r="H241" s="879"/>
      <c r="I241" s="49">
        <f t="shared" si="41"/>
        <v>1</v>
      </c>
      <c r="J241" s="879"/>
      <c r="K241" s="49">
        <f t="shared" si="42"/>
        <v>1</v>
      </c>
      <c r="L241" s="879"/>
      <c r="M241" s="49">
        <f t="shared" si="43"/>
        <v>1</v>
      </c>
      <c r="N241" s="879"/>
      <c r="O241" s="49">
        <f t="shared" si="44"/>
        <v>1</v>
      </c>
      <c r="P241" s="879"/>
      <c r="Q241" s="49">
        <f t="shared" si="45"/>
        <v>1</v>
      </c>
      <c r="R241" s="49">
        <f t="shared" si="46"/>
        <v>0</v>
      </c>
      <c r="S241" s="734">
        <f t="shared" si="47"/>
        <v>0</v>
      </c>
    </row>
    <row r="242" spans="1:19">
      <c r="A242" s="880"/>
      <c r="B242" s="126"/>
      <c r="C242" s="49">
        <f t="shared" si="38"/>
        <v>1</v>
      </c>
      <c r="D242" s="879"/>
      <c r="E242" s="49">
        <f t="shared" si="39"/>
        <v>1</v>
      </c>
      <c r="F242" s="879"/>
      <c r="G242" s="49">
        <f t="shared" si="40"/>
        <v>1</v>
      </c>
      <c r="H242" s="879"/>
      <c r="I242" s="49">
        <f t="shared" si="41"/>
        <v>1</v>
      </c>
      <c r="J242" s="879"/>
      <c r="K242" s="49">
        <f t="shared" si="42"/>
        <v>1</v>
      </c>
      <c r="L242" s="879"/>
      <c r="M242" s="49">
        <f t="shared" si="43"/>
        <v>1</v>
      </c>
      <c r="N242" s="879"/>
      <c r="O242" s="49">
        <f t="shared" si="44"/>
        <v>1</v>
      </c>
      <c r="P242" s="879"/>
      <c r="Q242" s="49">
        <f t="shared" si="45"/>
        <v>1</v>
      </c>
      <c r="R242" s="49">
        <f t="shared" si="46"/>
        <v>0</v>
      </c>
      <c r="S242" s="734">
        <f t="shared" si="47"/>
        <v>0</v>
      </c>
    </row>
    <row r="243" spans="1:19">
      <c r="A243" s="880"/>
      <c r="B243" s="126"/>
      <c r="C243" s="49">
        <f t="shared" si="38"/>
        <v>1</v>
      </c>
      <c r="D243" s="879"/>
      <c r="E243" s="49">
        <f t="shared" si="39"/>
        <v>1</v>
      </c>
      <c r="F243" s="879"/>
      <c r="G243" s="49">
        <f t="shared" si="40"/>
        <v>1</v>
      </c>
      <c r="H243" s="879"/>
      <c r="I243" s="49">
        <f t="shared" si="41"/>
        <v>1</v>
      </c>
      <c r="J243" s="879"/>
      <c r="K243" s="49">
        <f t="shared" si="42"/>
        <v>1</v>
      </c>
      <c r="L243" s="879"/>
      <c r="M243" s="49">
        <f t="shared" si="43"/>
        <v>1</v>
      </c>
      <c r="N243" s="879"/>
      <c r="O243" s="49">
        <f t="shared" si="44"/>
        <v>1</v>
      </c>
      <c r="P243" s="879"/>
      <c r="Q243" s="49">
        <f t="shared" si="45"/>
        <v>1</v>
      </c>
      <c r="R243" s="49">
        <f t="shared" si="46"/>
        <v>0</v>
      </c>
      <c r="S243" s="734">
        <f t="shared" si="47"/>
        <v>0</v>
      </c>
    </row>
    <row r="244" spans="1:19">
      <c r="A244" s="880"/>
      <c r="B244" s="126"/>
      <c r="C244" s="49">
        <f t="shared" si="38"/>
        <v>1</v>
      </c>
      <c r="D244" s="879"/>
      <c r="E244" s="49">
        <f t="shared" si="39"/>
        <v>1</v>
      </c>
      <c r="F244" s="879"/>
      <c r="G244" s="49">
        <f t="shared" si="40"/>
        <v>1</v>
      </c>
      <c r="H244" s="879"/>
      <c r="I244" s="49">
        <f t="shared" si="41"/>
        <v>1</v>
      </c>
      <c r="J244" s="879"/>
      <c r="K244" s="49">
        <f t="shared" si="42"/>
        <v>1</v>
      </c>
      <c r="L244" s="879"/>
      <c r="M244" s="49">
        <f t="shared" si="43"/>
        <v>1</v>
      </c>
      <c r="N244" s="879"/>
      <c r="O244" s="49">
        <f t="shared" si="44"/>
        <v>1</v>
      </c>
      <c r="P244" s="879"/>
      <c r="Q244" s="49">
        <f t="shared" si="45"/>
        <v>1</v>
      </c>
      <c r="R244" s="49">
        <f t="shared" si="46"/>
        <v>0</v>
      </c>
      <c r="S244" s="734">
        <f t="shared" si="47"/>
        <v>0</v>
      </c>
    </row>
    <row r="245" spans="1:19">
      <c r="A245" s="880"/>
      <c r="B245" s="126"/>
      <c r="C245" s="49">
        <f t="shared" si="38"/>
        <v>1</v>
      </c>
      <c r="D245" s="879"/>
      <c r="E245" s="49">
        <f t="shared" si="39"/>
        <v>1</v>
      </c>
      <c r="F245" s="879"/>
      <c r="G245" s="49">
        <f t="shared" si="40"/>
        <v>1</v>
      </c>
      <c r="H245" s="879"/>
      <c r="I245" s="49">
        <f t="shared" si="41"/>
        <v>1</v>
      </c>
      <c r="J245" s="879"/>
      <c r="K245" s="49">
        <f t="shared" si="42"/>
        <v>1</v>
      </c>
      <c r="L245" s="879"/>
      <c r="M245" s="49">
        <f t="shared" si="43"/>
        <v>1</v>
      </c>
      <c r="N245" s="879"/>
      <c r="O245" s="49">
        <f t="shared" si="44"/>
        <v>1</v>
      </c>
      <c r="P245" s="879"/>
      <c r="Q245" s="49">
        <f t="shared" si="45"/>
        <v>1</v>
      </c>
      <c r="R245" s="49">
        <f t="shared" si="46"/>
        <v>0</v>
      </c>
      <c r="S245" s="734">
        <f t="shared" si="47"/>
        <v>0</v>
      </c>
    </row>
    <row r="246" spans="1:19">
      <c r="A246" s="880"/>
      <c r="B246" s="126"/>
      <c r="C246" s="49">
        <f t="shared" si="38"/>
        <v>1</v>
      </c>
      <c r="D246" s="879"/>
      <c r="E246" s="49">
        <f t="shared" si="39"/>
        <v>1</v>
      </c>
      <c r="F246" s="879"/>
      <c r="G246" s="49">
        <f t="shared" si="40"/>
        <v>1</v>
      </c>
      <c r="H246" s="879"/>
      <c r="I246" s="49">
        <f t="shared" si="41"/>
        <v>1</v>
      </c>
      <c r="J246" s="879"/>
      <c r="K246" s="49">
        <f t="shared" si="42"/>
        <v>1</v>
      </c>
      <c r="L246" s="879"/>
      <c r="M246" s="49">
        <f t="shared" si="43"/>
        <v>1</v>
      </c>
      <c r="N246" s="879"/>
      <c r="O246" s="49">
        <f t="shared" si="44"/>
        <v>1</v>
      </c>
      <c r="P246" s="879"/>
      <c r="Q246" s="49">
        <f t="shared" si="45"/>
        <v>1</v>
      </c>
      <c r="R246" s="49">
        <f t="shared" si="46"/>
        <v>0</v>
      </c>
      <c r="S246" s="734">
        <f t="shared" si="47"/>
        <v>0</v>
      </c>
    </row>
    <row r="247" spans="1:19">
      <c r="A247" s="880"/>
      <c r="B247" s="126"/>
      <c r="C247" s="49">
        <f t="shared" si="38"/>
        <v>1</v>
      </c>
      <c r="D247" s="879"/>
      <c r="E247" s="49">
        <f t="shared" si="39"/>
        <v>1</v>
      </c>
      <c r="F247" s="879"/>
      <c r="G247" s="49">
        <f t="shared" si="40"/>
        <v>1</v>
      </c>
      <c r="H247" s="879"/>
      <c r="I247" s="49">
        <f t="shared" si="41"/>
        <v>1</v>
      </c>
      <c r="J247" s="879"/>
      <c r="K247" s="49">
        <f t="shared" si="42"/>
        <v>1</v>
      </c>
      <c r="L247" s="879"/>
      <c r="M247" s="49">
        <f t="shared" si="43"/>
        <v>1</v>
      </c>
      <c r="N247" s="879"/>
      <c r="O247" s="49">
        <f t="shared" si="44"/>
        <v>1</v>
      </c>
      <c r="P247" s="879"/>
      <c r="Q247" s="49">
        <f t="shared" si="45"/>
        <v>1</v>
      </c>
      <c r="R247" s="49">
        <f t="shared" si="46"/>
        <v>0</v>
      </c>
      <c r="S247" s="734">
        <f t="shared" si="47"/>
        <v>0</v>
      </c>
    </row>
    <row r="248" spans="1:19">
      <c r="A248" s="880"/>
      <c r="B248" s="126"/>
      <c r="C248" s="49">
        <f t="shared" si="38"/>
        <v>1</v>
      </c>
      <c r="D248" s="879"/>
      <c r="E248" s="49">
        <f t="shared" si="39"/>
        <v>1</v>
      </c>
      <c r="F248" s="879"/>
      <c r="G248" s="49">
        <f t="shared" si="40"/>
        <v>1</v>
      </c>
      <c r="H248" s="879"/>
      <c r="I248" s="49">
        <f t="shared" si="41"/>
        <v>1</v>
      </c>
      <c r="J248" s="879"/>
      <c r="K248" s="49">
        <f t="shared" si="42"/>
        <v>1</v>
      </c>
      <c r="L248" s="879"/>
      <c r="M248" s="49">
        <f t="shared" si="43"/>
        <v>1</v>
      </c>
      <c r="N248" s="879"/>
      <c r="O248" s="49">
        <f t="shared" si="44"/>
        <v>1</v>
      </c>
      <c r="P248" s="879"/>
      <c r="Q248" s="49">
        <f t="shared" si="45"/>
        <v>1</v>
      </c>
      <c r="R248" s="49">
        <f t="shared" si="46"/>
        <v>0</v>
      </c>
      <c r="S248" s="734">
        <f t="shared" si="47"/>
        <v>0</v>
      </c>
    </row>
    <row r="249" spans="1:19">
      <c r="A249" s="880"/>
      <c r="B249" s="126"/>
      <c r="C249" s="49">
        <f t="shared" si="38"/>
        <v>1</v>
      </c>
      <c r="D249" s="879"/>
      <c r="E249" s="49">
        <f t="shared" si="39"/>
        <v>1</v>
      </c>
      <c r="F249" s="879"/>
      <c r="G249" s="49">
        <f t="shared" si="40"/>
        <v>1</v>
      </c>
      <c r="H249" s="879"/>
      <c r="I249" s="49">
        <f t="shared" si="41"/>
        <v>1</v>
      </c>
      <c r="J249" s="879"/>
      <c r="K249" s="49">
        <f t="shared" si="42"/>
        <v>1</v>
      </c>
      <c r="L249" s="879"/>
      <c r="M249" s="49">
        <f t="shared" si="43"/>
        <v>1</v>
      </c>
      <c r="N249" s="879"/>
      <c r="O249" s="49">
        <f t="shared" si="44"/>
        <v>1</v>
      </c>
      <c r="P249" s="879"/>
      <c r="Q249" s="49">
        <f t="shared" si="45"/>
        <v>1</v>
      </c>
      <c r="R249" s="49">
        <f t="shared" si="46"/>
        <v>0</v>
      </c>
      <c r="S249" s="734">
        <f t="shared" si="47"/>
        <v>0</v>
      </c>
    </row>
    <row r="250" spans="1:19">
      <c r="A250" s="880"/>
      <c r="B250" s="126"/>
      <c r="C250" s="49">
        <f t="shared" si="38"/>
        <v>1</v>
      </c>
      <c r="D250" s="879"/>
      <c r="E250" s="49">
        <f t="shared" si="39"/>
        <v>1</v>
      </c>
      <c r="F250" s="879"/>
      <c r="G250" s="49">
        <f t="shared" si="40"/>
        <v>1</v>
      </c>
      <c r="H250" s="879"/>
      <c r="I250" s="49">
        <f t="shared" si="41"/>
        <v>1</v>
      </c>
      <c r="J250" s="879"/>
      <c r="K250" s="49">
        <f t="shared" si="42"/>
        <v>1</v>
      </c>
      <c r="L250" s="879"/>
      <c r="M250" s="49">
        <f t="shared" si="43"/>
        <v>1</v>
      </c>
      <c r="N250" s="879"/>
      <c r="O250" s="49">
        <f t="shared" si="44"/>
        <v>1</v>
      </c>
      <c r="P250" s="879"/>
      <c r="Q250" s="49">
        <f t="shared" si="45"/>
        <v>1</v>
      </c>
      <c r="R250" s="49">
        <f t="shared" si="46"/>
        <v>0</v>
      </c>
      <c r="S250" s="734">
        <f t="shared" si="47"/>
        <v>0</v>
      </c>
    </row>
    <row r="251" spans="1:19">
      <c r="A251" s="880"/>
      <c r="B251" s="126"/>
      <c r="C251" s="49">
        <f t="shared" si="38"/>
        <v>1</v>
      </c>
      <c r="D251" s="879"/>
      <c r="E251" s="49">
        <f t="shared" si="39"/>
        <v>1</v>
      </c>
      <c r="F251" s="879"/>
      <c r="G251" s="49">
        <f t="shared" si="40"/>
        <v>1</v>
      </c>
      <c r="H251" s="879"/>
      <c r="I251" s="49">
        <f t="shared" si="41"/>
        <v>1</v>
      </c>
      <c r="J251" s="879"/>
      <c r="K251" s="49">
        <f t="shared" si="42"/>
        <v>1</v>
      </c>
      <c r="L251" s="879"/>
      <c r="M251" s="49">
        <f t="shared" si="43"/>
        <v>1</v>
      </c>
      <c r="N251" s="879"/>
      <c r="O251" s="49">
        <f t="shared" si="44"/>
        <v>1</v>
      </c>
      <c r="P251" s="879"/>
      <c r="Q251" s="49">
        <f t="shared" si="45"/>
        <v>1</v>
      </c>
      <c r="R251" s="49">
        <f t="shared" si="46"/>
        <v>0</v>
      </c>
      <c r="S251" s="734">
        <f t="shared" si="47"/>
        <v>0</v>
      </c>
    </row>
    <row r="252" spans="1:19">
      <c r="A252" s="880"/>
      <c r="B252" s="126"/>
      <c r="C252" s="49">
        <f t="shared" si="38"/>
        <v>1</v>
      </c>
      <c r="D252" s="879"/>
      <c r="E252" s="49">
        <f t="shared" si="39"/>
        <v>1</v>
      </c>
      <c r="F252" s="879"/>
      <c r="G252" s="49">
        <f t="shared" si="40"/>
        <v>1</v>
      </c>
      <c r="H252" s="879"/>
      <c r="I252" s="49">
        <f t="shared" si="41"/>
        <v>1</v>
      </c>
      <c r="J252" s="879"/>
      <c r="K252" s="49">
        <f t="shared" si="42"/>
        <v>1</v>
      </c>
      <c r="L252" s="879"/>
      <c r="M252" s="49">
        <f t="shared" si="43"/>
        <v>1</v>
      </c>
      <c r="N252" s="879"/>
      <c r="O252" s="49">
        <f t="shared" si="44"/>
        <v>1</v>
      </c>
      <c r="P252" s="879"/>
      <c r="Q252" s="49">
        <f t="shared" si="45"/>
        <v>1</v>
      </c>
      <c r="R252" s="49">
        <f t="shared" si="46"/>
        <v>0</v>
      </c>
      <c r="S252" s="734">
        <f t="shared" si="47"/>
        <v>0</v>
      </c>
    </row>
    <row r="253" spans="1:19">
      <c r="A253" s="880"/>
      <c r="B253" s="126"/>
      <c r="C253" s="49">
        <f t="shared" si="38"/>
        <v>1</v>
      </c>
      <c r="D253" s="879"/>
      <c r="E253" s="49">
        <f t="shared" si="39"/>
        <v>1</v>
      </c>
      <c r="F253" s="879"/>
      <c r="G253" s="49">
        <f t="shared" si="40"/>
        <v>1</v>
      </c>
      <c r="H253" s="879"/>
      <c r="I253" s="49">
        <f t="shared" si="41"/>
        <v>1</v>
      </c>
      <c r="J253" s="879"/>
      <c r="K253" s="49">
        <f t="shared" si="42"/>
        <v>1</v>
      </c>
      <c r="L253" s="879"/>
      <c r="M253" s="49">
        <f t="shared" si="43"/>
        <v>1</v>
      </c>
      <c r="N253" s="879"/>
      <c r="O253" s="49">
        <f t="shared" si="44"/>
        <v>1</v>
      </c>
      <c r="P253" s="879"/>
      <c r="Q253" s="49">
        <f t="shared" si="45"/>
        <v>1</v>
      </c>
      <c r="R253" s="49">
        <f t="shared" si="46"/>
        <v>0</v>
      </c>
      <c r="S253" s="734">
        <f t="shared" si="47"/>
        <v>0</v>
      </c>
    </row>
    <row r="254" spans="1:19">
      <c r="A254" s="880"/>
      <c r="B254" s="126"/>
      <c r="C254" s="49">
        <f t="shared" si="38"/>
        <v>1</v>
      </c>
      <c r="D254" s="879"/>
      <c r="E254" s="49">
        <f t="shared" si="39"/>
        <v>1</v>
      </c>
      <c r="F254" s="879"/>
      <c r="G254" s="49">
        <f t="shared" si="40"/>
        <v>1</v>
      </c>
      <c r="H254" s="879"/>
      <c r="I254" s="49">
        <f t="shared" si="41"/>
        <v>1</v>
      </c>
      <c r="J254" s="879"/>
      <c r="K254" s="49">
        <f t="shared" si="42"/>
        <v>1</v>
      </c>
      <c r="L254" s="879"/>
      <c r="M254" s="49">
        <f t="shared" si="43"/>
        <v>1</v>
      </c>
      <c r="N254" s="879"/>
      <c r="O254" s="49">
        <f t="shared" si="44"/>
        <v>1</v>
      </c>
      <c r="P254" s="879"/>
      <c r="Q254" s="49">
        <f t="shared" si="45"/>
        <v>1</v>
      </c>
      <c r="R254" s="49">
        <f t="shared" si="46"/>
        <v>0</v>
      </c>
      <c r="S254" s="734">
        <f t="shared" si="47"/>
        <v>0</v>
      </c>
    </row>
    <row r="255" spans="1:19">
      <c r="A255" s="880"/>
      <c r="B255" s="126"/>
      <c r="C255" s="49">
        <f t="shared" si="38"/>
        <v>1</v>
      </c>
      <c r="D255" s="879"/>
      <c r="E255" s="49">
        <f t="shared" si="39"/>
        <v>1</v>
      </c>
      <c r="F255" s="879"/>
      <c r="G255" s="49">
        <f t="shared" si="40"/>
        <v>1</v>
      </c>
      <c r="H255" s="879"/>
      <c r="I255" s="49">
        <f t="shared" si="41"/>
        <v>1</v>
      </c>
      <c r="J255" s="879"/>
      <c r="K255" s="49">
        <f t="shared" si="42"/>
        <v>1</v>
      </c>
      <c r="L255" s="879"/>
      <c r="M255" s="49">
        <f t="shared" si="43"/>
        <v>1</v>
      </c>
      <c r="N255" s="879"/>
      <c r="O255" s="49">
        <f t="shared" si="44"/>
        <v>1</v>
      </c>
      <c r="P255" s="879"/>
      <c r="Q255" s="49">
        <f t="shared" si="45"/>
        <v>1</v>
      </c>
      <c r="R255" s="49">
        <f t="shared" si="46"/>
        <v>0</v>
      </c>
      <c r="S255" s="734">
        <f t="shared" si="47"/>
        <v>0</v>
      </c>
    </row>
    <row r="256" spans="1:19">
      <c r="A256" s="880"/>
      <c r="B256" s="126"/>
      <c r="C256" s="49">
        <f t="shared" si="38"/>
        <v>1</v>
      </c>
      <c r="D256" s="879"/>
      <c r="E256" s="49">
        <f t="shared" si="39"/>
        <v>1</v>
      </c>
      <c r="F256" s="879"/>
      <c r="G256" s="49">
        <f t="shared" si="40"/>
        <v>1</v>
      </c>
      <c r="H256" s="879"/>
      <c r="I256" s="49">
        <f t="shared" si="41"/>
        <v>1</v>
      </c>
      <c r="J256" s="879"/>
      <c r="K256" s="49">
        <f t="shared" si="42"/>
        <v>1</v>
      </c>
      <c r="L256" s="879"/>
      <c r="M256" s="49">
        <f t="shared" si="43"/>
        <v>1</v>
      </c>
      <c r="N256" s="879"/>
      <c r="O256" s="49">
        <f t="shared" si="44"/>
        <v>1</v>
      </c>
      <c r="P256" s="879"/>
      <c r="Q256" s="49">
        <f t="shared" si="45"/>
        <v>1</v>
      </c>
      <c r="R256" s="49">
        <f t="shared" si="46"/>
        <v>0</v>
      </c>
      <c r="S256" s="734">
        <f t="shared" si="47"/>
        <v>0</v>
      </c>
    </row>
    <row r="257" spans="1:19">
      <c r="A257" s="880"/>
      <c r="B257" s="126"/>
      <c r="C257" s="49">
        <f t="shared" si="38"/>
        <v>1</v>
      </c>
      <c r="D257" s="879"/>
      <c r="E257" s="49">
        <f t="shared" si="39"/>
        <v>1</v>
      </c>
      <c r="F257" s="879"/>
      <c r="G257" s="49">
        <f t="shared" si="40"/>
        <v>1</v>
      </c>
      <c r="H257" s="879"/>
      <c r="I257" s="49">
        <f t="shared" si="41"/>
        <v>1</v>
      </c>
      <c r="J257" s="879"/>
      <c r="K257" s="49">
        <f t="shared" si="42"/>
        <v>1</v>
      </c>
      <c r="L257" s="879"/>
      <c r="M257" s="49">
        <f t="shared" si="43"/>
        <v>1</v>
      </c>
      <c r="N257" s="879"/>
      <c r="O257" s="49">
        <f t="shared" si="44"/>
        <v>1</v>
      </c>
      <c r="P257" s="879"/>
      <c r="Q257" s="49">
        <f t="shared" si="45"/>
        <v>1</v>
      </c>
      <c r="R257" s="49">
        <f t="shared" si="46"/>
        <v>0</v>
      </c>
      <c r="S257" s="734">
        <f t="shared" si="47"/>
        <v>0</v>
      </c>
    </row>
    <row r="258" spans="1:19">
      <c r="A258" s="880"/>
      <c r="B258" s="126"/>
      <c r="C258" s="49">
        <f t="shared" si="38"/>
        <v>1</v>
      </c>
      <c r="D258" s="879"/>
      <c r="E258" s="49">
        <f t="shared" si="39"/>
        <v>1</v>
      </c>
      <c r="F258" s="879"/>
      <c r="G258" s="49">
        <f t="shared" si="40"/>
        <v>1</v>
      </c>
      <c r="H258" s="879"/>
      <c r="I258" s="49">
        <f t="shared" si="41"/>
        <v>1</v>
      </c>
      <c r="J258" s="879"/>
      <c r="K258" s="49">
        <f t="shared" si="42"/>
        <v>1</v>
      </c>
      <c r="L258" s="879"/>
      <c r="M258" s="49">
        <f t="shared" si="43"/>
        <v>1</v>
      </c>
      <c r="N258" s="879"/>
      <c r="O258" s="49">
        <f t="shared" si="44"/>
        <v>1</v>
      </c>
      <c r="P258" s="879"/>
      <c r="Q258" s="49">
        <f t="shared" si="45"/>
        <v>1</v>
      </c>
      <c r="R258" s="49">
        <f t="shared" si="46"/>
        <v>0</v>
      </c>
      <c r="S258" s="734">
        <f t="shared" si="47"/>
        <v>0</v>
      </c>
    </row>
    <row r="259" spans="1:19">
      <c r="A259" s="880"/>
      <c r="B259" s="126"/>
      <c r="C259" s="49">
        <f t="shared" si="38"/>
        <v>1</v>
      </c>
      <c r="D259" s="879"/>
      <c r="E259" s="49">
        <f t="shared" si="39"/>
        <v>1</v>
      </c>
      <c r="F259" s="879"/>
      <c r="G259" s="49">
        <f t="shared" si="40"/>
        <v>1</v>
      </c>
      <c r="H259" s="879"/>
      <c r="I259" s="49">
        <f t="shared" si="41"/>
        <v>1</v>
      </c>
      <c r="J259" s="879"/>
      <c r="K259" s="49">
        <f t="shared" si="42"/>
        <v>1</v>
      </c>
      <c r="L259" s="879"/>
      <c r="M259" s="49">
        <f t="shared" si="43"/>
        <v>1</v>
      </c>
      <c r="N259" s="879"/>
      <c r="O259" s="49">
        <f t="shared" si="44"/>
        <v>1</v>
      </c>
      <c r="P259" s="879"/>
      <c r="Q259" s="49">
        <f t="shared" si="45"/>
        <v>1</v>
      </c>
      <c r="R259" s="49">
        <f t="shared" si="46"/>
        <v>0</v>
      </c>
      <c r="S259" s="734">
        <f t="shared" si="47"/>
        <v>0</v>
      </c>
    </row>
    <row r="260" spans="1:19">
      <c r="A260" s="880"/>
      <c r="B260" s="126"/>
      <c r="C260" s="49">
        <f t="shared" si="38"/>
        <v>1</v>
      </c>
      <c r="D260" s="879"/>
      <c r="E260" s="49">
        <f t="shared" si="39"/>
        <v>1</v>
      </c>
      <c r="F260" s="879"/>
      <c r="G260" s="49">
        <f t="shared" si="40"/>
        <v>1</v>
      </c>
      <c r="H260" s="879"/>
      <c r="I260" s="49">
        <f t="shared" si="41"/>
        <v>1</v>
      </c>
      <c r="J260" s="879"/>
      <c r="K260" s="49">
        <f t="shared" si="42"/>
        <v>1</v>
      </c>
      <c r="L260" s="879"/>
      <c r="M260" s="49">
        <f t="shared" si="43"/>
        <v>1</v>
      </c>
      <c r="N260" s="879"/>
      <c r="O260" s="49">
        <f t="shared" si="44"/>
        <v>1</v>
      </c>
      <c r="P260" s="879"/>
      <c r="Q260" s="49">
        <f t="shared" si="45"/>
        <v>1</v>
      </c>
      <c r="R260" s="49">
        <f t="shared" si="46"/>
        <v>0</v>
      </c>
      <c r="S260" s="734">
        <f t="shared" si="47"/>
        <v>0</v>
      </c>
    </row>
    <row r="261" spans="1:19">
      <c r="A261" s="880"/>
      <c r="B261" s="126"/>
      <c r="C261" s="49">
        <f t="shared" si="38"/>
        <v>1</v>
      </c>
      <c r="D261" s="879"/>
      <c r="E261" s="49">
        <f t="shared" si="39"/>
        <v>1</v>
      </c>
      <c r="F261" s="879"/>
      <c r="G261" s="49">
        <f t="shared" si="40"/>
        <v>1</v>
      </c>
      <c r="H261" s="879"/>
      <c r="I261" s="49">
        <f t="shared" si="41"/>
        <v>1</v>
      </c>
      <c r="J261" s="879"/>
      <c r="K261" s="49">
        <f t="shared" si="42"/>
        <v>1</v>
      </c>
      <c r="L261" s="879"/>
      <c r="M261" s="49">
        <f t="shared" si="43"/>
        <v>1</v>
      </c>
      <c r="N261" s="879"/>
      <c r="O261" s="49">
        <f t="shared" si="44"/>
        <v>1</v>
      </c>
      <c r="P261" s="879"/>
      <c r="Q261" s="49">
        <f t="shared" si="45"/>
        <v>1</v>
      </c>
      <c r="R261" s="49">
        <f t="shared" si="46"/>
        <v>0</v>
      </c>
      <c r="S261" s="734">
        <f t="shared" si="47"/>
        <v>0</v>
      </c>
    </row>
    <row r="262" spans="1:19">
      <c r="A262" s="880"/>
      <c r="B262" s="126"/>
      <c r="C262" s="49">
        <f t="shared" si="38"/>
        <v>1</v>
      </c>
      <c r="D262" s="879"/>
      <c r="E262" s="49">
        <f t="shared" si="39"/>
        <v>1</v>
      </c>
      <c r="F262" s="879"/>
      <c r="G262" s="49">
        <f t="shared" si="40"/>
        <v>1</v>
      </c>
      <c r="H262" s="879"/>
      <c r="I262" s="49">
        <f t="shared" si="41"/>
        <v>1</v>
      </c>
      <c r="J262" s="879"/>
      <c r="K262" s="49">
        <f t="shared" si="42"/>
        <v>1</v>
      </c>
      <c r="L262" s="879"/>
      <c r="M262" s="49">
        <f t="shared" si="43"/>
        <v>1</v>
      </c>
      <c r="N262" s="879"/>
      <c r="O262" s="49">
        <f t="shared" si="44"/>
        <v>1</v>
      </c>
      <c r="P262" s="879"/>
      <c r="Q262" s="49">
        <f t="shared" si="45"/>
        <v>1</v>
      </c>
      <c r="R262" s="49">
        <f t="shared" si="46"/>
        <v>0</v>
      </c>
      <c r="S262" s="734">
        <f t="shared" si="47"/>
        <v>0</v>
      </c>
    </row>
    <row r="263" spans="1:19">
      <c r="A263" s="880"/>
      <c r="B263" s="126"/>
      <c r="C263" s="49">
        <f t="shared" si="38"/>
        <v>1</v>
      </c>
      <c r="D263" s="879"/>
      <c r="E263" s="49">
        <f t="shared" si="39"/>
        <v>1</v>
      </c>
      <c r="F263" s="879"/>
      <c r="G263" s="49">
        <f t="shared" si="40"/>
        <v>1</v>
      </c>
      <c r="H263" s="879"/>
      <c r="I263" s="49">
        <f t="shared" si="41"/>
        <v>1</v>
      </c>
      <c r="J263" s="879"/>
      <c r="K263" s="49">
        <f t="shared" si="42"/>
        <v>1</v>
      </c>
      <c r="L263" s="879"/>
      <c r="M263" s="49">
        <f t="shared" si="43"/>
        <v>1</v>
      </c>
      <c r="N263" s="879"/>
      <c r="O263" s="49">
        <f t="shared" si="44"/>
        <v>1</v>
      </c>
      <c r="P263" s="879"/>
      <c r="Q263" s="49">
        <f t="shared" si="45"/>
        <v>1</v>
      </c>
      <c r="R263" s="49">
        <f t="shared" si="46"/>
        <v>0</v>
      </c>
      <c r="S263" s="734">
        <f t="shared" si="47"/>
        <v>0</v>
      </c>
    </row>
    <row r="264" spans="1:19">
      <c r="A264" s="880"/>
      <c r="B264" s="126"/>
      <c r="C264" s="49">
        <f t="shared" si="38"/>
        <v>1</v>
      </c>
      <c r="D264" s="879"/>
      <c r="E264" s="49">
        <f t="shared" si="39"/>
        <v>1</v>
      </c>
      <c r="F264" s="879"/>
      <c r="G264" s="49">
        <f t="shared" si="40"/>
        <v>1</v>
      </c>
      <c r="H264" s="879"/>
      <c r="I264" s="49">
        <f t="shared" si="41"/>
        <v>1</v>
      </c>
      <c r="J264" s="879"/>
      <c r="K264" s="49">
        <f t="shared" si="42"/>
        <v>1</v>
      </c>
      <c r="L264" s="879"/>
      <c r="M264" s="49">
        <f t="shared" si="43"/>
        <v>1</v>
      </c>
      <c r="N264" s="879"/>
      <c r="O264" s="49">
        <f t="shared" si="44"/>
        <v>1</v>
      </c>
      <c r="P264" s="879"/>
      <c r="Q264" s="49">
        <f t="shared" si="45"/>
        <v>1</v>
      </c>
      <c r="R264" s="49">
        <f t="shared" si="46"/>
        <v>0</v>
      </c>
      <c r="S264" s="734">
        <f t="shared" si="47"/>
        <v>0</v>
      </c>
    </row>
    <row r="265" spans="1:19">
      <c r="A265" s="880"/>
      <c r="B265" s="126"/>
      <c r="C265" s="49">
        <f t="shared" si="38"/>
        <v>1</v>
      </c>
      <c r="D265" s="879"/>
      <c r="E265" s="49">
        <f t="shared" si="39"/>
        <v>1</v>
      </c>
      <c r="F265" s="879"/>
      <c r="G265" s="49">
        <f t="shared" si="40"/>
        <v>1</v>
      </c>
      <c r="H265" s="879"/>
      <c r="I265" s="49">
        <f t="shared" si="41"/>
        <v>1</v>
      </c>
      <c r="J265" s="879"/>
      <c r="K265" s="49">
        <f t="shared" si="42"/>
        <v>1</v>
      </c>
      <c r="L265" s="879"/>
      <c r="M265" s="49">
        <f t="shared" si="43"/>
        <v>1</v>
      </c>
      <c r="N265" s="879"/>
      <c r="O265" s="49">
        <f t="shared" si="44"/>
        <v>1</v>
      </c>
      <c r="P265" s="879"/>
      <c r="Q265" s="49">
        <f t="shared" si="45"/>
        <v>1</v>
      </c>
      <c r="R265" s="49">
        <f t="shared" si="46"/>
        <v>0</v>
      </c>
      <c r="S265" s="734">
        <f t="shared" si="47"/>
        <v>0</v>
      </c>
    </row>
    <row r="266" spans="1:19">
      <c r="A266" s="880"/>
      <c r="B266" s="126"/>
      <c r="C266" s="49">
        <f t="shared" si="38"/>
        <v>1</v>
      </c>
      <c r="D266" s="879"/>
      <c r="E266" s="49">
        <f t="shared" si="39"/>
        <v>1</v>
      </c>
      <c r="F266" s="879"/>
      <c r="G266" s="49">
        <f t="shared" si="40"/>
        <v>1</v>
      </c>
      <c r="H266" s="879"/>
      <c r="I266" s="49">
        <f t="shared" si="41"/>
        <v>1</v>
      </c>
      <c r="J266" s="879"/>
      <c r="K266" s="49">
        <f t="shared" si="42"/>
        <v>1</v>
      </c>
      <c r="L266" s="879"/>
      <c r="M266" s="49">
        <f t="shared" si="43"/>
        <v>1</v>
      </c>
      <c r="N266" s="879"/>
      <c r="O266" s="49">
        <f t="shared" si="44"/>
        <v>1</v>
      </c>
      <c r="P266" s="879"/>
      <c r="Q266" s="49">
        <f t="shared" si="45"/>
        <v>1</v>
      </c>
      <c r="R266" s="49">
        <f t="shared" si="46"/>
        <v>0</v>
      </c>
      <c r="S266" s="734">
        <f t="shared" si="47"/>
        <v>0</v>
      </c>
    </row>
    <row r="267" spans="1:19">
      <c r="A267" s="880"/>
      <c r="B267" s="126"/>
      <c r="C267" s="49">
        <f t="shared" si="38"/>
        <v>1</v>
      </c>
      <c r="D267" s="879"/>
      <c r="E267" s="49">
        <f t="shared" si="39"/>
        <v>1</v>
      </c>
      <c r="F267" s="879"/>
      <c r="G267" s="49">
        <f t="shared" si="40"/>
        <v>1</v>
      </c>
      <c r="H267" s="879"/>
      <c r="I267" s="49">
        <f t="shared" si="41"/>
        <v>1</v>
      </c>
      <c r="J267" s="879"/>
      <c r="K267" s="49">
        <f t="shared" si="42"/>
        <v>1</v>
      </c>
      <c r="L267" s="879"/>
      <c r="M267" s="49">
        <f t="shared" si="43"/>
        <v>1</v>
      </c>
      <c r="N267" s="879"/>
      <c r="O267" s="49">
        <f t="shared" si="44"/>
        <v>1</v>
      </c>
      <c r="P267" s="879"/>
      <c r="Q267" s="49">
        <f t="shared" si="45"/>
        <v>1</v>
      </c>
      <c r="R267" s="49">
        <f t="shared" si="46"/>
        <v>0</v>
      </c>
      <c r="S267" s="734">
        <f t="shared" si="47"/>
        <v>0</v>
      </c>
    </row>
    <row r="268" spans="1:19">
      <c r="A268" s="880"/>
      <c r="B268" s="126"/>
      <c r="C268" s="49">
        <f t="shared" si="38"/>
        <v>1</v>
      </c>
      <c r="D268" s="879"/>
      <c r="E268" s="49">
        <f t="shared" si="39"/>
        <v>1</v>
      </c>
      <c r="F268" s="879"/>
      <c r="G268" s="49">
        <f t="shared" si="40"/>
        <v>1</v>
      </c>
      <c r="H268" s="879"/>
      <c r="I268" s="49">
        <f t="shared" si="41"/>
        <v>1</v>
      </c>
      <c r="J268" s="879"/>
      <c r="K268" s="49">
        <f t="shared" si="42"/>
        <v>1</v>
      </c>
      <c r="L268" s="879"/>
      <c r="M268" s="49">
        <f t="shared" si="43"/>
        <v>1</v>
      </c>
      <c r="N268" s="879"/>
      <c r="O268" s="49">
        <f t="shared" si="44"/>
        <v>1</v>
      </c>
      <c r="P268" s="879"/>
      <c r="Q268" s="49">
        <f t="shared" si="45"/>
        <v>1</v>
      </c>
      <c r="R268" s="49">
        <f t="shared" si="46"/>
        <v>0</v>
      </c>
      <c r="S268" s="734">
        <f t="shared" si="47"/>
        <v>0</v>
      </c>
    </row>
    <row r="269" spans="1:19">
      <c r="A269" s="880"/>
      <c r="B269" s="126"/>
      <c r="C269" s="49">
        <f t="shared" si="38"/>
        <v>1</v>
      </c>
      <c r="D269" s="879"/>
      <c r="E269" s="49">
        <f t="shared" si="39"/>
        <v>1</v>
      </c>
      <c r="F269" s="879"/>
      <c r="G269" s="49">
        <f t="shared" si="40"/>
        <v>1</v>
      </c>
      <c r="H269" s="879"/>
      <c r="I269" s="49">
        <f t="shared" si="41"/>
        <v>1</v>
      </c>
      <c r="J269" s="879"/>
      <c r="K269" s="49">
        <f t="shared" si="42"/>
        <v>1</v>
      </c>
      <c r="L269" s="879"/>
      <c r="M269" s="49">
        <f t="shared" si="43"/>
        <v>1</v>
      </c>
      <c r="N269" s="879"/>
      <c r="O269" s="49">
        <f t="shared" si="44"/>
        <v>1</v>
      </c>
      <c r="P269" s="879"/>
      <c r="Q269" s="49">
        <f t="shared" si="45"/>
        <v>1</v>
      </c>
      <c r="R269" s="49">
        <f t="shared" si="46"/>
        <v>0</v>
      </c>
      <c r="S269" s="734">
        <f t="shared" si="47"/>
        <v>0</v>
      </c>
    </row>
    <row r="270" spans="1:19">
      <c r="A270" s="880"/>
      <c r="B270" s="126"/>
      <c r="C270" s="49">
        <f t="shared" si="38"/>
        <v>1</v>
      </c>
      <c r="D270" s="879"/>
      <c r="E270" s="49">
        <f t="shared" si="39"/>
        <v>1</v>
      </c>
      <c r="F270" s="879"/>
      <c r="G270" s="49">
        <f t="shared" si="40"/>
        <v>1</v>
      </c>
      <c r="H270" s="879"/>
      <c r="I270" s="49">
        <f t="shared" si="41"/>
        <v>1</v>
      </c>
      <c r="J270" s="879"/>
      <c r="K270" s="49">
        <f t="shared" si="42"/>
        <v>1</v>
      </c>
      <c r="L270" s="879"/>
      <c r="M270" s="49">
        <f t="shared" si="43"/>
        <v>1</v>
      </c>
      <c r="N270" s="879"/>
      <c r="O270" s="49">
        <f t="shared" si="44"/>
        <v>1</v>
      </c>
      <c r="P270" s="879"/>
      <c r="Q270" s="49">
        <f t="shared" si="45"/>
        <v>1</v>
      </c>
      <c r="R270" s="49">
        <f t="shared" si="46"/>
        <v>0</v>
      </c>
      <c r="S270" s="734">
        <f t="shared" si="47"/>
        <v>0</v>
      </c>
    </row>
    <row r="271" spans="1:19">
      <c r="A271" s="880"/>
      <c r="B271" s="126"/>
      <c r="C271" s="49">
        <f t="shared" si="38"/>
        <v>1</v>
      </c>
      <c r="D271" s="879"/>
      <c r="E271" s="49">
        <f t="shared" si="39"/>
        <v>1</v>
      </c>
      <c r="F271" s="879"/>
      <c r="G271" s="49">
        <f t="shared" si="40"/>
        <v>1</v>
      </c>
      <c r="H271" s="879"/>
      <c r="I271" s="49">
        <f t="shared" si="41"/>
        <v>1</v>
      </c>
      <c r="J271" s="879"/>
      <c r="K271" s="49">
        <f t="shared" si="42"/>
        <v>1</v>
      </c>
      <c r="L271" s="879"/>
      <c r="M271" s="49">
        <f t="shared" si="43"/>
        <v>1</v>
      </c>
      <c r="N271" s="879"/>
      <c r="O271" s="49">
        <f t="shared" si="44"/>
        <v>1</v>
      </c>
      <c r="P271" s="879"/>
      <c r="Q271" s="49">
        <f t="shared" si="45"/>
        <v>1</v>
      </c>
      <c r="R271" s="49">
        <f t="shared" si="46"/>
        <v>0</v>
      </c>
      <c r="S271" s="734">
        <f t="shared" si="47"/>
        <v>0</v>
      </c>
    </row>
    <row r="272" spans="1:19">
      <c r="A272" s="880"/>
      <c r="B272" s="126"/>
      <c r="C272" s="49">
        <f t="shared" si="38"/>
        <v>1</v>
      </c>
      <c r="D272" s="879"/>
      <c r="E272" s="49">
        <f t="shared" si="39"/>
        <v>1</v>
      </c>
      <c r="F272" s="879"/>
      <c r="G272" s="49">
        <f t="shared" si="40"/>
        <v>1</v>
      </c>
      <c r="H272" s="879"/>
      <c r="I272" s="49">
        <f t="shared" si="41"/>
        <v>1</v>
      </c>
      <c r="J272" s="879"/>
      <c r="K272" s="49">
        <f t="shared" si="42"/>
        <v>1</v>
      </c>
      <c r="L272" s="879"/>
      <c r="M272" s="49">
        <f t="shared" si="43"/>
        <v>1</v>
      </c>
      <c r="N272" s="879"/>
      <c r="O272" s="49">
        <f t="shared" si="44"/>
        <v>1</v>
      </c>
      <c r="P272" s="879"/>
      <c r="Q272" s="49">
        <f t="shared" si="45"/>
        <v>1</v>
      </c>
      <c r="R272" s="49">
        <f t="shared" si="46"/>
        <v>0</v>
      </c>
      <c r="S272" s="734">
        <f t="shared" si="47"/>
        <v>0</v>
      </c>
    </row>
    <row r="273" spans="1:19">
      <c r="A273" s="880"/>
      <c r="B273" s="126"/>
      <c r="C273" s="49">
        <f t="shared" si="38"/>
        <v>1</v>
      </c>
      <c r="D273" s="879"/>
      <c r="E273" s="49">
        <f t="shared" si="39"/>
        <v>1</v>
      </c>
      <c r="F273" s="879"/>
      <c r="G273" s="49">
        <f t="shared" si="40"/>
        <v>1</v>
      </c>
      <c r="H273" s="879"/>
      <c r="I273" s="49">
        <f t="shared" si="41"/>
        <v>1</v>
      </c>
      <c r="J273" s="879"/>
      <c r="K273" s="49">
        <f t="shared" si="42"/>
        <v>1</v>
      </c>
      <c r="L273" s="879"/>
      <c r="M273" s="49">
        <f t="shared" si="43"/>
        <v>1</v>
      </c>
      <c r="N273" s="879"/>
      <c r="O273" s="49">
        <f t="shared" si="44"/>
        <v>1</v>
      </c>
      <c r="P273" s="879"/>
      <c r="Q273" s="49">
        <f t="shared" si="45"/>
        <v>1</v>
      </c>
      <c r="R273" s="49">
        <f t="shared" si="46"/>
        <v>0</v>
      </c>
      <c r="S273" s="734">
        <f t="shared" si="47"/>
        <v>0</v>
      </c>
    </row>
    <row r="274" spans="1:19">
      <c r="A274" s="880"/>
      <c r="B274" s="126"/>
      <c r="C274" s="49">
        <f t="shared" si="38"/>
        <v>1</v>
      </c>
      <c r="D274" s="879"/>
      <c r="E274" s="49">
        <f t="shared" si="39"/>
        <v>1</v>
      </c>
      <c r="F274" s="879"/>
      <c r="G274" s="49">
        <f t="shared" si="40"/>
        <v>1</v>
      </c>
      <c r="H274" s="879"/>
      <c r="I274" s="49">
        <f t="shared" si="41"/>
        <v>1</v>
      </c>
      <c r="J274" s="879"/>
      <c r="K274" s="49">
        <f t="shared" si="42"/>
        <v>1</v>
      </c>
      <c r="L274" s="879"/>
      <c r="M274" s="49">
        <f t="shared" si="43"/>
        <v>1</v>
      </c>
      <c r="N274" s="879"/>
      <c r="O274" s="49">
        <f t="shared" si="44"/>
        <v>1</v>
      </c>
      <c r="P274" s="879"/>
      <c r="Q274" s="49">
        <f t="shared" si="45"/>
        <v>1</v>
      </c>
      <c r="R274" s="49">
        <f t="shared" si="46"/>
        <v>0</v>
      </c>
      <c r="S274" s="734">
        <f t="shared" si="47"/>
        <v>0</v>
      </c>
    </row>
    <row r="275" spans="1:19">
      <c r="A275" s="880"/>
      <c r="B275" s="126"/>
      <c r="C275" s="49">
        <f t="shared" si="38"/>
        <v>1</v>
      </c>
      <c r="D275" s="879"/>
      <c r="E275" s="49">
        <f t="shared" si="39"/>
        <v>1</v>
      </c>
      <c r="F275" s="879"/>
      <c r="G275" s="49">
        <f t="shared" si="40"/>
        <v>1</v>
      </c>
      <c r="H275" s="879"/>
      <c r="I275" s="49">
        <f t="shared" si="41"/>
        <v>1</v>
      </c>
      <c r="J275" s="879"/>
      <c r="K275" s="49">
        <f t="shared" si="42"/>
        <v>1</v>
      </c>
      <c r="L275" s="879"/>
      <c r="M275" s="49">
        <f t="shared" si="43"/>
        <v>1</v>
      </c>
      <c r="N275" s="879"/>
      <c r="O275" s="49">
        <f t="shared" si="44"/>
        <v>1</v>
      </c>
      <c r="P275" s="879"/>
      <c r="Q275" s="49">
        <f t="shared" si="45"/>
        <v>1</v>
      </c>
      <c r="R275" s="49">
        <f t="shared" si="46"/>
        <v>0</v>
      </c>
      <c r="S275" s="734">
        <f t="shared" si="47"/>
        <v>0</v>
      </c>
    </row>
    <row r="276" spans="1:19">
      <c r="A276" s="880"/>
      <c r="B276" s="126"/>
      <c r="C276" s="49">
        <f t="shared" si="38"/>
        <v>1</v>
      </c>
      <c r="D276" s="879"/>
      <c r="E276" s="49">
        <f t="shared" si="39"/>
        <v>1</v>
      </c>
      <c r="F276" s="879"/>
      <c r="G276" s="49">
        <f t="shared" si="40"/>
        <v>1</v>
      </c>
      <c r="H276" s="879"/>
      <c r="I276" s="49">
        <f t="shared" si="41"/>
        <v>1</v>
      </c>
      <c r="J276" s="879"/>
      <c r="K276" s="49">
        <f t="shared" si="42"/>
        <v>1</v>
      </c>
      <c r="L276" s="879"/>
      <c r="M276" s="49">
        <f t="shared" si="43"/>
        <v>1</v>
      </c>
      <c r="N276" s="879"/>
      <c r="O276" s="49">
        <f t="shared" si="44"/>
        <v>1</v>
      </c>
      <c r="P276" s="879"/>
      <c r="Q276" s="49">
        <f t="shared" si="45"/>
        <v>1</v>
      </c>
      <c r="R276" s="49">
        <f t="shared" si="46"/>
        <v>0</v>
      </c>
      <c r="S276" s="734">
        <f t="shared" si="47"/>
        <v>0</v>
      </c>
    </row>
    <row r="277" spans="1:19">
      <c r="A277" s="880"/>
      <c r="B277" s="126"/>
      <c r="C277" s="49">
        <f t="shared" si="38"/>
        <v>1</v>
      </c>
      <c r="D277" s="879"/>
      <c r="E277" s="49">
        <f t="shared" si="39"/>
        <v>1</v>
      </c>
      <c r="F277" s="879"/>
      <c r="G277" s="49">
        <f t="shared" si="40"/>
        <v>1</v>
      </c>
      <c r="H277" s="879"/>
      <c r="I277" s="49">
        <f t="shared" si="41"/>
        <v>1</v>
      </c>
      <c r="J277" s="879"/>
      <c r="K277" s="49">
        <f t="shared" si="42"/>
        <v>1</v>
      </c>
      <c r="L277" s="879"/>
      <c r="M277" s="49">
        <f t="shared" si="43"/>
        <v>1</v>
      </c>
      <c r="N277" s="879"/>
      <c r="O277" s="49">
        <f t="shared" si="44"/>
        <v>1</v>
      </c>
      <c r="P277" s="879"/>
      <c r="Q277" s="49">
        <f t="shared" si="45"/>
        <v>1</v>
      </c>
      <c r="R277" s="49">
        <f t="shared" si="46"/>
        <v>0</v>
      </c>
      <c r="S277" s="734">
        <f t="shared" si="47"/>
        <v>0</v>
      </c>
    </row>
    <row r="278" spans="1:19">
      <c r="A278" s="880"/>
      <c r="B278" s="126"/>
      <c r="C278" s="49">
        <f t="shared" si="38"/>
        <v>1</v>
      </c>
      <c r="D278" s="879"/>
      <c r="E278" s="49">
        <f t="shared" si="39"/>
        <v>1</v>
      </c>
      <c r="F278" s="879"/>
      <c r="G278" s="49">
        <f t="shared" si="40"/>
        <v>1</v>
      </c>
      <c r="H278" s="879"/>
      <c r="I278" s="49">
        <f t="shared" si="41"/>
        <v>1</v>
      </c>
      <c r="J278" s="879"/>
      <c r="K278" s="49">
        <f t="shared" si="42"/>
        <v>1</v>
      </c>
      <c r="L278" s="879"/>
      <c r="M278" s="49">
        <f t="shared" si="43"/>
        <v>1</v>
      </c>
      <c r="N278" s="879"/>
      <c r="O278" s="49">
        <f t="shared" si="44"/>
        <v>1</v>
      </c>
      <c r="P278" s="879"/>
      <c r="Q278" s="49">
        <f t="shared" si="45"/>
        <v>1</v>
      </c>
      <c r="R278" s="49">
        <f t="shared" si="46"/>
        <v>0</v>
      </c>
      <c r="S278" s="734">
        <f t="shared" si="47"/>
        <v>0</v>
      </c>
    </row>
    <row r="279" spans="1:19">
      <c r="A279" s="880"/>
      <c r="B279" s="126"/>
      <c r="C279" s="49">
        <f t="shared" si="38"/>
        <v>1</v>
      </c>
      <c r="D279" s="879"/>
      <c r="E279" s="49">
        <f t="shared" si="39"/>
        <v>1</v>
      </c>
      <c r="F279" s="879"/>
      <c r="G279" s="49">
        <f t="shared" si="40"/>
        <v>1</v>
      </c>
      <c r="H279" s="879"/>
      <c r="I279" s="49">
        <f t="shared" si="41"/>
        <v>1</v>
      </c>
      <c r="J279" s="879"/>
      <c r="K279" s="49">
        <f t="shared" si="42"/>
        <v>1</v>
      </c>
      <c r="L279" s="879"/>
      <c r="M279" s="49">
        <f t="shared" si="43"/>
        <v>1</v>
      </c>
      <c r="N279" s="879"/>
      <c r="O279" s="49">
        <f t="shared" si="44"/>
        <v>1</v>
      </c>
      <c r="P279" s="879"/>
      <c r="Q279" s="49">
        <f t="shared" si="45"/>
        <v>1</v>
      </c>
      <c r="R279" s="49">
        <f t="shared" si="46"/>
        <v>0</v>
      </c>
      <c r="S279" s="734">
        <f t="shared" si="47"/>
        <v>0</v>
      </c>
    </row>
    <row r="280" spans="1:19">
      <c r="A280" s="880"/>
      <c r="B280" s="126"/>
      <c r="C280" s="49">
        <f t="shared" si="38"/>
        <v>1</v>
      </c>
      <c r="D280" s="879"/>
      <c r="E280" s="49">
        <f t="shared" si="39"/>
        <v>1</v>
      </c>
      <c r="F280" s="879"/>
      <c r="G280" s="49">
        <f t="shared" si="40"/>
        <v>1</v>
      </c>
      <c r="H280" s="879"/>
      <c r="I280" s="49">
        <f t="shared" si="41"/>
        <v>1</v>
      </c>
      <c r="J280" s="879"/>
      <c r="K280" s="49">
        <f t="shared" si="42"/>
        <v>1</v>
      </c>
      <c r="L280" s="879"/>
      <c r="M280" s="49">
        <f t="shared" si="43"/>
        <v>1</v>
      </c>
      <c r="N280" s="879"/>
      <c r="O280" s="49">
        <f t="shared" si="44"/>
        <v>1</v>
      </c>
      <c r="P280" s="879"/>
      <c r="Q280" s="49">
        <f t="shared" si="45"/>
        <v>1</v>
      </c>
      <c r="R280" s="49">
        <f t="shared" si="46"/>
        <v>0</v>
      </c>
      <c r="S280" s="734">
        <f t="shared" si="47"/>
        <v>0</v>
      </c>
    </row>
    <row r="281" spans="1:19">
      <c r="A281" s="880"/>
      <c r="B281" s="126"/>
      <c r="C281" s="49">
        <f t="shared" si="38"/>
        <v>1</v>
      </c>
      <c r="D281" s="879"/>
      <c r="E281" s="49">
        <f t="shared" si="39"/>
        <v>1</v>
      </c>
      <c r="F281" s="879"/>
      <c r="G281" s="49">
        <f t="shared" si="40"/>
        <v>1</v>
      </c>
      <c r="H281" s="879"/>
      <c r="I281" s="49">
        <f t="shared" si="41"/>
        <v>1</v>
      </c>
      <c r="J281" s="879"/>
      <c r="K281" s="49">
        <f t="shared" si="42"/>
        <v>1</v>
      </c>
      <c r="L281" s="879"/>
      <c r="M281" s="49">
        <f t="shared" si="43"/>
        <v>1</v>
      </c>
      <c r="N281" s="879"/>
      <c r="O281" s="49">
        <f t="shared" si="44"/>
        <v>1</v>
      </c>
      <c r="P281" s="879"/>
      <c r="Q281" s="49">
        <f t="shared" si="45"/>
        <v>1</v>
      </c>
      <c r="R281" s="49">
        <f t="shared" si="46"/>
        <v>0</v>
      </c>
      <c r="S281" s="734">
        <f t="shared" si="47"/>
        <v>0</v>
      </c>
    </row>
    <row r="282" spans="1:19">
      <c r="A282" s="880"/>
      <c r="B282" s="126"/>
      <c r="C282" s="49">
        <f t="shared" ref="C282:C345" si="48">IF(B282="",1,(LOOKUP(B282,$3:$3,$4:$4)-LOOKUP($B$24,$3:$3,$4:$4)+100)/100)</f>
        <v>1</v>
      </c>
      <c r="D282" s="879"/>
      <c r="E282" s="49">
        <f t="shared" ref="E282:E345" si="49">(SUMIF($5:$5,D282,$6:$6)-SUMIF($5:$5,$D$24,$6:$6)+100)/100</f>
        <v>1</v>
      </c>
      <c r="F282" s="879"/>
      <c r="G282" s="49">
        <f t="shared" ref="G282:G345" si="50">(SUMIF($7:$7,F282,$8:$8)-SUMIF($7:$7,$F$24,$8:$8)+100)/100</f>
        <v>1</v>
      </c>
      <c r="H282" s="879"/>
      <c r="I282" s="49">
        <f t="shared" ref="I282:I345" si="51">(SUMIF($9:$9,H282,$10:$10)-SUMIF($9:$9,$H$24,$10:$10)+100)/100</f>
        <v>1</v>
      </c>
      <c r="J282" s="879"/>
      <c r="K282" s="49">
        <f t="shared" ref="K282:K345" si="52">(SUMIF($11:$11,J282,$12:$12)-SUMIF($11:$11,$J$24,$12:$12)+100)/100</f>
        <v>1</v>
      </c>
      <c r="L282" s="879"/>
      <c r="M282" s="49">
        <f t="shared" ref="M282:M345" si="53">(SUMIF($13:$13,L282,$14:$14)-SUMIF($13:$13,$L$24,$14:$14)+100)/100</f>
        <v>1</v>
      </c>
      <c r="N282" s="879"/>
      <c r="O282" s="49">
        <f t="shared" ref="O282:O345" si="54">(SUMIF($15:$15,N282,$16:$16)-SUMIF($15:$15,$N$24,$16:$16)+100)/100</f>
        <v>1</v>
      </c>
      <c r="P282" s="879"/>
      <c r="Q282" s="49">
        <f t="shared" ref="Q282:Q345" si="55">(SUMIF($17:$17,P282,$18:$18)-SUMIF($17:$17,$P$24,$18:$18)+100)/100</f>
        <v>1</v>
      </c>
      <c r="R282" s="49">
        <f t="shared" ref="R282:R345" si="56">IF(B282="",0,ROUND($R$24*C282*E282*G282*I282*K282*M282*O282*Q282,0))</f>
        <v>0</v>
      </c>
      <c r="S282" s="734">
        <f t="shared" si="47"/>
        <v>0</v>
      </c>
    </row>
    <row r="283" spans="1:19">
      <c r="A283" s="880"/>
      <c r="B283" s="126"/>
      <c r="C283" s="49">
        <f t="shared" si="48"/>
        <v>1</v>
      </c>
      <c r="D283" s="879"/>
      <c r="E283" s="49">
        <f t="shared" si="49"/>
        <v>1</v>
      </c>
      <c r="F283" s="879"/>
      <c r="G283" s="49">
        <f t="shared" si="50"/>
        <v>1</v>
      </c>
      <c r="H283" s="879"/>
      <c r="I283" s="49">
        <f t="shared" si="51"/>
        <v>1</v>
      </c>
      <c r="J283" s="879"/>
      <c r="K283" s="49">
        <f t="shared" si="52"/>
        <v>1</v>
      </c>
      <c r="L283" s="879"/>
      <c r="M283" s="49">
        <f t="shared" si="53"/>
        <v>1</v>
      </c>
      <c r="N283" s="879"/>
      <c r="O283" s="49">
        <f t="shared" si="54"/>
        <v>1</v>
      </c>
      <c r="P283" s="879"/>
      <c r="Q283" s="49">
        <f t="shared" si="55"/>
        <v>1</v>
      </c>
      <c r="R283" s="49">
        <f t="shared" si="56"/>
        <v>0</v>
      </c>
      <c r="S283" s="734">
        <f t="shared" si="47"/>
        <v>0</v>
      </c>
    </row>
    <row r="284" spans="1:19">
      <c r="A284" s="880"/>
      <c r="B284" s="126"/>
      <c r="C284" s="49">
        <f t="shared" si="48"/>
        <v>1</v>
      </c>
      <c r="D284" s="879"/>
      <c r="E284" s="49">
        <f t="shared" si="49"/>
        <v>1</v>
      </c>
      <c r="F284" s="879"/>
      <c r="G284" s="49">
        <f t="shared" si="50"/>
        <v>1</v>
      </c>
      <c r="H284" s="879"/>
      <c r="I284" s="49">
        <f t="shared" si="51"/>
        <v>1</v>
      </c>
      <c r="J284" s="879"/>
      <c r="K284" s="49">
        <f t="shared" si="52"/>
        <v>1</v>
      </c>
      <c r="L284" s="879"/>
      <c r="M284" s="49">
        <f t="shared" si="53"/>
        <v>1</v>
      </c>
      <c r="N284" s="879"/>
      <c r="O284" s="49">
        <f t="shared" si="54"/>
        <v>1</v>
      </c>
      <c r="P284" s="879"/>
      <c r="Q284" s="49">
        <f t="shared" si="55"/>
        <v>1</v>
      </c>
      <c r="R284" s="49">
        <f t="shared" si="56"/>
        <v>0</v>
      </c>
      <c r="S284" s="734">
        <f t="shared" si="47"/>
        <v>0</v>
      </c>
    </row>
    <row r="285" spans="1:19">
      <c r="A285" s="880"/>
      <c r="B285" s="126"/>
      <c r="C285" s="49">
        <f t="shared" si="48"/>
        <v>1</v>
      </c>
      <c r="D285" s="879"/>
      <c r="E285" s="49">
        <f t="shared" si="49"/>
        <v>1</v>
      </c>
      <c r="F285" s="879"/>
      <c r="G285" s="49">
        <f t="shared" si="50"/>
        <v>1</v>
      </c>
      <c r="H285" s="879"/>
      <c r="I285" s="49">
        <f t="shared" si="51"/>
        <v>1</v>
      </c>
      <c r="J285" s="879"/>
      <c r="K285" s="49">
        <f t="shared" si="52"/>
        <v>1</v>
      </c>
      <c r="L285" s="879"/>
      <c r="M285" s="49">
        <f t="shared" si="53"/>
        <v>1</v>
      </c>
      <c r="N285" s="879"/>
      <c r="O285" s="49">
        <f t="shared" si="54"/>
        <v>1</v>
      </c>
      <c r="P285" s="879"/>
      <c r="Q285" s="49">
        <f t="shared" si="55"/>
        <v>1</v>
      </c>
      <c r="R285" s="49">
        <f t="shared" si="56"/>
        <v>0</v>
      </c>
      <c r="S285" s="734">
        <f t="shared" si="47"/>
        <v>0</v>
      </c>
    </row>
    <row r="286" spans="1:19">
      <c r="A286" s="880"/>
      <c r="B286" s="126"/>
      <c r="C286" s="49">
        <f t="shared" si="48"/>
        <v>1</v>
      </c>
      <c r="D286" s="879"/>
      <c r="E286" s="49">
        <f t="shared" si="49"/>
        <v>1</v>
      </c>
      <c r="F286" s="879"/>
      <c r="G286" s="49">
        <f t="shared" si="50"/>
        <v>1</v>
      </c>
      <c r="H286" s="879"/>
      <c r="I286" s="49">
        <f t="shared" si="51"/>
        <v>1</v>
      </c>
      <c r="J286" s="879"/>
      <c r="K286" s="49">
        <f t="shared" si="52"/>
        <v>1</v>
      </c>
      <c r="L286" s="879"/>
      <c r="M286" s="49">
        <f t="shared" si="53"/>
        <v>1</v>
      </c>
      <c r="N286" s="879"/>
      <c r="O286" s="49">
        <f t="shared" si="54"/>
        <v>1</v>
      </c>
      <c r="P286" s="879"/>
      <c r="Q286" s="49">
        <f t="shared" si="55"/>
        <v>1</v>
      </c>
      <c r="R286" s="49">
        <f t="shared" si="56"/>
        <v>0</v>
      </c>
      <c r="S286" s="734">
        <f t="shared" si="47"/>
        <v>0</v>
      </c>
    </row>
    <row r="287" spans="1:19">
      <c r="A287" s="880"/>
      <c r="B287" s="126"/>
      <c r="C287" s="49">
        <f t="shared" si="48"/>
        <v>1</v>
      </c>
      <c r="D287" s="879"/>
      <c r="E287" s="49">
        <f t="shared" si="49"/>
        <v>1</v>
      </c>
      <c r="F287" s="879"/>
      <c r="G287" s="49">
        <f t="shared" si="50"/>
        <v>1</v>
      </c>
      <c r="H287" s="879"/>
      <c r="I287" s="49">
        <f t="shared" si="51"/>
        <v>1</v>
      </c>
      <c r="J287" s="879"/>
      <c r="K287" s="49">
        <f t="shared" si="52"/>
        <v>1</v>
      </c>
      <c r="L287" s="879"/>
      <c r="M287" s="49">
        <f t="shared" si="53"/>
        <v>1</v>
      </c>
      <c r="N287" s="879"/>
      <c r="O287" s="49">
        <f t="shared" si="54"/>
        <v>1</v>
      </c>
      <c r="P287" s="879"/>
      <c r="Q287" s="49">
        <f t="shared" si="55"/>
        <v>1</v>
      </c>
      <c r="R287" s="49">
        <f t="shared" si="56"/>
        <v>0</v>
      </c>
      <c r="S287" s="734">
        <f t="shared" ref="S287:S320" si="57">ROUND(R287*B287/10000,0)</f>
        <v>0</v>
      </c>
    </row>
    <row r="288" spans="1:19">
      <c r="A288" s="880"/>
      <c r="B288" s="126"/>
      <c r="C288" s="49">
        <f t="shared" si="48"/>
        <v>1</v>
      </c>
      <c r="D288" s="879"/>
      <c r="E288" s="49">
        <f t="shared" si="49"/>
        <v>1</v>
      </c>
      <c r="F288" s="879"/>
      <c r="G288" s="49">
        <f t="shared" si="50"/>
        <v>1</v>
      </c>
      <c r="H288" s="879"/>
      <c r="I288" s="49">
        <f t="shared" si="51"/>
        <v>1</v>
      </c>
      <c r="J288" s="879"/>
      <c r="K288" s="49">
        <f t="shared" si="52"/>
        <v>1</v>
      </c>
      <c r="L288" s="879"/>
      <c r="M288" s="49">
        <f t="shared" si="53"/>
        <v>1</v>
      </c>
      <c r="N288" s="879"/>
      <c r="O288" s="49">
        <f t="shared" si="54"/>
        <v>1</v>
      </c>
      <c r="P288" s="879"/>
      <c r="Q288" s="49">
        <f t="shared" si="55"/>
        <v>1</v>
      </c>
      <c r="R288" s="49">
        <f t="shared" si="56"/>
        <v>0</v>
      </c>
      <c r="S288" s="734">
        <f t="shared" si="57"/>
        <v>0</v>
      </c>
    </row>
    <row r="289" spans="1:19">
      <c r="A289" s="880"/>
      <c r="B289" s="126"/>
      <c r="C289" s="49">
        <f t="shared" si="48"/>
        <v>1</v>
      </c>
      <c r="D289" s="879"/>
      <c r="E289" s="49">
        <f t="shared" si="49"/>
        <v>1</v>
      </c>
      <c r="F289" s="879"/>
      <c r="G289" s="49">
        <f t="shared" si="50"/>
        <v>1</v>
      </c>
      <c r="H289" s="879"/>
      <c r="I289" s="49">
        <f t="shared" si="51"/>
        <v>1</v>
      </c>
      <c r="J289" s="879"/>
      <c r="K289" s="49">
        <f t="shared" si="52"/>
        <v>1</v>
      </c>
      <c r="L289" s="879"/>
      <c r="M289" s="49">
        <f t="shared" si="53"/>
        <v>1</v>
      </c>
      <c r="N289" s="879"/>
      <c r="O289" s="49">
        <f t="shared" si="54"/>
        <v>1</v>
      </c>
      <c r="P289" s="879"/>
      <c r="Q289" s="49">
        <f t="shared" si="55"/>
        <v>1</v>
      </c>
      <c r="R289" s="49">
        <f t="shared" si="56"/>
        <v>0</v>
      </c>
      <c r="S289" s="734">
        <f t="shared" si="57"/>
        <v>0</v>
      </c>
    </row>
    <row r="290" spans="1:19">
      <c r="A290" s="880"/>
      <c r="B290" s="126"/>
      <c r="C290" s="49">
        <f t="shared" si="48"/>
        <v>1</v>
      </c>
      <c r="D290" s="879"/>
      <c r="E290" s="49">
        <f t="shared" si="49"/>
        <v>1</v>
      </c>
      <c r="F290" s="879"/>
      <c r="G290" s="49">
        <f t="shared" si="50"/>
        <v>1</v>
      </c>
      <c r="H290" s="879"/>
      <c r="I290" s="49">
        <f t="shared" si="51"/>
        <v>1</v>
      </c>
      <c r="J290" s="879"/>
      <c r="K290" s="49">
        <f t="shared" si="52"/>
        <v>1</v>
      </c>
      <c r="L290" s="879"/>
      <c r="M290" s="49">
        <f t="shared" si="53"/>
        <v>1</v>
      </c>
      <c r="N290" s="879"/>
      <c r="O290" s="49">
        <f t="shared" si="54"/>
        <v>1</v>
      </c>
      <c r="P290" s="879"/>
      <c r="Q290" s="49">
        <f t="shared" si="55"/>
        <v>1</v>
      </c>
      <c r="R290" s="49">
        <f t="shared" si="56"/>
        <v>0</v>
      </c>
      <c r="S290" s="734">
        <f t="shared" si="57"/>
        <v>0</v>
      </c>
    </row>
    <row r="291" spans="1:19">
      <c r="A291" s="880"/>
      <c r="B291" s="126"/>
      <c r="C291" s="49">
        <f t="shared" si="48"/>
        <v>1</v>
      </c>
      <c r="D291" s="879"/>
      <c r="E291" s="49">
        <f t="shared" si="49"/>
        <v>1</v>
      </c>
      <c r="F291" s="879"/>
      <c r="G291" s="49">
        <f t="shared" si="50"/>
        <v>1</v>
      </c>
      <c r="H291" s="879"/>
      <c r="I291" s="49">
        <f t="shared" si="51"/>
        <v>1</v>
      </c>
      <c r="J291" s="879"/>
      <c r="K291" s="49">
        <f t="shared" si="52"/>
        <v>1</v>
      </c>
      <c r="L291" s="879"/>
      <c r="M291" s="49">
        <f t="shared" si="53"/>
        <v>1</v>
      </c>
      <c r="N291" s="879"/>
      <c r="O291" s="49">
        <f t="shared" si="54"/>
        <v>1</v>
      </c>
      <c r="P291" s="879"/>
      <c r="Q291" s="49">
        <f t="shared" si="55"/>
        <v>1</v>
      </c>
      <c r="R291" s="49">
        <f t="shared" si="56"/>
        <v>0</v>
      </c>
      <c r="S291" s="734">
        <f t="shared" si="57"/>
        <v>0</v>
      </c>
    </row>
    <row r="292" spans="1:19">
      <c r="A292" s="880"/>
      <c r="B292" s="126"/>
      <c r="C292" s="49">
        <f t="shared" si="48"/>
        <v>1</v>
      </c>
      <c r="D292" s="879"/>
      <c r="E292" s="49">
        <f t="shared" si="49"/>
        <v>1</v>
      </c>
      <c r="F292" s="879"/>
      <c r="G292" s="49">
        <f t="shared" si="50"/>
        <v>1</v>
      </c>
      <c r="H292" s="879"/>
      <c r="I292" s="49">
        <f t="shared" si="51"/>
        <v>1</v>
      </c>
      <c r="J292" s="879"/>
      <c r="K292" s="49">
        <f t="shared" si="52"/>
        <v>1</v>
      </c>
      <c r="L292" s="879"/>
      <c r="M292" s="49">
        <f t="shared" si="53"/>
        <v>1</v>
      </c>
      <c r="N292" s="879"/>
      <c r="O292" s="49">
        <f t="shared" si="54"/>
        <v>1</v>
      </c>
      <c r="P292" s="879"/>
      <c r="Q292" s="49">
        <f t="shared" si="55"/>
        <v>1</v>
      </c>
      <c r="R292" s="49">
        <f t="shared" si="56"/>
        <v>0</v>
      </c>
      <c r="S292" s="734">
        <f t="shared" si="57"/>
        <v>0</v>
      </c>
    </row>
    <row r="293" spans="1:19">
      <c r="A293" s="880"/>
      <c r="B293" s="126"/>
      <c r="C293" s="49">
        <f t="shared" si="48"/>
        <v>1</v>
      </c>
      <c r="D293" s="879"/>
      <c r="E293" s="49">
        <f t="shared" si="49"/>
        <v>1</v>
      </c>
      <c r="F293" s="879"/>
      <c r="G293" s="49">
        <f t="shared" si="50"/>
        <v>1</v>
      </c>
      <c r="H293" s="879"/>
      <c r="I293" s="49">
        <f t="shared" si="51"/>
        <v>1</v>
      </c>
      <c r="J293" s="879"/>
      <c r="K293" s="49">
        <f t="shared" si="52"/>
        <v>1</v>
      </c>
      <c r="L293" s="879"/>
      <c r="M293" s="49">
        <f t="shared" si="53"/>
        <v>1</v>
      </c>
      <c r="N293" s="879"/>
      <c r="O293" s="49">
        <f t="shared" si="54"/>
        <v>1</v>
      </c>
      <c r="P293" s="879"/>
      <c r="Q293" s="49">
        <f t="shared" si="55"/>
        <v>1</v>
      </c>
      <c r="R293" s="49">
        <f t="shared" si="56"/>
        <v>0</v>
      </c>
      <c r="S293" s="734">
        <f t="shared" si="57"/>
        <v>0</v>
      </c>
    </row>
    <row r="294" spans="1:19">
      <c r="A294" s="880"/>
      <c r="B294" s="126"/>
      <c r="C294" s="49">
        <f t="shared" si="48"/>
        <v>1</v>
      </c>
      <c r="D294" s="879"/>
      <c r="E294" s="49">
        <f t="shared" si="49"/>
        <v>1</v>
      </c>
      <c r="F294" s="879"/>
      <c r="G294" s="49">
        <f t="shared" si="50"/>
        <v>1</v>
      </c>
      <c r="H294" s="879"/>
      <c r="I294" s="49">
        <f t="shared" si="51"/>
        <v>1</v>
      </c>
      <c r="J294" s="879"/>
      <c r="K294" s="49">
        <f t="shared" si="52"/>
        <v>1</v>
      </c>
      <c r="L294" s="879"/>
      <c r="M294" s="49">
        <f t="shared" si="53"/>
        <v>1</v>
      </c>
      <c r="N294" s="879"/>
      <c r="O294" s="49">
        <f t="shared" si="54"/>
        <v>1</v>
      </c>
      <c r="P294" s="879"/>
      <c r="Q294" s="49">
        <f t="shared" si="55"/>
        <v>1</v>
      </c>
      <c r="R294" s="49">
        <f t="shared" si="56"/>
        <v>0</v>
      </c>
      <c r="S294" s="734">
        <f t="shared" si="57"/>
        <v>0</v>
      </c>
    </row>
    <row r="295" spans="1:19">
      <c r="A295" s="880"/>
      <c r="B295" s="126"/>
      <c r="C295" s="49">
        <f t="shared" si="48"/>
        <v>1</v>
      </c>
      <c r="D295" s="879"/>
      <c r="E295" s="49">
        <f t="shared" si="49"/>
        <v>1</v>
      </c>
      <c r="F295" s="879"/>
      <c r="G295" s="49">
        <f t="shared" si="50"/>
        <v>1</v>
      </c>
      <c r="H295" s="879"/>
      <c r="I295" s="49">
        <f t="shared" si="51"/>
        <v>1</v>
      </c>
      <c r="J295" s="879"/>
      <c r="K295" s="49">
        <f t="shared" si="52"/>
        <v>1</v>
      </c>
      <c r="L295" s="879"/>
      <c r="M295" s="49">
        <f t="shared" si="53"/>
        <v>1</v>
      </c>
      <c r="N295" s="879"/>
      <c r="O295" s="49">
        <f t="shared" si="54"/>
        <v>1</v>
      </c>
      <c r="P295" s="879"/>
      <c r="Q295" s="49">
        <f t="shared" si="55"/>
        <v>1</v>
      </c>
      <c r="R295" s="49">
        <f t="shared" si="56"/>
        <v>0</v>
      </c>
      <c r="S295" s="734">
        <f t="shared" si="57"/>
        <v>0</v>
      </c>
    </row>
    <row r="296" spans="1:19">
      <c r="A296" s="880"/>
      <c r="B296" s="126"/>
      <c r="C296" s="49">
        <f t="shared" si="48"/>
        <v>1</v>
      </c>
      <c r="D296" s="879"/>
      <c r="E296" s="49">
        <f t="shared" si="49"/>
        <v>1</v>
      </c>
      <c r="F296" s="879"/>
      <c r="G296" s="49">
        <f t="shared" si="50"/>
        <v>1</v>
      </c>
      <c r="H296" s="879"/>
      <c r="I296" s="49">
        <f t="shared" si="51"/>
        <v>1</v>
      </c>
      <c r="J296" s="879"/>
      <c r="K296" s="49">
        <f t="shared" si="52"/>
        <v>1</v>
      </c>
      <c r="L296" s="879"/>
      <c r="M296" s="49">
        <f t="shared" si="53"/>
        <v>1</v>
      </c>
      <c r="N296" s="879"/>
      <c r="O296" s="49">
        <f t="shared" si="54"/>
        <v>1</v>
      </c>
      <c r="P296" s="879"/>
      <c r="Q296" s="49">
        <f t="shared" si="55"/>
        <v>1</v>
      </c>
      <c r="R296" s="49">
        <f t="shared" si="56"/>
        <v>0</v>
      </c>
      <c r="S296" s="734">
        <f t="shared" si="57"/>
        <v>0</v>
      </c>
    </row>
    <row r="297" spans="1:19">
      <c r="A297" s="880"/>
      <c r="B297" s="126"/>
      <c r="C297" s="49">
        <f t="shared" si="48"/>
        <v>1</v>
      </c>
      <c r="D297" s="879"/>
      <c r="E297" s="49">
        <f t="shared" si="49"/>
        <v>1</v>
      </c>
      <c r="F297" s="879"/>
      <c r="G297" s="49">
        <f t="shared" si="50"/>
        <v>1</v>
      </c>
      <c r="H297" s="879"/>
      <c r="I297" s="49">
        <f t="shared" si="51"/>
        <v>1</v>
      </c>
      <c r="J297" s="879"/>
      <c r="K297" s="49">
        <f t="shared" si="52"/>
        <v>1</v>
      </c>
      <c r="L297" s="879"/>
      <c r="M297" s="49">
        <f t="shared" si="53"/>
        <v>1</v>
      </c>
      <c r="N297" s="879"/>
      <c r="O297" s="49">
        <f t="shared" si="54"/>
        <v>1</v>
      </c>
      <c r="P297" s="879"/>
      <c r="Q297" s="49">
        <f t="shared" si="55"/>
        <v>1</v>
      </c>
      <c r="R297" s="49">
        <f t="shared" si="56"/>
        <v>0</v>
      </c>
      <c r="S297" s="734">
        <f t="shared" si="57"/>
        <v>0</v>
      </c>
    </row>
    <row r="298" spans="1:19">
      <c r="A298" s="880"/>
      <c r="B298" s="126"/>
      <c r="C298" s="49">
        <f t="shared" si="48"/>
        <v>1</v>
      </c>
      <c r="D298" s="879"/>
      <c r="E298" s="49">
        <f t="shared" si="49"/>
        <v>1</v>
      </c>
      <c r="F298" s="879"/>
      <c r="G298" s="49">
        <f t="shared" si="50"/>
        <v>1</v>
      </c>
      <c r="H298" s="879"/>
      <c r="I298" s="49">
        <f t="shared" si="51"/>
        <v>1</v>
      </c>
      <c r="J298" s="879"/>
      <c r="K298" s="49">
        <f t="shared" si="52"/>
        <v>1</v>
      </c>
      <c r="L298" s="879"/>
      <c r="M298" s="49">
        <f t="shared" si="53"/>
        <v>1</v>
      </c>
      <c r="N298" s="879"/>
      <c r="O298" s="49">
        <f t="shared" si="54"/>
        <v>1</v>
      </c>
      <c r="P298" s="879"/>
      <c r="Q298" s="49">
        <f t="shared" si="55"/>
        <v>1</v>
      </c>
      <c r="R298" s="49">
        <f t="shared" si="56"/>
        <v>0</v>
      </c>
      <c r="S298" s="734">
        <f t="shared" si="57"/>
        <v>0</v>
      </c>
    </row>
    <row r="299" spans="1:19">
      <c r="A299" s="880"/>
      <c r="B299" s="126"/>
      <c r="C299" s="49">
        <f t="shared" si="48"/>
        <v>1</v>
      </c>
      <c r="D299" s="879"/>
      <c r="E299" s="49">
        <f t="shared" si="49"/>
        <v>1</v>
      </c>
      <c r="F299" s="879"/>
      <c r="G299" s="49">
        <f t="shared" si="50"/>
        <v>1</v>
      </c>
      <c r="H299" s="879"/>
      <c r="I299" s="49">
        <f t="shared" si="51"/>
        <v>1</v>
      </c>
      <c r="J299" s="879"/>
      <c r="K299" s="49">
        <f t="shared" si="52"/>
        <v>1</v>
      </c>
      <c r="L299" s="879"/>
      <c r="M299" s="49">
        <f t="shared" si="53"/>
        <v>1</v>
      </c>
      <c r="N299" s="879"/>
      <c r="O299" s="49">
        <f t="shared" si="54"/>
        <v>1</v>
      </c>
      <c r="P299" s="879"/>
      <c r="Q299" s="49">
        <f t="shared" si="55"/>
        <v>1</v>
      </c>
      <c r="R299" s="49">
        <f t="shared" si="56"/>
        <v>0</v>
      </c>
      <c r="S299" s="734">
        <f t="shared" si="57"/>
        <v>0</v>
      </c>
    </row>
    <row r="300" spans="1:19">
      <c r="A300" s="880"/>
      <c r="B300" s="126"/>
      <c r="C300" s="49">
        <f t="shared" si="48"/>
        <v>1</v>
      </c>
      <c r="D300" s="879"/>
      <c r="E300" s="49">
        <f t="shared" si="49"/>
        <v>1</v>
      </c>
      <c r="F300" s="879"/>
      <c r="G300" s="49">
        <f t="shared" si="50"/>
        <v>1</v>
      </c>
      <c r="H300" s="879"/>
      <c r="I300" s="49">
        <f t="shared" si="51"/>
        <v>1</v>
      </c>
      <c r="J300" s="879"/>
      <c r="K300" s="49">
        <f t="shared" si="52"/>
        <v>1</v>
      </c>
      <c r="L300" s="879"/>
      <c r="M300" s="49">
        <f t="shared" si="53"/>
        <v>1</v>
      </c>
      <c r="N300" s="879"/>
      <c r="O300" s="49">
        <f t="shared" si="54"/>
        <v>1</v>
      </c>
      <c r="P300" s="879"/>
      <c r="Q300" s="49">
        <f t="shared" si="55"/>
        <v>1</v>
      </c>
      <c r="R300" s="49">
        <f t="shared" si="56"/>
        <v>0</v>
      </c>
      <c r="S300" s="734">
        <f t="shared" si="57"/>
        <v>0</v>
      </c>
    </row>
    <row r="301" spans="1:19">
      <c r="A301" s="880"/>
      <c r="B301" s="126"/>
      <c r="C301" s="49">
        <f t="shared" si="48"/>
        <v>1</v>
      </c>
      <c r="D301" s="879"/>
      <c r="E301" s="49">
        <f t="shared" si="49"/>
        <v>1</v>
      </c>
      <c r="F301" s="879"/>
      <c r="G301" s="49">
        <f t="shared" si="50"/>
        <v>1</v>
      </c>
      <c r="H301" s="879"/>
      <c r="I301" s="49">
        <f t="shared" si="51"/>
        <v>1</v>
      </c>
      <c r="J301" s="879"/>
      <c r="K301" s="49">
        <f t="shared" si="52"/>
        <v>1</v>
      </c>
      <c r="L301" s="879"/>
      <c r="M301" s="49">
        <f t="shared" si="53"/>
        <v>1</v>
      </c>
      <c r="N301" s="879"/>
      <c r="O301" s="49">
        <f t="shared" si="54"/>
        <v>1</v>
      </c>
      <c r="P301" s="879"/>
      <c r="Q301" s="49">
        <f t="shared" si="55"/>
        <v>1</v>
      </c>
      <c r="R301" s="49">
        <f t="shared" si="56"/>
        <v>0</v>
      </c>
      <c r="S301" s="734">
        <f t="shared" si="57"/>
        <v>0</v>
      </c>
    </row>
    <row r="302" spans="1:19">
      <c r="A302" s="880"/>
      <c r="B302" s="126"/>
      <c r="C302" s="49">
        <f t="shared" si="48"/>
        <v>1</v>
      </c>
      <c r="D302" s="879"/>
      <c r="E302" s="49">
        <f t="shared" si="49"/>
        <v>1</v>
      </c>
      <c r="F302" s="879"/>
      <c r="G302" s="49">
        <f t="shared" si="50"/>
        <v>1</v>
      </c>
      <c r="H302" s="879"/>
      <c r="I302" s="49">
        <f t="shared" si="51"/>
        <v>1</v>
      </c>
      <c r="J302" s="879"/>
      <c r="K302" s="49">
        <f t="shared" si="52"/>
        <v>1</v>
      </c>
      <c r="L302" s="879"/>
      <c r="M302" s="49">
        <f t="shared" si="53"/>
        <v>1</v>
      </c>
      <c r="N302" s="879"/>
      <c r="O302" s="49">
        <f t="shared" si="54"/>
        <v>1</v>
      </c>
      <c r="P302" s="879"/>
      <c r="Q302" s="49">
        <f t="shared" si="55"/>
        <v>1</v>
      </c>
      <c r="R302" s="49">
        <f t="shared" si="56"/>
        <v>0</v>
      </c>
      <c r="S302" s="734">
        <f t="shared" si="57"/>
        <v>0</v>
      </c>
    </row>
    <row r="303" spans="1:19">
      <c r="A303" s="880"/>
      <c r="B303" s="126"/>
      <c r="C303" s="49">
        <f t="shared" si="48"/>
        <v>1</v>
      </c>
      <c r="D303" s="879"/>
      <c r="E303" s="49">
        <f t="shared" si="49"/>
        <v>1</v>
      </c>
      <c r="F303" s="879"/>
      <c r="G303" s="49">
        <f t="shared" si="50"/>
        <v>1</v>
      </c>
      <c r="H303" s="879"/>
      <c r="I303" s="49">
        <f t="shared" si="51"/>
        <v>1</v>
      </c>
      <c r="J303" s="879"/>
      <c r="K303" s="49">
        <f t="shared" si="52"/>
        <v>1</v>
      </c>
      <c r="L303" s="879"/>
      <c r="M303" s="49">
        <f t="shared" si="53"/>
        <v>1</v>
      </c>
      <c r="N303" s="879"/>
      <c r="O303" s="49">
        <f t="shared" si="54"/>
        <v>1</v>
      </c>
      <c r="P303" s="879"/>
      <c r="Q303" s="49">
        <f t="shared" si="55"/>
        <v>1</v>
      </c>
      <c r="R303" s="49">
        <f t="shared" si="56"/>
        <v>0</v>
      </c>
      <c r="S303" s="734">
        <f t="shared" si="57"/>
        <v>0</v>
      </c>
    </row>
    <row r="304" spans="1:19">
      <c r="A304" s="880"/>
      <c r="B304" s="126"/>
      <c r="C304" s="49">
        <f t="shared" si="48"/>
        <v>1</v>
      </c>
      <c r="D304" s="879"/>
      <c r="E304" s="49">
        <f t="shared" si="49"/>
        <v>1</v>
      </c>
      <c r="F304" s="879"/>
      <c r="G304" s="49">
        <f t="shared" si="50"/>
        <v>1</v>
      </c>
      <c r="H304" s="879"/>
      <c r="I304" s="49">
        <f t="shared" si="51"/>
        <v>1</v>
      </c>
      <c r="J304" s="879"/>
      <c r="K304" s="49">
        <f t="shared" si="52"/>
        <v>1</v>
      </c>
      <c r="L304" s="879"/>
      <c r="M304" s="49">
        <f t="shared" si="53"/>
        <v>1</v>
      </c>
      <c r="N304" s="879"/>
      <c r="O304" s="49">
        <f t="shared" si="54"/>
        <v>1</v>
      </c>
      <c r="P304" s="879"/>
      <c r="Q304" s="49">
        <f t="shared" si="55"/>
        <v>1</v>
      </c>
      <c r="R304" s="49">
        <f t="shared" si="56"/>
        <v>0</v>
      </c>
      <c r="S304" s="734">
        <f t="shared" si="57"/>
        <v>0</v>
      </c>
    </row>
    <row r="305" spans="1:19">
      <c r="A305" s="880"/>
      <c r="B305" s="126"/>
      <c r="C305" s="49">
        <f t="shared" si="48"/>
        <v>1</v>
      </c>
      <c r="D305" s="879"/>
      <c r="E305" s="49">
        <f t="shared" si="49"/>
        <v>1</v>
      </c>
      <c r="F305" s="879"/>
      <c r="G305" s="49">
        <f t="shared" si="50"/>
        <v>1</v>
      </c>
      <c r="H305" s="879"/>
      <c r="I305" s="49">
        <f t="shared" si="51"/>
        <v>1</v>
      </c>
      <c r="J305" s="879"/>
      <c r="K305" s="49">
        <f t="shared" si="52"/>
        <v>1</v>
      </c>
      <c r="L305" s="879"/>
      <c r="M305" s="49">
        <f t="shared" si="53"/>
        <v>1</v>
      </c>
      <c r="N305" s="879"/>
      <c r="O305" s="49">
        <f t="shared" si="54"/>
        <v>1</v>
      </c>
      <c r="P305" s="879"/>
      <c r="Q305" s="49">
        <f t="shared" si="55"/>
        <v>1</v>
      </c>
      <c r="R305" s="49">
        <f t="shared" si="56"/>
        <v>0</v>
      </c>
      <c r="S305" s="734">
        <f t="shared" si="57"/>
        <v>0</v>
      </c>
    </row>
    <row r="306" spans="1:19">
      <c r="A306" s="880"/>
      <c r="B306" s="126"/>
      <c r="C306" s="49">
        <f t="shared" si="48"/>
        <v>1</v>
      </c>
      <c r="D306" s="879"/>
      <c r="E306" s="49">
        <f t="shared" si="49"/>
        <v>1</v>
      </c>
      <c r="F306" s="879"/>
      <c r="G306" s="49">
        <f t="shared" si="50"/>
        <v>1</v>
      </c>
      <c r="H306" s="879"/>
      <c r="I306" s="49">
        <f t="shared" si="51"/>
        <v>1</v>
      </c>
      <c r="J306" s="879"/>
      <c r="K306" s="49">
        <f t="shared" si="52"/>
        <v>1</v>
      </c>
      <c r="L306" s="879"/>
      <c r="M306" s="49">
        <f t="shared" si="53"/>
        <v>1</v>
      </c>
      <c r="N306" s="879"/>
      <c r="O306" s="49">
        <f t="shared" si="54"/>
        <v>1</v>
      </c>
      <c r="P306" s="879"/>
      <c r="Q306" s="49">
        <f t="shared" si="55"/>
        <v>1</v>
      </c>
      <c r="R306" s="49">
        <f t="shared" si="56"/>
        <v>0</v>
      </c>
      <c r="S306" s="734">
        <f t="shared" si="57"/>
        <v>0</v>
      </c>
    </row>
    <row r="307" spans="1:19">
      <c r="A307" s="880"/>
      <c r="B307" s="126"/>
      <c r="C307" s="49">
        <f t="shared" si="48"/>
        <v>1</v>
      </c>
      <c r="D307" s="879"/>
      <c r="E307" s="49">
        <f t="shared" si="49"/>
        <v>1</v>
      </c>
      <c r="F307" s="879"/>
      <c r="G307" s="49">
        <f t="shared" si="50"/>
        <v>1</v>
      </c>
      <c r="H307" s="879"/>
      <c r="I307" s="49">
        <f t="shared" si="51"/>
        <v>1</v>
      </c>
      <c r="J307" s="879"/>
      <c r="K307" s="49">
        <f t="shared" si="52"/>
        <v>1</v>
      </c>
      <c r="L307" s="879"/>
      <c r="M307" s="49">
        <f t="shared" si="53"/>
        <v>1</v>
      </c>
      <c r="N307" s="879"/>
      <c r="O307" s="49">
        <f t="shared" si="54"/>
        <v>1</v>
      </c>
      <c r="P307" s="879"/>
      <c r="Q307" s="49">
        <f t="shared" si="55"/>
        <v>1</v>
      </c>
      <c r="R307" s="49">
        <f t="shared" si="56"/>
        <v>0</v>
      </c>
      <c r="S307" s="734">
        <f t="shared" si="57"/>
        <v>0</v>
      </c>
    </row>
    <row r="308" spans="1:19">
      <c r="A308" s="880"/>
      <c r="B308" s="126"/>
      <c r="C308" s="49">
        <f t="shared" si="48"/>
        <v>1</v>
      </c>
      <c r="D308" s="879"/>
      <c r="E308" s="49">
        <f t="shared" si="49"/>
        <v>1</v>
      </c>
      <c r="F308" s="879"/>
      <c r="G308" s="49">
        <f t="shared" si="50"/>
        <v>1</v>
      </c>
      <c r="H308" s="879"/>
      <c r="I308" s="49">
        <f t="shared" si="51"/>
        <v>1</v>
      </c>
      <c r="J308" s="879"/>
      <c r="K308" s="49">
        <f t="shared" si="52"/>
        <v>1</v>
      </c>
      <c r="L308" s="879"/>
      <c r="M308" s="49">
        <f t="shared" si="53"/>
        <v>1</v>
      </c>
      <c r="N308" s="879"/>
      <c r="O308" s="49">
        <f t="shared" si="54"/>
        <v>1</v>
      </c>
      <c r="P308" s="879"/>
      <c r="Q308" s="49">
        <f t="shared" si="55"/>
        <v>1</v>
      </c>
      <c r="R308" s="49">
        <f t="shared" si="56"/>
        <v>0</v>
      </c>
      <c r="S308" s="734">
        <f t="shared" si="57"/>
        <v>0</v>
      </c>
    </row>
    <row r="309" spans="1:19">
      <c r="A309" s="880"/>
      <c r="B309" s="126"/>
      <c r="C309" s="49">
        <f t="shared" si="48"/>
        <v>1</v>
      </c>
      <c r="D309" s="879"/>
      <c r="E309" s="49">
        <f t="shared" si="49"/>
        <v>1</v>
      </c>
      <c r="F309" s="879"/>
      <c r="G309" s="49">
        <f t="shared" si="50"/>
        <v>1</v>
      </c>
      <c r="H309" s="879"/>
      <c r="I309" s="49">
        <f t="shared" si="51"/>
        <v>1</v>
      </c>
      <c r="J309" s="879"/>
      <c r="K309" s="49">
        <f t="shared" si="52"/>
        <v>1</v>
      </c>
      <c r="L309" s="879"/>
      <c r="M309" s="49">
        <f t="shared" si="53"/>
        <v>1</v>
      </c>
      <c r="N309" s="879"/>
      <c r="O309" s="49">
        <f t="shared" si="54"/>
        <v>1</v>
      </c>
      <c r="P309" s="879"/>
      <c r="Q309" s="49">
        <f t="shared" si="55"/>
        <v>1</v>
      </c>
      <c r="R309" s="49">
        <f t="shared" si="56"/>
        <v>0</v>
      </c>
      <c r="S309" s="734">
        <f t="shared" si="57"/>
        <v>0</v>
      </c>
    </row>
    <row r="310" spans="1:19">
      <c r="A310" s="880"/>
      <c r="B310" s="126"/>
      <c r="C310" s="49">
        <f t="shared" si="48"/>
        <v>1</v>
      </c>
      <c r="D310" s="879"/>
      <c r="E310" s="49">
        <f t="shared" si="49"/>
        <v>1</v>
      </c>
      <c r="F310" s="879"/>
      <c r="G310" s="49">
        <f t="shared" si="50"/>
        <v>1</v>
      </c>
      <c r="H310" s="879"/>
      <c r="I310" s="49">
        <f t="shared" si="51"/>
        <v>1</v>
      </c>
      <c r="J310" s="879"/>
      <c r="K310" s="49">
        <f t="shared" si="52"/>
        <v>1</v>
      </c>
      <c r="L310" s="879"/>
      <c r="M310" s="49">
        <f t="shared" si="53"/>
        <v>1</v>
      </c>
      <c r="N310" s="879"/>
      <c r="O310" s="49">
        <f t="shared" si="54"/>
        <v>1</v>
      </c>
      <c r="P310" s="879"/>
      <c r="Q310" s="49">
        <f t="shared" si="55"/>
        <v>1</v>
      </c>
      <c r="R310" s="49">
        <f t="shared" si="56"/>
        <v>0</v>
      </c>
      <c r="S310" s="734">
        <f t="shared" si="57"/>
        <v>0</v>
      </c>
    </row>
    <row r="311" spans="1:19">
      <c r="A311" s="880"/>
      <c r="B311" s="126"/>
      <c r="C311" s="49">
        <f t="shared" si="48"/>
        <v>1</v>
      </c>
      <c r="D311" s="879"/>
      <c r="E311" s="49">
        <f t="shared" si="49"/>
        <v>1</v>
      </c>
      <c r="F311" s="879"/>
      <c r="G311" s="49">
        <f t="shared" si="50"/>
        <v>1</v>
      </c>
      <c r="H311" s="879"/>
      <c r="I311" s="49">
        <f t="shared" si="51"/>
        <v>1</v>
      </c>
      <c r="J311" s="879"/>
      <c r="K311" s="49">
        <f t="shared" si="52"/>
        <v>1</v>
      </c>
      <c r="L311" s="879"/>
      <c r="M311" s="49">
        <f t="shared" si="53"/>
        <v>1</v>
      </c>
      <c r="N311" s="879"/>
      <c r="O311" s="49">
        <f t="shared" si="54"/>
        <v>1</v>
      </c>
      <c r="P311" s="879"/>
      <c r="Q311" s="49">
        <f t="shared" si="55"/>
        <v>1</v>
      </c>
      <c r="R311" s="49">
        <f t="shared" si="56"/>
        <v>0</v>
      </c>
      <c r="S311" s="734">
        <f t="shared" si="57"/>
        <v>0</v>
      </c>
    </row>
    <row r="312" spans="1:19">
      <c r="A312" s="880"/>
      <c r="B312" s="126"/>
      <c r="C312" s="49">
        <f t="shared" si="48"/>
        <v>1</v>
      </c>
      <c r="D312" s="879"/>
      <c r="E312" s="49">
        <f t="shared" si="49"/>
        <v>1</v>
      </c>
      <c r="F312" s="879"/>
      <c r="G312" s="49">
        <f t="shared" si="50"/>
        <v>1</v>
      </c>
      <c r="H312" s="879"/>
      <c r="I312" s="49">
        <f t="shared" si="51"/>
        <v>1</v>
      </c>
      <c r="J312" s="879"/>
      <c r="K312" s="49">
        <f t="shared" si="52"/>
        <v>1</v>
      </c>
      <c r="L312" s="879"/>
      <c r="M312" s="49">
        <f t="shared" si="53"/>
        <v>1</v>
      </c>
      <c r="N312" s="879"/>
      <c r="O312" s="49">
        <f t="shared" si="54"/>
        <v>1</v>
      </c>
      <c r="P312" s="879"/>
      <c r="Q312" s="49">
        <f t="shared" si="55"/>
        <v>1</v>
      </c>
      <c r="R312" s="49">
        <f t="shared" si="56"/>
        <v>0</v>
      </c>
      <c r="S312" s="734">
        <f t="shared" si="57"/>
        <v>0</v>
      </c>
    </row>
    <row r="313" spans="1:19">
      <c r="A313" s="880"/>
      <c r="B313" s="126"/>
      <c r="C313" s="49">
        <f t="shared" si="48"/>
        <v>1</v>
      </c>
      <c r="D313" s="879"/>
      <c r="E313" s="49">
        <f t="shared" si="49"/>
        <v>1</v>
      </c>
      <c r="F313" s="879"/>
      <c r="G313" s="49">
        <f t="shared" si="50"/>
        <v>1</v>
      </c>
      <c r="H313" s="879"/>
      <c r="I313" s="49">
        <f t="shared" si="51"/>
        <v>1</v>
      </c>
      <c r="J313" s="879"/>
      <c r="K313" s="49">
        <f t="shared" si="52"/>
        <v>1</v>
      </c>
      <c r="L313" s="879"/>
      <c r="M313" s="49">
        <f t="shared" si="53"/>
        <v>1</v>
      </c>
      <c r="N313" s="879"/>
      <c r="O313" s="49">
        <f t="shared" si="54"/>
        <v>1</v>
      </c>
      <c r="P313" s="879"/>
      <c r="Q313" s="49">
        <f t="shared" si="55"/>
        <v>1</v>
      </c>
      <c r="R313" s="49">
        <f t="shared" si="56"/>
        <v>0</v>
      </c>
      <c r="S313" s="734">
        <f t="shared" si="57"/>
        <v>0</v>
      </c>
    </row>
    <row r="314" spans="1:19">
      <c r="A314" s="880"/>
      <c r="B314" s="126"/>
      <c r="C314" s="49">
        <f t="shared" si="48"/>
        <v>1</v>
      </c>
      <c r="D314" s="879"/>
      <c r="E314" s="49">
        <f t="shared" si="49"/>
        <v>1</v>
      </c>
      <c r="F314" s="879"/>
      <c r="G314" s="49">
        <f t="shared" si="50"/>
        <v>1</v>
      </c>
      <c r="H314" s="879"/>
      <c r="I314" s="49">
        <f t="shared" si="51"/>
        <v>1</v>
      </c>
      <c r="J314" s="879"/>
      <c r="K314" s="49">
        <f t="shared" si="52"/>
        <v>1</v>
      </c>
      <c r="L314" s="879"/>
      <c r="M314" s="49">
        <f t="shared" si="53"/>
        <v>1</v>
      </c>
      <c r="N314" s="879"/>
      <c r="O314" s="49">
        <f t="shared" si="54"/>
        <v>1</v>
      </c>
      <c r="P314" s="879"/>
      <c r="Q314" s="49">
        <f t="shared" si="55"/>
        <v>1</v>
      </c>
      <c r="R314" s="49">
        <f t="shared" si="56"/>
        <v>0</v>
      </c>
      <c r="S314" s="734">
        <f t="shared" si="57"/>
        <v>0</v>
      </c>
    </row>
    <row r="315" spans="1:19">
      <c r="A315" s="880"/>
      <c r="B315" s="126"/>
      <c r="C315" s="49">
        <f t="shared" si="48"/>
        <v>1</v>
      </c>
      <c r="D315" s="879"/>
      <c r="E315" s="49">
        <f t="shared" si="49"/>
        <v>1</v>
      </c>
      <c r="F315" s="879"/>
      <c r="G315" s="49">
        <f t="shared" si="50"/>
        <v>1</v>
      </c>
      <c r="H315" s="879"/>
      <c r="I315" s="49">
        <f t="shared" si="51"/>
        <v>1</v>
      </c>
      <c r="J315" s="879"/>
      <c r="K315" s="49">
        <f t="shared" si="52"/>
        <v>1</v>
      </c>
      <c r="L315" s="879"/>
      <c r="M315" s="49">
        <f t="shared" si="53"/>
        <v>1</v>
      </c>
      <c r="N315" s="879"/>
      <c r="O315" s="49">
        <f t="shared" si="54"/>
        <v>1</v>
      </c>
      <c r="P315" s="879"/>
      <c r="Q315" s="49">
        <f t="shared" si="55"/>
        <v>1</v>
      </c>
      <c r="R315" s="49">
        <f t="shared" si="56"/>
        <v>0</v>
      </c>
      <c r="S315" s="734">
        <f t="shared" si="57"/>
        <v>0</v>
      </c>
    </row>
    <row r="316" spans="1:19">
      <c r="A316" s="880"/>
      <c r="B316" s="126"/>
      <c r="C316" s="49">
        <f t="shared" si="48"/>
        <v>1</v>
      </c>
      <c r="D316" s="879"/>
      <c r="E316" s="49">
        <f t="shared" si="49"/>
        <v>1</v>
      </c>
      <c r="F316" s="879"/>
      <c r="G316" s="49">
        <f t="shared" si="50"/>
        <v>1</v>
      </c>
      <c r="H316" s="879"/>
      <c r="I316" s="49">
        <f t="shared" si="51"/>
        <v>1</v>
      </c>
      <c r="J316" s="879"/>
      <c r="K316" s="49">
        <f t="shared" si="52"/>
        <v>1</v>
      </c>
      <c r="L316" s="879"/>
      <c r="M316" s="49">
        <f t="shared" si="53"/>
        <v>1</v>
      </c>
      <c r="N316" s="879"/>
      <c r="O316" s="49">
        <f t="shared" si="54"/>
        <v>1</v>
      </c>
      <c r="P316" s="879"/>
      <c r="Q316" s="49">
        <f t="shared" si="55"/>
        <v>1</v>
      </c>
      <c r="R316" s="49">
        <f t="shared" si="56"/>
        <v>0</v>
      </c>
      <c r="S316" s="734">
        <f t="shared" si="57"/>
        <v>0</v>
      </c>
    </row>
    <row r="317" spans="1:19">
      <c r="A317" s="880"/>
      <c r="B317" s="126"/>
      <c r="C317" s="49">
        <f t="shared" si="48"/>
        <v>1</v>
      </c>
      <c r="D317" s="879"/>
      <c r="E317" s="49">
        <f t="shared" si="49"/>
        <v>1</v>
      </c>
      <c r="F317" s="879"/>
      <c r="G317" s="49">
        <f t="shared" si="50"/>
        <v>1</v>
      </c>
      <c r="H317" s="879"/>
      <c r="I317" s="49">
        <f t="shared" si="51"/>
        <v>1</v>
      </c>
      <c r="J317" s="879"/>
      <c r="K317" s="49">
        <f t="shared" si="52"/>
        <v>1</v>
      </c>
      <c r="L317" s="879"/>
      <c r="M317" s="49">
        <f t="shared" si="53"/>
        <v>1</v>
      </c>
      <c r="N317" s="879"/>
      <c r="O317" s="49">
        <f t="shared" si="54"/>
        <v>1</v>
      </c>
      <c r="P317" s="879"/>
      <c r="Q317" s="49">
        <f t="shared" si="55"/>
        <v>1</v>
      </c>
      <c r="R317" s="49">
        <f t="shared" si="56"/>
        <v>0</v>
      </c>
      <c r="S317" s="734">
        <f t="shared" si="57"/>
        <v>0</v>
      </c>
    </row>
    <row r="318" spans="1:19">
      <c r="A318" s="880"/>
      <c r="B318" s="126"/>
      <c r="C318" s="49">
        <f t="shared" si="48"/>
        <v>1</v>
      </c>
      <c r="D318" s="879"/>
      <c r="E318" s="49">
        <f t="shared" si="49"/>
        <v>1</v>
      </c>
      <c r="F318" s="879"/>
      <c r="G318" s="49">
        <f t="shared" si="50"/>
        <v>1</v>
      </c>
      <c r="H318" s="879"/>
      <c r="I318" s="49">
        <f t="shared" si="51"/>
        <v>1</v>
      </c>
      <c r="J318" s="879"/>
      <c r="K318" s="49">
        <f t="shared" si="52"/>
        <v>1</v>
      </c>
      <c r="L318" s="879"/>
      <c r="M318" s="49">
        <f t="shared" si="53"/>
        <v>1</v>
      </c>
      <c r="N318" s="879"/>
      <c r="O318" s="49">
        <f t="shared" si="54"/>
        <v>1</v>
      </c>
      <c r="P318" s="879"/>
      <c r="Q318" s="49">
        <f t="shared" si="55"/>
        <v>1</v>
      </c>
      <c r="R318" s="49">
        <f t="shared" si="56"/>
        <v>0</v>
      </c>
      <c r="S318" s="734">
        <f t="shared" si="57"/>
        <v>0</v>
      </c>
    </row>
    <row r="319" spans="1:19">
      <c r="A319" s="880"/>
      <c r="B319" s="126"/>
      <c r="C319" s="49">
        <f t="shared" si="48"/>
        <v>1</v>
      </c>
      <c r="D319" s="879"/>
      <c r="E319" s="49">
        <f t="shared" si="49"/>
        <v>1</v>
      </c>
      <c r="F319" s="879"/>
      <c r="G319" s="49">
        <f t="shared" si="50"/>
        <v>1</v>
      </c>
      <c r="H319" s="879"/>
      <c r="I319" s="49">
        <f t="shared" si="51"/>
        <v>1</v>
      </c>
      <c r="J319" s="879"/>
      <c r="K319" s="49">
        <f t="shared" si="52"/>
        <v>1</v>
      </c>
      <c r="L319" s="879"/>
      <c r="M319" s="49">
        <f t="shared" si="53"/>
        <v>1</v>
      </c>
      <c r="N319" s="879"/>
      <c r="O319" s="49">
        <f t="shared" si="54"/>
        <v>1</v>
      </c>
      <c r="P319" s="879"/>
      <c r="Q319" s="49">
        <f t="shared" si="55"/>
        <v>1</v>
      </c>
      <c r="R319" s="49">
        <f t="shared" si="56"/>
        <v>0</v>
      </c>
      <c r="S319" s="734">
        <f t="shared" si="57"/>
        <v>0</v>
      </c>
    </row>
    <row r="320" spans="1:19">
      <c r="A320" s="880"/>
      <c r="B320" s="126"/>
      <c r="C320" s="49">
        <f t="shared" si="48"/>
        <v>1</v>
      </c>
      <c r="D320" s="879"/>
      <c r="E320" s="49">
        <f t="shared" si="49"/>
        <v>1</v>
      </c>
      <c r="F320" s="879"/>
      <c r="G320" s="49">
        <f t="shared" si="50"/>
        <v>1</v>
      </c>
      <c r="H320" s="879"/>
      <c r="I320" s="49">
        <f t="shared" si="51"/>
        <v>1</v>
      </c>
      <c r="J320" s="879"/>
      <c r="K320" s="49">
        <f t="shared" si="52"/>
        <v>1</v>
      </c>
      <c r="L320" s="879"/>
      <c r="M320" s="49">
        <f t="shared" si="53"/>
        <v>1</v>
      </c>
      <c r="N320" s="879"/>
      <c r="O320" s="49">
        <f t="shared" si="54"/>
        <v>1</v>
      </c>
      <c r="P320" s="879"/>
      <c r="Q320" s="49">
        <f t="shared" si="55"/>
        <v>1</v>
      </c>
      <c r="R320" s="49">
        <f t="shared" si="56"/>
        <v>0</v>
      </c>
      <c r="S320" s="734">
        <f t="shared" si="57"/>
        <v>0</v>
      </c>
    </row>
    <row r="321" spans="1:19">
      <c r="A321" s="880"/>
      <c r="B321" s="126"/>
      <c r="C321" s="49">
        <f t="shared" si="48"/>
        <v>1</v>
      </c>
      <c r="D321" s="879"/>
      <c r="E321" s="49">
        <f t="shared" si="49"/>
        <v>1</v>
      </c>
      <c r="F321" s="879"/>
      <c r="G321" s="49">
        <f t="shared" si="50"/>
        <v>1</v>
      </c>
      <c r="H321" s="879"/>
      <c r="I321" s="49">
        <f t="shared" si="51"/>
        <v>1</v>
      </c>
      <c r="J321" s="879"/>
      <c r="K321" s="49">
        <f t="shared" si="52"/>
        <v>1</v>
      </c>
      <c r="L321" s="879"/>
      <c r="M321" s="49">
        <f t="shared" si="53"/>
        <v>1</v>
      </c>
      <c r="N321" s="879"/>
      <c r="O321" s="49">
        <f t="shared" si="54"/>
        <v>1</v>
      </c>
      <c r="P321" s="879"/>
      <c r="Q321" s="49">
        <f t="shared" si="55"/>
        <v>1</v>
      </c>
      <c r="R321" s="49">
        <f t="shared" si="56"/>
        <v>0</v>
      </c>
      <c r="S321" s="734">
        <f t="shared" ref="S321:S384" si="58">ROUND(R321*B321/10000,0)</f>
        <v>0</v>
      </c>
    </row>
    <row r="322" spans="1:19">
      <c r="A322" s="880"/>
      <c r="B322" s="126"/>
      <c r="C322" s="49">
        <f t="shared" si="48"/>
        <v>1</v>
      </c>
      <c r="D322" s="879"/>
      <c r="E322" s="49">
        <f t="shared" si="49"/>
        <v>1</v>
      </c>
      <c r="F322" s="879"/>
      <c r="G322" s="49">
        <f t="shared" si="50"/>
        <v>1</v>
      </c>
      <c r="H322" s="879"/>
      <c r="I322" s="49">
        <f t="shared" si="51"/>
        <v>1</v>
      </c>
      <c r="J322" s="879"/>
      <c r="K322" s="49">
        <f t="shared" si="52"/>
        <v>1</v>
      </c>
      <c r="L322" s="879"/>
      <c r="M322" s="49">
        <f t="shared" si="53"/>
        <v>1</v>
      </c>
      <c r="N322" s="879"/>
      <c r="O322" s="49">
        <f t="shared" si="54"/>
        <v>1</v>
      </c>
      <c r="P322" s="879"/>
      <c r="Q322" s="49">
        <f t="shared" si="55"/>
        <v>1</v>
      </c>
      <c r="R322" s="49">
        <f t="shared" si="56"/>
        <v>0</v>
      </c>
      <c r="S322" s="734">
        <f t="shared" si="58"/>
        <v>0</v>
      </c>
    </row>
    <row r="323" spans="1:19">
      <c r="A323" s="880"/>
      <c r="B323" s="126"/>
      <c r="C323" s="49">
        <f t="shared" si="48"/>
        <v>1</v>
      </c>
      <c r="D323" s="879"/>
      <c r="E323" s="49">
        <f t="shared" si="49"/>
        <v>1</v>
      </c>
      <c r="F323" s="879"/>
      <c r="G323" s="49">
        <f t="shared" si="50"/>
        <v>1</v>
      </c>
      <c r="H323" s="879"/>
      <c r="I323" s="49">
        <f t="shared" si="51"/>
        <v>1</v>
      </c>
      <c r="J323" s="879"/>
      <c r="K323" s="49">
        <f t="shared" si="52"/>
        <v>1</v>
      </c>
      <c r="L323" s="879"/>
      <c r="M323" s="49">
        <f t="shared" si="53"/>
        <v>1</v>
      </c>
      <c r="N323" s="879"/>
      <c r="O323" s="49">
        <f t="shared" si="54"/>
        <v>1</v>
      </c>
      <c r="P323" s="879"/>
      <c r="Q323" s="49">
        <f t="shared" si="55"/>
        <v>1</v>
      </c>
      <c r="R323" s="49">
        <f t="shared" si="56"/>
        <v>0</v>
      </c>
      <c r="S323" s="734">
        <f t="shared" si="58"/>
        <v>0</v>
      </c>
    </row>
    <row r="324" spans="1:19">
      <c r="A324" s="880"/>
      <c r="B324" s="126"/>
      <c r="C324" s="49">
        <f t="shared" si="48"/>
        <v>1</v>
      </c>
      <c r="D324" s="879"/>
      <c r="E324" s="49">
        <f t="shared" si="49"/>
        <v>1</v>
      </c>
      <c r="F324" s="879"/>
      <c r="G324" s="49">
        <f t="shared" si="50"/>
        <v>1</v>
      </c>
      <c r="H324" s="879"/>
      <c r="I324" s="49">
        <f t="shared" si="51"/>
        <v>1</v>
      </c>
      <c r="J324" s="879"/>
      <c r="K324" s="49">
        <f t="shared" si="52"/>
        <v>1</v>
      </c>
      <c r="L324" s="879"/>
      <c r="M324" s="49">
        <f t="shared" si="53"/>
        <v>1</v>
      </c>
      <c r="N324" s="879"/>
      <c r="O324" s="49">
        <f t="shared" si="54"/>
        <v>1</v>
      </c>
      <c r="P324" s="879"/>
      <c r="Q324" s="49">
        <f t="shared" si="55"/>
        <v>1</v>
      </c>
      <c r="R324" s="49">
        <f t="shared" si="56"/>
        <v>0</v>
      </c>
      <c r="S324" s="734">
        <f t="shared" si="58"/>
        <v>0</v>
      </c>
    </row>
    <row r="325" spans="1:19">
      <c r="A325" s="880"/>
      <c r="B325" s="126"/>
      <c r="C325" s="49">
        <f t="shared" si="48"/>
        <v>1</v>
      </c>
      <c r="D325" s="879"/>
      <c r="E325" s="49">
        <f t="shared" si="49"/>
        <v>1</v>
      </c>
      <c r="F325" s="879"/>
      <c r="G325" s="49">
        <f t="shared" si="50"/>
        <v>1</v>
      </c>
      <c r="H325" s="879"/>
      <c r="I325" s="49">
        <f t="shared" si="51"/>
        <v>1</v>
      </c>
      <c r="J325" s="879"/>
      <c r="K325" s="49">
        <f t="shared" si="52"/>
        <v>1</v>
      </c>
      <c r="L325" s="879"/>
      <c r="M325" s="49">
        <f t="shared" si="53"/>
        <v>1</v>
      </c>
      <c r="N325" s="879"/>
      <c r="O325" s="49">
        <f t="shared" si="54"/>
        <v>1</v>
      </c>
      <c r="P325" s="879"/>
      <c r="Q325" s="49">
        <f t="shared" si="55"/>
        <v>1</v>
      </c>
      <c r="R325" s="49">
        <f t="shared" si="56"/>
        <v>0</v>
      </c>
      <c r="S325" s="734">
        <f t="shared" si="58"/>
        <v>0</v>
      </c>
    </row>
    <row r="326" spans="1:19">
      <c r="A326" s="880"/>
      <c r="B326" s="126"/>
      <c r="C326" s="49">
        <f t="shared" si="48"/>
        <v>1</v>
      </c>
      <c r="D326" s="879"/>
      <c r="E326" s="49">
        <f t="shared" si="49"/>
        <v>1</v>
      </c>
      <c r="F326" s="879"/>
      <c r="G326" s="49">
        <f t="shared" si="50"/>
        <v>1</v>
      </c>
      <c r="H326" s="879"/>
      <c r="I326" s="49">
        <f t="shared" si="51"/>
        <v>1</v>
      </c>
      <c r="J326" s="879"/>
      <c r="K326" s="49">
        <f t="shared" si="52"/>
        <v>1</v>
      </c>
      <c r="L326" s="879"/>
      <c r="M326" s="49">
        <f t="shared" si="53"/>
        <v>1</v>
      </c>
      <c r="N326" s="879"/>
      <c r="O326" s="49">
        <f t="shared" si="54"/>
        <v>1</v>
      </c>
      <c r="P326" s="879"/>
      <c r="Q326" s="49">
        <f t="shared" si="55"/>
        <v>1</v>
      </c>
      <c r="R326" s="49">
        <f t="shared" si="56"/>
        <v>0</v>
      </c>
      <c r="S326" s="734">
        <f t="shared" si="58"/>
        <v>0</v>
      </c>
    </row>
    <row r="327" spans="1:19">
      <c r="A327" s="880"/>
      <c r="B327" s="126"/>
      <c r="C327" s="49">
        <f t="shared" si="48"/>
        <v>1</v>
      </c>
      <c r="D327" s="879"/>
      <c r="E327" s="49">
        <f t="shared" si="49"/>
        <v>1</v>
      </c>
      <c r="F327" s="879"/>
      <c r="G327" s="49">
        <f t="shared" si="50"/>
        <v>1</v>
      </c>
      <c r="H327" s="879"/>
      <c r="I327" s="49">
        <f t="shared" si="51"/>
        <v>1</v>
      </c>
      <c r="J327" s="879"/>
      <c r="K327" s="49">
        <f t="shared" si="52"/>
        <v>1</v>
      </c>
      <c r="L327" s="879"/>
      <c r="M327" s="49">
        <f t="shared" si="53"/>
        <v>1</v>
      </c>
      <c r="N327" s="879"/>
      <c r="O327" s="49">
        <f t="shared" si="54"/>
        <v>1</v>
      </c>
      <c r="P327" s="879"/>
      <c r="Q327" s="49">
        <f t="shared" si="55"/>
        <v>1</v>
      </c>
      <c r="R327" s="49">
        <f t="shared" si="56"/>
        <v>0</v>
      </c>
      <c r="S327" s="734">
        <f t="shared" si="58"/>
        <v>0</v>
      </c>
    </row>
    <row r="328" spans="1:19">
      <c r="A328" s="880"/>
      <c r="B328" s="126"/>
      <c r="C328" s="49">
        <f t="shared" si="48"/>
        <v>1</v>
      </c>
      <c r="D328" s="879"/>
      <c r="E328" s="49">
        <f t="shared" si="49"/>
        <v>1</v>
      </c>
      <c r="F328" s="879"/>
      <c r="G328" s="49">
        <f t="shared" si="50"/>
        <v>1</v>
      </c>
      <c r="H328" s="879"/>
      <c r="I328" s="49">
        <f t="shared" si="51"/>
        <v>1</v>
      </c>
      <c r="J328" s="879"/>
      <c r="K328" s="49">
        <f t="shared" si="52"/>
        <v>1</v>
      </c>
      <c r="L328" s="879"/>
      <c r="M328" s="49">
        <f t="shared" si="53"/>
        <v>1</v>
      </c>
      <c r="N328" s="879"/>
      <c r="O328" s="49">
        <f t="shared" si="54"/>
        <v>1</v>
      </c>
      <c r="P328" s="879"/>
      <c r="Q328" s="49">
        <f t="shared" si="55"/>
        <v>1</v>
      </c>
      <c r="R328" s="49">
        <f t="shared" si="56"/>
        <v>0</v>
      </c>
      <c r="S328" s="734">
        <f t="shared" si="58"/>
        <v>0</v>
      </c>
    </row>
    <row r="329" spans="1:19">
      <c r="A329" s="880"/>
      <c r="B329" s="126"/>
      <c r="C329" s="49">
        <f t="shared" si="48"/>
        <v>1</v>
      </c>
      <c r="D329" s="879"/>
      <c r="E329" s="49">
        <f t="shared" si="49"/>
        <v>1</v>
      </c>
      <c r="F329" s="879"/>
      <c r="G329" s="49">
        <f t="shared" si="50"/>
        <v>1</v>
      </c>
      <c r="H329" s="879"/>
      <c r="I329" s="49">
        <f t="shared" si="51"/>
        <v>1</v>
      </c>
      <c r="J329" s="879"/>
      <c r="K329" s="49">
        <f t="shared" si="52"/>
        <v>1</v>
      </c>
      <c r="L329" s="879"/>
      <c r="M329" s="49">
        <f t="shared" si="53"/>
        <v>1</v>
      </c>
      <c r="N329" s="879"/>
      <c r="O329" s="49">
        <f t="shared" si="54"/>
        <v>1</v>
      </c>
      <c r="P329" s="879"/>
      <c r="Q329" s="49">
        <f t="shared" si="55"/>
        <v>1</v>
      </c>
      <c r="R329" s="49">
        <f t="shared" si="56"/>
        <v>0</v>
      </c>
      <c r="S329" s="734">
        <f t="shared" si="58"/>
        <v>0</v>
      </c>
    </row>
    <row r="330" spans="1:19">
      <c r="A330" s="880"/>
      <c r="B330" s="126"/>
      <c r="C330" s="49">
        <f t="shared" si="48"/>
        <v>1</v>
      </c>
      <c r="D330" s="879"/>
      <c r="E330" s="49">
        <f t="shared" si="49"/>
        <v>1</v>
      </c>
      <c r="F330" s="879"/>
      <c r="G330" s="49">
        <f t="shared" si="50"/>
        <v>1</v>
      </c>
      <c r="H330" s="879"/>
      <c r="I330" s="49">
        <f t="shared" si="51"/>
        <v>1</v>
      </c>
      <c r="J330" s="879"/>
      <c r="K330" s="49">
        <f t="shared" si="52"/>
        <v>1</v>
      </c>
      <c r="L330" s="879"/>
      <c r="M330" s="49">
        <f t="shared" si="53"/>
        <v>1</v>
      </c>
      <c r="N330" s="879"/>
      <c r="O330" s="49">
        <f t="shared" si="54"/>
        <v>1</v>
      </c>
      <c r="P330" s="879"/>
      <c r="Q330" s="49">
        <f t="shared" si="55"/>
        <v>1</v>
      </c>
      <c r="R330" s="49">
        <f t="shared" si="56"/>
        <v>0</v>
      </c>
      <c r="S330" s="734">
        <f t="shared" si="58"/>
        <v>0</v>
      </c>
    </row>
    <row r="331" spans="1:19">
      <c r="A331" s="880"/>
      <c r="B331" s="126"/>
      <c r="C331" s="49">
        <f t="shared" si="48"/>
        <v>1</v>
      </c>
      <c r="D331" s="879"/>
      <c r="E331" s="49">
        <f t="shared" si="49"/>
        <v>1</v>
      </c>
      <c r="F331" s="879"/>
      <c r="G331" s="49">
        <f t="shared" si="50"/>
        <v>1</v>
      </c>
      <c r="H331" s="879"/>
      <c r="I331" s="49">
        <f t="shared" si="51"/>
        <v>1</v>
      </c>
      <c r="J331" s="879"/>
      <c r="K331" s="49">
        <f t="shared" si="52"/>
        <v>1</v>
      </c>
      <c r="L331" s="879"/>
      <c r="M331" s="49">
        <f t="shared" si="53"/>
        <v>1</v>
      </c>
      <c r="N331" s="879"/>
      <c r="O331" s="49">
        <f t="shared" si="54"/>
        <v>1</v>
      </c>
      <c r="P331" s="879"/>
      <c r="Q331" s="49">
        <f t="shared" si="55"/>
        <v>1</v>
      </c>
      <c r="R331" s="49">
        <f t="shared" si="56"/>
        <v>0</v>
      </c>
      <c r="S331" s="734">
        <f t="shared" si="58"/>
        <v>0</v>
      </c>
    </row>
    <row r="332" spans="1:19">
      <c r="A332" s="880"/>
      <c r="B332" s="126"/>
      <c r="C332" s="49">
        <f t="shared" si="48"/>
        <v>1</v>
      </c>
      <c r="D332" s="879"/>
      <c r="E332" s="49">
        <f t="shared" si="49"/>
        <v>1</v>
      </c>
      <c r="F332" s="879"/>
      <c r="G332" s="49">
        <f t="shared" si="50"/>
        <v>1</v>
      </c>
      <c r="H332" s="879"/>
      <c r="I332" s="49">
        <f t="shared" si="51"/>
        <v>1</v>
      </c>
      <c r="J332" s="879"/>
      <c r="K332" s="49">
        <f t="shared" si="52"/>
        <v>1</v>
      </c>
      <c r="L332" s="879"/>
      <c r="M332" s="49">
        <f t="shared" si="53"/>
        <v>1</v>
      </c>
      <c r="N332" s="879"/>
      <c r="O332" s="49">
        <f t="shared" si="54"/>
        <v>1</v>
      </c>
      <c r="P332" s="879"/>
      <c r="Q332" s="49">
        <f t="shared" si="55"/>
        <v>1</v>
      </c>
      <c r="R332" s="49">
        <f t="shared" si="56"/>
        <v>0</v>
      </c>
      <c r="S332" s="734">
        <f t="shared" si="58"/>
        <v>0</v>
      </c>
    </row>
    <row r="333" spans="1:19">
      <c r="A333" s="880"/>
      <c r="B333" s="126"/>
      <c r="C333" s="49">
        <f t="shared" si="48"/>
        <v>1</v>
      </c>
      <c r="D333" s="879"/>
      <c r="E333" s="49">
        <f t="shared" si="49"/>
        <v>1</v>
      </c>
      <c r="F333" s="879"/>
      <c r="G333" s="49">
        <f t="shared" si="50"/>
        <v>1</v>
      </c>
      <c r="H333" s="879"/>
      <c r="I333" s="49">
        <f t="shared" si="51"/>
        <v>1</v>
      </c>
      <c r="J333" s="879"/>
      <c r="K333" s="49">
        <f t="shared" si="52"/>
        <v>1</v>
      </c>
      <c r="L333" s="879"/>
      <c r="M333" s="49">
        <f t="shared" si="53"/>
        <v>1</v>
      </c>
      <c r="N333" s="879"/>
      <c r="O333" s="49">
        <f t="shared" si="54"/>
        <v>1</v>
      </c>
      <c r="P333" s="879"/>
      <c r="Q333" s="49">
        <f t="shared" si="55"/>
        <v>1</v>
      </c>
      <c r="R333" s="49">
        <f t="shared" si="56"/>
        <v>0</v>
      </c>
      <c r="S333" s="734">
        <f t="shared" si="58"/>
        <v>0</v>
      </c>
    </row>
    <row r="334" spans="1:19">
      <c r="A334" s="880"/>
      <c r="B334" s="126"/>
      <c r="C334" s="49">
        <f t="shared" si="48"/>
        <v>1</v>
      </c>
      <c r="D334" s="879"/>
      <c r="E334" s="49">
        <f t="shared" si="49"/>
        <v>1</v>
      </c>
      <c r="F334" s="879"/>
      <c r="G334" s="49">
        <f t="shared" si="50"/>
        <v>1</v>
      </c>
      <c r="H334" s="879"/>
      <c r="I334" s="49">
        <f t="shared" si="51"/>
        <v>1</v>
      </c>
      <c r="J334" s="879"/>
      <c r="K334" s="49">
        <f t="shared" si="52"/>
        <v>1</v>
      </c>
      <c r="L334" s="879"/>
      <c r="M334" s="49">
        <f t="shared" si="53"/>
        <v>1</v>
      </c>
      <c r="N334" s="879"/>
      <c r="O334" s="49">
        <f t="shared" si="54"/>
        <v>1</v>
      </c>
      <c r="P334" s="879"/>
      <c r="Q334" s="49">
        <f t="shared" si="55"/>
        <v>1</v>
      </c>
      <c r="R334" s="49">
        <f t="shared" si="56"/>
        <v>0</v>
      </c>
      <c r="S334" s="734">
        <f t="shared" si="58"/>
        <v>0</v>
      </c>
    </row>
    <row r="335" spans="1:19">
      <c r="A335" s="880"/>
      <c r="B335" s="126"/>
      <c r="C335" s="49">
        <f t="shared" si="48"/>
        <v>1</v>
      </c>
      <c r="D335" s="879"/>
      <c r="E335" s="49">
        <f t="shared" si="49"/>
        <v>1</v>
      </c>
      <c r="F335" s="879"/>
      <c r="G335" s="49">
        <f t="shared" si="50"/>
        <v>1</v>
      </c>
      <c r="H335" s="879"/>
      <c r="I335" s="49">
        <f t="shared" si="51"/>
        <v>1</v>
      </c>
      <c r="J335" s="879"/>
      <c r="K335" s="49">
        <f t="shared" si="52"/>
        <v>1</v>
      </c>
      <c r="L335" s="879"/>
      <c r="M335" s="49">
        <f t="shared" si="53"/>
        <v>1</v>
      </c>
      <c r="N335" s="879"/>
      <c r="O335" s="49">
        <f t="shared" si="54"/>
        <v>1</v>
      </c>
      <c r="P335" s="879"/>
      <c r="Q335" s="49">
        <f t="shared" si="55"/>
        <v>1</v>
      </c>
      <c r="R335" s="49">
        <f t="shared" si="56"/>
        <v>0</v>
      </c>
      <c r="S335" s="734">
        <f t="shared" si="58"/>
        <v>0</v>
      </c>
    </row>
    <row r="336" spans="1:19">
      <c r="A336" s="880"/>
      <c r="B336" s="126"/>
      <c r="C336" s="49">
        <f t="shared" si="48"/>
        <v>1</v>
      </c>
      <c r="D336" s="879"/>
      <c r="E336" s="49">
        <f t="shared" si="49"/>
        <v>1</v>
      </c>
      <c r="F336" s="879"/>
      <c r="G336" s="49">
        <f t="shared" si="50"/>
        <v>1</v>
      </c>
      <c r="H336" s="879"/>
      <c r="I336" s="49">
        <f t="shared" si="51"/>
        <v>1</v>
      </c>
      <c r="J336" s="879"/>
      <c r="K336" s="49">
        <f t="shared" si="52"/>
        <v>1</v>
      </c>
      <c r="L336" s="879"/>
      <c r="M336" s="49">
        <f t="shared" si="53"/>
        <v>1</v>
      </c>
      <c r="N336" s="879"/>
      <c r="O336" s="49">
        <f t="shared" si="54"/>
        <v>1</v>
      </c>
      <c r="P336" s="879"/>
      <c r="Q336" s="49">
        <f t="shared" si="55"/>
        <v>1</v>
      </c>
      <c r="R336" s="49">
        <f t="shared" si="56"/>
        <v>0</v>
      </c>
      <c r="S336" s="734">
        <f t="shared" si="58"/>
        <v>0</v>
      </c>
    </row>
    <row r="337" spans="1:19">
      <c r="A337" s="880"/>
      <c r="B337" s="126"/>
      <c r="C337" s="49">
        <f t="shared" si="48"/>
        <v>1</v>
      </c>
      <c r="D337" s="879"/>
      <c r="E337" s="49">
        <f t="shared" si="49"/>
        <v>1</v>
      </c>
      <c r="F337" s="879"/>
      <c r="G337" s="49">
        <f t="shared" si="50"/>
        <v>1</v>
      </c>
      <c r="H337" s="879"/>
      <c r="I337" s="49">
        <f t="shared" si="51"/>
        <v>1</v>
      </c>
      <c r="J337" s="879"/>
      <c r="K337" s="49">
        <f t="shared" si="52"/>
        <v>1</v>
      </c>
      <c r="L337" s="879"/>
      <c r="M337" s="49">
        <f t="shared" si="53"/>
        <v>1</v>
      </c>
      <c r="N337" s="879"/>
      <c r="O337" s="49">
        <f t="shared" si="54"/>
        <v>1</v>
      </c>
      <c r="P337" s="879"/>
      <c r="Q337" s="49">
        <f t="shared" si="55"/>
        <v>1</v>
      </c>
      <c r="R337" s="49">
        <f t="shared" si="56"/>
        <v>0</v>
      </c>
      <c r="S337" s="734">
        <f t="shared" si="58"/>
        <v>0</v>
      </c>
    </row>
    <row r="338" spans="1:19">
      <c r="A338" s="880"/>
      <c r="B338" s="126"/>
      <c r="C338" s="49">
        <f t="shared" si="48"/>
        <v>1</v>
      </c>
      <c r="D338" s="879"/>
      <c r="E338" s="49">
        <f t="shared" si="49"/>
        <v>1</v>
      </c>
      <c r="F338" s="879"/>
      <c r="G338" s="49">
        <f t="shared" si="50"/>
        <v>1</v>
      </c>
      <c r="H338" s="879"/>
      <c r="I338" s="49">
        <f t="shared" si="51"/>
        <v>1</v>
      </c>
      <c r="J338" s="879"/>
      <c r="K338" s="49">
        <f t="shared" si="52"/>
        <v>1</v>
      </c>
      <c r="L338" s="879"/>
      <c r="M338" s="49">
        <f t="shared" si="53"/>
        <v>1</v>
      </c>
      <c r="N338" s="879"/>
      <c r="O338" s="49">
        <f t="shared" si="54"/>
        <v>1</v>
      </c>
      <c r="P338" s="879"/>
      <c r="Q338" s="49">
        <f t="shared" si="55"/>
        <v>1</v>
      </c>
      <c r="R338" s="49">
        <f t="shared" si="56"/>
        <v>0</v>
      </c>
      <c r="S338" s="734">
        <f t="shared" si="58"/>
        <v>0</v>
      </c>
    </row>
    <row r="339" spans="1:19">
      <c r="A339" s="880"/>
      <c r="B339" s="126"/>
      <c r="C339" s="49">
        <f t="shared" si="48"/>
        <v>1</v>
      </c>
      <c r="D339" s="879"/>
      <c r="E339" s="49">
        <f t="shared" si="49"/>
        <v>1</v>
      </c>
      <c r="F339" s="879"/>
      <c r="G339" s="49">
        <f t="shared" si="50"/>
        <v>1</v>
      </c>
      <c r="H339" s="879"/>
      <c r="I339" s="49">
        <f t="shared" si="51"/>
        <v>1</v>
      </c>
      <c r="J339" s="879"/>
      <c r="K339" s="49">
        <f t="shared" si="52"/>
        <v>1</v>
      </c>
      <c r="L339" s="879"/>
      <c r="M339" s="49">
        <f t="shared" si="53"/>
        <v>1</v>
      </c>
      <c r="N339" s="879"/>
      <c r="O339" s="49">
        <f t="shared" si="54"/>
        <v>1</v>
      </c>
      <c r="P339" s="879"/>
      <c r="Q339" s="49">
        <f t="shared" si="55"/>
        <v>1</v>
      </c>
      <c r="R339" s="49">
        <f t="shared" si="56"/>
        <v>0</v>
      </c>
      <c r="S339" s="734">
        <f t="shared" si="58"/>
        <v>0</v>
      </c>
    </row>
    <row r="340" spans="1:19">
      <c r="A340" s="880"/>
      <c r="B340" s="126"/>
      <c r="C340" s="49">
        <f t="shared" si="48"/>
        <v>1</v>
      </c>
      <c r="D340" s="879"/>
      <c r="E340" s="49">
        <f t="shared" si="49"/>
        <v>1</v>
      </c>
      <c r="F340" s="879"/>
      <c r="G340" s="49">
        <f t="shared" si="50"/>
        <v>1</v>
      </c>
      <c r="H340" s="879"/>
      <c r="I340" s="49">
        <f t="shared" si="51"/>
        <v>1</v>
      </c>
      <c r="J340" s="879"/>
      <c r="K340" s="49">
        <f t="shared" si="52"/>
        <v>1</v>
      </c>
      <c r="L340" s="879"/>
      <c r="M340" s="49">
        <f t="shared" si="53"/>
        <v>1</v>
      </c>
      <c r="N340" s="879"/>
      <c r="O340" s="49">
        <f t="shared" si="54"/>
        <v>1</v>
      </c>
      <c r="P340" s="879"/>
      <c r="Q340" s="49">
        <f t="shared" si="55"/>
        <v>1</v>
      </c>
      <c r="R340" s="49">
        <f t="shared" si="56"/>
        <v>0</v>
      </c>
      <c r="S340" s="734">
        <f t="shared" si="58"/>
        <v>0</v>
      </c>
    </row>
    <row r="341" spans="1:19">
      <c r="A341" s="880"/>
      <c r="B341" s="126"/>
      <c r="C341" s="49">
        <f t="shared" si="48"/>
        <v>1</v>
      </c>
      <c r="D341" s="879"/>
      <c r="E341" s="49">
        <f t="shared" si="49"/>
        <v>1</v>
      </c>
      <c r="F341" s="879"/>
      <c r="G341" s="49">
        <f t="shared" si="50"/>
        <v>1</v>
      </c>
      <c r="H341" s="879"/>
      <c r="I341" s="49">
        <f t="shared" si="51"/>
        <v>1</v>
      </c>
      <c r="J341" s="879"/>
      <c r="K341" s="49">
        <f t="shared" si="52"/>
        <v>1</v>
      </c>
      <c r="L341" s="879"/>
      <c r="M341" s="49">
        <f t="shared" si="53"/>
        <v>1</v>
      </c>
      <c r="N341" s="879"/>
      <c r="O341" s="49">
        <f t="shared" si="54"/>
        <v>1</v>
      </c>
      <c r="P341" s="879"/>
      <c r="Q341" s="49">
        <f t="shared" si="55"/>
        <v>1</v>
      </c>
      <c r="R341" s="49">
        <f t="shared" si="56"/>
        <v>0</v>
      </c>
      <c r="S341" s="734">
        <f t="shared" si="58"/>
        <v>0</v>
      </c>
    </row>
    <row r="342" spans="1:19">
      <c r="A342" s="880"/>
      <c r="B342" s="126"/>
      <c r="C342" s="49">
        <f t="shared" si="48"/>
        <v>1</v>
      </c>
      <c r="D342" s="879"/>
      <c r="E342" s="49">
        <f t="shared" si="49"/>
        <v>1</v>
      </c>
      <c r="F342" s="879"/>
      <c r="G342" s="49">
        <f t="shared" si="50"/>
        <v>1</v>
      </c>
      <c r="H342" s="879"/>
      <c r="I342" s="49">
        <f t="shared" si="51"/>
        <v>1</v>
      </c>
      <c r="J342" s="879"/>
      <c r="K342" s="49">
        <f t="shared" si="52"/>
        <v>1</v>
      </c>
      <c r="L342" s="879"/>
      <c r="M342" s="49">
        <f t="shared" si="53"/>
        <v>1</v>
      </c>
      <c r="N342" s="879"/>
      <c r="O342" s="49">
        <f t="shared" si="54"/>
        <v>1</v>
      </c>
      <c r="P342" s="879"/>
      <c r="Q342" s="49">
        <f t="shared" si="55"/>
        <v>1</v>
      </c>
      <c r="R342" s="49">
        <f t="shared" si="56"/>
        <v>0</v>
      </c>
      <c r="S342" s="734">
        <f t="shared" si="58"/>
        <v>0</v>
      </c>
    </row>
    <row r="343" spans="1:19">
      <c r="A343" s="880"/>
      <c r="B343" s="126"/>
      <c r="C343" s="49">
        <f t="shared" si="48"/>
        <v>1</v>
      </c>
      <c r="D343" s="879"/>
      <c r="E343" s="49">
        <f t="shared" si="49"/>
        <v>1</v>
      </c>
      <c r="F343" s="879"/>
      <c r="G343" s="49">
        <f t="shared" si="50"/>
        <v>1</v>
      </c>
      <c r="H343" s="879"/>
      <c r="I343" s="49">
        <f t="shared" si="51"/>
        <v>1</v>
      </c>
      <c r="J343" s="879"/>
      <c r="K343" s="49">
        <f t="shared" si="52"/>
        <v>1</v>
      </c>
      <c r="L343" s="879"/>
      <c r="M343" s="49">
        <f t="shared" si="53"/>
        <v>1</v>
      </c>
      <c r="N343" s="879"/>
      <c r="O343" s="49">
        <f t="shared" si="54"/>
        <v>1</v>
      </c>
      <c r="P343" s="879"/>
      <c r="Q343" s="49">
        <f t="shared" si="55"/>
        <v>1</v>
      </c>
      <c r="R343" s="49">
        <f t="shared" si="56"/>
        <v>0</v>
      </c>
      <c r="S343" s="734">
        <f t="shared" si="58"/>
        <v>0</v>
      </c>
    </row>
    <row r="344" spans="1:19">
      <c r="A344" s="880"/>
      <c r="B344" s="126"/>
      <c r="C344" s="49">
        <f t="shared" si="48"/>
        <v>1</v>
      </c>
      <c r="D344" s="879"/>
      <c r="E344" s="49">
        <f t="shared" si="49"/>
        <v>1</v>
      </c>
      <c r="F344" s="879"/>
      <c r="G344" s="49">
        <f t="shared" si="50"/>
        <v>1</v>
      </c>
      <c r="H344" s="879"/>
      <c r="I344" s="49">
        <f t="shared" si="51"/>
        <v>1</v>
      </c>
      <c r="J344" s="879"/>
      <c r="K344" s="49">
        <f t="shared" si="52"/>
        <v>1</v>
      </c>
      <c r="L344" s="879"/>
      <c r="M344" s="49">
        <f t="shared" si="53"/>
        <v>1</v>
      </c>
      <c r="N344" s="879"/>
      <c r="O344" s="49">
        <f t="shared" si="54"/>
        <v>1</v>
      </c>
      <c r="P344" s="879"/>
      <c r="Q344" s="49">
        <f t="shared" si="55"/>
        <v>1</v>
      </c>
      <c r="R344" s="49">
        <f t="shared" si="56"/>
        <v>0</v>
      </c>
      <c r="S344" s="734">
        <f t="shared" si="58"/>
        <v>0</v>
      </c>
    </row>
    <row r="345" spans="1:19">
      <c r="A345" s="880"/>
      <c r="B345" s="126"/>
      <c r="C345" s="49">
        <f t="shared" si="48"/>
        <v>1</v>
      </c>
      <c r="D345" s="879"/>
      <c r="E345" s="49">
        <f t="shared" si="49"/>
        <v>1</v>
      </c>
      <c r="F345" s="879"/>
      <c r="G345" s="49">
        <f t="shared" si="50"/>
        <v>1</v>
      </c>
      <c r="H345" s="879"/>
      <c r="I345" s="49">
        <f t="shared" si="51"/>
        <v>1</v>
      </c>
      <c r="J345" s="879"/>
      <c r="K345" s="49">
        <f t="shared" si="52"/>
        <v>1</v>
      </c>
      <c r="L345" s="879"/>
      <c r="M345" s="49">
        <f t="shared" si="53"/>
        <v>1</v>
      </c>
      <c r="N345" s="879"/>
      <c r="O345" s="49">
        <f t="shared" si="54"/>
        <v>1</v>
      </c>
      <c r="P345" s="879"/>
      <c r="Q345" s="49">
        <f t="shared" si="55"/>
        <v>1</v>
      </c>
      <c r="R345" s="49">
        <f t="shared" si="56"/>
        <v>0</v>
      </c>
      <c r="S345" s="734">
        <f t="shared" si="58"/>
        <v>0</v>
      </c>
    </row>
    <row r="346" spans="1:19">
      <c r="A346" s="880"/>
      <c r="B346" s="126"/>
      <c r="C346" s="49">
        <f t="shared" ref="C346:C409" si="59">IF(B346="",1,(LOOKUP(B346,$3:$3,$4:$4)-LOOKUP($B$24,$3:$3,$4:$4)+100)/100)</f>
        <v>1</v>
      </c>
      <c r="D346" s="879"/>
      <c r="E346" s="49">
        <f t="shared" ref="E346:E409" si="60">(SUMIF($5:$5,D346,$6:$6)-SUMIF($5:$5,$D$24,$6:$6)+100)/100</f>
        <v>1</v>
      </c>
      <c r="F346" s="879"/>
      <c r="G346" s="49">
        <f t="shared" ref="G346:G409" si="61">(SUMIF($7:$7,F346,$8:$8)-SUMIF($7:$7,$F$24,$8:$8)+100)/100</f>
        <v>1</v>
      </c>
      <c r="H346" s="879"/>
      <c r="I346" s="49">
        <f t="shared" ref="I346:I409" si="62">(SUMIF($9:$9,H346,$10:$10)-SUMIF($9:$9,$H$24,$10:$10)+100)/100</f>
        <v>1</v>
      </c>
      <c r="J346" s="879"/>
      <c r="K346" s="49">
        <f t="shared" ref="K346:K409" si="63">(SUMIF($11:$11,J346,$12:$12)-SUMIF($11:$11,$J$24,$12:$12)+100)/100</f>
        <v>1</v>
      </c>
      <c r="L346" s="879"/>
      <c r="M346" s="49">
        <f t="shared" ref="M346:M409" si="64">(SUMIF($13:$13,L346,$14:$14)-SUMIF($13:$13,$L$24,$14:$14)+100)/100</f>
        <v>1</v>
      </c>
      <c r="N346" s="879"/>
      <c r="O346" s="49">
        <f t="shared" ref="O346:O409" si="65">(SUMIF($15:$15,N346,$16:$16)-SUMIF($15:$15,$N$24,$16:$16)+100)/100</f>
        <v>1</v>
      </c>
      <c r="P346" s="879"/>
      <c r="Q346" s="49">
        <f t="shared" ref="Q346:Q409" si="66">(SUMIF($17:$17,P346,$18:$18)-SUMIF($17:$17,$P$24,$18:$18)+100)/100</f>
        <v>1</v>
      </c>
      <c r="R346" s="49">
        <f t="shared" ref="R346:R409" si="67">IF(B346="",0,ROUND($R$24*C346*E346*G346*I346*K346*M346*O346*Q346,0))</f>
        <v>0</v>
      </c>
      <c r="S346" s="734">
        <f t="shared" si="58"/>
        <v>0</v>
      </c>
    </row>
    <row r="347" spans="1:19">
      <c r="A347" s="880"/>
      <c r="B347" s="126"/>
      <c r="C347" s="49">
        <f t="shared" si="59"/>
        <v>1</v>
      </c>
      <c r="D347" s="879"/>
      <c r="E347" s="49">
        <f t="shared" si="60"/>
        <v>1</v>
      </c>
      <c r="F347" s="879"/>
      <c r="G347" s="49">
        <f t="shared" si="61"/>
        <v>1</v>
      </c>
      <c r="H347" s="879"/>
      <c r="I347" s="49">
        <f t="shared" si="62"/>
        <v>1</v>
      </c>
      <c r="J347" s="879"/>
      <c r="K347" s="49">
        <f t="shared" si="63"/>
        <v>1</v>
      </c>
      <c r="L347" s="879"/>
      <c r="M347" s="49">
        <f t="shared" si="64"/>
        <v>1</v>
      </c>
      <c r="N347" s="879"/>
      <c r="O347" s="49">
        <f t="shared" si="65"/>
        <v>1</v>
      </c>
      <c r="P347" s="879"/>
      <c r="Q347" s="49">
        <f t="shared" si="66"/>
        <v>1</v>
      </c>
      <c r="R347" s="49">
        <f t="shared" si="67"/>
        <v>0</v>
      </c>
      <c r="S347" s="734">
        <f t="shared" si="58"/>
        <v>0</v>
      </c>
    </row>
    <row r="348" spans="1:19">
      <c r="A348" s="880"/>
      <c r="B348" s="126"/>
      <c r="C348" s="49">
        <f t="shared" si="59"/>
        <v>1</v>
      </c>
      <c r="D348" s="879"/>
      <c r="E348" s="49">
        <f t="shared" si="60"/>
        <v>1</v>
      </c>
      <c r="F348" s="879"/>
      <c r="G348" s="49">
        <f t="shared" si="61"/>
        <v>1</v>
      </c>
      <c r="H348" s="879"/>
      <c r="I348" s="49">
        <f t="shared" si="62"/>
        <v>1</v>
      </c>
      <c r="J348" s="879"/>
      <c r="K348" s="49">
        <f t="shared" si="63"/>
        <v>1</v>
      </c>
      <c r="L348" s="879"/>
      <c r="M348" s="49">
        <f t="shared" si="64"/>
        <v>1</v>
      </c>
      <c r="N348" s="879"/>
      <c r="O348" s="49">
        <f t="shared" si="65"/>
        <v>1</v>
      </c>
      <c r="P348" s="879"/>
      <c r="Q348" s="49">
        <f t="shared" si="66"/>
        <v>1</v>
      </c>
      <c r="R348" s="49">
        <f t="shared" si="67"/>
        <v>0</v>
      </c>
      <c r="S348" s="734">
        <f t="shared" si="58"/>
        <v>0</v>
      </c>
    </row>
    <row r="349" spans="1:19">
      <c r="A349" s="880"/>
      <c r="B349" s="126"/>
      <c r="C349" s="49">
        <f t="shared" si="59"/>
        <v>1</v>
      </c>
      <c r="D349" s="879"/>
      <c r="E349" s="49">
        <f t="shared" si="60"/>
        <v>1</v>
      </c>
      <c r="F349" s="879"/>
      <c r="G349" s="49">
        <f t="shared" si="61"/>
        <v>1</v>
      </c>
      <c r="H349" s="879"/>
      <c r="I349" s="49">
        <f t="shared" si="62"/>
        <v>1</v>
      </c>
      <c r="J349" s="879"/>
      <c r="K349" s="49">
        <f t="shared" si="63"/>
        <v>1</v>
      </c>
      <c r="L349" s="879"/>
      <c r="M349" s="49">
        <f t="shared" si="64"/>
        <v>1</v>
      </c>
      <c r="N349" s="879"/>
      <c r="O349" s="49">
        <f t="shared" si="65"/>
        <v>1</v>
      </c>
      <c r="P349" s="879"/>
      <c r="Q349" s="49">
        <f t="shared" si="66"/>
        <v>1</v>
      </c>
      <c r="R349" s="49">
        <f t="shared" si="67"/>
        <v>0</v>
      </c>
      <c r="S349" s="734">
        <f t="shared" si="58"/>
        <v>0</v>
      </c>
    </row>
    <row r="350" spans="1:19">
      <c r="A350" s="880"/>
      <c r="B350" s="126"/>
      <c r="C350" s="49">
        <f t="shared" si="59"/>
        <v>1</v>
      </c>
      <c r="D350" s="879"/>
      <c r="E350" s="49">
        <f t="shared" si="60"/>
        <v>1</v>
      </c>
      <c r="F350" s="879"/>
      <c r="G350" s="49">
        <f t="shared" si="61"/>
        <v>1</v>
      </c>
      <c r="H350" s="879"/>
      <c r="I350" s="49">
        <f t="shared" si="62"/>
        <v>1</v>
      </c>
      <c r="J350" s="879"/>
      <c r="K350" s="49">
        <f t="shared" si="63"/>
        <v>1</v>
      </c>
      <c r="L350" s="879"/>
      <c r="M350" s="49">
        <f t="shared" si="64"/>
        <v>1</v>
      </c>
      <c r="N350" s="879"/>
      <c r="O350" s="49">
        <f t="shared" si="65"/>
        <v>1</v>
      </c>
      <c r="P350" s="879"/>
      <c r="Q350" s="49">
        <f t="shared" si="66"/>
        <v>1</v>
      </c>
      <c r="R350" s="49">
        <f t="shared" si="67"/>
        <v>0</v>
      </c>
      <c r="S350" s="734">
        <f t="shared" si="58"/>
        <v>0</v>
      </c>
    </row>
    <row r="351" spans="1:19">
      <c r="A351" s="880"/>
      <c r="B351" s="126"/>
      <c r="C351" s="49">
        <f t="shared" si="59"/>
        <v>1</v>
      </c>
      <c r="D351" s="879"/>
      <c r="E351" s="49">
        <f t="shared" si="60"/>
        <v>1</v>
      </c>
      <c r="F351" s="879"/>
      <c r="G351" s="49">
        <f t="shared" si="61"/>
        <v>1</v>
      </c>
      <c r="H351" s="879"/>
      <c r="I351" s="49">
        <f t="shared" si="62"/>
        <v>1</v>
      </c>
      <c r="J351" s="879"/>
      <c r="K351" s="49">
        <f t="shared" si="63"/>
        <v>1</v>
      </c>
      <c r="L351" s="879"/>
      <c r="M351" s="49">
        <f t="shared" si="64"/>
        <v>1</v>
      </c>
      <c r="N351" s="879"/>
      <c r="O351" s="49">
        <f t="shared" si="65"/>
        <v>1</v>
      </c>
      <c r="P351" s="879"/>
      <c r="Q351" s="49">
        <f t="shared" si="66"/>
        <v>1</v>
      </c>
      <c r="R351" s="49">
        <f t="shared" si="67"/>
        <v>0</v>
      </c>
      <c r="S351" s="734">
        <f t="shared" si="58"/>
        <v>0</v>
      </c>
    </row>
    <row r="352" spans="1:19">
      <c r="A352" s="880"/>
      <c r="B352" s="126"/>
      <c r="C352" s="49">
        <f t="shared" si="59"/>
        <v>1</v>
      </c>
      <c r="D352" s="879"/>
      <c r="E352" s="49">
        <f t="shared" si="60"/>
        <v>1</v>
      </c>
      <c r="F352" s="879"/>
      <c r="G352" s="49">
        <f t="shared" si="61"/>
        <v>1</v>
      </c>
      <c r="H352" s="879"/>
      <c r="I352" s="49">
        <f t="shared" si="62"/>
        <v>1</v>
      </c>
      <c r="J352" s="879"/>
      <c r="K352" s="49">
        <f t="shared" si="63"/>
        <v>1</v>
      </c>
      <c r="L352" s="879"/>
      <c r="M352" s="49">
        <f t="shared" si="64"/>
        <v>1</v>
      </c>
      <c r="N352" s="879"/>
      <c r="O352" s="49">
        <f t="shared" si="65"/>
        <v>1</v>
      </c>
      <c r="P352" s="879"/>
      <c r="Q352" s="49">
        <f t="shared" si="66"/>
        <v>1</v>
      </c>
      <c r="R352" s="49">
        <f t="shared" si="67"/>
        <v>0</v>
      </c>
      <c r="S352" s="734">
        <f t="shared" si="58"/>
        <v>0</v>
      </c>
    </row>
    <row r="353" spans="1:19">
      <c r="A353" s="880"/>
      <c r="B353" s="126"/>
      <c r="C353" s="49">
        <f t="shared" si="59"/>
        <v>1</v>
      </c>
      <c r="D353" s="879"/>
      <c r="E353" s="49">
        <f t="shared" si="60"/>
        <v>1</v>
      </c>
      <c r="F353" s="879"/>
      <c r="G353" s="49">
        <f t="shared" si="61"/>
        <v>1</v>
      </c>
      <c r="H353" s="879"/>
      <c r="I353" s="49">
        <f t="shared" si="62"/>
        <v>1</v>
      </c>
      <c r="J353" s="879"/>
      <c r="K353" s="49">
        <f t="shared" si="63"/>
        <v>1</v>
      </c>
      <c r="L353" s="879"/>
      <c r="M353" s="49">
        <f t="shared" si="64"/>
        <v>1</v>
      </c>
      <c r="N353" s="879"/>
      <c r="O353" s="49">
        <f t="shared" si="65"/>
        <v>1</v>
      </c>
      <c r="P353" s="879"/>
      <c r="Q353" s="49">
        <f t="shared" si="66"/>
        <v>1</v>
      </c>
      <c r="R353" s="49">
        <f t="shared" si="67"/>
        <v>0</v>
      </c>
      <c r="S353" s="734">
        <f t="shared" si="58"/>
        <v>0</v>
      </c>
    </row>
    <row r="354" spans="1:19">
      <c r="A354" s="880"/>
      <c r="B354" s="126"/>
      <c r="C354" s="49">
        <f t="shared" si="59"/>
        <v>1</v>
      </c>
      <c r="D354" s="879"/>
      <c r="E354" s="49">
        <f t="shared" si="60"/>
        <v>1</v>
      </c>
      <c r="F354" s="879"/>
      <c r="G354" s="49">
        <f t="shared" si="61"/>
        <v>1</v>
      </c>
      <c r="H354" s="879"/>
      <c r="I354" s="49">
        <f t="shared" si="62"/>
        <v>1</v>
      </c>
      <c r="J354" s="879"/>
      <c r="K354" s="49">
        <f t="shared" si="63"/>
        <v>1</v>
      </c>
      <c r="L354" s="879"/>
      <c r="M354" s="49">
        <f t="shared" si="64"/>
        <v>1</v>
      </c>
      <c r="N354" s="879"/>
      <c r="O354" s="49">
        <f t="shared" si="65"/>
        <v>1</v>
      </c>
      <c r="P354" s="879"/>
      <c r="Q354" s="49">
        <f t="shared" si="66"/>
        <v>1</v>
      </c>
      <c r="R354" s="49">
        <f t="shared" si="67"/>
        <v>0</v>
      </c>
      <c r="S354" s="734">
        <f t="shared" si="58"/>
        <v>0</v>
      </c>
    </row>
    <row r="355" spans="1:19">
      <c r="A355" s="880"/>
      <c r="B355" s="126"/>
      <c r="C355" s="49">
        <f t="shared" si="59"/>
        <v>1</v>
      </c>
      <c r="D355" s="879"/>
      <c r="E355" s="49">
        <f t="shared" si="60"/>
        <v>1</v>
      </c>
      <c r="F355" s="879"/>
      <c r="G355" s="49">
        <f t="shared" si="61"/>
        <v>1</v>
      </c>
      <c r="H355" s="879"/>
      <c r="I355" s="49">
        <f t="shared" si="62"/>
        <v>1</v>
      </c>
      <c r="J355" s="879"/>
      <c r="K355" s="49">
        <f t="shared" si="63"/>
        <v>1</v>
      </c>
      <c r="L355" s="879"/>
      <c r="M355" s="49">
        <f t="shared" si="64"/>
        <v>1</v>
      </c>
      <c r="N355" s="879"/>
      <c r="O355" s="49">
        <f t="shared" si="65"/>
        <v>1</v>
      </c>
      <c r="P355" s="879"/>
      <c r="Q355" s="49">
        <f t="shared" si="66"/>
        <v>1</v>
      </c>
      <c r="R355" s="49">
        <f t="shared" si="67"/>
        <v>0</v>
      </c>
      <c r="S355" s="734">
        <f t="shared" si="58"/>
        <v>0</v>
      </c>
    </row>
    <row r="356" spans="1:19">
      <c r="A356" s="880"/>
      <c r="B356" s="126"/>
      <c r="C356" s="49">
        <f t="shared" si="59"/>
        <v>1</v>
      </c>
      <c r="D356" s="879"/>
      <c r="E356" s="49">
        <f t="shared" si="60"/>
        <v>1</v>
      </c>
      <c r="F356" s="879"/>
      <c r="G356" s="49">
        <f t="shared" si="61"/>
        <v>1</v>
      </c>
      <c r="H356" s="879"/>
      <c r="I356" s="49">
        <f t="shared" si="62"/>
        <v>1</v>
      </c>
      <c r="J356" s="879"/>
      <c r="K356" s="49">
        <f t="shared" si="63"/>
        <v>1</v>
      </c>
      <c r="L356" s="879"/>
      <c r="M356" s="49">
        <f t="shared" si="64"/>
        <v>1</v>
      </c>
      <c r="N356" s="879"/>
      <c r="O356" s="49">
        <f t="shared" si="65"/>
        <v>1</v>
      </c>
      <c r="P356" s="879"/>
      <c r="Q356" s="49">
        <f t="shared" si="66"/>
        <v>1</v>
      </c>
      <c r="R356" s="49">
        <f t="shared" si="67"/>
        <v>0</v>
      </c>
      <c r="S356" s="734">
        <f t="shared" si="58"/>
        <v>0</v>
      </c>
    </row>
    <row r="357" spans="1:19">
      <c r="A357" s="880"/>
      <c r="B357" s="126"/>
      <c r="C357" s="49">
        <f t="shared" si="59"/>
        <v>1</v>
      </c>
      <c r="D357" s="879"/>
      <c r="E357" s="49">
        <f t="shared" si="60"/>
        <v>1</v>
      </c>
      <c r="F357" s="879"/>
      <c r="G357" s="49">
        <f t="shared" si="61"/>
        <v>1</v>
      </c>
      <c r="H357" s="879"/>
      <c r="I357" s="49">
        <f t="shared" si="62"/>
        <v>1</v>
      </c>
      <c r="J357" s="879"/>
      <c r="K357" s="49">
        <f t="shared" si="63"/>
        <v>1</v>
      </c>
      <c r="L357" s="879"/>
      <c r="M357" s="49">
        <f t="shared" si="64"/>
        <v>1</v>
      </c>
      <c r="N357" s="879"/>
      <c r="O357" s="49">
        <f t="shared" si="65"/>
        <v>1</v>
      </c>
      <c r="P357" s="879"/>
      <c r="Q357" s="49">
        <f t="shared" si="66"/>
        <v>1</v>
      </c>
      <c r="R357" s="49">
        <f t="shared" si="67"/>
        <v>0</v>
      </c>
      <c r="S357" s="734">
        <f t="shared" si="58"/>
        <v>0</v>
      </c>
    </row>
    <row r="358" spans="1:19">
      <c r="A358" s="880"/>
      <c r="B358" s="126"/>
      <c r="C358" s="49">
        <f t="shared" si="59"/>
        <v>1</v>
      </c>
      <c r="D358" s="879"/>
      <c r="E358" s="49">
        <f t="shared" si="60"/>
        <v>1</v>
      </c>
      <c r="F358" s="879"/>
      <c r="G358" s="49">
        <f t="shared" si="61"/>
        <v>1</v>
      </c>
      <c r="H358" s="879"/>
      <c r="I358" s="49">
        <f t="shared" si="62"/>
        <v>1</v>
      </c>
      <c r="J358" s="879"/>
      <c r="K358" s="49">
        <f t="shared" si="63"/>
        <v>1</v>
      </c>
      <c r="L358" s="879"/>
      <c r="M358" s="49">
        <f t="shared" si="64"/>
        <v>1</v>
      </c>
      <c r="N358" s="879"/>
      <c r="O358" s="49">
        <f t="shared" si="65"/>
        <v>1</v>
      </c>
      <c r="P358" s="879"/>
      <c r="Q358" s="49">
        <f t="shared" si="66"/>
        <v>1</v>
      </c>
      <c r="R358" s="49">
        <f t="shared" si="67"/>
        <v>0</v>
      </c>
      <c r="S358" s="734">
        <f t="shared" si="58"/>
        <v>0</v>
      </c>
    </row>
    <row r="359" spans="1:19">
      <c r="A359" s="880"/>
      <c r="B359" s="126"/>
      <c r="C359" s="49">
        <f t="shared" si="59"/>
        <v>1</v>
      </c>
      <c r="D359" s="879"/>
      <c r="E359" s="49">
        <f t="shared" si="60"/>
        <v>1</v>
      </c>
      <c r="F359" s="879"/>
      <c r="G359" s="49">
        <f t="shared" si="61"/>
        <v>1</v>
      </c>
      <c r="H359" s="879"/>
      <c r="I359" s="49">
        <f t="shared" si="62"/>
        <v>1</v>
      </c>
      <c r="J359" s="879"/>
      <c r="K359" s="49">
        <f t="shared" si="63"/>
        <v>1</v>
      </c>
      <c r="L359" s="879"/>
      <c r="M359" s="49">
        <f t="shared" si="64"/>
        <v>1</v>
      </c>
      <c r="N359" s="879"/>
      <c r="O359" s="49">
        <f t="shared" si="65"/>
        <v>1</v>
      </c>
      <c r="P359" s="879"/>
      <c r="Q359" s="49">
        <f t="shared" si="66"/>
        <v>1</v>
      </c>
      <c r="R359" s="49">
        <f t="shared" si="67"/>
        <v>0</v>
      </c>
      <c r="S359" s="734">
        <f t="shared" si="58"/>
        <v>0</v>
      </c>
    </row>
    <row r="360" spans="1:19">
      <c r="A360" s="880"/>
      <c r="B360" s="126"/>
      <c r="C360" s="49">
        <f t="shared" si="59"/>
        <v>1</v>
      </c>
      <c r="D360" s="879"/>
      <c r="E360" s="49">
        <f t="shared" si="60"/>
        <v>1</v>
      </c>
      <c r="F360" s="879"/>
      <c r="G360" s="49">
        <f t="shared" si="61"/>
        <v>1</v>
      </c>
      <c r="H360" s="879"/>
      <c r="I360" s="49">
        <f t="shared" si="62"/>
        <v>1</v>
      </c>
      <c r="J360" s="879"/>
      <c r="K360" s="49">
        <f t="shared" si="63"/>
        <v>1</v>
      </c>
      <c r="L360" s="879"/>
      <c r="M360" s="49">
        <f t="shared" si="64"/>
        <v>1</v>
      </c>
      <c r="N360" s="879"/>
      <c r="O360" s="49">
        <f t="shared" si="65"/>
        <v>1</v>
      </c>
      <c r="P360" s="879"/>
      <c r="Q360" s="49">
        <f t="shared" si="66"/>
        <v>1</v>
      </c>
      <c r="R360" s="49">
        <f t="shared" si="67"/>
        <v>0</v>
      </c>
      <c r="S360" s="734">
        <f t="shared" si="58"/>
        <v>0</v>
      </c>
    </row>
    <row r="361" spans="1:19">
      <c r="A361" s="880"/>
      <c r="B361" s="126"/>
      <c r="C361" s="49">
        <f t="shared" si="59"/>
        <v>1</v>
      </c>
      <c r="D361" s="879"/>
      <c r="E361" s="49">
        <f t="shared" si="60"/>
        <v>1</v>
      </c>
      <c r="F361" s="879"/>
      <c r="G361" s="49">
        <f t="shared" si="61"/>
        <v>1</v>
      </c>
      <c r="H361" s="879"/>
      <c r="I361" s="49">
        <f t="shared" si="62"/>
        <v>1</v>
      </c>
      <c r="J361" s="879"/>
      <c r="K361" s="49">
        <f t="shared" si="63"/>
        <v>1</v>
      </c>
      <c r="L361" s="879"/>
      <c r="M361" s="49">
        <f t="shared" si="64"/>
        <v>1</v>
      </c>
      <c r="N361" s="879"/>
      <c r="O361" s="49">
        <f t="shared" si="65"/>
        <v>1</v>
      </c>
      <c r="P361" s="879"/>
      <c r="Q361" s="49">
        <f t="shared" si="66"/>
        <v>1</v>
      </c>
      <c r="R361" s="49">
        <f t="shared" si="67"/>
        <v>0</v>
      </c>
      <c r="S361" s="734">
        <f t="shared" si="58"/>
        <v>0</v>
      </c>
    </row>
    <row r="362" spans="1:19">
      <c r="A362" s="880"/>
      <c r="B362" s="126"/>
      <c r="C362" s="49">
        <f t="shared" si="59"/>
        <v>1</v>
      </c>
      <c r="D362" s="879"/>
      <c r="E362" s="49">
        <f t="shared" si="60"/>
        <v>1</v>
      </c>
      <c r="F362" s="879"/>
      <c r="G362" s="49">
        <f t="shared" si="61"/>
        <v>1</v>
      </c>
      <c r="H362" s="879"/>
      <c r="I362" s="49">
        <f t="shared" si="62"/>
        <v>1</v>
      </c>
      <c r="J362" s="879"/>
      <c r="K362" s="49">
        <f t="shared" si="63"/>
        <v>1</v>
      </c>
      <c r="L362" s="879"/>
      <c r="M362" s="49">
        <f t="shared" si="64"/>
        <v>1</v>
      </c>
      <c r="N362" s="879"/>
      <c r="O362" s="49">
        <f t="shared" si="65"/>
        <v>1</v>
      </c>
      <c r="P362" s="879"/>
      <c r="Q362" s="49">
        <f t="shared" si="66"/>
        <v>1</v>
      </c>
      <c r="R362" s="49">
        <f t="shared" si="67"/>
        <v>0</v>
      </c>
      <c r="S362" s="734">
        <f t="shared" si="58"/>
        <v>0</v>
      </c>
    </row>
    <row r="363" spans="1:19">
      <c r="A363" s="880"/>
      <c r="B363" s="126"/>
      <c r="C363" s="49">
        <f t="shared" si="59"/>
        <v>1</v>
      </c>
      <c r="D363" s="879"/>
      <c r="E363" s="49">
        <f t="shared" si="60"/>
        <v>1</v>
      </c>
      <c r="F363" s="879"/>
      <c r="G363" s="49">
        <f t="shared" si="61"/>
        <v>1</v>
      </c>
      <c r="H363" s="879"/>
      <c r="I363" s="49">
        <f t="shared" si="62"/>
        <v>1</v>
      </c>
      <c r="J363" s="879"/>
      <c r="K363" s="49">
        <f t="shared" si="63"/>
        <v>1</v>
      </c>
      <c r="L363" s="879"/>
      <c r="M363" s="49">
        <f t="shared" si="64"/>
        <v>1</v>
      </c>
      <c r="N363" s="879"/>
      <c r="O363" s="49">
        <f t="shared" si="65"/>
        <v>1</v>
      </c>
      <c r="P363" s="879"/>
      <c r="Q363" s="49">
        <f t="shared" si="66"/>
        <v>1</v>
      </c>
      <c r="R363" s="49">
        <f t="shared" si="67"/>
        <v>0</v>
      </c>
      <c r="S363" s="734">
        <f t="shared" si="58"/>
        <v>0</v>
      </c>
    </row>
    <row r="364" spans="1:19">
      <c r="A364" s="880"/>
      <c r="B364" s="126"/>
      <c r="C364" s="49">
        <f t="shared" si="59"/>
        <v>1</v>
      </c>
      <c r="D364" s="879"/>
      <c r="E364" s="49">
        <f t="shared" si="60"/>
        <v>1</v>
      </c>
      <c r="F364" s="879"/>
      <c r="G364" s="49">
        <f t="shared" si="61"/>
        <v>1</v>
      </c>
      <c r="H364" s="879"/>
      <c r="I364" s="49">
        <f t="shared" si="62"/>
        <v>1</v>
      </c>
      <c r="J364" s="879"/>
      <c r="K364" s="49">
        <f t="shared" si="63"/>
        <v>1</v>
      </c>
      <c r="L364" s="879"/>
      <c r="M364" s="49">
        <f t="shared" si="64"/>
        <v>1</v>
      </c>
      <c r="N364" s="879"/>
      <c r="O364" s="49">
        <f t="shared" si="65"/>
        <v>1</v>
      </c>
      <c r="P364" s="879"/>
      <c r="Q364" s="49">
        <f t="shared" si="66"/>
        <v>1</v>
      </c>
      <c r="R364" s="49">
        <f t="shared" si="67"/>
        <v>0</v>
      </c>
      <c r="S364" s="734">
        <f t="shared" si="58"/>
        <v>0</v>
      </c>
    </row>
    <row r="365" spans="1:19">
      <c r="A365" s="880"/>
      <c r="B365" s="126"/>
      <c r="C365" s="49">
        <f t="shared" si="59"/>
        <v>1</v>
      </c>
      <c r="D365" s="879"/>
      <c r="E365" s="49">
        <f t="shared" si="60"/>
        <v>1</v>
      </c>
      <c r="F365" s="879"/>
      <c r="G365" s="49">
        <f t="shared" si="61"/>
        <v>1</v>
      </c>
      <c r="H365" s="879"/>
      <c r="I365" s="49">
        <f t="shared" si="62"/>
        <v>1</v>
      </c>
      <c r="J365" s="879"/>
      <c r="K365" s="49">
        <f t="shared" si="63"/>
        <v>1</v>
      </c>
      <c r="L365" s="879"/>
      <c r="M365" s="49">
        <f t="shared" si="64"/>
        <v>1</v>
      </c>
      <c r="N365" s="879"/>
      <c r="O365" s="49">
        <f t="shared" si="65"/>
        <v>1</v>
      </c>
      <c r="P365" s="879"/>
      <c r="Q365" s="49">
        <f t="shared" si="66"/>
        <v>1</v>
      </c>
      <c r="R365" s="49">
        <f t="shared" si="67"/>
        <v>0</v>
      </c>
      <c r="S365" s="734">
        <f t="shared" si="58"/>
        <v>0</v>
      </c>
    </row>
    <row r="366" spans="1:19">
      <c r="A366" s="880"/>
      <c r="B366" s="126"/>
      <c r="C366" s="49">
        <f t="shared" si="59"/>
        <v>1</v>
      </c>
      <c r="D366" s="879"/>
      <c r="E366" s="49">
        <f t="shared" si="60"/>
        <v>1</v>
      </c>
      <c r="F366" s="879"/>
      <c r="G366" s="49">
        <f t="shared" si="61"/>
        <v>1</v>
      </c>
      <c r="H366" s="879"/>
      <c r="I366" s="49">
        <f t="shared" si="62"/>
        <v>1</v>
      </c>
      <c r="J366" s="879"/>
      <c r="K366" s="49">
        <f t="shared" si="63"/>
        <v>1</v>
      </c>
      <c r="L366" s="879"/>
      <c r="M366" s="49">
        <f t="shared" si="64"/>
        <v>1</v>
      </c>
      <c r="N366" s="879"/>
      <c r="O366" s="49">
        <f t="shared" si="65"/>
        <v>1</v>
      </c>
      <c r="P366" s="879"/>
      <c r="Q366" s="49">
        <f t="shared" si="66"/>
        <v>1</v>
      </c>
      <c r="R366" s="49">
        <f t="shared" si="67"/>
        <v>0</v>
      </c>
      <c r="S366" s="734">
        <f t="shared" si="58"/>
        <v>0</v>
      </c>
    </row>
    <row r="367" spans="1:19">
      <c r="A367" s="880"/>
      <c r="B367" s="126"/>
      <c r="C367" s="49">
        <f t="shared" si="59"/>
        <v>1</v>
      </c>
      <c r="D367" s="879"/>
      <c r="E367" s="49">
        <f t="shared" si="60"/>
        <v>1</v>
      </c>
      <c r="F367" s="879"/>
      <c r="G367" s="49">
        <f t="shared" si="61"/>
        <v>1</v>
      </c>
      <c r="H367" s="879"/>
      <c r="I367" s="49">
        <f t="shared" si="62"/>
        <v>1</v>
      </c>
      <c r="J367" s="879"/>
      <c r="K367" s="49">
        <f t="shared" si="63"/>
        <v>1</v>
      </c>
      <c r="L367" s="879"/>
      <c r="M367" s="49">
        <f t="shared" si="64"/>
        <v>1</v>
      </c>
      <c r="N367" s="879"/>
      <c r="O367" s="49">
        <f t="shared" si="65"/>
        <v>1</v>
      </c>
      <c r="P367" s="879"/>
      <c r="Q367" s="49">
        <f t="shared" si="66"/>
        <v>1</v>
      </c>
      <c r="R367" s="49">
        <f t="shared" si="67"/>
        <v>0</v>
      </c>
      <c r="S367" s="734">
        <f t="shared" si="58"/>
        <v>0</v>
      </c>
    </row>
    <row r="368" spans="1:19">
      <c r="A368" s="880"/>
      <c r="B368" s="126"/>
      <c r="C368" s="49">
        <f t="shared" si="59"/>
        <v>1</v>
      </c>
      <c r="D368" s="879"/>
      <c r="E368" s="49">
        <f t="shared" si="60"/>
        <v>1</v>
      </c>
      <c r="F368" s="879"/>
      <c r="G368" s="49">
        <f t="shared" si="61"/>
        <v>1</v>
      </c>
      <c r="H368" s="879"/>
      <c r="I368" s="49">
        <f t="shared" si="62"/>
        <v>1</v>
      </c>
      <c r="J368" s="879"/>
      <c r="K368" s="49">
        <f t="shared" si="63"/>
        <v>1</v>
      </c>
      <c r="L368" s="879"/>
      <c r="M368" s="49">
        <f t="shared" si="64"/>
        <v>1</v>
      </c>
      <c r="N368" s="879"/>
      <c r="O368" s="49">
        <f t="shared" si="65"/>
        <v>1</v>
      </c>
      <c r="P368" s="879"/>
      <c r="Q368" s="49">
        <f t="shared" si="66"/>
        <v>1</v>
      </c>
      <c r="R368" s="49">
        <f t="shared" si="67"/>
        <v>0</v>
      </c>
      <c r="S368" s="734">
        <f t="shared" si="58"/>
        <v>0</v>
      </c>
    </row>
    <row r="369" spans="1:19">
      <c r="A369" s="880"/>
      <c r="B369" s="126"/>
      <c r="C369" s="49">
        <f t="shared" si="59"/>
        <v>1</v>
      </c>
      <c r="D369" s="879"/>
      <c r="E369" s="49">
        <f t="shared" si="60"/>
        <v>1</v>
      </c>
      <c r="F369" s="879"/>
      <c r="G369" s="49">
        <f t="shared" si="61"/>
        <v>1</v>
      </c>
      <c r="H369" s="879"/>
      <c r="I369" s="49">
        <f t="shared" si="62"/>
        <v>1</v>
      </c>
      <c r="J369" s="879"/>
      <c r="K369" s="49">
        <f t="shared" si="63"/>
        <v>1</v>
      </c>
      <c r="L369" s="879"/>
      <c r="M369" s="49">
        <f t="shared" si="64"/>
        <v>1</v>
      </c>
      <c r="N369" s="879"/>
      <c r="O369" s="49">
        <f t="shared" si="65"/>
        <v>1</v>
      </c>
      <c r="P369" s="879"/>
      <c r="Q369" s="49">
        <f t="shared" si="66"/>
        <v>1</v>
      </c>
      <c r="R369" s="49">
        <f t="shared" si="67"/>
        <v>0</v>
      </c>
      <c r="S369" s="734">
        <f t="shared" si="58"/>
        <v>0</v>
      </c>
    </row>
    <row r="370" spans="1:19">
      <c r="A370" s="880"/>
      <c r="B370" s="126"/>
      <c r="C370" s="49">
        <f t="shared" si="59"/>
        <v>1</v>
      </c>
      <c r="D370" s="879"/>
      <c r="E370" s="49">
        <f t="shared" si="60"/>
        <v>1</v>
      </c>
      <c r="F370" s="879"/>
      <c r="G370" s="49">
        <f t="shared" si="61"/>
        <v>1</v>
      </c>
      <c r="H370" s="879"/>
      <c r="I370" s="49">
        <f t="shared" si="62"/>
        <v>1</v>
      </c>
      <c r="J370" s="879"/>
      <c r="K370" s="49">
        <f t="shared" si="63"/>
        <v>1</v>
      </c>
      <c r="L370" s="879"/>
      <c r="M370" s="49">
        <f t="shared" si="64"/>
        <v>1</v>
      </c>
      <c r="N370" s="879"/>
      <c r="O370" s="49">
        <f t="shared" si="65"/>
        <v>1</v>
      </c>
      <c r="P370" s="879"/>
      <c r="Q370" s="49">
        <f t="shared" si="66"/>
        <v>1</v>
      </c>
      <c r="R370" s="49">
        <f t="shared" si="67"/>
        <v>0</v>
      </c>
      <c r="S370" s="734">
        <f t="shared" si="58"/>
        <v>0</v>
      </c>
    </row>
    <row r="371" spans="1:19">
      <c r="A371" s="880"/>
      <c r="B371" s="126"/>
      <c r="C371" s="49">
        <f t="shared" si="59"/>
        <v>1</v>
      </c>
      <c r="D371" s="879"/>
      <c r="E371" s="49">
        <f t="shared" si="60"/>
        <v>1</v>
      </c>
      <c r="F371" s="879"/>
      <c r="G371" s="49">
        <f t="shared" si="61"/>
        <v>1</v>
      </c>
      <c r="H371" s="879"/>
      <c r="I371" s="49">
        <f t="shared" si="62"/>
        <v>1</v>
      </c>
      <c r="J371" s="879"/>
      <c r="K371" s="49">
        <f t="shared" si="63"/>
        <v>1</v>
      </c>
      <c r="L371" s="879"/>
      <c r="M371" s="49">
        <f t="shared" si="64"/>
        <v>1</v>
      </c>
      <c r="N371" s="879"/>
      <c r="O371" s="49">
        <f t="shared" si="65"/>
        <v>1</v>
      </c>
      <c r="P371" s="879"/>
      <c r="Q371" s="49">
        <f t="shared" si="66"/>
        <v>1</v>
      </c>
      <c r="R371" s="49">
        <f t="shared" si="67"/>
        <v>0</v>
      </c>
      <c r="S371" s="734">
        <f t="shared" si="58"/>
        <v>0</v>
      </c>
    </row>
    <row r="372" spans="1:19">
      <c r="A372" s="880"/>
      <c r="B372" s="126"/>
      <c r="C372" s="49">
        <f t="shared" si="59"/>
        <v>1</v>
      </c>
      <c r="D372" s="879"/>
      <c r="E372" s="49">
        <f t="shared" si="60"/>
        <v>1</v>
      </c>
      <c r="F372" s="879"/>
      <c r="G372" s="49">
        <f t="shared" si="61"/>
        <v>1</v>
      </c>
      <c r="H372" s="879"/>
      <c r="I372" s="49">
        <f t="shared" si="62"/>
        <v>1</v>
      </c>
      <c r="J372" s="879"/>
      <c r="K372" s="49">
        <f t="shared" si="63"/>
        <v>1</v>
      </c>
      <c r="L372" s="879"/>
      <c r="M372" s="49">
        <f t="shared" si="64"/>
        <v>1</v>
      </c>
      <c r="N372" s="879"/>
      <c r="O372" s="49">
        <f t="shared" si="65"/>
        <v>1</v>
      </c>
      <c r="P372" s="879"/>
      <c r="Q372" s="49">
        <f t="shared" si="66"/>
        <v>1</v>
      </c>
      <c r="R372" s="49">
        <f t="shared" si="67"/>
        <v>0</v>
      </c>
      <c r="S372" s="734">
        <f t="shared" si="58"/>
        <v>0</v>
      </c>
    </row>
    <row r="373" spans="1:19">
      <c r="A373" s="880"/>
      <c r="B373" s="126"/>
      <c r="C373" s="49">
        <f t="shared" si="59"/>
        <v>1</v>
      </c>
      <c r="D373" s="879"/>
      <c r="E373" s="49">
        <f t="shared" si="60"/>
        <v>1</v>
      </c>
      <c r="F373" s="879"/>
      <c r="G373" s="49">
        <f t="shared" si="61"/>
        <v>1</v>
      </c>
      <c r="H373" s="879"/>
      <c r="I373" s="49">
        <f t="shared" si="62"/>
        <v>1</v>
      </c>
      <c r="J373" s="879"/>
      <c r="K373" s="49">
        <f t="shared" si="63"/>
        <v>1</v>
      </c>
      <c r="L373" s="879"/>
      <c r="M373" s="49">
        <f t="shared" si="64"/>
        <v>1</v>
      </c>
      <c r="N373" s="879"/>
      <c r="O373" s="49">
        <f t="shared" si="65"/>
        <v>1</v>
      </c>
      <c r="P373" s="879"/>
      <c r="Q373" s="49">
        <f t="shared" si="66"/>
        <v>1</v>
      </c>
      <c r="R373" s="49">
        <f t="shared" si="67"/>
        <v>0</v>
      </c>
      <c r="S373" s="734">
        <f t="shared" si="58"/>
        <v>0</v>
      </c>
    </row>
    <row r="374" spans="1:19">
      <c r="A374" s="880"/>
      <c r="B374" s="126"/>
      <c r="C374" s="49">
        <f t="shared" si="59"/>
        <v>1</v>
      </c>
      <c r="D374" s="879"/>
      <c r="E374" s="49">
        <f t="shared" si="60"/>
        <v>1</v>
      </c>
      <c r="F374" s="879"/>
      <c r="G374" s="49">
        <f t="shared" si="61"/>
        <v>1</v>
      </c>
      <c r="H374" s="879"/>
      <c r="I374" s="49">
        <f t="shared" si="62"/>
        <v>1</v>
      </c>
      <c r="J374" s="879"/>
      <c r="K374" s="49">
        <f t="shared" si="63"/>
        <v>1</v>
      </c>
      <c r="L374" s="879"/>
      <c r="M374" s="49">
        <f t="shared" si="64"/>
        <v>1</v>
      </c>
      <c r="N374" s="879"/>
      <c r="O374" s="49">
        <f t="shared" si="65"/>
        <v>1</v>
      </c>
      <c r="P374" s="879"/>
      <c r="Q374" s="49">
        <f t="shared" si="66"/>
        <v>1</v>
      </c>
      <c r="R374" s="49">
        <f t="shared" si="67"/>
        <v>0</v>
      </c>
      <c r="S374" s="734">
        <f t="shared" si="58"/>
        <v>0</v>
      </c>
    </row>
    <row r="375" spans="1:19">
      <c r="A375" s="880"/>
      <c r="B375" s="126"/>
      <c r="C375" s="49">
        <f t="shared" si="59"/>
        <v>1</v>
      </c>
      <c r="D375" s="879"/>
      <c r="E375" s="49">
        <f t="shared" si="60"/>
        <v>1</v>
      </c>
      <c r="F375" s="879"/>
      <c r="G375" s="49">
        <f t="shared" si="61"/>
        <v>1</v>
      </c>
      <c r="H375" s="879"/>
      <c r="I375" s="49">
        <f t="shared" si="62"/>
        <v>1</v>
      </c>
      <c r="J375" s="879"/>
      <c r="K375" s="49">
        <f t="shared" si="63"/>
        <v>1</v>
      </c>
      <c r="L375" s="879"/>
      <c r="M375" s="49">
        <f t="shared" si="64"/>
        <v>1</v>
      </c>
      <c r="N375" s="879"/>
      <c r="O375" s="49">
        <f t="shared" si="65"/>
        <v>1</v>
      </c>
      <c r="P375" s="879"/>
      <c r="Q375" s="49">
        <f t="shared" si="66"/>
        <v>1</v>
      </c>
      <c r="R375" s="49">
        <f t="shared" si="67"/>
        <v>0</v>
      </c>
      <c r="S375" s="734">
        <f t="shared" si="58"/>
        <v>0</v>
      </c>
    </row>
    <row r="376" spans="1:19">
      <c r="A376" s="880"/>
      <c r="B376" s="126"/>
      <c r="C376" s="49">
        <f t="shared" si="59"/>
        <v>1</v>
      </c>
      <c r="D376" s="879"/>
      <c r="E376" s="49">
        <f t="shared" si="60"/>
        <v>1</v>
      </c>
      <c r="F376" s="879"/>
      <c r="G376" s="49">
        <f t="shared" si="61"/>
        <v>1</v>
      </c>
      <c r="H376" s="879"/>
      <c r="I376" s="49">
        <f t="shared" si="62"/>
        <v>1</v>
      </c>
      <c r="J376" s="879"/>
      <c r="K376" s="49">
        <f t="shared" si="63"/>
        <v>1</v>
      </c>
      <c r="L376" s="879"/>
      <c r="M376" s="49">
        <f t="shared" si="64"/>
        <v>1</v>
      </c>
      <c r="N376" s="879"/>
      <c r="O376" s="49">
        <f t="shared" si="65"/>
        <v>1</v>
      </c>
      <c r="P376" s="879"/>
      <c r="Q376" s="49">
        <f t="shared" si="66"/>
        <v>1</v>
      </c>
      <c r="R376" s="49">
        <f t="shared" si="67"/>
        <v>0</v>
      </c>
      <c r="S376" s="734">
        <f t="shared" si="58"/>
        <v>0</v>
      </c>
    </row>
    <row r="377" spans="1:19">
      <c r="A377" s="880"/>
      <c r="B377" s="126"/>
      <c r="C377" s="49">
        <f t="shared" si="59"/>
        <v>1</v>
      </c>
      <c r="D377" s="879"/>
      <c r="E377" s="49">
        <f t="shared" si="60"/>
        <v>1</v>
      </c>
      <c r="F377" s="879"/>
      <c r="G377" s="49">
        <f t="shared" si="61"/>
        <v>1</v>
      </c>
      <c r="H377" s="879"/>
      <c r="I377" s="49">
        <f t="shared" si="62"/>
        <v>1</v>
      </c>
      <c r="J377" s="879"/>
      <c r="K377" s="49">
        <f t="shared" si="63"/>
        <v>1</v>
      </c>
      <c r="L377" s="879"/>
      <c r="M377" s="49">
        <f t="shared" si="64"/>
        <v>1</v>
      </c>
      <c r="N377" s="879"/>
      <c r="O377" s="49">
        <f t="shared" si="65"/>
        <v>1</v>
      </c>
      <c r="P377" s="879"/>
      <c r="Q377" s="49">
        <f t="shared" si="66"/>
        <v>1</v>
      </c>
      <c r="R377" s="49">
        <f t="shared" si="67"/>
        <v>0</v>
      </c>
      <c r="S377" s="734">
        <f t="shared" si="58"/>
        <v>0</v>
      </c>
    </row>
    <row r="378" spans="1:19">
      <c r="A378" s="880"/>
      <c r="B378" s="126"/>
      <c r="C378" s="49">
        <f t="shared" si="59"/>
        <v>1</v>
      </c>
      <c r="D378" s="879"/>
      <c r="E378" s="49">
        <f t="shared" si="60"/>
        <v>1</v>
      </c>
      <c r="F378" s="879"/>
      <c r="G378" s="49">
        <f t="shared" si="61"/>
        <v>1</v>
      </c>
      <c r="H378" s="879"/>
      <c r="I378" s="49">
        <f t="shared" si="62"/>
        <v>1</v>
      </c>
      <c r="J378" s="879"/>
      <c r="K378" s="49">
        <f t="shared" si="63"/>
        <v>1</v>
      </c>
      <c r="L378" s="879"/>
      <c r="M378" s="49">
        <f t="shared" si="64"/>
        <v>1</v>
      </c>
      <c r="N378" s="879"/>
      <c r="O378" s="49">
        <f t="shared" si="65"/>
        <v>1</v>
      </c>
      <c r="P378" s="879"/>
      <c r="Q378" s="49">
        <f t="shared" si="66"/>
        <v>1</v>
      </c>
      <c r="R378" s="49">
        <f t="shared" si="67"/>
        <v>0</v>
      </c>
      <c r="S378" s="734">
        <f t="shared" si="58"/>
        <v>0</v>
      </c>
    </row>
    <row r="379" spans="1:19">
      <c r="A379" s="880"/>
      <c r="B379" s="126"/>
      <c r="C379" s="49">
        <f t="shared" si="59"/>
        <v>1</v>
      </c>
      <c r="D379" s="879"/>
      <c r="E379" s="49">
        <f t="shared" si="60"/>
        <v>1</v>
      </c>
      <c r="F379" s="879"/>
      <c r="G379" s="49">
        <f t="shared" si="61"/>
        <v>1</v>
      </c>
      <c r="H379" s="879"/>
      <c r="I379" s="49">
        <f t="shared" si="62"/>
        <v>1</v>
      </c>
      <c r="J379" s="879"/>
      <c r="K379" s="49">
        <f t="shared" si="63"/>
        <v>1</v>
      </c>
      <c r="L379" s="879"/>
      <c r="M379" s="49">
        <f t="shared" si="64"/>
        <v>1</v>
      </c>
      <c r="N379" s="879"/>
      <c r="O379" s="49">
        <f t="shared" si="65"/>
        <v>1</v>
      </c>
      <c r="P379" s="879"/>
      <c r="Q379" s="49">
        <f t="shared" si="66"/>
        <v>1</v>
      </c>
      <c r="R379" s="49">
        <f t="shared" si="67"/>
        <v>0</v>
      </c>
      <c r="S379" s="734">
        <f t="shared" si="58"/>
        <v>0</v>
      </c>
    </row>
    <row r="380" spans="1:19">
      <c r="A380" s="880"/>
      <c r="B380" s="126"/>
      <c r="C380" s="49">
        <f t="shared" si="59"/>
        <v>1</v>
      </c>
      <c r="D380" s="879"/>
      <c r="E380" s="49">
        <f t="shared" si="60"/>
        <v>1</v>
      </c>
      <c r="F380" s="879"/>
      <c r="G380" s="49">
        <f t="shared" si="61"/>
        <v>1</v>
      </c>
      <c r="H380" s="879"/>
      <c r="I380" s="49">
        <f t="shared" si="62"/>
        <v>1</v>
      </c>
      <c r="J380" s="879"/>
      <c r="K380" s="49">
        <f t="shared" si="63"/>
        <v>1</v>
      </c>
      <c r="L380" s="879"/>
      <c r="M380" s="49">
        <f t="shared" si="64"/>
        <v>1</v>
      </c>
      <c r="N380" s="879"/>
      <c r="O380" s="49">
        <f t="shared" si="65"/>
        <v>1</v>
      </c>
      <c r="P380" s="879"/>
      <c r="Q380" s="49">
        <f t="shared" si="66"/>
        <v>1</v>
      </c>
      <c r="R380" s="49">
        <f t="shared" si="67"/>
        <v>0</v>
      </c>
      <c r="S380" s="734">
        <f t="shared" si="58"/>
        <v>0</v>
      </c>
    </row>
    <row r="381" spans="1:19">
      <c r="A381" s="880"/>
      <c r="B381" s="126"/>
      <c r="C381" s="49">
        <f t="shared" si="59"/>
        <v>1</v>
      </c>
      <c r="D381" s="879"/>
      <c r="E381" s="49">
        <f t="shared" si="60"/>
        <v>1</v>
      </c>
      <c r="F381" s="879"/>
      <c r="G381" s="49">
        <f t="shared" si="61"/>
        <v>1</v>
      </c>
      <c r="H381" s="879"/>
      <c r="I381" s="49">
        <f t="shared" si="62"/>
        <v>1</v>
      </c>
      <c r="J381" s="879"/>
      <c r="K381" s="49">
        <f t="shared" si="63"/>
        <v>1</v>
      </c>
      <c r="L381" s="879"/>
      <c r="M381" s="49">
        <f t="shared" si="64"/>
        <v>1</v>
      </c>
      <c r="N381" s="879"/>
      <c r="O381" s="49">
        <f t="shared" si="65"/>
        <v>1</v>
      </c>
      <c r="P381" s="879"/>
      <c r="Q381" s="49">
        <f t="shared" si="66"/>
        <v>1</v>
      </c>
      <c r="R381" s="49">
        <f t="shared" si="67"/>
        <v>0</v>
      </c>
      <c r="S381" s="734">
        <f t="shared" si="58"/>
        <v>0</v>
      </c>
    </row>
    <row r="382" spans="1:19">
      <c r="A382" s="880"/>
      <c r="B382" s="126"/>
      <c r="C382" s="49">
        <f t="shared" si="59"/>
        <v>1</v>
      </c>
      <c r="D382" s="879"/>
      <c r="E382" s="49">
        <f t="shared" si="60"/>
        <v>1</v>
      </c>
      <c r="F382" s="879"/>
      <c r="G382" s="49">
        <f t="shared" si="61"/>
        <v>1</v>
      </c>
      <c r="H382" s="879"/>
      <c r="I382" s="49">
        <f t="shared" si="62"/>
        <v>1</v>
      </c>
      <c r="J382" s="879"/>
      <c r="K382" s="49">
        <f t="shared" si="63"/>
        <v>1</v>
      </c>
      <c r="L382" s="879"/>
      <c r="M382" s="49">
        <f t="shared" si="64"/>
        <v>1</v>
      </c>
      <c r="N382" s="879"/>
      <c r="O382" s="49">
        <f t="shared" si="65"/>
        <v>1</v>
      </c>
      <c r="P382" s="879"/>
      <c r="Q382" s="49">
        <f t="shared" si="66"/>
        <v>1</v>
      </c>
      <c r="R382" s="49">
        <f t="shared" si="67"/>
        <v>0</v>
      </c>
      <c r="S382" s="734">
        <f t="shared" si="58"/>
        <v>0</v>
      </c>
    </row>
    <row r="383" spans="1:19">
      <c r="A383" s="880"/>
      <c r="B383" s="126"/>
      <c r="C383" s="49">
        <f t="shared" si="59"/>
        <v>1</v>
      </c>
      <c r="D383" s="879"/>
      <c r="E383" s="49">
        <f t="shared" si="60"/>
        <v>1</v>
      </c>
      <c r="F383" s="879"/>
      <c r="G383" s="49">
        <f t="shared" si="61"/>
        <v>1</v>
      </c>
      <c r="H383" s="879"/>
      <c r="I383" s="49">
        <f t="shared" si="62"/>
        <v>1</v>
      </c>
      <c r="J383" s="879"/>
      <c r="K383" s="49">
        <f t="shared" si="63"/>
        <v>1</v>
      </c>
      <c r="L383" s="879"/>
      <c r="M383" s="49">
        <f t="shared" si="64"/>
        <v>1</v>
      </c>
      <c r="N383" s="879"/>
      <c r="O383" s="49">
        <f t="shared" si="65"/>
        <v>1</v>
      </c>
      <c r="P383" s="879"/>
      <c r="Q383" s="49">
        <f t="shared" si="66"/>
        <v>1</v>
      </c>
      <c r="R383" s="49">
        <f t="shared" si="67"/>
        <v>0</v>
      </c>
      <c r="S383" s="734">
        <f t="shared" si="58"/>
        <v>0</v>
      </c>
    </row>
    <row r="384" spans="1:19">
      <c r="A384" s="880"/>
      <c r="B384" s="126"/>
      <c r="C384" s="49">
        <f t="shared" si="59"/>
        <v>1</v>
      </c>
      <c r="D384" s="879"/>
      <c r="E384" s="49">
        <f t="shared" si="60"/>
        <v>1</v>
      </c>
      <c r="F384" s="879"/>
      <c r="G384" s="49">
        <f t="shared" si="61"/>
        <v>1</v>
      </c>
      <c r="H384" s="879"/>
      <c r="I384" s="49">
        <f t="shared" si="62"/>
        <v>1</v>
      </c>
      <c r="J384" s="879"/>
      <c r="K384" s="49">
        <f t="shared" si="63"/>
        <v>1</v>
      </c>
      <c r="L384" s="879"/>
      <c r="M384" s="49">
        <f t="shared" si="64"/>
        <v>1</v>
      </c>
      <c r="N384" s="879"/>
      <c r="O384" s="49">
        <f t="shared" si="65"/>
        <v>1</v>
      </c>
      <c r="P384" s="879"/>
      <c r="Q384" s="49">
        <f t="shared" si="66"/>
        <v>1</v>
      </c>
      <c r="R384" s="49">
        <f t="shared" si="67"/>
        <v>0</v>
      </c>
      <c r="S384" s="734">
        <f t="shared" si="58"/>
        <v>0</v>
      </c>
    </row>
    <row r="385" spans="1:19">
      <c r="A385" s="880"/>
      <c r="B385" s="126"/>
      <c r="C385" s="49">
        <f t="shared" si="59"/>
        <v>1</v>
      </c>
      <c r="D385" s="879"/>
      <c r="E385" s="49">
        <f t="shared" si="60"/>
        <v>1</v>
      </c>
      <c r="F385" s="879"/>
      <c r="G385" s="49">
        <f t="shared" si="61"/>
        <v>1</v>
      </c>
      <c r="H385" s="879"/>
      <c r="I385" s="49">
        <f t="shared" si="62"/>
        <v>1</v>
      </c>
      <c r="J385" s="879"/>
      <c r="K385" s="49">
        <f t="shared" si="63"/>
        <v>1</v>
      </c>
      <c r="L385" s="879"/>
      <c r="M385" s="49">
        <f t="shared" si="64"/>
        <v>1</v>
      </c>
      <c r="N385" s="879"/>
      <c r="O385" s="49">
        <f t="shared" si="65"/>
        <v>1</v>
      </c>
      <c r="P385" s="879"/>
      <c r="Q385" s="49">
        <f t="shared" si="66"/>
        <v>1</v>
      </c>
      <c r="R385" s="49">
        <f t="shared" si="67"/>
        <v>0</v>
      </c>
      <c r="S385" s="734">
        <f t="shared" ref="S385:S422" si="68">ROUND(R385*B385/10000,0)</f>
        <v>0</v>
      </c>
    </row>
    <row r="386" spans="1:19">
      <c r="A386" s="880"/>
      <c r="B386" s="126"/>
      <c r="C386" s="49">
        <f t="shared" si="59"/>
        <v>1</v>
      </c>
      <c r="D386" s="879"/>
      <c r="E386" s="49">
        <f t="shared" si="60"/>
        <v>1</v>
      </c>
      <c r="F386" s="879"/>
      <c r="G386" s="49">
        <f t="shared" si="61"/>
        <v>1</v>
      </c>
      <c r="H386" s="879"/>
      <c r="I386" s="49">
        <f t="shared" si="62"/>
        <v>1</v>
      </c>
      <c r="J386" s="879"/>
      <c r="K386" s="49">
        <f t="shared" si="63"/>
        <v>1</v>
      </c>
      <c r="L386" s="879"/>
      <c r="M386" s="49">
        <f t="shared" si="64"/>
        <v>1</v>
      </c>
      <c r="N386" s="879"/>
      <c r="O386" s="49">
        <f t="shared" si="65"/>
        <v>1</v>
      </c>
      <c r="P386" s="879"/>
      <c r="Q386" s="49">
        <f t="shared" si="66"/>
        <v>1</v>
      </c>
      <c r="R386" s="49">
        <f t="shared" si="67"/>
        <v>0</v>
      </c>
      <c r="S386" s="734">
        <f t="shared" si="68"/>
        <v>0</v>
      </c>
    </row>
    <row r="387" spans="1:19">
      <c r="A387" s="880"/>
      <c r="B387" s="126"/>
      <c r="C387" s="49">
        <f t="shared" si="59"/>
        <v>1</v>
      </c>
      <c r="D387" s="879"/>
      <c r="E387" s="49">
        <f t="shared" si="60"/>
        <v>1</v>
      </c>
      <c r="F387" s="879"/>
      <c r="G387" s="49">
        <f t="shared" si="61"/>
        <v>1</v>
      </c>
      <c r="H387" s="879"/>
      <c r="I387" s="49">
        <f t="shared" si="62"/>
        <v>1</v>
      </c>
      <c r="J387" s="879"/>
      <c r="K387" s="49">
        <f t="shared" si="63"/>
        <v>1</v>
      </c>
      <c r="L387" s="879"/>
      <c r="M387" s="49">
        <f t="shared" si="64"/>
        <v>1</v>
      </c>
      <c r="N387" s="879"/>
      <c r="O387" s="49">
        <f t="shared" si="65"/>
        <v>1</v>
      </c>
      <c r="P387" s="879"/>
      <c r="Q387" s="49">
        <f t="shared" si="66"/>
        <v>1</v>
      </c>
      <c r="R387" s="49">
        <f t="shared" si="67"/>
        <v>0</v>
      </c>
      <c r="S387" s="734">
        <f t="shared" si="68"/>
        <v>0</v>
      </c>
    </row>
    <row r="388" spans="1:19">
      <c r="A388" s="880"/>
      <c r="B388" s="126"/>
      <c r="C388" s="49">
        <f t="shared" si="59"/>
        <v>1</v>
      </c>
      <c r="D388" s="879"/>
      <c r="E388" s="49">
        <f t="shared" si="60"/>
        <v>1</v>
      </c>
      <c r="F388" s="879"/>
      <c r="G388" s="49">
        <f t="shared" si="61"/>
        <v>1</v>
      </c>
      <c r="H388" s="879"/>
      <c r="I388" s="49">
        <f t="shared" si="62"/>
        <v>1</v>
      </c>
      <c r="J388" s="879"/>
      <c r="K388" s="49">
        <f t="shared" si="63"/>
        <v>1</v>
      </c>
      <c r="L388" s="879"/>
      <c r="M388" s="49">
        <f t="shared" si="64"/>
        <v>1</v>
      </c>
      <c r="N388" s="879"/>
      <c r="O388" s="49">
        <f t="shared" si="65"/>
        <v>1</v>
      </c>
      <c r="P388" s="879"/>
      <c r="Q388" s="49">
        <f t="shared" si="66"/>
        <v>1</v>
      </c>
      <c r="R388" s="49">
        <f t="shared" si="67"/>
        <v>0</v>
      </c>
      <c r="S388" s="734">
        <f t="shared" si="68"/>
        <v>0</v>
      </c>
    </row>
    <row r="389" spans="1:19">
      <c r="A389" s="880"/>
      <c r="B389" s="126"/>
      <c r="C389" s="49">
        <f t="shared" si="59"/>
        <v>1</v>
      </c>
      <c r="D389" s="879"/>
      <c r="E389" s="49">
        <f t="shared" si="60"/>
        <v>1</v>
      </c>
      <c r="F389" s="879"/>
      <c r="G389" s="49">
        <f t="shared" si="61"/>
        <v>1</v>
      </c>
      <c r="H389" s="879"/>
      <c r="I389" s="49">
        <f t="shared" si="62"/>
        <v>1</v>
      </c>
      <c r="J389" s="879"/>
      <c r="K389" s="49">
        <f t="shared" si="63"/>
        <v>1</v>
      </c>
      <c r="L389" s="879"/>
      <c r="M389" s="49">
        <f t="shared" si="64"/>
        <v>1</v>
      </c>
      <c r="N389" s="879"/>
      <c r="O389" s="49">
        <f t="shared" si="65"/>
        <v>1</v>
      </c>
      <c r="P389" s="879"/>
      <c r="Q389" s="49">
        <f t="shared" si="66"/>
        <v>1</v>
      </c>
      <c r="R389" s="49">
        <f t="shared" si="67"/>
        <v>0</v>
      </c>
      <c r="S389" s="734">
        <f t="shared" si="68"/>
        <v>0</v>
      </c>
    </row>
    <row r="390" spans="1:19">
      <c r="A390" s="880"/>
      <c r="B390" s="126"/>
      <c r="C390" s="49">
        <f t="shared" si="59"/>
        <v>1</v>
      </c>
      <c r="D390" s="879"/>
      <c r="E390" s="49">
        <f t="shared" si="60"/>
        <v>1</v>
      </c>
      <c r="F390" s="879"/>
      <c r="G390" s="49">
        <f t="shared" si="61"/>
        <v>1</v>
      </c>
      <c r="H390" s="879"/>
      <c r="I390" s="49">
        <f t="shared" si="62"/>
        <v>1</v>
      </c>
      <c r="J390" s="879"/>
      <c r="K390" s="49">
        <f t="shared" si="63"/>
        <v>1</v>
      </c>
      <c r="L390" s="879"/>
      <c r="M390" s="49">
        <f t="shared" si="64"/>
        <v>1</v>
      </c>
      <c r="N390" s="879"/>
      <c r="O390" s="49">
        <f t="shared" si="65"/>
        <v>1</v>
      </c>
      <c r="P390" s="879"/>
      <c r="Q390" s="49">
        <f t="shared" si="66"/>
        <v>1</v>
      </c>
      <c r="R390" s="49">
        <f t="shared" si="67"/>
        <v>0</v>
      </c>
      <c r="S390" s="734">
        <f t="shared" si="68"/>
        <v>0</v>
      </c>
    </row>
    <row r="391" spans="1:19">
      <c r="A391" s="880"/>
      <c r="B391" s="126"/>
      <c r="C391" s="49">
        <f t="shared" si="59"/>
        <v>1</v>
      </c>
      <c r="D391" s="879"/>
      <c r="E391" s="49">
        <f t="shared" si="60"/>
        <v>1</v>
      </c>
      <c r="F391" s="879"/>
      <c r="G391" s="49">
        <f t="shared" si="61"/>
        <v>1</v>
      </c>
      <c r="H391" s="879"/>
      <c r="I391" s="49">
        <f t="shared" si="62"/>
        <v>1</v>
      </c>
      <c r="J391" s="879"/>
      <c r="K391" s="49">
        <f t="shared" si="63"/>
        <v>1</v>
      </c>
      <c r="L391" s="879"/>
      <c r="M391" s="49">
        <f t="shared" si="64"/>
        <v>1</v>
      </c>
      <c r="N391" s="879"/>
      <c r="O391" s="49">
        <f t="shared" si="65"/>
        <v>1</v>
      </c>
      <c r="P391" s="879"/>
      <c r="Q391" s="49">
        <f t="shared" si="66"/>
        <v>1</v>
      </c>
      <c r="R391" s="49">
        <f t="shared" si="67"/>
        <v>0</v>
      </c>
      <c r="S391" s="734">
        <f t="shared" si="68"/>
        <v>0</v>
      </c>
    </row>
    <row r="392" spans="1:19">
      <c r="A392" s="880"/>
      <c r="B392" s="126"/>
      <c r="C392" s="49">
        <f t="shared" si="59"/>
        <v>1</v>
      </c>
      <c r="D392" s="879"/>
      <c r="E392" s="49">
        <f t="shared" si="60"/>
        <v>1</v>
      </c>
      <c r="F392" s="879"/>
      <c r="G392" s="49">
        <f t="shared" si="61"/>
        <v>1</v>
      </c>
      <c r="H392" s="879"/>
      <c r="I392" s="49">
        <f t="shared" si="62"/>
        <v>1</v>
      </c>
      <c r="J392" s="879"/>
      <c r="K392" s="49">
        <f t="shared" si="63"/>
        <v>1</v>
      </c>
      <c r="L392" s="879"/>
      <c r="M392" s="49">
        <f t="shared" si="64"/>
        <v>1</v>
      </c>
      <c r="N392" s="879"/>
      <c r="O392" s="49">
        <f t="shared" si="65"/>
        <v>1</v>
      </c>
      <c r="P392" s="879"/>
      <c r="Q392" s="49">
        <f t="shared" si="66"/>
        <v>1</v>
      </c>
      <c r="R392" s="49">
        <f t="shared" si="67"/>
        <v>0</v>
      </c>
      <c r="S392" s="734">
        <f t="shared" si="68"/>
        <v>0</v>
      </c>
    </row>
    <row r="393" spans="1:19">
      <c r="A393" s="880"/>
      <c r="B393" s="126"/>
      <c r="C393" s="49">
        <f t="shared" si="59"/>
        <v>1</v>
      </c>
      <c r="D393" s="879"/>
      <c r="E393" s="49">
        <f t="shared" si="60"/>
        <v>1</v>
      </c>
      <c r="F393" s="879"/>
      <c r="G393" s="49">
        <f t="shared" si="61"/>
        <v>1</v>
      </c>
      <c r="H393" s="879"/>
      <c r="I393" s="49">
        <f t="shared" si="62"/>
        <v>1</v>
      </c>
      <c r="J393" s="879"/>
      <c r="K393" s="49">
        <f t="shared" si="63"/>
        <v>1</v>
      </c>
      <c r="L393" s="879"/>
      <c r="M393" s="49">
        <f t="shared" si="64"/>
        <v>1</v>
      </c>
      <c r="N393" s="879"/>
      <c r="O393" s="49">
        <f t="shared" si="65"/>
        <v>1</v>
      </c>
      <c r="P393" s="879"/>
      <c r="Q393" s="49">
        <f t="shared" si="66"/>
        <v>1</v>
      </c>
      <c r="R393" s="49">
        <f t="shared" si="67"/>
        <v>0</v>
      </c>
      <c r="S393" s="734">
        <f t="shared" si="68"/>
        <v>0</v>
      </c>
    </row>
    <row r="394" spans="1:19">
      <c r="A394" s="880"/>
      <c r="B394" s="126"/>
      <c r="C394" s="49">
        <f t="shared" si="59"/>
        <v>1</v>
      </c>
      <c r="D394" s="879"/>
      <c r="E394" s="49">
        <f t="shared" si="60"/>
        <v>1</v>
      </c>
      <c r="F394" s="879"/>
      <c r="G394" s="49">
        <f t="shared" si="61"/>
        <v>1</v>
      </c>
      <c r="H394" s="879"/>
      <c r="I394" s="49">
        <f t="shared" si="62"/>
        <v>1</v>
      </c>
      <c r="J394" s="879"/>
      <c r="K394" s="49">
        <f t="shared" si="63"/>
        <v>1</v>
      </c>
      <c r="L394" s="879"/>
      <c r="M394" s="49">
        <f t="shared" si="64"/>
        <v>1</v>
      </c>
      <c r="N394" s="879"/>
      <c r="O394" s="49">
        <f t="shared" si="65"/>
        <v>1</v>
      </c>
      <c r="P394" s="879"/>
      <c r="Q394" s="49">
        <f t="shared" si="66"/>
        <v>1</v>
      </c>
      <c r="R394" s="49">
        <f t="shared" si="67"/>
        <v>0</v>
      </c>
      <c r="S394" s="734">
        <f t="shared" si="68"/>
        <v>0</v>
      </c>
    </row>
    <row r="395" spans="1:19">
      <c r="A395" s="880"/>
      <c r="B395" s="126"/>
      <c r="C395" s="49">
        <f t="shared" si="59"/>
        <v>1</v>
      </c>
      <c r="D395" s="879"/>
      <c r="E395" s="49">
        <f t="shared" si="60"/>
        <v>1</v>
      </c>
      <c r="F395" s="879"/>
      <c r="G395" s="49">
        <f t="shared" si="61"/>
        <v>1</v>
      </c>
      <c r="H395" s="879"/>
      <c r="I395" s="49">
        <f t="shared" si="62"/>
        <v>1</v>
      </c>
      <c r="J395" s="879"/>
      <c r="K395" s="49">
        <f t="shared" si="63"/>
        <v>1</v>
      </c>
      <c r="L395" s="879"/>
      <c r="M395" s="49">
        <f t="shared" si="64"/>
        <v>1</v>
      </c>
      <c r="N395" s="879"/>
      <c r="O395" s="49">
        <f t="shared" si="65"/>
        <v>1</v>
      </c>
      <c r="P395" s="879"/>
      <c r="Q395" s="49">
        <f t="shared" si="66"/>
        <v>1</v>
      </c>
      <c r="R395" s="49">
        <f t="shared" si="67"/>
        <v>0</v>
      </c>
      <c r="S395" s="734">
        <f t="shared" si="68"/>
        <v>0</v>
      </c>
    </row>
    <row r="396" spans="1:19">
      <c r="A396" s="880"/>
      <c r="B396" s="126"/>
      <c r="C396" s="49">
        <f t="shared" si="59"/>
        <v>1</v>
      </c>
      <c r="D396" s="879"/>
      <c r="E396" s="49">
        <f t="shared" si="60"/>
        <v>1</v>
      </c>
      <c r="F396" s="879"/>
      <c r="G396" s="49">
        <f t="shared" si="61"/>
        <v>1</v>
      </c>
      <c r="H396" s="879"/>
      <c r="I396" s="49">
        <f t="shared" si="62"/>
        <v>1</v>
      </c>
      <c r="J396" s="879"/>
      <c r="K396" s="49">
        <f t="shared" si="63"/>
        <v>1</v>
      </c>
      <c r="L396" s="879"/>
      <c r="M396" s="49">
        <f t="shared" si="64"/>
        <v>1</v>
      </c>
      <c r="N396" s="879"/>
      <c r="O396" s="49">
        <f t="shared" si="65"/>
        <v>1</v>
      </c>
      <c r="P396" s="879"/>
      <c r="Q396" s="49">
        <f t="shared" si="66"/>
        <v>1</v>
      </c>
      <c r="R396" s="49">
        <f t="shared" si="67"/>
        <v>0</v>
      </c>
      <c r="S396" s="734">
        <f t="shared" si="68"/>
        <v>0</v>
      </c>
    </row>
    <row r="397" spans="1:19">
      <c r="A397" s="880"/>
      <c r="B397" s="126"/>
      <c r="C397" s="49">
        <f t="shared" si="59"/>
        <v>1</v>
      </c>
      <c r="D397" s="879"/>
      <c r="E397" s="49">
        <f t="shared" si="60"/>
        <v>1</v>
      </c>
      <c r="F397" s="879"/>
      <c r="G397" s="49">
        <f t="shared" si="61"/>
        <v>1</v>
      </c>
      <c r="H397" s="879"/>
      <c r="I397" s="49">
        <f t="shared" si="62"/>
        <v>1</v>
      </c>
      <c r="J397" s="879"/>
      <c r="K397" s="49">
        <f t="shared" si="63"/>
        <v>1</v>
      </c>
      <c r="L397" s="879"/>
      <c r="M397" s="49">
        <f t="shared" si="64"/>
        <v>1</v>
      </c>
      <c r="N397" s="879"/>
      <c r="O397" s="49">
        <f t="shared" si="65"/>
        <v>1</v>
      </c>
      <c r="P397" s="879"/>
      <c r="Q397" s="49">
        <f t="shared" si="66"/>
        <v>1</v>
      </c>
      <c r="R397" s="49">
        <f t="shared" si="67"/>
        <v>0</v>
      </c>
      <c r="S397" s="734">
        <f t="shared" si="68"/>
        <v>0</v>
      </c>
    </row>
    <row r="398" spans="1:19">
      <c r="A398" s="880"/>
      <c r="B398" s="126"/>
      <c r="C398" s="49">
        <f t="shared" si="59"/>
        <v>1</v>
      </c>
      <c r="D398" s="879"/>
      <c r="E398" s="49">
        <f t="shared" si="60"/>
        <v>1</v>
      </c>
      <c r="F398" s="879"/>
      <c r="G398" s="49">
        <f t="shared" si="61"/>
        <v>1</v>
      </c>
      <c r="H398" s="879"/>
      <c r="I398" s="49">
        <f t="shared" si="62"/>
        <v>1</v>
      </c>
      <c r="J398" s="879"/>
      <c r="K398" s="49">
        <f t="shared" si="63"/>
        <v>1</v>
      </c>
      <c r="L398" s="879"/>
      <c r="M398" s="49">
        <f t="shared" si="64"/>
        <v>1</v>
      </c>
      <c r="N398" s="879"/>
      <c r="O398" s="49">
        <f t="shared" si="65"/>
        <v>1</v>
      </c>
      <c r="P398" s="879"/>
      <c r="Q398" s="49">
        <f t="shared" si="66"/>
        <v>1</v>
      </c>
      <c r="R398" s="49">
        <f t="shared" si="67"/>
        <v>0</v>
      </c>
      <c r="S398" s="734">
        <f t="shared" si="68"/>
        <v>0</v>
      </c>
    </row>
    <row r="399" spans="1:19">
      <c r="A399" s="880"/>
      <c r="B399" s="126"/>
      <c r="C399" s="49">
        <f t="shared" si="59"/>
        <v>1</v>
      </c>
      <c r="D399" s="879"/>
      <c r="E399" s="49">
        <f t="shared" si="60"/>
        <v>1</v>
      </c>
      <c r="F399" s="879"/>
      <c r="G399" s="49">
        <f t="shared" si="61"/>
        <v>1</v>
      </c>
      <c r="H399" s="879"/>
      <c r="I399" s="49">
        <f t="shared" si="62"/>
        <v>1</v>
      </c>
      <c r="J399" s="879"/>
      <c r="K399" s="49">
        <f t="shared" si="63"/>
        <v>1</v>
      </c>
      <c r="L399" s="879"/>
      <c r="M399" s="49">
        <f t="shared" si="64"/>
        <v>1</v>
      </c>
      <c r="N399" s="879"/>
      <c r="O399" s="49">
        <f t="shared" si="65"/>
        <v>1</v>
      </c>
      <c r="P399" s="879"/>
      <c r="Q399" s="49">
        <f t="shared" si="66"/>
        <v>1</v>
      </c>
      <c r="R399" s="49">
        <f t="shared" si="67"/>
        <v>0</v>
      </c>
      <c r="S399" s="734">
        <f t="shared" si="68"/>
        <v>0</v>
      </c>
    </row>
    <row r="400" spans="1:19">
      <c r="A400" s="880"/>
      <c r="B400" s="126"/>
      <c r="C400" s="49">
        <f t="shared" si="59"/>
        <v>1</v>
      </c>
      <c r="D400" s="879"/>
      <c r="E400" s="49">
        <f t="shared" si="60"/>
        <v>1</v>
      </c>
      <c r="F400" s="879"/>
      <c r="G400" s="49">
        <f t="shared" si="61"/>
        <v>1</v>
      </c>
      <c r="H400" s="879"/>
      <c r="I400" s="49">
        <f t="shared" si="62"/>
        <v>1</v>
      </c>
      <c r="J400" s="879"/>
      <c r="K400" s="49">
        <f t="shared" si="63"/>
        <v>1</v>
      </c>
      <c r="L400" s="879"/>
      <c r="M400" s="49">
        <f t="shared" si="64"/>
        <v>1</v>
      </c>
      <c r="N400" s="879"/>
      <c r="O400" s="49">
        <f t="shared" si="65"/>
        <v>1</v>
      </c>
      <c r="P400" s="879"/>
      <c r="Q400" s="49">
        <f t="shared" si="66"/>
        <v>1</v>
      </c>
      <c r="R400" s="49">
        <f t="shared" si="67"/>
        <v>0</v>
      </c>
      <c r="S400" s="734">
        <f t="shared" si="68"/>
        <v>0</v>
      </c>
    </row>
    <row r="401" spans="1:19">
      <c r="A401" s="880"/>
      <c r="B401" s="126"/>
      <c r="C401" s="49">
        <f t="shared" si="59"/>
        <v>1</v>
      </c>
      <c r="D401" s="879"/>
      <c r="E401" s="49">
        <f t="shared" si="60"/>
        <v>1</v>
      </c>
      <c r="F401" s="879"/>
      <c r="G401" s="49">
        <f t="shared" si="61"/>
        <v>1</v>
      </c>
      <c r="H401" s="879"/>
      <c r="I401" s="49">
        <f t="shared" si="62"/>
        <v>1</v>
      </c>
      <c r="J401" s="879"/>
      <c r="K401" s="49">
        <f t="shared" si="63"/>
        <v>1</v>
      </c>
      <c r="L401" s="879"/>
      <c r="M401" s="49">
        <f t="shared" si="64"/>
        <v>1</v>
      </c>
      <c r="N401" s="879"/>
      <c r="O401" s="49">
        <f t="shared" si="65"/>
        <v>1</v>
      </c>
      <c r="P401" s="879"/>
      <c r="Q401" s="49">
        <f t="shared" si="66"/>
        <v>1</v>
      </c>
      <c r="R401" s="49">
        <f t="shared" si="67"/>
        <v>0</v>
      </c>
      <c r="S401" s="734">
        <f t="shared" si="68"/>
        <v>0</v>
      </c>
    </row>
    <row r="402" spans="1:19">
      <c r="A402" s="880"/>
      <c r="B402" s="126"/>
      <c r="C402" s="49">
        <f t="shared" si="59"/>
        <v>1</v>
      </c>
      <c r="D402" s="879"/>
      <c r="E402" s="49">
        <f t="shared" si="60"/>
        <v>1</v>
      </c>
      <c r="F402" s="879"/>
      <c r="G402" s="49">
        <f t="shared" si="61"/>
        <v>1</v>
      </c>
      <c r="H402" s="879"/>
      <c r="I402" s="49">
        <f t="shared" si="62"/>
        <v>1</v>
      </c>
      <c r="J402" s="879"/>
      <c r="K402" s="49">
        <f t="shared" si="63"/>
        <v>1</v>
      </c>
      <c r="L402" s="879"/>
      <c r="M402" s="49">
        <f t="shared" si="64"/>
        <v>1</v>
      </c>
      <c r="N402" s="879"/>
      <c r="O402" s="49">
        <f t="shared" si="65"/>
        <v>1</v>
      </c>
      <c r="P402" s="879"/>
      <c r="Q402" s="49">
        <f t="shared" si="66"/>
        <v>1</v>
      </c>
      <c r="R402" s="49">
        <f t="shared" si="67"/>
        <v>0</v>
      </c>
      <c r="S402" s="734">
        <f t="shared" si="68"/>
        <v>0</v>
      </c>
    </row>
    <row r="403" spans="1:19">
      <c r="A403" s="880"/>
      <c r="B403" s="126"/>
      <c r="C403" s="49">
        <f t="shared" si="59"/>
        <v>1</v>
      </c>
      <c r="D403" s="879"/>
      <c r="E403" s="49">
        <f t="shared" si="60"/>
        <v>1</v>
      </c>
      <c r="F403" s="879"/>
      <c r="G403" s="49">
        <f t="shared" si="61"/>
        <v>1</v>
      </c>
      <c r="H403" s="879"/>
      <c r="I403" s="49">
        <f t="shared" si="62"/>
        <v>1</v>
      </c>
      <c r="J403" s="879"/>
      <c r="K403" s="49">
        <f t="shared" si="63"/>
        <v>1</v>
      </c>
      <c r="L403" s="879"/>
      <c r="M403" s="49">
        <f t="shared" si="64"/>
        <v>1</v>
      </c>
      <c r="N403" s="879"/>
      <c r="O403" s="49">
        <f t="shared" si="65"/>
        <v>1</v>
      </c>
      <c r="P403" s="879"/>
      <c r="Q403" s="49">
        <f t="shared" si="66"/>
        <v>1</v>
      </c>
      <c r="R403" s="49">
        <f t="shared" si="67"/>
        <v>0</v>
      </c>
      <c r="S403" s="734">
        <f t="shared" si="68"/>
        <v>0</v>
      </c>
    </row>
    <row r="404" spans="1:19">
      <c r="A404" s="880"/>
      <c r="B404" s="126"/>
      <c r="C404" s="49">
        <f t="shared" si="59"/>
        <v>1</v>
      </c>
      <c r="D404" s="879"/>
      <c r="E404" s="49">
        <f t="shared" si="60"/>
        <v>1</v>
      </c>
      <c r="F404" s="879"/>
      <c r="G404" s="49">
        <f t="shared" si="61"/>
        <v>1</v>
      </c>
      <c r="H404" s="879"/>
      <c r="I404" s="49">
        <f t="shared" si="62"/>
        <v>1</v>
      </c>
      <c r="J404" s="879"/>
      <c r="K404" s="49">
        <f t="shared" si="63"/>
        <v>1</v>
      </c>
      <c r="L404" s="879"/>
      <c r="M404" s="49">
        <f t="shared" si="64"/>
        <v>1</v>
      </c>
      <c r="N404" s="879"/>
      <c r="O404" s="49">
        <f t="shared" si="65"/>
        <v>1</v>
      </c>
      <c r="P404" s="879"/>
      <c r="Q404" s="49">
        <f t="shared" si="66"/>
        <v>1</v>
      </c>
      <c r="R404" s="49">
        <f t="shared" si="67"/>
        <v>0</v>
      </c>
      <c r="S404" s="734">
        <f t="shared" si="68"/>
        <v>0</v>
      </c>
    </row>
    <row r="405" spans="1:19">
      <c r="A405" s="880"/>
      <c r="B405" s="126"/>
      <c r="C405" s="49">
        <f t="shared" si="59"/>
        <v>1</v>
      </c>
      <c r="D405" s="879"/>
      <c r="E405" s="49">
        <f t="shared" si="60"/>
        <v>1</v>
      </c>
      <c r="F405" s="879"/>
      <c r="G405" s="49">
        <f t="shared" si="61"/>
        <v>1</v>
      </c>
      <c r="H405" s="879"/>
      <c r="I405" s="49">
        <f t="shared" si="62"/>
        <v>1</v>
      </c>
      <c r="J405" s="879"/>
      <c r="K405" s="49">
        <f t="shared" si="63"/>
        <v>1</v>
      </c>
      <c r="L405" s="879"/>
      <c r="M405" s="49">
        <f t="shared" si="64"/>
        <v>1</v>
      </c>
      <c r="N405" s="879"/>
      <c r="O405" s="49">
        <f t="shared" si="65"/>
        <v>1</v>
      </c>
      <c r="P405" s="879"/>
      <c r="Q405" s="49">
        <f t="shared" si="66"/>
        <v>1</v>
      </c>
      <c r="R405" s="49">
        <f t="shared" si="67"/>
        <v>0</v>
      </c>
      <c r="S405" s="734">
        <f t="shared" si="68"/>
        <v>0</v>
      </c>
    </row>
    <row r="406" spans="1:19">
      <c r="A406" s="880"/>
      <c r="B406" s="126"/>
      <c r="C406" s="49">
        <f t="shared" si="59"/>
        <v>1</v>
      </c>
      <c r="D406" s="879"/>
      <c r="E406" s="49">
        <f t="shared" si="60"/>
        <v>1</v>
      </c>
      <c r="F406" s="879"/>
      <c r="G406" s="49">
        <f t="shared" si="61"/>
        <v>1</v>
      </c>
      <c r="H406" s="879"/>
      <c r="I406" s="49">
        <f t="shared" si="62"/>
        <v>1</v>
      </c>
      <c r="J406" s="879"/>
      <c r="K406" s="49">
        <f t="shared" si="63"/>
        <v>1</v>
      </c>
      <c r="L406" s="879"/>
      <c r="M406" s="49">
        <f t="shared" si="64"/>
        <v>1</v>
      </c>
      <c r="N406" s="879"/>
      <c r="O406" s="49">
        <f t="shared" si="65"/>
        <v>1</v>
      </c>
      <c r="P406" s="879"/>
      <c r="Q406" s="49">
        <f t="shared" si="66"/>
        <v>1</v>
      </c>
      <c r="R406" s="49">
        <f t="shared" si="67"/>
        <v>0</v>
      </c>
      <c r="S406" s="734">
        <f t="shared" si="68"/>
        <v>0</v>
      </c>
    </row>
    <row r="407" spans="1:19">
      <c r="A407" s="880"/>
      <c r="B407" s="126"/>
      <c r="C407" s="49">
        <f t="shared" si="59"/>
        <v>1</v>
      </c>
      <c r="D407" s="879"/>
      <c r="E407" s="49">
        <f t="shared" si="60"/>
        <v>1</v>
      </c>
      <c r="F407" s="879"/>
      <c r="G407" s="49">
        <f t="shared" si="61"/>
        <v>1</v>
      </c>
      <c r="H407" s="879"/>
      <c r="I407" s="49">
        <f t="shared" si="62"/>
        <v>1</v>
      </c>
      <c r="J407" s="879"/>
      <c r="K407" s="49">
        <f t="shared" si="63"/>
        <v>1</v>
      </c>
      <c r="L407" s="879"/>
      <c r="M407" s="49">
        <f t="shared" si="64"/>
        <v>1</v>
      </c>
      <c r="N407" s="879"/>
      <c r="O407" s="49">
        <f t="shared" si="65"/>
        <v>1</v>
      </c>
      <c r="P407" s="879"/>
      <c r="Q407" s="49">
        <f t="shared" si="66"/>
        <v>1</v>
      </c>
      <c r="R407" s="49">
        <f t="shared" si="67"/>
        <v>0</v>
      </c>
      <c r="S407" s="734">
        <f t="shared" si="68"/>
        <v>0</v>
      </c>
    </row>
    <row r="408" spans="1:19">
      <c r="A408" s="880"/>
      <c r="B408" s="126"/>
      <c r="C408" s="49">
        <f t="shared" si="59"/>
        <v>1</v>
      </c>
      <c r="D408" s="879"/>
      <c r="E408" s="49">
        <f t="shared" si="60"/>
        <v>1</v>
      </c>
      <c r="F408" s="879"/>
      <c r="G408" s="49">
        <f t="shared" si="61"/>
        <v>1</v>
      </c>
      <c r="H408" s="879"/>
      <c r="I408" s="49">
        <f t="shared" si="62"/>
        <v>1</v>
      </c>
      <c r="J408" s="879"/>
      <c r="K408" s="49">
        <f t="shared" si="63"/>
        <v>1</v>
      </c>
      <c r="L408" s="879"/>
      <c r="M408" s="49">
        <f t="shared" si="64"/>
        <v>1</v>
      </c>
      <c r="N408" s="879"/>
      <c r="O408" s="49">
        <f t="shared" si="65"/>
        <v>1</v>
      </c>
      <c r="P408" s="879"/>
      <c r="Q408" s="49">
        <f t="shared" si="66"/>
        <v>1</v>
      </c>
      <c r="R408" s="49">
        <f t="shared" si="67"/>
        <v>0</v>
      </c>
      <c r="S408" s="734">
        <f t="shared" si="68"/>
        <v>0</v>
      </c>
    </row>
    <row r="409" spans="1:19">
      <c r="A409" s="880"/>
      <c r="B409" s="126"/>
      <c r="C409" s="49">
        <f t="shared" si="59"/>
        <v>1</v>
      </c>
      <c r="D409" s="879"/>
      <c r="E409" s="49">
        <f t="shared" si="60"/>
        <v>1</v>
      </c>
      <c r="F409" s="879"/>
      <c r="G409" s="49">
        <f t="shared" si="61"/>
        <v>1</v>
      </c>
      <c r="H409" s="879"/>
      <c r="I409" s="49">
        <f t="shared" si="62"/>
        <v>1</v>
      </c>
      <c r="J409" s="879"/>
      <c r="K409" s="49">
        <f t="shared" si="63"/>
        <v>1</v>
      </c>
      <c r="L409" s="879"/>
      <c r="M409" s="49">
        <f t="shared" si="64"/>
        <v>1</v>
      </c>
      <c r="N409" s="879"/>
      <c r="O409" s="49">
        <f t="shared" si="65"/>
        <v>1</v>
      </c>
      <c r="P409" s="879"/>
      <c r="Q409" s="49">
        <f t="shared" si="66"/>
        <v>1</v>
      </c>
      <c r="R409" s="49">
        <f t="shared" si="67"/>
        <v>0</v>
      </c>
      <c r="S409" s="734">
        <f t="shared" si="68"/>
        <v>0</v>
      </c>
    </row>
    <row r="410" spans="1:19">
      <c r="A410" s="880"/>
      <c r="B410" s="126"/>
      <c r="C410" s="49">
        <f t="shared" ref="C410:C473" si="69">IF(B410="",1,(LOOKUP(B410,$3:$3,$4:$4)-LOOKUP($B$24,$3:$3,$4:$4)+100)/100)</f>
        <v>1</v>
      </c>
      <c r="D410" s="879"/>
      <c r="E410" s="49">
        <f t="shared" ref="E410:E473" si="70">(SUMIF($5:$5,D410,$6:$6)-SUMIF($5:$5,$D$24,$6:$6)+100)/100</f>
        <v>1</v>
      </c>
      <c r="F410" s="879"/>
      <c r="G410" s="49">
        <f t="shared" ref="G410:G473" si="71">(SUMIF($7:$7,F410,$8:$8)-SUMIF($7:$7,$F$24,$8:$8)+100)/100</f>
        <v>1</v>
      </c>
      <c r="H410" s="879"/>
      <c r="I410" s="49">
        <f t="shared" ref="I410:I473" si="72">(SUMIF($9:$9,H410,$10:$10)-SUMIF($9:$9,$H$24,$10:$10)+100)/100</f>
        <v>1</v>
      </c>
      <c r="J410" s="879"/>
      <c r="K410" s="49">
        <f t="shared" ref="K410:K473" si="73">(SUMIF($11:$11,J410,$12:$12)-SUMIF($11:$11,$J$24,$12:$12)+100)/100</f>
        <v>1</v>
      </c>
      <c r="L410" s="879"/>
      <c r="M410" s="49">
        <f t="shared" ref="M410:M473" si="74">(SUMIF($13:$13,L410,$14:$14)-SUMIF($13:$13,$L$24,$14:$14)+100)/100</f>
        <v>1</v>
      </c>
      <c r="N410" s="879"/>
      <c r="O410" s="49">
        <f t="shared" ref="O410:O473" si="75">(SUMIF($15:$15,N410,$16:$16)-SUMIF($15:$15,$N$24,$16:$16)+100)/100</f>
        <v>1</v>
      </c>
      <c r="P410" s="879"/>
      <c r="Q410" s="49">
        <f t="shared" ref="Q410:Q473" si="76">(SUMIF($17:$17,P410,$18:$18)-SUMIF($17:$17,$P$24,$18:$18)+100)/100</f>
        <v>1</v>
      </c>
      <c r="R410" s="49">
        <f t="shared" ref="R410:R473" si="77">IF(B410="",0,ROUND($R$24*C410*E410*G410*I410*K410*M410*O410*Q410,0))</f>
        <v>0</v>
      </c>
      <c r="S410" s="734">
        <f t="shared" si="68"/>
        <v>0</v>
      </c>
    </row>
    <row r="411" spans="1:19">
      <c r="A411" s="880"/>
      <c r="B411" s="126"/>
      <c r="C411" s="49">
        <f t="shared" si="69"/>
        <v>1</v>
      </c>
      <c r="D411" s="879"/>
      <c r="E411" s="49">
        <f t="shared" si="70"/>
        <v>1</v>
      </c>
      <c r="F411" s="879"/>
      <c r="G411" s="49">
        <f t="shared" si="71"/>
        <v>1</v>
      </c>
      <c r="H411" s="879"/>
      <c r="I411" s="49">
        <f t="shared" si="72"/>
        <v>1</v>
      </c>
      <c r="J411" s="879"/>
      <c r="K411" s="49">
        <f t="shared" si="73"/>
        <v>1</v>
      </c>
      <c r="L411" s="879"/>
      <c r="M411" s="49">
        <f t="shared" si="74"/>
        <v>1</v>
      </c>
      <c r="N411" s="879"/>
      <c r="O411" s="49">
        <f t="shared" si="75"/>
        <v>1</v>
      </c>
      <c r="P411" s="879"/>
      <c r="Q411" s="49">
        <f t="shared" si="76"/>
        <v>1</v>
      </c>
      <c r="R411" s="49">
        <f t="shared" si="77"/>
        <v>0</v>
      </c>
      <c r="S411" s="734">
        <f t="shared" si="68"/>
        <v>0</v>
      </c>
    </row>
    <row r="412" spans="1:19">
      <c r="A412" s="880"/>
      <c r="B412" s="126"/>
      <c r="C412" s="49">
        <f t="shared" si="69"/>
        <v>1</v>
      </c>
      <c r="D412" s="879"/>
      <c r="E412" s="49">
        <f t="shared" si="70"/>
        <v>1</v>
      </c>
      <c r="F412" s="879"/>
      <c r="G412" s="49">
        <f t="shared" si="71"/>
        <v>1</v>
      </c>
      <c r="H412" s="879"/>
      <c r="I412" s="49">
        <f t="shared" si="72"/>
        <v>1</v>
      </c>
      <c r="J412" s="879"/>
      <c r="K412" s="49">
        <f t="shared" si="73"/>
        <v>1</v>
      </c>
      <c r="L412" s="879"/>
      <c r="M412" s="49">
        <f t="shared" si="74"/>
        <v>1</v>
      </c>
      <c r="N412" s="879"/>
      <c r="O412" s="49">
        <f t="shared" si="75"/>
        <v>1</v>
      </c>
      <c r="P412" s="879"/>
      <c r="Q412" s="49">
        <f t="shared" si="76"/>
        <v>1</v>
      </c>
      <c r="R412" s="49">
        <f t="shared" si="77"/>
        <v>0</v>
      </c>
      <c r="S412" s="734">
        <f t="shared" si="68"/>
        <v>0</v>
      </c>
    </row>
    <row r="413" spans="1:19">
      <c r="A413" s="880"/>
      <c r="B413" s="126"/>
      <c r="C413" s="49">
        <f t="shared" si="69"/>
        <v>1</v>
      </c>
      <c r="D413" s="879"/>
      <c r="E413" s="49">
        <f t="shared" si="70"/>
        <v>1</v>
      </c>
      <c r="F413" s="879"/>
      <c r="G413" s="49">
        <f t="shared" si="71"/>
        <v>1</v>
      </c>
      <c r="H413" s="879"/>
      <c r="I413" s="49">
        <f t="shared" si="72"/>
        <v>1</v>
      </c>
      <c r="J413" s="879"/>
      <c r="K413" s="49">
        <f t="shared" si="73"/>
        <v>1</v>
      </c>
      <c r="L413" s="879"/>
      <c r="M413" s="49">
        <f t="shared" si="74"/>
        <v>1</v>
      </c>
      <c r="N413" s="879"/>
      <c r="O413" s="49">
        <f t="shared" si="75"/>
        <v>1</v>
      </c>
      <c r="P413" s="879"/>
      <c r="Q413" s="49">
        <f t="shared" si="76"/>
        <v>1</v>
      </c>
      <c r="R413" s="49">
        <f t="shared" si="77"/>
        <v>0</v>
      </c>
      <c r="S413" s="734">
        <f t="shared" si="68"/>
        <v>0</v>
      </c>
    </row>
    <row r="414" spans="1:19">
      <c r="A414" s="880"/>
      <c r="B414" s="126"/>
      <c r="C414" s="49">
        <f t="shared" si="69"/>
        <v>1</v>
      </c>
      <c r="D414" s="879"/>
      <c r="E414" s="49">
        <f t="shared" si="70"/>
        <v>1</v>
      </c>
      <c r="F414" s="879"/>
      <c r="G414" s="49">
        <f t="shared" si="71"/>
        <v>1</v>
      </c>
      <c r="H414" s="879"/>
      <c r="I414" s="49">
        <f t="shared" si="72"/>
        <v>1</v>
      </c>
      <c r="J414" s="879"/>
      <c r="K414" s="49">
        <f t="shared" si="73"/>
        <v>1</v>
      </c>
      <c r="L414" s="879"/>
      <c r="M414" s="49">
        <f t="shared" si="74"/>
        <v>1</v>
      </c>
      <c r="N414" s="879"/>
      <c r="O414" s="49">
        <f t="shared" si="75"/>
        <v>1</v>
      </c>
      <c r="P414" s="879"/>
      <c r="Q414" s="49">
        <f t="shared" si="76"/>
        <v>1</v>
      </c>
      <c r="R414" s="49">
        <f t="shared" si="77"/>
        <v>0</v>
      </c>
      <c r="S414" s="734">
        <f t="shared" si="68"/>
        <v>0</v>
      </c>
    </row>
    <row r="415" spans="1:19">
      <c r="A415" s="880"/>
      <c r="B415" s="126"/>
      <c r="C415" s="49">
        <f t="shared" si="69"/>
        <v>1</v>
      </c>
      <c r="D415" s="879"/>
      <c r="E415" s="49">
        <f t="shared" si="70"/>
        <v>1</v>
      </c>
      <c r="F415" s="879"/>
      <c r="G415" s="49">
        <f t="shared" si="71"/>
        <v>1</v>
      </c>
      <c r="H415" s="879"/>
      <c r="I415" s="49">
        <f t="shared" si="72"/>
        <v>1</v>
      </c>
      <c r="J415" s="879"/>
      <c r="K415" s="49">
        <f t="shared" si="73"/>
        <v>1</v>
      </c>
      <c r="L415" s="879"/>
      <c r="M415" s="49">
        <f t="shared" si="74"/>
        <v>1</v>
      </c>
      <c r="N415" s="879"/>
      <c r="O415" s="49">
        <f t="shared" si="75"/>
        <v>1</v>
      </c>
      <c r="P415" s="879"/>
      <c r="Q415" s="49">
        <f t="shared" si="76"/>
        <v>1</v>
      </c>
      <c r="R415" s="49">
        <f t="shared" si="77"/>
        <v>0</v>
      </c>
      <c r="S415" s="734">
        <f t="shared" si="68"/>
        <v>0</v>
      </c>
    </row>
    <row r="416" spans="1:19">
      <c r="A416" s="880"/>
      <c r="B416" s="126"/>
      <c r="C416" s="49">
        <f t="shared" si="69"/>
        <v>1</v>
      </c>
      <c r="D416" s="879"/>
      <c r="E416" s="49">
        <f t="shared" si="70"/>
        <v>1</v>
      </c>
      <c r="F416" s="879"/>
      <c r="G416" s="49">
        <f t="shared" si="71"/>
        <v>1</v>
      </c>
      <c r="H416" s="879"/>
      <c r="I416" s="49">
        <f t="shared" si="72"/>
        <v>1</v>
      </c>
      <c r="J416" s="879"/>
      <c r="K416" s="49">
        <f t="shared" si="73"/>
        <v>1</v>
      </c>
      <c r="L416" s="879"/>
      <c r="M416" s="49">
        <f t="shared" si="74"/>
        <v>1</v>
      </c>
      <c r="N416" s="879"/>
      <c r="O416" s="49">
        <f t="shared" si="75"/>
        <v>1</v>
      </c>
      <c r="P416" s="879"/>
      <c r="Q416" s="49">
        <f t="shared" si="76"/>
        <v>1</v>
      </c>
      <c r="R416" s="49">
        <f t="shared" si="77"/>
        <v>0</v>
      </c>
      <c r="S416" s="734">
        <f t="shared" si="68"/>
        <v>0</v>
      </c>
    </row>
    <row r="417" spans="1:19">
      <c r="A417" s="880"/>
      <c r="B417" s="126"/>
      <c r="C417" s="49">
        <f t="shared" si="69"/>
        <v>1</v>
      </c>
      <c r="D417" s="879"/>
      <c r="E417" s="49">
        <f t="shared" si="70"/>
        <v>1</v>
      </c>
      <c r="F417" s="879"/>
      <c r="G417" s="49">
        <f t="shared" si="71"/>
        <v>1</v>
      </c>
      <c r="H417" s="879"/>
      <c r="I417" s="49">
        <f t="shared" si="72"/>
        <v>1</v>
      </c>
      <c r="J417" s="879"/>
      <c r="K417" s="49">
        <f t="shared" si="73"/>
        <v>1</v>
      </c>
      <c r="L417" s="879"/>
      <c r="M417" s="49">
        <f t="shared" si="74"/>
        <v>1</v>
      </c>
      <c r="N417" s="879"/>
      <c r="O417" s="49">
        <f t="shared" si="75"/>
        <v>1</v>
      </c>
      <c r="P417" s="879"/>
      <c r="Q417" s="49">
        <f t="shared" si="76"/>
        <v>1</v>
      </c>
      <c r="R417" s="49">
        <f t="shared" si="77"/>
        <v>0</v>
      </c>
      <c r="S417" s="734">
        <f t="shared" si="68"/>
        <v>0</v>
      </c>
    </row>
    <row r="418" spans="1:19">
      <c r="A418" s="880"/>
      <c r="B418" s="126"/>
      <c r="C418" s="49">
        <f t="shared" si="69"/>
        <v>1</v>
      </c>
      <c r="D418" s="879"/>
      <c r="E418" s="49">
        <f t="shared" si="70"/>
        <v>1</v>
      </c>
      <c r="F418" s="879"/>
      <c r="G418" s="49">
        <f t="shared" si="71"/>
        <v>1</v>
      </c>
      <c r="H418" s="879"/>
      <c r="I418" s="49">
        <f t="shared" si="72"/>
        <v>1</v>
      </c>
      <c r="J418" s="879"/>
      <c r="K418" s="49">
        <f t="shared" si="73"/>
        <v>1</v>
      </c>
      <c r="L418" s="879"/>
      <c r="M418" s="49">
        <f t="shared" si="74"/>
        <v>1</v>
      </c>
      <c r="N418" s="879"/>
      <c r="O418" s="49">
        <f t="shared" si="75"/>
        <v>1</v>
      </c>
      <c r="P418" s="879"/>
      <c r="Q418" s="49">
        <f t="shared" si="76"/>
        <v>1</v>
      </c>
      <c r="R418" s="49">
        <f t="shared" si="77"/>
        <v>0</v>
      </c>
      <c r="S418" s="734">
        <f t="shared" si="68"/>
        <v>0</v>
      </c>
    </row>
    <row r="419" spans="1:19">
      <c r="A419" s="880"/>
      <c r="B419" s="126"/>
      <c r="C419" s="49">
        <f t="shared" si="69"/>
        <v>1</v>
      </c>
      <c r="D419" s="879"/>
      <c r="E419" s="49">
        <f t="shared" si="70"/>
        <v>1</v>
      </c>
      <c r="F419" s="879"/>
      <c r="G419" s="49">
        <f t="shared" si="71"/>
        <v>1</v>
      </c>
      <c r="H419" s="879"/>
      <c r="I419" s="49">
        <f t="shared" si="72"/>
        <v>1</v>
      </c>
      <c r="J419" s="879"/>
      <c r="K419" s="49">
        <f t="shared" si="73"/>
        <v>1</v>
      </c>
      <c r="L419" s="879"/>
      <c r="M419" s="49">
        <f t="shared" si="74"/>
        <v>1</v>
      </c>
      <c r="N419" s="879"/>
      <c r="O419" s="49">
        <f t="shared" si="75"/>
        <v>1</v>
      </c>
      <c r="P419" s="879"/>
      <c r="Q419" s="49">
        <f t="shared" si="76"/>
        <v>1</v>
      </c>
      <c r="R419" s="49">
        <f t="shared" si="77"/>
        <v>0</v>
      </c>
      <c r="S419" s="734">
        <f t="shared" si="68"/>
        <v>0</v>
      </c>
    </row>
    <row r="420" spans="1:19">
      <c r="A420" s="880"/>
      <c r="B420" s="126"/>
      <c r="C420" s="49">
        <f t="shared" si="69"/>
        <v>1</v>
      </c>
      <c r="D420" s="879"/>
      <c r="E420" s="49">
        <f t="shared" si="70"/>
        <v>1</v>
      </c>
      <c r="F420" s="879"/>
      <c r="G420" s="49">
        <f t="shared" si="71"/>
        <v>1</v>
      </c>
      <c r="H420" s="879"/>
      <c r="I420" s="49">
        <f t="shared" si="72"/>
        <v>1</v>
      </c>
      <c r="J420" s="879"/>
      <c r="K420" s="49">
        <f t="shared" si="73"/>
        <v>1</v>
      </c>
      <c r="L420" s="879"/>
      <c r="M420" s="49">
        <f t="shared" si="74"/>
        <v>1</v>
      </c>
      <c r="N420" s="879"/>
      <c r="O420" s="49">
        <f t="shared" si="75"/>
        <v>1</v>
      </c>
      <c r="P420" s="879"/>
      <c r="Q420" s="49">
        <f t="shared" si="76"/>
        <v>1</v>
      </c>
      <c r="R420" s="49">
        <f t="shared" si="77"/>
        <v>0</v>
      </c>
      <c r="S420" s="734">
        <f t="shared" si="68"/>
        <v>0</v>
      </c>
    </row>
    <row r="421" spans="1:19">
      <c r="A421" s="880"/>
      <c r="B421" s="126"/>
      <c r="C421" s="49">
        <f t="shared" si="69"/>
        <v>1</v>
      </c>
      <c r="D421" s="879"/>
      <c r="E421" s="49">
        <f t="shared" si="70"/>
        <v>1</v>
      </c>
      <c r="F421" s="879"/>
      <c r="G421" s="49">
        <f t="shared" si="71"/>
        <v>1</v>
      </c>
      <c r="H421" s="879"/>
      <c r="I421" s="49">
        <f t="shared" si="72"/>
        <v>1</v>
      </c>
      <c r="J421" s="879"/>
      <c r="K421" s="49">
        <f t="shared" si="73"/>
        <v>1</v>
      </c>
      <c r="L421" s="879"/>
      <c r="M421" s="49">
        <f t="shared" si="74"/>
        <v>1</v>
      </c>
      <c r="N421" s="879"/>
      <c r="O421" s="49">
        <f t="shared" si="75"/>
        <v>1</v>
      </c>
      <c r="P421" s="879"/>
      <c r="Q421" s="49">
        <f t="shared" si="76"/>
        <v>1</v>
      </c>
      <c r="R421" s="49">
        <f t="shared" si="77"/>
        <v>0</v>
      </c>
      <c r="S421" s="734">
        <f t="shared" si="68"/>
        <v>0</v>
      </c>
    </row>
    <row r="422" spans="1:19">
      <c r="A422" s="880"/>
      <c r="B422" s="126"/>
      <c r="C422" s="49">
        <f t="shared" si="69"/>
        <v>1</v>
      </c>
      <c r="D422" s="879"/>
      <c r="E422" s="49">
        <f t="shared" si="70"/>
        <v>1</v>
      </c>
      <c r="F422" s="879"/>
      <c r="G422" s="49">
        <f t="shared" si="71"/>
        <v>1</v>
      </c>
      <c r="H422" s="879"/>
      <c r="I422" s="49">
        <f t="shared" si="72"/>
        <v>1</v>
      </c>
      <c r="J422" s="879"/>
      <c r="K422" s="49">
        <f t="shared" si="73"/>
        <v>1</v>
      </c>
      <c r="L422" s="879"/>
      <c r="M422" s="49">
        <f t="shared" si="74"/>
        <v>1</v>
      </c>
      <c r="N422" s="879"/>
      <c r="O422" s="49">
        <f t="shared" si="75"/>
        <v>1</v>
      </c>
      <c r="P422" s="879"/>
      <c r="Q422" s="49">
        <f t="shared" si="76"/>
        <v>1</v>
      </c>
      <c r="R422" s="49">
        <f t="shared" si="77"/>
        <v>0</v>
      </c>
      <c r="S422" s="734">
        <f t="shared" si="68"/>
        <v>0</v>
      </c>
    </row>
    <row r="423" spans="1:19">
      <c r="A423" s="880"/>
      <c r="B423" s="126"/>
      <c r="C423" s="49">
        <f t="shared" si="69"/>
        <v>1</v>
      </c>
      <c r="D423" s="879"/>
      <c r="E423" s="49">
        <f t="shared" si="70"/>
        <v>1</v>
      </c>
      <c r="F423" s="879"/>
      <c r="G423" s="49">
        <f t="shared" si="71"/>
        <v>1</v>
      </c>
      <c r="H423" s="879"/>
      <c r="I423" s="49">
        <f t="shared" si="72"/>
        <v>1</v>
      </c>
      <c r="J423" s="879"/>
      <c r="K423" s="49">
        <f t="shared" si="73"/>
        <v>1</v>
      </c>
      <c r="L423" s="879"/>
      <c r="M423" s="49">
        <f t="shared" si="74"/>
        <v>1</v>
      </c>
      <c r="N423" s="879"/>
      <c r="O423" s="49">
        <f t="shared" si="75"/>
        <v>1</v>
      </c>
      <c r="P423" s="879"/>
      <c r="Q423" s="49">
        <f t="shared" si="76"/>
        <v>1</v>
      </c>
      <c r="R423" s="49">
        <f t="shared" si="77"/>
        <v>0</v>
      </c>
      <c r="S423" s="734">
        <f t="shared" ref="S423:S467" si="78">ROUND(R423*B423/10000,0)</f>
        <v>0</v>
      </c>
    </row>
    <row r="424" spans="1:19">
      <c r="A424" s="880"/>
      <c r="B424" s="126"/>
      <c r="C424" s="49">
        <f t="shared" si="69"/>
        <v>1</v>
      </c>
      <c r="D424" s="879"/>
      <c r="E424" s="49">
        <f t="shared" si="70"/>
        <v>1</v>
      </c>
      <c r="F424" s="879"/>
      <c r="G424" s="49">
        <f t="shared" si="71"/>
        <v>1</v>
      </c>
      <c r="H424" s="879"/>
      <c r="I424" s="49">
        <f t="shared" si="72"/>
        <v>1</v>
      </c>
      <c r="J424" s="879"/>
      <c r="K424" s="49">
        <f t="shared" si="73"/>
        <v>1</v>
      </c>
      <c r="L424" s="879"/>
      <c r="M424" s="49">
        <f t="shared" si="74"/>
        <v>1</v>
      </c>
      <c r="N424" s="879"/>
      <c r="O424" s="49">
        <f t="shared" si="75"/>
        <v>1</v>
      </c>
      <c r="P424" s="879"/>
      <c r="Q424" s="49">
        <f t="shared" si="76"/>
        <v>1</v>
      </c>
      <c r="R424" s="49">
        <f t="shared" si="77"/>
        <v>0</v>
      </c>
      <c r="S424" s="734">
        <f t="shared" si="78"/>
        <v>0</v>
      </c>
    </row>
    <row r="425" spans="1:19">
      <c r="A425" s="880"/>
      <c r="B425" s="126"/>
      <c r="C425" s="49">
        <f t="shared" si="69"/>
        <v>1</v>
      </c>
      <c r="D425" s="879"/>
      <c r="E425" s="49">
        <f t="shared" si="70"/>
        <v>1</v>
      </c>
      <c r="F425" s="879"/>
      <c r="G425" s="49">
        <f t="shared" si="71"/>
        <v>1</v>
      </c>
      <c r="H425" s="879"/>
      <c r="I425" s="49">
        <f t="shared" si="72"/>
        <v>1</v>
      </c>
      <c r="J425" s="879"/>
      <c r="K425" s="49">
        <f t="shared" si="73"/>
        <v>1</v>
      </c>
      <c r="L425" s="879"/>
      <c r="M425" s="49">
        <f t="shared" si="74"/>
        <v>1</v>
      </c>
      <c r="N425" s="879"/>
      <c r="O425" s="49">
        <f t="shared" si="75"/>
        <v>1</v>
      </c>
      <c r="P425" s="879"/>
      <c r="Q425" s="49">
        <f t="shared" si="76"/>
        <v>1</v>
      </c>
      <c r="R425" s="49">
        <f t="shared" si="77"/>
        <v>0</v>
      </c>
      <c r="S425" s="734">
        <f t="shared" si="78"/>
        <v>0</v>
      </c>
    </row>
    <row r="426" spans="1:19">
      <c r="A426" s="880"/>
      <c r="B426" s="126"/>
      <c r="C426" s="49">
        <f t="shared" si="69"/>
        <v>1</v>
      </c>
      <c r="D426" s="879"/>
      <c r="E426" s="49">
        <f t="shared" si="70"/>
        <v>1</v>
      </c>
      <c r="F426" s="879"/>
      <c r="G426" s="49">
        <f t="shared" si="71"/>
        <v>1</v>
      </c>
      <c r="H426" s="879"/>
      <c r="I426" s="49">
        <f t="shared" si="72"/>
        <v>1</v>
      </c>
      <c r="J426" s="879"/>
      <c r="K426" s="49">
        <f t="shared" si="73"/>
        <v>1</v>
      </c>
      <c r="L426" s="879"/>
      <c r="M426" s="49">
        <f t="shared" si="74"/>
        <v>1</v>
      </c>
      <c r="N426" s="879"/>
      <c r="O426" s="49">
        <f t="shared" si="75"/>
        <v>1</v>
      </c>
      <c r="P426" s="879"/>
      <c r="Q426" s="49">
        <f t="shared" si="76"/>
        <v>1</v>
      </c>
      <c r="R426" s="49">
        <f t="shared" si="77"/>
        <v>0</v>
      </c>
      <c r="S426" s="734">
        <f t="shared" si="78"/>
        <v>0</v>
      </c>
    </row>
    <row r="427" spans="1:19">
      <c r="A427" s="880"/>
      <c r="B427" s="126"/>
      <c r="C427" s="49">
        <f t="shared" si="69"/>
        <v>1</v>
      </c>
      <c r="D427" s="879"/>
      <c r="E427" s="49">
        <f t="shared" si="70"/>
        <v>1</v>
      </c>
      <c r="F427" s="879"/>
      <c r="G427" s="49">
        <f t="shared" si="71"/>
        <v>1</v>
      </c>
      <c r="H427" s="879"/>
      <c r="I427" s="49">
        <f t="shared" si="72"/>
        <v>1</v>
      </c>
      <c r="J427" s="879"/>
      <c r="K427" s="49">
        <f t="shared" si="73"/>
        <v>1</v>
      </c>
      <c r="L427" s="879"/>
      <c r="M427" s="49">
        <f t="shared" si="74"/>
        <v>1</v>
      </c>
      <c r="N427" s="879"/>
      <c r="O427" s="49">
        <f t="shared" si="75"/>
        <v>1</v>
      </c>
      <c r="P427" s="879"/>
      <c r="Q427" s="49">
        <f t="shared" si="76"/>
        <v>1</v>
      </c>
      <c r="R427" s="49">
        <f t="shared" si="77"/>
        <v>0</v>
      </c>
      <c r="S427" s="734">
        <f t="shared" si="78"/>
        <v>0</v>
      </c>
    </row>
    <row r="428" spans="1:19">
      <c r="A428" s="880"/>
      <c r="B428" s="126"/>
      <c r="C428" s="49">
        <f t="shared" si="69"/>
        <v>1</v>
      </c>
      <c r="D428" s="879"/>
      <c r="E428" s="49">
        <f t="shared" si="70"/>
        <v>1</v>
      </c>
      <c r="F428" s="879"/>
      <c r="G428" s="49">
        <f t="shared" si="71"/>
        <v>1</v>
      </c>
      <c r="H428" s="879"/>
      <c r="I428" s="49">
        <f t="shared" si="72"/>
        <v>1</v>
      </c>
      <c r="J428" s="879"/>
      <c r="K428" s="49">
        <f t="shared" si="73"/>
        <v>1</v>
      </c>
      <c r="L428" s="879"/>
      <c r="M428" s="49">
        <f t="shared" si="74"/>
        <v>1</v>
      </c>
      <c r="N428" s="879"/>
      <c r="O428" s="49">
        <f t="shared" si="75"/>
        <v>1</v>
      </c>
      <c r="P428" s="879"/>
      <c r="Q428" s="49">
        <f t="shared" si="76"/>
        <v>1</v>
      </c>
      <c r="R428" s="49">
        <f t="shared" si="77"/>
        <v>0</v>
      </c>
      <c r="S428" s="734">
        <f t="shared" si="78"/>
        <v>0</v>
      </c>
    </row>
    <row r="429" spans="1:19">
      <c r="A429" s="880"/>
      <c r="B429" s="126"/>
      <c r="C429" s="49">
        <f t="shared" si="69"/>
        <v>1</v>
      </c>
      <c r="D429" s="879"/>
      <c r="E429" s="49">
        <f t="shared" si="70"/>
        <v>1</v>
      </c>
      <c r="F429" s="879"/>
      <c r="G429" s="49">
        <f t="shared" si="71"/>
        <v>1</v>
      </c>
      <c r="H429" s="879"/>
      <c r="I429" s="49">
        <f t="shared" si="72"/>
        <v>1</v>
      </c>
      <c r="J429" s="879"/>
      <c r="K429" s="49">
        <f t="shared" si="73"/>
        <v>1</v>
      </c>
      <c r="L429" s="879"/>
      <c r="M429" s="49">
        <f t="shared" si="74"/>
        <v>1</v>
      </c>
      <c r="N429" s="879"/>
      <c r="O429" s="49">
        <f t="shared" si="75"/>
        <v>1</v>
      </c>
      <c r="P429" s="879"/>
      <c r="Q429" s="49">
        <f t="shared" si="76"/>
        <v>1</v>
      </c>
      <c r="R429" s="49">
        <f t="shared" si="77"/>
        <v>0</v>
      </c>
      <c r="S429" s="734">
        <f t="shared" si="78"/>
        <v>0</v>
      </c>
    </row>
    <row r="430" spans="1:19">
      <c r="A430" s="880"/>
      <c r="B430" s="126"/>
      <c r="C430" s="49">
        <f t="shared" si="69"/>
        <v>1</v>
      </c>
      <c r="D430" s="879"/>
      <c r="E430" s="49">
        <f t="shared" si="70"/>
        <v>1</v>
      </c>
      <c r="F430" s="879"/>
      <c r="G430" s="49">
        <f t="shared" si="71"/>
        <v>1</v>
      </c>
      <c r="H430" s="879"/>
      <c r="I430" s="49">
        <f t="shared" si="72"/>
        <v>1</v>
      </c>
      <c r="J430" s="879"/>
      <c r="K430" s="49">
        <f t="shared" si="73"/>
        <v>1</v>
      </c>
      <c r="L430" s="879"/>
      <c r="M430" s="49">
        <f t="shared" si="74"/>
        <v>1</v>
      </c>
      <c r="N430" s="879"/>
      <c r="O430" s="49">
        <f t="shared" si="75"/>
        <v>1</v>
      </c>
      <c r="P430" s="879"/>
      <c r="Q430" s="49">
        <f t="shared" si="76"/>
        <v>1</v>
      </c>
      <c r="R430" s="49">
        <f t="shared" si="77"/>
        <v>0</v>
      </c>
      <c r="S430" s="734">
        <f t="shared" si="78"/>
        <v>0</v>
      </c>
    </row>
    <row r="431" spans="1:19">
      <c r="A431" s="880"/>
      <c r="B431" s="126"/>
      <c r="C431" s="49">
        <f t="shared" si="69"/>
        <v>1</v>
      </c>
      <c r="D431" s="879"/>
      <c r="E431" s="49">
        <f t="shared" si="70"/>
        <v>1</v>
      </c>
      <c r="F431" s="879"/>
      <c r="G431" s="49">
        <f t="shared" si="71"/>
        <v>1</v>
      </c>
      <c r="H431" s="879"/>
      <c r="I431" s="49">
        <f t="shared" si="72"/>
        <v>1</v>
      </c>
      <c r="J431" s="879"/>
      <c r="K431" s="49">
        <f t="shared" si="73"/>
        <v>1</v>
      </c>
      <c r="L431" s="879"/>
      <c r="M431" s="49">
        <f t="shared" si="74"/>
        <v>1</v>
      </c>
      <c r="N431" s="879"/>
      <c r="O431" s="49">
        <f t="shared" si="75"/>
        <v>1</v>
      </c>
      <c r="P431" s="879"/>
      <c r="Q431" s="49">
        <f t="shared" si="76"/>
        <v>1</v>
      </c>
      <c r="R431" s="49">
        <f t="shared" si="77"/>
        <v>0</v>
      </c>
      <c r="S431" s="734">
        <f t="shared" si="78"/>
        <v>0</v>
      </c>
    </row>
    <row r="432" spans="1:19">
      <c r="A432" s="880"/>
      <c r="B432" s="126"/>
      <c r="C432" s="49">
        <f t="shared" si="69"/>
        <v>1</v>
      </c>
      <c r="D432" s="879"/>
      <c r="E432" s="49">
        <f t="shared" si="70"/>
        <v>1</v>
      </c>
      <c r="F432" s="879"/>
      <c r="G432" s="49">
        <f t="shared" si="71"/>
        <v>1</v>
      </c>
      <c r="H432" s="879"/>
      <c r="I432" s="49">
        <f t="shared" si="72"/>
        <v>1</v>
      </c>
      <c r="J432" s="879"/>
      <c r="K432" s="49">
        <f t="shared" si="73"/>
        <v>1</v>
      </c>
      <c r="L432" s="879"/>
      <c r="M432" s="49">
        <f t="shared" si="74"/>
        <v>1</v>
      </c>
      <c r="N432" s="879"/>
      <c r="O432" s="49">
        <f t="shared" si="75"/>
        <v>1</v>
      </c>
      <c r="P432" s="879"/>
      <c r="Q432" s="49">
        <f t="shared" si="76"/>
        <v>1</v>
      </c>
      <c r="R432" s="49">
        <f t="shared" si="77"/>
        <v>0</v>
      </c>
      <c r="S432" s="734">
        <f t="shared" si="78"/>
        <v>0</v>
      </c>
    </row>
    <row r="433" spans="1:19">
      <c r="A433" s="880"/>
      <c r="B433" s="126"/>
      <c r="C433" s="49">
        <f t="shared" si="69"/>
        <v>1</v>
      </c>
      <c r="D433" s="879"/>
      <c r="E433" s="49">
        <f t="shared" si="70"/>
        <v>1</v>
      </c>
      <c r="F433" s="879"/>
      <c r="G433" s="49">
        <f t="shared" si="71"/>
        <v>1</v>
      </c>
      <c r="H433" s="879"/>
      <c r="I433" s="49">
        <f t="shared" si="72"/>
        <v>1</v>
      </c>
      <c r="J433" s="879"/>
      <c r="K433" s="49">
        <f t="shared" si="73"/>
        <v>1</v>
      </c>
      <c r="L433" s="879"/>
      <c r="M433" s="49">
        <f t="shared" si="74"/>
        <v>1</v>
      </c>
      <c r="N433" s="879"/>
      <c r="O433" s="49">
        <f t="shared" si="75"/>
        <v>1</v>
      </c>
      <c r="P433" s="879"/>
      <c r="Q433" s="49">
        <f t="shared" si="76"/>
        <v>1</v>
      </c>
      <c r="R433" s="49">
        <f t="shared" si="77"/>
        <v>0</v>
      </c>
      <c r="S433" s="734">
        <f t="shared" si="78"/>
        <v>0</v>
      </c>
    </row>
    <row r="434" spans="1:19">
      <c r="A434" s="880"/>
      <c r="B434" s="126"/>
      <c r="C434" s="49">
        <f t="shared" si="69"/>
        <v>1</v>
      </c>
      <c r="D434" s="879"/>
      <c r="E434" s="49">
        <f t="shared" si="70"/>
        <v>1</v>
      </c>
      <c r="F434" s="879"/>
      <c r="G434" s="49">
        <f t="shared" si="71"/>
        <v>1</v>
      </c>
      <c r="H434" s="879"/>
      <c r="I434" s="49">
        <f t="shared" si="72"/>
        <v>1</v>
      </c>
      <c r="J434" s="879"/>
      <c r="K434" s="49">
        <f t="shared" si="73"/>
        <v>1</v>
      </c>
      <c r="L434" s="879"/>
      <c r="M434" s="49">
        <f t="shared" si="74"/>
        <v>1</v>
      </c>
      <c r="N434" s="879"/>
      <c r="O434" s="49">
        <f t="shared" si="75"/>
        <v>1</v>
      </c>
      <c r="P434" s="879"/>
      <c r="Q434" s="49">
        <f t="shared" si="76"/>
        <v>1</v>
      </c>
      <c r="R434" s="49">
        <f t="shared" si="77"/>
        <v>0</v>
      </c>
      <c r="S434" s="734">
        <f t="shared" si="78"/>
        <v>0</v>
      </c>
    </row>
    <row r="435" spans="1:19">
      <c r="A435" s="880"/>
      <c r="B435" s="126"/>
      <c r="C435" s="49">
        <f t="shared" si="69"/>
        <v>1</v>
      </c>
      <c r="D435" s="879"/>
      <c r="E435" s="49">
        <f t="shared" si="70"/>
        <v>1</v>
      </c>
      <c r="F435" s="879"/>
      <c r="G435" s="49">
        <f t="shared" si="71"/>
        <v>1</v>
      </c>
      <c r="H435" s="879"/>
      <c r="I435" s="49">
        <f t="shared" si="72"/>
        <v>1</v>
      </c>
      <c r="J435" s="879"/>
      <c r="K435" s="49">
        <f t="shared" si="73"/>
        <v>1</v>
      </c>
      <c r="L435" s="879"/>
      <c r="M435" s="49">
        <f t="shared" si="74"/>
        <v>1</v>
      </c>
      <c r="N435" s="879"/>
      <c r="O435" s="49">
        <f t="shared" si="75"/>
        <v>1</v>
      </c>
      <c r="P435" s="879"/>
      <c r="Q435" s="49">
        <f t="shared" si="76"/>
        <v>1</v>
      </c>
      <c r="R435" s="49">
        <f t="shared" si="77"/>
        <v>0</v>
      </c>
      <c r="S435" s="734">
        <f t="shared" si="78"/>
        <v>0</v>
      </c>
    </row>
    <row r="436" spans="1:19">
      <c r="A436" s="880"/>
      <c r="B436" s="126"/>
      <c r="C436" s="49">
        <f t="shared" si="69"/>
        <v>1</v>
      </c>
      <c r="D436" s="879"/>
      <c r="E436" s="49">
        <f t="shared" si="70"/>
        <v>1</v>
      </c>
      <c r="F436" s="879"/>
      <c r="G436" s="49">
        <f t="shared" si="71"/>
        <v>1</v>
      </c>
      <c r="H436" s="879"/>
      <c r="I436" s="49">
        <f t="shared" si="72"/>
        <v>1</v>
      </c>
      <c r="J436" s="879"/>
      <c r="K436" s="49">
        <f t="shared" si="73"/>
        <v>1</v>
      </c>
      <c r="L436" s="879"/>
      <c r="M436" s="49">
        <f t="shared" si="74"/>
        <v>1</v>
      </c>
      <c r="N436" s="879"/>
      <c r="O436" s="49">
        <f t="shared" si="75"/>
        <v>1</v>
      </c>
      <c r="P436" s="879"/>
      <c r="Q436" s="49">
        <f t="shared" si="76"/>
        <v>1</v>
      </c>
      <c r="R436" s="49">
        <f t="shared" si="77"/>
        <v>0</v>
      </c>
      <c r="S436" s="734">
        <f t="shared" si="78"/>
        <v>0</v>
      </c>
    </row>
    <row r="437" spans="1:19">
      <c r="A437" s="880"/>
      <c r="B437" s="126"/>
      <c r="C437" s="49">
        <f t="shared" si="69"/>
        <v>1</v>
      </c>
      <c r="D437" s="879"/>
      <c r="E437" s="49">
        <f t="shared" si="70"/>
        <v>1</v>
      </c>
      <c r="F437" s="879"/>
      <c r="G437" s="49">
        <f t="shared" si="71"/>
        <v>1</v>
      </c>
      <c r="H437" s="879"/>
      <c r="I437" s="49">
        <f t="shared" si="72"/>
        <v>1</v>
      </c>
      <c r="J437" s="879"/>
      <c r="K437" s="49">
        <f t="shared" si="73"/>
        <v>1</v>
      </c>
      <c r="L437" s="879"/>
      <c r="M437" s="49">
        <f t="shared" si="74"/>
        <v>1</v>
      </c>
      <c r="N437" s="879"/>
      <c r="O437" s="49">
        <f t="shared" si="75"/>
        <v>1</v>
      </c>
      <c r="P437" s="879"/>
      <c r="Q437" s="49">
        <f t="shared" si="76"/>
        <v>1</v>
      </c>
      <c r="R437" s="49">
        <f t="shared" si="77"/>
        <v>0</v>
      </c>
      <c r="S437" s="734">
        <f t="shared" si="78"/>
        <v>0</v>
      </c>
    </row>
    <row r="438" spans="1:19">
      <c r="A438" s="880"/>
      <c r="B438" s="126"/>
      <c r="C438" s="49">
        <f t="shared" si="69"/>
        <v>1</v>
      </c>
      <c r="D438" s="879"/>
      <c r="E438" s="49">
        <f t="shared" si="70"/>
        <v>1</v>
      </c>
      <c r="F438" s="879"/>
      <c r="G438" s="49">
        <f t="shared" si="71"/>
        <v>1</v>
      </c>
      <c r="H438" s="879"/>
      <c r="I438" s="49">
        <f t="shared" si="72"/>
        <v>1</v>
      </c>
      <c r="J438" s="879"/>
      <c r="K438" s="49">
        <f t="shared" si="73"/>
        <v>1</v>
      </c>
      <c r="L438" s="879"/>
      <c r="M438" s="49">
        <f t="shared" si="74"/>
        <v>1</v>
      </c>
      <c r="N438" s="879"/>
      <c r="O438" s="49">
        <f t="shared" si="75"/>
        <v>1</v>
      </c>
      <c r="P438" s="879"/>
      <c r="Q438" s="49">
        <f t="shared" si="76"/>
        <v>1</v>
      </c>
      <c r="R438" s="49">
        <f t="shared" si="77"/>
        <v>0</v>
      </c>
      <c r="S438" s="734">
        <f t="shared" si="78"/>
        <v>0</v>
      </c>
    </row>
    <row r="439" spans="1:19">
      <c r="A439" s="880"/>
      <c r="B439" s="126"/>
      <c r="C439" s="49">
        <f t="shared" si="69"/>
        <v>1</v>
      </c>
      <c r="D439" s="879"/>
      <c r="E439" s="49">
        <f t="shared" si="70"/>
        <v>1</v>
      </c>
      <c r="F439" s="879"/>
      <c r="G439" s="49">
        <f t="shared" si="71"/>
        <v>1</v>
      </c>
      <c r="H439" s="879"/>
      <c r="I439" s="49">
        <f t="shared" si="72"/>
        <v>1</v>
      </c>
      <c r="J439" s="879"/>
      <c r="K439" s="49">
        <f t="shared" si="73"/>
        <v>1</v>
      </c>
      <c r="L439" s="879"/>
      <c r="M439" s="49">
        <f t="shared" si="74"/>
        <v>1</v>
      </c>
      <c r="N439" s="879"/>
      <c r="O439" s="49">
        <f t="shared" si="75"/>
        <v>1</v>
      </c>
      <c r="P439" s="879"/>
      <c r="Q439" s="49">
        <f t="shared" si="76"/>
        <v>1</v>
      </c>
      <c r="R439" s="49">
        <f t="shared" si="77"/>
        <v>0</v>
      </c>
      <c r="S439" s="734">
        <f t="shared" si="78"/>
        <v>0</v>
      </c>
    </row>
    <row r="440" spans="1:19">
      <c r="A440" s="880"/>
      <c r="B440" s="126"/>
      <c r="C440" s="49">
        <f t="shared" si="69"/>
        <v>1</v>
      </c>
      <c r="D440" s="879"/>
      <c r="E440" s="49">
        <f t="shared" si="70"/>
        <v>1</v>
      </c>
      <c r="F440" s="879"/>
      <c r="G440" s="49">
        <f t="shared" si="71"/>
        <v>1</v>
      </c>
      <c r="H440" s="879"/>
      <c r="I440" s="49">
        <f t="shared" si="72"/>
        <v>1</v>
      </c>
      <c r="J440" s="879"/>
      <c r="K440" s="49">
        <f t="shared" si="73"/>
        <v>1</v>
      </c>
      <c r="L440" s="879"/>
      <c r="M440" s="49">
        <f t="shared" si="74"/>
        <v>1</v>
      </c>
      <c r="N440" s="879"/>
      <c r="O440" s="49">
        <f t="shared" si="75"/>
        <v>1</v>
      </c>
      <c r="P440" s="879"/>
      <c r="Q440" s="49">
        <f t="shared" si="76"/>
        <v>1</v>
      </c>
      <c r="R440" s="49">
        <f t="shared" si="77"/>
        <v>0</v>
      </c>
      <c r="S440" s="734">
        <f t="shared" si="78"/>
        <v>0</v>
      </c>
    </row>
    <row r="441" spans="1:19">
      <c r="A441" s="880"/>
      <c r="B441" s="126"/>
      <c r="C441" s="49">
        <f t="shared" si="69"/>
        <v>1</v>
      </c>
      <c r="D441" s="879"/>
      <c r="E441" s="49">
        <f t="shared" si="70"/>
        <v>1</v>
      </c>
      <c r="F441" s="879"/>
      <c r="G441" s="49">
        <f t="shared" si="71"/>
        <v>1</v>
      </c>
      <c r="H441" s="879"/>
      <c r="I441" s="49">
        <f t="shared" si="72"/>
        <v>1</v>
      </c>
      <c r="J441" s="879"/>
      <c r="K441" s="49">
        <f t="shared" si="73"/>
        <v>1</v>
      </c>
      <c r="L441" s="879"/>
      <c r="M441" s="49">
        <f t="shared" si="74"/>
        <v>1</v>
      </c>
      <c r="N441" s="879"/>
      <c r="O441" s="49">
        <f t="shared" si="75"/>
        <v>1</v>
      </c>
      <c r="P441" s="879"/>
      <c r="Q441" s="49">
        <f t="shared" si="76"/>
        <v>1</v>
      </c>
      <c r="R441" s="49">
        <f t="shared" si="77"/>
        <v>0</v>
      </c>
      <c r="S441" s="734">
        <f t="shared" si="78"/>
        <v>0</v>
      </c>
    </row>
    <row r="442" spans="1:19">
      <c r="A442" s="880"/>
      <c r="B442" s="126"/>
      <c r="C442" s="49">
        <f t="shared" si="69"/>
        <v>1</v>
      </c>
      <c r="D442" s="879"/>
      <c r="E442" s="49">
        <f t="shared" si="70"/>
        <v>1</v>
      </c>
      <c r="F442" s="879"/>
      <c r="G442" s="49">
        <f t="shared" si="71"/>
        <v>1</v>
      </c>
      <c r="H442" s="879"/>
      <c r="I442" s="49">
        <f t="shared" si="72"/>
        <v>1</v>
      </c>
      <c r="J442" s="879"/>
      <c r="K442" s="49">
        <f t="shared" si="73"/>
        <v>1</v>
      </c>
      <c r="L442" s="879"/>
      <c r="M442" s="49">
        <f t="shared" si="74"/>
        <v>1</v>
      </c>
      <c r="N442" s="879"/>
      <c r="O442" s="49">
        <f t="shared" si="75"/>
        <v>1</v>
      </c>
      <c r="P442" s="879"/>
      <c r="Q442" s="49">
        <f t="shared" si="76"/>
        <v>1</v>
      </c>
      <c r="R442" s="49">
        <f t="shared" si="77"/>
        <v>0</v>
      </c>
      <c r="S442" s="734">
        <f t="shared" si="78"/>
        <v>0</v>
      </c>
    </row>
    <row r="443" spans="1:19">
      <c r="A443" s="880"/>
      <c r="B443" s="126"/>
      <c r="C443" s="49">
        <f t="shared" si="69"/>
        <v>1</v>
      </c>
      <c r="D443" s="879"/>
      <c r="E443" s="49">
        <f t="shared" si="70"/>
        <v>1</v>
      </c>
      <c r="F443" s="879"/>
      <c r="G443" s="49">
        <f t="shared" si="71"/>
        <v>1</v>
      </c>
      <c r="H443" s="879"/>
      <c r="I443" s="49">
        <f t="shared" si="72"/>
        <v>1</v>
      </c>
      <c r="J443" s="879"/>
      <c r="K443" s="49">
        <f t="shared" si="73"/>
        <v>1</v>
      </c>
      <c r="L443" s="879"/>
      <c r="M443" s="49">
        <f t="shared" si="74"/>
        <v>1</v>
      </c>
      <c r="N443" s="879"/>
      <c r="O443" s="49">
        <f t="shared" si="75"/>
        <v>1</v>
      </c>
      <c r="P443" s="879"/>
      <c r="Q443" s="49">
        <f t="shared" si="76"/>
        <v>1</v>
      </c>
      <c r="R443" s="49">
        <f t="shared" si="77"/>
        <v>0</v>
      </c>
      <c r="S443" s="734">
        <f t="shared" si="78"/>
        <v>0</v>
      </c>
    </row>
    <row r="444" spans="1:19">
      <c r="A444" s="880"/>
      <c r="B444" s="126"/>
      <c r="C444" s="49">
        <f t="shared" si="69"/>
        <v>1</v>
      </c>
      <c r="D444" s="879"/>
      <c r="E444" s="49">
        <f t="shared" si="70"/>
        <v>1</v>
      </c>
      <c r="F444" s="879"/>
      <c r="G444" s="49">
        <f t="shared" si="71"/>
        <v>1</v>
      </c>
      <c r="H444" s="879"/>
      <c r="I444" s="49">
        <f t="shared" si="72"/>
        <v>1</v>
      </c>
      <c r="J444" s="879"/>
      <c r="K444" s="49">
        <f t="shared" si="73"/>
        <v>1</v>
      </c>
      <c r="L444" s="879"/>
      <c r="M444" s="49">
        <f t="shared" si="74"/>
        <v>1</v>
      </c>
      <c r="N444" s="879"/>
      <c r="O444" s="49">
        <f t="shared" si="75"/>
        <v>1</v>
      </c>
      <c r="P444" s="879"/>
      <c r="Q444" s="49">
        <f t="shared" si="76"/>
        <v>1</v>
      </c>
      <c r="R444" s="49">
        <f t="shared" si="77"/>
        <v>0</v>
      </c>
      <c r="S444" s="734">
        <f t="shared" si="78"/>
        <v>0</v>
      </c>
    </row>
    <row r="445" spans="1:19">
      <c r="A445" s="880"/>
      <c r="B445" s="126"/>
      <c r="C445" s="49">
        <f t="shared" si="69"/>
        <v>1</v>
      </c>
      <c r="D445" s="879"/>
      <c r="E445" s="49">
        <f t="shared" si="70"/>
        <v>1</v>
      </c>
      <c r="F445" s="879"/>
      <c r="G445" s="49">
        <f t="shared" si="71"/>
        <v>1</v>
      </c>
      <c r="H445" s="879"/>
      <c r="I445" s="49">
        <f t="shared" si="72"/>
        <v>1</v>
      </c>
      <c r="J445" s="879"/>
      <c r="K445" s="49">
        <f t="shared" si="73"/>
        <v>1</v>
      </c>
      <c r="L445" s="879"/>
      <c r="M445" s="49">
        <f t="shared" si="74"/>
        <v>1</v>
      </c>
      <c r="N445" s="879"/>
      <c r="O445" s="49">
        <f t="shared" si="75"/>
        <v>1</v>
      </c>
      <c r="P445" s="879"/>
      <c r="Q445" s="49">
        <f t="shared" si="76"/>
        <v>1</v>
      </c>
      <c r="R445" s="49">
        <f t="shared" si="77"/>
        <v>0</v>
      </c>
      <c r="S445" s="734">
        <f t="shared" si="78"/>
        <v>0</v>
      </c>
    </row>
    <row r="446" spans="1:19">
      <c r="A446" s="880"/>
      <c r="B446" s="126"/>
      <c r="C446" s="49">
        <f t="shared" si="69"/>
        <v>1</v>
      </c>
      <c r="D446" s="879"/>
      <c r="E446" s="49">
        <f t="shared" si="70"/>
        <v>1</v>
      </c>
      <c r="F446" s="879"/>
      <c r="G446" s="49">
        <f t="shared" si="71"/>
        <v>1</v>
      </c>
      <c r="H446" s="879"/>
      <c r="I446" s="49">
        <f t="shared" si="72"/>
        <v>1</v>
      </c>
      <c r="J446" s="879"/>
      <c r="K446" s="49">
        <f t="shared" si="73"/>
        <v>1</v>
      </c>
      <c r="L446" s="879"/>
      <c r="M446" s="49">
        <f t="shared" si="74"/>
        <v>1</v>
      </c>
      <c r="N446" s="879"/>
      <c r="O446" s="49">
        <f t="shared" si="75"/>
        <v>1</v>
      </c>
      <c r="P446" s="879"/>
      <c r="Q446" s="49">
        <f t="shared" si="76"/>
        <v>1</v>
      </c>
      <c r="R446" s="49">
        <f t="shared" si="77"/>
        <v>0</v>
      </c>
      <c r="S446" s="734">
        <f t="shared" si="78"/>
        <v>0</v>
      </c>
    </row>
    <row r="447" spans="1:19">
      <c r="A447" s="880"/>
      <c r="B447" s="126"/>
      <c r="C447" s="49">
        <f t="shared" si="69"/>
        <v>1</v>
      </c>
      <c r="D447" s="879"/>
      <c r="E447" s="49">
        <f t="shared" si="70"/>
        <v>1</v>
      </c>
      <c r="F447" s="879"/>
      <c r="G447" s="49">
        <f t="shared" si="71"/>
        <v>1</v>
      </c>
      <c r="H447" s="879"/>
      <c r="I447" s="49">
        <f t="shared" si="72"/>
        <v>1</v>
      </c>
      <c r="J447" s="879"/>
      <c r="K447" s="49">
        <f t="shared" si="73"/>
        <v>1</v>
      </c>
      <c r="L447" s="879"/>
      <c r="M447" s="49">
        <f t="shared" si="74"/>
        <v>1</v>
      </c>
      <c r="N447" s="879"/>
      <c r="O447" s="49">
        <f t="shared" si="75"/>
        <v>1</v>
      </c>
      <c r="P447" s="879"/>
      <c r="Q447" s="49">
        <f t="shared" si="76"/>
        <v>1</v>
      </c>
      <c r="R447" s="49">
        <f t="shared" si="77"/>
        <v>0</v>
      </c>
      <c r="S447" s="734">
        <f t="shared" si="78"/>
        <v>0</v>
      </c>
    </row>
    <row r="448" spans="1:19">
      <c r="A448" s="880"/>
      <c r="B448" s="126"/>
      <c r="C448" s="49">
        <f t="shared" si="69"/>
        <v>1</v>
      </c>
      <c r="D448" s="879"/>
      <c r="E448" s="49">
        <f t="shared" si="70"/>
        <v>1</v>
      </c>
      <c r="F448" s="879"/>
      <c r="G448" s="49">
        <f t="shared" si="71"/>
        <v>1</v>
      </c>
      <c r="H448" s="879"/>
      <c r="I448" s="49">
        <f t="shared" si="72"/>
        <v>1</v>
      </c>
      <c r="J448" s="879"/>
      <c r="K448" s="49">
        <f t="shared" si="73"/>
        <v>1</v>
      </c>
      <c r="L448" s="879"/>
      <c r="M448" s="49">
        <f t="shared" si="74"/>
        <v>1</v>
      </c>
      <c r="N448" s="879"/>
      <c r="O448" s="49">
        <f t="shared" si="75"/>
        <v>1</v>
      </c>
      <c r="P448" s="879"/>
      <c r="Q448" s="49">
        <f t="shared" si="76"/>
        <v>1</v>
      </c>
      <c r="R448" s="49">
        <f t="shared" si="77"/>
        <v>0</v>
      </c>
      <c r="S448" s="734">
        <f t="shared" si="78"/>
        <v>0</v>
      </c>
    </row>
    <row r="449" spans="1:19">
      <c r="A449" s="880"/>
      <c r="B449" s="126"/>
      <c r="C449" s="49">
        <f t="shared" si="69"/>
        <v>1</v>
      </c>
      <c r="D449" s="879"/>
      <c r="E449" s="49">
        <f t="shared" si="70"/>
        <v>1</v>
      </c>
      <c r="F449" s="879"/>
      <c r="G449" s="49">
        <f t="shared" si="71"/>
        <v>1</v>
      </c>
      <c r="H449" s="879"/>
      <c r="I449" s="49">
        <f t="shared" si="72"/>
        <v>1</v>
      </c>
      <c r="J449" s="879"/>
      <c r="K449" s="49">
        <f t="shared" si="73"/>
        <v>1</v>
      </c>
      <c r="L449" s="879"/>
      <c r="M449" s="49">
        <f t="shared" si="74"/>
        <v>1</v>
      </c>
      <c r="N449" s="879"/>
      <c r="O449" s="49">
        <f t="shared" si="75"/>
        <v>1</v>
      </c>
      <c r="P449" s="879"/>
      <c r="Q449" s="49">
        <f t="shared" si="76"/>
        <v>1</v>
      </c>
      <c r="R449" s="49">
        <f t="shared" si="77"/>
        <v>0</v>
      </c>
      <c r="S449" s="734">
        <f t="shared" si="78"/>
        <v>0</v>
      </c>
    </row>
    <row r="450" spans="1:19">
      <c r="A450" s="880"/>
      <c r="B450" s="126"/>
      <c r="C450" s="49">
        <f t="shared" si="69"/>
        <v>1</v>
      </c>
      <c r="D450" s="879"/>
      <c r="E450" s="49">
        <f t="shared" si="70"/>
        <v>1</v>
      </c>
      <c r="F450" s="879"/>
      <c r="G450" s="49">
        <f t="shared" si="71"/>
        <v>1</v>
      </c>
      <c r="H450" s="879"/>
      <c r="I450" s="49">
        <f t="shared" si="72"/>
        <v>1</v>
      </c>
      <c r="J450" s="879"/>
      <c r="K450" s="49">
        <f t="shared" si="73"/>
        <v>1</v>
      </c>
      <c r="L450" s="879"/>
      <c r="M450" s="49">
        <f t="shared" si="74"/>
        <v>1</v>
      </c>
      <c r="N450" s="879"/>
      <c r="O450" s="49">
        <f t="shared" si="75"/>
        <v>1</v>
      </c>
      <c r="P450" s="879"/>
      <c r="Q450" s="49">
        <f t="shared" si="76"/>
        <v>1</v>
      </c>
      <c r="R450" s="49">
        <f t="shared" si="77"/>
        <v>0</v>
      </c>
      <c r="S450" s="734">
        <f t="shared" si="78"/>
        <v>0</v>
      </c>
    </row>
    <row r="451" spans="1:19">
      <c r="A451" s="880"/>
      <c r="B451" s="126"/>
      <c r="C451" s="49">
        <f t="shared" si="69"/>
        <v>1</v>
      </c>
      <c r="D451" s="879"/>
      <c r="E451" s="49">
        <f t="shared" si="70"/>
        <v>1</v>
      </c>
      <c r="F451" s="879"/>
      <c r="G451" s="49">
        <f t="shared" si="71"/>
        <v>1</v>
      </c>
      <c r="H451" s="879"/>
      <c r="I451" s="49">
        <f t="shared" si="72"/>
        <v>1</v>
      </c>
      <c r="J451" s="879"/>
      <c r="K451" s="49">
        <f t="shared" si="73"/>
        <v>1</v>
      </c>
      <c r="L451" s="879"/>
      <c r="M451" s="49">
        <f t="shared" si="74"/>
        <v>1</v>
      </c>
      <c r="N451" s="879"/>
      <c r="O451" s="49">
        <f t="shared" si="75"/>
        <v>1</v>
      </c>
      <c r="P451" s="879"/>
      <c r="Q451" s="49">
        <f t="shared" si="76"/>
        <v>1</v>
      </c>
      <c r="R451" s="49">
        <f t="shared" si="77"/>
        <v>0</v>
      </c>
      <c r="S451" s="734">
        <f t="shared" si="78"/>
        <v>0</v>
      </c>
    </row>
    <row r="452" spans="1:19">
      <c r="A452" s="880"/>
      <c r="B452" s="126"/>
      <c r="C452" s="49">
        <f t="shared" si="69"/>
        <v>1</v>
      </c>
      <c r="D452" s="879"/>
      <c r="E452" s="49">
        <f t="shared" si="70"/>
        <v>1</v>
      </c>
      <c r="F452" s="879"/>
      <c r="G452" s="49">
        <f t="shared" si="71"/>
        <v>1</v>
      </c>
      <c r="H452" s="879"/>
      <c r="I452" s="49">
        <f t="shared" si="72"/>
        <v>1</v>
      </c>
      <c r="J452" s="879"/>
      <c r="K452" s="49">
        <f t="shared" si="73"/>
        <v>1</v>
      </c>
      <c r="L452" s="879"/>
      <c r="M452" s="49">
        <f t="shared" si="74"/>
        <v>1</v>
      </c>
      <c r="N452" s="879"/>
      <c r="O452" s="49">
        <f t="shared" si="75"/>
        <v>1</v>
      </c>
      <c r="P452" s="879"/>
      <c r="Q452" s="49">
        <f t="shared" si="76"/>
        <v>1</v>
      </c>
      <c r="R452" s="49">
        <f t="shared" si="77"/>
        <v>0</v>
      </c>
      <c r="S452" s="734">
        <f t="shared" si="78"/>
        <v>0</v>
      </c>
    </row>
    <row r="453" spans="1:19">
      <c r="A453" s="880"/>
      <c r="B453" s="126"/>
      <c r="C453" s="49">
        <f t="shared" si="69"/>
        <v>1</v>
      </c>
      <c r="D453" s="879"/>
      <c r="E453" s="49">
        <f t="shared" si="70"/>
        <v>1</v>
      </c>
      <c r="F453" s="879"/>
      <c r="G453" s="49">
        <f t="shared" si="71"/>
        <v>1</v>
      </c>
      <c r="H453" s="879"/>
      <c r="I453" s="49">
        <f t="shared" si="72"/>
        <v>1</v>
      </c>
      <c r="J453" s="879"/>
      <c r="K453" s="49">
        <f t="shared" si="73"/>
        <v>1</v>
      </c>
      <c r="L453" s="879"/>
      <c r="M453" s="49">
        <f t="shared" si="74"/>
        <v>1</v>
      </c>
      <c r="N453" s="879"/>
      <c r="O453" s="49">
        <f t="shared" si="75"/>
        <v>1</v>
      </c>
      <c r="P453" s="879"/>
      <c r="Q453" s="49">
        <f t="shared" si="76"/>
        <v>1</v>
      </c>
      <c r="R453" s="49">
        <f t="shared" si="77"/>
        <v>0</v>
      </c>
      <c r="S453" s="734">
        <f t="shared" si="78"/>
        <v>0</v>
      </c>
    </row>
    <row r="454" spans="1:19">
      <c r="A454" s="880"/>
      <c r="B454" s="126"/>
      <c r="C454" s="49">
        <f t="shared" si="69"/>
        <v>1</v>
      </c>
      <c r="D454" s="879"/>
      <c r="E454" s="49">
        <f t="shared" si="70"/>
        <v>1</v>
      </c>
      <c r="F454" s="879"/>
      <c r="G454" s="49">
        <f t="shared" si="71"/>
        <v>1</v>
      </c>
      <c r="H454" s="879"/>
      <c r="I454" s="49">
        <f t="shared" si="72"/>
        <v>1</v>
      </c>
      <c r="J454" s="879"/>
      <c r="K454" s="49">
        <f t="shared" si="73"/>
        <v>1</v>
      </c>
      <c r="L454" s="879"/>
      <c r="M454" s="49">
        <f t="shared" si="74"/>
        <v>1</v>
      </c>
      <c r="N454" s="879"/>
      <c r="O454" s="49">
        <f t="shared" si="75"/>
        <v>1</v>
      </c>
      <c r="P454" s="879"/>
      <c r="Q454" s="49">
        <f t="shared" si="76"/>
        <v>1</v>
      </c>
      <c r="R454" s="49">
        <f t="shared" si="77"/>
        <v>0</v>
      </c>
      <c r="S454" s="734">
        <f t="shared" si="78"/>
        <v>0</v>
      </c>
    </row>
    <row r="455" spans="1:19">
      <c r="A455" s="880"/>
      <c r="B455" s="126"/>
      <c r="C455" s="49">
        <f t="shared" si="69"/>
        <v>1</v>
      </c>
      <c r="D455" s="879"/>
      <c r="E455" s="49">
        <f t="shared" si="70"/>
        <v>1</v>
      </c>
      <c r="F455" s="879"/>
      <c r="G455" s="49">
        <f t="shared" si="71"/>
        <v>1</v>
      </c>
      <c r="H455" s="879"/>
      <c r="I455" s="49">
        <f t="shared" si="72"/>
        <v>1</v>
      </c>
      <c r="J455" s="879"/>
      <c r="K455" s="49">
        <f t="shared" si="73"/>
        <v>1</v>
      </c>
      <c r="L455" s="879"/>
      <c r="M455" s="49">
        <f t="shared" si="74"/>
        <v>1</v>
      </c>
      <c r="N455" s="879"/>
      <c r="O455" s="49">
        <f t="shared" si="75"/>
        <v>1</v>
      </c>
      <c r="P455" s="879"/>
      <c r="Q455" s="49">
        <f t="shared" si="76"/>
        <v>1</v>
      </c>
      <c r="R455" s="49">
        <f t="shared" si="77"/>
        <v>0</v>
      </c>
      <c r="S455" s="734">
        <f t="shared" si="78"/>
        <v>0</v>
      </c>
    </row>
    <row r="456" spans="1:19">
      <c r="A456" s="880"/>
      <c r="B456" s="126"/>
      <c r="C456" s="49">
        <f t="shared" si="69"/>
        <v>1</v>
      </c>
      <c r="D456" s="879"/>
      <c r="E456" s="49">
        <f t="shared" si="70"/>
        <v>1</v>
      </c>
      <c r="F456" s="879"/>
      <c r="G456" s="49">
        <f t="shared" si="71"/>
        <v>1</v>
      </c>
      <c r="H456" s="879"/>
      <c r="I456" s="49">
        <f t="shared" si="72"/>
        <v>1</v>
      </c>
      <c r="J456" s="879"/>
      <c r="K456" s="49">
        <f t="shared" si="73"/>
        <v>1</v>
      </c>
      <c r="L456" s="879"/>
      <c r="M456" s="49">
        <f t="shared" si="74"/>
        <v>1</v>
      </c>
      <c r="N456" s="879"/>
      <c r="O456" s="49">
        <f t="shared" si="75"/>
        <v>1</v>
      </c>
      <c r="P456" s="879"/>
      <c r="Q456" s="49">
        <f t="shared" si="76"/>
        <v>1</v>
      </c>
      <c r="R456" s="49">
        <f t="shared" si="77"/>
        <v>0</v>
      </c>
      <c r="S456" s="734">
        <f t="shared" si="78"/>
        <v>0</v>
      </c>
    </row>
    <row r="457" spans="1:19">
      <c r="A457" s="880"/>
      <c r="B457" s="126"/>
      <c r="C457" s="49">
        <f t="shared" si="69"/>
        <v>1</v>
      </c>
      <c r="D457" s="879"/>
      <c r="E457" s="49">
        <f t="shared" si="70"/>
        <v>1</v>
      </c>
      <c r="F457" s="879"/>
      <c r="G457" s="49">
        <f t="shared" si="71"/>
        <v>1</v>
      </c>
      <c r="H457" s="879"/>
      <c r="I457" s="49">
        <f t="shared" si="72"/>
        <v>1</v>
      </c>
      <c r="J457" s="879"/>
      <c r="K457" s="49">
        <f t="shared" si="73"/>
        <v>1</v>
      </c>
      <c r="L457" s="879"/>
      <c r="M457" s="49">
        <f t="shared" si="74"/>
        <v>1</v>
      </c>
      <c r="N457" s="879"/>
      <c r="O457" s="49">
        <f t="shared" si="75"/>
        <v>1</v>
      </c>
      <c r="P457" s="879"/>
      <c r="Q457" s="49">
        <f t="shared" si="76"/>
        <v>1</v>
      </c>
      <c r="R457" s="49">
        <f t="shared" si="77"/>
        <v>0</v>
      </c>
      <c r="S457" s="734">
        <f t="shared" si="78"/>
        <v>0</v>
      </c>
    </row>
    <row r="458" spans="1:19">
      <c r="A458" s="880"/>
      <c r="B458" s="126"/>
      <c r="C458" s="49">
        <f t="shared" si="69"/>
        <v>1</v>
      </c>
      <c r="D458" s="879"/>
      <c r="E458" s="49">
        <f t="shared" si="70"/>
        <v>1</v>
      </c>
      <c r="F458" s="879"/>
      <c r="G458" s="49">
        <f t="shared" si="71"/>
        <v>1</v>
      </c>
      <c r="H458" s="879"/>
      <c r="I458" s="49">
        <f t="shared" si="72"/>
        <v>1</v>
      </c>
      <c r="J458" s="879"/>
      <c r="K458" s="49">
        <f t="shared" si="73"/>
        <v>1</v>
      </c>
      <c r="L458" s="879"/>
      <c r="M458" s="49">
        <f t="shared" si="74"/>
        <v>1</v>
      </c>
      <c r="N458" s="879"/>
      <c r="O458" s="49">
        <f t="shared" si="75"/>
        <v>1</v>
      </c>
      <c r="P458" s="879"/>
      <c r="Q458" s="49">
        <f t="shared" si="76"/>
        <v>1</v>
      </c>
      <c r="R458" s="49">
        <f t="shared" si="77"/>
        <v>0</v>
      </c>
      <c r="S458" s="734">
        <f t="shared" si="78"/>
        <v>0</v>
      </c>
    </row>
    <row r="459" spans="1:19">
      <c r="A459" s="880"/>
      <c r="B459" s="126"/>
      <c r="C459" s="49">
        <f t="shared" si="69"/>
        <v>1</v>
      </c>
      <c r="D459" s="879"/>
      <c r="E459" s="49">
        <f t="shared" si="70"/>
        <v>1</v>
      </c>
      <c r="F459" s="879"/>
      <c r="G459" s="49">
        <f t="shared" si="71"/>
        <v>1</v>
      </c>
      <c r="H459" s="879"/>
      <c r="I459" s="49">
        <f t="shared" si="72"/>
        <v>1</v>
      </c>
      <c r="J459" s="879"/>
      <c r="K459" s="49">
        <f t="shared" si="73"/>
        <v>1</v>
      </c>
      <c r="L459" s="879"/>
      <c r="M459" s="49">
        <f t="shared" si="74"/>
        <v>1</v>
      </c>
      <c r="N459" s="879"/>
      <c r="O459" s="49">
        <f t="shared" si="75"/>
        <v>1</v>
      </c>
      <c r="P459" s="879"/>
      <c r="Q459" s="49">
        <f t="shared" si="76"/>
        <v>1</v>
      </c>
      <c r="R459" s="49">
        <f t="shared" si="77"/>
        <v>0</v>
      </c>
      <c r="S459" s="734">
        <f t="shared" si="78"/>
        <v>0</v>
      </c>
    </row>
    <row r="460" spans="1:19">
      <c r="A460" s="880"/>
      <c r="B460" s="126"/>
      <c r="C460" s="49">
        <f t="shared" si="69"/>
        <v>1</v>
      </c>
      <c r="D460" s="879"/>
      <c r="E460" s="49">
        <f t="shared" si="70"/>
        <v>1</v>
      </c>
      <c r="F460" s="879"/>
      <c r="G460" s="49">
        <f t="shared" si="71"/>
        <v>1</v>
      </c>
      <c r="H460" s="879"/>
      <c r="I460" s="49">
        <f t="shared" si="72"/>
        <v>1</v>
      </c>
      <c r="J460" s="879"/>
      <c r="K460" s="49">
        <f t="shared" si="73"/>
        <v>1</v>
      </c>
      <c r="L460" s="879"/>
      <c r="M460" s="49">
        <f t="shared" si="74"/>
        <v>1</v>
      </c>
      <c r="N460" s="879"/>
      <c r="O460" s="49">
        <f t="shared" si="75"/>
        <v>1</v>
      </c>
      <c r="P460" s="879"/>
      <c r="Q460" s="49">
        <f t="shared" si="76"/>
        <v>1</v>
      </c>
      <c r="R460" s="49">
        <f t="shared" si="77"/>
        <v>0</v>
      </c>
      <c r="S460" s="734">
        <f t="shared" si="78"/>
        <v>0</v>
      </c>
    </row>
    <row r="461" spans="1:19">
      <c r="A461" s="880"/>
      <c r="B461" s="126"/>
      <c r="C461" s="49">
        <f t="shared" si="69"/>
        <v>1</v>
      </c>
      <c r="D461" s="879"/>
      <c r="E461" s="49">
        <f t="shared" si="70"/>
        <v>1</v>
      </c>
      <c r="F461" s="879"/>
      <c r="G461" s="49">
        <f t="shared" si="71"/>
        <v>1</v>
      </c>
      <c r="H461" s="879"/>
      <c r="I461" s="49">
        <f t="shared" si="72"/>
        <v>1</v>
      </c>
      <c r="J461" s="879"/>
      <c r="K461" s="49">
        <f t="shared" si="73"/>
        <v>1</v>
      </c>
      <c r="L461" s="879"/>
      <c r="M461" s="49">
        <f t="shared" si="74"/>
        <v>1</v>
      </c>
      <c r="N461" s="879"/>
      <c r="O461" s="49">
        <f t="shared" si="75"/>
        <v>1</v>
      </c>
      <c r="P461" s="879"/>
      <c r="Q461" s="49">
        <f t="shared" si="76"/>
        <v>1</v>
      </c>
      <c r="R461" s="49">
        <f t="shared" si="77"/>
        <v>0</v>
      </c>
      <c r="S461" s="734">
        <f t="shared" si="78"/>
        <v>0</v>
      </c>
    </row>
    <row r="462" spans="1:19">
      <c r="A462" s="880"/>
      <c r="B462" s="126"/>
      <c r="C462" s="49">
        <f t="shared" si="69"/>
        <v>1</v>
      </c>
      <c r="D462" s="879"/>
      <c r="E462" s="49">
        <f t="shared" si="70"/>
        <v>1</v>
      </c>
      <c r="F462" s="879"/>
      <c r="G462" s="49">
        <f t="shared" si="71"/>
        <v>1</v>
      </c>
      <c r="H462" s="879"/>
      <c r="I462" s="49">
        <f t="shared" si="72"/>
        <v>1</v>
      </c>
      <c r="J462" s="879"/>
      <c r="K462" s="49">
        <f t="shared" si="73"/>
        <v>1</v>
      </c>
      <c r="L462" s="879"/>
      <c r="M462" s="49">
        <f t="shared" si="74"/>
        <v>1</v>
      </c>
      <c r="N462" s="879"/>
      <c r="O462" s="49">
        <f t="shared" si="75"/>
        <v>1</v>
      </c>
      <c r="P462" s="879"/>
      <c r="Q462" s="49">
        <f t="shared" si="76"/>
        <v>1</v>
      </c>
      <c r="R462" s="49">
        <f t="shared" si="77"/>
        <v>0</v>
      </c>
      <c r="S462" s="734">
        <f t="shared" si="78"/>
        <v>0</v>
      </c>
    </row>
    <row r="463" spans="1:19">
      <c r="A463" s="880"/>
      <c r="B463" s="126"/>
      <c r="C463" s="49">
        <f t="shared" si="69"/>
        <v>1</v>
      </c>
      <c r="D463" s="879"/>
      <c r="E463" s="49">
        <f t="shared" si="70"/>
        <v>1</v>
      </c>
      <c r="F463" s="879"/>
      <c r="G463" s="49">
        <f t="shared" si="71"/>
        <v>1</v>
      </c>
      <c r="H463" s="879"/>
      <c r="I463" s="49">
        <f t="shared" si="72"/>
        <v>1</v>
      </c>
      <c r="J463" s="879"/>
      <c r="K463" s="49">
        <f t="shared" si="73"/>
        <v>1</v>
      </c>
      <c r="L463" s="879"/>
      <c r="M463" s="49">
        <f t="shared" si="74"/>
        <v>1</v>
      </c>
      <c r="N463" s="879"/>
      <c r="O463" s="49">
        <f t="shared" si="75"/>
        <v>1</v>
      </c>
      <c r="P463" s="879"/>
      <c r="Q463" s="49">
        <f t="shared" si="76"/>
        <v>1</v>
      </c>
      <c r="R463" s="49">
        <f t="shared" si="77"/>
        <v>0</v>
      </c>
      <c r="S463" s="734">
        <f t="shared" si="78"/>
        <v>0</v>
      </c>
    </row>
    <row r="464" spans="1:19">
      <c r="A464" s="880"/>
      <c r="B464" s="126"/>
      <c r="C464" s="49">
        <f t="shared" si="69"/>
        <v>1</v>
      </c>
      <c r="D464" s="879"/>
      <c r="E464" s="49">
        <f t="shared" si="70"/>
        <v>1</v>
      </c>
      <c r="F464" s="879"/>
      <c r="G464" s="49">
        <f t="shared" si="71"/>
        <v>1</v>
      </c>
      <c r="H464" s="879"/>
      <c r="I464" s="49">
        <f t="shared" si="72"/>
        <v>1</v>
      </c>
      <c r="J464" s="879"/>
      <c r="K464" s="49">
        <f t="shared" si="73"/>
        <v>1</v>
      </c>
      <c r="L464" s="879"/>
      <c r="M464" s="49">
        <f t="shared" si="74"/>
        <v>1</v>
      </c>
      <c r="N464" s="879"/>
      <c r="O464" s="49">
        <f t="shared" si="75"/>
        <v>1</v>
      </c>
      <c r="P464" s="879"/>
      <c r="Q464" s="49">
        <f t="shared" si="76"/>
        <v>1</v>
      </c>
      <c r="R464" s="49">
        <f t="shared" si="77"/>
        <v>0</v>
      </c>
      <c r="S464" s="734">
        <f t="shared" si="78"/>
        <v>0</v>
      </c>
    </row>
    <row r="465" spans="1:19">
      <c r="A465" s="880"/>
      <c r="B465" s="126"/>
      <c r="C465" s="49">
        <f t="shared" si="69"/>
        <v>1</v>
      </c>
      <c r="D465" s="879"/>
      <c r="E465" s="49">
        <f t="shared" si="70"/>
        <v>1</v>
      </c>
      <c r="F465" s="879"/>
      <c r="G465" s="49">
        <f t="shared" si="71"/>
        <v>1</v>
      </c>
      <c r="H465" s="879"/>
      <c r="I465" s="49">
        <f t="shared" si="72"/>
        <v>1</v>
      </c>
      <c r="J465" s="879"/>
      <c r="K465" s="49">
        <f t="shared" si="73"/>
        <v>1</v>
      </c>
      <c r="L465" s="879"/>
      <c r="M465" s="49">
        <f t="shared" si="74"/>
        <v>1</v>
      </c>
      <c r="N465" s="879"/>
      <c r="O465" s="49">
        <f t="shared" si="75"/>
        <v>1</v>
      </c>
      <c r="P465" s="879"/>
      <c r="Q465" s="49">
        <f t="shared" si="76"/>
        <v>1</v>
      </c>
      <c r="R465" s="49">
        <f t="shared" si="77"/>
        <v>0</v>
      </c>
      <c r="S465" s="734">
        <f t="shared" si="78"/>
        <v>0</v>
      </c>
    </row>
    <row r="466" spans="1:19">
      <c r="A466" s="880"/>
      <c r="B466" s="126"/>
      <c r="C466" s="49">
        <f t="shared" si="69"/>
        <v>1</v>
      </c>
      <c r="D466" s="879"/>
      <c r="E466" s="49">
        <f t="shared" si="70"/>
        <v>1</v>
      </c>
      <c r="F466" s="879"/>
      <c r="G466" s="49">
        <f t="shared" si="71"/>
        <v>1</v>
      </c>
      <c r="H466" s="879"/>
      <c r="I466" s="49">
        <f t="shared" si="72"/>
        <v>1</v>
      </c>
      <c r="J466" s="879"/>
      <c r="K466" s="49">
        <f t="shared" si="73"/>
        <v>1</v>
      </c>
      <c r="L466" s="879"/>
      <c r="M466" s="49">
        <f t="shared" si="74"/>
        <v>1</v>
      </c>
      <c r="N466" s="879"/>
      <c r="O466" s="49">
        <f t="shared" si="75"/>
        <v>1</v>
      </c>
      <c r="P466" s="879"/>
      <c r="Q466" s="49">
        <f t="shared" si="76"/>
        <v>1</v>
      </c>
      <c r="R466" s="49">
        <f t="shared" si="77"/>
        <v>0</v>
      </c>
      <c r="S466" s="734">
        <f t="shared" si="78"/>
        <v>0</v>
      </c>
    </row>
    <row r="467" spans="1:19">
      <c r="A467" s="880"/>
      <c r="B467" s="126"/>
      <c r="C467" s="49">
        <f t="shared" si="69"/>
        <v>1</v>
      </c>
      <c r="D467" s="879"/>
      <c r="E467" s="49">
        <f t="shared" si="70"/>
        <v>1</v>
      </c>
      <c r="F467" s="879"/>
      <c r="G467" s="49">
        <f t="shared" si="71"/>
        <v>1</v>
      </c>
      <c r="H467" s="879"/>
      <c r="I467" s="49">
        <f t="shared" si="72"/>
        <v>1</v>
      </c>
      <c r="J467" s="879"/>
      <c r="K467" s="49">
        <f t="shared" si="73"/>
        <v>1</v>
      </c>
      <c r="L467" s="879"/>
      <c r="M467" s="49">
        <f t="shared" si="74"/>
        <v>1</v>
      </c>
      <c r="N467" s="879"/>
      <c r="O467" s="49">
        <f t="shared" si="75"/>
        <v>1</v>
      </c>
      <c r="P467" s="879"/>
      <c r="Q467" s="49">
        <f t="shared" si="76"/>
        <v>1</v>
      </c>
      <c r="R467" s="49">
        <f t="shared" si="77"/>
        <v>0</v>
      </c>
      <c r="S467" s="734">
        <f t="shared" si="78"/>
        <v>0</v>
      </c>
    </row>
    <row r="468" spans="1:19">
      <c r="A468" s="880"/>
      <c r="B468" s="126"/>
      <c r="C468" s="49">
        <f t="shared" si="69"/>
        <v>1</v>
      </c>
      <c r="D468" s="879"/>
      <c r="E468" s="49">
        <f t="shared" si="70"/>
        <v>1</v>
      </c>
      <c r="F468" s="879"/>
      <c r="G468" s="49">
        <f t="shared" si="71"/>
        <v>1</v>
      </c>
      <c r="H468" s="879"/>
      <c r="I468" s="49">
        <f t="shared" si="72"/>
        <v>1</v>
      </c>
      <c r="J468" s="879"/>
      <c r="K468" s="49">
        <f t="shared" si="73"/>
        <v>1</v>
      </c>
      <c r="L468" s="879"/>
      <c r="M468" s="49">
        <f t="shared" si="74"/>
        <v>1</v>
      </c>
      <c r="N468" s="879"/>
      <c r="O468" s="49">
        <f t="shared" si="75"/>
        <v>1</v>
      </c>
      <c r="P468" s="879"/>
      <c r="Q468" s="49">
        <f t="shared" si="76"/>
        <v>1</v>
      </c>
      <c r="R468" s="49">
        <f t="shared" si="77"/>
        <v>0</v>
      </c>
      <c r="S468" s="734">
        <f t="shared" ref="S468:S497" si="79">ROUND(R468*B468/10000,0)</f>
        <v>0</v>
      </c>
    </row>
    <row r="469" spans="1:19">
      <c r="A469" s="880"/>
      <c r="B469" s="126"/>
      <c r="C469" s="49">
        <f t="shared" si="69"/>
        <v>1</v>
      </c>
      <c r="D469" s="879"/>
      <c r="E469" s="49">
        <f t="shared" si="70"/>
        <v>1</v>
      </c>
      <c r="F469" s="879"/>
      <c r="G469" s="49">
        <f t="shared" si="71"/>
        <v>1</v>
      </c>
      <c r="H469" s="879"/>
      <c r="I469" s="49">
        <f t="shared" si="72"/>
        <v>1</v>
      </c>
      <c r="J469" s="879"/>
      <c r="K469" s="49">
        <f t="shared" si="73"/>
        <v>1</v>
      </c>
      <c r="L469" s="879"/>
      <c r="M469" s="49">
        <f t="shared" si="74"/>
        <v>1</v>
      </c>
      <c r="N469" s="879"/>
      <c r="O469" s="49">
        <f t="shared" si="75"/>
        <v>1</v>
      </c>
      <c r="P469" s="879"/>
      <c r="Q469" s="49">
        <f t="shared" si="76"/>
        <v>1</v>
      </c>
      <c r="R469" s="49">
        <f t="shared" si="77"/>
        <v>0</v>
      </c>
      <c r="S469" s="734">
        <f t="shared" si="79"/>
        <v>0</v>
      </c>
    </row>
    <row r="470" spans="1:19">
      <c r="A470" s="880"/>
      <c r="B470" s="126"/>
      <c r="C470" s="49">
        <f t="shared" si="69"/>
        <v>1</v>
      </c>
      <c r="D470" s="879"/>
      <c r="E470" s="49">
        <f t="shared" si="70"/>
        <v>1</v>
      </c>
      <c r="F470" s="879"/>
      <c r="G470" s="49">
        <f t="shared" si="71"/>
        <v>1</v>
      </c>
      <c r="H470" s="879"/>
      <c r="I470" s="49">
        <f t="shared" si="72"/>
        <v>1</v>
      </c>
      <c r="J470" s="879"/>
      <c r="K470" s="49">
        <f t="shared" si="73"/>
        <v>1</v>
      </c>
      <c r="L470" s="879"/>
      <c r="M470" s="49">
        <f t="shared" si="74"/>
        <v>1</v>
      </c>
      <c r="N470" s="879"/>
      <c r="O470" s="49">
        <f t="shared" si="75"/>
        <v>1</v>
      </c>
      <c r="P470" s="879"/>
      <c r="Q470" s="49">
        <f t="shared" si="76"/>
        <v>1</v>
      </c>
      <c r="R470" s="49">
        <f t="shared" si="77"/>
        <v>0</v>
      </c>
      <c r="S470" s="734">
        <f t="shared" si="79"/>
        <v>0</v>
      </c>
    </row>
    <row r="471" spans="1:19">
      <c r="A471" s="880"/>
      <c r="B471" s="126"/>
      <c r="C471" s="49">
        <f t="shared" si="69"/>
        <v>1</v>
      </c>
      <c r="D471" s="879"/>
      <c r="E471" s="49">
        <f t="shared" si="70"/>
        <v>1</v>
      </c>
      <c r="F471" s="879"/>
      <c r="G471" s="49">
        <f t="shared" si="71"/>
        <v>1</v>
      </c>
      <c r="H471" s="879"/>
      <c r="I471" s="49">
        <f t="shared" si="72"/>
        <v>1</v>
      </c>
      <c r="J471" s="879"/>
      <c r="K471" s="49">
        <f t="shared" si="73"/>
        <v>1</v>
      </c>
      <c r="L471" s="879"/>
      <c r="M471" s="49">
        <f t="shared" si="74"/>
        <v>1</v>
      </c>
      <c r="N471" s="879"/>
      <c r="O471" s="49">
        <f t="shared" si="75"/>
        <v>1</v>
      </c>
      <c r="P471" s="879"/>
      <c r="Q471" s="49">
        <f t="shared" si="76"/>
        <v>1</v>
      </c>
      <c r="R471" s="49">
        <f t="shared" si="77"/>
        <v>0</v>
      </c>
      <c r="S471" s="734">
        <f t="shared" si="79"/>
        <v>0</v>
      </c>
    </row>
    <row r="472" spans="1:19">
      <c r="A472" s="880"/>
      <c r="B472" s="126"/>
      <c r="C472" s="49">
        <f t="shared" si="69"/>
        <v>1</v>
      </c>
      <c r="D472" s="879"/>
      <c r="E472" s="49">
        <f t="shared" si="70"/>
        <v>1</v>
      </c>
      <c r="F472" s="879"/>
      <c r="G472" s="49">
        <f t="shared" si="71"/>
        <v>1</v>
      </c>
      <c r="H472" s="879"/>
      <c r="I472" s="49">
        <f t="shared" si="72"/>
        <v>1</v>
      </c>
      <c r="J472" s="879"/>
      <c r="K472" s="49">
        <f t="shared" si="73"/>
        <v>1</v>
      </c>
      <c r="L472" s="879"/>
      <c r="M472" s="49">
        <f t="shared" si="74"/>
        <v>1</v>
      </c>
      <c r="N472" s="879"/>
      <c r="O472" s="49">
        <f t="shared" si="75"/>
        <v>1</v>
      </c>
      <c r="P472" s="879"/>
      <c r="Q472" s="49">
        <f t="shared" si="76"/>
        <v>1</v>
      </c>
      <c r="R472" s="49">
        <f t="shared" si="77"/>
        <v>0</v>
      </c>
      <c r="S472" s="734">
        <f t="shared" si="79"/>
        <v>0</v>
      </c>
    </row>
    <row r="473" spans="1:19">
      <c r="A473" s="880"/>
      <c r="B473" s="126"/>
      <c r="C473" s="49">
        <f t="shared" si="69"/>
        <v>1</v>
      </c>
      <c r="D473" s="879"/>
      <c r="E473" s="49">
        <f t="shared" si="70"/>
        <v>1</v>
      </c>
      <c r="F473" s="879"/>
      <c r="G473" s="49">
        <f t="shared" si="71"/>
        <v>1</v>
      </c>
      <c r="H473" s="879"/>
      <c r="I473" s="49">
        <f t="shared" si="72"/>
        <v>1</v>
      </c>
      <c r="J473" s="879"/>
      <c r="K473" s="49">
        <f t="shared" si="73"/>
        <v>1</v>
      </c>
      <c r="L473" s="879"/>
      <c r="M473" s="49">
        <f t="shared" si="74"/>
        <v>1</v>
      </c>
      <c r="N473" s="879"/>
      <c r="O473" s="49">
        <f t="shared" si="75"/>
        <v>1</v>
      </c>
      <c r="P473" s="879"/>
      <c r="Q473" s="49">
        <f t="shared" si="76"/>
        <v>1</v>
      </c>
      <c r="R473" s="49">
        <f t="shared" si="77"/>
        <v>0</v>
      </c>
      <c r="S473" s="734">
        <f t="shared" si="79"/>
        <v>0</v>
      </c>
    </row>
    <row r="474" spans="1:19">
      <c r="A474" s="880"/>
      <c r="B474" s="126"/>
      <c r="C474" s="49">
        <f t="shared" ref="C474:C524" si="80">IF(B474="",1,(LOOKUP(B474,$3:$3,$4:$4)-LOOKUP($B$24,$3:$3,$4:$4)+100)/100)</f>
        <v>1</v>
      </c>
      <c r="D474" s="879"/>
      <c r="E474" s="49">
        <f t="shared" ref="E474:E524" si="81">(SUMIF($5:$5,D474,$6:$6)-SUMIF($5:$5,$D$24,$6:$6)+100)/100</f>
        <v>1</v>
      </c>
      <c r="F474" s="879"/>
      <c r="G474" s="49">
        <f t="shared" ref="G474:G524" si="82">(SUMIF($7:$7,F474,$8:$8)-SUMIF($7:$7,$F$24,$8:$8)+100)/100</f>
        <v>1</v>
      </c>
      <c r="H474" s="879"/>
      <c r="I474" s="49">
        <f t="shared" ref="I474:I524" si="83">(SUMIF($9:$9,H474,$10:$10)-SUMIF($9:$9,$H$24,$10:$10)+100)/100</f>
        <v>1</v>
      </c>
      <c r="J474" s="879"/>
      <c r="K474" s="49">
        <f t="shared" ref="K474:K524" si="84">(SUMIF($11:$11,J474,$12:$12)-SUMIF($11:$11,$J$24,$12:$12)+100)/100</f>
        <v>1</v>
      </c>
      <c r="L474" s="879"/>
      <c r="M474" s="49">
        <f t="shared" ref="M474:M524" si="85">(SUMIF($13:$13,L474,$14:$14)-SUMIF($13:$13,$L$24,$14:$14)+100)/100</f>
        <v>1</v>
      </c>
      <c r="N474" s="879"/>
      <c r="O474" s="49">
        <f t="shared" ref="O474:O524" si="86">(SUMIF($15:$15,N474,$16:$16)-SUMIF($15:$15,$N$24,$16:$16)+100)/100</f>
        <v>1</v>
      </c>
      <c r="P474" s="879"/>
      <c r="Q474" s="49">
        <f t="shared" ref="Q474:Q524" si="87">(SUMIF($17:$17,P474,$18:$18)-SUMIF($17:$17,$P$24,$18:$18)+100)/100</f>
        <v>1</v>
      </c>
      <c r="R474" s="49">
        <f t="shared" ref="R474:R524" si="88">IF(B474="",0,ROUND($R$24*C474*E474*G474*I474*K474*M474*O474*Q474,0))</f>
        <v>0</v>
      </c>
      <c r="S474" s="734">
        <f t="shared" si="79"/>
        <v>0</v>
      </c>
    </row>
    <row r="475" spans="1:19">
      <c r="A475" s="880"/>
      <c r="B475" s="126"/>
      <c r="C475" s="49">
        <f t="shared" si="80"/>
        <v>1</v>
      </c>
      <c r="D475" s="879"/>
      <c r="E475" s="49">
        <f t="shared" si="81"/>
        <v>1</v>
      </c>
      <c r="F475" s="879"/>
      <c r="G475" s="49">
        <f t="shared" si="82"/>
        <v>1</v>
      </c>
      <c r="H475" s="879"/>
      <c r="I475" s="49">
        <f t="shared" si="83"/>
        <v>1</v>
      </c>
      <c r="J475" s="879"/>
      <c r="K475" s="49">
        <f t="shared" si="84"/>
        <v>1</v>
      </c>
      <c r="L475" s="879"/>
      <c r="M475" s="49">
        <f t="shared" si="85"/>
        <v>1</v>
      </c>
      <c r="N475" s="879"/>
      <c r="O475" s="49">
        <f t="shared" si="86"/>
        <v>1</v>
      </c>
      <c r="P475" s="879"/>
      <c r="Q475" s="49">
        <f t="shared" si="87"/>
        <v>1</v>
      </c>
      <c r="R475" s="49">
        <f t="shared" si="88"/>
        <v>0</v>
      </c>
      <c r="S475" s="734">
        <f t="shared" si="79"/>
        <v>0</v>
      </c>
    </row>
    <row r="476" spans="1:19">
      <c r="A476" s="880"/>
      <c r="B476" s="126"/>
      <c r="C476" s="49">
        <f t="shared" si="80"/>
        <v>1</v>
      </c>
      <c r="D476" s="879"/>
      <c r="E476" s="49">
        <f t="shared" si="81"/>
        <v>1</v>
      </c>
      <c r="F476" s="879"/>
      <c r="G476" s="49">
        <f t="shared" si="82"/>
        <v>1</v>
      </c>
      <c r="H476" s="879"/>
      <c r="I476" s="49">
        <f t="shared" si="83"/>
        <v>1</v>
      </c>
      <c r="J476" s="879"/>
      <c r="K476" s="49">
        <f t="shared" si="84"/>
        <v>1</v>
      </c>
      <c r="L476" s="879"/>
      <c r="M476" s="49">
        <f t="shared" si="85"/>
        <v>1</v>
      </c>
      <c r="N476" s="879"/>
      <c r="O476" s="49">
        <f t="shared" si="86"/>
        <v>1</v>
      </c>
      <c r="P476" s="879"/>
      <c r="Q476" s="49">
        <f t="shared" si="87"/>
        <v>1</v>
      </c>
      <c r="R476" s="49">
        <f t="shared" si="88"/>
        <v>0</v>
      </c>
      <c r="S476" s="734">
        <f t="shared" si="79"/>
        <v>0</v>
      </c>
    </row>
    <row r="477" spans="1:19">
      <c r="A477" s="880"/>
      <c r="B477" s="126"/>
      <c r="C477" s="49">
        <f t="shared" si="80"/>
        <v>1</v>
      </c>
      <c r="D477" s="879"/>
      <c r="E477" s="49">
        <f t="shared" si="81"/>
        <v>1</v>
      </c>
      <c r="F477" s="879"/>
      <c r="G477" s="49">
        <f t="shared" si="82"/>
        <v>1</v>
      </c>
      <c r="H477" s="879"/>
      <c r="I477" s="49">
        <f t="shared" si="83"/>
        <v>1</v>
      </c>
      <c r="J477" s="879"/>
      <c r="K477" s="49">
        <f t="shared" si="84"/>
        <v>1</v>
      </c>
      <c r="L477" s="879"/>
      <c r="M477" s="49">
        <f t="shared" si="85"/>
        <v>1</v>
      </c>
      <c r="N477" s="879"/>
      <c r="O477" s="49">
        <f t="shared" si="86"/>
        <v>1</v>
      </c>
      <c r="P477" s="879"/>
      <c r="Q477" s="49">
        <f t="shared" si="87"/>
        <v>1</v>
      </c>
      <c r="R477" s="49">
        <f t="shared" si="88"/>
        <v>0</v>
      </c>
      <c r="S477" s="734">
        <f t="shared" si="79"/>
        <v>0</v>
      </c>
    </row>
    <row r="478" spans="1:19">
      <c r="A478" s="880"/>
      <c r="B478" s="126"/>
      <c r="C478" s="49">
        <f t="shared" si="80"/>
        <v>1</v>
      </c>
      <c r="D478" s="879"/>
      <c r="E478" s="49">
        <f t="shared" si="81"/>
        <v>1</v>
      </c>
      <c r="F478" s="879"/>
      <c r="G478" s="49">
        <f t="shared" si="82"/>
        <v>1</v>
      </c>
      <c r="H478" s="879"/>
      <c r="I478" s="49">
        <f t="shared" si="83"/>
        <v>1</v>
      </c>
      <c r="J478" s="879"/>
      <c r="K478" s="49">
        <f t="shared" si="84"/>
        <v>1</v>
      </c>
      <c r="L478" s="879"/>
      <c r="M478" s="49">
        <f t="shared" si="85"/>
        <v>1</v>
      </c>
      <c r="N478" s="879"/>
      <c r="O478" s="49">
        <f t="shared" si="86"/>
        <v>1</v>
      </c>
      <c r="P478" s="879"/>
      <c r="Q478" s="49">
        <f t="shared" si="87"/>
        <v>1</v>
      </c>
      <c r="R478" s="49">
        <f t="shared" si="88"/>
        <v>0</v>
      </c>
      <c r="S478" s="734">
        <f t="shared" si="79"/>
        <v>0</v>
      </c>
    </row>
    <row r="479" spans="1:19">
      <c r="A479" s="880"/>
      <c r="B479" s="126"/>
      <c r="C479" s="49">
        <f t="shared" si="80"/>
        <v>1</v>
      </c>
      <c r="D479" s="879"/>
      <c r="E479" s="49">
        <f t="shared" si="81"/>
        <v>1</v>
      </c>
      <c r="F479" s="879"/>
      <c r="G479" s="49">
        <f t="shared" si="82"/>
        <v>1</v>
      </c>
      <c r="H479" s="879"/>
      <c r="I479" s="49">
        <f t="shared" si="83"/>
        <v>1</v>
      </c>
      <c r="J479" s="879"/>
      <c r="K479" s="49">
        <f t="shared" si="84"/>
        <v>1</v>
      </c>
      <c r="L479" s="879"/>
      <c r="M479" s="49">
        <f t="shared" si="85"/>
        <v>1</v>
      </c>
      <c r="N479" s="879"/>
      <c r="O479" s="49">
        <f t="shared" si="86"/>
        <v>1</v>
      </c>
      <c r="P479" s="879"/>
      <c r="Q479" s="49">
        <f t="shared" si="87"/>
        <v>1</v>
      </c>
      <c r="R479" s="49">
        <f t="shared" si="88"/>
        <v>0</v>
      </c>
      <c r="S479" s="734">
        <f t="shared" si="79"/>
        <v>0</v>
      </c>
    </row>
    <row r="480" spans="1:19">
      <c r="A480" s="880"/>
      <c r="B480" s="126"/>
      <c r="C480" s="49">
        <f t="shared" si="80"/>
        <v>1</v>
      </c>
      <c r="D480" s="879"/>
      <c r="E480" s="49">
        <f t="shared" si="81"/>
        <v>1</v>
      </c>
      <c r="F480" s="879"/>
      <c r="G480" s="49">
        <f t="shared" si="82"/>
        <v>1</v>
      </c>
      <c r="H480" s="879"/>
      <c r="I480" s="49">
        <f t="shared" si="83"/>
        <v>1</v>
      </c>
      <c r="J480" s="879"/>
      <c r="K480" s="49">
        <f t="shared" si="84"/>
        <v>1</v>
      </c>
      <c r="L480" s="879"/>
      <c r="M480" s="49">
        <f t="shared" si="85"/>
        <v>1</v>
      </c>
      <c r="N480" s="879"/>
      <c r="O480" s="49">
        <f t="shared" si="86"/>
        <v>1</v>
      </c>
      <c r="P480" s="879"/>
      <c r="Q480" s="49">
        <f t="shared" si="87"/>
        <v>1</v>
      </c>
      <c r="R480" s="49">
        <f t="shared" si="88"/>
        <v>0</v>
      </c>
      <c r="S480" s="734">
        <f t="shared" si="79"/>
        <v>0</v>
      </c>
    </row>
    <row r="481" spans="1:19">
      <c r="A481" s="880"/>
      <c r="B481" s="126"/>
      <c r="C481" s="49">
        <f t="shared" si="80"/>
        <v>1</v>
      </c>
      <c r="D481" s="879"/>
      <c r="E481" s="49">
        <f t="shared" si="81"/>
        <v>1</v>
      </c>
      <c r="F481" s="879"/>
      <c r="G481" s="49">
        <f t="shared" si="82"/>
        <v>1</v>
      </c>
      <c r="H481" s="879"/>
      <c r="I481" s="49">
        <f t="shared" si="83"/>
        <v>1</v>
      </c>
      <c r="J481" s="879"/>
      <c r="K481" s="49">
        <f t="shared" si="84"/>
        <v>1</v>
      </c>
      <c r="L481" s="879"/>
      <c r="M481" s="49">
        <f t="shared" si="85"/>
        <v>1</v>
      </c>
      <c r="N481" s="879"/>
      <c r="O481" s="49">
        <f t="shared" si="86"/>
        <v>1</v>
      </c>
      <c r="P481" s="879"/>
      <c r="Q481" s="49">
        <f t="shared" si="87"/>
        <v>1</v>
      </c>
      <c r="R481" s="49">
        <f t="shared" si="88"/>
        <v>0</v>
      </c>
      <c r="S481" s="734">
        <f t="shared" si="79"/>
        <v>0</v>
      </c>
    </row>
    <row r="482" spans="1:19">
      <c r="A482" s="880"/>
      <c r="B482" s="126"/>
      <c r="C482" s="49">
        <f t="shared" si="80"/>
        <v>1</v>
      </c>
      <c r="D482" s="879"/>
      <c r="E482" s="49">
        <f t="shared" si="81"/>
        <v>1</v>
      </c>
      <c r="F482" s="879"/>
      <c r="G482" s="49">
        <f t="shared" si="82"/>
        <v>1</v>
      </c>
      <c r="H482" s="879"/>
      <c r="I482" s="49">
        <f t="shared" si="83"/>
        <v>1</v>
      </c>
      <c r="J482" s="879"/>
      <c r="K482" s="49">
        <f t="shared" si="84"/>
        <v>1</v>
      </c>
      <c r="L482" s="879"/>
      <c r="M482" s="49">
        <f t="shared" si="85"/>
        <v>1</v>
      </c>
      <c r="N482" s="879"/>
      <c r="O482" s="49">
        <f t="shared" si="86"/>
        <v>1</v>
      </c>
      <c r="P482" s="879"/>
      <c r="Q482" s="49">
        <f t="shared" si="87"/>
        <v>1</v>
      </c>
      <c r="R482" s="49">
        <f t="shared" si="88"/>
        <v>0</v>
      </c>
      <c r="S482" s="734">
        <f t="shared" si="79"/>
        <v>0</v>
      </c>
    </row>
    <row r="483" spans="1:19">
      <c r="A483" s="880"/>
      <c r="B483" s="126"/>
      <c r="C483" s="49">
        <f t="shared" si="80"/>
        <v>1</v>
      </c>
      <c r="D483" s="879"/>
      <c r="E483" s="49">
        <f t="shared" si="81"/>
        <v>1</v>
      </c>
      <c r="F483" s="879"/>
      <c r="G483" s="49">
        <f t="shared" si="82"/>
        <v>1</v>
      </c>
      <c r="H483" s="879"/>
      <c r="I483" s="49">
        <f t="shared" si="83"/>
        <v>1</v>
      </c>
      <c r="J483" s="879"/>
      <c r="K483" s="49">
        <f t="shared" si="84"/>
        <v>1</v>
      </c>
      <c r="L483" s="879"/>
      <c r="M483" s="49">
        <f t="shared" si="85"/>
        <v>1</v>
      </c>
      <c r="N483" s="879"/>
      <c r="O483" s="49">
        <f t="shared" si="86"/>
        <v>1</v>
      </c>
      <c r="P483" s="879"/>
      <c r="Q483" s="49">
        <f t="shared" si="87"/>
        <v>1</v>
      </c>
      <c r="R483" s="49">
        <f t="shared" si="88"/>
        <v>0</v>
      </c>
      <c r="S483" s="734">
        <f t="shared" si="79"/>
        <v>0</v>
      </c>
    </row>
    <row r="484" spans="1:19">
      <c r="A484" s="880"/>
      <c r="B484" s="126"/>
      <c r="C484" s="49">
        <f t="shared" si="80"/>
        <v>1</v>
      </c>
      <c r="D484" s="879"/>
      <c r="E484" s="49">
        <f t="shared" si="81"/>
        <v>1</v>
      </c>
      <c r="F484" s="879"/>
      <c r="G484" s="49">
        <f t="shared" si="82"/>
        <v>1</v>
      </c>
      <c r="H484" s="879"/>
      <c r="I484" s="49">
        <f t="shared" si="83"/>
        <v>1</v>
      </c>
      <c r="J484" s="879"/>
      <c r="K484" s="49">
        <f t="shared" si="84"/>
        <v>1</v>
      </c>
      <c r="L484" s="879"/>
      <c r="M484" s="49">
        <f t="shared" si="85"/>
        <v>1</v>
      </c>
      <c r="N484" s="879"/>
      <c r="O484" s="49">
        <f t="shared" si="86"/>
        <v>1</v>
      </c>
      <c r="P484" s="879"/>
      <c r="Q484" s="49">
        <f t="shared" si="87"/>
        <v>1</v>
      </c>
      <c r="R484" s="49">
        <f t="shared" si="88"/>
        <v>0</v>
      </c>
      <c r="S484" s="734">
        <f t="shared" si="79"/>
        <v>0</v>
      </c>
    </row>
    <row r="485" spans="1:19">
      <c r="A485" s="880"/>
      <c r="B485" s="126"/>
      <c r="C485" s="49">
        <f t="shared" si="80"/>
        <v>1</v>
      </c>
      <c r="D485" s="879"/>
      <c r="E485" s="49">
        <f t="shared" si="81"/>
        <v>1</v>
      </c>
      <c r="F485" s="879"/>
      <c r="G485" s="49">
        <f t="shared" si="82"/>
        <v>1</v>
      </c>
      <c r="H485" s="879"/>
      <c r="I485" s="49">
        <f t="shared" si="83"/>
        <v>1</v>
      </c>
      <c r="J485" s="879"/>
      <c r="K485" s="49">
        <f t="shared" si="84"/>
        <v>1</v>
      </c>
      <c r="L485" s="879"/>
      <c r="M485" s="49">
        <f t="shared" si="85"/>
        <v>1</v>
      </c>
      <c r="N485" s="879"/>
      <c r="O485" s="49">
        <f t="shared" si="86"/>
        <v>1</v>
      </c>
      <c r="P485" s="879"/>
      <c r="Q485" s="49">
        <f t="shared" si="87"/>
        <v>1</v>
      </c>
      <c r="R485" s="49">
        <f t="shared" si="88"/>
        <v>0</v>
      </c>
      <c r="S485" s="734">
        <f t="shared" si="79"/>
        <v>0</v>
      </c>
    </row>
    <row r="486" spans="1:19">
      <c r="A486" s="880"/>
      <c r="B486" s="126"/>
      <c r="C486" s="49">
        <f t="shared" si="80"/>
        <v>1</v>
      </c>
      <c r="D486" s="879"/>
      <c r="E486" s="49">
        <f t="shared" si="81"/>
        <v>1</v>
      </c>
      <c r="F486" s="879"/>
      <c r="G486" s="49">
        <f t="shared" si="82"/>
        <v>1</v>
      </c>
      <c r="H486" s="879"/>
      <c r="I486" s="49">
        <f t="shared" si="83"/>
        <v>1</v>
      </c>
      <c r="J486" s="879"/>
      <c r="K486" s="49">
        <f t="shared" si="84"/>
        <v>1</v>
      </c>
      <c r="L486" s="879"/>
      <c r="M486" s="49">
        <f t="shared" si="85"/>
        <v>1</v>
      </c>
      <c r="N486" s="879"/>
      <c r="O486" s="49">
        <f t="shared" si="86"/>
        <v>1</v>
      </c>
      <c r="P486" s="879"/>
      <c r="Q486" s="49">
        <f t="shared" si="87"/>
        <v>1</v>
      </c>
      <c r="R486" s="49">
        <f t="shared" si="88"/>
        <v>0</v>
      </c>
      <c r="S486" s="734">
        <f t="shared" si="79"/>
        <v>0</v>
      </c>
    </row>
    <row r="487" spans="1:19">
      <c r="A487" s="880"/>
      <c r="B487" s="126"/>
      <c r="C487" s="49">
        <f t="shared" si="80"/>
        <v>1</v>
      </c>
      <c r="D487" s="879"/>
      <c r="E487" s="49">
        <f t="shared" si="81"/>
        <v>1</v>
      </c>
      <c r="F487" s="879"/>
      <c r="G487" s="49">
        <f t="shared" si="82"/>
        <v>1</v>
      </c>
      <c r="H487" s="879"/>
      <c r="I487" s="49">
        <f t="shared" si="83"/>
        <v>1</v>
      </c>
      <c r="J487" s="879"/>
      <c r="K487" s="49">
        <f t="shared" si="84"/>
        <v>1</v>
      </c>
      <c r="L487" s="879"/>
      <c r="M487" s="49">
        <f t="shared" si="85"/>
        <v>1</v>
      </c>
      <c r="N487" s="879"/>
      <c r="O487" s="49">
        <f t="shared" si="86"/>
        <v>1</v>
      </c>
      <c r="P487" s="879"/>
      <c r="Q487" s="49">
        <f t="shared" si="87"/>
        <v>1</v>
      </c>
      <c r="R487" s="49">
        <f t="shared" si="88"/>
        <v>0</v>
      </c>
      <c r="S487" s="734">
        <f t="shared" si="79"/>
        <v>0</v>
      </c>
    </row>
    <row r="488" spans="1:19">
      <c r="A488" s="880"/>
      <c r="B488" s="126"/>
      <c r="C488" s="49">
        <f t="shared" si="80"/>
        <v>1</v>
      </c>
      <c r="D488" s="879"/>
      <c r="E488" s="49">
        <f t="shared" si="81"/>
        <v>1</v>
      </c>
      <c r="F488" s="879"/>
      <c r="G488" s="49">
        <f t="shared" si="82"/>
        <v>1</v>
      </c>
      <c r="H488" s="879"/>
      <c r="I488" s="49">
        <f t="shared" si="83"/>
        <v>1</v>
      </c>
      <c r="J488" s="879"/>
      <c r="K488" s="49">
        <f t="shared" si="84"/>
        <v>1</v>
      </c>
      <c r="L488" s="879"/>
      <c r="M488" s="49">
        <f t="shared" si="85"/>
        <v>1</v>
      </c>
      <c r="N488" s="879"/>
      <c r="O488" s="49">
        <f t="shared" si="86"/>
        <v>1</v>
      </c>
      <c r="P488" s="879"/>
      <c r="Q488" s="49">
        <f t="shared" si="87"/>
        <v>1</v>
      </c>
      <c r="R488" s="49">
        <f t="shared" si="88"/>
        <v>0</v>
      </c>
      <c r="S488" s="734">
        <f t="shared" si="79"/>
        <v>0</v>
      </c>
    </row>
    <row r="489" spans="1:19">
      <c r="A489" s="880"/>
      <c r="B489" s="126"/>
      <c r="C489" s="49">
        <f t="shared" si="80"/>
        <v>1</v>
      </c>
      <c r="D489" s="879"/>
      <c r="E489" s="49">
        <f t="shared" si="81"/>
        <v>1</v>
      </c>
      <c r="F489" s="879"/>
      <c r="G489" s="49">
        <f t="shared" si="82"/>
        <v>1</v>
      </c>
      <c r="H489" s="879"/>
      <c r="I489" s="49">
        <f t="shared" si="83"/>
        <v>1</v>
      </c>
      <c r="J489" s="879"/>
      <c r="K489" s="49">
        <f t="shared" si="84"/>
        <v>1</v>
      </c>
      <c r="L489" s="879"/>
      <c r="M489" s="49">
        <f t="shared" si="85"/>
        <v>1</v>
      </c>
      <c r="N489" s="879"/>
      <c r="O489" s="49">
        <f t="shared" si="86"/>
        <v>1</v>
      </c>
      <c r="P489" s="879"/>
      <c r="Q489" s="49">
        <f t="shared" si="87"/>
        <v>1</v>
      </c>
      <c r="R489" s="49">
        <f t="shared" si="88"/>
        <v>0</v>
      </c>
      <c r="S489" s="734">
        <f t="shared" si="79"/>
        <v>0</v>
      </c>
    </row>
    <row r="490" spans="1:19">
      <c r="A490" s="880"/>
      <c r="B490" s="126"/>
      <c r="C490" s="49">
        <f t="shared" si="80"/>
        <v>1</v>
      </c>
      <c r="D490" s="879"/>
      <c r="E490" s="49">
        <f t="shared" si="81"/>
        <v>1</v>
      </c>
      <c r="F490" s="879"/>
      <c r="G490" s="49">
        <f t="shared" si="82"/>
        <v>1</v>
      </c>
      <c r="H490" s="879"/>
      <c r="I490" s="49">
        <f t="shared" si="83"/>
        <v>1</v>
      </c>
      <c r="J490" s="879"/>
      <c r="K490" s="49">
        <f t="shared" si="84"/>
        <v>1</v>
      </c>
      <c r="L490" s="879"/>
      <c r="M490" s="49">
        <f t="shared" si="85"/>
        <v>1</v>
      </c>
      <c r="N490" s="879"/>
      <c r="O490" s="49">
        <f t="shared" si="86"/>
        <v>1</v>
      </c>
      <c r="P490" s="879"/>
      <c r="Q490" s="49">
        <f t="shared" si="87"/>
        <v>1</v>
      </c>
      <c r="R490" s="49">
        <f t="shared" si="88"/>
        <v>0</v>
      </c>
      <c r="S490" s="734">
        <f t="shared" si="79"/>
        <v>0</v>
      </c>
    </row>
    <row r="491" spans="1:19">
      <c r="A491" s="880"/>
      <c r="B491" s="126"/>
      <c r="C491" s="49">
        <f t="shared" si="80"/>
        <v>1</v>
      </c>
      <c r="D491" s="879"/>
      <c r="E491" s="49">
        <f t="shared" si="81"/>
        <v>1</v>
      </c>
      <c r="F491" s="879"/>
      <c r="G491" s="49">
        <f t="shared" si="82"/>
        <v>1</v>
      </c>
      <c r="H491" s="879"/>
      <c r="I491" s="49">
        <f t="shared" si="83"/>
        <v>1</v>
      </c>
      <c r="J491" s="879"/>
      <c r="K491" s="49">
        <f t="shared" si="84"/>
        <v>1</v>
      </c>
      <c r="L491" s="879"/>
      <c r="M491" s="49">
        <f t="shared" si="85"/>
        <v>1</v>
      </c>
      <c r="N491" s="879"/>
      <c r="O491" s="49">
        <f t="shared" si="86"/>
        <v>1</v>
      </c>
      <c r="P491" s="879"/>
      <c r="Q491" s="49">
        <f t="shared" si="87"/>
        <v>1</v>
      </c>
      <c r="R491" s="49">
        <f t="shared" si="88"/>
        <v>0</v>
      </c>
      <c r="S491" s="734">
        <f t="shared" si="79"/>
        <v>0</v>
      </c>
    </row>
    <row r="492" spans="1:19">
      <c r="A492" s="880"/>
      <c r="B492" s="126"/>
      <c r="C492" s="49">
        <f t="shared" si="80"/>
        <v>1</v>
      </c>
      <c r="D492" s="879"/>
      <c r="E492" s="49">
        <f t="shared" si="81"/>
        <v>1</v>
      </c>
      <c r="F492" s="879"/>
      <c r="G492" s="49">
        <f t="shared" si="82"/>
        <v>1</v>
      </c>
      <c r="H492" s="879"/>
      <c r="I492" s="49">
        <f t="shared" si="83"/>
        <v>1</v>
      </c>
      <c r="J492" s="879"/>
      <c r="K492" s="49">
        <f t="shared" si="84"/>
        <v>1</v>
      </c>
      <c r="L492" s="879"/>
      <c r="M492" s="49">
        <f t="shared" si="85"/>
        <v>1</v>
      </c>
      <c r="N492" s="879"/>
      <c r="O492" s="49">
        <f t="shared" si="86"/>
        <v>1</v>
      </c>
      <c r="P492" s="879"/>
      <c r="Q492" s="49">
        <f t="shared" si="87"/>
        <v>1</v>
      </c>
      <c r="R492" s="49">
        <f t="shared" si="88"/>
        <v>0</v>
      </c>
      <c r="S492" s="734">
        <f t="shared" si="79"/>
        <v>0</v>
      </c>
    </row>
    <row r="493" spans="1:19">
      <c r="A493" s="880"/>
      <c r="B493" s="126"/>
      <c r="C493" s="49">
        <f t="shared" si="80"/>
        <v>1</v>
      </c>
      <c r="D493" s="879"/>
      <c r="E493" s="49">
        <f t="shared" si="81"/>
        <v>1</v>
      </c>
      <c r="F493" s="879"/>
      <c r="G493" s="49">
        <f t="shared" si="82"/>
        <v>1</v>
      </c>
      <c r="H493" s="879"/>
      <c r="I493" s="49">
        <f t="shared" si="83"/>
        <v>1</v>
      </c>
      <c r="J493" s="879"/>
      <c r="K493" s="49">
        <f t="shared" si="84"/>
        <v>1</v>
      </c>
      <c r="L493" s="879"/>
      <c r="M493" s="49">
        <f t="shared" si="85"/>
        <v>1</v>
      </c>
      <c r="N493" s="879"/>
      <c r="O493" s="49">
        <f t="shared" si="86"/>
        <v>1</v>
      </c>
      <c r="P493" s="879"/>
      <c r="Q493" s="49">
        <f t="shared" si="87"/>
        <v>1</v>
      </c>
      <c r="R493" s="49">
        <f t="shared" si="88"/>
        <v>0</v>
      </c>
      <c r="S493" s="734">
        <f t="shared" si="79"/>
        <v>0</v>
      </c>
    </row>
    <row r="494" spans="1:19">
      <c r="A494" s="880"/>
      <c r="B494" s="126"/>
      <c r="C494" s="49">
        <f t="shared" si="80"/>
        <v>1</v>
      </c>
      <c r="D494" s="879"/>
      <c r="E494" s="49">
        <f t="shared" si="81"/>
        <v>1</v>
      </c>
      <c r="F494" s="879"/>
      <c r="G494" s="49">
        <f t="shared" si="82"/>
        <v>1</v>
      </c>
      <c r="H494" s="879"/>
      <c r="I494" s="49">
        <f t="shared" si="83"/>
        <v>1</v>
      </c>
      <c r="J494" s="879"/>
      <c r="K494" s="49">
        <f t="shared" si="84"/>
        <v>1</v>
      </c>
      <c r="L494" s="879"/>
      <c r="M494" s="49">
        <f t="shared" si="85"/>
        <v>1</v>
      </c>
      <c r="N494" s="879"/>
      <c r="O494" s="49">
        <f t="shared" si="86"/>
        <v>1</v>
      </c>
      <c r="P494" s="879"/>
      <c r="Q494" s="49">
        <f t="shared" si="87"/>
        <v>1</v>
      </c>
      <c r="R494" s="49">
        <f t="shared" si="88"/>
        <v>0</v>
      </c>
      <c r="S494" s="734">
        <f t="shared" si="79"/>
        <v>0</v>
      </c>
    </row>
    <row r="495" spans="1:19">
      <c r="A495" s="880"/>
      <c r="B495" s="126"/>
      <c r="C495" s="49">
        <f t="shared" si="80"/>
        <v>1</v>
      </c>
      <c r="D495" s="879"/>
      <c r="E495" s="49">
        <f t="shared" si="81"/>
        <v>1</v>
      </c>
      <c r="F495" s="879"/>
      <c r="G495" s="49">
        <f t="shared" si="82"/>
        <v>1</v>
      </c>
      <c r="H495" s="879"/>
      <c r="I495" s="49">
        <f t="shared" si="83"/>
        <v>1</v>
      </c>
      <c r="J495" s="879"/>
      <c r="K495" s="49">
        <f t="shared" si="84"/>
        <v>1</v>
      </c>
      <c r="L495" s="879"/>
      <c r="M495" s="49">
        <f t="shared" si="85"/>
        <v>1</v>
      </c>
      <c r="N495" s="879"/>
      <c r="O495" s="49">
        <f t="shared" si="86"/>
        <v>1</v>
      </c>
      <c r="P495" s="879"/>
      <c r="Q495" s="49">
        <f t="shared" si="87"/>
        <v>1</v>
      </c>
      <c r="R495" s="49">
        <f t="shared" si="88"/>
        <v>0</v>
      </c>
      <c r="S495" s="734">
        <f t="shared" si="79"/>
        <v>0</v>
      </c>
    </row>
    <row r="496" spans="1:19">
      <c r="A496" s="880"/>
      <c r="B496" s="126"/>
      <c r="C496" s="49">
        <f t="shared" si="80"/>
        <v>1</v>
      </c>
      <c r="D496" s="879"/>
      <c r="E496" s="49">
        <f t="shared" si="81"/>
        <v>1</v>
      </c>
      <c r="F496" s="879"/>
      <c r="G496" s="49">
        <f t="shared" si="82"/>
        <v>1</v>
      </c>
      <c r="H496" s="879"/>
      <c r="I496" s="49">
        <f t="shared" si="83"/>
        <v>1</v>
      </c>
      <c r="J496" s="879"/>
      <c r="K496" s="49">
        <f t="shared" si="84"/>
        <v>1</v>
      </c>
      <c r="L496" s="879"/>
      <c r="M496" s="49">
        <f t="shared" si="85"/>
        <v>1</v>
      </c>
      <c r="N496" s="879"/>
      <c r="O496" s="49">
        <f t="shared" si="86"/>
        <v>1</v>
      </c>
      <c r="P496" s="879"/>
      <c r="Q496" s="49">
        <f t="shared" si="87"/>
        <v>1</v>
      </c>
      <c r="R496" s="49">
        <f t="shared" si="88"/>
        <v>0</v>
      </c>
      <c r="S496" s="734">
        <f t="shared" si="79"/>
        <v>0</v>
      </c>
    </row>
    <row r="497" spans="1:19">
      <c r="A497" s="880"/>
      <c r="B497" s="126"/>
      <c r="C497" s="49">
        <f t="shared" si="80"/>
        <v>1</v>
      </c>
      <c r="D497" s="879"/>
      <c r="E497" s="49">
        <f t="shared" si="81"/>
        <v>1</v>
      </c>
      <c r="F497" s="879"/>
      <c r="G497" s="49">
        <f t="shared" si="82"/>
        <v>1</v>
      </c>
      <c r="H497" s="879"/>
      <c r="I497" s="49">
        <f t="shared" si="83"/>
        <v>1</v>
      </c>
      <c r="J497" s="879"/>
      <c r="K497" s="49">
        <f t="shared" si="84"/>
        <v>1</v>
      </c>
      <c r="L497" s="879"/>
      <c r="M497" s="49">
        <f t="shared" si="85"/>
        <v>1</v>
      </c>
      <c r="N497" s="879"/>
      <c r="O497" s="49">
        <f t="shared" si="86"/>
        <v>1</v>
      </c>
      <c r="P497" s="879"/>
      <c r="Q497" s="49">
        <f t="shared" si="87"/>
        <v>1</v>
      </c>
      <c r="R497" s="49">
        <f t="shared" si="88"/>
        <v>0</v>
      </c>
      <c r="S497" s="734">
        <f t="shared" si="79"/>
        <v>0</v>
      </c>
    </row>
    <row r="498" spans="1:19">
      <c r="A498" s="880"/>
      <c r="B498" s="126"/>
      <c r="C498" s="49">
        <f t="shared" si="80"/>
        <v>1</v>
      </c>
      <c r="D498" s="879"/>
      <c r="E498" s="49">
        <f t="shared" si="81"/>
        <v>1</v>
      </c>
      <c r="F498" s="879"/>
      <c r="G498" s="49">
        <f t="shared" si="82"/>
        <v>1</v>
      </c>
      <c r="H498" s="879"/>
      <c r="I498" s="49">
        <f t="shared" si="83"/>
        <v>1</v>
      </c>
      <c r="J498" s="879"/>
      <c r="K498" s="49">
        <f t="shared" si="84"/>
        <v>1</v>
      </c>
      <c r="L498" s="879"/>
      <c r="M498" s="49">
        <f t="shared" si="85"/>
        <v>1</v>
      </c>
      <c r="N498" s="879"/>
      <c r="O498" s="49">
        <f t="shared" si="86"/>
        <v>1</v>
      </c>
      <c r="P498" s="879"/>
      <c r="Q498" s="49">
        <f t="shared" si="87"/>
        <v>1</v>
      </c>
      <c r="R498" s="49">
        <f t="shared" si="88"/>
        <v>0</v>
      </c>
      <c r="S498" s="734">
        <f t="shared" ref="S498:S524" si="89">ROUND(R498*B498/10000,0)</f>
        <v>0</v>
      </c>
    </row>
    <row r="499" spans="1:19">
      <c r="A499" s="880"/>
      <c r="B499" s="126"/>
      <c r="C499" s="49">
        <f t="shared" si="80"/>
        <v>1</v>
      </c>
      <c r="D499" s="879"/>
      <c r="E499" s="49">
        <f t="shared" si="81"/>
        <v>1</v>
      </c>
      <c r="F499" s="879"/>
      <c r="G499" s="49">
        <f t="shared" si="82"/>
        <v>1</v>
      </c>
      <c r="H499" s="879"/>
      <c r="I499" s="49">
        <f t="shared" si="83"/>
        <v>1</v>
      </c>
      <c r="J499" s="879"/>
      <c r="K499" s="49">
        <f t="shared" si="84"/>
        <v>1</v>
      </c>
      <c r="L499" s="879"/>
      <c r="M499" s="49">
        <f t="shared" si="85"/>
        <v>1</v>
      </c>
      <c r="N499" s="879"/>
      <c r="O499" s="49">
        <f t="shared" si="86"/>
        <v>1</v>
      </c>
      <c r="P499" s="879"/>
      <c r="Q499" s="49">
        <f t="shared" si="87"/>
        <v>1</v>
      </c>
      <c r="R499" s="49">
        <f t="shared" si="88"/>
        <v>0</v>
      </c>
      <c r="S499" s="734">
        <f t="shared" si="89"/>
        <v>0</v>
      </c>
    </row>
    <row r="500" spans="1:19">
      <c r="A500" s="880"/>
      <c r="B500" s="126"/>
      <c r="C500" s="49">
        <f t="shared" si="80"/>
        <v>1</v>
      </c>
      <c r="D500" s="879"/>
      <c r="E500" s="49">
        <f t="shared" si="81"/>
        <v>1</v>
      </c>
      <c r="F500" s="879"/>
      <c r="G500" s="49">
        <f t="shared" si="82"/>
        <v>1</v>
      </c>
      <c r="H500" s="879"/>
      <c r="I500" s="49">
        <f t="shared" si="83"/>
        <v>1</v>
      </c>
      <c r="J500" s="879"/>
      <c r="K500" s="49">
        <f t="shared" si="84"/>
        <v>1</v>
      </c>
      <c r="L500" s="879"/>
      <c r="M500" s="49">
        <f t="shared" si="85"/>
        <v>1</v>
      </c>
      <c r="N500" s="879"/>
      <c r="O500" s="49">
        <f t="shared" si="86"/>
        <v>1</v>
      </c>
      <c r="P500" s="879"/>
      <c r="Q500" s="49">
        <f t="shared" si="87"/>
        <v>1</v>
      </c>
      <c r="R500" s="49">
        <f t="shared" si="88"/>
        <v>0</v>
      </c>
      <c r="S500" s="734">
        <f t="shared" si="89"/>
        <v>0</v>
      </c>
    </row>
    <row r="501" spans="1:19">
      <c r="A501" s="880"/>
      <c r="B501" s="126"/>
      <c r="C501" s="49">
        <f t="shared" si="80"/>
        <v>1</v>
      </c>
      <c r="D501" s="879"/>
      <c r="E501" s="49">
        <f t="shared" si="81"/>
        <v>1</v>
      </c>
      <c r="F501" s="879"/>
      <c r="G501" s="49">
        <f t="shared" si="82"/>
        <v>1</v>
      </c>
      <c r="H501" s="879"/>
      <c r="I501" s="49">
        <f t="shared" si="83"/>
        <v>1</v>
      </c>
      <c r="J501" s="879"/>
      <c r="K501" s="49">
        <f t="shared" si="84"/>
        <v>1</v>
      </c>
      <c r="L501" s="879"/>
      <c r="M501" s="49">
        <f t="shared" si="85"/>
        <v>1</v>
      </c>
      <c r="N501" s="879"/>
      <c r="O501" s="49">
        <f t="shared" si="86"/>
        <v>1</v>
      </c>
      <c r="P501" s="879"/>
      <c r="Q501" s="49">
        <f t="shared" si="87"/>
        <v>1</v>
      </c>
      <c r="R501" s="49">
        <f t="shared" si="88"/>
        <v>0</v>
      </c>
      <c r="S501" s="734">
        <f t="shared" si="89"/>
        <v>0</v>
      </c>
    </row>
    <row r="502" spans="1:19">
      <c r="A502" s="880"/>
      <c r="B502" s="126"/>
      <c r="C502" s="49">
        <f t="shared" si="80"/>
        <v>1</v>
      </c>
      <c r="D502" s="879"/>
      <c r="E502" s="49">
        <f t="shared" si="81"/>
        <v>1</v>
      </c>
      <c r="F502" s="879"/>
      <c r="G502" s="49">
        <f t="shared" si="82"/>
        <v>1</v>
      </c>
      <c r="H502" s="879"/>
      <c r="I502" s="49">
        <f t="shared" si="83"/>
        <v>1</v>
      </c>
      <c r="J502" s="879"/>
      <c r="K502" s="49">
        <f t="shared" si="84"/>
        <v>1</v>
      </c>
      <c r="L502" s="879"/>
      <c r="M502" s="49">
        <f t="shared" si="85"/>
        <v>1</v>
      </c>
      <c r="N502" s="879"/>
      <c r="O502" s="49">
        <f t="shared" si="86"/>
        <v>1</v>
      </c>
      <c r="P502" s="879"/>
      <c r="Q502" s="49">
        <f t="shared" si="87"/>
        <v>1</v>
      </c>
      <c r="R502" s="49">
        <f t="shared" si="88"/>
        <v>0</v>
      </c>
      <c r="S502" s="734">
        <f t="shared" si="89"/>
        <v>0</v>
      </c>
    </row>
    <row r="503" spans="1:19">
      <c r="A503" s="880"/>
      <c r="B503" s="126"/>
      <c r="C503" s="49">
        <f t="shared" si="80"/>
        <v>1</v>
      </c>
      <c r="D503" s="879"/>
      <c r="E503" s="49">
        <f t="shared" si="81"/>
        <v>1</v>
      </c>
      <c r="F503" s="879"/>
      <c r="G503" s="49">
        <f t="shared" si="82"/>
        <v>1</v>
      </c>
      <c r="H503" s="879"/>
      <c r="I503" s="49">
        <f t="shared" si="83"/>
        <v>1</v>
      </c>
      <c r="J503" s="879"/>
      <c r="K503" s="49">
        <f t="shared" si="84"/>
        <v>1</v>
      </c>
      <c r="L503" s="879"/>
      <c r="M503" s="49">
        <f t="shared" si="85"/>
        <v>1</v>
      </c>
      <c r="N503" s="879"/>
      <c r="O503" s="49">
        <f t="shared" si="86"/>
        <v>1</v>
      </c>
      <c r="P503" s="879"/>
      <c r="Q503" s="49">
        <f t="shared" si="87"/>
        <v>1</v>
      </c>
      <c r="R503" s="49">
        <f t="shared" si="88"/>
        <v>0</v>
      </c>
      <c r="S503" s="734">
        <f t="shared" si="89"/>
        <v>0</v>
      </c>
    </row>
    <row r="504" spans="1:19">
      <c r="A504" s="880"/>
      <c r="B504" s="126"/>
      <c r="C504" s="49">
        <f t="shared" si="80"/>
        <v>1</v>
      </c>
      <c r="D504" s="879"/>
      <c r="E504" s="49">
        <f t="shared" si="81"/>
        <v>1</v>
      </c>
      <c r="F504" s="879"/>
      <c r="G504" s="49">
        <f t="shared" si="82"/>
        <v>1</v>
      </c>
      <c r="H504" s="879"/>
      <c r="I504" s="49">
        <f t="shared" si="83"/>
        <v>1</v>
      </c>
      <c r="J504" s="879"/>
      <c r="K504" s="49">
        <f t="shared" si="84"/>
        <v>1</v>
      </c>
      <c r="L504" s="879"/>
      <c r="M504" s="49">
        <f t="shared" si="85"/>
        <v>1</v>
      </c>
      <c r="N504" s="879"/>
      <c r="O504" s="49">
        <f t="shared" si="86"/>
        <v>1</v>
      </c>
      <c r="P504" s="879"/>
      <c r="Q504" s="49">
        <f t="shared" si="87"/>
        <v>1</v>
      </c>
      <c r="R504" s="49">
        <f t="shared" si="88"/>
        <v>0</v>
      </c>
      <c r="S504" s="734">
        <f t="shared" si="89"/>
        <v>0</v>
      </c>
    </row>
    <row r="505" spans="1:19">
      <c r="A505" s="880"/>
      <c r="B505" s="126"/>
      <c r="C505" s="49">
        <f t="shared" si="80"/>
        <v>1</v>
      </c>
      <c r="D505" s="879"/>
      <c r="E505" s="49">
        <f t="shared" si="81"/>
        <v>1</v>
      </c>
      <c r="F505" s="879"/>
      <c r="G505" s="49">
        <f t="shared" si="82"/>
        <v>1</v>
      </c>
      <c r="H505" s="879"/>
      <c r="I505" s="49">
        <f t="shared" si="83"/>
        <v>1</v>
      </c>
      <c r="J505" s="879"/>
      <c r="K505" s="49">
        <f t="shared" si="84"/>
        <v>1</v>
      </c>
      <c r="L505" s="879"/>
      <c r="M505" s="49">
        <f t="shared" si="85"/>
        <v>1</v>
      </c>
      <c r="N505" s="879"/>
      <c r="O505" s="49">
        <f t="shared" si="86"/>
        <v>1</v>
      </c>
      <c r="P505" s="879"/>
      <c r="Q505" s="49">
        <f t="shared" si="87"/>
        <v>1</v>
      </c>
      <c r="R505" s="49">
        <f t="shared" si="88"/>
        <v>0</v>
      </c>
      <c r="S505" s="734">
        <f t="shared" si="89"/>
        <v>0</v>
      </c>
    </row>
    <row r="506" spans="1:19">
      <c r="A506" s="880"/>
      <c r="B506" s="126"/>
      <c r="C506" s="49">
        <f t="shared" si="80"/>
        <v>1</v>
      </c>
      <c r="D506" s="879"/>
      <c r="E506" s="49">
        <f t="shared" si="81"/>
        <v>1</v>
      </c>
      <c r="F506" s="879"/>
      <c r="G506" s="49">
        <f t="shared" si="82"/>
        <v>1</v>
      </c>
      <c r="H506" s="879"/>
      <c r="I506" s="49">
        <f t="shared" si="83"/>
        <v>1</v>
      </c>
      <c r="J506" s="879"/>
      <c r="K506" s="49">
        <f t="shared" si="84"/>
        <v>1</v>
      </c>
      <c r="L506" s="879"/>
      <c r="M506" s="49">
        <f t="shared" si="85"/>
        <v>1</v>
      </c>
      <c r="N506" s="879"/>
      <c r="O506" s="49">
        <f t="shared" si="86"/>
        <v>1</v>
      </c>
      <c r="P506" s="879"/>
      <c r="Q506" s="49">
        <f t="shared" si="87"/>
        <v>1</v>
      </c>
      <c r="R506" s="49">
        <f t="shared" si="88"/>
        <v>0</v>
      </c>
      <c r="S506" s="734">
        <f t="shared" si="89"/>
        <v>0</v>
      </c>
    </row>
    <row r="507" spans="1:19">
      <c r="A507" s="880"/>
      <c r="B507" s="126"/>
      <c r="C507" s="49">
        <f t="shared" si="80"/>
        <v>1</v>
      </c>
      <c r="D507" s="879"/>
      <c r="E507" s="49">
        <f t="shared" si="81"/>
        <v>1</v>
      </c>
      <c r="F507" s="879"/>
      <c r="G507" s="49">
        <f t="shared" si="82"/>
        <v>1</v>
      </c>
      <c r="H507" s="879"/>
      <c r="I507" s="49">
        <f t="shared" si="83"/>
        <v>1</v>
      </c>
      <c r="J507" s="879"/>
      <c r="K507" s="49">
        <f t="shared" si="84"/>
        <v>1</v>
      </c>
      <c r="L507" s="879"/>
      <c r="M507" s="49">
        <f t="shared" si="85"/>
        <v>1</v>
      </c>
      <c r="N507" s="879"/>
      <c r="O507" s="49">
        <f t="shared" si="86"/>
        <v>1</v>
      </c>
      <c r="P507" s="879"/>
      <c r="Q507" s="49">
        <f t="shared" si="87"/>
        <v>1</v>
      </c>
      <c r="R507" s="49">
        <f t="shared" si="88"/>
        <v>0</v>
      </c>
      <c r="S507" s="734">
        <f t="shared" si="89"/>
        <v>0</v>
      </c>
    </row>
    <row r="508" spans="1:19">
      <c r="A508" s="880"/>
      <c r="B508" s="126"/>
      <c r="C508" s="49">
        <f t="shared" si="80"/>
        <v>1</v>
      </c>
      <c r="D508" s="879"/>
      <c r="E508" s="49">
        <f t="shared" si="81"/>
        <v>1</v>
      </c>
      <c r="F508" s="879"/>
      <c r="G508" s="49">
        <f t="shared" si="82"/>
        <v>1</v>
      </c>
      <c r="H508" s="879"/>
      <c r="I508" s="49">
        <f t="shared" si="83"/>
        <v>1</v>
      </c>
      <c r="J508" s="879"/>
      <c r="K508" s="49">
        <f t="shared" si="84"/>
        <v>1</v>
      </c>
      <c r="L508" s="879"/>
      <c r="M508" s="49">
        <f t="shared" si="85"/>
        <v>1</v>
      </c>
      <c r="N508" s="879"/>
      <c r="O508" s="49">
        <f t="shared" si="86"/>
        <v>1</v>
      </c>
      <c r="P508" s="879"/>
      <c r="Q508" s="49">
        <f t="shared" si="87"/>
        <v>1</v>
      </c>
      <c r="R508" s="49">
        <f t="shared" si="88"/>
        <v>0</v>
      </c>
      <c r="S508" s="734">
        <f t="shared" si="89"/>
        <v>0</v>
      </c>
    </row>
    <row r="509" spans="1:19">
      <c r="A509" s="880"/>
      <c r="B509" s="126"/>
      <c r="C509" s="49">
        <f t="shared" si="80"/>
        <v>1</v>
      </c>
      <c r="D509" s="879"/>
      <c r="E509" s="49">
        <f t="shared" si="81"/>
        <v>1</v>
      </c>
      <c r="F509" s="879"/>
      <c r="G509" s="49">
        <f t="shared" si="82"/>
        <v>1</v>
      </c>
      <c r="H509" s="879"/>
      <c r="I509" s="49">
        <f t="shared" si="83"/>
        <v>1</v>
      </c>
      <c r="J509" s="879"/>
      <c r="K509" s="49">
        <f t="shared" si="84"/>
        <v>1</v>
      </c>
      <c r="L509" s="879"/>
      <c r="M509" s="49">
        <f t="shared" si="85"/>
        <v>1</v>
      </c>
      <c r="N509" s="879"/>
      <c r="O509" s="49">
        <f t="shared" si="86"/>
        <v>1</v>
      </c>
      <c r="P509" s="879"/>
      <c r="Q509" s="49">
        <f t="shared" si="87"/>
        <v>1</v>
      </c>
      <c r="R509" s="49">
        <f t="shared" si="88"/>
        <v>0</v>
      </c>
      <c r="S509" s="734">
        <f t="shared" si="89"/>
        <v>0</v>
      </c>
    </row>
    <row r="510" spans="1:19">
      <c r="A510" s="880"/>
      <c r="B510" s="126"/>
      <c r="C510" s="49">
        <f t="shared" si="80"/>
        <v>1</v>
      </c>
      <c r="D510" s="879"/>
      <c r="E510" s="49">
        <f t="shared" si="81"/>
        <v>1</v>
      </c>
      <c r="F510" s="879"/>
      <c r="G510" s="49">
        <f t="shared" si="82"/>
        <v>1</v>
      </c>
      <c r="H510" s="879"/>
      <c r="I510" s="49">
        <f t="shared" si="83"/>
        <v>1</v>
      </c>
      <c r="J510" s="879"/>
      <c r="K510" s="49">
        <f t="shared" si="84"/>
        <v>1</v>
      </c>
      <c r="L510" s="879"/>
      <c r="M510" s="49">
        <f t="shared" si="85"/>
        <v>1</v>
      </c>
      <c r="N510" s="879"/>
      <c r="O510" s="49">
        <f t="shared" si="86"/>
        <v>1</v>
      </c>
      <c r="P510" s="879"/>
      <c r="Q510" s="49">
        <f t="shared" si="87"/>
        <v>1</v>
      </c>
      <c r="R510" s="49">
        <f t="shared" si="88"/>
        <v>0</v>
      </c>
      <c r="S510" s="734">
        <f t="shared" si="89"/>
        <v>0</v>
      </c>
    </row>
    <row r="511" spans="1:19">
      <c r="A511" s="880"/>
      <c r="B511" s="126"/>
      <c r="C511" s="49">
        <f t="shared" si="80"/>
        <v>1</v>
      </c>
      <c r="D511" s="879"/>
      <c r="E511" s="49">
        <f t="shared" si="81"/>
        <v>1</v>
      </c>
      <c r="F511" s="879"/>
      <c r="G511" s="49">
        <f t="shared" si="82"/>
        <v>1</v>
      </c>
      <c r="H511" s="879"/>
      <c r="I511" s="49">
        <f t="shared" si="83"/>
        <v>1</v>
      </c>
      <c r="J511" s="879"/>
      <c r="K511" s="49">
        <f t="shared" si="84"/>
        <v>1</v>
      </c>
      <c r="L511" s="879"/>
      <c r="M511" s="49">
        <f t="shared" si="85"/>
        <v>1</v>
      </c>
      <c r="N511" s="879"/>
      <c r="O511" s="49">
        <f t="shared" si="86"/>
        <v>1</v>
      </c>
      <c r="P511" s="879"/>
      <c r="Q511" s="49">
        <f t="shared" si="87"/>
        <v>1</v>
      </c>
      <c r="R511" s="49">
        <f t="shared" si="88"/>
        <v>0</v>
      </c>
      <c r="S511" s="734">
        <f t="shared" si="89"/>
        <v>0</v>
      </c>
    </row>
    <row r="512" spans="1:19">
      <c r="A512" s="880"/>
      <c r="B512" s="126"/>
      <c r="C512" s="49">
        <f t="shared" si="80"/>
        <v>1</v>
      </c>
      <c r="D512" s="879"/>
      <c r="E512" s="49">
        <f t="shared" si="81"/>
        <v>1</v>
      </c>
      <c r="F512" s="879"/>
      <c r="G512" s="49">
        <f t="shared" si="82"/>
        <v>1</v>
      </c>
      <c r="H512" s="879"/>
      <c r="I512" s="49">
        <f t="shared" si="83"/>
        <v>1</v>
      </c>
      <c r="J512" s="879"/>
      <c r="K512" s="49">
        <f t="shared" si="84"/>
        <v>1</v>
      </c>
      <c r="L512" s="879"/>
      <c r="M512" s="49">
        <f t="shared" si="85"/>
        <v>1</v>
      </c>
      <c r="N512" s="879"/>
      <c r="O512" s="49">
        <f t="shared" si="86"/>
        <v>1</v>
      </c>
      <c r="P512" s="879"/>
      <c r="Q512" s="49">
        <f t="shared" si="87"/>
        <v>1</v>
      </c>
      <c r="R512" s="49">
        <f t="shared" si="88"/>
        <v>0</v>
      </c>
      <c r="S512" s="734">
        <f t="shared" si="89"/>
        <v>0</v>
      </c>
    </row>
    <row r="513" spans="1:19">
      <c r="A513" s="880"/>
      <c r="B513" s="126"/>
      <c r="C513" s="49">
        <f t="shared" si="80"/>
        <v>1</v>
      </c>
      <c r="D513" s="879"/>
      <c r="E513" s="49">
        <f t="shared" si="81"/>
        <v>1</v>
      </c>
      <c r="F513" s="879"/>
      <c r="G513" s="49">
        <f t="shared" si="82"/>
        <v>1</v>
      </c>
      <c r="H513" s="879"/>
      <c r="I513" s="49">
        <f t="shared" si="83"/>
        <v>1</v>
      </c>
      <c r="J513" s="879"/>
      <c r="K513" s="49">
        <f t="shared" si="84"/>
        <v>1</v>
      </c>
      <c r="L513" s="879"/>
      <c r="M513" s="49">
        <f t="shared" si="85"/>
        <v>1</v>
      </c>
      <c r="N513" s="879"/>
      <c r="O513" s="49">
        <f t="shared" si="86"/>
        <v>1</v>
      </c>
      <c r="P513" s="879"/>
      <c r="Q513" s="49">
        <f t="shared" si="87"/>
        <v>1</v>
      </c>
      <c r="R513" s="49">
        <f t="shared" si="88"/>
        <v>0</v>
      </c>
      <c r="S513" s="734">
        <f t="shared" si="89"/>
        <v>0</v>
      </c>
    </row>
    <row r="514" spans="1:19">
      <c r="A514" s="880"/>
      <c r="B514" s="126"/>
      <c r="C514" s="49">
        <f t="shared" si="80"/>
        <v>1</v>
      </c>
      <c r="D514" s="879"/>
      <c r="E514" s="49">
        <f t="shared" si="81"/>
        <v>1</v>
      </c>
      <c r="F514" s="879"/>
      <c r="G514" s="49">
        <f t="shared" si="82"/>
        <v>1</v>
      </c>
      <c r="H514" s="879"/>
      <c r="I514" s="49">
        <f t="shared" si="83"/>
        <v>1</v>
      </c>
      <c r="J514" s="879"/>
      <c r="K514" s="49">
        <f t="shared" si="84"/>
        <v>1</v>
      </c>
      <c r="L514" s="879"/>
      <c r="M514" s="49">
        <f t="shared" si="85"/>
        <v>1</v>
      </c>
      <c r="N514" s="879"/>
      <c r="O514" s="49">
        <f t="shared" si="86"/>
        <v>1</v>
      </c>
      <c r="P514" s="879"/>
      <c r="Q514" s="49">
        <f t="shared" si="87"/>
        <v>1</v>
      </c>
      <c r="R514" s="49">
        <f t="shared" si="88"/>
        <v>0</v>
      </c>
      <c r="S514" s="734">
        <f t="shared" si="89"/>
        <v>0</v>
      </c>
    </row>
    <row r="515" spans="1:19">
      <c r="A515" s="880"/>
      <c r="B515" s="126"/>
      <c r="C515" s="49">
        <f t="shared" si="80"/>
        <v>1</v>
      </c>
      <c r="D515" s="879"/>
      <c r="E515" s="49">
        <f t="shared" si="81"/>
        <v>1</v>
      </c>
      <c r="F515" s="879"/>
      <c r="G515" s="49">
        <f t="shared" si="82"/>
        <v>1</v>
      </c>
      <c r="H515" s="879"/>
      <c r="I515" s="49">
        <f t="shared" si="83"/>
        <v>1</v>
      </c>
      <c r="J515" s="879"/>
      <c r="K515" s="49">
        <f t="shared" si="84"/>
        <v>1</v>
      </c>
      <c r="L515" s="879"/>
      <c r="M515" s="49">
        <f t="shared" si="85"/>
        <v>1</v>
      </c>
      <c r="N515" s="879"/>
      <c r="O515" s="49">
        <f t="shared" si="86"/>
        <v>1</v>
      </c>
      <c r="P515" s="879"/>
      <c r="Q515" s="49">
        <f t="shared" si="87"/>
        <v>1</v>
      </c>
      <c r="R515" s="49">
        <f t="shared" si="88"/>
        <v>0</v>
      </c>
      <c r="S515" s="734">
        <f t="shared" si="89"/>
        <v>0</v>
      </c>
    </row>
    <row r="516" spans="1:19">
      <c r="A516" s="880"/>
      <c r="B516" s="126"/>
      <c r="C516" s="49">
        <f t="shared" si="80"/>
        <v>1</v>
      </c>
      <c r="D516" s="879"/>
      <c r="E516" s="49">
        <f t="shared" si="81"/>
        <v>1</v>
      </c>
      <c r="F516" s="879"/>
      <c r="G516" s="49">
        <f t="shared" si="82"/>
        <v>1</v>
      </c>
      <c r="H516" s="879"/>
      <c r="I516" s="49">
        <f t="shared" si="83"/>
        <v>1</v>
      </c>
      <c r="J516" s="879"/>
      <c r="K516" s="49">
        <f t="shared" si="84"/>
        <v>1</v>
      </c>
      <c r="L516" s="879"/>
      <c r="M516" s="49">
        <f t="shared" si="85"/>
        <v>1</v>
      </c>
      <c r="N516" s="879"/>
      <c r="O516" s="49">
        <f t="shared" si="86"/>
        <v>1</v>
      </c>
      <c r="P516" s="879"/>
      <c r="Q516" s="49">
        <f t="shared" si="87"/>
        <v>1</v>
      </c>
      <c r="R516" s="49">
        <f t="shared" si="88"/>
        <v>0</v>
      </c>
      <c r="S516" s="734">
        <f t="shared" si="89"/>
        <v>0</v>
      </c>
    </row>
    <row r="517" spans="1:19">
      <c r="A517" s="880"/>
      <c r="B517" s="126"/>
      <c r="C517" s="49">
        <f t="shared" si="80"/>
        <v>1</v>
      </c>
      <c r="D517" s="879"/>
      <c r="E517" s="49">
        <f t="shared" si="81"/>
        <v>1</v>
      </c>
      <c r="F517" s="879"/>
      <c r="G517" s="49">
        <f t="shared" si="82"/>
        <v>1</v>
      </c>
      <c r="H517" s="879"/>
      <c r="I517" s="49">
        <f t="shared" si="83"/>
        <v>1</v>
      </c>
      <c r="J517" s="879"/>
      <c r="K517" s="49">
        <f t="shared" si="84"/>
        <v>1</v>
      </c>
      <c r="L517" s="879"/>
      <c r="M517" s="49">
        <f t="shared" si="85"/>
        <v>1</v>
      </c>
      <c r="N517" s="879"/>
      <c r="O517" s="49">
        <f t="shared" si="86"/>
        <v>1</v>
      </c>
      <c r="P517" s="879"/>
      <c r="Q517" s="49">
        <f t="shared" si="87"/>
        <v>1</v>
      </c>
      <c r="R517" s="49">
        <f t="shared" si="88"/>
        <v>0</v>
      </c>
      <c r="S517" s="734">
        <f t="shared" si="89"/>
        <v>0</v>
      </c>
    </row>
    <row r="518" spans="1:19">
      <c r="A518" s="880"/>
      <c r="B518" s="126"/>
      <c r="C518" s="49">
        <f t="shared" si="80"/>
        <v>1</v>
      </c>
      <c r="D518" s="879"/>
      <c r="E518" s="49">
        <f t="shared" si="81"/>
        <v>1</v>
      </c>
      <c r="F518" s="879"/>
      <c r="G518" s="49">
        <f t="shared" si="82"/>
        <v>1</v>
      </c>
      <c r="H518" s="879"/>
      <c r="I518" s="49">
        <f t="shared" si="83"/>
        <v>1</v>
      </c>
      <c r="J518" s="879"/>
      <c r="K518" s="49">
        <f t="shared" si="84"/>
        <v>1</v>
      </c>
      <c r="L518" s="879"/>
      <c r="M518" s="49">
        <f t="shared" si="85"/>
        <v>1</v>
      </c>
      <c r="N518" s="879"/>
      <c r="O518" s="49">
        <f t="shared" si="86"/>
        <v>1</v>
      </c>
      <c r="P518" s="879"/>
      <c r="Q518" s="49">
        <f t="shared" si="87"/>
        <v>1</v>
      </c>
      <c r="R518" s="49">
        <f t="shared" si="88"/>
        <v>0</v>
      </c>
      <c r="S518" s="734">
        <f t="shared" si="89"/>
        <v>0</v>
      </c>
    </row>
    <row r="519" spans="1:19">
      <c r="A519" s="880"/>
      <c r="B519" s="126"/>
      <c r="C519" s="49">
        <f t="shared" si="80"/>
        <v>1</v>
      </c>
      <c r="D519" s="879"/>
      <c r="E519" s="49">
        <f t="shared" si="81"/>
        <v>1</v>
      </c>
      <c r="F519" s="879"/>
      <c r="G519" s="49">
        <f t="shared" si="82"/>
        <v>1</v>
      </c>
      <c r="H519" s="879"/>
      <c r="I519" s="49">
        <f t="shared" si="83"/>
        <v>1</v>
      </c>
      <c r="J519" s="879"/>
      <c r="K519" s="49">
        <f t="shared" si="84"/>
        <v>1</v>
      </c>
      <c r="L519" s="879"/>
      <c r="M519" s="49">
        <f t="shared" si="85"/>
        <v>1</v>
      </c>
      <c r="N519" s="879"/>
      <c r="O519" s="49">
        <f t="shared" si="86"/>
        <v>1</v>
      </c>
      <c r="P519" s="879"/>
      <c r="Q519" s="49">
        <f t="shared" si="87"/>
        <v>1</v>
      </c>
      <c r="R519" s="49">
        <f t="shared" si="88"/>
        <v>0</v>
      </c>
      <c r="S519" s="734">
        <f t="shared" si="89"/>
        <v>0</v>
      </c>
    </row>
    <row r="520" spans="1:19">
      <c r="A520" s="880"/>
      <c r="B520" s="126"/>
      <c r="C520" s="49">
        <f t="shared" si="80"/>
        <v>1</v>
      </c>
      <c r="D520" s="879"/>
      <c r="E520" s="49">
        <f t="shared" si="81"/>
        <v>1</v>
      </c>
      <c r="F520" s="879"/>
      <c r="G520" s="49">
        <f t="shared" si="82"/>
        <v>1</v>
      </c>
      <c r="H520" s="879"/>
      <c r="I520" s="49">
        <f t="shared" si="83"/>
        <v>1</v>
      </c>
      <c r="J520" s="879"/>
      <c r="K520" s="49">
        <f t="shared" si="84"/>
        <v>1</v>
      </c>
      <c r="L520" s="879"/>
      <c r="M520" s="49">
        <f t="shared" si="85"/>
        <v>1</v>
      </c>
      <c r="N520" s="879"/>
      <c r="O520" s="49">
        <f t="shared" si="86"/>
        <v>1</v>
      </c>
      <c r="P520" s="879"/>
      <c r="Q520" s="49">
        <f t="shared" si="87"/>
        <v>1</v>
      </c>
      <c r="R520" s="49">
        <f t="shared" si="88"/>
        <v>0</v>
      </c>
      <c r="S520" s="734">
        <f t="shared" si="89"/>
        <v>0</v>
      </c>
    </row>
    <row r="521" spans="1:19">
      <c r="A521" s="880"/>
      <c r="B521" s="126"/>
      <c r="C521" s="49">
        <f t="shared" si="80"/>
        <v>1</v>
      </c>
      <c r="D521" s="879"/>
      <c r="E521" s="49">
        <f t="shared" si="81"/>
        <v>1</v>
      </c>
      <c r="F521" s="879"/>
      <c r="G521" s="49">
        <f t="shared" si="82"/>
        <v>1</v>
      </c>
      <c r="H521" s="879"/>
      <c r="I521" s="49">
        <f t="shared" si="83"/>
        <v>1</v>
      </c>
      <c r="J521" s="879"/>
      <c r="K521" s="49">
        <f t="shared" si="84"/>
        <v>1</v>
      </c>
      <c r="L521" s="879"/>
      <c r="M521" s="49">
        <f t="shared" si="85"/>
        <v>1</v>
      </c>
      <c r="N521" s="879"/>
      <c r="O521" s="49">
        <f t="shared" si="86"/>
        <v>1</v>
      </c>
      <c r="P521" s="879"/>
      <c r="Q521" s="49">
        <f t="shared" si="87"/>
        <v>1</v>
      </c>
      <c r="R521" s="49">
        <f t="shared" si="88"/>
        <v>0</v>
      </c>
      <c r="S521" s="734">
        <f t="shared" si="89"/>
        <v>0</v>
      </c>
    </row>
    <row r="522" spans="1:19">
      <c r="A522" s="880"/>
      <c r="B522" s="126"/>
      <c r="C522" s="49">
        <f t="shared" si="80"/>
        <v>1</v>
      </c>
      <c r="D522" s="879"/>
      <c r="E522" s="49">
        <f t="shared" si="81"/>
        <v>1</v>
      </c>
      <c r="F522" s="879"/>
      <c r="G522" s="49">
        <f t="shared" si="82"/>
        <v>1</v>
      </c>
      <c r="H522" s="879"/>
      <c r="I522" s="49">
        <f t="shared" si="83"/>
        <v>1</v>
      </c>
      <c r="J522" s="879"/>
      <c r="K522" s="49">
        <f t="shared" si="84"/>
        <v>1</v>
      </c>
      <c r="L522" s="879"/>
      <c r="M522" s="49">
        <f t="shared" si="85"/>
        <v>1</v>
      </c>
      <c r="N522" s="879"/>
      <c r="O522" s="49">
        <f t="shared" si="86"/>
        <v>1</v>
      </c>
      <c r="P522" s="879"/>
      <c r="Q522" s="49">
        <f t="shared" si="87"/>
        <v>1</v>
      </c>
      <c r="R522" s="49">
        <f t="shared" si="88"/>
        <v>0</v>
      </c>
      <c r="S522" s="734">
        <f t="shared" si="89"/>
        <v>0</v>
      </c>
    </row>
    <row r="523" spans="1:19">
      <c r="A523" s="880"/>
      <c r="B523" s="126"/>
      <c r="C523" s="49">
        <f t="shared" si="80"/>
        <v>1</v>
      </c>
      <c r="D523" s="879"/>
      <c r="E523" s="49">
        <f t="shared" si="81"/>
        <v>1</v>
      </c>
      <c r="F523" s="879"/>
      <c r="G523" s="49">
        <f t="shared" si="82"/>
        <v>1</v>
      </c>
      <c r="H523" s="879"/>
      <c r="I523" s="49">
        <f t="shared" si="83"/>
        <v>1</v>
      </c>
      <c r="J523" s="879"/>
      <c r="K523" s="49">
        <f t="shared" si="84"/>
        <v>1</v>
      </c>
      <c r="L523" s="879"/>
      <c r="M523" s="49">
        <f t="shared" si="85"/>
        <v>1</v>
      </c>
      <c r="N523" s="879"/>
      <c r="O523" s="49">
        <f t="shared" si="86"/>
        <v>1</v>
      </c>
      <c r="P523" s="879"/>
      <c r="Q523" s="49">
        <f t="shared" si="87"/>
        <v>1</v>
      </c>
      <c r="R523" s="49">
        <f t="shared" si="88"/>
        <v>0</v>
      </c>
      <c r="S523" s="734">
        <f t="shared" si="89"/>
        <v>0</v>
      </c>
    </row>
    <row r="524" spans="1:19">
      <c r="A524" s="880"/>
      <c r="B524" s="126"/>
      <c r="C524" s="49">
        <f t="shared" si="80"/>
        <v>1</v>
      </c>
      <c r="D524" s="879"/>
      <c r="E524" s="49">
        <f t="shared" si="81"/>
        <v>1</v>
      </c>
      <c r="F524" s="879"/>
      <c r="G524" s="49">
        <f t="shared" si="82"/>
        <v>1</v>
      </c>
      <c r="H524" s="879"/>
      <c r="I524" s="49">
        <f t="shared" si="83"/>
        <v>1</v>
      </c>
      <c r="J524" s="879"/>
      <c r="K524" s="49">
        <f t="shared" si="84"/>
        <v>1</v>
      </c>
      <c r="L524" s="879"/>
      <c r="M524" s="49">
        <f t="shared" si="85"/>
        <v>1</v>
      </c>
      <c r="N524" s="879"/>
      <c r="O524" s="49">
        <f t="shared" si="86"/>
        <v>1</v>
      </c>
      <c r="P524" s="879"/>
      <c r="Q524" s="49">
        <f t="shared" si="87"/>
        <v>1</v>
      </c>
      <c r="R524" s="49">
        <f t="shared" si="88"/>
        <v>0</v>
      </c>
      <c r="S524" s="734">
        <f t="shared" si="89"/>
        <v>0</v>
      </c>
    </row>
    <row r="525" spans="1:19">
      <c r="A525" s="237"/>
      <c r="B525" s="53"/>
      <c r="C525" s="53"/>
      <c r="D525" s="53"/>
      <c r="E525" s="53"/>
      <c r="F525" s="53"/>
      <c r="G525" s="53"/>
      <c r="H525" s="53"/>
      <c r="I525" s="53"/>
      <c r="J525" s="53"/>
      <c r="K525" s="53"/>
      <c r="L525" s="53"/>
      <c r="M525" s="53"/>
      <c r="N525" s="53"/>
      <c r="O525" s="53"/>
      <c r="P525" s="53"/>
      <c r="Q525" s="53"/>
      <c r="R525" s="53"/>
      <c r="S525" s="237"/>
    </row>
    <row r="526" spans="1:19">
      <c r="A526" s="237"/>
      <c r="B526" s="53"/>
      <c r="C526" s="53"/>
      <c r="D526" s="53"/>
      <c r="E526" s="53"/>
      <c r="F526" s="53"/>
      <c r="G526" s="53"/>
      <c r="H526" s="53"/>
      <c r="I526" s="53"/>
      <c r="J526" s="53"/>
      <c r="K526" s="53"/>
      <c r="L526" s="53"/>
      <c r="M526" s="53"/>
      <c r="N526" s="53"/>
      <c r="O526" s="53"/>
      <c r="P526" s="53"/>
      <c r="Q526" s="53"/>
      <c r="R526" s="53"/>
      <c r="S526" s="237"/>
    </row>
    <row r="527" spans="1:19">
      <c r="A527" s="237"/>
      <c r="B527" s="53"/>
      <c r="C527" s="53"/>
      <c r="D527" s="53"/>
      <c r="E527" s="53"/>
      <c r="F527" s="53"/>
      <c r="G527" s="53"/>
      <c r="H527" s="53"/>
      <c r="I527" s="53"/>
      <c r="J527" s="53"/>
      <c r="K527" s="53"/>
      <c r="L527" s="53"/>
      <c r="M527" s="53"/>
      <c r="N527" s="53"/>
      <c r="O527" s="53"/>
      <c r="P527" s="53"/>
      <c r="Q527" s="53"/>
      <c r="R527" s="53"/>
      <c r="S527" s="237"/>
    </row>
    <row r="528" spans="1:19">
      <c r="A528" s="237"/>
      <c r="B528" s="53"/>
      <c r="C528" s="53"/>
      <c r="D528" s="53"/>
      <c r="E528" s="53"/>
      <c r="F528" s="53"/>
      <c r="G528" s="53"/>
      <c r="H528" s="53"/>
      <c r="I528" s="53"/>
      <c r="J528" s="53"/>
      <c r="K528" s="53"/>
      <c r="L528" s="53"/>
      <c r="M528" s="53"/>
      <c r="N528" s="53"/>
      <c r="O528" s="53"/>
      <c r="P528" s="53"/>
      <c r="Q528" s="53"/>
      <c r="R528" s="53"/>
      <c r="S528" s="237"/>
    </row>
    <row r="529" spans="1:19">
      <c r="A529" s="237"/>
      <c r="B529" s="53"/>
      <c r="C529" s="53"/>
      <c r="D529" s="53"/>
      <c r="E529" s="53"/>
      <c r="F529" s="53"/>
      <c r="G529" s="53"/>
      <c r="H529" s="53"/>
      <c r="I529" s="53"/>
      <c r="J529" s="53"/>
      <c r="K529" s="53"/>
      <c r="L529" s="53"/>
      <c r="M529" s="53"/>
      <c r="N529" s="53"/>
      <c r="O529" s="53"/>
      <c r="P529" s="53"/>
      <c r="Q529" s="53"/>
      <c r="R529" s="53"/>
      <c r="S529" s="237"/>
    </row>
    <row r="530" spans="1:19">
      <c r="A530" s="237"/>
      <c r="B530" s="53"/>
      <c r="C530" s="53"/>
      <c r="D530" s="53"/>
      <c r="E530" s="53"/>
      <c r="F530" s="53"/>
      <c r="G530" s="53"/>
      <c r="H530" s="53"/>
      <c r="I530" s="53"/>
      <c r="J530" s="53"/>
      <c r="K530" s="53"/>
      <c r="L530" s="53"/>
      <c r="M530" s="53"/>
      <c r="N530" s="53"/>
      <c r="O530" s="53"/>
      <c r="P530" s="53"/>
      <c r="Q530" s="53"/>
      <c r="R530" s="53"/>
      <c r="S530" s="237"/>
    </row>
    <row r="531" spans="1:19">
      <c r="A531" s="237"/>
      <c r="B531" s="53"/>
      <c r="C531" s="53"/>
      <c r="D531" s="53"/>
      <c r="E531" s="53"/>
      <c r="F531" s="53"/>
      <c r="G531" s="53"/>
      <c r="H531" s="53"/>
      <c r="I531" s="53"/>
      <c r="J531" s="53"/>
      <c r="K531" s="53"/>
      <c r="L531" s="53"/>
      <c r="M531" s="53"/>
      <c r="N531" s="53"/>
      <c r="O531" s="53"/>
      <c r="P531" s="53"/>
      <c r="Q531" s="53"/>
      <c r="R531" s="53"/>
      <c r="S531" s="237"/>
    </row>
    <row r="532" spans="1:19">
      <c r="A532" s="237"/>
      <c r="B532" s="53"/>
      <c r="C532" s="53"/>
      <c r="D532" s="53"/>
      <c r="E532" s="53"/>
      <c r="F532" s="53"/>
      <c r="G532" s="53"/>
      <c r="H532" s="53"/>
      <c r="I532" s="53"/>
      <c r="J532" s="53"/>
      <c r="K532" s="53"/>
      <c r="L532" s="53"/>
      <c r="M532" s="53"/>
      <c r="N532" s="53"/>
      <c r="O532" s="53"/>
      <c r="P532" s="53"/>
      <c r="Q532" s="53"/>
      <c r="R532" s="53"/>
      <c r="S532" s="237"/>
    </row>
    <row r="533" spans="1:19">
      <c r="A533" s="237"/>
      <c r="B533" s="53"/>
      <c r="C533" s="53"/>
      <c r="D533" s="53"/>
      <c r="E533" s="53"/>
      <c r="F533" s="53"/>
      <c r="G533" s="53"/>
      <c r="H533" s="53"/>
      <c r="I533" s="53"/>
      <c r="J533" s="53"/>
      <c r="K533" s="53"/>
      <c r="L533" s="53"/>
      <c r="M533" s="53"/>
      <c r="N533" s="53"/>
      <c r="O533" s="53"/>
      <c r="P533" s="53"/>
      <c r="Q533" s="53"/>
      <c r="R533" s="53"/>
      <c r="S533" s="237"/>
    </row>
    <row r="534" spans="1:19">
      <c r="A534" s="237"/>
      <c r="B534" s="53"/>
      <c r="C534" s="53"/>
      <c r="D534" s="53"/>
      <c r="E534" s="53"/>
      <c r="F534" s="53"/>
      <c r="G534" s="53"/>
      <c r="H534" s="53"/>
      <c r="I534" s="53"/>
      <c r="J534" s="53"/>
      <c r="K534" s="53"/>
      <c r="L534" s="53"/>
      <c r="M534" s="53"/>
      <c r="N534" s="53"/>
      <c r="O534" s="53"/>
      <c r="P534" s="53"/>
      <c r="Q534" s="53"/>
      <c r="R534" s="53"/>
      <c r="S534" s="237"/>
    </row>
    <row r="535" spans="1:19">
      <c r="A535" s="237"/>
      <c r="B535" s="53"/>
      <c r="C535" s="53"/>
      <c r="D535" s="53"/>
      <c r="E535" s="53"/>
      <c r="F535" s="53"/>
      <c r="G535" s="53"/>
      <c r="H535" s="53"/>
      <c r="I535" s="53"/>
      <c r="J535" s="53"/>
      <c r="K535" s="53"/>
      <c r="L535" s="53"/>
      <c r="M535" s="53"/>
      <c r="N535" s="53"/>
      <c r="O535" s="53"/>
      <c r="P535" s="53"/>
      <c r="Q535" s="53"/>
      <c r="R535" s="53"/>
      <c r="S535" s="237"/>
    </row>
    <row r="536" spans="1:19">
      <c r="A536" s="237"/>
      <c r="B536" s="53"/>
      <c r="C536" s="53"/>
      <c r="D536" s="53"/>
      <c r="E536" s="53"/>
      <c r="F536" s="53"/>
      <c r="G536" s="53"/>
      <c r="H536" s="53"/>
      <c r="I536" s="53"/>
      <c r="J536" s="53"/>
      <c r="K536" s="53"/>
      <c r="L536" s="53"/>
      <c r="M536" s="53"/>
      <c r="N536" s="53"/>
      <c r="O536" s="53"/>
      <c r="P536" s="53"/>
      <c r="Q536" s="53"/>
      <c r="R536" s="53"/>
      <c r="S536" s="237"/>
    </row>
    <row r="537" spans="1:19">
      <c r="A537" s="237"/>
      <c r="B537" s="53"/>
      <c r="C537" s="53"/>
      <c r="D537" s="53"/>
      <c r="E537" s="53"/>
      <c r="F537" s="53"/>
      <c r="G537" s="53"/>
      <c r="H537" s="53"/>
      <c r="I537" s="53"/>
      <c r="J537" s="53"/>
      <c r="K537" s="53"/>
      <c r="L537" s="53"/>
      <c r="M537" s="53"/>
      <c r="N537" s="53"/>
      <c r="O537" s="53"/>
      <c r="P537" s="53"/>
      <c r="Q537" s="53"/>
      <c r="R537" s="53"/>
      <c r="S537" s="237"/>
    </row>
    <row r="538" spans="1:19">
      <c r="A538" s="237"/>
      <c r="B538" s="53"/>
      <c r="C538" s="53"/>
      <c r="D538" s="53"/>
      <c r="E538" s="53"/>
      <c r="F538" s="53"/>
      <c r="G538" s="53"/>
      <c r="H538" s="53"/>
      <c r="I538" s="53"/>
      <c r="J538" s="53"/>
      <c r="K538" s="53"/>
      <c r="L538" s="53"/>
      <c r="M538" s="53"/>
      <c r="N538" s="53"/>
      <c r="O538" s="53"/>
      <c r="P538" s="53"/>
      <c r="Q538" s="53"/>
      <c r="R538" s="53"/>
      <c r="S538" s="237"/>
    </row>
    <row r="539" spans="1:19">
      <c r="A539" s="237"/>
      <c r="B539" s="53"/>
      <c r="C539" s="53"/>
      <c r="D539" s="53"/>
      <c r="E539" s="53"/>
      <c r="F539" s="53"/>
      <c r="G539" s="53"/>
      <c r="H539" s="53"/>
      <c r="I539" s="53"/>
      <c r="J539" s="53"/>
      <c r="K539" s="53"/>
      <c r="L539" s="53"/>
      <c r="M539" s="53"/>
      <c r="N539" s="53"/>
      <c r="O539" s="53"/>
      <c r="P539" s="53"/>
      <c r="Q539" s="53"/>
      <c r="R539" s="53"/>
      <c r="S539" s="237"/>
    </row>
    <row r="540" spans="1:19">
      <c r="A540" s="237"/>
      <c r="B540" s="53"/>
      <c r="C540" s="53"/>
      <c r="D540" s="53"/>
      <c r="E540" s="53"/>
      <c r="F540" s="53"/>
      <c r="G540" s="53"/>
      <c r="H540" s="53"/>
      <c r="I540" s="53"/>
      <c r="J540" s="53"/>
      <c r="K540" s="53"/>
      <c r="L540" s="53"/>
      <c r="M540" s="53"/>
      <c r="N540" s="53"/>
      <c r="O540" s="53"/>
      <c r="P540" s="53"/>
      <c r="Q540" s="53"/>
      <c r="R540" s="53"/>
      <c r="S540" s="237"/>
    </row>
    <row r="541" spans="1:19">
      <c r="A541" s="237"/>
      <c r="B541" s="53"/>
      <c r="C541" s="53"/>
      <c r="D541" s="53"/>
      <c r="E541" s="53"/>
      <c r="F541" s="53"/>
      <c r="G541" s="53"/>
      <c r="H541" s="53"/>
      <c r="I541" s="53"/>
      <c r="J541" s="53"/>
      <c r="K541" s="53"/>
      <c r="L541" s="53"/>
      <c r="M541" s="53"/>
      <c r="N541" s="53"/>
      <c r="O541" s="53"/>
      <c r="P541" s="53"/>
      <c r="Q541" s="53"/>
      <c r="R541" s="53"/>
      <c r="S541" s="237"/>
    </row>
    <row r="542" spans="1:19">
      <c r="A542" s="237"/>
      <c r="B542" s="53"/>
      <c r="C542" s="53"/>
      <c r="D542" s="53"/>
      <c r="E542" s="53"/>
      <c r="F542" s="53"/>
      <c r="G542" s="53"/>
      <c r="H542" s="53"/>
      <c r="I542" s="53"/>
      <c r="J542" s="53"/>
      <c r="K542" s="53"/>
      <c r="L542" s="53"/>
      <c r="M542" s="53"/>
      <c r="N542" s="53"/>
      <c r="O542" s="53"/>
      <c r="P542" s="53"/>
      <c r="Q542" s="53"/>
      <c r="R542" s="53"/>
      <c r="S542" s="237"/>
    </row>
    <row r="543" spans="1:19">
      <c r="A543" s="237"/>
      <c r="B543" s="53"/>
      <c r="C543" s="53"/>
      <c r="D543" s="53"/>
      <c r="E543" s="53"/>
      <c r="F543" s="53"/>
      <c r="G543" s="53"/>
      <c r="H543" s="53"/>
      <c r="I543" s="53"/>
      <c r="J543" s="53"/>
      <c r="K543" s="53"/>
      <c r="L543" s="53"/>
      <c r="M543" s="53"/>
      <c r="N543" s="53"/>
      <c r="O543" s="53"/>
      <c r="P543" s="53"/>
      <c r="Q543" s="53"/>
      <c r="R543" s="53"/>
      <c r="S543" s="237"/>
    </row>
    <row r="544" spans="1:19">
      <c r="A544" s="237"/>
      <c r="B544" s="53"/>
      <c r="C544" s="53"/>
      <c r="D544" s="53"/>
      <c r="E544" s="53"/>
      <c r="F544" s="53"/>
      <c r="G544" s="53"/>
      <c r="H544" s="53"/>
      <c r="I544" s="53"/>
      <c r="J544" s="53"/>
      <c r="K544" s="53"/>
      <c r="L544" s="53"/>
      <c r="M544" s="53"/>
      <c r="N544" s="53"/>
      <c r="O544" s="53"/>
      <c r="P544" s="53"/>
      <c r="Q544" s="53"/>
      <c r="R544" s="53"/>
      <c r="S544" s="237"/>
    </row>
    <row r="545" spans="1:19">
      <c r="A545" s="237"/>
      <c r="B545" s="53"/>
      <c r="C545" s="53"/>
      <c r="D545" s="53"/>
      <c r="E545" s="53"/>
      <c r="F545" s="53"/>
      <c r="G545" s="53"/>
      <c r="H545" s="53"/>
      <c r="I545" s="53"/>
      <c r="J545" s="53"/>
      <c r="K545" s="53"/>
      <c r="L545" s="53"/>
      <c r="M545" s="53"/>
      <c r="N545" s="53"/>
      <c r="O545" s="53"/>
      <c r="P545" s="53"/>
      <c r="Q545" s="53"/>
      <c r="R545" s="53"/>
      <c r="S545" s="237"/>
    </row>
    <row r="546" spans="1:19">
      <c r="A546" s="237"/>
      <c r="B546" s="53"/>
      <c r="C546" s="53"/>
      <c r="D546" s="53"/>
      <c r="E546" s="53"/>
      <c r="F546" s="53"/>
      <c r="G546" s="53"/>
      <c r="H546" s="53"/>
      <c r="I546" s="53"/>
      <c r="J546" s="53"/>
      <c r="K546" s="53"/>
      <c r="L546" s="53"/>
      <c r="M546" s="53"/>
      <c r="N546" s="53"/>
      <c r="O546" s="53"/>
      <c r="P546" s="53"/>
      <c r="Q546" s="53"/>
      <c r="R546" s="53"/>
      <c r="S546" s="237"/>
    </row>
    <row r="547" spans="1:19">
      <c r="A547" s="237"/>
      <c r="B547" s="53"/>
      <c r="C547" s="53"/>
      <c r="D547" s="53"/>
      <c r="E547" s="53"/>
      <c r="F547" s="53"/>
      <c r="G547" s="53"/>
      <c r="H547" s="53"/>
      <c r="I547" s="53"/>
      <c r="J547" s="53"/>
      <c r="K547" s="53"/>
      <c r="L547" s="53"/>
      <c r="M547" s="53"/>
      <c r="N547" s="53"/>
      <c r="O547" s="53"/>
      <c r="P547" s="53"/>
      <c r="Q547" s="53"/>
      <c r="R547" s="53"/>
      <c r="S547" s="237"/>
    </row>
    <row r="548" spans="1:19">
      <c r="A548" s="237"/>
      <c r="B548" s="53"/>
      <c r="C548" s="53"/>
      <c r="D548" s="53"/>
      <c r="E548" s="53"/>
      <c r="F548" s="53"/>
      <c r="G548" s="53"/>
      <c r="H548" s="53"/>
      <c r="I548" s="53"/>
      <c r="J548" s="53"/>
      <c r="K548" s="53"/>
      <c r="L548" s="53"/>
      <c r="M548" s="53"/>
      <c r="N548" s="53"/>
      <c r="O548" s="53"/>
      <c r="P548" s="53"/>
      <c r="Q548" s="53"/>
      <c r="R548" s="53"/>
      <c r="S548" s="237"/>
    </row>
    <row r="549" spans="1:19">
      <c r="A549" s="237"/>
      <c r="B549" s="53"/>
      <c r="C549" s="53"/>
      <c r="D549" s="53"/>
      <c r="E549" s="53"/>
      <c r="F549" s="53"/>
      <c r="G549" s="53"/>
      <c r="H549" s="53"/>
      <c r="I549" s="53"/>
      <c r="J549" s="53"/>
      <c r="K549" s="53"/>
      <c r="L549" s="53"/>
      <c r="M549" s="53"/>
      <c r="N549" s="53"/>
      <c r="O549" s="53"/>
      <c r="P549" s="53"/>
      <c r="Q549" s="53"/>
      <c r="R549" s="53"/>
      <c r="S549" s="237"/>
    </row>
    <row r="550" spans="1:19">
      <c r="A550" s="237"/>
      <c r="B550" s="53"/>
      <c r="C550" s="53"/>
      <c r="D550" s="53"/>
      <c r="E550" s="53"/>
      <c r="F550" s="53"/>
      <c r="G550" s="53"/>
      <c r="H550" s="53"/>
      <c r="I550" s="53"/>
      <c r="J550" s="53"/>
      <c r="K550" s="53"/>
      <c r="L550" s="53"/>
      <c r="M550" s="53"/>
      <c r="N550" s="53"/>
      <c r="O550" s="53"/>
      <c r="P550" s="53"/>
      <c r="Q550" s="53"/>
      <c r="R550" s="53"/>
      <c r="S550" s="237"/>
    </row>
    <row r="551" spans="1:19">
      <c r="A551" s="237"/>
      <c r="B551" s="53"/>
      <c r="C551" s="53"/>
      <c r="D551" s="53"/>
      <c r="E551" s="53"/>
      <c r="F551" s="53"/>
      <c r="G551" s="53"/>
      <c r="H551" s="53"/>
      <c r="I551" s="53"/>
      <c r="J551" s="53"/>
      <c r="K551" s="53"/>
      <c r="L551" s="53"/>
      <c r="M551" s="53"/>
      <c r="N551" s="53"/>
      <c r="O551" s="53"/>
      <c r="P551" s="53"/>
      <c r="Q551" s="53"/>
      <c r="R551" s="53"/>
      <c r="S551" s="237"/>
    </row>
    <row r="552" spans="1:19">
      <c r="A552" s="237"/>
      <c r="B552" s="53"/>
      <c r="C552" s="53"/>
      <c r="D552" s="53"/>
      <c r="E552" s="53"/>
      <c r="F552" s="53"/>
      <c r="G552" s="53"/>
      <c r="H552" s="53"/>
      <c r="I552" s="53"/>
      <c r="J552" s="53"/>
      <c r="K552" s="53"/>
      <c r="L552" s="53"/>
      <c r="M552" s="53"/>
      <c r="N552" s="53"/>
      <c r="O552" s="53"/>
      <c r="P552" s="53"/>
      <c r="Q552" s="53"/>
      <c r="R552" s="53"/>
      <c r="S552" s="237"/>
    </row>
    <row r="553" spans="1:19">
      <c r="A553" s="237"/>
      <c r="B553" s="53"/>
      <c r="C553" s="53"/>
      <c r="D553" s="53"/>
      <c r="E553" s="53"/>
      <c r="F553" s="53"/>
      <c r="G553" s="53"/>
      <c r="H553" s="53"/>
      <c r="I553" s="53"/>
      <c r="J553" s="53"/>
      <c r="K553" s="53"/>
      <c r="L553" s="53"/>
      <c r="M553" s="53"/>
      <c r="N553" s="53"/>
      <c r="O553" s="53"/>
      <c r="P553" s="53"/>
      <c r="Q553" s="53"/>
      <c r="R553" s="53"/>
      <c r="S553" s="237"/>
    </row>
    <row r="554" spans="1:19">
      <c r="A554" s="237"/>
      <c r="B554" s="53"/>
      <c r="C554" s="53"/>
      <c r="D554" s="53"/>
      <c r="E554" s="53"/>
      <c r="F554" s="53"/>
      <c r="G554" s="53"/>
      <c r="H554" s="53"/>
      <c r="I554" s="53"/>
      <c r="J554" s="53"/>
      <c r="K554" s="53"/>
      <c r="L554" s="53"/>
      <c r="M554" s="53"/>
      <c r="N554" s="53"/>
      <c r="O554" s="53"/>
      <c r="P554" s="53"/>
      <c r="Q554" s="53"/>
      <c r="R554" s="53"/>
      <c r="S554" s="237"/>
    </row>
    <row r="555" spans="1:19">
      <c r="A555" s="237"/>
      <c r="B555" s="53"/>
      <c r="C555" s="53"/>
      <c r="D555" s="53"/>
      <c r="E555" s="53"/>
      <c r="F555" s="53"/>
      <c r="G555" s="53"/>
      <c r="H555" s="53"/>
      <c r="I555" s="53"/>
      <c r="J555" s="53"/>
      <c r="K555" s="53"/>
      <c r="L555" s="53"/>
      <c r="M555" s="53"/>
      <c r="N555" s="53"/>
      <c r="O555" s="53"/>
      <c r="P555" s="53"/>
      <c r="Q555" s="53"/>
      <c r="R555" s="53"/>
      <c r="S555" s="237"/>
    </row>
    <row r="556" spans="1:19">
      <c r="A556" s="237"/>
      <c r="B556" s="53"/>
      <c r="C556" s="53"/>
      <c r="D556" s="53"/>
      <c r="E556" s="53"/>
      <c r="F556" s="53"/>
      <c r="G556" s="53"/>
      <c r="H556" s="53"/>
      <c r="I556" s="53"/>
      <c r="J556" s="53"/>
      <c r="K556" s="53"/>
      <c r="L556" s="53"/>
      <c r="M556" s="53"/>
      <c r="N556" s="53"/>
      <c r="O556" s="53"/>
      <c r="P556" s="53"/>
      <c r="Q556" s="53"/>
      <c r="R556" s="53"/>
      <c r="S556" s="237"/>
    </row>
    <row r="557" spans="1:19">
      <c r="A557" s="237"/>
      <c r="B557" s="53"/>
      <c r="C557" s="53"/>
      <c r="D557" s="53"/>
      <c r="E557" s="53"/>
      <c r="F557" s="53"/>
      <c r="G557" s="53"/>
      <c r="H557" s="53"/>
      <c r="I557" s="53"/>
      <c r="J557" s="53"/>
      <c r="K557" s="53"/>
      <c r="L557" s="53"/>
      <c r="M557" s="53"/>
      <c r="N557" s="53"/>
      <c r="O557" s="53"/>
      <c r="P557" s="53"/>
      <c r="Q557" s="53"/>
      <c r="R557" s="53"/>
      <c r="S557" s="237"/>
    </row>
    <row r="558" spans="1:19">
      <c r="A558" s="237"/>
      <c r="B558" s="53"/>
      <c r="C558" s="53"/>
      <c r="D558" s="53"/>
      <c r="E558" s="53"/>
      <c r="F558" s="53"/>
      <c r="G558" s="53"/>
      <c r="H558" s="53"/>
      <c r="I558" s="53"/>
      <c r="J558" s="53"/>
      <c r="K558" s="53"/>
      <c r="L558" s="53"/>
      <c r="M558" s="53"/>
      <c r="N558" s="53"/>
      <c r="O558" s="53"/>
      <c r="P558" s="53"/>
      <c r="Q558" s="53"/>
      <c r="R558" s="53"/>
      <c r="S558" s="237"/>
    </row>
    <row r="559" spans="1:19">
      <c r="A559" s="237"/>
      <c r="B559" s="53"/>
      <c r="C559" s="53"/>
      <c r="D559" s="53"/>
      <c r="E559" s="53"/>
      <c r="F559" s="53"/>
      <c r="G559" s="53"/>
      <c r="H559" s="53"/>
      <c r="I559" s="53"/>
      <c r="J559" s="53"/>
      <c r="K559" s="53"/>
      <c r="L559" s="53"/>
      <c r="M559" s="53"/>
      <c r="N559" s="53"/>
      <c r="O559" s="53"/>
      <c r="P559" s="53"/>
      <c r="Q559" s="53"/>
      <c r="R559" s="53"/>
      <c r="S559" s="237"/>
    </row>
    <row r="560" spans="1:19">
      <c r="A560" s="237"/>
      <c r="B560" s="53"/>
      <c r="C560" s="53"/>
      <c r="D560" s="53"/>
      <c r="E560" s="53"/>
      <c r="F560" s="53"/>
      <c r="G560" s="53"/>
      <c r="H560" s="53"/>
      <c r="I560" s="53"/>
      <c r="J560" s="53"/>
      <c r="K560" s="53"/>
      <c r="L560" s="53"/>
      <c r="M560" s="53"/>
      <c r="N560" s="53"/>
      <c r="O560" s="53"/>
      <c r="P560" s="53"/>
      <c r="Q560" s="53"/>
      <c r="R560" s="53"/>
      <c r="S560" s="237"/>
    </row>
    <row r="561" spans="1:19">
      <c r="A561" s="237"/>
      <c r="B561" s="53"/>
      <c r="C561" s="53"/>
      <c r="D561" s="53"/>
      <c r="E561" s="53"/>
      <c r="F561" s="53"/>
      <c r="G561" s="53"/>
      <c r="H561" s="53"/>
      <c r="I561" s="53"/>
      <c r="J561" s="53"/>
      <c r="K561" s="53"/>
      <c r="L561" s="53"/>
      <c r="M561" s="53"/>
      <c r="N561" s="53"/>
      <c r="O561" s="53"/>
      <c r="P561" s="53"/>
      <c r="Q561" s="53"/>
      <c r="R561" s="53"/>
      <c r="S561" s="237"/>
    </row>
    <row r="562" spans="1:19">
      <c r="A562" s="237"/>
      <c r="B562" s="53"/>
      <c r="C562" s="53"/>
      <c r="D562" s="53"/>
      <c r="E562" s="53"/>
      <c r="F562" s="53"/>
      <c r="G562" s="53"/>
      <c r="H562" s="53"/>
      <c r="I562" s="53"/>
      <c r="J562" s="53"/>
      <c r="K562" s="53"/>
      <c r="L562" s="53"/>
      <c r="M562" s="53"/>
      <c r="N562" s="53"/>
      <c r="O562" s="53"/>
      <c r="P562" s="53"/>
      <c r="Q562" s="53"/>
      <c r="R562" s="53"/>
      <c r="S562" s="237"/>
    </row>
    <row r="563" spans="1:19">
      <c r="A563" s="237"/>
      <c r="B563" s="53"/>
      <c r="C563" s="53"/>
      <c r="D563" s="53"/>
      <c r="E563" s="53"/>
      <c r="F563" s="53"/>
      <c r="G563" s="53"/>
      <c r="H563" s="53"/>
      <c r="I563" s="53"/>
      <c r="J563" s="53"/>
      <c r="K563" s="53"/>
      <c r="L563" s="53"/>
      <c r="M563" s="53"/>
      <c r="N563" s="53"/>
      <c r="O563" s="53"/>
      <c r="P563" s="53"/>
      <c r="Q563" s="53"/>
      <c r="R563" s="53"/>
      <c r="S563" s="237"/>
    </row>
    <row r="564" spans="1:19">
      <c r="A564" s="237"/>
      <c r="B564" s="53"/>
      <c r="C564" s="53"/>
      <c r="D564" s="53"/>
      <c r="E564" s="53"/>
      <c r="F564" s="53"/>
      <c r="G564" s="53"/>
      <c r="H564" s="53"/>
      <c r="I564" s="53"/>
      <c r="J564" s="53"/>
      <c r="K564" s="53"/>
      <c r="L564" s="53"/>
      <c r="M564" s="53"/>
      <c r="N564" s="53"/>
      <c r="O564" s="53"/>
      <c r="P564" s="53"/>
      <c r="Q564" s="53"/>
      <c r="R564" s="53"/>
      <c r="S564" s="237"/>
    </row>
    <row r="565" spans="1:19">
      <c r="A565" s="237"/>
      <c r="B565" s="53"/>
      <c r="C565" s="53"/>
      <c r="D565" s="53"/>
      <c r="E565" s="53"/>
      <c r="F565" s="53"/>
      <c r="G565" s="53"/>
      <c r="H565" s="53"/>
      <c r="I565" s="53"/>
      <c r="J565" s="53"/>
      <c r="K565" s="53"/>
      <c r="L565" s="53"/>
      <c r="M565" s="53"/>
      <c r="N565" s="53"/>
      <c r="O565" s="53"/>
      <c r="P565" s="53"/>
      <c r="Q565" s="53"/>
      <c r="R565" s="53"/>
      <c r="S565" s="237"/>
    </row>
    <row r="566" spans="1:19">
      <c r="A566" s="237"/>
      <c r="B566" s="53"/>
      <c r="C566" s="53"/>
      <c r="D566" s="53"/>
      <c r="E566" s="53"/>
      <c r="F566" s="53"/>
      <c r="G566" s="53"/>
      <c r="H566" s="53"/>
      <c r="I566" s="53"/>
      <c r="J566" s="53"/>
      <c r="K566" s="53"/>
      <c r="L566" s="53"/>
      <c r="M566" s="53"/>
      <c r="N566" s="53"/>
      <c r="O566" s="53"/>
      <c r="P566" s="53"/>
      <c r="Q566" s="53"/>
      <c r="R566" s="53"/>
      <c r="S566" s="237"/>
    </row>
    <row r="567" spans="1:19">
      <c r="A567" s="237"/>
      <c r="B567" s="53"/>
      <c r="C567" s="53"/>
      <c r="D567" s="53"/>
      <c r="E567" s="53"/>
      <c r="F567" s="53"/>
      <c r="G567" s="53"/>
      <c r="H567" s="53"/>
      <c r="I567" s="53"/>
      <c r="J567" s="53"/>
      <c r="K567" s="53"/>
      <c r="L567" s="53"/>
      <c r="M567" s="53"/>
      <c r="N567" s="53"/>
      <c r="O567" s="53"/>
      <c r="P567" s="53"/>
      <c r="Q567" s="53"/>
      <c r="R567" s="53"/>
      <c r="S567" s="237"/>
    </row>
    <row r="568" spans="1:19">
      <c r="A568" s="237"/>
      <c r="B568" s="53"/>
      <c r="C568" s="53"/>
      <c r="D568" s="53"/>
      <c r="E568" s="53"/>
      <c r="F568" s="53"/>
      <c r="G568" s="53"/>
      <c r="H568" s="53"/>
      <c r="I568" s="53"/>
      <c r="J568" s="53"/>
      <c r="K568" s="53"/>
      <c r="L568" s="53"/>
      <c r="M568" s="53"/>
      <c r="N568" s="53"/>
      <c r="O568" s="53"/>
      <c r="P568" s="53"/>
      <c r="Q568" s="53"/>
      <c r="R568" s="53"/>
      <c r="S568" s="237"/>
    </row>
    <row r="569" spans="1:19">
      <c r="A569" s="237"/>
      <c r="B569" s="53"/>
      <c r="C569" s="53"/>
      <c r="D569" s="53"/>
      <c r="E569" s="53"/>
      <c r="F569" s="53"/>
      <c r="G569" s="53"/>
      <c r="H569" s="53"/>
      <c r="I569" s="53"/>
      <c r="J569" s="53"/>
      <c r="K569" s="53"/>
      <c r="L569" s="53"/>
      <c r="M569" s="53"/>
      <c r="N569" s="53"/>
      <c r="O569" s="53"/>
      <c r="P569" s="53"/>
      <c r="Q569" s="53"/>
      <c r="R569" s="53"/>
      <c r="S569" s="237"/>
    </row>
    <row r="570" spans="1:19">
      <c r="A570" s="237"/>
      <c r="B570" s="53"/>
      <c r="C570" s="53"/>
      <c r="D570" s="53"/>
      <c r="E570" s="53"/>
      <c r="F570" s="53"/>
      <c r="G570" s="53"/>
      <c r="H570" s="53"/>
      <c r="I570" s="53"/>
      <c r="J570" s="53"/>
      <c r="K570" s="53"/>
      <c r="L570" s="53"/>
      <c r="M570" s="53"/>
      <c r="N570" s="53"/>
      <c r="O570" s="53"/>
      <c r="P570" s="53"/>
      <c r="Q570" s="53"/>
      <c r="R570" s="53"/>
      <c r="S570" s="237"/>
    </row>
    <row r="571" spans="1:19">
      <c r="A571" s="237"/>
      <c r="B571" s="53"/>
      <c r="C571" s="53"/>
      <c r="D571" s="53"/>
      <c r="E571" s="53"/>
      <c r="F571" s="53"/>
      <c r="G571" s="53"/>
      <c r="H571" s="53"/>
      <c r="I571" s="53"/>
      <c r="J571" s="53"/>
      <c r="K571" s="53"/>
      <c r="L571" s="53"/>
      <c r="M571" s="53"/>
      <c r="N571" s="53"/>
      <c r="O571" s="53"/>
      <c r="P571" s="53"/>
      <c r="Q571" s="53"/>
      <c r="R571" s="53"/>
      <c r="S571" s="237"/>
    </row>
    <row r="572" spans="1:19">
      <c r="A572" s="237"/>
      <c r="B572" s="53"/>
      <c r="C572" s="53"/>
      <c r="D572" s="53"/>
      <c r="E572" s="53"/>
      <c r="F572" s="53"/>
      <c r="G572" s="53"/>
      <c r="H572" s="53"/>
      <c r="I572" s="53"/>
      <c r="J572" s="53"/>
      <c r="K572" s="53"/>
      <c r="L572" s="53"/>
      <c r="M572" s="53"/>
      <c r="N572" s="53"/>
      <c r="O572" s="53"/>
      <c r="P572" s="53"/>
      <c r="Q572" s="53"/>
      <c r="R572" s="53"/>
      <c r="S572" s="237"/>
    </row>
    <row r="573" spans="1:19">
      <c r="A573" s="237"/>
      <c r="B573" s="53"/>
      <c r="C573" s="53"/>
      <c r="D573" s="53"/>
      <c r="E573" s="53"/>
      <c r="F573" s="53"/>
      <c r="G573" s="53"/>
      <c r="H573" s="53"/>
      <c r="I573" s="53"/>
      <c r="J573" s="53"/>
      <c r="K573" s="53"/>
      <c r="L573" s="53"/>
      <c r="M573" s="53"/>
      <c r="N573" s="53"/>
      <c r="O573" s="53"/>
      <c r="P573" s="53"/>
      <c r="Q573" s="53"/>
      <c r="R573" s="53"/>
      <c r="S573" s="237"/>
    </row>
    <row r="574" spans="1:19">
      <c r="A574" s="237"/>
      <c r="B574" s="53"/>
      <c r="C574" s="53"/>
      <c r="D574" s="53"/>
      <c r="E574" s="53"/>
      <c r="F574" s="53"/>
      <c r="G574" s="53"/>
      <c r="H574" s="53"/>
      <c r="I574" s="53"/>
      <c r="J574" s="53"/>
      <c r="K574" s="53"/>
      <c r="L574" s="53"/>
      <c r="M574" s="53"/>
      <c r="N574" s="53"/>
      <c r="O574" s="53"/>
      <c r="P574" s="53"/>
      <c r="Q574" s="53"/>
      <c r="R574" s="53"/>
      <c r="S574" s="237"/>
    </row>
    <row r="575" spans="1:19">
      <c r="A575" s="237"/>
      <c r="B575" s="53"/>
      <c r="C575" s="53"/>
      <c r="D575" s="53"/>
      <c r="E575" s="53"/>
      <c r="F575" s="53"/>
      <c r="G575" s="53"/>
      <c r="H575" s="53"/>
      <c r="I575" s="53"/>
      <c r="J575" s="53"/>
      <c r="K575" s="53"/>
      <c r="L575" s="53"/>
      <c r="M575" s="53"/>
      <c r="N575" s="53"/>
      <c r="O575" s="53"/>
      <c r="P575" s="53"/>
      <c r="Q575" s="53"/>
      <c r="R575" s="53"/>
      <c r="S575" s="237"/>
    </row>
    <row r="576" spans="1:19">
      <c r="A576" s="237"/>
      <c r="B576" s="53"/>
      <c r="C576" s="53"/>
      <c r="D576" s="53"/>
      <c r="E576" s="53"/>
      <c r="F576" s="53"/>
      <c r="G576" s="53"/>
      <c r="H576" s="53"/>
      <c r="I576" s="53"/>
      <c r="J576" s="53"/>
      <c r="K576" s="53"/>
      <c r="L576" s="53"/>
      <c r="M576" s="53"/>
      <c r="N576" s="53"/>
      <c r="O576" s="53"/>
      <c r="P576" s="53"/>
      <c r="Q576" s="53"/>
      <c r="R576" s="53"/>
      <c r="S576" s="237"/>
    </row>
    <row r="577" spans="1:19">
      <c r="A577" s="237"/>
      <c r="B577" s="53"/>
      <c r="C577" s="53"/>
      <c r="D577" s="53"/>
      <c r="E577" s="53"/>
      <c r="F577" s="53"/>
      <c r="G577" s="53"/>
      <c r="H577" s="53"/>
      <c r="I577" s="53"/>
      <c r="J577" s="53"/>
      <c r="K577" s="53"/>
      <c r="L577" s="53"/>
      <c r="M577" s="53"/>
      <c r="N577" s="53"/>
      <c r="O577" s="53"/>
      <c r="P577" s="53"/>
      <c r="Q577" s="53"/>
      <c r="R577" s="53"/>
      <c r="S577" s="237"/>
    </row>
    <row r="578" spans="1:19">
      <c r="A578" s="237"/>
      <c r="B578" s="53"/>
      <c r="C578" s="53"/>
      <c r="D578" s="53"/>
      <c r="E578" s="53"/>
      <c r="F578" s="53"/>
      <c r="G578" s="53"/>
      <c r="H578" s="53"/>
      <c r="I578" s="53"/>
      <c r="J578" s="53"/>
      <c r="K578" s="53"/>
      <c r="L578" s="53"/>
      <c r="M578" s="53"/>
      <c r="N578" s="53"/>
      <c r="O578" s="53"/>
      <c r="P578" s="53"/>
      <c r="Q578" s="53"/>
      <c r="R578" s="53"/>
      <c r="S578" s="237"/>
    </row>
    <row r="579" spans="1:19">
      <c r="A579" s="237"/>
      <c r="B579" s="53"/>
      <c r="C579" s="53"/>
      <c r="D579" s="53"/>
      <c r="E579" s="53"/>
      <c r="F579" s="53"/>
      <c r="G579" s="53"/>
      <c r="H579" s="53"/>
      <c r="I579" s="53"/>
      <c r="J579" s="53"/>
      <c r="K579" s="53"/>
      <c r="L579" s="53"/>
      <c r="M579" s="53"/>
      <c r="N579" s="53"/>
      <c r="O579" s="53"/>
      <c r="P579" s="53"/>
      <c r="Q579" s="53"/>
      <c r="R579" s="53"/>
      <c r="S579" s="237"/>
    </row>
    <row r="580" spans="1:19">
      <c r="A580" s="237"/>
      <c r="B580" s="53"/>
      <c r="C580" s="53"/>
      <c r="D580" s="53"/>
      <c r="E580" s="53"/>
      <c r="F580" s="53"/>
      <c r="G580" s="53"/>
      <c r="H580" s="53"/>
      <c r="I580" s="53"/>
      <c r="J580" s="53"/>
      <c r="K580" s="53"/>
      <c r="L580" s="53"/>
      <c r="M580" s="53"/>
      <c r="N580" s="53"/>
      <c r="O580" s="53"/>
      <c r="P580" s="53"/>
      <c r="Q580" s="53"/>
      <c r="R580" s="53"/>
      <c r="S580" s="237"/>
    </row>
    <row r="581" spans="1:19">
      <c r="A581" s="237"/>
      <c r="B581" s="53"/>
      <c r="C581" s="53"/>
      <c r="D581" s="53"/>
      <c r="E581" s="53"/>
      <c r="F581" s="53"/>
      <c r="G581" s="53"/>
      <c r="H581" s="53"/>
      <c r="I581" s="53"/>
      <c r="J581" s="53"/>
      <c r="K581" s="53"/>
      <c r="L581" s="53"/>
      <c r="M581" s="53"/>
      <c r="N581" s="53"/>
      <c r="O581" s="53"/>
      <c r="P581" s="53"/>
      <c r="Q581" s="53"/>
      <c r="R581" s="53"/>
      <c r="S581" s="237"/>
    </row>
    <row r="582" spans="1:19">
      <c r="A582" s="237"/>
      <c r="B582" s="53"/>
      <c r="C582" s="53"/>
      <c r="D582" s="53"/>
      <c r="E582" s="53"/>
      <c r="F582" s="53"/>
      <c r="G582" s="53"/>
      <c r="H582" s="53"/>
      <c r="I582" s="53"/>
      <c r="J582" s="53"/>
      <c r="K582" s="53"/>
      <c r="L582" s="53"/>
      <c r="M582" s="53"/>
      <c r="N582" s="53"/>
      <c r="O582" s="53"/>
      <c r="P582" s="53"/>
      <c r="Q582" s="53"/>
      <c r="R582" s="53"/>
      <c r="S582" s="237"/>
    </row>
    <row r="583" spans="1:19">
      <c r="A583" s="237"/>
      <c r="B583" s="53"/>
      <c r="C583" s="53"/>
      <c r="D583" s="53"/>
      <c r="E583" s="53"/>
      <c r="F583" s="53"/>
      <c r="G583" s="53"/>
      <c r="H583" s="53"/>
      <c r="I583" s="53"/>
      <c r="J583" s="53"/>
      <c r="K583" s="53"/>
      <c r="L583" s="53"/>
      <c r="M583" s="53"/>
      <c r="N583" s="53"/>
      <c r="O583" s="53"/>
      <c r="P583" s="53"/>
      <c r="Q583" s="53"/>
      <c r="R583" s="53"/>
      <c r="S583" s="237"/>
    </row>
    <row r="584" spans="1:19">
      <c r="A584" s="237"/>
      <c r="B584" s="53"/>
      <c r="C584" s="53"/>
      <c r="D584" s="53"/>
      <c r="E584" s="53"/>
      <c r="F584" s="53"/>
      <c r="G584" s="53"/>
      <c r="H584" s="53"/>
      <c r="I584" s="53"/>
      <c r="J584" s="53"/>
      <c r="K584" s="53"/>
      <c r="L584" s="53"/>
      <c r="M584" s="53"/>
      <c r="N584" s="53"/>
      <c r="O584" s="53"/>
      <c r="P584" s="53"/>
      <c r="Q584" s="53"/>
      <c r="R584" s="53"/>
      <c r="S584" s="237"/>
    </row>
    <row r="585" spans="1:19">
      <c r="A585" s="237"/>
      <c r="B585" s="53"/>
      <c r="C585" s="53"/>
      <c r="D585" s="53"/>
      <c r="E585" s="53"/>
      <c r="F585" s="53"/>
      <c r="G585" s="53"/>
      <c r="H585" s="53"/>
      <c r="I585" s="53"/>
      <c r="J585" s="53"/>
      <c r="K585" s="53"/>
      <c r="L585" s="53"/>
      <c r="M585" s="53"/>
      <c r="N585" s="53"/>
      <c r="O585" s="53"/>
      <c r="P585" s="53"/>
      <c r="Q585" s="53"/>
      <c r="R585" s="53"/>
      <c r="S585" s="237"/>
    </row>
    <row r="586" spans="1:19">
      <c r="A586" s="237"/>
      <c r="B586" s="53"/>
      <c r="C586" s="53"/>
      <c r="D586" s="53"/>
      <c r="E586" s="53"/>
      <c r="F586" s="53"/>
      <c r="G586" s="53"/>
      <c r="H586" s="53"/>
      <c r="I586" s="53"/>
      <c r="J586" s="53"/>
      <c r="K586" s="53"/>
      <c r="L586" s="53"/>
      <c r="M586" s="53"/>
      <c r="N586" s="53"/>
      <c r="O586" s="53"/>
      <c r="P586" s="53"/>
      <c r="Q586" s="53"/>
      <c r="R586" s="53"/>
      <c r="S586" s="237"/>
    </row>
    <row r="587" spans="1:19">
      <c r="A587" s="237"/>
      <c r="B587" s="53"/>
      <c r="C587" s="53"/>
      <c r="D587" s="53"/>
      <c r="E587" s="53"/>
      <c r="F587" s="53"/>
      <c r="G587" s="53"/>
      <c r="H587" s="53"/>
      <c r="I587" s="53"/>
      <c r="J587" s="53"/>
      <c r="K587" s="53"/>
      <c r="L587" s="53"/>
      <c r="M587" s="53"/>
      <c r="N587" s="53"/>
      <c r="O587" s="53"/>
      <c r="P587" s="53"/>
      <c r="Q587" s="53"/>
      <c r="R587" s="53"/>
      <c r="S587" s="237"/>
    </row>
    <row r="588" spans="1:19">
      <c r="A588" s="237"/>
      <c r="B588" s="53"/>
      <c r="C588" s="53"/>
      <c r="D588" s="53"/>
      <c r="E588" s="53"/>
      <c r="F588" s="53"/>
      <c r="G588" s="53"/>
      <c r="H588" s="53"/>
      <c r="I588" s="53"/>
      <c r="J588" s="53"/>
      <c r="K588" s="53"/>
      <c r="L588" s="53"/>
      <c r="M588" s="53"/>
      <c r="N588" s="53"/>
      <c r="O588" s="53"/>
      <c r="P588" s="53"/>
      <c r="Q588" s="53"/>
      <c r="R588" s="53"/>
      <c r="S588" s="237"/>
    </row>
    <row r="589" spans="1:19">
      <c r="A589" s="237"/>
      <c r="B589" s="53"/>
      <c r="C589" s="53"/>
      <c r="D589" s="53"/>
      <c r="E589" s="53"/>
      <c r="F589" s="53"/>
      <c r="G589" s="53"/>
      <c r="H589" s="53"/>
      <c r="I589" s="53"/>
      <c r="J589" s="53"/>
      <c r="K589" s="53"/>
      <c r="L589" s="53"/>
      <c r="M589" s="53"/>
      <c r="N589" s="53"/>
      <c r="O589" s="53"/>
      <c r="P589" s="53"/>
      <c r="Q589" s="53"/>
      <c r="R589" s="53"/>
      <c r="S589" s="237"/>
    </row>
    <row r="590" spans="1:19">
      <c r="A590" s="237"/>
      <c r="B590" s="53"/>
      <c r="C590" s="53"/>
      <c r="D590" s="53"/>
      <c r="E590" s="53"/>
      <c r="F590" s="53"/>
      <c r="G590" s="53"/>
      <c r="H590" s="53"/>
      <c r="I590" s="53"/>
      <c r="J590" s="53"/>
      <c r="K590" s="53"/>
      <c r="L590" s="53"/>
      <c r="M590" s="53"/>
      <c r="N590" s="53"/>
      <c r="O590" s="53"/>
      <c r="P590" s="53"/>
      <c r="Q590" s="53"/>
      <c r="R590" s="53"/>
      <c r="S590" s="237"/>
    </row>
    <row r="591" spans="1:19">
      <c r="A591" s="237"/>
      <c r="B591" s="53"/>
      <c r="C591" s="53"/>
      <c r="D591" s="53"/>
      <c r="E591" s="53"/>
      <c r="F591" s="53"/>
      <c r="G591" s="53"/>
      <c r="H591" s="53"/>
      <c r="I591" s="53"/>
      <c r="J591" s="53"/>
      <c r="K591" s="53"/>
      <c r="L591" s="53"/>
      <c r="M591" s="53"/>
      <c r="N591" s="53"/>
      <c r="O591" s="53"/>
      <c r="P591" s="53"/>
      <c r="Q591" s="53"/>
      <c r="R591" s="53"/>
      <c r="S591" s="237"/>
    </row>
    <row r="592" spans="1:19">
      <c r="A592" s="237"/>
      <c r="B592" s="53"/>
      <c r="C592" s="53"/>
      <c r="D592" s="53"/>
      <c r="E592" s="53"/>
      <c r="F592" s="53"/>
      <c r="G592" s="53"/>
      <c r="H592" s="53"/>
      <c r="I592" s="53"/>
      <c r="J592" s="53"/>
      <c r="K592" s="53"/>
      <c r="L592" s="53"/>
      <c r="M592" s="53"/>
      <c r="N592" s="53"/>
      <c r="O592" s="53"/>
      <c r="P592" s="53"/>
      <c r="Q592" s="53"/>
      <c r="R592" s="53"/>
      <c r="S592" s="237"/>
    </row>
    <row r="593" spans="1:19">
      <c r="A593" s="237"/>
      <c r="B593" s="53"/>
      <c r="C593" s="53"/>
      <c r="D593" s="53"/>
      <c r="E593" s="53"/>
      <c r="F593" s="53"/>
      <c r="G593" s="53"/>
      <c r="H593" s="53"/>
      <c r="I593" s="53"/>
      <c r="J593" s="53"/>
      <c r="K593" s="53"/>
      <c r="L593" s="53"/>
      <c r="M593" s="53"/>
      <c r="N593" s="53"/>
      <c r="O593" s="53"/>
      <c r="P593" s="53"/>
      <c r="Q593" s="53"/>
      <c r="R593" s="53"/>
      <c r="S593" s="237"/>
    </row>
    <row r="594" spans="1:19">
      <c r="A594" s="237"/>
      <c r="B594" s="53"/>
      <c r="C594" s="53"/>
      <c r="D594" s="53"/>
      <c r="E594" s="53"/>
      <c r="F594" s="53"/>
      <c r="G594" s="53"/>
      <c r="H594" s="53"/>
      <c r="I594" s="53"/>
      <c r="J594" s="53"/>
      <c r="K594" s="53"/>
      <c r="L594" s="53"/>
      <c r="M594" s="53"/>
      <c r="N594" s="53"/>
      <c r="O594" s="53"/>
      <c r="P594" s="53"/>
      <c r="Q594" s="53"/>
      <c r="R594" s="53"/>
      <c r="S594" s="237"/>
    </row>
    <row r="595" spans="1:19">
      <c r="A595" s="237"/>
      <c r="B595" s="53"/>
      <c r="C595" s="53"/>
      <c r="D595" s="53"/>
      <c r="E595" s="53"/>
      <c r="F595" s="53"/>
      <c r="G595" s="53"/>
      <c r="H595" s="53"/>
      <c r="I595" s="53"/>
      <c r="J595" s="53"/>
      <c r="K595" s="53"/>
      <c r="L595" s="53"/>
      <c r="M595" s="53"/>
      <c r="N595" s="53"/>
      <c r="O595" s="53"/>
      <c r="P595" s="53"/>
      <c r="Q595" s="53"/>
      <c r="R595" s="53"/>
      <c r="S595" s="237"/>
    </row>
    <row r="596" spans="1:19">
      <c r="A596" s="237"/>
      <c r="B596" s="53"/>
      <c r="C596" s="53"/>
      <c r="D596" s="53"/>
      <c r="E596" s="53"/>
      <c r="F596" s="53"/>
      <c r="G596" s="53"/>
      <c r="H596" s="53"/>
      <c r="I596" s="53"/>
      <c r="J596" s="53"/>
      <c r="K596" s="53"/>
      <c r="L596" s="53"/>
      <c r="M596" s="53"/>
      <c r="N596" s="53"/>
      <c r="O596" s="53"/>
      <c r="P596" s="53"/>
      <c r="Q596" s="53"/>
      <c r="R596" s="53"/>
      <c r="S596" s="237"/>
    </row>
    <row r="597" spans="1:19">
      <c r="A597" s="237"/>
      <c r="B597" s="53"/>
      <c r="C597" s="53"/>
      <c r="D597" s="53"/>
      <c r="E597" s="53"/>
      <c r="F597" s="53"/>
      <c r="G597" s="53"/>
      <c r="H597" s="53"/>
      <c r="I597" s="53"/>
      <c r="J597" s="53"/>
      <c r="K597" s="53"/>
      <c r="L597" s="53"/>
      <c r="M597" s="53"/>
      <c r="N597" s="53"/>
      <c r="O597" s="53"/>
      <c r="P597" s="53"/>
      <c r="Q597" s="53"/>
      <c r="R597" s="53"/>
      <c r="S597" s="237"/>
    </row>
    <row r="598" spans="1:19">
      <c r="A598" s="237"/>
      <c r="B598" s="53"/>
      <c r="C598" s="53"/>
      <c r="D598" s="53"/>
      <c r="E598" s="53"/>
      <c r="F598" s="53"/>
      <c r="G598" s="53"/>
      <c r="H598" s="53"/>
      <c r="I598" s="53"/>
      <c r="J598" s="53"/>
      <c r="K598" s="53"/>
      <c r="L598" s="53"/>
      <c r="M598" s="53"/>
      <c r="N598" s="53"/>
      <c r="O598" s="53"/>
      <c r="P598" s="53"/>
      <c r="Q598" s="53"/>
      <c r="R598" s="53"/>
      <c r="S598" s="237"/>
    </row>
    <row r="599" spans="1:19">
      <c r="A599" s="237"/>
      <c r="B599" s="53"/>
      <c r="C599" s="53"/>
      <c r="D599" s="53"/>
      <c r="E599" s="53"/>
      <c r="F599" s="53"/>
      <c r="G599" s="53"/>
      <c r="H599" s="53"/>
      <c r="I599" s="53"/>
      <c r="J599" s="53"/>
      <c r="K599" s="53"/>
      <c r="L599" s="53"/>
      <c r="M599" s="53"/>
      <c r="N599" s="53"/>
      <c r="O599" s="53"/>
      <c r="P599" s="53"/>
      <c r="Q599" s="53"/>
      <c r="R599" s="53"/>
      <c r="S599" s="237"/>
    </row>
    <row r="600" spans="1:19">
      <c r="A600" s="237"/>
      <c r="B600" s="53"/>
      <c r="C600" s="53"/>
      <c r="D600" s="53"/>
      <c r="E600" s="53"/>
      <c r="F600" s="53"/>
      <c r="G600" s="53"/>
      <c r="H600" s="53"/>
      <c r="I600" s="53"/>
      <c r="J600" s="53"/>
      <c r="K600" s="53"/>
      <c r="L600" s="53"/>
      <c r="M600" s="53"/>
      <c r="N600" s="53"/>
      <c r="O600" s="53"/>
      <c r="P600" s="53"/>
      <c r="Q600" s="53"/>
      <c r="R600" s="53"/>
      <c r="S600" s="237"/>
    </row>
    <row r="601" spans="1:19">
      <c r="A601" s="237"/>
      <c r="B601" s="53"/>
      <c r="C601" s="53"/>
      <c r="D601" s="53"/>
      <c r="E601" s="53"/>
      <c r="F601" s="53"/>
      <c r="G601" s="53"/>
      <c r="H601" s="53"/>
      <c r="I601" s="53"/>
      <c r="J601" s="53"/>
      <c r="K601" s="53"/>
      <c r="L601" s="53"/>
      <c r="M601" s="53"/>
      <c r="N601" s="53"/>
      <c r="O601" s="53"/>
      <c r="P601" s="53"/>
      <c r="Q601" s="53"/>
      <c r="R601" s="53"/>
      <c r="S601" s="237"/>
    </row>
    <row r="602" spans="1:19">
      <c r="A602" s="237"/>
      <c r="B602" s="53"/>
      <c r="C602" s="53"/>
      <c r="D602" s="53"/>
      <c r="E602" s="53"/>
      <c r="F602" s="53"/>
      <c r="G602" s="53"/>
      <c r="H602" s="53"/>
      <c r="I602" s="53"/>
      <c r="J602" s="53"/>
      <c r="K602" s="53"/>
      <c r="L602" s="53"/>
      <c r="M602" s="53"/>
      <c r="N602" s="53"/>
      <c r="O602" s="53"/>
      <c r="P602" s="53"/>
      <c r="Q602" s="53"/>
      <c r="R602" s="53"/>
      <c r="S602" s="237"/>
    </row>
    <row r="603" spans="1:19">
      <c r="A603" s="237"/>
      <c r="B603" s="53"/>
      <c r="C603" s="53"/>
      <c r="D603" s="53"/>
      <c r="E603" s="53"/>
      <c r="F603" s="53"/>
      <c r="G603" s="53"/>
      <c r="H603" s="53"/>
      <c r="I603" s="53"/>
      <c r="J603" s="53"/>
      <c r="K603" s="53"/>
      <c r="L603" s="53"/>
      <c r="M603" s="53"/>
      <c r="N603" s="53"/>
      <c r="O603" s="53"/>
      <c r="P603" s="53"/>
      <c r="Q603" s="53"/>
      <c r="R603" s="53"/>
      <c r="S603" s="237"/>
    </row>
    <row r="604" spans="1:19">
      <c r="A604" s="237"/>
      <c r="B604" s="53"/>
      <c r="C604" s="53"/>
      <c r="D604" s="53"/>
      <c r="E604" s="53"/>
      <c r="F604" s="53"/>
      <c r="G604" s="53"/>
      <c r="H604" s="53"/>
      <c r="I604" s="53"/>
      <c r="J604" s="53"/>
      <c r="K604" s="53"/>
      <c r="L604" s="53"/>
      <c r="M604" s="53"/>
      <c r="N604" s="53"/>
      <c r="O604" s="53"/>
      <c r="P604" s="53"/>
      <c r="Q604" s="53"/>
      <c r="R604" s="53"/>
      <c r="S604" s="237"/>
    </row>
    <row r="605" spans="1:19">
      <c r="A605" s="237"/>
      <c r="B605" s="53"/>
      <c r="C605" s="53"/>
      <c r="D605" s="53"/>
      <c r="E605" s="53"/>
      <c r="F605" s="53"/>
      <c r="G605" s="53"/>
      <c r="H605" s="53"/>
      <c r="I605" s="53"/>
      <c r="J605" s="53"/>
      <c r="K605" s="53"/>
      <c r="L605" s="53"/>
      <c r="M605" s="53"/>
      <c r="N605" s="53"/>
      <c r="O605" s="53"/>
      <c r="P605" s="53"/>
      <c r="Q605" s="53"/>
      <c r="R605" s="53"/>
      <c r="S605" s="237"/>
    </row>
    <row r="606" spans="1:19">
      <c r="A606" s="237"/>
      <c r="B606" s="53"/>
      <c r="C606" s="53"/>
      <c r="D606" s="53"/>
      <c r="E606" s="53"/>
      <c r="F606" s="53"/>
      <c r="G606" s="53"/>
      <c r="H606" s="53"/>
      <c r="I606" s="53"/>
      <c r="J606" s="53"/>
      <c r="K606" s="53"/>
      <c r="L606" s="53"/>
      <c r="M606" s="53"/>
      <c r="N606" s="53"/>
      <c r="O606" s="53"/>
      <c r="P606" s="53"/>
      <c r="Q606" s="53"/>
      <c r="R606" s="53"/>
      <c r="S606" s="237"/>
    </row>
    <row r="607" spans="1:19">
      <c r="A607" s="237"/>
      <c r="B607" s="53"/>
      <c r="C607" s="53"/>
      <c r="D607" s="53"/>
      <c r="E607" s="53"/>
      <c r="F607" s="53"/>
      <c r="G607" s="53"/>
      <c r="H607" s="53"/>
      <c r="I607" s="53"/>
      <c r="J607" s="53"/>
      <c r="K607" s="53"/>
      <c r="L607" s="53"/>
      <c r="M607" s="53"/>
      <c r="N607" s="53"/>
      <c r="O607" s="53"/>
      <c r="P607" s="53"/>
      <c r="Q607" s="53"/>
      <c r="R607" s="53"/>
      <c r="S607" s="237"/>
    </row>
    <row r="608" spans="1:19">
      <c r="A608" s="237"/>
      <c r="B608" s="53"/>
      <c r="C608" s="53"/>
      <c r="D608" s="53"/>
      <c r="E608" s="53"/>
      <c r="F608" s="53"/>
      <c r="G608" s="53"/>
      <c r="H608" s="53"/>
      <c r="I608" s="53"/>
      <c r="J608" s="53"/>
      <c r="K608" s="53"/>
      <c r="L608" s="53"/>
      <c r="M608" s="53"/>
      <c r="N608" s="53"/>
      <c r="O608" s="53"/>
      <c r="P608" s="53"/>
      <c r="Q608" s="53"/>
      <c r="R608" s="53"/>
      <c r="S608" s="237"/>
    </row>
    <row r="609" spans="1:19">
      <c r="A609" s="237"/>
      <c r="B609" s="53"/>
      <c r="C609" s="53"/>
      <c r="D609" s="53"/>
      <c r="E609" s="53"/>
      <c r="F609" s="53"/>
      <c r="G609" s="53"/>
      <c r="H609" s="53"/>
      <c r="I609" s="53"/>
      <c r="J609" s="53"/>
      <c r="K609" s="53"/>
      <c r="L609" s="53"/>
      <c r="M609" s="53"/>
      <c r="N609" s="53"/>
      <c r="O609" s="53"/>
      <c r="P609" s="53"/>
      <c r="Q609" s="53"/>
      <c r="R609" s="53"/>
      <c r="S609" s="237"/>
    </row>
    <row r="610" spans="1:19">
      <c r="A610" s="237"/>
      <c r="B610" s="53"/>
      <c r="C610" s="53"/>
      <c r="D610" s="53"/>
      <c r="E610" s="53"/>
      <c r="F610" s="53"/>
      <c r="G610" s="53"/>
      <c r="H610" s="53"/>
      <c r="I610" s="53"/>
      <c r="J610" s="53"/>
      <c r="K610" s="53"/>
      <c r="L610" s="53"/>
      <c r="M610" s="53"/>
      <c r="N610" s="53"/>
      <c r="O610" s="53"/>
      <c r="P610" s="53"/>
      <c r="Q610" s="53"/>
      <c r="R610" s="53"/>
      <c r="S610" s="237"/>
    </row>
    <row r="611" spans="1:19">
      <c r="A611" s="237"/>
      <c r="B611" s="53"/>
      <c r="C611" s="53"/>
      <c r="D611" s="53"/>
      <c r="E611" s="53"/>
      <c r="F611" s="53"/>
      <c r="G611" s="53"/>
      <c r="H611" s="53"/>
      <c r="I611" s="53"/>
      <c r="J611" s="53"/>
      <c r="K611" s="53"/>
      <c r="L611" s="53"/>
      <c r="M611" s="53"/>
      <c r="N611" s="53"/>
      <c r="O611" s="53"/>
      <c r="P611" s="53"/>
      <c r="Q611" s="53"/>
      <c r="R611" s="53"/>
      <c r="S611" s="237"/>
    </row>
    <row r="612" spans="1:19">
      <c r="A612" s="237"/>
      <c r="B612" s="53"/>
      <c r="C612" s="53"/>
      <c r="D612" s="53"/>
      <c r="E612" s="53"/>
      <c r="F612" s="53"/>
      <c r="G612" s="53"/>
      <c r="H612" s="53"/>
      <c r="I612" s="53"/>
      <c r="J612" s="53"/>
      <c r="K612" s="53"/>
      <c r="L612" s="53"/>
      <c r="M612" s="53"/>
      <c r="N612" s="53"/>
      <c r="O612" s="53"/>
      <c r="P612" s="53"/>
      <c r="Q612" s="53"/>
      <c r="R612" s="53"/>
      <c r="S612" s="237"/>
    </row>
    <row r="613" spans="1:19">
      <c r="A613" s="237"/>
      <c r="B613" s="53"/>
      <c r="C613" s="53"/>
      <c r="D613" s="53"/>
      <c r="E613" s="53"/>
      <c r="F613" s="53"/>
      <c r="G613" s="53"/>
      <c r="H613" s="53"/>
      <c r="I613" s="53"/>
      <c r="J613" s="53"/>
      <c r="K613" s="53"/>
      <c r="L613" s="53"/>
      <c r="M613" s="53"/>
      <c r="N613" s="53"/>
      <c r="O613" s="53"/>
      <c r="P613" s="53"/>
      <c r="Q613" s="53"/>
      <c r="R613" s="53"/>
      <c r="S613" s="237"/>
    </row>
    <row r="614" spans="1:19">
      <c r="A614" s="237"/>
      <c r="B614" s="53"/>
      <c r="C614" s="53"/>
      <c r="D614" s="53"/>
      <c r="E614" s="53"/>
      <c r="F614" s="53"/>
      <c r="G614" s="53"/>
      <c r="H614" s="53"/>
      <c r="I614" s="53"/>
      <c r="J614" s="53"/>
      <c r="K614" s="53"/>
      <c r="L614" s="53"/>
      <c r="M614" s="53"/>
      <c r="N614" s="53"/>
      <c r="O614" s="53"/>
      <c r="P614" s="53"/>
      <c r="Q614" s="53"/>
      <c r="R614" s="53"/>
      <c r="S614" s="237"/>
    </row>
    <row r="615" spans="1:19">
      <c r="A615" s="237"/>
      <c r="B615" s="53"/>
      <c r="C615" s="53"/>
      <c r="D615" s="53"/>
      <c r="E615" s="53"/>
      <c r="F615" s="53"/>
      <c r="G615" s="53"/>
      <c r="H615" s="53"/>
      <c r="I615" s="53"/>
      <c r="J615" s="53"/>
      <c r="K615" s="53"/>
      <c r="L615" s="53"/>
      <c r="M615" s="53"/>
      <c r="N615" s="53"/>
      <c r="O615" s="53"/>
      <c r="P615" s="53"/>
      <c r="Q615" s="53"/>
      <c r="R615" s="53"/>
      <c r="S615" s="237"/>
    </row>
    <row r="616" spans="1:19">
      <c r="A616" s="237"/>
      <c r="B616" s="53"/>
      <c r="C616" s="53"/>
      <c r="D616" s="53"/>
      <c r="E616" s="53"/>
      <c r="F616" s="53"/>
      <c r="G616" s="53"/>
      <c r="H616" s="53"/>
      <c r="I616" s="53"/>
      <c r="J616" s="53"/>
      <c r="K616" s="53"/>
      <c r="L616" s="53"/>
      <c r="M616" s="53"/>
      <c r="N616" s="53"/>
      <c r="O616" s="53"/>
      <c r="P616" s="53"/>
      <c r="Q616" s="53"/>
      <c r="R616" s="53"/>
      <c r="S616" s="237"/>
    </row>
    <row r="617" spans="1:19">
      <c r="A617" s="237"/>
      <c r="B617" s="53"/>
      <c r="C617" s="53"/>
      <c r="D617" s="53"/>
      <c r="E617" s="53"/>
      <c r="F617" s="53"/>
      <c r="G617" s="53"/>
      <c r="H617" s="53"/>
      <c r="I617" s="53"/>
      <c r="J617" s="53"/>
      <c r="K617" s="53"/>
      <c r="L617" s="53"/>
      <c r="M617" s="53"/>
      <c r="N617" s="53"/>
      <c r="O617" s="53"/>
      <c r="P617" s="53"/>
      <c r="Q617" s="53"/>
      <c r="R617" s="53"/>
      <c r="S617" s="237"/>
    </row>
    <row r="618" spans="1:19">
      <c r="A618" s="237"/>
      <c r="B618" s="53"/>
      <c r="C618" s="53"/>
      <c r="D618" s="53"/>
      <c r="E618" s="53"/>
      <c r="F618" s="53"/>
      <c r="G618" s="53"/>
      <c r="H618" s="53"/>
      <c r="I618" s="53"/>
      <c r="J618" s="53"/>
      <c r="K618" s="53"/>
      <c r="L618" s="53"/>
      <c r="M618" s="53"/>
      <c r="N618" s="53"/>
      <c r="O618" s="53"/>
      <c r="P618" s="53"/>
      <c r="Q618" s="53"/>
      <c r="R618" s="53"/>
      <c r="S618" s="237"/>
    </row>
    <row r="619" spans="1:19">
      <c r="A619" s="237"/>
      <c r="B619" s="53"/>
      <c r="C619" s="53"/>
      <c r="D619" s="53"/>
      <c r="E619" s="53"/>
      <c r="F619" s="53"/>
      <c r="G619" s="53"/>
      <c r="H619" s="53"/>
      <c r="I619" s="53"/>
      <c r="J619" s="53"/>
      <c r="K619" s="53"/>
      <c r="L619" s="53"/>
      <c r="M619" s="53"/>
      <c r="N619" s="53"/>
      <c r="O619" s="53"/>
      <c r="P619" s="53"/>
      <c r="Q619" s="53"/>
      <c r="R619" s="53"/>
      <c r="S619" s="237"/>
    </row>
    <row r="620" spans="1:19">
      <c r="A620" s="237"/>
      <c r="B620" s="53"/>
      <c r="C620" s="53"/>
      <c r="D620" s="53"/>
      <c r="E620" s="53"/>
      <c r="F620" s="53"/>
      <c r="G620" s="53"/>
      <c r="H620" s="53"/>
      <c r="I620" s="53"/>
      <c r="J620" s="53"/>
      <c r="K620" s="53"/>
      <c r="L620" s="53"/>
      <c r="M620" s="53"/>
      <c r="N620" s="53"/>
      <c r="O620" s="53"/>
      <c r="P620" s="53"/>
      <c r="Q620" s="53"/>
      <c r="R620" s="53"/>
      <c r="S620" s="237"/>
    </row>
    <row r="621" spans="1:19">
      <c r="A621" s="237"/>
      <c r="B621" s="53"/>
      <c r="C621" s="53"/>
      <c r="D621" s="53"/>
      <c r="E621" s="53"/>
      <c r="F621" s="53"/>
      <c r="G621" s="53"/>
      <c r="H621" s="53"/>
      <c r="I621" s="53"/>
      <c r="J621" s="53"/>
      <c r="K621" s="53"/>
      <c r="L621" s="53"/>
      <c r="M621" s="53"/>
      <c r="N621" s="53"/>
      <c r="O621" s="53"/>
      <c r="P621" s="53"/>
      <c r="Q621" s="53"/>
      <c r="R621" s="53"/>
      <c r="S621" s="237"/>
    </row>
    <row r="622" spans="1:19">
      <c r="A622" s="237"/>
      <c r="B622" s="53"/>
      <c r="C622" s="53"/>
      <c r="D622" s="53"/>
      <c r="E622" s="53"/>
      <c r="F622" s="53"/>
      <c r="G622" s="53"/>
      <c r="H622" s="53"/>
      <c r="I622" s="53"/>
      <c r="J622" s="53"/>
      <c r="K622" s="53"/>
      <c r="L622" s="53"/>
      <c r="M622" s="53"/>
      <c r="N622" s="53"/>
      <c r="O622" s="53"/>
      <c r="P622" s="53"/>
      <c r="Q622" s="53"/>
      <c r="R622" s="53"/>
      <c r="S622" s="237"/>
    </row>
    <row r="623" spans="1:19">
      <c r="A623" s="237"/>
      <c r="B623" s="53"/>
      <c r="C623" s="53"/>
      <c r="D623" s="53"/>
      <c r="E623" s="53"/>
      <c r="F623" s="53"/>
      <c r="G623" s="53"/>
      <c r="H623" s="53"/>
      <c r="I623" s="53"/>
      <c r="J623" s="53"/>
      <c r="K623" s="53"/>
      <c r="L623" s="53"/>
      <c r="M623" s="53"/>
      <c r="N623" s="53"/>
      <c r="O623" s="53"/>
      <c r="P623" s="53"/>
      <c r="Q623" s="53"/>
      <c r="R623" s="53"/>
      <c r="S623" s="237"/>
    </row>
    <row r="624" spans="1:19">
      <c r="A624" s="237"/>
      <c r="B624" s="53"/>
      <c r="C624" s="53"/>
      <c r="D624" s="53"/>
      <c r="E624" s="53"/>
      <c r="F624" s="53"/>
      <c r="G624" s="53"/>
      <c r="H624" s="53"/>
      <c r="I624" s="53"/>
      <c r="J624" s="53"/>
      <c r="K624" s="53"/>
      <c r="L624" s="53"/>
      <c r="M624" s="53"/>
      <c r="N624" s="53"/>
      <c r="O624" s="53"/>
      <c r="P624" s="53"/>
      <c r="Q624" s="53"/>
      <c r="R624" s="53"/>
      <c r="S624" s="237"/>
    </row>
    <row r="625" spans="1:19">
      <c r="A625" s="237"/>
      <c r="B625" s="53"/>
      <c r="C625" s="53"/>
      <c r="D625" s="53"/>
      <c r="E625" s="53"/>
      <c r="F625" s="53"/>
      <c r="G625" s="53"/>
      <c r="H625" s="53"/>
      <c r="I625" s="53"/>
      <c r="J625" s="53"/>
      <c r="K625" s="53"/>
      <c r="L625" s="53"/>
      <c r="M625" s="53"/>
      <c r="N625" s="53"/>
      <c r="O625" s="53"/>
      <c r="P625" s="53"/>
      <c r="Q625" s="53"/>
      <c r="R625" s="53"/>
      <c r="S625" s="237"/>
    </row>
    <row r="626" spans="1:19">
      <c r="A626" s="237"/>
      <c r="B626" s="53"/>
      <c r="C626" s="53"/>
      <c r="D626" s="53"/>
      <c r="E626" s="53"/>
      <c r="F626" s="53"/>
      <c r="G626" s="53"/>
      <c r="H626" s="53"/>
      <c r="I626" s="53"/>
      <c r="J626" s="53"/>
      <c r="K626" s="53"/>
      <c r="L626" s="53"/>
      <c r="M626" s="53"/>
      <c r="N626" s="53"/>
      <c r="O626" s="53"/>
      <c r="P626" s="53"/>
      <c r="Q626" s="53"/>
      <c r="R626" s="53"/>
      <c r="S626" s="237"/>
    </row>
    <row r="627" spans="1:19">
      <c r="A627" s="237"/>
      <c r="B627" s="53"/>
      <c r="C627" s="53"/>
      <c r="D627" s="53"/>
      <c r="E627" s="53"/>
      <c r="F627" s="53"/>
      <c r="G627" s="53"/>
      <c r="H627" s="53"/>
      <c r="I627" s="53"/>
      <c r="J627" s="53"/>
      <c r="K627" s="53"/>
      <c r="L627" s="53"/>
      <c r="M627" s="53"/>
      <c r="N627" s="53"/>
      <c r="O627" s="53"/>
      <c r="P627" s="53"/>
      <c r="Q627" s="53"/>
      <c r="R627" s="53"/>
      <c r="S627" s="237"/>
    </row>
    <row r="628" spans="1:19">
      <c r="A628" s="237"/>
      <c r="B628" s="53"/>
      <c r="C628" s="53"/>
      <c r="D628" s="53"/>
      <c r="E628" s="53"/>
      <c r="F628" s="53"/>
      <c r="G628" s="53"/>
      <c r="H628" s="53"/>
      <c r="I628" s="53"/>
      <c r="J628" s="53"/>
      <c r="K628" s="53"/>
      <c r="L628" s="53"/>
      <c r="M628" s="53"/>
      <c r="N628" s="53"/>
      <c r="O628" s="53"/>
      <c r="P628" s="53"/>
      <c r="Q628" s="53"/>
      <c r="R628" s="53"/>
      <c r="S628" s="237"/>
    </row>
    <row r="629" spans="1:19">
      <c r="A629" s="237"/>
      <c r="B629" s="53"/>
      <c r="C629" s="53"/>
      <c r="D629" s="53"/>
      <c r="E629" s="53"/>
      <c r="F629" s="53"/>
      <c r="G629" s="53"/>
      <c r="H629" s="53"/>
      <c r="I629" s="53"/>
      <c r="J629" s="53"/>
      <c r="K629" s="53"/>
      <c r="L629" s="53"/>
      <c r="M629" s="53"/>
      <c r="N629" s="53"/>
      <c r="O629" s="53"/>
      <c r="P629" s="53"/>
      <c r="Q629" s="53"/>
      <c r="R629" s="53"/>
      <c r="S629" s="237"/>
    </row>
    <row r="630" spans="1:19">
      <c r="A630" s="237"/>
      <c r="B630" s="53"/>
      <c r="C630" s="53"/>
      <c r="D630" s="53"/>
      <c r="E630" s="53"/>
      <c r="F630" s="53"/>
      <c r="G630" s="53"/>
      <c r="H630" s="53"/>
      <c r="I630" s="53"/>
      <c r="J630" s="53"/>
      <c r="K630" s="53"/>
      <c r="L630" s="53"/>
      <c r="M630" s="53"/>
      <c r="N630" s="53"/>
      <c r="O630" s="53"/>
      <c r="P630" s="53"/>
      <c r="Q630" s="53"/>
      <c r="R630" s="53"/>
      <c r="S630" s="237"/>
    </row>
    <row r="631" spans="1:19">
      <c r="A631" s="237"/>
      <c r="B631" s="53"/>
      <c r="C631" s="53"/>
      <c r="D631" s="53"/>
      <c r="E631" s="53"/>
      <c r="F631" s="53"/>
      <c r="G631" s="53"/>
      <c r="H631" s="53"/>
      <c r="I631" s="53"/>
      <c r="J631" s="53"/>
      <c r="K631" s="53"/>
      <c r="L631" s="53"/>
      <c r="M631" s="53"/>
      <c r="N631" s="53"/>
      <c r="O631" s="53"/>
      <c r="P631" s="53"/>
      <c r="Q631" s="53"/>
      <c r="R631" s="53"/>
      <c r="S631" s="237"/>
    </row>
    <row r="632" spans="1:19">
      <c r="A632" s="237"/>
      <c r="B632" s="53"/>
      <c r="C632" s="53"/>
      <c r="D632" s="53"/>
      <c r="E632" s="53"/>
      <c r="F632" s="53"/>
      <c r="G632" s="53"/>
      <c r="H632" s="53"/>
      <c r="I632" s="53"/>
      <c r="J632" s="53"/>
      <c r="K632" s="53"/>
      <c r="L632" s="53"/>
      <c r="M632" s="53"/>
      <c r="N632" s="53"/>
      <c r="O632" s="53"/>
      <c r="P632" s="53"/>
      <c r="Q632" s="53"/>
      <c r="R632" s="53"/>
      <c r="S632" s="237"/>
    </row>
    <row r="633" spans="1:19">
      <c r="A633" s="237"/>
      <c r="B633" s="53"/>
      <c r="C633" s="53"/>
      <c r="D633" s="53"/>
      <c r="E633" s="53"/>
      <c r="F633" s="53"/>
      <c r="G633" s="53"/>
      <c r="H633" s="53"/>
      <c r="I633" s="53"/>
      <c r="J633" s="53"/>
      <c r="K633" s="53"/>
      <c r="L633" s="53"/>
      <c r="M633" s="53"/>
      <c r="N633" s="53"/>
      <c r="O633" s="53"/>
      <c r="P633" s="53"/>
      <c r="Q633" s="53"/>
      <c r="R633" s="53"/>
      <c r="S633" s="237"/>
    </row>
    <row r="634" spans="1:19">
      <c r="A634" s="237"/>
      <c r="B634" s="53"/>
      <c r="C634" s="53"/>
      <c r="D634" s="53"/>
      <c r="E634" s="53"/>
      <c r="F634" s="53"/>
      <c r="G634" s="53"/>
      <c r="H634" s="53"/>
      <c r="I634" s="53"/>
      <c r="J634" s="53"/>
      <c r="K634" s="53"/>
      <c r="L634" s="53"/>
      <c r="M634" s="53"/>
      <c r="N634" s="53"/>
      <c r="O634" s="53"/>
      <c r="P634" s="53"/>
      <c r="Q634" s="53"/>
      <c r="R634" s="53"/>
      <c r="S634" s="237"/>
    </row>
    <row r="635" spans="1:19">
      <c r="A635" s="237"/>
      <c r="B635" s="53"/>
      <c r="C635" s="53"/>
      <c r="D635" s="53"/>
      <c r="E635" s="53"/>
      <c r="F635" s="53"/>
      <c r="G635" s="53"/>
      <c r="H635" s="53"/>
      <c r="I635" s="53"/>
      <c r="J635" s="53"/>
      <c r="K635" s="53"/>
      <c r="L635" s="53"/>
      <c r="M635" s="53"/>
      <c r="N635" s="53"/>
      <c r="O635" s="53"/>
      <c r="P635" s="53"/>
      <c r="Q635" s="53"/>
      <c r="R635" s="53"/>
      <c r="S635" s="237"/>
    </row>
    <row r="636" spans="1:19">
      <c r="A636" s="237"/>
      <c r="B636" s="53"/>
      <c r="C636" s="53"/>
      <c r="D636" s="53"/>
      <c r="E636" s="53"/>
      <c r="F636" s="53"/>
      <c r="G636" s="53"/>
      <c r="H636" s="53"/>
      <c r="I636" s="53"/>
      <c r="J636" s="53"/>
      <c r="K636" s="53"/>
      <c r="L636" s="53"/>
      <c r="M636" s="53"/>
      <c r="N636" s="53"/>
      <c r="O636" s="53"/>
      <c r="P636" s="53"/>
      <c r="Q636" s="53"/>
      <c r="R636" s="53"/>
      <c r="S636" s="237"/>
    </row>
    <row r="637" spans="1:19">
      <c r="A637" s="237"/>
      <c r="B637" s="53"/>
      <c r="C637" s="53"/>
      <c r="D637" s="53"/>
      <c r="E637" s="53"/>
      <c r="F637" s="53"/>
      <c r="G637" s="53"/>
      <c r="H637" s="53"/>
      <c r="I637" s="53"/>
      <c r="J637" s="53"/>
      <c r="K637" s="53"/>
      <c r="L637" s="53"/>
      <c r="M637" s="53"/>
      <c r="N637" s="53"/>
      <c r="O637" s="53"/>
      <c r="P637" s="53"/>
      <c r="Q637" s="53"/>
      <c r="R637" s="53"/>
      <c r="S637" s="237"/>
    </row>
    <row r="638" spans="1:19">
      <c r="A638" s="237"/>
      <c r="B638" s="53"/>
      <c r="C638" s="53"/>
      <c r="D638" s="53"/>
      <c r="E638" s="53"/>
      <c r="F638" s="53"/>
      <c r="G638" s="53"/>
      <c r="H638" s="53"/>
      <c r="I638" s="53"/>
      <c r="J638" s="53"/>
      <c r="K638" s="53"/>
      <c r="L638" s="53"/>
      <c r="M638" s="53"/>
      <c r="N638" s="53"/>
      <c r="O638" s="53"/>
      <c r="P638" s="53"/>
      <c r="Q638" s="53"/>
      <c r="R638" s="53"/>
      <c r="S638" s="237"/>
    </row>
    <row r="639" spans="1:19">
      <c r="A639" s="237"/>
      <c r="B639" s="53"/>
      <c r="C639" s="53"/>
      <c r="D639" s="53"/>
      <c r="E639" s="53"/>
      <c r="F639" s="53"/>
      <c r="G639" s="53"/>
      <c r="H639" s="53"/>
      <c r="I639" s="53"/>
      <c r="J639" s="53"/>
      <c r="K639" s="53"/>
      <c r="L639" s="53"/>
      <c r="M639" s="53"/>
      <c r="N639" s="53"/>
      <c r="O639" s="53"/>
      <c r="P639" s="53"/>
      <c r="Q639" s="53"/>
      <c r="R639" s="53"/>
      <c r="S639" s="237"/>
    </row>
    <row r="640" spans="1:19">
      <c r="A640" s="237"/>
      <c r="B640" s="53"/>
      <c r="C640" s="53"/>
      <c r="D640" s="53"/>
      <c r="E640" s="53"/>
      <c r="F640" s="53"/>
      <c r="G640" s="53"/>
      <c r="H640" s="53"/>
      <c r="I640" s="53"/>
      <c r="J640" s="53"/>
      <c r="K640" s="53"/>
      <c r="L640" s="53"/>
      <c r="M640" s="53"/>
      <c r="N640" s="53"/>
      <c r="O640" s="53"/>
      <c r="P640" s="53"/>
      <c r="Q640" s="53"/>
      <c r="R640" s="53"/>
      <c r="S640" s="237"/>
    </row>
    <row r="641" spans="1:19">
      <c r="A641" s="237"/>
      <c r="B641" s="53"/>
      <c r="C641" s="53"/>
      <c r="D641" s="53"/>
      <c r="E641" s="53"/>
      <c r="F641" s="53"/>
      <c r="G641" s="53"/>
      <c r="H641" s="53"/>
      <c r="I641" s="53"/>
      <c r="J641" s="53"/>
      <c r="K641" s="53"/>
      <c r="L641" s="53"/>
      <c r="M641" s="53"/>
      <c r="N641" s="53"/>
      <c r="O641" s="53"/>
      <c r="P641" s="53"/>
      <c r="Q641" s="53"/>
      <c r="R641" s="53"/>
      <c r="S641" s="237"/>
    </row>
    <row r="642" spans="1:19">
      <c r="A642" s="237"/>
      <c r="B642" s="53"/>
      <c r="C642" s="53"/>
      <c r="D642" s="53"/>
      <c r="E642" s="53"/>
      <c r="F642" s="53"/>
      <c r="G642" s="53"/>
      <c r="H642" s="53"/>
      <c r="I642" s="53"/>
      <c r="J642" s="53"/>
      <c r="K642" s="53"/>
      <c r="L642" s="53"/>
      <c r="M642" s="53"/>
      <c r="N642" s="53"/>
      <c r="O642" s="53"/>
      <c r="P642" s="53"/>
      <c r="Q642" s="53"/>
      <c r="R642" s="53"/>
      <c r="S642" s="237"/>
    </row>
    <row r="643" spans="1:19">
      <c r="A643" s="237"/>
      <c r="B643" s="53"/>
      <c r="C643" s="53"/>
      <c r="D643" s="53"/>
      <c r="E643" s="53"/>
      <c r="F643" s="53"/>
      <c r="G643" s="53"/>
      <c r="H643" s="53"/>
      <c r="I643" s="53"/>
      <c r="J643" s="53"/>
      <c r="K643" s="53"/>
      <c r="L643" s="53"/>
      <c r="M643" s="53"/>
      <c r="N643" s="53"/>
      <c r="O643" s="53"/>
      <c r="P643" s="53"/>
      <c r="Q643" s="53"/>
      <c r="R643" s="53"/>
      <c r="S643" s="237"/>
    </row>
    <row r="644" spans="1:19">
      <c r="A644" s="237"/>
      <c r="B644" s="53"/>
      <c r="C644" s="53"/>
      <c r="D644" s="53"/>
      <c r="E644" s="53"/>
      <c r="F644" s="53"/>
      <c r="G644" s="53"/>
      <c r="H644" s="53"/>
      <c r="I644" s="53"/>
      <c r="J644" s="53"/>
      <c r="K644" s="53"/>
      <c r="L644" s="53"/>
      <c r="M644" s="53"/>
      <c r="N644" s="53"/>
      <c r="O644" s="53"/>
      <c r="P644" s="53"/>
      <c r="Q644" s="53"/>
      <c r="R644" s="53"/>
      <c r="S644" s="237"/>
    </row>
    <row r="645" spans="1:19">
      <c r="A645" s="237"/>
      <c r="B645" s="53"/>
      <c r="C645" s="53"/>
      <c r="D645" s="53"/>
      <c r="E645" s="53"/>
      <c r="F645" s="53"/>
      <c r="G645" s="53"/>
      <c r="H645" s="53"/>
      <c r="I645" s="53"/>
      <c r="J645" s="53"/>
      <c r="K645" s="53"/>
      <c r="L645" s="53"/>
      <c r="M645" s="53"/>
      <c r="N645" s="53"/>
      <c r="O645" s="53"/>
      <c r="P645" s="53"/>
      <c r="Q645" s="53"/>
      <c r="R645" s="53"/>
      <c r="S645" s="237"/>
    </row>
    <row r="646" spans="1:19">
      <c r="A646" s="237"/>
      <c r="B646" s="53"/>
      <c r="C646" s="53"/>
      <c r="D646" s="53"/>
      <c r="E646" s="53"/>
      <c r="F646" s="53"/>
      <c r="G646" s="53"/>
      <c r="H646" s="53"/>
      <c r="I646" s="53"/>
      <c r="J646" s="53"/>
      <c r="K646" s="53"/>
      <c r="L646" s="53"/>
      <c r="M646" s="53"/>
      <c r="N646" s="53"/>
      <c r="O646" s="53"/>
      <c r="P646" s="53"/>
      <c r="Q646" s="53"/>
      <c r="R646" s="53"/>
      <c r="S646" s="237"/>
    </row>
    <row r="647" spans="1:19">
      <c r="A647" s="237"/>
      <c r="B647" s="53"/>
      <c r="C647" s="53"/>
      <c r="D647" s="53"/>
      <c r="E647" s="53"/>
      <c r="F647" s="53"/>
      <c r="G647" s="53"/>
      <c r="H647" s="53"/>
      <c r="I647" s="53"/>
      <c r="J647" s="53"/>
      <c r="K647" s="53"/>
      <c r="L647" s="53"/>
      <c r="M647" s="53"/>
      <c r="N647" s="53"/>
      <c r="O647" s="53"/>
      <c r="P647" s="53"/>
      <c r="Q647" s="53"/>
      <c r="R647" s="53"/>
      <c r="S647" s="237"/>
    </row>
    <row r="648" spans="1:19">
      <c r="A648" s="237"/>
      <c r="B648" s="53"/>
      <c r="C648" s="53"/>
      <c r="D648" s="53"/>
      <c r="E648" s="53"/>
      <c r="F648" s="53"/>
      <c r="G648" s="53"/>
      <c r="H648" s="53"/>
      <c r="I648" s="53"/>
      <c r="J648" s="53"/>
      <c r="K648" s="53"/>
      <c r="L648" s="53"/>
      <c r="M648" s="53"/>
      <c r="N648" s="53"/>
      <c r="O648" s="53"/>
      <c r="P648" s="53"/>
      <c r="Q648" s="53"/>
      <c r="R648" s="53"/>
      <c r="S648" s="237"/>
    </row>
    <row r="649" spans="1:19">
      <c r="A649" s="237"/>
      <c r="B649" s="53"/>
      <c r="C649" s="53"/>
      <c r="D649" s="53"/>
      <c r="E649" s="53"/>
      <c r="F649" s="53"/>
      <c r="G649" s="53"/>
      <c r="H649" s="53"/>
      <c r="I649" s="53"/>
      <c r="J649" s="53"/>
      <c r="K649" s="53"/>
      <c r="L649" s="53"/>
      <c r="M649" s="53"/>
      <c r="N649" s="53"/>
      <c r="O649" s="53"/>
      <c r="P649" s="53"/>
      <c r="Q649" s="53"/>
      <c r="R649" s="53"/>
      <c r="S649" s="237"/>
    </row>
    <row r="650" spans="1:19">
      <c r="A650" s="237"/>
      <c r="B650" s="53"/>
      <c r="C650" s="53"/>
      <c r="D650" s="53"/>
      <c r="E650" s="53"/>
      <c r="F650" s="53"/>
      <c r="G650" s="53"/>
      <c r="H650" s="53"/>
      <c r="I650" s="53"/>
      <c r="J650" s="53"/>
      <c r="K650" s="53"/>
      <c r="L650" s="53"/>
      <c r="M650" s="53"/>
      <c r="N650" s="53"/>
      <c r="O650" s="53"/>
      <c r="P650" s="53"/>
      <c r="Q650" s="53"/>
      <c r="R650" s="53"/>
      <c r="S650" s="237"/>
    </row>
    <row r="651" spans="1:19">
      <c r="A651" s="237"/>
      <c r="B651" s="53"/>
      <c r="C651" s="53"/>
      <c r="D651" s="53"/>
      <c r="E651" s="53"/>
      <c r="F651" s="53"/>
      <c r="G651" s="53"/>
      <c r="H651" s="53"/>
      <c r="I651" s="53"/>
      <c r="J651" s="53"/>
      <c r="K651" s="53"/>
      <c r="L651" s="53"/>
      <c r="M651" s="53"/>
      <c r="N651" s="53"/>
      <c r="O651" s="53"/>
      <c r="P651" s="53"/>
      <c r="Q651" s="53"/>
      <c r="R651" s="53"/>
      <c r="S651" s="237"/>
    </row>
    <row r="652" spans="1:19">
      <c r="A652" s="237"/>
      <c r="B652" s="53"/>
      <c r="C652" s="53"/>
      <c r="D652" s="53"/>
      <c r="E652" s="53"/>
      <c r="F652" s="53"/>
      <c r="G652" s="53"/>
      <c r="H652" s="53"/>
      <c r="I652" s="53"/>
      <c r="J652" s="53"/>
      <c r="K652" s="53"/>
      <c r="L652" s="53"/>
      <c r="M652" s="53"/>
      <c r="N652" s="53"/>
      <c r="O652" s="53"/>
      <c r="P652" s="53"/>
      <c r="Q652" s="53"/>
      <c r="R652" s="53"/>
      <c r="S652" s="237"/>
    </row>
    <row r="653" spans="1:19">
      <c r="A653" s="237"/>
      <c r="B653" s="53"/>
      <c r="C653" s="53"/>
      <c r="D653" s="53"/>
      <c r="E653" s="53"/>
      <c r="F653" s="53"/>
      <c r="G653" s="53"/>
      <c r="H653" s="53"/>
      <c r="I653" s="53"/>
      <c r="J653" s="53"/>
      <c r="K653" s="53"/>
      <c r="L653" s="53"/>
      <c r="M653" s="53"/>
      <c r="N653" s="53"/>
      <c r="O653" s="53"/>
      <c r="P653" s="53"/>
      <c r="Q653" s="53"/>
      <c r="R653" s="53"/>
      <c r="S653" s="237"/>
    </row>
    <row r="654" spans="1:19">
      <c r="A654" s="237"/>
      <c r="B654" s="53"/>
      <c r="C654" s="53"/>
      <c r="D654" s="53"/>
      <c r="E654" s="53"/>
      <c r="F654" s="53"/>
      <c r="G654" s="53"/>
      <c r="H654" s="53"/>
      <c r="I654" s="53"/>
      <c r="J654" s="53"/>
      <c r="K654" s="53"/>
      <c r="L654" s="53"/>
      <c r="M654" s="53"/>
      <c r="N654" s="53"/>
      <c r="O654" s="53"/>
      <c r="P654" s="53"/>
      <c r="Q654" s="53"/>
      <c r="R654" s="53"/>
      <c r="S654" s="237"/>
    </row>
    <row r="655" spans="1:19">
      <c r="A655" s="237"/>
      <c r="B655" s="53"/>
      <c r="C655" s="53"/>
      <c r="D655" s="53"/>
      <c r="E655" s="53"/>
      <c r="F655" s="53"/>
      <c r="G655" s="53"/>
      <c r="H655" s="53"/>
      <c r="I655" s="53"/>
      <c r="J655" s="53"/>
      <c r="K655" s="53"/>
      <c r="L655" s="53"/>
      <c r="M655" s="53"/>
      <c r="N655" s="53"/>
      <c r="O655" s="53"/>
      <c r="P655" s="53"/>
      <c r="Q655" s="53"/>
      <c r="R655" s="53"/>
      <c r="S655" s="237"/>
    </row>
    <row r="656" spans="1:19">
      <c r="A656" s="237"/>
      <c r="B656" s="53"/>
      <c r="C656" s="53"/>
      <c r="D656" s="53"/>
      <c r="E656" s="53"/>
      <c r="F656" s="53"/>
      <c r="G656" s="53"/>
      <c r="H656" s="53"/>
      <c r="I656" s="53"/>
      <c r="J656" s="53"/>
      <c r="K656" s="53"/>
      <c r="L656" s="53"/>
      <c r="M656" s="53"/>
      <c r="N656" s="53"/>
      <c r="O656" s="53"/>
      <c r="P656" s="53"/>
      <c r="Q656" s="53"/>
      <c r="R656" s="53"/>
      <c r="S656" s="237"/>
    </row>
    <row r="657" spans="1:19">
      <c r="A657" s="237"/>
      <c r="B657" s="53"/>
      <c r="C657" s="53"/>
      <c r="D657" s="53"/>
      <c r="E657" s="53"/>
      <c r="F657" s="53"/>
      <c r="G657" s="53"/>
      <c r="H657" s="53"/>
      <c r="I657" s="53"/>
      <c r="J657" s="53"/>
      <c r="K657" s="53"/>
      <c r="L657" s="53"/>
      <c r="M657" s="53"/>
      <c r="N657" s="53"/>
      <c r="O657" s="53"/>
      <c r="P657" s="53"/>
      <c r="Q657" s="53"/>
      <c r="R657" s="53"/>
      <c r="S657" s="237"/>
    </row>
    <row r="658" spans="1:19">
      <c r="A658" s="237"/>
      <c r="B658" s="53"/>
      <c r="C658" s="53"/>
      <c r="D658" s="53"/>
      <c r="E658" s="53"/>
      <c r="F658" s="53"/>
      <c r="G658" s="53"/>
      <c r="H658" s="53"/>
      <c r="I658" s="53"/>
      <c r="J658" s="53"/>
      <c r="K658" s="53"/>
      <c r="L658" s="53"/>
      <c r="M658" s="53"/>
      <c r="N658" s="53"/>
      <c r="O658" s="53"/>
      <c r="P658" s="53"/>
      <c r="Q658" s="53"/>
      <c r="R658" s="53"/>
      <c r="S658" s="237"/>
    </row>
    <row r="659" spans="1:19">
      <c r="A659" s="237"/>
      <c r="B659" s="53"/>
      <c r="C659" s="53"/>
      <c r="D659" s="53"/>
      <c r="E659" s="53"/>
      <c r="F659" s="53"/>
      <c r="G659" s="53"/>
      <c r="H659" s="53"/>
      <c r="I659" s="53"/>
      <c r="J659" s="53"/>
      <c r="K659" s="53"/>
      <c r="L659" s="53"/>
      <c r="M659" s="53"/>
      <c r="N659" s="53"/>
      <c r="O659" s="53"/>
      <c r="P659" s="53"/>
      <c r="Q659" s="53"/>
      <c r="R659" s="53"/>
      <c r="S659" s="237"/>
    </row>
    <row r="660" spans="1:19">
      <c r="A660" s="237"/>
      <c r="B660" s="53"/>
      <c r="C660" s="53"/>
      <c r="D660" s="53"/>
      <c r="E660" s="53"/>
      <c r="F660" s="53"/>
      <c r="G660" s="53"/>
      <c r="H660" s="53"/>
      <c r="I660" s="53"/>
      <c r="J660" s="53"/>
      <c r="K660" s="53"/>
      <c r="L660" s="53"/>
      <c r="M660" s="53"/>
      <c r="N660" s="53"/>
      <c r="O660" s="53"/>
      <c r="P660" s="53"/>
      <c r="Q660" s="53"/>
      <c r="R660" s="53"/>
      <c r="S660" s="237"/>
    </row>
    <row r="661" spans="1:19">
      <c r="A661" s="237"/>
      <c r="B661" s="53"/>
      <c r="C661" s="53"/>
      <c r="D661" s="53"/>
      <c r="E661" s="53"/>
      <c r="F661" s="53"/>
      <c r="G661" s="53"/>
      <c r="H661" s="53"/>
      <c r="I661" s="53"/>
      <c r="J661" s="53"/>
      <c r="K661" s="53"/>
      <c r="L661" s="53"/>
      <c r="M661" s="53"/>
      <c r="N661" s="53"/>
      <c r="O661" s="53"/>
      <c r="P661" s="53"/>
      <c r="Q661" s="53"/>
      <c r="R661" s="53"/>
      <c r="S661" s="237"/>
    </row>
    <row r="662" spans="1:19">
      <c r="A662" s="237"/>
      <c r="B662" s="53"/>
      <c r="C662" s="53"/>
      <c r="D662" s="53"/>
      <c r="E662" s="53"/>
      <c r="F662" s="53"/>
      <c r="G662" s="53"/>
      <c r="H662" s="53"/>
      <c r="I662" s="53"/>
      <c r="J662" s="53"/>
      <c r="K662" s="53"/>
      <c r="L662" s="53"/>
      <c r="M662" s="53"/>
      <c r="N662" s="53"/>
      <c r="O662" s="53"/>
      <c r="P662" s="53"/>
      <c r="Q662" s="53"/>
      <c r="R662" s="53"/>
      <c r="S662" s="237"/>
    </row>
    <row r="663" spans="1:19">
      <c r="A663" s="237"/>
      <c r="B663" s="53"/>
      <c r="C663" s="53"/>
      <c r="D663" s="53"/>
      <c r="E663" s="53"/>
      <c r="F663" s="53"/>
      <c r="G663" s="53"/>
      <c r="H663" s="53"/>
      <c r="I663" s="53"/>
      <c r="J663" s="53"/>
      <c r="K663" s="53"/>
      <c r="L663" s="53"/>
      <c r="M663" s="53"/>
      <c r="N663" s="53"/>
      <c r="O663" s="53"/>
      <c r="P663" s="53"/>
      <c r="Q663" s="53"/>
      <c r="R663" s="53"/>
      <c r="S663" s="237"/>
    </row>
    <row r="664" spans="1:19">
      <c r="A664" s="237"/>
      <c r="B664" s="53"/>
      <c r="C664" s="53"/>
      <c r="D664" s="53"/>
      <c r="E664" s="53"/>
      <c r="F664" s="53"/>
      <c r="G664" s="53"/>
      <c r="H664" s="53"/>
      <c r="I664" s="53"/>
      <c r="J664" s="53"/>
      <c r="K664" s="53"/>
      <c r="L664" s="53"/>
      <c r="M664" s="53"/>
      <c r="N664" s="53"/>
      <c r="O664" s="53"/>
      <c r="P664" s="53"/>
      <c r="Q664" s="53"/>
      <c r="R664" s="53"/>
      <c r="S664" s="237"/>
    </row>
    <row r="665" spans="1:19">
      <c r="A665" s="237"/>
      <c r="B665" s="53"/>
      <c r="C665" s="53"/>
      <c r="D665" s="53"/>
      <c r="E665" s="53"/>
      <c r="F665" s="53"/>
      <c r="G665" s="53"/>
      <c r="H665" s="53"/>
      <c r="I665" s="53"/>
      <c r="J665" s="53"/>
      <c r="K665" s="53"/>
      <c r="L665" s="53"/>
      <c r="M665" s="53"/>
      <c r="N665" s="53"/>
      <c r="O665" s="53"/>
      <c r="P665" s="53"/>
      <c r="Q665" s="53"/>
      <c r="R665" s="53"/>
      <c r="S665" s="237"/>
    </row>
    <row r="666" spans="1:19">
      <c r="A666" s="237"/>
      <c r="B666" s="53"/>
      <c r="C666" s="53"/>
      <c r="D666" s="53"/>
      <c r="E666" s="53"/>
      <c r="F666" s="53"/>
      <c r="G666" s="53"/>
      <c r="H666" s="53"/>
      <c r="I666" s="53"/>
      <c r="J666" s="53"/>
      <c r="K666" s="53"/>
      <c r="L666" s="53"/>
      <c r="M666" s="53"/>
      <c r="N666" s="53"/>
      <c r="O666" s="53"/>
      <c r="P666" s="53"/>
      <c r="Q666" s="53"/>
      <c r="R666" s="53"/>
      <c r="S666" s="237"/>
    </row>
    <row r="667" spans="1:19">
      <c r="A667" s="237"/>
      <c r="B667" s="53"/>
      <c r="C667" s="53"/>
      <c r="D667" s="53"/>
      <c r="E667" s="53"/>
      <c r="F667" s="53"/>
      <c r="G667" s="53"/>
      <c r="H667" s="53"/>
      <c r="I667" s="53"/>
      <c r="J667" s="53"/>
      <c r="K667" s="53"/>
      <c r="L667" s="53"/>
      <c r="M667" s="53"/>
      <c r="N667" s="53"/>
      <c r="O667" s="53"/>
      <c r="P667" s="53"/>
      <c r="Q667" s="53"/>
      <c r="R667" s="53"/>
      <c r="S667" s="237"/>
    </row>
    <row r="668" spans="1:19">
      <c r="A668" s="237"/>
      <c r="B668" s="53"/>
      <c r="C668" s="53"/>
      <c r="D668" s="53"/>
      <c r="E668" s="53"/>
      <c r="F668" s="53"/>
      <c r="G668" s="53"/>
      <c r="H668" s="53"/>
      <c r="I668" s="53"/>
      <c r="J668" s="53"/>
      <c r="K668" s="53"/>
      <c r="L668" s="53"/>
      <c r="M668" s="53"/>
      <c r="N668" s="53"/>
      <c r="O668" s="53"/>
      <c r="P668" s="53"/>
      <c r="Q668" s="53"/>
      <c r="R668" s="53"/>
      <c r="S668" s="237"/>
    </row>
    <row r="669" spans="1:19">
      <c r="A669" s="237"/>
      <c r="B669" s="53"/>
      <c r="C669" s="53"/>
      <c r="D669" s="53"/>
      <c r="E669" s="53"/>
      <c r="F669" s="53"/>
      <c r="G669" s="53"/>
      <c r="H669" s="53"/>
      <c r="I669" s="53"/>
      <c r="J669" s="53"/>
      <c r="K669" s="53"/>
      <c r="L669" s="53"/>
      <c r="M669" s="53"/>
      <c r="N669" s="53"/>
      <c r="O669" s="53"/>
      <c r="P669" s="53"/>
      <c r="Q669" s="53"/>
      <c r="R669" s="53"/>
      <c r="S669" s="237"/>
    </row>
    <row r="670" spans="1:19">
      <c r="A670" s="237"/>
      <c r="B670" s="53"/>
      <c r="C670" s="53"/>
      <c r="D670" s="53"/>
      <c r="E670" s="53"/>
      <c r="F670" s="53"/>
      <c r="G670" s="53"/>
      <c r="H670" s="53"/>
      <c r="I670" s="53"/>
      <c r="J670" s="53"/>
      <c r="K670" s="53"/>
      <c r="L670" s="53"/>
      <c r="M670" s="53"/>
      <c r="N670" s="53"/>
      <c r="O670" s="53"/>
      <c r="P670" s="53"/>
      <c r="Q670" s="53"/>
      <c r="R670" s="53"/>
      <c r="S670" s="237"/>
    </row>
    <row r="671" spans="1:19">
      <c r="A671" s="237"/>
      <c r="B671" s="53"/>
      <c r="C671" s="53"/>
      <c r="D671" s="53"/>
      <c r="E671" s="53"/>
      <c r="F671" s="53"/>
      <c r="G671" s="53"/>
      <c r="H671" s="53"/>
      <c r="I671" s="53"/>
      <c r="J671" s="53"/>
      <c r="K671" s="53"/>
      <c r="L671" s="53"/>
      <c r="M671" s="53"/>
      <c r="N671" s="53"/>
      <c r="O671" s="53"/>
      <c r="P671" s="53"/>
      <c r="Q671" s="53"/>
      <c r="R671" s="53"/>
      <c r="S671" s="237"/>
    </row>
    <row r="672" spans="1:19">
      <c r="A672" s="237"/>
      <c r="B672" s="53"/>
      <c r="C672" s="53"/>
      <c r="D672" s="53"/>
      <c r="E672" s="53"/>
      <c r="F672" s="53"/>
      <c r="G672" s="53"/>
      <c r="H672" s="53"/>
      <c r="I672" s="53"/>
      <c r="J672" s="53"/>
      <c r="K672" s="53"/>
      <c r="L672" s="53"/>
      <c r="M672" s="53"/>
      <c r="N672" s="53"/>
      <c r="O672" s="53"/>
      <c r="P672" s="53"/>
      <c r="Q672" s="53"/>
      <c r="R672" s="53"/>
      <c r="S672" s="237"/>
    </row>
    <row r="673" spans="1:19">
      <c r="A673" s="237"/>
      <c r="B673" s="53"/>
      <c r="C673" s="53"/>
      <c r="D673" s="53"/>
      <c r="E673" s="53"/>
      <c r="F673" s="53"/>
      <c r="G673" s="53"/>
      <c r="H673" s="53"/>
      <c r="I673" s="53"/>
      <c r="J673" s="53"/>
      <c r="K673" s="53"/>
      <c r="L673" s="53"/>
      <c r="M673" s="53"/>
      <c r="N673" s="53"/>
      <c r="O673" s="53"/>
      <c r="P673" s="53"/>
      <c r="Q673" s="53"/>
      <c r="R673" s="53"/>
      <c r="S673" s="237"/>
    </row>
    <row r="674" spans="1:19">
      <c r="A674" s="237"/>
      <c r="B674" s="53"/>
      <c r="C674" s="53"/>
      <c r="D674" s="53"/>
      <c r="E674" s="53"/>
      <c r="F674" s="53"/>
      <c r="G674" s="53"/>
      <c r="H674" s="53"/>
      <c r="I674" s="53"/>
      <c r="J674" s="53"/>
      <c r="K674" s="53"/>
      <c r="L674" s="53"/>
      <c r="M674" s="53"/>
      <c r="N674" s="53"/>
      <c r="O674" s="53"/>
      <c r="P674" s="53"/>
      <c r="Q674" s="53"/>
      <c r="R674" s="53"/>
      <c r="S674" s="237"/>
    </row>
    <row r="675" spans="1:19">
      <c r="A675" s="237"/>
      <c r="B675" s="53"/>
      <c r="C675" s="53"/>
      <c r="D675" s="53"/>
      <c r="E675" s="53"/>
      <c r="F675" s="53"/>
      <c r="G675" s="53"/>
      <c r="H675" s="53"/>
      <c r="I675" s="53"/>
      <c r="J675" s="53"/>
      <c r="K675" s="53"/>
      <c r="L675" s="53"/>
      <c r="M675" s="53"/>
      <c r="N675" s="53"/>
      <c r="O675" s="53"/>
      <c r="P675" s="53"/>
      <c r="Q675" s="53"/>
      <c r="R675" s="53"/>
      <c r="S675" s="237"/>
    </row>
    <row r="676" spans="1:19">
      <c r="A676" s="237"/>
      <c r="B676" s="53"/>
      <c r="C676" s="53"/>
      <c r="D676" s="53"/>
      <c r="E676" s="53"/>
      <c r="F676" s="53"/>
      <c r="G676" s="53"/>
      <c r="H676" s="53"/>
      <c r="I676" s="53"/>
      <c r="J676" s="53"/>
      <c r="K676" s="53"/>
      <c r="L676" s="53"/>
      <c r="M676" s="53"/>
      <c r="N676" s="53"/>
      <c r="O676" s="53"/>
      <c r="P676" s="53"/>
      <c r="Q676" s="53"/>
      <c r="R676" s="53"/>
      <c r="S676" s="237"/>
    </row>
    <row r="677" spans="1:19">
      <c r="A677" s="237"/>
      <c r="B677" s="53"/>
      <c r="C677" s="53"/>
      <c r="D677" s="53"/>
      <c r="E677" s="53"/>
      <c r="F677" s="53"/>
      <c r="G677" s="53"/>
      <c r="H677" s="53"/>
      <c r="I677" s="53"/>
      <c r="J677" s="53"/>
      <c r="K677" s="53"/>
      <c r="L677" s="53"/>
      <c r="M677" s="53"/>
      <c r="N677" s="53"/>
      <c r="O677" s="53"/>
      <c r="P677" s="53"/>
      <c r="Q677" s="53"/>
      <c r="R677" s="53"/>
      <c r="S677" s="237"/>
    </row>
    <row r="678" spans="1:19">
      <c r="A678" s="237"/>
      <c r="B678" s="53"/>
      <c r="C678" s="53"/>
      <c r="D678" s="53"/>
      <c r="E678" s="53"/>
      <c r="F678" s="53"/>
      <c r="G678" s="53"/>
      <c r="H678" s="53"/>
      <c r="I678" s="53"/>
      <c r="J678" s="53"/>
      <c r="K678" s="53"/>
      <c r="L678" s="53"/>
      <c r="M678" s="53"/>
      <c r="N678" s="53"/>
      <c r="O678" s="53"/>
      <c r="P678" s="53"/>
      <c r="Q678" s="53"/>
      <c r="R678" s="53"/>
      <c r="S678" s="237"/>
    </row>
    <row r="679" spans="1:19">
      <c r="A679" s="237"/>
      <c r="B679" s="53"/>
      <c r="C679" s="53"/>
      <c r="D679" s="53"/>
      <c r="E679" s="53"/>
      <c r="F679" s="53"/>
      <c r="G679" s="53"/>
      <c r="H679" s="53"/>
      <c r="I679" s="53"/>
      <c r="J679" s="53"/>
      <c r="K679" s="53"/>
      <c r="L679" s="53"/>
      <c r="M679" s="53"/>
      <c r="N679" s="53"/>
      <c r="O679" s="53"/>
      <c r="P679" s="53"/>
      <c r="Q679" s="53"/>
      <c r="R679" s="53"/>
      <c r="S679" s="237"/>
    </row>
    <row r="680" spans="1:19">
      <c r="A680" s="237"/>
      <c r="B680" s="53"/>
      <c r="C680" s="53"/>
      <c r="D680" s="53"/>
      <c r="E680" s="53"/>
      <c r="F680" s="53"/>
      <c r="G680" s="53"/>
      <c r="H680" s="53"/>
      <c r="I680" s="53"/>
      <c r="J680" s="53"/>
      <c r="K680" s="53"/>
      <c r="L680" s="53"/>
      <c r="M680" s="53"/>
      <c r="N680" s="53"/>
      <c r="O680" s="53"/>
      <c r="P680" s="53"/>
      <c r="Q680" s="53"/>
      <c r="R680" s="53"/>
      <c r="S680" s="237"/>
    </row>
    <row r="681" spans="1:19">
      <c r="A681" s="237"/>
      <c r="B681" s="53"/>
      <c r="C681" s="53"/>
      <c r="D681" s="53"/>
      <c r="E681" s="53"/>
      <c r="F681" s="53"/>
      <c r="G681" s="53"/>
      <c r="H681" s="53"/>
      <c r="I681" s="53"/>
      <c r="J681" s="53"/>
      <c r="K681" s="53"/>
      <c r="L681" s="53"/>
      <c r="M681" s="53"/>
      <c r="N681" s="53"/>
      <c r="O681" s="53"/>
      <c r="P681" s="53"/>
      <c r="Q681" s="53"/>
      <c r="R681" s="53"/>
      <c r="S681" s="237"/>
    </row>
    <row r="682" spans="1:19">
      <c r="A682" s="237"/>
      <c r="B682" s="53"/>
      <c r="C682" s="53"/>
      <c r="D682" s="53"/>
      <c r="E682" s="53"/>
      <c r="F682" s="53"/>
      <c r="G682" s="53"/>
      <c r="H682" s="53"/>
      <c r="I682" s="53"/>
      <c r="J682" s="53"/>
      <c r="K682" s="53"/>
      <c r="L682" s="53"/>
      <c r="M682" s="53"/>
      <c r="N682" s="53"/>
      <c r="O682" s="53"/>
      <c r="P682" s="53"/>
      <c r="Q682" s="53"/>
      <c r="R682" s="53"/>
      <c r="S682" s="237"/>
    </row>
  </sheetData>
  <sheetProtection password="CEE9"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7" priority="1" operator="notEqual">
      <formula>1</formula>
    </cfRule>
  </conditionalFormatting>
  <dataValidations count="8">
    <dataValidation type="list" allowBlank="1" showInputMessage="1" showErrorMessage="1" sqref="D24:D524" xr:uid="{00000000-0002-0000-2800-000000000000}">
      <formula1>一修多修正项2</formula1>
    </dataValidation>
    <dataValidation type="list" allowBlank="1" showInputMessage="1" showErrorMessage="1" sqref="F24:F524" xr:uid="{00000000-0002-0000-2800-000001000000}">
      <formula1>一修多修正项3</formula1>
    </dataValidation>
    <dataValidation type="list" allowBlank="1" showInputMessage="1" showErrorMessage="1" sqref="H24:H524" xr:uid="{00000000-0002-0000-2800-000002000000}">
      <formula1>一修多修正项4</formula1>
    </dataValidation>
    <dataValidation type="list" allowBlank="1" showInputMessage="1" showErrorMessage="1" sqref="J24:J524" xr:uid="{00000000-0002-0000-2800-000003000000}">
      <formula1>一修多修正项5</formula1>
    </dataValidation>
    <dataValidation type="list" allowBlank="1" showInputMessage="1" showErrorMessage="1" sqref="L24:L524" xr:uid="{00000000-0002-0000-2800-000004000000}">
      <formula1>一修多修正项6</formula1>
    </dataValidation>
    <dataValidation type="list" allowBlank="1" showInputMessage="1" showErrorMessage="1" sqref="N24:N524" xr:uid="{00000000-0002-0000-2800-000005000000}">
      <formula1>一修多修正项7</formula1>
    </dataValidation>
    <dataValidation type="list" allowBlank="1" showInputMessage="1" showErrorMessage="1" sqref="P24:P524" xr:uid="{00000000-0002-0000-2800-000006000000}">
      <formula1>一修多修正项8</formula1>
    </dataValidation>
    <dataValidation type="list" allowBlank="1" showInputMessage="1" showErrorMessage="1" sqref="B23 B2" xr:uid="{00000000-0002-0000-2800-000007000000}">
      <formula1>"建筑面积,土地面积"</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IW74"/>
  <sheetViews>
    <sheetView workbookViewId="0">
      <selection activeCell="C3" sqref="C3"/>
    </sheetView>
  </sheetViews>
  <sheetFormatPr defaultRowHeight="13.5"/>
  <cols>
    <col min="1" max="1" width="4.875" style="2237" customWidth="1"/>
    <col min="2" max="2" width="13.25" style="2243" customWidth="1"/>
    <col min="3" max="3" width="15.625" style="2243" customWidth="1"/>
    <col min="4" max="4" width="9.375" style="2243" bestFit="1" customWidth="1"/>
    <col min="5" max="5" width="13.5" style="2243" customWidth="1"/>
    <col min="6" max="6" width="9" style="2243"/>
    <col min="7" max="7" width="9.375" style="2243" bestFit="1" customWidth="1"/>
    <col min="8" max="9" width="9" style="2243"/>
    <col min="10" max="10" width="9.375" style="2243" bestFit="1" customWidth="1"/>
    <col min="11" max="11" width="4" style="2237" customWidth="1"/>
    <col min="12" max="12" width="5.125" style="2243" customWidth="1"/>
    <col min="13" max="13" width="13.75" style="2243" customWidth="1"/>
    <col min="14" max="256" width="9" style="2243"/>
    <col min="257" max="257" width="4.875" style="2235" customWidth="1"/>
    <col min="258" max="258" width="13.25" style="2235" customWidth="1"/>
    <col min="259" max="259" width="15.625" style="2235" customWidth="1"/>
    <col min="260" max="260" width="9.375" style="2235" bestFit="1" customWidth="1"/>
    <col min="261" max="261" width="13.5" style="2235" customWidth="1"/>
    <col min="262" max="262" width="9" style="2235"/>
    <col min="263" max="263" width="9.375" style="2235" bestFit="1" customWidth="1"/>
    <col min="264" max="265" width="9" style="2235"/>
    <col min="266" max="266" width="9.375" style="2235" bestFit="1" customWidth="1"/>
    <col min="267" max="267" width="4" style="2235" customWidth="1"/>
    <col min="268" max="268" width="5.125" style="2235" customWidth="1"/>
    <col min="269" max="269" width="13.75" style="2235" customWidth="1"/>
    <col min="270" max="512" width="9" style="2235"/>
    <col min="513" max="513" width="4.875" style="2235" customWidth="1"/>
    <col min="514" max="514" width="13.25" style="2235" customWidth="1"/>
    <col min="515" max="515" width="15.625" style="2235" customWidth="1"/>
    <col min="516" max="516" width="9.375" style="2235" bestFit="1" customWidth="1"/>
    <col min="517" max="517" width="13.5" style="2235" customWidth="1"/>
    <col min="518" max="518" width="9" style="2235"/>
    <col min="519" max="519" width="9.375" style="2235" bestFit="1" customWidth="1"/>
    <col min="520" max="521" width="9" style="2235"/>
    <col min="522" max="522" width="9.375" style="2235" bestFit="1" customWidth="1"/>
    <col min="523" max="523" width="4" style="2235" customWidth="1"/>
    <col min="524" max="524" width="5.125" style="2235" customWidth="1"/>
    <col min="525" max="525" width="13.75" style="2235" customWidth="1"/>
    <col min="526" max="768" width="9" style="2235"/>
    <col min="769" max="769" width="4.875" style="2235" customWidth="1"/>
    <col min="770" max="770" width="13.25" style="2235" customWidth="1"/>
    <col min="771" max="771" width="15.625" style="2235" customWidth="1"/>
    <col min="772" max="772" width="9.375" style="2235" bestFit="1" customWidth="1"/>
    <col min="773" max="773" width="13.5" style="2235" customWidth="1"/>
    <col min="774" max="774" width="9" style="2235"/>
    <col min="775" max="775" width="9.375" style="2235" bestFit="1" customWidth="1"/>
    <col min="776" max="777" width="9" style="2235"/>
    <col min="778" max="778" width="9.375" style="2235" bestFit="1" customWidth="1"/>
    <col min="779" max="779" width="4" style="2235" customWidth="1"/>
    <col min="780" max="780" width="5.125" style="2235" customWidth="1"/>
    <col min="781" max="781" width="13.75" style="2235" customWidth="1"/>
    <col min="782" max="1024" width="9" style="2235"/>
    <col min="1025" max="1025" width="4.875" style="2235" customWidth="1"/>
    <col min="1026" max="1026" width="13.25" style="2235" customWidth="1"/>
    <col min="1027" max="1027" width="15.625" style="2235" customWidth="1"/>
    <col min="1028" max="1028" width="9.375" style="2235" bestFit="1" customWidth="1"/>
    <col min="1029" max="1029" width="13.5" style="2235" customWidth="1"/>
    <col min="1030" max="1030" width="9" style="2235"/>
    <col min="1031" max="1031" width="9.375" style="2235" bestFit="1" customWidth="1"/>
    <col min="1032" max="1033" width="9" style="2235"/>
    <col min="1034" max="1034" width="9.375" style="2235" bestFit="1" customWidth="1"/>
    <col min="1035" max="1035" width="4" style="2235" customWidth="1"/>
    <col min="1036" max="1036" width="5.125" style="2235" customWidth="1"/>
    <col min="1037" max="1037" width="13.75" style="2235" customWidth="1"/>
    <col min="1038" max="1280" width="9" style="2235"/>
    <col min="1281" max="1281" width="4.875" style="2235" customWidth="1"/>
    <col min="1282" max="1282" width="13.25" style="2235" customWidth="1"/>
    <col min="1283" max="1283" width="15.625" style="2235" customWidth="1"/>
    <col min="1284" max="1284" width="9.375" style="2235" bestFit="1" customWidth="1"/>
    <col min="1285" max="1285" width="13.5" style="2235" customWidth="1"/>
    <col min="1286" max="1286" width="9" style="2235"/>
    <col min="1287" max="1287" width="9.375" style="2235" bestFit="1" customWidth="1"/>
    <col min="1288" max="1289" width="9" style="2235"/>
    <col min="1290" max="1290" width="9.375" style="2235" bestFit="1" customWidth="1"/>
    <col min="1291" max="1291" width="4" style="2235" customWidth="1"/>
    <col min="1292" max="1292" width="5.125" style="2235" customWidth="1"/>
    <col min="1293" max="1293" width="13.75" style="2235" customWidth="1"/>
    <col min="1294" max="1536" width="9" style="2235"/>
    <col min="1537" max="1537" width="4.875" style="2235" customWidth="1"/>
    <col min="1538" max="1538" width="13.25" style="2235" customWidth="1"/>
    <col min="1539" max="1539" width="15.625" style="2235" customWidth="1"/>
    <col min="1540" max="1540" width="9.375" style="2235" bestFit="1" customWidth="1"/>
    <col min="1541" max="1541" width="13.5" style="2235" customWidth="1"/>
    <col min="1542" max="1542" width="9" style="2235"/>
    <col min="1543" max="1543" width="9.375" style="2235" bestFit="1" customWidth="1"/>
    <col min="1544" max="1545" width="9" style="2235"/>
    <col min="1546" max="1546" width="9.375" style="2235" bestFit="1" customWidth="1"/>
    <col min="1547" max="1547" width="4" style="2235" customWidth="1"/>
    <col min="1548" max="1548" width="5.125" style="2235" customWidth="1"/>
    <col min="1549" max="1549" width="13.75" style="2235" customWidth="1"/>
    <col min="1550" max="1792" width="9" style="2235"/>
    <col min="1793" max="1793" width="4.875" style="2235" customWidth="1"/>
    <col min="1794" max="1794" width="13.25" style="2235" customWidth="1"/>
    <col min="1795" max="1795" width="15.625" style="2235" customWidth="1"/>
    <col min="1796" max="1796" width="9.375" style="2235" bestFit="1" customWidth="1"/>
    <col min="1797" max="1797" width="13.5" style="2235" customWidth="1"/>
    <col min="1798" max="1798" width="9" style="2235"/>
    <col min="1799" max="1799" width="9.375" style="2235" bestFit="1" customWidth="1"/>
    <col min="1800" max="1801" width="9" style="2235"/>
    <col min="1802" max="1802" width="9.375" style="2235" bestFit="1" customWidth="1"/>
    <col min="1803" max="1803" width="4" style="2235" customWidth="1"/>
    <col min="1804" max="1804" width="5.125" style="2235" customWidth="1"/>
    <col min="1805" max="1805" width="13.75" style="2235" customWidth="1"/>
    <col min="1806" max="2048" width="9" style="2235"/>
    <col min="2049" max="2049" width="4.875" style="2235" customWidth="1"/>
    <col min="2050" max="2050" width="13.25" style="2235" customWidth="1"/>
    <col min="2051" max="2051" width="15.625" style="2235" customWidth="1"/>
    <col min="2052" max="2052" width="9.375" style="2235" bestFit="1" customWidth="1"/>
    <col min="2053" max="2053" width="13.5" style="2235" customWidth="1"/>
    <col min="2054" max="2054" width="9" style="2235"/>
    <col min="2055" max="2055" width="9.375" style="2235" bestFit="1" customWidth="1"/>
    <col min="2056" max="2057" width="9" style="2235"/>
    <col min="2058" max="2058" width="9.375" style="2235" bestFit="1" customWidth="1"/>
    <col min="2059" max="2059" width="4" style="2235" customWidth="1"/>
    <col min="2060" max="2060" width="5.125" style="2235" customWidth="1"/>
    <col min="2061" max="2061" width="13.75" style="2235" customWidth="1"/>
    <col min="2062" max="2304" width="9" style="2235"/>
    <col min="2305" max="2305" width="4.875" style="2235" customWidth="1"/>
    <col min="2306" max="2306" width="13.25" style="2235" customWidth="1"/>
    <col min="2307" max="2307" width="15.625" style="2235" customWidth="1"/>
    <col min="2308" max="2308" width="9.375" style="2235" bestFit="1" customWidth="1"/>
    <col min="2309" max="2309" width="13.5" style="2235" customWidth="1"/>
    <col min="2310" max="2310" width="9" style="2235"/>
    <col min="2311" max="2311" width="9.375" style="2235" bestFit="1" customWidth="1"/>
    <col min="2312" max="2313" width="9" style="2235"/>
    <col min="2314" max="2314" width="9.375" style="2235" bestFit="1" customWidth="1"/>
    <col min="2315" max="2315" width="4" style="2235" customWidth="1"/>
    <col min="2316" max="2316" width="5.125" style="2235" customWidth="1"/>
    <col min="2317" max="2317" width="13.75" style="2235" customWidth="1"/>
    <col min="2318" max="2560" width="9" style="2235"/>
    <col min="2561" max="2561" width="4.875" style="2235" customWidth="1"/>
    <col min="2562" max="2562" width="13.25" style="2235" customWidth="1"/>
    <col min="2563" max="2563" width="15.625" style="2235" customWidth="1"/>
    <col min="2564" max="2564" width="9.375" style="2235" bestFit="1" customWidth="1"/>
    <col min="2565" max="2565" width="13.5" style="2235" customWidth="1"/>
    <col min="2566" max="2566" width="9" style="2235"/>
    <col min="2567" max="2567" width="9.375" style="2235" bestFit="1" customWidth="1"/>
    <col min="2568" max="2569" width="9" style="2235"/>
    <col min="2570" max="2570" width="9.375" style="2235" bestFit="1" customWidth="1"/>
    <col min="2571" max="2571" width="4" style="2235" customWidth="1"/>
    <col min="2572" max="2572" width="5.125" style="2235" customWidth="1"/>
    <col min="2573" max="2573" width="13.75" style="2235" customWidth="1"/>
    <col min="2574" max="2816" width="9" style="2235"/>
    <col min="2817" max="2817" width="4.875" style="2235" customWidth="1"/>
    <col min="2818" max="2818" width="13.25" style="2235" customWidth="1"/>
    <col min="2819" max="2819" width="15.625" style="2235" customWidth="1"/>
    <col min="2820" max="2820" width="9.375" style="2235" bestFit="1" customWidth="1"/>
    <col min="2821" max="2821" width="13.5" style="2235" customWidth="1"/>
    <col min="2822" max="2822" width="9" style="2235"/>
    <col min="2823" max="2823" width="9.375" style="2235" bestFit="1" customWidth="1"/>
    <col min="2824" max="2825" width="9" style="2235"/>
    <col min="2826" max="2826" width="9.375" style="2235" bestFit="1" customWidth="1"/>
    <col min="2827" max="2827" width="4" style="2235" customWidth="1"/>
    <col min="2828" max="2828" width="5.125" style="2235" customWidth="1"/>
    <col min="2829" max="2829" width="13.75" style="2235" customWidth="1"/>
    <col min="2830" max="3072" width="9" style="2235"/>
    <col min="3073" max="3073" width="4.875" style="2235" customWidth="1"/>
    <col min="3074" max="3074" width="13.25" style="2235" customWidth="1"/>
    <col min="3075" max="3075" width="15.625" style="2235" customWidth="1"/>
    <col min="3076" max="3076" width="9.375" style="2235" bestFit="1" customWidth="1"/>
    <col min="3077" max="3077" width="13.5" style="2235" customWidth="1"/>
    <col min="3078" max="3078" width="9" style="2235"/>
    <col min="3079" max="3079" width="9.375" style="2235" bestFit="1" customWidth="1"/>
    <col min="3080" max="3081" width="9" style="2235"/>
    <col min="3082" max="3082" width="9.375" style="2235" bestFit="1" customWidth="1"/>
    <col min="3083" max="3083" width="4" style="2235" customWidth="1"/>
    <col min="3084" max="3084" width="5.125" style="2235" customWidth="1"/>
    <col min="3085" max="3085" width="13.75" style="2235" customWidth="1"/>
    <col min="3086" max="3328" width="9" style="2235"/>
    <col min="3329" max="3329" width="4.875" style="2235" customWidth="1"/>
    <col min="3330" max="3330" width="13.25" style="2235" customWidth="1"/>
    <col min="3331" max="3331" width="15.625" style="2235" customWidth="1"/>
    <col min="3332" max="3332" width="9.375" style="2235" bestFit="1" customWidth="1"/>
    <col min="3333" max="3333" width="13.5" style="2235" customWidth="1"/>
    <col min="3334" max="3334" width="9" style="2235"/>
    <col min="3335" max="3335" width="9.375" style="2235" bestFit="1" customWidth="1"/>
    <col min="3336" max="3337" width="9" style="2235"/>
    <col min="3338" max="3338" width="9.375" style="2235" bestFit="1" customWidth="1"/>
    <col min="3339" max="3339" width="4" style="2235" customWidth="1"/>
    <col min="3340" max="3340" width="5.125" style="2235" customWidth="1"/>
    <col min="3341" max="3341" width="13.75" style="2235" customWidth="1"/>
    <col min="3342" max="3584" width="9" style="2235"/>
    <col min="3585" max="3585" width="4.875" style="2235" customWidth="1"/>
    <col min="3586" max="3586" width="13.25" style="2235" customWidth="1"/>
    <col min="3587" max="3587" width="15.625" style="2235" customWidth="1"/>
    <col min="3588" max="3588" width="9.375" style="2235" bestFit="1" customWidth="1"/>
    <col min="3589" max="3589" width="13.5" style="2235" customWidth="1"/>
    <col min="3590" max="3590" width="9" style="2235"/>
    <col min="3591" max="3591" width="9.375" style="2235" bestFit="1" customWidth="1"/>
    <col min="3592" max="3593" width="9" style="2235"/>
    <col min="3594" max="3594" width="9.375" style="2235" bestFit="1" customWidth="1"/>
    <col min="3595" max="3595" width="4" style="2235" customWidth="1"/>
    <col min="3596" max="3596" width="5.125" style="2235" customWidth="1"/>
    <col min="3597" max="3597" width="13.75" style="2235" customWidth="1"/>
    <col min="3598" max="3840" width="9" style="2235"/>
    <col min="3841" max="3841" width="4.875" style="2235" customWidth="1"/>
    <col min="3842" max="3842" width="13.25" style="2235" customWidth="1"/>
    <col min="3843" max="3843" width="15.625" style="2235" customWidth="1"/>
    <col min="3844" max="3844" width="9.375" style="2235" bestFit="1" customWidth="1"/>
    <col min="3845" max="3845" width="13.5" style="2235" customWidth="1"/>
    <col min="3846" max="3846" width="9" style="2235"/>
    <col min="3847" max="3847" width="9.375" style="2235" bestFit="1" customWidth="1"/>
    <col min="3848" max="3849" width="9" style="2235"/>
    <col min="3850" max="3850" width="9.375" style="2235" bestFit="1" customWidth="1"/>
    <col min="3851" max="3851" width="4" style="2235" customWidth="1"/>
    <col min="3852" max="3852" width="5.125" style="2235" customWidth="1"/>
    <col min="3853" max="3853" width="13.75" style="2235" customWidth="1"/>
    <col min="3854" max="4096" width="9" style="2235"/>
    <col min="4097" max="4097" width="4.875" style="2235" customWidth="1"/>
    <col min="4098" max="4098" width="13.25" style="2235" customWidth="1"/>
    <col min="4099" max="4099" width="15.625" style="2235" customWidth="1"/>
    <col min="4100" max="4100" width="9.375" style="2235" bestFit="1" customWidth="1"/>
    <col min="4101" max="4101" width="13.5" style="2235" customWidth="1"/>
    <col min="4102" max="4102" width="9" style="2235"/>
    <col min="4103" max="4103" width="9.375" style="2235" bestFit="1" customWidth="1"/>
    <col min="4104" max="4105" width="9" style="2235"/>
    <col min="4106" max="4106" width="9.375" style="2235" bestFit="1" customWidth="1"/>
    <col min="4107" max="4107" width="4" style="2235" customWidth="1"/>
    <col min="4108" max="4108" width="5.125" style="2235" customWidth="1"/>
    <col min="4109" max="4109" width="13.75" style="2235" customWidth="1"/>
    <col min="4110" max="4352" width="9" style="2235"/>
    <col min="4353" max="4353" width="4.875" style="2235" customWidth="1"/>
    <col min="4354" max="4354" width="13.25" style="2235" customWidth="1"/>
    <col min="4355" max="4355" width="15.625" style="2235" customWidth="1"/>
    <col min="4356" max="4356" width="9.375" style="2235" bestFit="1" customWidth="1"/>
    <col min="4357" max="4357" width="13.5" style="2235" customWidth="1"/>
    <col min="4358" max="4358" width="9" style="2235"/>
    <col min="4359" max="4359" width="9.375" style="2235" bestFit="1" customWidth="1"/>
    <col min="4360" max="4361" width="9" style="2235"/>
    <col min="4362" max="4362" width="9.375" style="2235" bestFit="1" customWidth="1"/>
    <col min="4363" max="4363" width="4" style="2235" customWidth="1"/>
    <col min="4364" max="4364" width="5.125" style="2235" customWidth="1"/>
    <col min="4365" max="4365" width="13.75" style="2235" customWidth="1"/>
    <col min="4366" max="4608" width="9" style="2235"/>
    <col min="4609" max="4609" width="4.875" style="2235" customWidth="1"/>
    <col min="4610" max="4610" width="13.25" style="2235" customWidth="1"/>
    <col min="4611" max="4611" width="15.625" style="2235" customWidth="1"/>
    <col min="4612" max="4612" width="9.375" style="2235" bestFit="1" customWidth="1"/>
    <col min="4613" max="4613" width="13.5" style="2235" customWidth="1"/>
    <col min="4614" max="4614" width="9" style="2235"/>
    <col min="4615" max="4615" width="9.375" style="2235" bestFit="1" customWidth="1"/>
    <col min="4616" max="4617" width="9" style="2235"/>
    <col min="4618" max="4618" width="9.375" style="2235" bestFit="1" customWidth="1"/>
    <col min="4619" max="4619" width="4" style="2235" customWidth="1"/>
    <col min="4620" max="4620" width="5.125" style="2235" customWidth="1"/>
    <col min="4621" max="4621" width="13.75" style="2235" customWidth="1"/>
    <col min="4622" max="4864" width="9" style="2235"/>
    <col min="4865" max="4865" width="4.875" style="2235" customWidth="1"/>
    <col min="4866" max="4866" width="13.25" style="2235" customWidth="1"/>
    <col min="4867" max="4867" width="15.625" style="2235" customWidth="1"/>
    <col min="4868" max="4868" width="9.375" style="2235" bestFit="1" customWidth="1"/>
    <col min="4869" max="4869" width="13.5" style="2235" customWidth="1"/>
    <col min="4870" max="4870" width="9" style="2235"/>
    <col min="4871" max="4871" width="9.375" style="2235" bestFit="1" customWidth="1"/>
    <col min="4872" max="4873" width="9" style="2235"/>
    <col min="4874" max="4874" width="9.375" style="2235" bestFit="1" customWidth="1"/>
    <col min="4875" max="4875" width="4" style="2235" customWidth="1"/>
    <col min="4876" max="4876" width="5.125" style="2235" customWidth="1"/>
    <col min="4877" max="4877" width="13.75" style="2235" customWidth="1"/>
    <col min="4878" max="5120" width="9" style="2235"/>
    <col min="5121" max="5121" width="4.875" style="2235" customWidth="1"/>
    <col min="5122" max="5122" width="13.25" style="2235" customWidth="1"/>
    <col min="5123" max="5123" width="15.625" style="2235" customWidth="1"/>
    <col min="5124" max="5124" width="9.375" style="2235" bestFit="1" customWidth="1"/>
    <col min="5125" max="5125" width="13.5" style="2235" customWidth="1"/>
    <col min="5126" max="5126" width="9" style="2235"/>
    <col min="5127" max="5127" width="9.375" style="2235" bestFit="1" customWidth="1"/>
    <col min="5128" max="5129" width="9" style="2235"/>
    <col min="5130" max="5130" width="9.375" style="2235" bestFit="1" customWidth="1"/>
    <col min="5131" max="5131" width="4" style="2235" customWidth="1"/>
    <col min="5132" max="5132" width="5.125" style="2235" customWidth="1"/>
    <col min="5133" max="5133" width="13.75" style="2235" customWidth="1"/>
    <col min="5134" max="5376" width="9" style="2235"/>
    <col min="5377" max="5377" width="4.875" style="2235" customWidth="1"/>
    <col min="5378" max="5378" width="13.25" style="2235" customWidth="1"/>
    <col min="5379" max="5379" width="15.625" style="2235" customWidth="1"/>
    <col min="5380" max="5380" width="9.375" style="2235" bestFit="1" customWidth="1"/>
    <col min="5381" max="5381" width="13.5" style="2235" customWidth="1"/>
    <col min="5382" max="5382" width="9" style="2235"/>
    <col min="5383" max="5383" width="9.375" style="2235" bestFit="1" customWidth="1"/>
    <col min="5384" max="5385" width="9" style="2235"/>
    <col min="5386" max="5386" width="9.375" style="2235" bestFit="1" customWidth="1"/>
    <col min="5387" max="5387" width="4" style="2235" customWidth="1"/>
    <col min="5388" max="5388" width="5.125" style="2235" customWidth="1"/>
    <col min="5389" max="5389" width="13.75" style="2235" customWidth="1"/>
    <col min="5390" max="5632" width="9" style="2235"/>
    <col min="5633" max="5633" width="4.875" style="2235" customWidth="1"/>
    <col min="5634" max="5634" width="13.25" style="2235" customWidth="1"/>
    <col min="5635" max="5635" width="15.625" style="2235" customWidth="1"/>
    <col min="5636" max="5636" width="9.375" style="2235" bestFit="1" customWidth="1"/>
    <col min="5637" max="5637" width="13.5" style="2235" customWidth="1"/>
    <col min="5638" max="5638" width="9" style="2235"/>
    <col min="5639" max="5639" width="9.375" style="2235" bestFit="1" customWidth="1"/>
    <col min="5640" max="5641" width="9" style="2235"/>
    <col min="5642" max="5642" width="9.375" style="2235" bestFit="1" customWidth="1"/>
    <col min="5643" max="5643" width="4" style="2235" customWidth="1"/>
    <col min="5644" max="5644" width="5.125" style="2235" customWidth="1"/>
    <col min="5645" max="5645" width="13.75" style="2235" customWidth="1"/>
    <col min="5646" max="5888" width="9" style="2235"/>
    <col min="5889" max="5889" width="4.875" style="2235" customWidth="1"/>
    <col min="5890" max="5890" width="13.25" style="2235" customWidth="1"/>
    <col min="5891" max="5891" width="15.625" style="2235" customWidth="1"/>
    <col min="5892" max="5892" width="9.375" style="2235" bestFit="1" customWidth="1"/>
    <col min="5893" max="5893" width="13.5" style="2235" customWidth="1"/>
    <col min="5894" max="5894" width="9" style="2235"/>
    <col min="5895" max="5895" width="9.375" style="2235" bestFit="1" customWidth="1"/>
    <col min="5896" max="5897" width="9" style="2235"/>
    <col min="5898" max="5898" width="9.375" style="2235" bestFit="1" customWidth="1"/>
    <col min="5899" max="5899" width="4" style="2235" customWidth="1"/>
    <col min="5900" max="5900" width="5.125" style="2235" customWidth="1"/>
    <col min="5901" max="5901" width="13.75" style="2235" customWidth="1"/>
    <col min="5902" max="6144" width="9" style="2235"/>
    <col min="6145" max="6145" width="4.875" style="2235" customWidth="1"/>
    <col min="6146" max="6146" width="13.25" style="2235" customWidth="1"/>
    <col min="6147" max="6147" width="15.625" style="2235" customWidth="1"/>
    <col min="6148" max="6148" width="9.375" style="2235" bestFit="1" customWidth="1"/>
    <col min="6149" max="6149" width="13.5" style="2235" customWidth="1"/>
    <col min="6150" max="6150" width="9" style="2235"/>
    <col min="6151" max="6151" width="9.375" style="2235" bestFit="1" customWidth="1"/>
    <col min="6152" max="6153" width="9" style="2235"/>
    <col min="6154" max="6154" width="9.375" style="2235" bestFit="1" customWidth="1"/>
    <col min="6155" max="6155" width="4" style="2235" customWidth="1"/>
    <col min="6156" max="6156" width="5.125" style="2235" customWidth="1"/>
    <col min="6157" max="6157" width="13.75" style="2235" customWidth="1"/>
    <col min="6158" max="6400" width="9" style="2235"/>
    <col min="6401" max="6401" width="4.875" style="2235" customWidth="1"/>
    <col min="6402" max="6402" width="13.25" style="2235" customWidth="1"/>
    <col min="6403" max="6403" width="15.625" style="2235" customWidth="1"/>
    <col min="6404" max="6404" width="9.375" style="2235" bestFit="1" customWidth="1"/>
    <col min="6405" max="6405" width="13.5" style="2235" customWidth="1"/>
    <col min="6406" max="6406" width="9" style="2235"/>
    <col min="6407" max="6407" width="9.375" style="2235" bestFit="1" customWidth="1"/>
    <col min="6408" max="6409" width="9" style="2235"/>
    <col min="6410" max="6410" width="9.375" style="2235" bestFit="1" customWidth="1"/>
    <col min="6411" max="6411" width="4" style="2235" customWidth="1"/>
    <col min="6412" max="6412" width="5.125" style="2235" customWidth="1"/>
    <col min="6413" max="6413" width="13.75" style="2235" customWidth="1"/>
    <col min="6414" max="6656" width="9" style="2235"/>
    <col min="6657" max="6657" width="4.875" style="2235" customWidth="1"/>
    <col min="6658" max="6658" width="13.25" style="2235" customWidth="1"/>
    <col min="6659" max="6659" width="15.625" style="2235" customWidth="1"/>
    <col min="6660" max="6660" width="9.375" style="2235" bestFit="1" customWidth="1"/>
    <col min="6661" max="6661" width="13.5" style="2235" customWidth="1"/>
    <col min="6662" max="6662" width="9" style="2235"/>
    <col min="6663" max="6663" width="9.375" style="2235" bestFit="1" customWidth="1"/>
    <col min="6664" max="6665" width="9" style="2235"/>
    <col min="6666" max="6666" width="9.375" style="2235" bestFit="1" customWidth="1"/>
    <col min="6667" max="6667" width="4" style="2235" customWidth="1"/>
    <col min="6668" max="6668" width="5.125" style="2235" customWidth="1"/>
    <col min="6669" max="6669" width="13.75" style="2235" customWidth="1"/>
    <col min="6670" max="6912" width="9" style="2235"/>
    <col min="6913" max="6913" width="4.875" style="2235" customWidth="1"/>
    <col min="6914" max="6914" width="13.25" style="2235" customWidth="1"/>
    <col min="6915" max="6915" width="15.625" style="2235" customWidth="1"/>
    <col min="6916" max="6916" width="9.375" style="2235" bestFit="1" customWidth="1"/>
    <col min="6917" max="6917" width="13.5" style="2235" customWidth="1"/>
    <col min="6918" max="6918" width="9" style="2235"/>
    <col min="6919" max="6919" width="9.375" style="2235" bestFit="1" customWidth="1"/>
    <col min="6920" max="6921" width="9" style="2235"/>
    <col min="6922" max="6922" width="9.375" style="2235" bestFit="1" customWidth="1"/>
    <col min="6923" max="6923" width="4" style="2235" customWidth="1"/>
    <col min="6924" max="6924" width="5.125" style="2235" customWidth="1"/>
    <col min="6925" max="6925" width="13.75" style="2235" customWidth="1"/>
    <col min="6926" max="7168" width="9" style="2235"/>
    <col min="7169" max="7169" width="4.875" style="2235" customWidth="1"/>
    <col min="7170" max="7170" width="13.25" style="2235" customWidth="1"/>
    <col min="7171" max="7171" width="15.625" style="2235" customWidth="1"/>
    <col min="7172" max="7172" width="9.375" style="2235" bestFit="1" customWidth="1"/>
    <col min="7173" max="7173" width="13.5" style="2235" customWidth="1"/>
    <col min="7174" max="7174" width="9" style="2235"/>
    <col min="7175" max="7175" width="9.375" style="2235" bestFit="1" customWidth="1"/>
    <col min="7176" max="7177" width="9" style="2235"/>
    <col min="7178" max="7178" width="9.375" style="2235" bestFit="1" customWidth="1"/>
    <col min="7179" max="7179" width="4" style="2235" customWidth="1"/>
    <col min="7180" max="7180" width="5.125" style="2235" customWidth="1"/>
    <col min="7181" max="7181" width="13.75" style="2235" customWidth="1"/>
    <col min="7182" max="7424" width="9" style="2235"/>
    <col min="7425" max="7425" width="4.875" style="2235" customWidth="1"/>
    <col min="7426" max="7426" width="13.25" style="2235" customWidth="1"/>
    <col min="7427" max="7427" width="15.625" style="2235" customWidth="1"/>
    <col min="7428" max="7428" width="9.375" style="2235" bestFit="1" customWidth="1"/>
    <col min="7429" max="7429" width="13.5" style="2235" customWidth="1"/>
    <col min="7430" max="7430" width="9" style="2235"/>
    <col min="7431" max="7431" width="9.375" style="2235" bestFit="1" customWidth="1"/>
    <col min="7432" max="7433" width="9" style="2235"/>
    <col min="7434" max="7434" width="9.375" style="2235" bestFit="1" customWidth="1"/>
    <col min="7435" max="7435" width="4" style="2235" customWidth="1"/>
    <col min="7436" max="7436" width="5.125" style="2235" customWidth="1"/>
    <col min="7437" max="7437" width="13.75" style="2235" customWidth="1"/>
    <col min="7438" max="7680" width="9" style="2235"/>
    <col min="7681" max="7681" width="4.875" style="2235" customWidth="1"/>
    <col min="7682" max="7682" width="13.25" style="2235" customWidth="1"/>
    <col min="7683" max="7683" width="15.625" style="2235" customWidth="1"/>
    <col min="7684" max="7684" width="9.375" style="2235" bestFit="1" customWidth="1"/>
    <col min="7685" max="7685" width="13.5" style="2235" customWidth="1"/>
    <col min="7686" max="7686" width="9" style="2235"/>
    <col min="7687" max="7687" width="9.375" style="2235" bestFit="1" customWidth="1"/>
    <col min="7688" max="7689" width="9" style="2235"/>
    <col min="7690" max="7690" width="9.375" style="2235" bestFit="1" customWidth="1"/>
    <col min="7691" max="7691" width="4" style="2235" customWidth="1"/>
    <col min="7692" max="7692" width="5.125" style="2235" customWidth="1"/>
    <col min="7693" max="7693" width="13.75" style="2235" customWidth="1"/>
    <col min="7694" max="7936" width="9" style="2235"/>
    <col min="7937" max="7937" width="4.875" style="2235" customWidth="1"/>
    <col min="7938" max="7938" width="13.25" style="2235" customWidth="1"/>
    <col min="7939" max="7939" width="15.625" style="2235" customWidth="1"/>
    <col min="7940" max="7940" width="9.375" style="2235" bestFit="1" customWidth="1"/>
    <col min="7941" max="7941" width="13.5" style="2235" customWidth="1"/>
    <col min="7942" max="7942" width="9" style="2235"/>
    <col min="7943" max="7943" width="9.375" style="2235" bestFit="1" customWidth="1"/>
    <col min="7944" max="7945" width="9" style="2235"/>
    <col min="7946" max="7946" width="9.375" style="2235" bestFit="1" customWidth="1"/>
    <col min="7947" max="7947" width="4" style="2235" customWidth="1"/>
    <col min="7948" max="7948" width="5.125" style="2235" customWidth="1"/>
    <col min="7949" max="7949" width="13.75" style="2235" customWidth="1"/>
    <col min="7950" max="8192" width="9" style="2235"/>
    <col min="8193" max="8193" width="4.875" style="2235" customWidth="1"/>
    <col min="8194" max="8194" width="13.25" style="2235" customWidth="1"/>
    <col min="8195" max="8195" width="15.625" style="2235" customWidth="1"/>
    <col min="8196" max="8196" width="9.375" style="2235" bestFit="1" customWidth="1"/>
    <col min="8197" max="8197" width="13.5" style="2235" customWidth="1"/>
    <col min="8198" max="8198" width="9" style="2235"/>
    <col min="8199" max="8199" width="9.375" style="2235" bestFit="1" customWidth="1"/>
    <col min="8200" max="8201" width="9" style="2235"/>
    <col min="8202" max="8202" width="9.375" style="2235" bestFit="1" customWidth="1"/>
    <col min="8203" max="8203" width="4" style="2235" customWidth="1"/>
    <col min="8204" max="8204" width="5.125" style="2235" customWidth="1"/>
    <col min="8205" max="8205" width="13.75" style="2235" customWidth="1"/>
    <col min="8206" max="8448" width="9" style="2235"/>
    <col min="8449" max="8449" width="4.875" style="2235" customWidth="1"/>
    <col min="8450" max="8450" width="13.25" style="2235" customWidth="1"/>
    <col min="8451" max="8451" width="15.625" style="2235" customWidth="1"/>
    <col min="8452" max="8452" width="9.375" style="2235" bestFit="1" customWidth="1"/>
    <col min="8453" max="8453" width="13.5" style="2235" customWidth="1"/>
    <col min="8454" max="8454" width="9" style="2235"/>
    <col min="8455" max="8455" width="9.375" style="2235" bestFit="1" customWidth="1"/>
    <col min="8456" max="8457" width="9" style="2235"/>
    <col min="8458" max="8458" width="9.375" style="2235" bestFit="1" customWidth="1"/>
    <col min="8459" max="8459" width="4" style="2235" customWidth="1"/>
    <col min="8460" max="8460" width="5.125" style="2235" customWidth="1"/>
    <col min="8461" max="8461" width="13.75" style="2235" customWidth="1"/>
    <col min="8462" max="8704" width="9" style="2235"/>
    <col min="8705" max="8705" width="4.875" style="2235" customWidth="1"/>
    <col min="8706" max="8706" width="13.25" style="2235" customWidth="1"/>
    <col min="8707" max="8707" width="15.625" style="2235" customWidth="1"/>
    <col min="8708" max="8708" width="9.375" style="2235" bestFit="1" customWidth="1"/>
    <col min="8709" max="8709" width="13.5" style="2235" customWidth="1"/>
    <col min="8710" max="8710" width="9" style="2235"/>
    <col min="8711" max="8711" width="9.375" style="2235" bestFit="1" customWidth="1"/>
    <col min="8712" max="8713" width="9" style="2235"/>
    <col min="8714" max="8714" width="9.375" style="2235" bestFit="1" customWidth="1"/>
    <col min="8715" max="8715" width="4" style="2235" customWidth="1"/>
    <col min="8716" max="8716" width="5.125" style="2235" customWidth="1"/>
    <col min="8717" max="8717" width="13.75" style="2235" customWidth="1"/>
    <col min="8718" max="8960" width="9" style="2235"/>
    <col min="8961" max="8961" width="4.875" style="2235" customWidth="1"/>
    <col min="8962" max="8962" width="13.25" style="2235" customWidth="1"/>
    <col min="8963" max="8963" width="15.625" style="2235" customWidth="1"/>
    <col min="8964" max="8964" width="9.375" style="2235" bestFit="1" customWidth="1"/>
    <col min="8965" max="8965" width="13.5" style="2235" customWidth="1"/>
    <col min="8966" max="8966" width="9" style="2235"/>
    <col min="8967" max="8967" width="9.375" style="2235" bestFit="1" customWidth="1"/>
    <col min="8968" max="8969" width="9" style="2235"/>
    <col min="8970" max="8970" width="9.375" style="2235" bestFit="1" customWidth="1"/>
    <col min="8971" max="8971" width="4" style="2235" customWidth="1"/>
    <col min="8972" max="8972" width="5.125" style="2235" customWidth="1"/>
    <col min="8973" max="8973" width="13.75" style="2235" customWidth="1"/>
    <col min="8974" max="9216" width="9" style="2235"/>
    <col min="9217" max="9217" width="4.875" style="2235" customWidth="1"/>
    <col min="9218" max="9218" width="13.25" style="2235" customWidth="1"/>
    <col min="9219" max="9219" width="15.625" style="2235" customWidth="1"/>
    <col min="9220" max="9220" width="9.375" style="2235" bestFit="1" customWidth="1"/>
    <col min="9221" max="9221" width="13.5" style="2235" customWidth="1"/>
    <col min="9222" max="9222" width="9" style="2235"/>
    <col min="9223" max="9223" width="9.375" style="2235" bestFit="1" customWidth="1"/>
    <col min="9224" max="9225" width="9" style="2235"/>
    <col min="9226" max="9226" width="9.375" style="2235" bestFit="1" customWidth="1"/>
    <col min="9227" max="9227" width="4" style="2235" customWidth="1"/>
    <col min="9228" max="9228" width="5.125" style="2235" customWidth="1"/>
    <col min="9229" max="9229" width="13.75" style="2235" customWidth="1"/>
    <col min="9230" max="9472" width="9" style="2235"/>
    <col min="9473" max="9473" width="4.875" style="2235" customWidth="1"/>
    <col min="9474" max="9474" width="13.25" style="2235" customWidth="1"/>
    <col min="9475" max="9475" width="15.625" style="2235" customWidth="1"/>
    <col min="9476" max="9476" width="9.375" style="2235" bestFit="1" customWidth="1"/>
    <col min="9477" max="9477" width="13.5" style="2235" customWidth="1"/>
    <col min="9478" max="9478" width="9" style="2235"/>
    <col min="9479" max="9479" width="9.375" style="2235" bestFit="1" customWidth="1"/>
    <col min="9480" max="9481" width="9" style="2235"/>
    <col min="9482" max="9482" width="9.375" style="2235" bestFit="1" customWidth="1"/>
    <col min="9483" max="9483" width="4" style="2235" customWidth="1"/>
    <col min="9484" max="9484" width="5.125" style="2235" customWidth="1"/>
    <col min="9485" max="9485" width="13.75" style="2235" customWidth="1"/>
    <col min="9486" max="9728" width="9" style="2235"/>
    <col min="9729" max="9729" width="4.875" style="2235" customWidth="1"/>
    <col min="9730" max="9730" width="13.25" style="2235" customWidth="1"/>
    <col min="9731" max="9731" width="15.625" style="2235" customWidth="1"/>
    <col min="9732" max="9732" width="9.375" style="2235" bestFit="1" customWidth="1"/>
    <col min="9733" max="9733" width="13.5" style="2235" customWidth="1"/>
    <col min="9734" max="9734" width="9" style="2235"/>
    <col min="9735" max="9735" width="9.375" style="2235" bestFit="1" customWidth="1"/>
    <col min="9736" max="9737" width="9" style="2235"/>
    <col min="9738" max="9738" width="9.375" style="2235" bestFit="1" customWidth="1"/>
    <col min="9739" max="9739" width="4" style="2235" customWidth="1"/>
    <col min="9740" max="9740" width="5.125" style="2235" customWidth="1"/>
    <col min="9741" max="9741" width="13.75" style="2235" customWidth="1"/>
    <col min="9742" max="9984" width="9" style="2235"/>
    <col min="9985" max="9985" width="4.875" style="2235" customWidth="1"/>
    <col min="9986" max="9986" width="13.25" style="2235" customWidth="1"/>
    <col min="9987" max="9987" width="15.625" style="2235" customWidth="1"/>
    <col min="9988" max="9988" width="9.375" style="2235" bestFit="1" customWidth="1"/>
    <col min="9989" max="9989" width="13.5" style="2235" customWidth="1"/>
    <col min="9990" max="9990" width="9" style="2235"/>
    <col min="9991" max="9991" width="9.375" style="2235" bestFit="1" customWidth="1"/>
    <col min="9992" max="9993" width="9" style="2235"/>
    <col min="9994" max="9994" width="9.375" style="2235" bestFit="1" customWidth="1"/>
    <col min="9995" max="9995" width="4" style="2235" customWidth="1"/>
    <col min="9996" max="9996" width="5.125" style="2235" customWidth="1"/>
    <col min="9997" max="9997" width="13.75" style="2235" customWidth="1"/>
    <col min="9998" max="10240" width="9" style="2235"/>
    <col min="10241" max="10241" width="4.875" style="2235" customWidth="1"/>
    <col min="10242" max="10242" width="13.25" style="2235" customWidth="1"/>
    <col min="10243" max="10243" width="15.625" style="2235" customWidth="1"/>
    <col min="10244" max="10244" width="9.375" style="2235" bestFit="1" customWidth="1"/>
    <col min="10245" max="10245" width="13.5" style="2235" customWidth="1"/>
    <col min="10246" max="10246" width="9" style="2235"/>
    <col min="10247" max="10247" width="9.375" style="2235" bestFit="1" customWidth="1"/>
    <col min="10248" max="10249" width="9" style="2235"/>
    <col min="10250" max="10250" width="9.375" style="2235" bestFit="1" customWidth="1"/>
    <col min="10251" max="10251" width="4" style="2235" customWidth="1"/>
    <col min="10252" max="10252" width="5.125" style="2235" customWidth="1"/>
    <col min="10253" max="10253" width="13.75" style="2235" customWidth="1"/>
    <col min="10254" max="10496" width="9" style="2235"/>
    <col min="10497" max="10497" width="4.875" style="2235" customWidth="1"/>
    <col min="10498" max="10498" width="13.25" style="2235" customWidth="1"/>
    <col min="10499" max="10499" width="15.625" style="2235" customWidth="1"/>
    <col min="10500" max="10500" width="9.375" style="2235" bestFit="1" customWidth="1"/>
    <col min="10501" max="10501" width="13.5" style="2235" customWidth="1"/>
    <col min="10502" max="10502" width="9" style="2235"/>
    <col min="10503" max="10503" width="9.375" style="2235" bestFit="1" customWidth="1"/>
    <col min="10504" max="10505" width="9" style="2235"/>
    <col min="10506" max="10506" width="9.375" style="2235" bestFit="1" customWidth="1"/>
    <col min="10507" max="10507" width="4" style="2235" customWidth="1"/>
    <col min="10508" max="10508" width="5.125" style="2235" customWidth="1"/>
    <col min="10509" max="10509" width="13.75" style="2235" customWidth="1"/>
    <col min="10510" max="10752" width="9" style="2235"/>
    <col min="10753" max="10753" width="4.875" style="2235" customWidth="1"/>
    <col min="10754" max="10754" width="13.25" style="2235" customWidth="1"/>
    <col min="10755" max="10755" width="15.625" style="2235" customWidth="1"/>
    <col min="10756" max="10756" width="9.375" style="2235" bestFit="1" customWidth="1"/>
    <col min="10757" max="10757" width="13.5" style="2235" customWidth="1"/>
    <col min="10758" max="10758" width="9" style="2235"/>
    <col min="10759" max="10759" width="9.375" style="2235" bestFit="1" customWidth="1"/>
    <col min="10760" max="10761" width="9" style="2235"/>
    <col min="10762" max="10762" width="9.375" style="2235" bestFit="1" customWidth="1"/>
    <col min="10763" max="10763" width="4" style="2235" customWidth="1"/>
    <col min="10764" max="10764" width="5.125" style="2235" customWidth="1"/>
    <col min="10765" max="10765" width="13.75" style="2235" customWidth="1"/>
    <col min="10766" max="11008" width="9" style="2235"/>
    <col min="11009" max="11009" width="4.875" style="2235" customWidth="1"/>
    <col min="11010" max="11010" width="13.25" style="2235" customWidth="1"/>
    <col min="11011" max="11011" width="15.625" style="2235" customWidth="1"/>
    <col min="11012" max="11012" width="9.375" style="2235" bestFit="1" customWidth="1"/>
    <col min="11013" max="11013" width="13.5" style="2235" customWidth="1"/>
    <col min="11014" max="11014" width="9" style="2235"/>
    <col min="11015" max="11015" width="9.375" style="2235" bestFit="1" customWidth="1"/>
    <col min="11016" max="11017" width="9" style="2235"/>
    <col min="11018" max="11018" width="9.375" style="2235" bestFit="1" customWidth="1"/>
    <col min="11019" max="11019" width="4" style="2235" customWidth="1"/>
    <col min="11020" max="11020" width="5.125" style="2235" customWidth="1"/>
    <col min="11021" max="11021" width="13.75" style="2235" customWidth="1"/>
    <col min="11022" max="11264" width="9" style="2235"/>
    <col min="11265" max="11265" width="4.875" style="2235" customWidth="1"/>
    <col min="11266" max="11266" width="13.25" style="2235" customWidth="1"/>
    <col min="11267" max="11267" width="15.625" style="2235" customWidth="1"/>
    <col min="11268" max="11268" width="9.375" style="2235" bestFit="1" customWidth="1"/>
    <col min="11269" max="11269" width="13.5" style="2235" customWidth="1"/>
    <col min="11270" max="11270" width="9" style="2235"/>
    <col min="11271" max="11271" width="9.375" style="2235" bestFit="1" customWidth="1"/>
    <col min="11272" max="11273" width="9" style="2235"/>
    <col min="11274" max="11274" width="9.375" style="2235" bestFit="1" customWidth="1"/>
    <col min="11275" max="11275" width="4" style="2235" customWidth="1"/>
    <col min="11276" max="11276" width="5.125" style="2235" customWidth="1"/>
    <col min="11277" max="11277" width="13.75" style="2235" customWidth="1"/>
    <col min="11278" max="11520" width="9" style="2235"/>
    <col min="11521" max="11521" width="4.875" style="2235" customWidth="1"/>
    <col min="11522" max="11522" width="13.25" style="2235" customWidth="1"/>
    <col min="11523" max="11523" width="15.625" style="2235" customWidth="1"/>
    <col min="11524" max="11524" width="9.375" style="2235" bestFit="1" customWidth="1"/>
    <col min="11525" max="11525" width="13.5" style="2235" customWidth="1"/>
    <col min="11526" max="11526" width="9" style="2235"/>
    <col min="11527" max="11527" width="9.375" style="2235" bestFit="1" customWidth="1"/>
    <col min="11528" max="11529" width="9" style="2235"/>
    <col min="11530" max="11530" width="9.375" style="2235" bestFit="1" customWidth="1"/>
    <col min="11531" max="11531" width="4" style="2235" customWidth="1"/>
    <col min="11532" max="11532" width="5.125" style="2235" customWidth="1"/>
    <col min="11533" max="11533" width="13.75" style="2235" customWidth="1"/>
    <col min="11534" max="11776" width="9" style="2235"/>
    <col min="11777" max="11777" width="4.875" style="2235" customWidth="1"/>
    <col min="11778" max="11778" width="13.25" style="2235" customWidth="1"/>
    <col min="11779" max="11779" width="15.625" style="2235" customWidth="1"/>
    <col min="11780" max="11780" width="9.375" style="2235" bestFit="1" customWidth="1"/>
    <col min="11781" max="11781" width="13.5" style="2235" customWidth="1"/>
    <col min="11782" max="11782" width="9" style="2235"/>
    <col min="11783" max="11783" width="9.375" style="2235" bestFit="1" customWidth="1"/>
    <col min="11784" max="11785" width="9" style="2235"/>
    <col min="11786" max="11786" width="9.375" style="2235" bestFit="1" customWidth="1"/>
    <col min="11787" max="11787" width="4" style="2235" customWidth="1"/>
    <col min="11788" max="11788" width="5.125" style="2235" customWidth="1"/>
    <col min="11789" max="11789" width="13.75" style="2235" customWidth="1"/>
    <col min="11790" max="12032" width="9" style="2235"/>
    <col min="12033" max="12033" width="4.875" style="2235" customWidth="1"/>
    <col min="12034" max="12034" width="13.25" style="2235" customWidth="1"/>
    <col min="12035" max="12035" width="15.625" style="2235" customWidth="1"/>
    <col min="12036" max="12036" width="9.375" style="2235" bestFit="1" customWidth="1"/>
    <col min="12037" max="12037" width="13.5" style="2235" customWidth="1"/>
    <col min="12038" max="12038" width="9" style="2235"/>
    <col min="12039" max="12039" width="9.375" style="2235" bestFit="1" customWidth="1"/>
    <col min="12040" max="12041" width="9" style="2235"/>
    <col min="12042" max="12042" width="9.375" style="2235" bestFit="1" customWidth="1"/>
    <col min="12043" max="12043" width="4" style="2235" customWidth="1"/>
    <col min="12044" max="12044" width="5.125" style="2235" customWidth="1"/>
    <col min="12045" max="12045" width="13.75" style="2235" customWidth="1"/>
    <col min="12046" max="12288" width="9" style="2235"/>
    <col min="12289" max="12289" width="4.875" style="2235" customWidth="1"/>
    <col min="12290" max="12290" width="13.25" style="2235" customWidth="1"/>
    <col min="12291" max="12291" width="15.625" style="2235" customWidth="1"/>
    <col min="12292" max="12292" width="9.375" style="2235" bestFit="1" customWidth="1"/>
    <col min="12293" max="12293" width="13.5" style="2235" customWidth="1"/>
    <col min="12294" max="12294" width="9" style="2235"/>
    <col min="12295" max="12295" width="9.375" style="2235" bestFit="1" customWidth="1"/>
    <col min="12296" max="12297" width="9" style="2235"/>
    <col min="12298" max="12298" width="9.375" style="2235" bestFit="1" customWidth="1"/>
    <col min="12299" max="12299" width="4" style="2235" customWidth="1"/>
    <col min="12300" max="12300" width="5.125" style="2235" customWidth="1"/>
    <col min="12301" max="12301" width="13.75" style="2235" customWidth="1"/>
    <col min="12302" max="12544" width="9" style="2235"/>
    <col min="12545" max="12545" width="4.875" style="2235" customWidth="1"/>
    <col min="12546" max="12546" width="13.25" style="2235" customWidth="1"/>
    <col min="12547" max="12547" width="15.625" style="2235" customWidth="1"/>
    <col min="12548" max="12548" width="9.375" style="2235" bestFit="1" customWidth="1"/>
    <col min="12549" max="12549" width="13.5" style="2235" customWidth="1"/>
    <col min="12550" max="12550" width="9" style="2235"/>
    <col min="12551" max="12551" width="9.375" style="2235" bestFit="1" customWidth="1"/>
    <col min="12552" max="12553" width="9" style="2235"/>
    <col min="12554" max="12554" width="9.375" style="2235" bestFit="1" customWidth="1"/>
    <col min="12555" max="12555" width="4" style="2235" customWidth="1"/>
    <col min="12556" max="12556" width="5.125" style="2235" customWidth="1"/>
    <col min="12557" max="12557" width="13.75" style="2235" customWidth="1"/>
    <col min="12558" max="12800" width="9" style="2235"/>
    <col min="12801" max="12801" width="4.875" style="2235" customWidth="1"/>
    <col min="12802" max="12802" width="13.25" style="2235" customWidth="1"/>
    <col min="12803" max="12803" width="15.625" style="2235" customWidth="1"/>
    <col min="12804" max="12804" width="9.375" style="2235" bestFit="1" customWidth="1"/>
    <col min="12805" max="12805" width="13.5" style="2235" customWidth="1"/>
    <col min="12806" max="12806" width="9" style="2235"/>
    <col min="12807" max="12807" width="9.375" style="2235" bestFit="1" customWidth="1"/>
    <col min="12808" max="12809" width="9" style="2235"/>
    <col min="12810" max="12810" width="9.375" style="2235" bestFit="1" customWidth="1"/>
    <col min="12811" max="12811" width="4" style="2235" customWidth="1"/>
    <col min="12812" max="12812" width="5.125" style="2235" customWidth="1"/>
    <col min="12813" max="12813" width="13.75" style="2235" customWidth="1"/>
    <col min="12814" max="13056" width="9" style="2235"/>
    <col min="13057" max="13057" width="4.875" style="2235" customWidth="1"/>
    <col min="13058" max="13058" width="13.25" style="2235" customWidth="1"/>
    <col min="13059" max="13059" width="15.625" style="2235" customWidth="1"/>
    <col min="13060" max="13060" width="9.375" style="2235" bestFit="1" customWidth="1"/>
    <col min="13061" max="13061" width="13.5" style="2235" customWidth="1"/>
    <col min="13062" max="13062" width="9" style="2235"/>
    <col min="13063" max="13063" width="9.375" style="2235" bestFit="1" customWidth="1"/>
    <col min="13064" max="13065" width="9" style="2235"/>
    <col min="13066" max="13066" width="9.375" style="2235" bestFit="1" customWidth="1"/>
    <col min="13067" max="13067" width="4" style="2235" customWidth="1"/>
    <col min="13068" max="13068" width="5.125" style="2235" customWidth="1"/>
    <col min="13069" max="13069" width="13.75" style="2235" customWidth="1"/>
    <col min="13070" max="13312" width="9" style="2235"/>
    <col min="13313" max="13313" width="4.875" style="2235" customWidth="1"/>
    <col min="13314" max="13314" width="13.25" style="2235" customWidth="1"/>
    <col min="13315" max="13315" width="15.625" style="2235" customWidth="1"/>
    <col min="13316" max="13316" width="9.375" style="2235" bestFit="1" customWidth="1"/>
    <col min="13317" max="13317" width="13.5" style="2235" customWidth="1"/>
    <col min="13318" max="13318" width="9" style="2235"/>
    <col min="13319" max="13319" width="9.375" style="2235" bestFit="1" customWidth="1"/>
    <col min="13320" max="13321" width="9" style="2235"/>
    <col min="13322" max="13322" width="9.375" style="2235" bestFit="1" customWidth="1"/>
    <col min="13323" max="13323" width="4" style="2235" customWidth="1"/>
    <col min="13324" max="13324" width="5.125" style="2235" customWidth="1"/>
    <col min="13325" max="13325" width="13.75" style="2235" customWidth="1"/>
    <col min="13326" max="13568" width="9" style="2235"/>
    <col min="13569" max="13569" width="4.875" style="2235" customWidth="1"/>
    <col min="13570" max="13570" width="13.25" style="2235" customWidth="1"/>
    <col min="13571" max="13571" width="15.625" style="2235" customWidth="1"/>
    <col min="13572" max="13572" width="9.375" style="2235" bestFit="1" customWidth="1"/>
    <col min="13573" max="13573" width="13.5" style="2235" customWidth="1"/>
    <col min="13574" max="13574" width="9" style="2235"/>
    <col min="13575" max="13575" width="9.375" style="2235" bestFit="1" customWidth="1"/>
    <col min="13576" max="13577" width="9" style="2235"/>
    <col min="13578" max="13578" width="9.375" style="2235" bestFit="1" customWidth="1"/>
    <col min="13579" max="13579" width="4" style="2235" customWidth="1"/>
    <col min="13580" max="13580" width="5.125" style="2235" customWidth="1"/>
    <col min="13581" max="13581" width="13.75" style="2235" customWidth="1"/>
    <col min="13582" max="13824" width="9" style="2235"/>
    <col min="13825" max="13825" width="4.875" style="2235" customWidth="1"/>
    <col min="13826" max="13826" width="13.25" style="2235" customWidth="1"/>
    <col min="13827" max="13827" width="15.625" style="2235" customWidth="1"/>
    <col min="13828" max="13828" width="9.375" style="2235" bestFit="1" customWidth="1"/>
    <col min="13829" max="13829" width="13.5" style="2235" customWidth="1"/>
    <col min="13830" max="13830" width="9" style="2235"/>
    <col min="13831" max="13831" width="9.375" style="2235" bestFit="1" customWidth="1"/>
    <col min="13832" max="13833" width="9" style="2235"/>
    <col min="13834" max="13834" width="9.375" style="2235" bestFit="1" customWidth="1"/>
    <col min="13835" max="13835" width="4" style="2235" customWidth="1"/>
    <col min="13836" max="13836" width="5.125" style="2235" customWidth="1"/>
    <col min="13837" max="13837" width="13.75" style="2235" customWidth="1"/>
    <col min="13838" max="14080" width="9" style="2235"/>
    <col min="14081" max="14081" width="4.875" style="2235" customWidth="1"/>
    <col min="14082" max="14082" width="13.25" style="2235" customWidth="1"/>
    <col min="14083" max="14083" width="15.625" style="2235" customWidth="1"/>
    <col min="14084" max="14084" width="9.375" style="2235" bestFit="1" customWidth="1"/>
    <col min="14085" max="14085" width="13.5" style="2235" customWidth="1"/>
    <col min="14086" max="14086" width="9" style="2235"/>
    <col min="14087" max="14087" width="9.375" style="2235" bestFit="1" customWidth="1"/>
    <col min="14088" max="14089" width="9" style="2235"/>
    <col min="14090" max="14090" width="9.375" style="2235" bestFit="1" customWidth="1"/>
    <col min="14091" max="14091" width="4" style="2235" customWidth="1"/>
    <col min="14092" max="14092" width="5.125" style="2235" customWidth="1"/>
    <col min="14093" max="14093" width="13.75" style="2235" customWidth="1"/>
    <col min="14094" max="14336" width="9" style="2235"/>
    <col min="14337" max="14337" width="4.875" style="2235" customWidth="1"/>
    <col min="14338" max="14338" width="13.25" style="2235" customWidth="1"/>
    <col min="14339" max="14339" width="15.625" style="2235" customWidth="1"/>
    <col min="14340" max="14340" width="9.375" style="2235" bestFit="1" customWidth="1"/>
    <col min="14341" max="14341" width="13.5" style="2235" customWidth="1"/>
    <col min="14342" max="14342" width="9" style="2235"/>
    <col min="14343" max="14343" width="9.375" style="2235" bestFit="1" customWidth="1"/>
    <col min="14344" max="14345" width="9" style="2235"/>
    <col min="14346" max="14346" width="9.375" style="2235" bestFit="1" customWidth="1"/>
    <col min="14347" max="14347" width="4" style="2235" customWidth="1"/>
    <col min="14348" max="14348" width="5.125" style="2235" customWidth="1"/>
    <col min="14349" max="14349" width="13.75" style="2235" customWidth="1"/>
    <col min="14350" max="14592" width="9" style="2235"/>
    <col min="14593" max="14593" width="4.875" style="2235" customWidth="1"/>
    <col min="14594" max="14594" width="13.25" style="2235" customWidth="1"/>
    <col min="14595" max="14595" width="15.625" style="2235" customWidth="1"/>
    <col min="14596" max="14596" width="9.375" style="2235" bestFit="1" customWidth="1"/>
    <col min="14597" max="14597" width="13.5" style="2235" customWidth="1"/>
    <col min="14598" max="14598" width="9" style="2235"/>
    <col min="14599" max="14599" width="9.375" style="2235" bestFit="1" customWidth="1"/>
    <col min="14600" max="14601" width="9" style="2235"/>
    <col min="14602" max="14602" width="9.375" style="2235" bestFit="1" customWidth="1"/>
    <col min="14603" max="14603" width="4" style="2235" customWidth="1"/>
    <col min="14604" max="14604" width="5.125" style="2235" customWidth="1"/>
    <col min="14605" max="14605" width="13.75" style="2235" customWidth="1"/>
    <col min="14606" max="14848" width="9" style="2235"/>
    <col min="14849" max="14849" width="4.875" style="2235" customWidth="1"/>
    <col min="14850" max="14850" width="13.25" style="2235" customWidth="1"/>
    <col min="14851" max="14851" width="15.625" style="2235" customWidth="1"/>
    <col min="14852" max="14852" width="9.375" style="2235" bestFit="1" customWidth="1"/>
    <col min="14853" max="14853" width="13.5" style="2235" customWidth="1"/>
    <col min="14854" max="14854" width="9" style="2235"/>
    <col min="14855" max="14855" width="9.375" style="2235" bestFit="1" customWidth="1"/>
    <col min="14856" max="14857" width="9" style="2235"/>
    <col min="14858" max="14858" width="9.375" style="2235" bestFit="1" customWidth="1"/>
    <col min="14859" max="14859" width="4" style="2235" customWidth="1"/>
    <col min="14860" max="14860" width="5.125" style="2235" customWidth="1"/>
    <col min="14861" max="14861" width="13.75" style="2235" customWidth="1"/>
    <col min="14862" max="15104" width="9" style="2235"/>
    <col min="15105" max="15105" width="4.875" style="2235" customWidth="1"/>
    <col min="15106" max="15106" width="13.25" style="2235" customWidth="1"/>
    <col min="15107" max="15107" width="15.625" style="2235" customWidth="1"/>
    <col min="15108" max="15108" width="9.375" style="2235" bestFit="1" customWidth="1"/>
    <col min="15109" max="15109" width="13.5" style="2235" customWidth="1"/>
    <col min="15110" max="15110" width="9" style="2235"/>
    <col min="15111" max="15111" width="9.375" style="2235" bestFit="1" customWidth="1"/>
    <col min="15112" max="15113" width="9" style="2235"/>
    <col min="15114" max="15114" width="9.375" style="2235" bestFit="1" customWidth="1"/>
    <col min="15115" max="15115" width="4" style="2235" customWidth="1"/>
    <col min="15116" max="15116" width="5.125" style="2235" customWidth="1"/>
    <col min="15117" max="15117" width="13.75" style="2235" customWidth="1"/>
    <col min="15118" max="15360" width="9" style="2235"/>
    <col min="15361" max="15361" width="4.875" style="2235" customWidth="1"/>
    <col min="15362" max="15362" width="13.25" style="2235" customWidth="1"/>
    <col min="15363" max="15363" width="15.625" style="2235" customWidth="1"/>
    <col min="15364" max="15364" width="9.375" style="2235" bestFit="1" customWidth="1"/>
    <col min="15365" max="15365" width="13.5" style="2235" customWidth="1"/>
    <col min="15366" max="15366" width="9" style="2235"/>
    <col min="15367" max="15367" width="9.375" style="2235" bestFit="1" customWidth="1"/>
    <col min="15368" max="15369" width="9" style="2235"/>
    <col min="15370" max="15370" width="9.375" style="2235" bestFit="1" customWidth="1"/>
    <col min="15371" max="15371" width="4" style="2235" customWidth="1"/>
    <col min="15372" max="15372" width="5.125" style="2235" customWidth="1"/>
    <col min="15373" max="15373" width="13.75" style="2235" customWidth="1"/>
    <col min="15374" max="15616" width="9" style="2235"/>
    <col min="15617" max="15617" width="4.875" style="2235" customWidth="1"/>
    <col min="15618" max="15618" width="13.25" style="2235" customWidth="1"/>
    <col min="15619" max="15619" width="15.625" style="2235" customWidth="1"/>
    <col min="15620" max="15620" width="9.375" style="2235" bestFit="1" customWidth="1"/>
    <col min="15621" max="15621" width="13.5" style="2235" customWidth="1"/>
    <col min="15622" max="15622" width="9" style="2235"/>
    <col min="15623" max="15623" width="9.375" style="2235" bestFit="1" customWidth="1"/>
    <col min="15624" max="15625" width="9" style="2235"/>
    <col min="15626" max="15626" width="9.375" style="2235" bestFit="1" customWidth="1"/>
    <col min="15627" max="15627" width="4" style="2235" customWidth="1"/>
    <col min="15628" max="15628" width="5.125" style="2235" customWidth="1"/>
    <col min="15629" max="15629" width="13.75" style="2235" customWidth="1"/>
    <col min="15630" max="15872" width="9" style="2235"/>
    <col min="15873" max="15873" width="4.875" style="2235" customWidth="1"/>
    <col min="15874" max="15874" width="13.25" style="2235" customWidth="1"/>
    <col min="15875" max="15875" width="15.625" style="2235" customWidth="1"/>
    <col min="15876" max="15876" width="9.375" style="2235" bestFit="1" customWidth="1"/>
    <col min="15877" max="15877" width="13.5" style="2235" customWidth="1"/>
    <col min="15878" max="15878" width="9" style="2235"/>
    <col min="15879" max="15879" width="9.375" style="2235" bestFit="1" customWidth="1"/>
    <col min="15880" max="15881" width="9" style="2235"/>
    <col min="15882" max="15882" width="9.375" style="2235" bestFit="1" customWidth="1"/>
    <col min="15883" max="15883" width="4" style="2235" customWidth="1"/>
    <col min="15884" max="15884" width="5.125" style="2235" customWidth="1"/>
    <col min="15885" max="15885" width="13.75" style="2235" customWidth="1"/>
    <col min="15886" max="16128" width="9" style="2235"/>
    <col min="16129" max="16129" width="4.875" style="2235" customWidth="1"/>
    <col min="16130" max="16130" width="13.25" style="2235" customWidth="1"/>
    <col min="16131" max="16131" width="15.625" style="2235" customWidth="1"/>
    <col min="16132" max="16132" width="9.375" style="2235" bestFit="1" customWidth="1"/>
    <col min="16133" max="16133" width="13.5" style="2235" customWidth="1"/>
    <col min="16134" max="16134" width="9" style="2235"/>
    <col min="16135" max="16135" width="9.375" style="2235" bestFit="1" customWidth="1"/>
    <col min="16136" max="16137" width="9" style="2235"/>
    <col min="16138" max="16138" width="9.375" style="2235" bestFit="1" customWidth="1"/>
    <col min="16139" max="16139" width="4" style="2235" customWidth="1"/>
    <col min="16140" max="16140" width="5.125" style="2235" customWidth="1"/>
    <col min="16141" max="16141" width="13.75" style="2235" customWidth="1"/>
    <col min="16142" max="16384" width="9" style="2235"/>
  </cols>
  <sheetData>
    <row r="1" spans="1:257" s="2289" customFormat="1" ht="14.25" thickBot="1">
      <c r="A1" s="2237"/>
      <c r="B1" s="2291" t="s">
        <v>2065</v>
      </c>
      <c r="C1" s="2295">
        <f>项目基本情况!D3</f>
        <v>45483</v>
      </c>
      <c r="H1" s="2234">
        <f>IF(C1&gt;C13,0,MATCH(C1,C$13:C$111,-1))+IF(SUMIF(C13:C111,C1,D13:D111)=0,13,12)</f>
        <v>13</v>
      </c>
      <c r="I1" s="2234">
        <f>MATCH(C2,H3:H7,1)+IF(SUMIF(H3:H7,C2,I3:I7)=0,2,1)</f>
        <v>5</v>
      </c>
      <c r="J1" s="2290">
        <f ca="1">MATCH(C3,H3:H7,1)+IF(SUMIF(H3:H7,C3,J3:J7)=0,2,1)</f>
        <v>4</v>
      </c>
      <c r="N1" s="2234">
        <f>IF(C1&gt;M13,0,MATCH(C1,M$13:M$100,-1))+IF(SUMIF(M13:M100,C1,N13:N100)=0,13,12)</f>
        <v>13</v>
      </c>
      <c r="P1" s="2237"/>
      <c r="Q1" s="2237"/>
      <c r="R1" s="2237"/>
      <c r="S1" s="2237"/>
      <c r="T1" s="2237"/>
      <c r="U1" s="2237"/>
      <c r="V1" s="2237"/>
      <c r="W1" s="2237"/>
      <c r="X1" s="2237"/>
      <c r="Y1" s="2237"/>
      <c r="Z1" s="2237"/>
      <c r="AA1" s="2237"/>
      <c r="AB1" s="2237"/>
      <c r="AC1" s="2237"/>
      <c r="AD1" s="2237"/>
      <c r="AE1" s="2237"/>
      <c r="AF1" s="2237"/>
      <c r="AG1" s="2237"/>
      <c r="AH1" s="2237"/>
      <c r="AI1" s="2237"/>
      <c r="AJ1" s="2237"/>
      <c r="AK1" s="2237"/>
      <c r="AL1" s="2237"/>
      <c r="AM1" s="2237"/>
      <c r="AN1" s="2237"/>
      <c r="AO1" s="2237"/>
      <c r="AP1" s="2237"/>
      <c r="AQ1" s="2237"/>
      <c r="AR1" s="2237"/>
      <c r="AS1" s="2237"/>
      <c r="AT1" s="2237"/>
      <c r="AU1" s="2237"/>
      <c r="AV1" s="2237"/>
      <c r="AW1" s="2237"/>
      <c r="AX1" s="2237"/>
      <c r="AY1" s="2237"/>
      <c r="AZ1" s="2237"/>
      <c r="BA1" s="2237"/>
      <c r="BB1" s="2237"/>
      <c r="BC1" s="2237"/>
      <c r="BD1" s="2237"/>
      <c r="BE1" s="2237"/>
      <c r="BF1" s="2237"/>
      <c r="BG1" s="2237"/>
      <c r="BH1" s="2237"/>
      <c r="BI1" s="2237"/>
      <c r="BJ1" s="2237"/>
      <c r="BK1" s="2237"/>
      <c r="BL1" s="2237"/>
      <c r="BM1" s="2237"/>
      <c r="BN1" s="2237"/>
      <c r="BO1" s="2237"/>
      <c r="BP1" s="2237"/>
      <c r="BQ1" s="2237"/>
      <c r="BR1" s="2237"/>
      <c r="BS1" s="2237"/>
      <c r="BT1" s="2237"/>
      <c r="BU1" s="2237"/>
      <c r="BV1" s="2237"/>
      <c r="BW1" s="2237"/>
      <c r="BX1" s="2237"/>
      <c r="BY1" s="2237"/>
      <c r="BZ1" s="2237"/>
      <c r="CA1" s="2237"/>
      <c r="CB1" s="2237"/>
      <c r="CC1" s="2237"/>
      <c r="CD1" s="2237"/>
      <c r="CE1" s="2237"/>
      <c r="CF1" s="2237"/>
      <c r="CG1" s="2237"/>
      <c r="CH1" s="2237"/>
      <c r="CI1" s="2237"/>
      <c r="CJ1" s="2237"/>
      <c r="CK1" s="2237"/>
      <c r="CL1" s="2237"/>
      <c r="CM1" s="2237"/>
      <c r="CN1" s="2237"/>
      <c r="CO1" s="2237"/>
      <c r="CP1" s="2237"/>
      <c r="CQ1" s="2237"/>
      <c r="CR1" s="2237"/>
      <c r="CS1" s="2237"/>
      <c r="CT1" s="2237"/>
      <c r="CU1" s="2237"/>
      <c r="CV1" s="2237"/>
      <c r="CW1" s="2237"/>
      <c r="CX1" s="2237"/>
      <c r="CY1" s="2237"/>
      <c r="CZ1" s="2237"/>
      <c r="DA1" s="2237"/>
      <c r="DB1" s="2237"/>
      <c r="DC1" s="2237"/>
      <c r="DD1" s="2237"/>
      <c r="DE1" s="2237"/>
      <c r="DF1" s="2237"/>
      <c r="DG1" s="2237"/>
      <c r="DH1" s="2237"/>
      <c r="DI1" s="2237"/>
      <c r="DJ1" s="2237"/>
      <c r="DK1" s="2237"/>
      <c r="DL1" s="2237"/>
      <c r="DM1" s="2237"/>
      <c r="DN1" s="2237"/>
      <c r="DO1" s="2237"/>
      <c r="DP1" s="2237"/>
      <c r="DQ1" s="2237"/>
      <c r="DR1" s="2237"/>
      <c r="DS1" s="2237"/>
      <c r="DT1" s="2237"/>
      <c r="DU1" s="2237"/>
      <c r="DV1" s="2237"/>
      <c r="DW1" s="2237"/>
      <c r="DX1" s="2237"/>
      <c r="DY1" s="2237"/>
      <c r="DZ1" s="2237"/>
      <c r="EA1" s="2237"/>
      <c r="EB1" s="2237"/>
      <c r="EC1" s="2237"/>
      <c r="ED1" s="2237"/>
      <c r="EE1" s="2237"/>
      <c r="EF1" s="2237"/>
      <c r="EG1" s="2237"/>
      <c r="EH1" s="2237"/>
      <c r="EI1" s="2237"/>
      <c r="EJ1" s="2237"/>
      <c r="EK1" s="2237"/>
      <c r="EL1" s="2237"/>
      <c r="EM1" s="2237"/>
      <c r="EN1" s="2237"/>
      <c r="EO1" s="2237"/>
      <c r="EP1" s="2237"/>
      <c r="EQ1" s="2237"/>
      <c r="ER1" s="2237"/>
      <c r="ES1" s="2237"/>
      <c r="ET1" s="2237"/>
      <c r="EU1" s="2237"/>
      <c r="EV1" s="2237"/>
      <c r="EW1" s="2237"/>
      <c r="EX1" s="2237"/>
      <c r="EY1" s="2237"/>
      <c r="EZ1" s="2237"/>
      <c r="FA1" s="2237"/>
      <c r="FB1" s="2237"/>
      <c r="FC1" s="2237"/>
      <c r="FD1" s="2237"/>
      <c r="FE1" s="2237"/>
      <c r="FF1" s="2237"/>
      <c r="FG1" s="2237"/>
      <c r="FH1" s="2237"/>
      <c r="FI1" s="2237"/>
      <c r="FJ1" s="2237"/>
      <c r="FK1" s="2237"/>
      <c r="FL1" s="2237"/>
      <c r="FM1" s="2237"/>
      <c r="FN1" s="2237"/>
      <c r="FO1" s="2237"/>
      <c r="FP1" s="2237"/>
      <c r="FQ1" s="2237"/>
      <c r="FR1" s="2237"/>
      <c r="FS1" s="2237"/>
      <c r="FT1" s="2237"/>
      <c r="FU1" s="2237"/>
      <c r="FV1" s="2237"/>
      <c r="FW1" s="2237"/>
      <c r="FX1" s="2237"/>
      <c r="FY1" s="2237"/>
      <c r="FZ1" s="2237"/>
      <c r="GA1" s="2237"/>
      <c r="GB1" s="2237"/>
      <c r="GC1" s="2237"/>
      <c r="GD1" s="2237"/>
      <c r="GE1" s="2237"/>
      <c r="GF1" s="2237"/>
      <c r="GG1" s="2237"/>
      <c r="GH1" s="2237"/>
      <c r="GI1" s="2237"/>
      <c r="GJ1" s="2237"/>
      <c r="GK1" s="2237"/>
      <c r="GL1" s="2237"/>
      <c r="GM1" s="2237"/>
      <c r="GN1" s="2237"/>
      <c r="GO1" s="2237"/>
      <c r="GP1" s="2237"/>
      <c r="GQ1" s="2237"/>
      <c r="GR1" s="2237"/>
      <c r="GS1" s="2237"/>
      <c r="GT1" s="2237"/>
      <c r="GU1" s="2237"/>
      <c r="GV1" s="2237"/>
      <c r="GW1" s="2237"/>
      <c r="GX1" s="2237"/>
      <c r="GY1" s="2237"/>
      <c r="GZ1" s="2237"/>
      <c r="HA1" s="2237"/>
      <c r="HB1" s="2237"/>
      <c r="HC1" s="2237"/>
      <c r="HD1" s="2237"/>
      <c r="HE1" s="2237"/>
      <c r="HF1" s="2237"/>
      <c r="HG1" s="2237"/>
      <c r="HH1" s="2237"/>
      <c r="HI1" s="2237"/>
      <c r="HJ1" s="2237"/>
      <c r="HK1" s="2237"/>
      <c r="HL1" s="2237"/>
      <c r="HM1" s="2237"/>
      <c r="HN1" s="2237"/>
      <c r="HO1" s="2237"/>
      <c r="HP1" s="2237"/>
      <c r="HQ1" s="2237"/>
      <c r="HR1" s="2237"/>
      <c r="HS1" s="2237"/>
      <c r="HT1" s="2237"/>
      <c r="HU1" s="2237"/>
      <c r="HV1" s="2237"/>
      <c r="HW1" s="2237"/>
      <c r="HX1" s="2237"/>
      <c r="HY1" s="2237"/>
      <c r="HZ1" s="2237"/>
      <c r="IA1" s="2237"/>
      <c r="IB1" s="2237"/>
      <c r="IC1" s="2237"/>
      <c r="ID1" s="2237"/>
      <c r="IE1" s="2237"/>
      <c r="IF1" s="2237"/>
      <c r="IG1" s="2237"/>
      <c r="IH1" s="2237"/>
      <c r="II1" s="2237"/>
      <c r="IJ1" s="2237"/>
      <c r="IK1" s="2237"/>
      <c r="IL1" s="2237"/>
      <c r="IM1" s="2237"/>
      <c r="IN1" s="2237"/>
      <c r="IO1" s="2237"/>
      <c r="IP1" s="2237"/>
      <c r="IQ1" s="2237"/>
      <c r="IR1" s="2237"/>
      <c r="IS1" s="2237"/>
      <c r="IT1" s="2237"/>
      <c r="IU1" s="2237"/>
      <c r="IV1" s="2237"/>
    </row>
    <row r="2" spans="1:257" s="2289" customFormat="1" ht="15" thickTop="1" thickBot="1">
      <c r="A2" s="2236"/>
      <c r="B2" s="2292" t="s">
        <v>2096</v>
      </c>
      <c r="C2" s="2296">
        <f>'数据-取费表'!B22</f>
        <v>2</v>
      </c>
      <c r="D2" s="2291" t="s">
        <v>2066</v>
      </c>
      <c r="E2" s="2294">
        <f ca="1">INDIRECT("I"&amp;$I$1)/100</f>
        <v>3.4500000000000003E-2</v>
      </c>
      <c r="G2" s="2236"/>
      <c r="H2" s="2236"/>
      <c r="I2" s="2236" t="s">
        <v>2067</v>
      </c>
      <c r="K2" s="2236"/>
      <c r="L2" s="2236"/>
      <c r="M2" s="2236"/>
      <c r="N2" s="2236" t="s">
        <v>2068</v>
      </c>
      <c r="O2" s="2236"/>
      <c r="P2" s="2236"/>
      <c r="Q2" s="2236"/>
      <c r="R2" s="2236"/>
      <c r="S2" s="2236"/>
      <c r="T2" s="2236"/>
      <c r="U2" s="2236"/>
      <c r="V2" s="2236"/>
      <c r="W2" s="2236"/>
      <c r="X2" s="2236"/>
      <c r="Y2" s="2236"/>
      <c r="Z2" s="2236"/>
      <c r="AA2" s="2236"/>
      <c r="AB2" s="2236"/>
      <c r="AC2" s="2236"/>
      <c r="AD2" s="2236"/>
      <c r="AE2" s="2236"/>
      <c r="AF2" s="2236"/>
      <c r="AG2" s="2236"/>
      <c r="AH2" s="2236"/>
      <c r="AI2" s="2236"/>
      <c r="AJ2" s="2236"/>
      <c r="AK2" s="2236"/>
      <c r="AL2" s="2236"/>
      <c r="AM2" s="2236"/>
      <c r="AN2" s="2236"/>
      <c r="AO2" s="2236"/>
      <c r="AP2" s="2236"/>
      <c r="AQ2" s="2236"/>
      <c r="AR2" s="2236"/>
      <c r="AS2" s="2236"/>
      <c r="AT2" s="2236"/>
      <c r="AU2" s="2236"/>
      <c r="AV2" s="2236"/>
      <c r="AW2" s="2236"/>
      <c r="AX2" s="2236"/>
      <c r="AY2" s="2236"/>
      <c r="AZ2" s="2236"/>
      <c r="BA2" s="2236"/>
      <c r="BB2" s="2236"/>
      <c r="BC2" s="2236"/>
      <c r="BD2" s="2236"/>
      <c r="BE2" s="2236"/>
      <c r="BF2" s="2236"/>
      <c r="BG2" s="2236"/>
      <c r="BH2" s="2236"/>
      <c r="BI2" s="2236"/>
      <c r="BJ2" s="2236"/>
      <c r="BK2" s="2236"/>
      <c r="BL2" s="2236"/>
      <c r="BM2" s="2236"/>
      <c r="BN2" s="2236"/>
      <c r="BO2" s="2236"/>
      <c r="BP2" s="2236"/>
      <c r="BQ2" s="2236"/>
      <c r="BR2" s="2236"/>
      <c r="BS2" s="2236"/>
      <c r="BT2" s="2236"/>
      <c r="BU2" s="2236"/>
      <c r="BV2" s="2236"/>
      <c r="BW2" s="2236"/>
      <c r="BX2" s="2236"/>
      <c r="BY2" s="2236"/>
      <c r="BZ2" s="2236"/>
      <c r="CA2" s="2236"/>
      <c r="CB2" s="2236"/>
      <c r="CC2" s="2236"/>
      <c r="CD2" s="2236"/>
      <c r="CE2" s="2236"/>
      <c r="CF2" s="2236"/>
      <c r="CG2" s="2236"/>
      <c r="CH2" s="2236"/>
      <c r="CI2" s="2236"/>
      <c r="CJ2" s="2236"/>
      <c r="CK2" s="2236"/>
      <c r="CL2" s="2236"/>
      <c r="CM2" s="2236"/>
      <c r="CN2" s="2236"/>
      <c r="CO2" s="2236"/>
      <c r="CP2" s="2236"/>
      <c r="CQ2" s="2236"/>
      <c r="CR2" s="2236"/>
      <c r="CS2" s="2236"/>
      <c r="CT2" s="2236"/>
      <c r="CU2" s="2236"/>
      <c r="CV2" s="2236"/>
      <c r="CW2" s="2236"/>
      <c r="CX2" s="2236"/>
      <c r="CY2" s="2236"/>
      <c r="CZ2" s="2236"/>
      <c r="DA2" s="2236"/>
      <c r="DB2" s="2236"/>
      <c r="DC2" s="2236"/>
      <c r="DD2" s="2236"/>
      <c r="DE2" s="2236"/>
      <c r="DF2" s="2236"/>
      <c r="DG2" s="2236"/>
      <c r="DH2" s="2236"/>
      <c r="DI2" s="2236"/>
      <c r="DJ2" s="2236"/>
      <c r="DK2" s="2236"/>
      <c r="DL2" s="2236"/>
      <c r="DM2" s="2236"/>
      <c r="DN2" s="2236"/>
      <c r="DO2" s="2236"/>
      <c r="DP2" s="2236"/>
      <c r="DQ2" s="2236"/>
      <c r="DR2" s="2236"/>
      <c r="DS2" s="2236"/>
      <c r="DT2" s="2236"/>
      <c r="DU2" s="2236"/>
      <c r="DV2" s="2236"/>
      <c r="DW2" s="2236"/>
      <c r="DX2" s="2236"/>
      <c r="DY2" s="2236"/>
      <c r="DZ2" s="2236"/>
      <c r="EA2" s="2236"/>
      <c r="EB2" s="2236"/>
      <c r="EC2" s="2236"/>
      <c r="ED2" s="2236"/>
      <c r="EE2" s="2236"/>
      <c r="EF2" s="2236"/>
      <c r="EG2" s="2236"/>
      <c r="EH2" s="2236"/>
      <c r="EI2" s="2236"/>
      <c r="EJ2" s="2236"/>
      <c r="EK2" s="2236"/>
      <c r="EL2" s="2236"/>
      <c r="EM2" s="2236"/>
      <c r="EN2" s="2236"/>
      <c r="EO2" s="2236"/>
      <c r="EP2" s="2236"/>
      <c r="EQ2" s="2236"/>
      <c r="ER2" s="2236"/>
      <c r="ES2" s="2236"/>
      <c r="ET2" s="2236"/>
      <c r="EU2" s="2236"/>
      <c r="EV2" s="2236"/>
      <c r="EW2" s="2236"/>
      <c r="EX2" s="2236"/>
      <c r="EY2" s="2236"/>
      <c r="EZ2" s="2236"/>
      <c r="FA2" s="2236"/>
      <c r="FB2" s="2236"/>
      <c r="FC2" s="2236"/>
      <c r="FD2" s="2236"/>
      <c r="FE2" s="2236"/>
      <c r="FF2" s="2236"/>
      <c r="FG2" s="2236"/>
      <c r="FH2" s="2236"/>
      <c r="FI2" s="2236"/>
      <c r="FJ2" s="2236"/>
      <c r="FK2" s="2236"/>
      <c r="FL2" s="2236"/>
      <c r="FM2" s="2236"/>
      <c r="FN2" s="2236"/>
      <c r="FO2" s="2236"/>
      <c r="FP2" s="2236"/>
      <c r="FQ2" s="2236"/>
      <c r="FR2" s="2236"/>
      <c r="FS2" s="2236"/>
      <c r="FT2" s="2236"/>
      <c r="FU2" s="2236"/>
      <c r="FV2" s="2236"/>
      <c r="FW2" s="2236"/>
      <c r="FX2" s="2236"/>
      <c r="FY2" s="2236"/>
      <c r="FZ2" s="2236"/>
      <c r="GA2" s="2236"/>
      <c r="GB2" s="2236"/>
      <c r="GC2" s="2236"/>
      <c r="GD2" s="2236"/>
      <c r="GE2" s="2236"/>
      <c r="GF2" s="2236"/>
      <c r="GG2" s="2236"/>
      <c r="GH2" s="2236"/>
      <c r="GI2" s="2236"/>
      <c r="GJ2" s="2236"/>
      <c r="GK2" s="2236"/>
      <c r="GL2" s="2236"/>
      <c r="GM2" s="2236"/>
      <c r="GN2" s="2236"/>
      <c r="GO2" s="2236"/>
      <c r="GP2" s="2236"/>
      <c r="GQ2" s="2236"/>
      <c r="GR2" s="2236"/>
      <c r="GS2" s="2236"/>
      <c r="GT2" s="2236"/>
      <c r="GU2" s="2236"/>
      <c r="GV2" s="2236"/>
      <c r="GW2" s="2236"/>
      <c r="GX2" s="2236"/>
      <c r="GY2" s="2236"/>
      <c r="GZ2" s="2236"/>
      <c r="HA2" s="2236"/>
      <c r="HB2" s="2236"/>
      <c r="HC2" s="2236"/>
      <c r="HD2" s="2236"/>
      <c r="HE2" s="2236"/>
      <c r="HF2" s="2236"/>
      <c r="HG2" s="2236"/>
      <c r="HH2" s="2236"/>
      <c r="HI2" s="2236"/>
      <c r="HJ2" s="2236"/>
      <c r="HK2" s="2236"/>
      <c r="HL2" s="2236"/>
      <c r="HM2" s="2236"/>
      <c r="HN2" s="2236"/>
      <c r="HO2" s="2236"/>
      <c r="HP2" s="2236"/>
      <c r="HQ2" s="2236"/>
      <c r="HR2" s="2236"/>
      <c r="HS2" s="2236"/>
      <c r="HT2" s="2236"/>
      <c r="HU2" s="2236"/>
      <c r="HV2" s="2236"/>
      <c r="HW2" s="2236"/>
      <c r="HX2" s="2236"/>
      <c r="HY2" s="2236"/>
      <c r="HZ2" s="2236"/>
      <c r="IA2" s="2236"/>
      <c r="IB2" s="2236"/>
      <c r="IC2" s="2236"/>
      <c r="ID2" s="2236"/>
      <c r="IE2" s="2236"/>
      <c r="IF2" s="2236"/>
      <c r="IG2" s="2236"/>
      <c r="IH2" s="2236"/>
      <c r="II2" s="2236"/>
      <c r="IJ2" s="2236"/>
      <c r="IK2" s="2236"/>
      <c r="IL2" s="2236"/>
      <c r="IM2" s="2236"/>
      <c r="IN2" s="2236"/>
      <c r="IO2" s="2236"/>
      <c r="IP2" s="2236"/>
      <c r="IQ2" s="2236"/>
      <c r="IR2" s="2236"/>
      <c r="IS2" s="2236"/>
      <c r="IT2" s="2236"/>
      <c r="IU2" s="2236"/>
      <c r="IV2" s="2236"/>
      <c r="IW2" s="2236"/>
    </row>
    <row r="3" spans="1:257" s="2289" customFormat="1">
      <c r="A3" s="2237"/>
      <c r="B3" s="2291" t="s">
        <v>2098</v>
      </c>
      <c r="C3" s="2293">
        <f>'数据-取费表'!B19</f>
        <v>1</v>
      </c>
      <c r="D3" s="2291" t="s">
        <v>2066</v>
      </c>
      <c r="E3" s="2294">
        <f ca="1">INDIRECT("J"&amp;$J$1)/100</f>
        <v>3.4500000000000003E-2</v>
      </c>
      <c r="G3" s="2238" t="s">
        <v>2069</v>
      </c>
      <c r="H3" s="2239">
        <v>0</v>
      </c>
      <c r="I3" s="2240">
        <f ca="1">INDIRECT("d"&amp;$H$1)</f>
        <v>3.45</v>
      </c>
      <c r="J3" s="2240">
        <f ca="1">INDIRECT("d"&amp;$H$1)</f>
        <v>3.45</v>
      </c>
      <c r="K3" s="2237"/>
      <c r="L3" s="2237"/>
      <c r="M3" s="2241">
        <v>0.5</v>
      </c>
      <c r="N3" s="2242">
        <f ca="1">INDIRECT("p"&amp;$N$1)</f>
        <v>1.3</v>
      </c>
      <c r="O3" s="2237"/>
      <c r="P3" s="2237"/>
      <c r="Q3" s="2237"/>
      <c r="R3" s="2237"/>
      <c r="S3" s="2237"/>
      <c r="T3" s="2237"/>
      <c r="U3" s="2237"/>
      <c r="V3" s="2237"/>
      <c r="W3" s="2237"/>
      <c r="X3" s="2237"/>
      <c r="Y3" s="2237"/>
      <c r="Z3" s="2237"/>
      <c r="AA3" s="2237"/>
      <c r="AB3" s="2237"/>
      <c r="AC3" s="2237"/>
      <c r="AD3" s="2237"/>
      <c r="AE3" s="2237"/>
      <c r="AF3" s="2237"/>
      <c r="AG3" s="2237"/>
      <c r="AH3" s="2237"/>
      <c r="AI3" s="2237"/>
      <c r="AJ3" s="2237"/>
      <c r="AK3" s="2237"/>
      <c r="AL3" s="2237"/>
      <c r="AM3" s="2237"/>
      <c r="AN3" s="2237"/>
      <c r="AO3" s="2237"/>
      <c r="AP3" s="2237"/>
      <c r="AQ3" s="2237"/>
      <c r="AR3" s="2237"/>
      <c r="AS3" s="2237"/>
      <c r="AT3" s="2237"/>
      <c r="AU3" s="2237"/>
      <c r="AV3" s="2237"/>
      <c r="AW3" s="2237"/>
      <c r="AX3" s="2237"/>
      <c r="AY3" s="2237"/>
      <c r="AZ3" s="2237"/>
      <c r="BA3" s="2237"/>
      <c r="BB3" s="2237"/>
      <c r="BC3" s="2237"/>
      <c r="BD3" s="2237"/>
      <c r="BE3" s="2237"/>
      <c r="BF3" s="2237"/>
      <c r="BG3" s="2237"/>
      <c r="BH3" s="2237"/>
      <c r="BI3" s="2237"/>
      <c r="BJ3" s="2237"/>
      <c r="BK3" s="2237"/>
      <c r="BL3" s="2237"/>
      <c r="BM3" s="2237"/>
      <c r="BN3" s="2237"/>
      <c r="BO3" s="2237"/>
      <c r="BP3" s="2237"/>
      <c r="BQ3" s="2237"/>
      <c r="BR3" s="2237"/>
      <c r="BS3" s="2237"/>
      <c r="BT3" s="2237"/>
      <c r="BU3" s="2237"/>
      <c r="BV3" s="2237"/>
      <c r="BW3" s="2237"/>
      <c r="BX3" s="2237"/>
      <c r="BY3" s="2237"/>
      <c r="BZ3" s="2237"/>
      <c r="CA3" s="2237"/>
      <c r="CB3" s="2237"/>
      <c r="CC3" s="2237"/>
      <c r="CD3" s="2237"/>
      <c r="CE3" s="2237"/>
      <c r="CF3" s="2237"/>
      <c r="CG3" s="2237"/>
      <c r="CH3" s="2237"/>
      <c r="CI3" s="2237"/>
      <c r="CJ3" s="2237"/>
      <c r="CK3" s="2237"/>
      <c r="CL3" s="2237"/>
      <c r="CM3" s="2237"/>
      <c r="CN3" s="2237"/>
      <c r="CO3" s="2237"/>
      <c r="CP3" s="2237"/>
      <c r="CQ3" s="2237"/>
      <c r="CR3" s="2237"/>
      <c r="CS3" s="2237"/>
      <c r="CT3" s="2237"/>
      <c r="CU3" s="2237"/>
      <c r="CV3" s="2237"/>
      <c r="CW3" s="2237"/>
      <c r="CX3" s="2237"/>
      <c r="CY3" s="2237"/>
      <c r="CZ3" s="2237"/>
      <c r="DA3" s="2237"/>
      <c r="DB3" s="2237"/>
      <c r="DC3" s="2237"/>
      <c r="DD3" s="2237"/>
      <c r="DE3" s="2237"/>
      <c r="DF3" s="2237"/>
      <c r="DG3" s="2237"/>
      <c r="DH3" s="2237"/>
      <c r="DI3" s="2237"/>
      <c r="DJ3" s="2237"/>
      <c r="DK3" s="2237"/>
      <c r="DL3" s="2237"/>
      <c r="DM3" s="2237"/>
      <c r="DN3" s="2237"/>
      <c r="DO3" s="2237"/>
      <c r="DP3" s="2237"/>
      <c r="DQ3" s="2237"/>
      <c r="DR3" s="2237"/>
      <c r="DS3" s="2237"/>
      <c r="DT3" s="2237"/>
      <c r="DU3" s="2237"/>
      <c r="DV3" s="2237"/>
      <c r="DW3" s="2237"/>
      <c r="DX3" s="2237"/>
      <c r="DY3" s="2237"/>
      <c r="DZ3" s="2237"/>
      <c r="EA3" s="2237"/>
      <c r="EB3" s="2237"/>
      <c r="EC3" s="2237"/>
      <c r="ED3" s="2237"/>
      <c r="EE3" s="2237"/>
      <c r="EF3" s="2237"/>
      <c r="EG3" s="2237"/>
      <c r="EH3" s="2237"/>
      <c r="EI3" s="2237"/>
      <c r="EJ3" s="2237"/>
      <c r="EK3" s="2237"/>
      <c r="EL3" s="2237"/>
      <c r="EM3" s="2237"/>
      <c r="EN3" s="2237"/>
      <c r="EO3" s="2237"/>
      <c r="EP3" s="2237"/>
      <c r="EQ3" s="2237"/>
      <c r="ER3" s="2237"/>
      <c r="ES3" s="2237"/>
      <c r="ET3" s="2237"/>
      <c r="EU3" s="2237"/>
      <c r="EV3" s="2237"/>
      <c r="EW3" s="2237"/>
      <c r="EX3" s="2237"/>
      <c r="EY3" s="2237"/>
      <c r="EZ3" s="2237"/>
      <c r="FA3" s="2237"/>
      <c r="FB3" s="2237"/>
      <c r="FC3" s="2237"/>
      <c r="FD3" s="2237"/>
      <c r="FE3" s="2237"/>
      <c r="FF3" s="2237"/>
      <c r="FG3" s="2237"/>
      <c r="FH3" s="2237"/>
      <c r="FI3" s="2237"/>
      <c r="FJ3" s="2237"/>
      <c r="FK3" s="2237"/>
      <c r="FL3" s="2237"/>
      <c r="FM3" s="2237"/>
      <c r="FN3" s="2237"/>
      <c r="FO3" s="2237"/>
      <c r="FP3" s="2237"/>
      <c r="FQ3" s="2237"/>
      <c r="FR3" s="2237"/>
      <c r="FS3" s="2237"/>
      <c r="FT3" s="2237"/>
      <c r="FU3" s="2237"/>
      <c r="FV3" s="2237"/>
      <c r="FW3" s="2237"/>
      <c r="FX3" s="2237"/>
      <c r="FY3" s="2237"/>
      <c r="FZ3" s="2237"/>
      <c r="GA3" s="2237"/>
      <c r="GB3" s="2237"/>
      <c r="GC3" s="2237"/>
      <c r="GD3" s="2237"/>
      <c r="GE3" s="2237"/>
      <c r="GF3" s="2237"/>
      <c r="GG3" s="2237"/>
      <c r="GH3" s="2237"/>
      <c r="GI3" s="2237"/>
      <c r="GJ3" s="2237"/>
      <c r="GK3" s="2237"/>
      <c r="GL3" s="2237"/>
      <c r="GM3" s="2237"/>
      <c r="GN3" s="2237"/>
      <c r="GO3" s="2237"/>
      <c r="GP3" s="2237"/>
      <c r="GQ3" s="2237"/>
      <c r="GR3" s="2237"/>
      <c r="GS3" s="2237"/>
      <c r="GT3" s="2237"/>
      <c r="GU3" s="2237"/>
      <c r="GV3" s="2237"/>
      <c r="GW3" s="2237"/>
      <c r="GX3" s="2237"/>
      <c r="GY3" s="2237"/>
      <c r="GZ3" s="2237"/>
      <c r="HA3" s="2237"/>
      <c r="HB3" s="2237"/>
      <c r="HC3" s="2237"/>
      <c r="HD3" s="2237"/>
      <c r="HE3" s="2237"/>
      <c r="HF3" s="2237"/>
      <c r="HG3" s="2237"/>
      <c r="HH3" s="2237"/>
      <c r="HI3" s="2237"/>
      <c r="HJ3" s="2237"/>
      <c r="HK3" s="2237"/>
      <c r="HL3" s="2237"/>
      <c r="HM3" s="2237"/>
      <c r="HN3" s="2237"/>
      <c r="HO3" s="2237"/>
      <c r="HP3" s="2237"/>
      <c r="HQ3" s="2237"/>
      <c r="HR3" s="2237"/>
      <c r="HS3" s="2237"/>
      <c r="HT3" s="2237"/>
      <c r="HU3" s="2237"/>
      <c r="HV3" s="2237"/>
      <c r="HW3" s="2237"/>
      <c r="HX3" s="2237"/>
      <c r="HY3" s="2237"/>
      <c r="HZ3" s="2237"/>
      <c r="IA3" s="2237"/>
      <c r="IB3" s="2237"/>
      <c r="IC3" s="2237"/>
      <c r="ID3" s="2237"/>
      <c r="IE3" s="2237"/>
      <c r="IF3" s="2237"/>
      <c r="IG3" s="2237"/>
      <c r="IH3" s="2237"/>
      <c r="II3" s="2237"/>
      <c r="IJ3" s="2237"/>
      <c r="IK3" s="2237"/>
      <c r="IL3" s="2237"/>
      <c r="IM3" s="2237"/>
      <c r="IN3" s="2237"/>
      <c r="IO3" s="2237"/>
      <c r="IP3" s="2237"/>
      <c r="IQ3" s="2237"/>
      <c r="IR3" s="2237"/>
      <c r="IS3" s="2237"/>
      <c r="IT3" s="2237"/>
      <c r="IU3" s="2237"/>
      <c r="IV3" s="2237"/>
    </row>
    <row r="4" spans="1:257" s="2289" customFormat="1">
      <c r="A4" s="2237"/>
      <c r="B4" s="2291" t="s">
        <v>2097</v>
      </c>
      <c r="C4" s="2294">
        <f ca="1">N4/100</f>
        <v>1.4999999999999999E-2</v>
      </c>
      <c r="G4" s="2244" t="s">
        <v>2070</v>
      </c>
      <c r="H4" s="2245">
        <v>0.5</v>
      </c>
      <c r="I4" s="2246">
        <f ca="1">INDIRECT("e"&amp;$H$1)</f>
        <v>3.45</v>
      </c>
      <c r="J4" s="2246">
        <f ca="1">INDIRECT("e"&amp;$H$1)</f>
        <v>3.45</v>
      </c>
      <c r="K4" s="2237"/>
      <c r="L4" s="2237"/>
      <c r="M4" s="2247">
        <v>1</v>
      </c>
      <c r="N4" s="2248">
        <f ca="1">INDIRECT("q"&amp;$N$1)</f>
        <v>1.5</v>
      </c>
      <c r="O4" s="2237"/>
      <c r="P4" s="2237"/>
      <c r="Q4" s="2237"/>
      <c r="R4" s="2237"/>
      <c r="S4" s="2237"/>
      <c r="T4" s="2237"/>
      <c r="U4" s="2237"/>
      <c r="V4" s="2237"/>
      <c r="W4" s="2237"/>
      <c r="X4" s="2237"/>
      <c r="Y4" s="2237"/>
      <c r="Z4" s="2237"/>
      <c r="AA4" s="2237"/>
      <c r="AB4" s="2237"/>
      <c r="AC4" s="2237"/>
      <c r="AD4" s="2237"/>
      <c r="AE4" s="2237"/>
      <c r="AF4" s="2237"/>
      <c r="AG4" s="2237"/>
      <c r="AH4" s="2237"/>
      <c r="AI4" s="2237"/>
      <c r="AJ4" s="2237"/>
      <c r="AK4" s="2237"/>
      <c r="AL4" s="2237"/>
      <c r="AM4" s="2237"/>
      <c r="AN4" s="2237"/>
      <c r="AO4" s="2237"/>
      <c r="AP4" s="2237"/>
      <c r="AQ4" s="2237"/>
      <c r="AR4" s="2237"/>
      <c r="AS4" s="2237"/>
      <c r="AT4" s="2237"/>
      <c r="AU4" s="2237"/>
      <c r="AV4" s="2237"/>
      <c r="AW4" s="2237"/>
      <c r="AX4" s="2237"/>
      <c r="AY4" s="2237"/>
      <c r="AZ4" s="2237"/>
      <c r="BA4" s="2237"/>
      <c r="BB4" s="2237"/>
      <c r="BC4" s="2237"/>
      <c r="BD4" s="2237"/>
      <c r="BE4" s="2237"/>
      <c r="BF4" s="2237"/>
      <c r="BG4" s="2237"/>
      <c r="BH4" s="2237"/>
      <c r="BI4" s="2237"/>
      <c r="BJ4" s="2237"/>
      <c r="BK4" s="2237"/>
      <c r="BL4" s="2237"/>
      <c r="BM4" s="2237"/>
      <c r="BN4" s="2237"/>
      <c r="BO4" s="2237"/>
      <c r="BP4" s="2237"/>
      <c r="BQ4" s="2237"/>
      <c r="BR4" s="2237"/>
      <c r="BS4" s="2237"/>
      <c r="BT4" s="2237"/>
      <c r="BU4" s="2237"/>
      <c r="BV4" s="2237"/>
      <c r="BW4" s="2237"/>
      <c r="BX4" s="2237"/>
      <c r="BY4" s="2237"/>
      <c r="BZ4" s="2237"/>
      <c r="CA4" s="2237"/>
      <c r="CB4" s="2237"/>
      <c r="CC4" s="2237"/>
      <c r="CD4" s="2237"/>
      <c r="CE4" s="2237"/>
      <c r="CF4" s="2237"/>
      <c r="CG4" s="2237"/>
      <c r="CH4" s="2237"/>
      <c r="CI4" s="2237"/>
      <c r="CJ4" s="2237"/>
      <c r="CK4" s="2237"/>
      <c r="CL4" s="2237"/>
      <c r="CM4" s="2237"/>
      <c r="CN4" s="2237"/>
      <c r="CO4" s="2237"/>
      <c r="CP4" s="2237"/>
      <c r="CQ4" s="2237"/>
      <c r="CR4" s="2237"/>
      <c r="CS4" s="2237"/>
      <c r="CT4" s="2237"/>
      <c r="CU4" s="2237"/>
      <c r="CV4" s="2237"/>
      <c r="CW4" s="2237"/>
      <c r="CX4" s="2237"/>
      <c r="CY4" s="2237"/>
      <c r="CZ4" s="2237"/>
      <c r="DA4" s="2237"/>
      <c r="DB4" s="2237"/>
      <c r="DC4" s="2237"/>
      <c r="DD4" s="2237"/>
      <c r="DE4" s="2237"/>
      <c r="DF4" s="2237"/>
      <c r="DG4" s="2237"/>
      <c r="DH4" s="2237"/>
      <c r="DI4" s="2237"/>
      <c r="DJ4" s="2237"/>
      <c r="DK4" s="2237"/>
      <c r="DL4" s="2237"/>
      <c r="DM4" s="2237"/>
      <c r="DN4" s="2237"/>
      <c r="DO4" s="2237"/>
      <c r="DP4" s="2237"/>
      <c r="DQ4" s="2237"/>
      <c r="DR4" s="2237"/>
      <c r="DS4" s="2237"/>
      <c r="DT4" s="2237"/>
      <c r="DU4" s="2237"/>
      <c r="DV4" s="2237"/>
      <c r="DW4" s="2237"/>
      <c r="DX4" s="2237"/>
      <c r="DY4" s="2237"/>
      <c r="DZ4" s="2237"/>
      <c r="EA4" s="2237"/>
      <c r="EB4" s="2237"/>
      <c r="EC4" s="2237"/>
      <c r="ED4" s="2237"/>
      <c r="EE4" s="2237"/>
      <c r="EF4" s="2237"/>
      <c r="EG4" s="2237"/>
      <c r="EH4" s="2237"/>
      <c r="EI4" s="2237"/>
      <c r="EJ4" s="2237"/>
      <c r="EK4" s="2237"/>
      <c r="EL4" s="2237"/>
      <c r="EM4" s="2237"/>
      <c r="EN4" s="2237"/>
      <c r="EO4" s="2237"/>
      <c r="EP4" s="2237"/>
      <c r="EQ4" s="2237"/>
      <c r="ER4" s="2237"/>
      <c r="ES4" s="2237"/>
      <c r="ET4" s="2237"/>
      <c r="EU4" s="2237"/>
      <c r="EV4" s="2237"/>
      <c r="EW4" s="2237"/>
      <c r="EX4" s="2237"/>
      <c r="EY4" s="2237"/>
      <c r="EZ4" s="2237"/>
      <c r="FA4" s="2237"/>
      <c r="FB4" s="2237"/>
      <c r="FC4" s="2237"/>
      <c r="FD4" s="2237"/>
      <c r="FE4" s="2237"/>
      <c r="FF4" s="2237"/>
      <c r="FG4" s="2237"/>
      <c r="FH4" s="2237"/>
      <c r="FI4" s="2237"/>
      <c r="FJ4" s="2237"/>
      <c r="FK4" s="2237"/>
      <c r="FL4" s="2237"/>
      <c r="FM4" s="2237"/>
      <c r="FN4" s="2237"/>
      <c r="FO4" s="2237"/>
      <c r="FP4" s="2237"/>
      <c r="FQ4" s="2237"/>
      <c r="FR4" s="2237"/>
      <c r="FS4" s="2237"/>
      <c r="FT4" s="2237"/>
      <c r="FU4" s="2237"/>
      <c r="FV4" s="2237"/>
      <c r="FW4" s="2237"/>
      <c r="FX4" s="2237"/>
      <c r="FY4" s="2237"/>
      <c r="FZ4" s="2237"/>
      <c r="GA4" s="2237"/>
      <c r="GB4" s="2237"/>
      <c r="GC4" s="2237"/>
      <c r="GD4" s="2237"/>
      <c r="GE4" s="2237"/>
      <c r="GF4" s="2237"/>
      <c r="GG4" s="2237"/>
      <c r="GH4" s="2237"/>
      <c r="GI4" s="2237"/>
      <c r="GJ4" s="2237"/>
      <c r="GK4" s="2237"/>
      <c r="GL4" s="2237"/>
      <c r="GM4" s="2237"/>
      <c r="GN4" s="2237"/>
      <c r="GO4" s="2237"/>
      <c r="GP4" s="2237"/>
      <c r="GQ4" s="2237"/>
      <c r="GR4" s="2237"/>
      <c r="GS4" s="2237"/>
      <c r="GT4" s="2237"/>
      <c r="GU4" s="2237"/>
      <c r="GV4" s="2237"/>
      <c r="GW4" s="2237"/>
      <c r="GX4" s="2237"/>
      <c r="GY4" s="2237"/>
      <c r="GZ4" s="2237"/>
      <c r="HA4" s="2237"/>
      <c r="HB4" s="2237"/>
      <c r="HC4" s="2237"/>
      <c r="HD4" s="2237"/>
      <c r="HE4" s="2237"/>
      <c r="HF4" s="2237"/>
      <c r="HG4" s="2237"/>
      <c r="HH4" s="2237"/>
      <c r="HI4" s="2237"/>
      <c r="HJ4" s="2237"/>
      <c r="HK4" s="2237"/>
      <c r="HL4" s="2237"/>
      <c r="HM4" s="2237"/>
      <c r="HN4" s="2237"/>
      <c r="HO4" s="2237"/>
      <c r="HP4" s="2237"/>
      <c r="HQ4" s="2237"/>
      <c r="HR4" s="2237"/>
      <c r="HS4" s="2237"/>
      <c r="HT4" s="2237"/>
      <c r="HU4" s="2237"/>
      <c r="HV4" s="2237"/>
      <c r="HW4" s="2237"/>
      <c r="HX4" s="2237"/>
      <c r="HY4" s="2237"/>
      <c r="HZ4" s="2237"/>
      <c r="IA4" s="2237"/>
      <c r="IB4" s="2237"/>
      <c r="IC4" s="2237"/>
      <c r="ID4" s="2237"/>
      <c r="IE4" s="2237"/>
      <c r="IF4" s="2237"/>
      <c r="IG4" s="2237"/>
      <c r="IH4" s="2237"/>
      <c r="II4" s="2237"/>
      <c r="IJ4" s="2237"/>
      <c r="IK4" s="2237"/>
      <c r="IL4" s="2237"/>
      <c r="IM4" s="2237"/>
      <c r="IN4" s="2237"/>
      <c r="IO4" s="2237"/>
      <c r="IP4" s="2237"/>
      <c r="IQ4" s="2237"/>
      <c r="IR4" s="2237"/>
      <c r="IS4" s="2237"/>
      <c r="IT4" s="2237"/>
      <c r="IU4" s="2237"/>
      <c r="IV4" s="2237"/>
    </row>
    <row r="5" spans="1:257" s="2289" customFormat="1">
      <c r="A5" s="2237"/>
      <c r="G5" s="2244" t="s">
        <v>2071</v>
      </c>
      <c r="H5" s="2245">
        <v>1</v>
      </c>
      <c r="I5" s="2246">
        <f ca="1">INDIRECT("f"&amp;$H$1)</f>
        <v>3.45</v>
      </c>
      <c r="J5" s="2246">
        <f ca="1">INDIRECT("f"&amp;$H$1)</f>
        <v>3.45</v>
      </c>
      <c r="K5" s="2237"/>
      <c r="L5" s="2237"/>
      <c r="M5" s="2247">
        <v>2</v>
      </c>
      <c r="N5" s="2248">
        <f ca="1">INDIRECT("r"&amp;$N$1)</f>
        <v>2.1</v>
      </c>
      <c r="O5" s="2237"/>
      <c r="P5" s="2237"/>
      <c r="Q5" s="2237"/>
      <c r="R5" s="2237"/>
      <c r="S5" s="2237"/>
      <c r="T5" s="2237"/>
      <c r="U5" s="2237"/>
      <c r="V5" s="2237"/>
      <c r="W5" s="2237"/>
      <c r="X5" s="2237"/>
      <c r="Y5" s="2237"/>
      <c r="Z5" s="2237"/>
      <c r="AA5" s="2237"/>
      <c r="AB5" s="2237"/>
      <c r="AC5" s="2237"/>
      <c r="AD5" s="2237"/>
      <c r="AE5" s="2237"/>
      <c r="AF5" s="2237"/>
      <c r="AG5" s="2237"/>
      <c r="AH5" s="2237"/>
      <c r="AI5" s="2237"/>
      <c r="AJ5" s="2237"/>
      <c r="AK5" s="2237"/>
      <c r="AL5" s="2237"/>
      <c r="AM5" s="2237"/>
      <c r="AN5" s="2237"/>
      <c r="AO5" s="2237"/>
      <c r="AP5" s="2237"/>
      <c r="AQ5" s="2237"/>
      <c r="AR5" s="2237"/>
      <c r="AS5" s="2237"/>
      <c r="AT5" s="2237"/>
      <c r="AU5" s="2237"/>
      <c r="AV5" s="2237"/>
      <c r="AW5" s="2237"/>
      <c r="AX5" s="2237"/>
      <c r="AY5" s="2237"/>
      <c r="AZ5" s="2237"/>
      <c r="BA5" s="2237"/>
      <c r="BB5" s="2237"/>
      <c r="BC5" s="2237"/>
      <c r="BD5" s="2237"/>
      <c r="BE5" s="2237"/>
      <c r="BF5" s="2237"/>
      <c r="BG5" s="2237"/>
      <c r="BH5" s="2237"/>
      <c r="BI5" s="2237"/>
      <c r="BJ5" s="2237"/>
      <c r="BK5" s="2237"/>
      <c r="BL5" s="2237"/>
      <c r="BM5" s="2237"/>
      <c r="BN5" s="2237"/>
      <c r="BO5" s="2237"/>
      <c r="BP5" s="2237"/>
      <c r="BQ5" s="2237"/>
      <c r="BR5" s="2237"/>
      <c r="BS5" s="2237"/>
      <c r="BT5" s="2237"/>
      <c r="BU5" s="2237"/>
      <c r="BV5" s="2237"/>
      <c r="BW5" s="2237"/>
      <c r="BX5" s="2237"/>
      <c r="BY5" s="2237"/>
      <c r="BZ5" s="2237"/>
      <c r="CA5" s="2237"/>
      <c r="CB5" s="2237"/>
      <c r="CC5" s="2237"/>
      <c r="CD5" s="2237"/>
      <c r="CE5" s="2237"/>
      <c r="CF5" s="2237"/>
      <c r="CG5" s="2237"/>
      <c r="CH5" s="2237"/>
      <c r="CI5" s="2237"/>
      <c r="CJ5" s="2237"/>
      <c r="CK5" s="2237"/>
      <c r="CL5" s="2237"/>
      <c r="CM5" s="2237"/>
      <c r="CN5" s="2237"/>
      <c r="CO5" s="2237"/>
      <c r="CP5" s="2237"/>
      <c r="CQ5" s="2237"/>
      <c r="CR5" s="2237"/>
      <c r="CS5" s="2237"/>
      <c r="CT5" s="2237"/>
      <c r="CU5" s="2237"/>
      <c r="CV5" s="2237"/>
      <c r="CW5" s="2237"/>
      <c r="CX5" s="2237"/>
      <c r="CY5" s="2237"/>
      <c r="CZ5" s="2237"/>
      <c r="DA5" s="2237"/>
      <c r="DB5" s="2237"/>
      <c r="DC5" s="2237"/>
      <c r="DD5" s="2237"/>
      <c r="DE5" s="2237"/>
      <c r="DF5" s="2237"/>
      <c r="DG5" s="2237"/>
      <c r="DH5" s="2237"/>
      <c r="DI5" s="2237"/>
      <c r="DJ5" s="2237"/>
      <c r="DK5" s="2237"/>
      <c r="DL5" s="2237"/>
      <c r="DM5" s="2237"/>
      <c r="DN5" s="2237"/>
      <c r="DO5" s="2237"/>
      <c r="DP5" s="2237"/>
      <c r="DQ5" s="2237"/>
      <c r="DR5" s="2237"/>
      <c r="DS5" s="2237"/>
      <c r="DT5" s="2237"/>
      <c r="DU5" s="2237"/>
      <c r="DV5" s="2237"/>
      <c r="DW5" s="2237"/>
      <c r="DX5" s="2237"/>
      <c r="DY5" s="2237"/>
      <c r="DZ5" s="2237"/>
      <c r="EA5" s="2237"/>
      <c r="EB5" s="2237"/>
      <c r="EC5" s="2237"/>
      <c r="ED5" s="2237"/>
      <c r="EE5" s="2237"/>
      <c r="EF5" s="2237"/>
      <c r="EG5" s="2237"/>
      <c r="EH5" s="2237"/>
      <c r="EI5" s="2237"/>
      <c r="EJ5" s="2237"/>
      <c r="EK5" s="2237"/>
      <c r="EL5" s="2237"/>
      <c r="EM5" s="2237"/>
      <c r="EN5" s="2237"/>
      <c r="EO5" s="2237"/>
      <c r="EP5" s="2237"/>
      <c r="EQ5" s="2237"/>
      <c r="ER5" s="2237"/>
      <c r="ES5" s="2237"/>
      <c r="ET5" s="2237"/>
      <c r="EU5" s="2237"/>
      <c r="EV5" s="2237"/>
      <c r="EW5" s="2237"/>
      <c r="EX5" s="2237"/>
      <c r="EY5" s="2237"/>
      <c r="EZ5" s="2237"/>
      <c r="FA5" s="2237"/>
      <c r="FB5" s="2237"/>
      <c r="FC5" s="2237"/>
      <c r="FD5" s="2237"/>
      <c r="FE5" s="2237"/>
      <c r="FF5" s="2237"/>
      <c r="FG5" s="2237"/>
      <c r="FH5" s="2237"/>
      <c r="FI5" s="2237"/>
      <c r="FJ5" s="2237"/>
      <c r="FK5" s="2237"/>
      <c r="FL5" s="2237"/>
      <c r="FM5" s="2237"/>
      <c r="FN5" s="2237"/>
      <c r="FO5" s="2237"/>
      <c r="FP5" s="2237"/>
      <c r="FQ5" s="2237"/>
      <c r="FR5" s="2237"/>
      <c r="FS5" s="2237"/>
      <c r="FT5" s="2237"/>
      <c r="FU5" s="2237"/>
      <c r="FV5" s="2237"/>
      <c r="FW5" s="2237"/>
      <c r="FX5" s="2237"/>
      <c r="FY5" s="2237"/>
      <c r="FZ5" s="2237"/>
      <c r="GA5" s="2237"/>
      <c r="GB5" s="2237"/>
      <c r="GC5" s="2237"/>
      <c r="GD5" s="2237"/>
      <c r="GE5" s="2237"/>
      <c r="GF5" s="2237"/>
      <c r="GG5" s="2237"/>
      <c r="GH5" s="2237"/>
      <c r="GI5" s="2237"/>
      <c r="GJ5" s="2237"/>
      <c r="GK5" s="2237"/>
      <c r="GL5" s="2237"/>
      <c r="GM5" s="2237"/>
      <c r="GN5" s="2237"/>
      <c r="GO5" s="2237"/>
      <c r="GP5" s="2237"/>
      <c r="GQ5" s="2237"/>
      <c r="GR5" s="2237"/>
      <c r="GS5" s="2237"/>
      <c r="GT5" s="2237"/>
      <c r="GU5" s="2237"/>
      <c r="GV5" s="2237"/>
      <c r="GW5" s="2237"/>
      <c r="GX5" s="2237"/>
      <c r="GY5" s="2237"/>
      <c r="GZ5" s="2237"/>
      <c r="HA5" s="2237"/>
      <c r="HB5" s="2237"/>
      <c r="HC5" s="2237"/>
      <c r="HD5" s="2237"/>
      <c r="HE5" s="2237"/>
      <c r="HF5" s="2237"/>
      <c r="HG5" s="2237"/>
      <c r="HH5" s="2237"/>
      <c r="HI5" s="2237"/>
      <c r="HJ5" s="2237"/>
      <c r="HK5" s="2237"/>
      <c r="HL5" s="2237"/>
      <c r="HM5" s="2237"/>
      <c r="HN5" s="2237"/>
      <c r="HO5" s="2237"/>
      <c r="HP5" s="2237"/>
      <c r="HQ5" s="2237"/>
      <c r="HR5" s="2237"/>
      <c r="HS5" s="2237"/>
      <c r="HT5" s="2237"/>
      <c r="HU5" s="2237"/>
      <c r="HV5" s="2237"/>
      <c r="HW5" s="2237"/>
      <c r="HX5" s="2237"/>
      <c r="HY5" s="2237"/>
      <c r="HZ5" s="2237"/>
      <c r="IA5" s="2237"/>
      <c r="IB5" s="2237"/>
      <c r="IC5" s="2237"/>
      <c r="ID5" s="2237"/>
      <c r="IE5" s="2237"/>
      <c r="IF5" s="2237"/>
      <c r="IG5" s="2237"/>
      <c r="IH5" s="2237"/>
      <c r="II5" s="2237"/>
      <c r="IJ5" s="2237"/>
      <c r="IK5" s="2237"/>
      <c r="IL5" s="2237"/>
      <c r="IM5" s="2237"/>
      <c r="IN5" s="2237"/>
      <c r="IO5" s="2237"/>
      <c r="IP5" s="2237"/>
      <c r="IQ5" s="2237"/>
      <c r="IR5" s="2237"/>
      <c r="IS5" s="2237"/>
      <c r="IT5" s="2237"/>
      <c r="IU5" s="2237"/>
      <c r="IV5" s="2237"/>
    </row>
    <row r="6" spans="1:257" s="2289" customFormat="1">
      <c r="A6" s="2237"/>
      <c r="G6" s="2244" t="s">
        <v>2072</v>
      </c>
      <c r="H6" s="2245">
        <v>3</v>
      </c>
      <c r="I6" s="2246">
        <f ca="1">INDIRECT("g"&amp;$H$1)</f>
        <v>3.45</v>
      </c>
      <c r="J6" s="2246">
        <f ca="1">INDIRECT("g"&amp;$H$1)</f>
        <v>3.45</v>
      </c>
      <c r="K6" s="2237"/>
      <c r="L6" s="2237"/>
      <c r="M6" s="2247">
        <v>3</v>
      </c>
      <c r="N6" s="2248">
        <f ca="1">INDIRECT("s"&amp;$N$1)</f>
        <v>2.75</v>
      </c>
      <c r="O6" s="2237"/>
      <c r="P6" s="2237"/>
      <c r="Q6" s="2237"/>
      <c r="R6" s="2237"/>
      <c r="S6" s="2237"/>
      <c r="T6" s="2237"/>
      <c r="U6" s="2237"/>
      <c r="V6" s="2237"/>
      <c r="W6" s="2237"/>
      <c r="X6" s="2237"/>
      <c r="Y6" s="2237"/>
      <c r="Z6" s="2237"/>
      <c r="AA6" s="2237"/>
      <c r="AB6" s="2237"/>
      <c r="AC6" s="2237"/>
      <c r="AD6" s="2237"/>
      <c r="AE6" s="2237"/>
      <c r="AF6" s="2237"/>
      <c r="AG6" s="2237"/>
      <c r="AH6" s="2237"/>
      <c r="AI6" s="2237"/>
      <c r="AJ6" s="2237"/>
      <c r="AK6" s="2237"/>
      <c r="AL6" s="2237"/>
      <c r="AM6" s="2237"/>
      <c r="AN6" s="2237"/>
      <c r="AO6" s="2237"/>
      <c r="AP6" s="2237"/>
      <c r="AQ6" s="2237"/>
      <c r="AR6" s="2237"/>
      <c r="AS6" s="2237"/>
      <c r="AT6" s="2237"/>
      <c r="AU6" s="2237"/>
      <c r="AV6" s="2237"/>
      <c r="AW6" s="2237"/>
      <c r="AX6" s="2237"/>
      <c r="AY6" s="2237"/>
      <c r="AZ6" s="2237"/>
      <c r="BA6" s="2237"/>
      <c r="BB6" s="2237"/>
      <c r="BC6" s="2237"/>
      <c r="BD6" s="2237"/>
      <c r="BE6" s="2237"/>
      <c r="BF6" s="2237"/>
      <c r="BG6" s="2237"/>
      <c r="BH6" s="2237"/>
      <c r="BI6" s="2237"/>
      <c r="BJ6" s="2237"/>
      <c r="BK6" s="2237"/>
      <c r="BL6" s="2237"/>
      <c r="BM6" s="2237"/>
      <c r="BN6" s="2237"/>
      <c r="BO6" s="2237"/>
      <c r="BP6" s="2237"/>
      <c r="BQ6" s="2237"/>
      <c r="BR6" s="2237"/>
      <c r="BS6" s="2237"/>
      <c r="BT6" s="2237"/>
      <c r="BU6" s="2237"/>
      <c r="BV6" s="2237"/>
      <c r="BW6" s="2237"/>
      <c r="BX6" s="2237"/>
      <c r="BY6" s="2237"/>
      <c r="BZ6" s="2237"/>
      <c r="CA6" s="2237"/>
      <c r="CB6" s="2237"/>
      <c r="CC6" s="2237"/>
      <c r="CD6" s="2237"/>
      <c r="CE6" s="2237"/>
      <c r="CF6" s="2237"/>
      <c r="CG6" s="2237"/>
      <c r="CH6" s="2237"/>
      <c r="CI6" s="2237"/>
      <c r="CJ6" s="2237"/>
      <c r="CK6" s="2237"/>
      <c r="CL6" s="2237"/>
      <c r="CM6" s="2237"/>
      <c r="CN6" s="2237"/>
      <c r="CO6" s="2237"/>
      <c r="CP6" s="2237"/>
      <c r="CQ6" s="2237"/>
      <c r="CR6" s="2237"/>
      <c r="CS6" s="2237"/>
      <c r="CT6" s="2237"/>
      <c r="CU6" s="2237"/>
      <c r="CV6" s="2237"/>
      <c r="CW6" s="2237"/>
      <c r="CX6" s="2237"/>
      <c r="CY6" s="2237"/>
      <c r="CZ6" s="2237"/>
      <c r="DA6" s="2237"/>
      <c r="DB6" s="2237"/>
      <c r="DC6" s="2237"/>
      <c r="DD6" s="2237"/>
      <c r="DE6" s="2237"/>
      <c r="DF6" s="2237"/>
      <c r="DG6" s="2237"/>
      <c r="DH6" s="2237"/>
      <c r="DI6" s="2237"/>
      <c r="DJ6" s="2237"/>
      <c r="DK6" s="2237"/>
      <c r="DL6" s="2237"/>
      <c r="DM6" s="2237"/>
      <c r="DN6" s="2237"/>
      <c r="DO6" s="2237"/>
      <c r="DP6" s="2237"/>
      <c r="DQ6" s="2237"/>
      <c r="DR6" s="2237"/>
      <c r="DS6" s="2237"/>
      <c r="DT6" s="2237"/>
      <c r="DU6" s="2237"/>
      <c r="DV6" s="2237"/>
      <c r="DW6" s="2237"/>
      <c r="DX6" s="2237"/>
      <c r="DY6" s="2237"/>
      <c r="DZ6" s="2237"/>
      <c r="EA6" s="2237"/>
      <c r="EB6" s="2237"/>
      <c r="EC6" s="2237"/>
      <c r="ED6" s="2237"/>
      <c r="EE6" s="2237"/>
      <c r="EF6" s="2237"/>
      <c r="EG6" s="2237"/>
      <c r="EH6" s="2237"/>
      <c r="EI6" s="2237"/>
      <c r="EJ6" s="2237"/>
      <c r="EK6" s="2237"/>
      <c r="EL6" s="2237"/>
      <c r="EM6" s="2237"/>
      <c r="EN6" s="2237"/>
      <c r="EO6" s="2237"/>
      <c r="EP6" s="2237"/>
      <c r="EQ6" s="2237"/>
      <c r="ER6" s="2237"/>
      <c r="ES6" s="2237"/>
      <c r="ET6" s="2237"/>
      <c r="EU6" s="2237"/>
      <c r="EV6" s="2237"/>
      <c r="EW6" s="2237"/>
      <c r="EX6" s="2237"/>
      <c r="EY6" s="2237"/>
      <c r="EZ6" s="2237"/>
      <c r="FA6" s="2237"/>
      <c r="FB6" s="2237"/>
      <c r="FC6" s="2237"/>
      <c r="FD6" s="2237"/>
      <c r="FE6" s="2237"/>
      <c r="FF6" s="2237"/>
      <c r="FG6" s="2237"/>
      <c r="FH6" s="2237"/>
      <c r="FI6" s="2237"/>
      <c r="FJ6" s="2237"/>
      <c r="FK6" s="2237"/>
      <c r="FL6" s="2237"/>
      <c r="FM6" s="2237"/>
      <c r="FN6" s="2237"/>
      <c r="FO6" s="2237"/>
      <c r="FP6" s="2237"/>
      <c r="FQ6" s="2237"/>
      <c r="FR6" s="2237"/>
      <c r="FS6" s="2237"/>
      <c r="FT6" s="2237"/>
      <c r="FU6" s="2237"/>
      <c r="FV6" s="2237"/>
      <c r="FW6" s="2237"/>
      <c r="FX6" s="2237"/>
      <c r="FY6" s="2237"/>
      <c r="FZ6" s="2237"/>
      <c r="GA6" s="2237"/>
      <c r="GB6" s="2237"/>
      <c r="GC6" s="2237"/>
      <c r="GD6" s="2237"/>
      <c r="GE6" s="2237"/>
      <c r="GF6" s="2237"/>
      <c r="GG6" s="2237"/>
      <c r="GH6" s="2237"/>
      <c r="GI6" s="2237"/>
      <c r="GJ6" s="2237"/>
      <c r="GK6" s="2237"/>
      <c r="GL6" s="2237"/>
      <c r="GM6" s="2237"/>
      <c r="GN6" s="2237"/>
      <c r="GO6" s="2237"/>
      <c r="GP6" s="2237"/>
      <c r="GQ6" s="2237"/>
      <c r="GR6" s="2237"/>
      <c r="GS6" s="2237"/>
      <c r="GT6" s="2237"/>
      <c r="GU6" s="2237"/>
      <c r="GV6" s="2237"/>
      <c r="GW6" s="2237"/>
      <c r="GX6" s="2237"/>
      <c r="GY6" s="2237"/>
      <c r="GZ6" s="2237"/>
      <c r="HA6" s="2237"/>
      <c r="HB6" s="2237"/>
      <c r="HC6" s="2237"/>
      <c r="HD6" s="2237"/>
      <c r="HE6" s="2237"/>
      <c r="HF6" s="2237"/>
      <c r="HG6" s="2237"/>
      <c r="HH6" s="2237"/>
      <c r="HI6" s="2237"/>
      <c r="HJ6" s="2237"/>
      <c r="HK6" s="2237"/>
      <c r="HL6" s="2237"/>
      <c r="HM6" s="2237"/>
      <c r="HN6" s="2237"/>
      <c r="HO6" s="2237"/>
      <c r="HP6" s="2237"/>
      <c r="HQ6" s="2237"/>
      <c r="HR6" s="2237"/>
      <c r="HS6" s="2237"/>
      <c r="HT6" s="2237"/>
      <c r="HU6" s="2237"/>
      <c r="HV6" s="2237"/>
      <c r="HW6" s="2237"/>
      <c r="HX6" s="2237"/>
      <c r="HY6" s="2237"/>
      <c r="HZ6" s="2237"/>
      <c r="IA6" s="2237"/>
      <c r="IB6" s="2237"/>
      <c r="IC6" s="2237"/>
      <c r="ID6" s="2237"/>
      <c r="IE6" s="2237"/>
      <c r="IF6" s="2237"/>
      <c r="IG6" s="2237"/>
      <c r="IH6" s="2237"/>
      <c r="II6" s="2237"/>
      <c r="IJ6" s="2237"/>
      <c r="IK6" s="2237"/>
      <c r="IL6" s="2237"/>
      <c r="IM6" s="2237"/>
      <c r="IN6" s="2237"/>
      <c r="IO6" s="2237"/>
      <c r="IP6" s="2237"/>
      <c r="IQ6" s="2237"/>
      <c r="IR6" s="2237"/>
      <c r="IS6" s="2237"/>
      <c r="IT6" s="2237"/>
      <c r="IU6" s="2237"/>
      <c r="IV6" s="2237"/>
    </row>
    <row r="7" spans="1:257" s="2289" customFormat="1" ht="14.25" thickBot="1">
      <c r="A7" s="2237"/>
      <c r="G7" s="2249" t="s">
        <v>2073</v>
      </c>
      <c r="H7" s="2250">
        <v>5</v>
      </c>
      <c r="I7" s="2251">
        <f ca="1">INDIRECT("h"&amp;$H$1)</f>
        <v>4.2</v>
      </c>
      <c r="J7" s="2251">
        <f ca="1">INDIRECT("h"&amp;$H$1)</f>
        <v>4.2</v>
      </c>
      <c r="K7" s="2237"/>
      <c r="L7" s="2237"/>
      <c r="M7" s="2252">
        <v>5</v>
      </c>
      <c r="N7" s="2253">
        <f ca="1">INDIRECT("t"&amp;$N$1)</f>
        <v>0</v>
      </c>
      <c r="O7" s="2237"/>
      <c r="P7" s="2237"/>
      <c r="Q7" s="2237"/>
      <c r="R7" s="2237"/>
      <c r="S7" s="2237"/>
      <c r="T7" s="2237"/>
      <c r="U7" s="2237"/>
      <c r="V7" s="2237"/>
      <c r="W7" s="2237"/>
      <c r="X7" s="2237"/>
      <c r="Y7" s="2237"/>
      <c r="Z7" s="2237"/>
      <c r="AA7" s="2237"/>
      <c r="AB7" s="2237"/>
      <c r="AC7" s="2237"/>
      <c r="AD7" s="2237"/>
      <c r="AE7" s="2237"/>
      <c r="AF7" s="2237"/>
      <c r="AG7" s="2237"/>
      <c r="AH7" s="2237"/>
      <c r="AI7" s="2237"/>
      <c r="AJ7" s="2237"/>
      <c r="AK7" s="2237"/>
      <c r="AL7" s="2237"/>
      <c r="AM7" s="2237"/>
      <c r="AN7" s="2237"/>
      <c r="AO7" s="2237"/>
      <c r="AP7" s="2237"/>
      <c r="AQ7" s="2237"/>
      <c r="AR7" s="2237"/>
      <c r="AS7" s="2237"/>
      <c r="AT7" s="2237"/>
      <c r="AU7" s="2237"/>
      <c r="AV7" s="2237"/>
      <c r="AW7" s="2237"/>
      <c r="AX7" s="2237"/>
      <c r="AY7" s="2237"/>
      <c r="AZ7" s="2237"/>
      <c r="BA7" s="2237"/>
      <c r="BB7" s="2237"/>
      <c r="BC7" s="2237"/>
      <c r="BD7" s="2237"/>
      <c r="BE7" s="2237"/>
      <c r="BF7" s="2237"/>
      <c r="BG7" s="2237"/>
      <c r="BH7" s="2237"/>
      <c r="BI7" s="2237"/>
      <c r="BJ7" s="2237"/>
      <c r="BK7" s="2237"/>
      <c r="BL7" s="2237"/>
      <c r="BM7" s="2237"/>
      <c r="BN7" s="2237"/>
      <c r="BO7" s="2237"/>
      <c r="BP7" s="2237"/>
      <c r="BQ7" s="2237"/>
      <c r="BR7" s="2237"/>
      <c r="BS7" s="2237"/>
      <c r="BT7" s="2237"/>
      <c r="BU7" s="2237"/>
      <c r="BV7" s="2237"/>
      <c r="BW7" s="2237"/>
      <c r="BX7" s="2237"/>
      <c r="BY7" s="2237"/>
      <c r="BZ7" s="2237"/>
      <c r="CA7" s="2237"/>
      <c r="CB7" s="2237"/>
      <c r="CC7" s="2237"/>
      <c r="CD7" s="2237"/>
      <c r="CE7" s="2237"/>
      <c r="CF7" s="2237"/>
      <c r="CG7" s="2237"/>
      <c r="CH7" s="2237"/>
      <c r="CI7" s="2237"/>
      <c r="CJ7" s="2237"/>
      <c r="CK7" s="2237"/>
      <c r="CL7" s="2237"/>
      <c r="CM7" s="2237"/>
      <c r="CN7" s="2237"/>
      <c r="CO7" s="2237"/>
      <c r="CP7" s="2237"/>
      <c r="CQ7" s="2237"/>
      <c r="CR7" s="2237"/>
      <c r="CS7" s="2237"/>
      <c r="CT7" s="2237"/>
      <c r="CU7" s="2237"/>
      <c r="CV7" s="2237"/>
      <c r="CW7" s="2237"/>
      <c r="CX7" s="2237"/>
      <c r="CY7" s="2237"/>
      <c r="CZ7" s="2237"/>
      <c r="DA7" s="2237"/>
      <c r="DB7" s="2237"/>
      <c r="DC7" s="2237"/>
      <c r="DD7" s="2237"/>
      <c r="DE7" s="2237"/>
      <c r="DF7" s="2237"/>
      <c r="DG7" s="2237"/>
      <c r="DH7" s="2237"/>
      <c r="DI7" s="2237"/>
      <c r="DJ7" s="2237"/>
      <c r="DK7" s="2237"/>
      <c r="DL7" s="2237"/>
      <c r="DM7" s="2237"/>
      <c r="DN7" s="2237"/>
      <c r="DO7" s="2237"/>
      <c r="DP7" s="2237"/>
      <c r="DQ7" s="2237"/>
      <c r="DR7" s="2237"/>
      <c r="DS7" s="2237"/>
      <c r="DT7" s="2237"/>
      <c r="DU7" s="2237"/>
      <c r="DV7" s="2237"/>
      <c r="DW7" s="2237"/>
      <c r="DX7" s="2237"/>
      <c r="DY7" s="2237"/>
      <c r="DZ7" s="2237"/>
      <c r="EA7" s="2237"/>
      <c r="EB7" s="2237"/>
      <c r="EC7" s="2237"/>
      <c r="ED7" s="2237"/>
      <c r="EE7" s="2237"/>
      <c r="EF7" s="2237"/>
      <c r="EG7" s="2237"/>
      <c r="EH7" s="2237"/>
      <c r="EI7" s="2237"/>
      <c r="EJ7" s="2237"/>
      <c r="EK7" s="2237"/>
      <c r="EL7" s="2237"/>
      <c r="EM7" s="2237"/>
      <c r="EN7" s="2237"/>
      <c r="EO7" s="2237"/>
      <c r="EP7" s="2237"/>
      <c r="EQ7" s="2237"/>
      <c r="ER7" s="2237"/>
      <c r="ES7" s="2237"/>
      <c r="ET7" s="2237"/>
      <c r="EU7" s="2237"/>
      <c r="EV7" s="2237"/>
      <c r="EW7" s="2237"/>
      <c r="EX7" s="2237"/>
      <c r="EY7" s="2237"/>
      <c r="EZ7" s="2237"/>
      <c r="FA7" s="2237"/>
      <c r="FB7" s="2237"/>
      <c r="FC7" s="2237"/>
      <c r="FD7" s="2237"/>
      <c r="FE7" s="2237"/>
      <c r="FF7" s="2237"/>
      <c r="FG7" s="2237"/>
      <c r="FH7" s="2237"/>
      <c r="FI7" s="2237"/>
      <c r="FJ7" s="2237"/>
      <c r="FK7" s="2237"/>
      <c r="FL7" s="2237"/>
      <c r="FM7" s="2237"/>
      <c r="FN7" s="2237"/>
      <c r="FO7" s="2237"/>
      <c r="FP7" s="2237"/>
      <c r="FQ7" s="2237"/>
      <c r="FR7" s="2237"/>
      <c r="FS7" s="2237"/>
      <c r="FT7" s="2237"/>
      <c r="FU7" s="2237"/>
      <c r="FV7" s="2237"/>
      <c r="FW7" s="2237"/>
      <c r="FX7" s="2237"/>
      <c r="FY7" s="2237"/>
      <c r="FZ7" s="2237"/>
      <c r="GA7" s="2237"/>
      <c r="GB7" s="2237"/>
      <c r="GC7" s="2237"/>
      <c r="GD7" s="2237"/>
      <c r="GE7" s="2237"/>
      <c r="GF7" s="2237"/>
      <c r="GG7" s="2237"/>
      <c r="GH7" s="2237"/>
      <c r="GI7" s="2237"/>
      <c r="GJ7" s="2237"/>
      <c r="GK7" s="2237"/>
      <c r="GL7" s="2237"/>
      <c r="GM7" s="2237"/>
      <c r="GN7" s="2237"/>
      <c r="GO7" s="2237"/>
      <c r="GP7" s="2237"/>
      <c r="GQ7" s="2237"/>
      <c r="GR7" s="2237"/>
      <c r="GS7" s="2237"/>
      <c r="GT7" s="2237"/>
      <c r="GU7" s="2237"/>
      <c r="GV7" s="2237"/>
      <c r="GW7" s="2237"/>
      <c r="GX7" s="2237"/>
      <c r="GY7" s="2237"/>
      <c r="GZ7" s="2237"/>
      <c r="HA7" s="2237"/>
      <c r="HB7" s="2237"/>
      <c r="HC7" s="2237"/>
      <c r="HD7" s="2237"/>
      <c r="HE7" s="2237"/>
      <c r="HF7" s="2237"/>
      <c r="HG7" s="2237"/>
      <c r="HH7" s="2237"/>
      <c r="HI7" s="2237"/>
      <c r="HJ7" s="2237"/>
      <c r="HK7" s="2237"/>
      <c r="HL7" s="2237"/>
      <c r="HM7" s="2237"/>
      <c r="HN7" s="2237"/>
      <c r="HO7" s="2237"/>
      <c r="HP7" s="2237"/>
      <c r="HQ7" s="2237"/>
      <c r="HR7" s="2237"/>
      <c r="HS7" s="2237"/>
      <c r="HT7" s="2237"/>
      <c r="HU7" s="2237"/>
      <c r="HV7" s="2237"/>
      <c r="HW7" s="2237"/>
      <c r="HX7" s="2237"/>
      <c r="HY7" s="2237"/>
      <c r="HZ7" s="2237"/>
      <c r="IA7" s="2237"/>
      <c r="IB7" s="2237"/>
      <c r="IC7" s="2237"/>
      <c r="ID7" s="2237"/>
      <c r="IE7" s="2237"/>
      <c r="IF7" s="2237"/>
      <c r="IG7" s="2237"/>
      <c r="IH7" s="2237"/>
      <c r="II7" s="2237"/>
      <c r="IJ7" s="2237"/>
      <c r="IK7" s="2237"/>
      <c r="IL7" s="2237"/>
      <c r="IM7" s="2237"/>
      <c r="IN7" s="2237"/>
      <c r="IO7" s="2237"/>
      <c r="IP7" s="2237"/>
      <c r="IQ7" s="2237"/>
      <c r="IR7" s="2237"/>
      <c r="IS7" s="2237"/>
      <c r="IT7" s="2237"/>
      <c r="IU7" s="2237"/>
      <c r="IV7" s="2237"/>
    </row>
    <row r="8" spans="1:257">
      <c r="A8" s="2254"/>
      <c r="B8" s="2255"/>
      <c r="C8" s="2256"/>
      <c r="D8" s="2237"/>
      <c r="E8" s="2237"/>
      <c r="F8" s="2237"/>
      <c r="G8" s="2237"/>
      <c r="H8" s="2237"/>
      <c r="I8" s="2237"/>
      <c r="J8" s="2237"/>
      <c r="L8" s="2237"/>
      <c r="M8" s="2237"/>
      <c r="N8" s="2237"/>
      <c r="O8" s="2237"/>
      <c r="P8" s="2237"/>
      <c r="Q8" s="2237"/>
      <c r="R8" s="2237"/>
      <c r="S8" s="2237"/>
      <c r="T8" s="2237"/>
      <c r="U8" s="2237"/>
      <c r="V8" s="2237"/>
      <c r="W8" s="2237"/>
      <c r="X8" s="2237"/>
      <c r="Y8" s="2237"/>
      <c r="Z8" s="2237"/>
    </row>
    <row r="9" spans="1:257" ht="20.25">
      <c r="A9" s="2257"/>
      <c r="B9" s="2258" t="s">
        <v>2074</v>
      </c>
      <c r="C9" s="2259"/>
      <c r="D9" s="2260"/>
      <c r="E9" s="2260"/>
      <c r="F9" s="2260"/>
      <c r="G9" s="2260"/>
      <c r="H9" s="2260"/>
      <c r="I9" s="2260"/>
      <c r="J9" s="2260"/>
      <c r="K9" s="2260"/>
      <c r="L9" s="2260"/>
      <c r="M9" s="2260"/>
      <c r="N9" s="2260"/>
      <c r="O9" s="2260"/>
      <c r="P9" s="2260"/>
      <c r="Q9" s="2260"/>
      <c r="R9" s="2260"/>
      <c r="S9" s="2260"/>
      <c r="T9" s="2260"/>
      <c r="U9" s="2260"/>
      <c r="V9" s="2260"/>
      <c r="W9" s="2260"/>
      <c r="X9" s="2260"/>
      <c r="Y9" s="2260"/>
      <c r="Z9" s="2260"/>
      <c r="AA9" s="2261"/>
      <c r="AB9" s="2261"/>
      <c r="AC9" s="2261"/>
      <c r="AD9" s="2261"/>
      <c r="AE9" s="2261"/>
      <c r="AF9" s="2261"/>
      <c r="AG9" s="2261"/>
      <c r="AH9" s="2261"/>
      <c r="AI9" s="2261"/>
      <c r="AJ9" s="2261"/>
      <c r="AK9" s="2261"/>
      <c r="AL9" s="2261"/>
      <c r="AM9" s="2261"/>
      <c r="AN9" s="2261"/>
      <c r="AO9" s="2261"/>
      <c r="AP9" s="2261"/>
      <c r="AQ9" s="2261"/>
      <c r="AR9" s="2261"/>
      <c r="AS9" s="2261"/>
      <c r="AT9" s="2261"/>
      <c r="AU9" s="2261"/>
      <c r="AV9" s="2261"/>
      <c r="AW9" s="2261"/>
      <c r="AX9" s="2261"/>
      <c r="AY9" s="2261"/>
      <c r="AZ9" s="2261"/>
      <c r="BA9" s="2261"/>
      <c r="BB9" s="2261"/>
      <c r="BC9" s="2261"/>
      <c r="BD9" s="2261"/>
      <c r="BE9" s="2261"/>
      <c r="BF9" s="2261"/>
      <c r="BG9" s="2261"/>
      <c r="BH9" s="2261"/>
      <c r="BI9" s="2261"/>
      <c r="BJ9" s="2261"/>
      <c r="BK9" s="2261"/>
      <c r="BL9" s="2261"/>
      <c r="BM9" s="2261"/>
      <c r="BN9" s="2261"/>
      <c r="BO9" s="2261"/>
      <c r="BP9" s="2261"/>
      <c r="BQ9" s="2261"/>
      <c r="BR9" s="2261"/>
      <c r="BS9" s="2261"/>
      <c r="BT9" s="2261"/>
      <c r="BU9" s="2261"/>
      <c r="BV9" s="2261"/>
      <c r="BW9" s="2261"/>
      <c r="BX9" s="2261"/>
      <c r="BY9" s="2261"/>
      <c r="BZ9" s="2261"/>
      <c r="CA9" s="2261"/>
      <c r="CB9" s="2261"/>
      <c r="CC9" s="2261"/>
      <c r="CD9" s="2261"/>
      <c r="CE9" s="2261"/>
      <c r="CF9" s="2261"/>
      <c r="CG9" s="2261"/>
      <c r="CH9" s="2261"/>
      <c r="CI9" s="2261"/>
      <c r="CJ9" s="2261"/>
      <c r="CK9" s="2261"/>
      <c r="CL9" s="2261"/>
      <c r="CM9" s="2261"/>
      <c r="CN9" s="2261"/>
      <c r="CO9" s="2261"/>
      <c r="CP9" s="2261"/>
      <c r="CQ9" s="2261"/>
      <c r="CR9" s="2261"/>
      <c r="CS9" s="2261"/>
      <c r="CT9" s="2261"/>
      <c r="CU9" s="2261"/>
      <c r="CV9" s="2261"/>
      <c r="CW9" s="2261"/>
      <c r="CX9" s="2261"/>
      <c r="CY9" s="2261"/>
      <c r="CZ9" s="2261"/>
      <c r="DA9" s="2261"/>
      <c r="DB9" s="2261"/>
      <c r="DC9" s="2261"/>
      <c r="DD9" s="2261"/>
      <c r="DE9" s="2261"/>
      <c r="DF9" s="2261"/>
      <c r="DG9" s="2261"/>
      <c r="DH9" s="2261"/>
      <c r="DI9" s="2261"/>
      <c r="DJ9" s="2261"/>
      <c r="DK9" s="2261"/>
      <c r="DL9" s="2261"/>
      <c r="DM9" s="2261"/>
      <c r="DN9" s="2261"/>
      <c r="DO9" s="2261"/>
      <c r="DP9" s="2261"/>
      <c r="DQ9" s="2261"/>
      <c r="DR9" s="2261"/>
      <c r="DS9" s="2261"/>
      <c r="DT9" s="2261"/>
      <c r="DU9" s="2261"/>
      <c r="DV9" s="2261"/>
      <c r="DW9" s="2261"/>
      <c r="DX9" s="2261"/>
      <c r="DY9" s="2261"/>
      <c r="DZ9" s="2261"/>
      <c r="EA9" s="2261"/>
      <c r="EB9" s="2261"/>
      <c r="EC9" s="2261"/>
      <c r="ED9" s="2261"/>
      <c r="EE9" s="2261"/>
      <c r="EF9" s="2261"/>
      <c r="EG9" s="2261"/>
      <c r="EH9" s="2261"/>
      <c r="EI9" s="2261"/>
      <c r="EJ9" s="2261"/>
      <c r="EK9" s="2261"/>
      <c r="EL9" s="2261"/>
      <c r="EM9" s="2261"/>
      <c r="EN9" s="2261"/>
      <c r="EO9" s="2261"/>
      <c r="EP9" s="2261"/>
      <c r="EQ9" s="2261"/>
      <c r="ER9" s="2261"/>
      <c r="ES9" s="2261"/>
      <c r="ET9" s="2261"/>
      <c r="EU9" s="2261"/>
      <c r="EV9" s="2261"/>
      <c r="EW9" s="2261"/>
      <c r="EX9" s="2261"/>
      <c r="EY9" s="2261"/>
      <c r="EZ9" s="2261"/>
      <c r="FA9" s="2261"/>
      <c r="FB9" s="2261"/>
      <c r="FC9" s="2261"/>
      <c r="FD9" s="2261"/>
      <c r="FE9" s="2261"/>
      <c r="FF9" s="2261"/>
      <c r="FG9" s="2261"/>
      <c r="FH9" s="2261"/>
      <c r="FI9" s="2261"/>
      <c r="FJ9" s="2261"/>
      <c r="FK9" s="2261"/>
      <c r="FL9" s="2261"/>
      <c r="FM9" s="2261"/>
      <c r="FN9" s="2261"/>
      <c r="FO9" s="2261"/>
      <c r="FP9" s="2261"/>
      <c r="FQ9" s="2261"/>
      <c r="FR9" s="2261"/>
      <c r="FS9" s="2261"/>
      <c r="FT9" s="2261"/>
      <c r="FU9" s="2261"/>
      <c r="FV9" s="2261"/>
      <c r="FW9" s="2261"/>
      <c r="FX9" s="2261"/>
      <c r="FY9" s="2261"/>
      <c r="FZ9" s="2261"/>
      <c r="GA9" s="2261"/>
      <c r="GB9" s="2261"/>
      <c r="GC9" s="2261"/>
      <c r="GD9" s="2261"/>
      <c r="GE9" s="2261"/>
      <c r="GF9" s="2261"/>
      <c r="GG9" s="2261"/>
      <c r="GH9" s="2261"/>
      <c r="GI9" s="2261"/>
      <c r="GJ9" s="2261"/>
      <c r="GK9" s="2261"/>
      <c r="GL9" s="2261"/>
      <c r="GM9" s="2261"/>
      <c r="GN9" s="2261"/>
      <c r="GO9" s="2261"/>
      <c r="GP9" s="2261"/>
      <c r="GQ9" s="2261"/>
      <c r="GR9" s="2261"/>
      <c r="GS9" s="2261"/>
      <c r="GT9" s="2261"/>
      <c r="GU9" s="2261"/>
      <c r="GV9" s="2261"/>
      <c r="GW9" s="2261"/>
      <c r="GX9" s="2261"/>
      <c r="GY9" s="2261"/>
      <c r="GZ9" s="2261"/>
      <c r="HA9" s="2261"/>
      <c r="HB9" s="2261"/>
      <c r="HC9" s="2261"/>
      <c r="HD9" s="2261"/>
      <c r="HE9" s="2261"/>
      <c r="HF9" s="2261"/>
      <c r="HG9" s="2261"/>
      <c r="HH9" s="2261"/>
      <c r="HI9" s="2261"/>
      <c r="HJ9" s="2261"/>
      <c r="HK9" s="2261"/>
      <c r="HL9" s="2261"/>
      <c r="HM9" s="2261"/>
      <c r="HN9" s="2261"/>
      <c r="HO9" s="2261"/>
      <c r="HP9" s="2261"/>
      <c r="HQ9" s="2261"/>
      <c r="HR9" s="2261"/>
      <c r="HS9" s="2261"/>
      <c r="HT9" s="2261"/>
      <c r="HU9" s="2261"/>
      <c r="HV9" s="2261"/>
      <c r="HW9" s="2261"/>
      <c r="HX9" s="2261"/>
      <c r="HY9" s="2261"/>
      <c r="HZ9" s="2261"/>
      <c r="IA9" s="2261"/>
      <c r="IB9" s="2261"/>
      <c r="IC9" s="2261"/>
      <c r="ID9" s="2261"/>
      <c r="IE9" s="2261"/>
      <c r="IF9" s="2261"/>
      <c r="IG9" s="2261"/>
      <c r="IH9" s="2261"/>
      <c r="II9" s="2261"/>
      <c r="IJ9" s="2261"/>
      <c r="IK9" s="2261"/>
      <c r="IL9" s="2261"/>
      <c r="IM9" s="2261"/>
      <c r="IN9" s="2261"/>
      <c r="IO9" s="2261"/>
      <c r="IP9" s="2261"/>
      <c r="IQ9" s="2261"/>
      <c r="IR9" s="2261"/>
      <c r="IS9" s="2261"/>
      <c r="IT9" s="2261"/>
      <c r="IU9" s="2261"/>
      <c r="IV9" s="2261"/>
      <c r="IW9" s="2262"/>
    </row>
    <row r="10" spans="1:257" ht="22.5">
      <c r="A10" s="2263"/>
      <c r="B10" s="2264" t="s">
        <v>2075</v>
      </c>
      <c r="C10" s="2263"/>
      <c r="D10" s="2263"/>
      <c r="E10" s="2263"/>
      <c r="F10" s="2263"/>
      <c r="G10" s="2263"/>
      <c r="H10" s="2263"/>
      <c r="I10" s="2237"/>
      <c r="J10" s="2237"/>
      <c r="K10" s="2263"/>
      <c r="L10" s="2264" t="s">
        <v>2076</v>
      </c>
      <c r="M10" s="2263"/>
      <c r="N10" s="2263"/>
      <c r="O10" s="2263"/>
      <c r="P10" s="2263"/>
      <c r="Q10" s="2263"/>
      <c r="R10" s="2263"/>
      <c r="S10" s="2263"/>
      <c r="T10" s="2263"/>
      <c r="U10" s="2263"/>
      <c r="V10" s="2263"/>
      <c r="W10" s="2263"/>
      <c r="X10" s="2263"/>
      <c r="Y10" s="2263"/>
      <c r="Z10" s="2263"/>
      <c r="AA10" s="2265"/>
      <c r="AB10" s="2265"/>
      <c r="AC10" s="2265"/>
      <c r="AD10" s="2265"/>
      <c r="AE10" s="2265"/>
      <c r="AF10" s="2265"/>
      <c r="AG10" s="2265"/>
      <c r="AH10" s="2265"/>
      <c r="AI10" s="2265"/>
      <c r="AJ10" s="2265"/>
      <c r="AK10" s="2265"/>
      <c r="AL10" s="2265"/>
      <c r="AM10" s="2265"/>
      <c r="AN10" s="2265"/>
      <c r="AO10" s="2265"/>
      <c r="AP10" s="2265"/>
      <c r="AQ10" s="2265"/>
      <c r="AR10" s="2265"/>
      <c r="AS10" s="2265"/>
      <c r="AT10" s="2265"/>
      <c r="AU10" s="2265"/>
      <c r="AV10" s="2265"/>
      <c r="AW10" s="2265"/>
      <c r="AX10" s="2265"/>
      <c r="AY10" s="2265"/>
      <c r="AZ10" s="2265"/>
      <c r="BA10" s="2265"/>
      <c r="BB10" s="2265"/>
      <c r="BC10" s="2265"/>
      <c r="BD10" s="2265"/>
      <c r="BE10" s="2265"/>
      <c r="BF10" s="2265"/>
      <c r="BG10" s="2265"/>
      <c r="BH10" s="2265"/>
      <c r="BI10" s="2265"/>
      <c r="BJ10" s="2265"/>
      <c r="BK10" s="2265"/>
      <c r="BL10" s="2265"/>
      <c r="BM10" s="2265"/>
      <c r="BN10" s="2265"/>
      <c r="BO10" s="2265"/>
      <c r="BP10" s="2265"/>
      <c r="BQ10" s="2265"/>
      <c r="BR10" s="2265"/>
      <c r="BS10" s="2265"/>
      <c r="BT10" s="2265"/>
      <c r="BU10" s="2265"/>
      <c r="BV10" s="2265"/>
      <c r="BW10" s="2265"/>
      <c r="BX10" s="2265"/>
      <c r="BY10" s="2265"/>
      <c r="BZ10" s="2265"/>
      <c r="CA10" s="2265"/>
      <c r="CB10" s="2265"/>
      <c r="CC10" s="2265"/>
      <c r="CD10" s="2265"/>
      <c r="CE10" s="2265"/>
      <c r="CF10" s="2265"/>
      <c r="CG10" s="2265"/>
      <c r="CH10" s="2265"/>
      <c r="CI10" s="2265"/>
      <c r="CJ10" s="2265"/>
      <c r="CK10" s="2265"/>
      <c r="CL10" s="2265"/>
      <c r="CM10" s="2265"/>
      <c r="CN10" s="2265"/>
      <c r="CO10" s="2265"/>
      <c r="CP10" s="2265"/>
      <c r="CQ10" s="2265"/>
      <c r="CR10" s="2265"/>
      <c r="CS10" s="2265"/>
      <c r="CT10" s="2265"/>
      <c r="CU10" s="2265"/>
      <c r="CV10" s="2265"/>
      <c r="CW10" s="2265"/>
      <c r="CX10" s="2265"/>
      <c r="CY10" s="2265"/>
      <c r="CZ10" s="2265"/>
      <c r="DA10" s="2265"/>
      <c r="DB10" s="2265"/>
      <c r="DC10" s="2265"/>
      <c r="DD10" s="2265"/>
      <c r="DE10" s="2265"/>
      <c r="DF10" s="2265"/>
      <c r="DG10" s="2265"/>
      <c r="DH10" s="2265"/>
      <c r="DI10" s="2265"/>
      <c r="DJ10" s="2265"/>
      <c r="DK10" s="2265"/>
      <c r="DL10" s="2265"/>
      <c r="DM10" s="2265"/>
      <c r="DN10" s="2265"/>
      <c r="DO10" s="2265"/>
      <c r="DP10" s="2265"/>
      <c r="DQ10" s="2265"/>
      <c r="DR10" s="2265"/>
      <c r="DS10" s="2265"/>
      <c r="DT10" s="2265"/>
      <c r="DU10" s="2265"/>
      <c r="DV10" s="2265"/>
      <c r="DW10" s="2265"/>
      <c r="DX10" s="2265"/>
      <c r="DY10" s="2265"/>
      <c r="DZ10" s="2265"/>
      <c r="EA10" s="2265"/>
      <c r="EB10" s="2265"/>
      <c r="EC10" s="2265"/>
      <c r="ED10" s="2265"/>
      <c r="EE10" s="2265"/>
      <c r="EF10" s="2265"/>
      <c r="EG10" s="2265"/>
      <c r="EH10" s="2265"/>
      <c r="EI10" s="2265"/>
      <c r="EJ10" s="2265"/>
      <c r="EK10" s="2265"/>
      <c r="EL10" s="2265"/>
      <c r="EM10" s="2265"/>
      <c r="EN10" s="2265"/>
      <c r="EO10" s="2265"/>
      <c r="EP10" s="2265"/>
      <c r="EQ10" s="2265"/>
      <c r="ER10" s="2265"/>
      <c r="ES10" s="2265"/>
      <c r="ET10" s="2265"/>
      <c r="EU10" s="2265"/>
      <c r="EV10" s="2265"/>
      <c r="EW10" s="2265"/>
      <c r="EX10" s="2265"/>
      <c r="EY10" s="2265"/>
      <c r="EZ10" s="2265"/>
      <c r="FA10" s="2265"/>
      <c r="FB10" s="2265"/>
      <c r="FC10" s="2265"/>
      <c r="FD10" s="2265"/>
      <c r="FE10" s="2265"/>
      <c r="FF10" s="2265"/>
      <c r="FG10" s="2265"/>
      <c r="FH10" s="2265"/>
      <c r="FI10" s="2265"/>
      <c r="FJ10" s="2265"/>
      <c r="FK10" s="2265"/>
      <c r="FL10" s="2265"/>
      <c r="FM10" s="2265"/>
      <c r="FN10" s="2265"/>
      <c r="FO10" s="2265"/>
      <c r="FP10" s="2265"/>
      <c r="FQ10" s="2265"/>
      <c r="FR10" s="2265"/>
      <c r="FS10" s="2265"/>
      <c r="FT10" s="2265"/>
      <c r="FU10" s="2265"/>
      <c r="FV10" s="2265"/>
      <c r="FW10" s="2265"/>
      <c r="FX10" s="2265"/>
      <c r="FY10" s="2265"/>
      <c r="FZ10" s="2265"/>
      <c r="GA10" s="2265"/>
      <c r="GB10" s="2265"/>
      <c r="GC10" s="2265"/>
      <c r="GD10" s="2265"/>
      <c r="GE10" s="2265"/>
      <c r="GF10" s="2265"/>
      <c r="GG10" s="2265"/>
      <c r="GH10" s="2265"/>
      <c r="GI10" s="2265"/>
      <c r="GJ10" s="2265"/>
      <c r="GK10" s="2265"/>
      <c r="GL10" s="2265"/>
      <c r="GM10" s="2265"/>
      <c r="GN10" s="2265"/>
      <c r="GO10" s="2265"/>
      <c r="GP10" s="2265"/>
      <c r="GQ10" s="2265"/>
      <c r="GR10" s="2265"/>
      <c r="GS10" s="2265"/>
      <c r="GT10" s="2265"/>
      <c r="GU10" s="2265"/>
      <c r="GV10" s="2265"/>
      <c r="GW10" s="2265"/>
      <c r="GX10" s="2265"/>
      <c r="GY10" s="2265"/>
      <c r="GZ10" s="2265"/>
      <c r="HA10" s="2265"/>
      <c r="HB10" s="2265"/>
      <c r="HC10" s="2265"/>
      <c r="HD10" s="2265"/>
      <c r="HE10" s="2265"/>
      <c r="HF10" s="2265"/>
      <c r="HG10" s="2265"/>
      <c r="HH10" s="2265"/>
      <c r="HI10" s="2265"/>
      <c r="HJ10" s="2265"/>
      <c r="HK10" s="2265"/>
      <c r="HL10" s="2265"/>
      <c r="HM10" s="2265"/>
      <c r="HN10" s="2265"/>
      <c r="HO10" s="2265"/>
      <c r="HP10" s="2265"/>
      <c r="HQ10" s="2265"/>
      <c r="HR10" s="2265"/>
      <c r="HS10" s="2265"/>
      <c r="HT10" s="2265"/>
      <c r="HU10" s="2265"/>
      <c r="HV10" s="2265"/>
      <c r="HW10" s="2265"/>
      <c r="HX10" s="2265"/>
      <c r="HY10" s="2265"/>
      <c r="HZ10" s="2265"/>
      <c r="IA10" s="2265"/>
      <c r="IB10" s="2265"/>
      <c r="IC10" s="2265"/>
      <c r="ID10" s="2265"/>
      <c r="IE10" s="2265"/>
      <c r="IF10" s="2265"/>
      <c r="IG10" s="2265"/>
      <c r="IH10" s="2265"/>
      <c r="II10" s="2265"/>
      <c r="IJ10" s="2265"/>
      <c r="IK10" s="2265"/>
      <c r="IL10" s="2265"/>
      <c r="IM10" s="2265"/>
      <c r="IN10" s="2265"/>
      <c r="IO10" s="2265"/>
      <c r="IP10" s="2265"/>
      <c r="IQ10" s="2265"/>
      <c r="IR10" s="2265"/>
      <c r="IS10" s="2265"/>
      <c r="IT10" s="2265"/>
      <c r="IU10" s="2265"/>
      <c r="IV10" s="2265"/>
    </row>
    <row r="11" spans="1:257">
      <c r="A11" s="2266"/>
      <c r="B11" s="2267" t="s">
        <v>2077</v>
      </c>
      <c r="C11" s="2268" t="s">
        <v>2078</v>
      </c>
      <c r="D11" s="2269" t="s">
        <v>2079</v>
      </c>
      <c r="E11" s="2270"/>
      <c r="F11" s="2269" t="s">
        <v>2080</v>
      </c>
      <c r="G11" s="2271"/>
      <c r="H11" s="2270"/>
      <c r="I11" s="2269" t="s">
        <v>2081</v>
      </c>
      <c r="J11" s="2270"/>
      <c r="K11" s="2266"/>
      <c r="L11" s="2267" t="s">
        <v>2077</v>
      </c>
      <c r="M11" s="2268" t="s">
        <v>2078</v>
      </c>
      <c r="N11" s="2267" t="s">
        <v>2082</v>
      </c>
      <c r="O11" s="2269" t="s">
        <v>2083</v>
      </c>
      <c r="P11" s="2271"/>
      <c r="Q11" s="2271"/>
      <c r="R11" s="2271"/>
      <c r="S11" s="2271"/>
      <c r="T11" s="2270"/>
      <c r="U11" s="2269" t="s">
        <v>2084</v>
      </c>
      <c r="V11" s="2271"/>
      <c r="W11" s="2270"/>
      <c r="X11" s="2267" t="s">
        <v>2085</v>
      </c>
      <c r="Y11" s="2267" t="s">
        <v>2086</v>
      </c>
      <c r="Z11" s="2267" t="s">
        <v>2087</v>
      </c>
      <c r="AA11" s="2272"/>
      <c r="AB11" s="2272"/>
      <c r="AC11" s="2272"/>
      <c r="AD11" s="2272"/>
      <c r="AE11" s="2272"/>
      <c r="AF11" s="2272"/>
      <c r="AG11" s="2272"/>
      <c r="AH11" s="2272"/>
      <c r="AI11" s="2272"/>
      <c r="AJ11" s="2272"/>
      <c r="AK11" s="2272"/>
      <c r="AL11" s="2272"/>
      <c r="AM11" s="2272"/>
      <c r="AN11" s="2272"/>
      <c r="AO11" s="2272"/>
      <c r="AP11" s="2272"/>
      <c r="AQ11" s="2272"/>
      <c r="AR11" s="2272"/>
      <c r="AS11" s="2272"/>
      <c r="AT11" s="2272"/>
      <c r="AU11" s="2272"/>
      <c r="AV11" s="2272"/>
      <c r="AW11" s="2272"/>
      <c r="AX11" s="2272"/>
      <c r="AY11" s="2272"/>
      <c r="AZ11" s="2272"/>
      <c r="BA11" s="2272"/>
      <c r="BB11" s="2272"/>
      <c r="BC11" s="2272"/>
      <c r="BD11" s="2272"/>
      <c r="BE11" s="2272"/>
      <c r="BF11" s="2272"/>
      <c r="BG11" s="2272"/>
      <c r="BH11" s="2272"/>
      <c r="BI11" s="2272"/>
      <c r="BJ11" s="2272"/>
      <c r="BK11" s="2272"/>
      <c r="BL11" s="2272"/>
      <c r="BM11" s="2272"/>
      <c r="BN11" s="2272"/>
      <c r="BO11" s="2272"/>
      <c r="BP11" s="2272"/>
      <c r="BQ11" s="2272"/>
      <c r="BR11" s="2272"/>
      <c r="BS11" s="2272"/>
      <c r="BT11" s="2272"/>
      <c r="BU11" s="2272"/>
      <c r="BV11" s="2272"/>
      <c r="BW11" s="2272"/>
      <c r="BX11" s="2272"/>
      <c r="BY11" s="2272"/>
      <c r="BZ11" s="2272"/>
      <c r="CA11" s="2272"/>
      <c r="CB11" s="2272"/>
      <c r="CC11" s="2272"/>
      <c r="CD11" s="2272"/>
      <c r="CE11" s="2272"/>
      <c r="CF11" s="2272"/>
      <c r="CG11" s="2272"/>
      <c r="CH11" s="2272"/>
      <c r="CI11" s="2272"/>
      <c r="CJ11" s="2272"/>
      <c r="CK11" s="2272"/>
      <c r="CL11" s="2272"/>
      <c r="CM11" s="2272"/>
      <c r="CN11" s="2272"/>
      <c r="CO11" s="2272"/>
      <c r="CP11" s="2272"/>
      <c r="CQ11" s="2272"/>
      <c r="CR11" s="2272"/>
      <c r="CS11" s="2272"/>
      <c r="CT11" s="2272"/>
      <c r="CU11" s="2272"/>
      <c r="CV11" s="2272"/>
      <c r="CW11" s="2272"/>
      <c r="CX11" s="2272"/>
      <c r="CY11" s="2272"/>
      <c r="CZ11" s="2272"/>
      <c r="DA11" s="2272"/>
      <c r="DB11" s="2272"/>
      <c r="DC11" s="2272"/>
      <c r="DD11" s="2272"/>
      <c r="DE11" s="2272"/>
      <c r="DF11" s="2272"/>
      <c r="DG11" s="2272"/>
      <c r="DH11" s="2272"/>
      <c r="DI11" s="2272"/>
      <c r="DJ11" s="2272"/>
      <c r="DK11" s="2272"/>
      <c r="DL11" s="2272"/>
      <c r="DM11" s="2272"/>
      <c r="DN11" s="2272"/>
      <c r="DO11" s="2272"/>
      <c r="DP11" s="2272"/>
      <c r="DQ11" s="2272"/>
      <c r="DR11" s="2272"/>
      <c r="DS11" s="2272"/>
      <c r="DT11" s="2272"/>
      <c r="DU11" s="2272"/>
      <c r="DV11" s="2272"/>
      <c r="DW11" s="2272"/>
      <c r="DX11" s="2272"/>
      <c r="DY11" s="2272"/>
      <c r="DZ11" s="2272"/>
      <c r="EA11" s="2272"/>
      <c r="EB11" s="2272"/>
      <c r="EC11" s="2272"/>
      <c r="ED11" s="2272"/>
      <c r="EE11" s="2272"/>
      <c r="EF11" s="2272"/>
      <c r="EG11" s="2272"/>
      <c r="EH11" s="2272"/>
      <c r="EI11" s="2272"/>
      <c r="EJ11" s="2272"/>
      <c r="EK11" s="2272"/>
      <c r="EL11" s="2272"/>
      <c r="EM11" s="2272"/>
      <c r="EN11" s="2272"/>
      <c r="EO11" s="2272"/>
      <c r="EP11" s="2272"/>
      <c r="EQ11" s="2272"/>
      <c r="ER11" s="2272"/>
      <c r="ES11" s="2272"/>
      <c r="ET11" s="2272"/>
      <c r="EU11" s="2272"/>
      <c r="EV11" s="2272"/>
      <c r="EW11" s="2272"/>
      <c r="EX11" s="2272"/>
      <c r="EY11" s="2272"/>
      <c r="EZ11" s="2272"/>
      <c r="FA11" s="2272"/>
      <c r="FB11" s="2272"/>
      <c r="FC11" s="2272"/>
      <c r="FD11" s="2272"/>
      <c r="FE11" s="2272"/>
      <c r="FF11" s="2272"/>
      <c r="FG11" s="2272"/>
      <c r="FH11" s="2272"/>
      <c r="FI11" s="2272"/>
      <c r="FJ11" s="2272"/>
      <c r="FK11" s="2272"/>
      <c r="FL11" s="2272"/>
      <c r="FM11" s="2272"/>
      <c r="FN11" s="2272"/>
      <c r="FO11" s="2272"/>
      <c r="FP11" s="2272"/>
      <c r="FQ11" s="2272"/>
      <c r="FR11" s="2272"/>
      <c r="FS11" s="2272"/>
      <c r="FT11" s="2272"/>
      <c r="FU11" s="2272"/>
      <c r="FV11" s="2272"/>
      <c r="FW11" s="2272"/>
      <c r="FX11" s="2272"/>
      <c r="FY11" s="2272"/>
      <c r="FZ11" s="2272"/>
      <c r="GA11" s="2272"/>
      <c r="GB11" s="2272"/>
      <c r="GC11" s="2272"/>
      <c r="GD11" s="2272"/>
      <c r="GE11" s="2272"/>
      <c r="GF11" s="2272"/>
      <c r="GG11" s="2272"/>
      <c r="GH11" s="2272"/>
      <c r="GI11" s="2272"/>
      <c r="GJ11" s="2272"/>
      <c r="GK11" s="2272"/>
      <c r="GL11" s="2272"/>
      <c r="GM11" s="2272"/>
      <c r="GN11" s="2272"/>
      <c r="GO11" s="2272"/>
      <c r="GP11" s="2272"/>
      <c r="GQ11" s="2272"/>
      <c r="GR11" s="2272"/>
      <c r="GS11" s="2272"/>
      <c r="GT11" s="2272"/>
      <c r="GU11" s="2272"/>
      <c r="GV11" s="2272"/>
      <c r="GW11" s="2272"/>
      <c r="GX11" s="2272"/>
      <c r="GY11" s="2272"/>
      <c r="GZ11" s="2272"/>
      <c r="HA11" s="2272"/>
      <c r="HB11" s="2272"/>
      <c r="HC11" s="2272"/>
      <c r="HD11" s="2272"/>
      <c r="HE11" s="2272"/>
      <c r="HF11" s="2272"/>
      <c r="HG11" s="2272"/>
      <c r="HH11" s="2272"/>
      <c r="HI11" s="2272"/>
      <c r="HJ11" s="2272"/>
      <c r="HK11" s="2272"/>
      <c r="HL11" s="2272"/>
      <c r="HM11" s="2272"/>
      <c r="HN11" s="2272"/>
      <c r="HO11" s="2272"/>
      <c r="HP11" s="2272"/>
      <c r="HQ11" s="2272"/>
      <c r="HR11" s="2272"/>
      <c r="HS11" s="2272"/>
      <c r="HT11" s="2272"/>
      <c r="HU11" s="2272"/>
      <c r="HV11" s="2272"/>
      <c r="HW11" s="2272"/>
      <c r="HX11" s="2272"/>
      <c r="HY11" s="2272"/>
      <c r="HZ11" s="2272"/>
      <c r="IA11" s="2272"/>
      <c r="IB11" s="2272"/>
      <c r="IC11" s="2272"/>
      <c r="ID11" s="2272"/>
      <c r="IE11" s="2272"/>
      <c r="IF11" s="2272"/>
      <c r="IG11" s="2272"/>
      <c r="IH11" s="2272"/>
      <c r="II11" s="2272"/>
      <c r="IJ11" s="2272"/>
      <c r="IK11" s="2272"/>
      <c r="IL11" s="2272"/>
      <c r="IM11" s="2272"/>
      <c r="IN11" s="2272"/>
      <c r="IO11" s="2272"/>
      <c r="IP11" s="2272"/>
      <c r="IQ11" s="2272"/>
      <c r="IR11" s="2272"/>
      <c r="IS11" s="2272"/>
      <c r="IT11" s="2272"/>
      <c r="IU11" s="2272"/>
      <c r="IV11" s="2272"/>
    </row>
    <row r="12" spans="1:257">
      <c r="A12" s="2266"/>
      <c r="B12" s="2273"/>
      <c r="C12" s="2274"/>
      <c r="D12" s="2275" t="s">
        <v>2088</v>
      </c>
      <c r="E12" s="2275" t="s">
        <v>2089</v>
      </c>
      <c r="F12" s="2275" t="s">
        <v>2090</v>
      </c>
      <c r="G12" s="2275" t="s">
        <v>2091</v>
      </c>
      <c r="H12" s="2275" t="s">
        <v>2073</v>
      </c>
      <c r="I12" s="2276" t="s">
        <v>2092</v>
      </c>
      <c r="J12" s="2276" t="s">
        <v>2092</v>
      </c>
      <c r="K12" s="2266"/>
      <c r="L12" s="2273"/>
      <c r="M12" s="2274"/>
      <c r="N12" s="2273"/>
      <c r="O12" s="2276" t="s">
        <v>2093</v>
      </c>
      <c r="P12" s="2276">
        <v>0.5</v>
      </c>
      <c r="Q12" s="2276">
        <v>1</v>
      </c>
      <c r="R12" s="2276">
        <v>2</v>
      </c>
      <c r="S12" s="2276">
        <v>3</v>
      </c>
      <c r="T12" s="2276">
        <v>5</v>
      </c>
      <c r="U12" s="2276">
        <v>1</v>
      </c>
      <c r="V12" s="2276">
        <v>3</v>
      </c>
      <c r="W12" s="2276">
        <v>5</v>
      </c>
      <c r="X12" s="2273"/>
      <c r="Y12" s="2273"/>
      <c r="Z12" s="2273"/>
      <c r="AA12" s="2272"/>
      <c r="AB12" s="2272"/>
      <c r="AC12" s="2272"/>
      <c r="AD12" s="2272"/>
      <c r="AE12" s="2272"/>
      <c r="AF12" s="2272"/>
      <c r="AG12" s="2272"/>
      <c r="AH12" s="2272"/>
      <c r="AI12" s="2272"/>
      <c r="AJ12" s="2272"/>
      <c r="AK12" s="2272"/>
      <c r="AL12" s="2272"/>
      <c r="AM12" s="2272"/>
      <c r="AN12" s="2272"/>
      <c r="AO12" s="2272"/>
      <c r="AP12" s="2272"/>
      <c r="AQ12" s="2272"/>
      <c r="AR12" s="2272"/>
      <c r="AS12" s="2272"/>
      <c r="AT12" s="2272"/>
      <c r="AU12" s="2272"/>
      <c r="AV12" s="2272"/>
      <c r="AW12" s="2272"/>
      <c r="AX12" s="2272"/>
      <c r="AY12" s="2272"/>
      <c r="AZ12" s="2272"/>
      <c r="BA12" s="2272"/>
      <c r="BB12" s="2272"/>
      <c r="BC12" s="2272"/>
      <c r="BD12" s="2272"/>
      <c r="BE12" s="2272"/>
      <c r="BF12" s="2272"/>
      <c r="BG12" s="2272"/>
      <c r="BH12" s="2272"/>
      <c r="BI12" s="2272"/>
      <c r="BJ12" s="2272"/>
      <c r="BK12" s="2272"/>
      <c r="BL12" s="2272"/>
      <c r="BM12" s="2272"/>
      <c r="BN12" s="2272"/>
      <c r="BO12" s="2272"/>
      <c r="BP12" s="2272"/>
      <c r="BQ12" s="2272"/>
      <c r="BR12" s="2272"/>
      <c r="BS12" s="2272"/>
      <c r="BT12" s="2272"/>
      <c r="BU12" s="2272"/>
      <c r="BV12" s="2272"/>
      <c r="BW12" s="2272"/>
      <c r="BX12" s="2272"/>
      <c r="BY12" s="2272"/>
      <c r="BZ12" s="2272"/>
      <c r="CA12" s="2272"/>
      <c r="CB12" s="2272"/>
      <c r="CC12" s="2272"/>
      <c r="CD12" s="2272"/>
      <c r="CE12" s="2272"/>
      <c r="CF12" s="2272"/>
      <c r="CG12" s="2272"/>
      <c r="CH12" s="2272"/>
      <c r="CI12" s="2272"/>
      <c r="CJ12" s="2272"/>
      <c r="CK12" s="2272"/>
      <c r="CL12" s="2272"/>
      <c r="CM12" s="2272"/>
      <c r="CN12" s="2272"/>
      <c r="CO12" s="2272"/>
      <c r="CP12" s="2272"/>
      <c r="CQ12" s="2272"/>
      <c r="CR12" s="2272"/>
      <c r="CS12" s="2272"/>
      <c r="CT12" s="2272"/>
      <c r="CU12" s="2272"/>
      <c r="CV12" s="2272"/>
      <c r="CW12" s="2272"/>
      <c r="CX12" s="2272"/>
      <c r="CY12" s="2272"/>
      <c r="CZ12" s="2272"/>
      <c r="DA12" s="2272"/>
      <c r="DB12" s="2272"/>
      <c r="DC12" s="2272"/>
      <c r="DD12" s="2272"/>
      <c r="DE12" s="2272"/>
      <c r="DF12" s="2272"/>
      <c r="DG12" s="2272"/>
      <c r="DH12" s="2272"/>
      <c r="DI12" s="2272"/>
      <c r="DJ12" s="2272"/>
      <c r="DK12" s="2272"/>
      <c r="DL12" s="2272"/>
      <c r="DM12" s="2272"/>
      <c r="DN12" s="2272"/>
      <c r="DO12" s="2272"/>
      <c r="DP12" s="2272"/>
      <c r="DQ12" s="2272"/>
      <c r="DR12" s="2272"/>
      <c r="DS12" s="2272"/>
      <c r="DT12" s="2272"/>
      <c r="DU12" s="2272"/>
      <c r="DV12" s="2272"/>
      <c r="DW12" s="2272"/>
      <c r="DX12" s="2272"/>
      <c r="DY12" s="2272"/>
      <c r="DZ12" s="2272"/>
      <c r="EA12" s="2272"/>
      <c r="EB12" s="2272"/>
      <c r="EC12" s="2272"/>
      <c r="ED12" s="2272"/>
      <c r="EE12" s="2272"/>
      <c r="EF12" s="2272"/>
      <c r="EG12" s="2272"/>
      <c r="EH12" s="2272"/>
      <c r="EI12" s="2272"/>
      <c r="EJ12" s="2272"/>
      <c r="EK12" s="2272"/>
      <c r="EL12" s="2272"/>
      <c r="EM12" s="2272"/>
      <c r="EN12" s="2272"/>
      <c r="EO12" s="2272"/>
      <c r="EP12" s="2272"/>
      <c r="EQ12" s="2272"/>
      <c r="ER12" s="2272"/>
      <c r="ES12" s="2272"/>
      <c r="ET12" s="2272"/>
      <c r="EU12" s="2272"/>
      <c r="EV12" s="2272"/>
      <c r="EW12" s="2272"/>
      <c r="EX12" s="2272"/>
      <c r="EY12" s="2272"/>
      <c r="EZ12" s="2272"/>
      <c r="FA12" s="2272"/>
      <c r="FB12" s="2272"/>
      <c r="FC12" s="2272"/>
      <c r="FD12" s="2272"/>
      <c r="FE12" s="2272"/>
      <c r="FF12" s="2272"/>
      <c r="FG12" s="2272"/>
      <c r="FH12" s="2272"/>
      <c r="FI12" s="2272"/>
      <c r="FJ12" s="2272"/>
      <c r="FK12" s="2272"/>
      <c r="FL12" s="2272"/>
      <c r="FM12" s="2272"/>
      <c r="FN12" s="2272"/>
      <c r="FO12" s="2272"/>
      <c r="FP12" s="2272"/>
      <c r="FQ12" s="2272"/>
      <c r="FR12" s="2272"/>
      <c r="FS12" s="2272"/>
      <c r="FT12" s="2272"/>
      <c r="FU12" s="2272"/>
      <c r="FV12" s="2272"/>
      <c r="FW12" s="2272"/>
      <c r="FX12" s="2272"/>
      <c r="FY12" s="2272"/>
      <c r="FZ12" s="2272"/>
      <c r="GA12" s="2272"/>
      <c r="GB12" s="2272"/>
      <c r="GC12" s="2272"/>
      <c r="GD12" s="2272"/>
      <c r="GE12" s="2272"/>
      <c r="GF12" s="2272"/>
      <c r="GG12" s="2272"/>
      <c r="GH12" s="2272"/>
      <c r="GI12" s="2272"/>
      <c r="GJ12" s="2272"/>
      <c r="GK12" s="2272"/>
      <c r="GL12" s="2272"/>
      <c r="GM12" s="2272"/>
      <c r="GN12" s="2272"/>
      <c r="GO12" s="2272"/>
      <c r="GP12" s="2272"/>
      <c r="GQ12" s="2272"/>
      <c r="GR12" s="2272"/>
      <c r="GS12" s="2272"/>
      <c r="GT12" s="2272"/>
      <c r="GU12" s="2272"/>
      <c r="GV12" s="2272"/>
      <c r="GW12" s="2272"/>
      <c r="GX12" s="2272"/>
      <c r="GY12" s="2272"/>
      <c r="GZ12" s="2272"/>
      <c r="HA12" s="2272"/>
      <c r="HB12" s="2272"/>
      <c r="HC12" s="2272"/>
      <c r="HD12" s="2272"/>
      <c r="HE12" s="2272"/>
      <c r="HF12" s="2272"/>
      <c r="HG12" s="2272"/>
      <c r="HH12" s="2272"/>
      <c r="HI12" s="2272"/>
      <c r="HJ12" s="2272"/>
      <c r="HK12" s="2272"/>
      <c r="HL12" s="2272"/>
      <c r="HM12" s="2272"/>
      <c r="HN12" s="2272"/>
      <c r="HO12" s="2272"/>
      <c r="HP12" s="2272"/>
      <c r="HQ12" s="2272"/>
      <c r="HR12" s="2272"/>
      <c r="HS12" s="2272"/>
      <c r="HT12" s="2272"/>
      <c r="HU12" s="2272"/>
      <c r="HV12" s="2272"/>
      <c r="HW12" s="2272"/>
      <c r="HX12" s="2272"/>
      <c r="HY12" s="2272"/>
      <c r="HZ12" s="2272"/>
      <c r="IA12" s="2272"/>
      <c r="IB12" s="2272"/>
      <c r="IC12" s="2272"/>
      <c r="ID12" s="2272"/>
      <c r="IE12" s="2272"/>
      <c r="IF12" s="2272"/>
      <c r="IG12" s="2272"/>
      <c r="IH12" s="2272"/>
      <c r="II12" s="2272"/>
      <c r="IJ12" s="2272"/>
      <c r="IK12" s="2272"/>
      <c r="IL12" s="2272"/>
      <c r="IM12" s="2272"/>
      <c r="IN12" s="2272"/>
      <c r="IO12" s="2272"/>
      <c r="IP12" s="2272"/>
      <c r="IQ12" s="2272"/>
      <c r="IR12" s="2272"/>
      <c r="IS12" s="2272"/>
      <c r="IT12" s="2272"/>
      <c r="IU12" s="2272"/>
      <c r="IV12" s="2272"/>
    </row>
    <row r="13" spans="1:257" ht="14.25">
      <c r="A13" s="2277"/>
      <c r="B13" s="2278" t="s">
        <v>2094</v>
      </c>
      <c r="C13" s="2279">
        <v>45159</v>
      </c>
      <c r="D13" s="2280">
        <v>3.45</v>
      </c>
      <c r="E13" s="2280">
        <f>D13</f>
        <v>3.45</v>
      </c>
      <c r="F13" s="2280">
        <f>D13</f>
        <v>3.45</v>
      </c>
      <c r="G13" s="2280">
        <f>D13</f>
        <v>3.45</v>
      </c>
      <c r="H13" s="2280">
        <v>4.2</v>
      </c>
      <c r="I13" s="2280"/>
      <c r="J13" s="2280"/>
      <c r="K13" s="2277"/>
      <c r="L13" s="2278" t="s">
        <v>2094</v>
      </c>
      <c r="M13" s="2281">
        <v>42301</v>
      </c>
      <c r="N13" s="2280">
        <v>0.35</v>
      </c>
      <c r="O13" s="2280">
        <v>1.1000000000000001</v>
      </c>
      <c r="P13" s="2280">
        <v>1.3</v>
      </c>
      <c r="Q13" s="2280">
        <v>1.5</v>
      </c>
      <c r="R13" s="2280">
        <v>2.1</v>
      </c>
      <c r="S13" s="2280">
        <v>2.75</v>
      </c>
      <c r="T13" s="2280"/>
      <c r="U13" s="2280"/>
      <c r="V13" s="2280"/>
      <c r="W13" s="2280"/>
      <c r="X13" s="2280"/>
      <c r="Y13" s="2280"/>
      <c r="Z13" s="2280"/>
      <c r="AA13" s="2282"/>
      <c r="AB13" s="2282"/>
      <c r="AC13" s="2282"/>
      <c r="AD13" s="2282"/>
      <c r="AE13" s="2282"/>
      <c r="AF13" s="2282"/>
      <c r="AG13" s="2282"/>
      <c r="AH13" s="2282"/>
      <c r="AI13" s="2282"/>
      <c r="AJ13" s="2282"/>
      <c r="AK13" s="2282"/>
      <c r="AL13" s="2282"/>
      <c r="AM13" s="2282"/>
      <c r="AN13" s="2282"/>
      <c r="AO13" s="2282"/>
      <c r="AP13" s="2282"/>
      <c r="AQ13" s="2282"/>
      <c r="AR13" s="2282"/>
      <c r="AS13" s="2282"/>
      <c r="AT13" s="2282"/>
      <c r="AU13" s="2282"/>
      <c r="AV13" s="2282"/>
      <c r="AW13" s="2282"/>
      <c r="AX13" s="2282"/>
      <c r="AY13" s="2282"/>
      <c r="AZ13" s="2282"/>
      <c r="BA13" s="2282"/>
      <c r="BB13" s="2282"/>
      <c r="BC13" s="2282"/>
      <c r="BD13" s="2282"/>
      <c r="BE13" s="2282"/>
      <c r="BF13" s="2282"/>
      <c r="BG13" s="2282"/>
      <c r="BH13" s="2282"/>
      <c r="BI13" s="2282"/>
      <c r="BJ13" s="2282"/>
      <c r="BK13" s="2282"/>
      <c r="BL13" s="2282"/>
      <c r="BM13" s="2282"/>
      <c r="BN13" s="2282"/>
      <c r="BO13" s="2282"/>
      <c r="BP13" s="2282"/>
      <c r="BQ13" s="2282"/>
      <c r="BR13" s="2282"/>
      <c r="BS13" s="2282"/>
      <c r="BT13" s="2282"/>
      <c r="BU13" s="2282"/>
      <c r="BV13" s="2282"/>
      <c r="BW13" s="2282"/>
      <c r="BX13" s="2282"/>
      <c r="BY13" s="2282"/>
      <c r="BZ13" s="2282"/>
      <c r="CA13" s="2282"/>
      <c r="CB13" s="2282"/>
      <c r="CC13" s="2282"/>
      <c r="CD13" s="2282"/>
      <c r="CE13" s="2282"/>
      <c r="CF13" s="2282"/>
      <c r="CG13" s="2282"/>
      <c r="CH13" s="2282"/>
      <c r="CI13" s="2282"/>
      <c r="CJ13" s="2282"/>
      <c r="CK13" s="2282"/>
      <c r="CL13" s="2282"/>
      <c r="CM13" s="2282"/>
      <c r="CN13" s="2282"/>
      <c r="CO13" s="2282"/>
      <c r="CP13" s="2282"/>
      <c r="CQ13" s="2282"/>
      <c r="CR13" s="2282"/>
      <c r="CS13" s="2282"/>
      <c r="CT13" s="2282"/>
      <c r="CU13" s="2282"/>
      <c r="CV13" s="2282"/>
      <c r="CW13" s="2282"/>
      <c r="CX13" s="2282"/>
      <c r="CY13" s="2282"/>
      <c r="CZ13" s="2282"/>
      <c r="DA13" s="2282"/>
      <c r="DB13" s="2282"/>
      <c r="DC13" s="2282"/>
      <c r="DD13" s="2282"/>
      <c r="DE13" s="2282"/>
      <c r="DF13" s="2282"/>
      <c r="DG13" s="2282"/>
      <c r="DH13" s="2282"/>
      <c r="DI13" s="2282"/>
      <c r="DJ13" s="2282"/>
      <c r="DK13" s="2282"/>
      <c r="DL13" s="2282"/>
      <c r="DM13" s="2282"/>
      <c r="DN13" s="2282"/>
      <c r="DO13" s="2282"/>
      <c r="DP13" s="2282"/>
      <c r="DQ13" s="2282"/>
      <c r="DR13" s="2282"/>
      <c r="DS13" s="2282"/>
      <c r="DT13" s="2282"/>
      <c r="DU13" s="2282"/>
      <c r="DV13" s="2282"/>
      <c r="DW13" s="2282"/>
      <c r="DX13" s="2282"/>
      <c r="DY13" s="2282"/>
      <c r="DZ13" s="2282"/>
      <c r="EA13" s="2282"/>
      <c r="EB13" s="2282"/>
      <c r="EC13" s="2282"/>
      <c r="ED13" s="2282"/>
      <c r="EE13" s="2282"/>
      <c r="EF13" s="2282"/>
      <c r="EG13" s="2282"/>
      <c r="EH13" s="2282"/>
      <c r="EI13" s="2282"/>
      <c r="EJ13" s="2282"/>
      <c r="EK13" s="2282"/>
      <c r="EL13" s="2282"/>
      <c r="EM13" s="2282"/>
      <c r="EN13" s="2282"/>
      <c r="EO13" s="2282"/>
      <c r="EP13" s="2282"/>
      <c r="EQ13" s="2282"/>
      <c r="ER13" s="2282"/>
      <c r="ES13" s="2282"/>
      <c r="ET13" s="2282"/>
      <c r="EU13" s="2282"/>
      <c r="EV13" s="2282"/>
      <c r="EW13" s="2282"/>
      <c r="EX13" s="2282"/>
      <c r="EY13" s="2282"/>
      <c r="EZ13" s="2282"/>
      <c r="FA13" s="2282"/>
      <c r="FB13" s="2282"/>
      <c r="FC13" s="2282"/>
      <c r="FD13" s="2282"/>
      <c r="FE13" s="2282"/>
      <c r="FF13" s="2282"/>
      <c r="FG13" s="2282"/>
      <c r="FH13" s="2282"/>
      <c r="FI13" s="2282"/>
      <c r="FJ13" s="2282"/>
      <c r="FK13" s="2282"/>
      <c r="FL13" s="2282"/>
      <c r="FM13" s="2282"/>
      <c r="FN13" s="2282"/>
      <c r="FO13" s="2282"/>
      <c r="FP13" s="2282"/>
      <c r="FQ13" s="2282"/>
      <c r="FR13" s="2282"/>
      <c r="FS13" s="2282"/>
      <c r="FT13" s="2282"/>
      <c r="FU13" s="2282"/>
      <c r="FV13" s="2282"/>
      <c r="FW13" s="2282"/>
      <c r="FX13" s="2282"/>
      <c r="FY13" s="2282"/>
      <c r="FZ13" s="2282"/>
      <c r="GA13" s="2282"/>
      <c r="GB13" s="2282"/>
      <c r="GC13" s="2282"/>
      <c r="GD13" s="2282"/>
      <c r="GE13" s="2282"/>
      <c r="GF13" s="2282"/>
      <c r="GG13" s="2282"/>
      <c r="GH13" s="2282"/>
      <c r="GI13" s="2282"/>
      <c r="GJ13" s="2282"/>
      <c r="GK13" s="2282"/>
      <c r="GL13" s="2282"/>
      <c r="GM13" s="2282"/>
      <c r="GN13" s="2282"/>
      <c r="GO13" s="2282"/>
      <c r="GP13" s="2282"/>
      <c r="GQ13" s="2282"/>
      <c r="GR13" s="2282"/>
      <c r="GS13" s="2282"/>
      <c r="GT13" s="2282"/>
      <c r="GU13" s="2282"/>
      <c r="GV13" s="2282"/>
      <c r="GW13" s="2282"/>
      <c r="GX13" s="2282"/>
      <c r="GY13" s="2282"/>
      <c r="GZ13" s="2282"/>
      <c r="HA13" s="2282"/>
      <c r="HB13" s="2282"/>
      <c r="HC13" s="2282"/>
      <c r="HD13" s="2282"/>
      <c r="HE13" s="2282"/>
      <c r="HF13" s="2282"/>
      <c r="HG13" s="2282"/>
      <c r="HH13" s="2282"/>
      <c r="HI13" s="2282"/>
      <c r="HJ13" s="2282"/>
      <c r="HK13" s="2282"/>
      <c r="HL13" s="2282"/>
      <c r="HM13" s="2282"/>
      <c r="HN13" s="2282"/>
      <c r="HO13" s="2282"/>
      <c r="HP13" s="2282"/>
      <c r="HQ13" s="2282"/>
      <c r="HR13" s="2282"/>
      <c r="HS13" s="2282"/>
      <c r="HT13" s="2282"/>
      <c r="HU13" s="2282"/>
      <c r="HV13" s="2282"/>
      <c r="HW13" s="2282"/>
      <c r="HX13" s="2282"/>
      <c r="HY13" s="2282"/>
      <c r="HZ13" s="2282"/>
      <c r="IA13" s="2282"/>
      <c r="IB13" s="2282"/>
      <c r="IC13" s="2282"/>
      <c r="ID13" s="2282"/>
      <c r="IE13" s="2282"/>
      <c r="IF13" s="2282"/>
      <c r="IG13" s="2282"/>
      <c r="IH13" s="2282"/>
      <c r="II13" s="2282"/>
      <c r="IJ13" s="2282"/>
      <c r="IK13" s="2282"/>
      <c r="IL13" s="2282"/>
      <c r="IM13" s="2282"/>
      <c r="IN13" s="2282"/>
      <c r="IO13" s="2282"/>
      <c r="IP13" s="2282"/>
      <c r="IQ13" s="2282"/>
      <c r="IR13" s="2282"/>
      <c r="IS13" s="2282"/>
      <c r="IT13" s="2282"/>
      <c r="IU13" s="2282"/>
      <c r="IV13" s="2282"/>
      <c r="IW13" s="2283"/>
    </row>
    <row r="14" spans="1:257" ht="14.25">
      <c r="A14" s="2277"/>
      <c r="B14" s="2278"/>
      <c r="C14" s="2285">
        <v>45097</v>
      </c>
      <c r="D14" s="2284">
        <v>3.55</v>
      </c>
      <c r="E14" s="2284">
        <f>D14</f>
        <v>3.55</v>
      </c>
      <c r="F14" s="2284">
        <f>D14</f>
        <v>3.55</v>
      </c>
      <c r="G14" s="2284">
        <f>D14</f>
        <v>3.55</v>
      </c>
      <c r="H14" s="2284">
        <v>4.2</v>
      </c>
      <c r="I14" s="2280"/>
      <c r="J14" s="2280"/>
      <c r="K14" s="2277"/>
      <c r="L14" s="2284"/>
      <c r="M14" s="2285">
        <v>42242</v>
      </c>
      <c r="N14" s="2284">
        <v>0.35</v>
      </c>
      <c r="O14" s="2284">
        <v>1.35</v>
      </c>
      <c r="P14" s="2284">
        <v>1.55</v>
      </c>
      <c r="Q14" s="2284">
        <v>1.75</v>
      </c>
      <c r="R14" s="2284">
        <v>2.35</v>
      </c>
      <c r="S14" s="2284">
        <v>3</v>
      </c>
      <c r="T14" s="2284"/>
      <c r="U14" s="2284"/>
      <c r="V14" s="2284"/>
      <c r="W14" s="2284"/>
      <c r="X14" s="2284"/>
      <c r="Y14" s="2284"/>
      <c r="Z14" s="2284"/>
    </row>
    <row r="15" spans="1:257" ht="14.25">
      <c r="A15" s="2277"/>
      <c r="B15" s="2278"/>
      <c r="C15" s="2285">
        <v>44795</v>
      </c>
      <c r="D15" s="2284">
        <v>3.65</v>
      </c>
      <c r="E15" s="2284">
        <v>3.65</v>
      </c>
      <c r="F15" s="2284">
        <v>3.65</v>
      </c>
      <c r="G15" s="2284">
        <v>3.65</v>
      </c>
      <c r="H15" s="2284">
        <v>4.3</v>
      </c>
      <c r="I15" s="2280"/>
      <c r="J15" s="2280"/>
      <c r="K15" s="2277"/>
      <c r="L15" s="2284"/>
      <c r="M15" s="2285">
        <v>42183</v>
      </c>
      <c r="N15" s="2284">
        <v>0.35</v>
      </c>
      <c r="O15" s="2284">
        <v>1.6</v>
      </c>
      <c r="P15" s="2284">
        <v>1.8</v>
      </c>
      <c r="Q15" s="2284">
        <v>2</v>
      </c>
      <c r="R15" s="2284">
        <v>2.6</v>
      </c>
      <c r="S15" s="2284">
        <v>3.25</v>
      </c>
      <c r="T15" s="2284"/>
      <c r="U15" s="2284"/>
      <c r="V15" s="2284"/>
      <c r="W15" s="2284"/>
      <c r="X15" s="2284"/>
      <c r="Y15" s="2284"/>
      <c r="Z15" s="2284"/>
    </row>
    <row r="16" spans="1:257" ht="14.25">
      <c r="A16" s="2277"/>
      <c r="B16" s="2278"/>
      <c r="C16" s="2285">
        <v>44701</v>
      </c>
      <c r="D16" s="2284">
        <v>3.7</v>
      </c>
      <c r="E16" s="2284">
        <f>D16</f>
        <v>3.7</v>
      </c>
      <c r="F16" s="2284">
        <f>D16</f>
        <v>3.7</v>
      </c>
      <c r="G16" s="2284">
        <f>D16</f>
        <v>3.7</v>
      </c>
      <c r="H16" s="2284">
        <v>4.45</v>
      </c>
      <c r="I16" s="2280"/>
      <c r="J16" s="2280"/>
      <c r="L16" s="2284"/>
      <c r="M16" s="2285">
        <v>42135</v>
      </c>
      <c r="N16" s="2284">
        <v>0.35</v>
      </c>
      <c r="O16" s="2284">
        <v>1.85</v>
      </c>
      <c r="P16" s="2284">
        <v>2.0499999999999998</v>
      </c>
      <c r="Q16" s="2284">
        <v>2.25</v>
      </c>
      <c r="R16" s="2284">
        <v>2.85</v>
      </c>
      <c r="S16" s="2284">
        <v>3.5</v>
      </c>
      <c r="T16" s="2284"/>
      <c r="U16" s="2284"/>
      <c r="V16" s="2284"/>
      <c r="W16" s="2284"/>
      <c r="X16" s="2284"/>
      <c r="Y16" s="2284"/>
      <c r="Z16" s="2284"/>
    </row>
    <row r="17" spans="1:256" ht="14.25">
      <c r="A17" s="2277"/>
      <c r="B17" s="2278"/>
      <c r="C17" s="2285">
        <v>44581</v>
      </c>
      <c r="D17" s="2284">
        <v>3.7</v>
      </c>
      <c r="E17" s="2284">
        <f>D17</f>
        <v>3.7</v>
      </c>
      <c r="F17" s="2284">
        <f>D17</f>
        <v>3.7</v>
      </c>
      <c r="G17" s="2284">
        <f>D17</f>
        <v>3.7</v>
      </c>
      <c r="H17" s="2284">
        <v>4.5999999999999996</v>
      </c>
      <c r="I17" s="2280"/>
      <c r="J17" s="2280"/>
      <c r="L17" s="2284"/>
      <c r="M17" s="2285">
        <v>42064</v>
      </c>
      <c r="N17" s="2284">
        <v>0.35</v>
      </c>
      <c r="O17" s="2284">
        <v>2.1</v>
      </c>
      <c r="P17" s="2284">
        <v>2.2999999999999998</v>
      </c>
      <c r="Q17" s="2284">
        <v>2.5</v>
      </c>
      <c r="R17" s="2284">
        <v>3.1</v>
      </c>
      <c r="S17" s="2284">
        <v>3.75</v>
      </c>
      <c r="T17" s="2284">
        <v>4.5</v>
      </c>
      <c r="U17" s="2284">
        <v>2.35</v>
      </c>
      <c r="V17" s="2284">
        <v>2.5499999999999998</v>
      </c>
      <c r="W17" s="2284">
        <v>2.75</v>
      </c>
      <c r="X17" s="2284"/>
      <c r="Y17" s="2284">
        <v>0.8</v>
      </c>
      <c r="Z17" s="2284">
        <v>1.35</v>
      </c>
    </row>
    <row r="18" spans="1:256" ht="15">
      <c r="A18" s="2277"/>
      <c r="B18" s="2278"/>
      <c r="C18" s="2285">
        <v>44550</v>
      </c>
      <c r="D18" s="2284">
        <v>3.8</v>
      </c>
      <c r="E18" s="2284">
        <f>D18</f>
        <v>3.8</v>
      </c>
      <c r="F18" s="2284">
        <f>D18</f>
        <v>3.8</v>
      </c>
      <c r="G18" s="2284">
        <f>D18</f>
        <v>3.8</v>
      </c>
      <c r="H18" s="2284">
        <v>4.6500000000000004</v>
      </c>
      <c r="I18" s="2280"/>
      <c r="J18" s="2280"/>
      <c r="L18" s="2783"/>
      <c r="M18" s="2782">
        <v>41965</v>
      </c>
      <c r="N18" s="2783">
        <v>0.35</v>
      </c>
      <c r="O18" s="2783">
        <v>2.35</v>
      </c>
      <c r="P18" s="2783">
        <v>2.5499999999999998</v>
      </c>
      <c r="Q18" s="2783">
        <v>2.75</v>
      </c>
      <c r="R18" s="2783">
        <v>3.35</v>
      </c>
      <c r="S18" s="2783">
        <v>4</v>
      </c>
      <c r="T18" s="2783">
        <v>4.75</v>
      </c>
      <c r="U18" s="2784">
        <v>2.35</v>
      </c>
      <c r="V18" s="2784">
        <v>2.5499999999999998</v>
      </c>
      <c r="W18" s="2784">
        <v>2.75</v>
      </c>
      <c r="X18" s="2783"/>
      <c r="Y18" s="2784">
        <v>0.8</v>
      </c>
      <c r="Z18" s="2784">
        <v>1.35</v>
      </c>
    </row>
    <row r="19" spans="1:256" s="2785" customFormat="1" ht="14.25">
      <c r="A19" s="2277"/>
      <c r="B19" s="2284"/>
      <c r="C19" s="2285">
        <v>43941</v>
      </c>
      <c r="D19" s="2284">
        <v>3.85</v>
      </c>
      <c r="E19" s="2284">
        <v>3.85</v>
      </c>
      <c r="F19" s="2284">
        <v>3.85</v>
      </c>
      <c r="G19" s="2284">
        <v>3.85</v>
      </c>
      <c r="H19" s="2284">
        <v>4.6500000000000004</v>
      </c>
      <c r="I19" s="2284"/>
      <c r="J19" s="2284"/>
      <c r="K19" s="2237"/>
      <c r="L19" s="2284"/>
      <c r="M19" s="2285">
        <v>41096</v>
      </c>
      <c r="N19" s="2284">
        <v>0.35</v>
      </c>
      <c r="O19" s="2284">
        <v>2.6</v>
      </c>
      <c r="P19" s="2284">
        <v>2.8</v>
      </c>
      <c r="Q19" s="2284">
        <v>3</v>
      </c>
      <c r="R19" s="2284">
        <v>3.75</v>
      </c>
      <c r="S19" s="2284">
        <v>4.25</v>
      </c>
      <c r="T19" s="2284">
        <v>4.75</v>
      </c>
      <c r="U19" s="2284">
        <v>2.85</v>
      </c>
      <c r="V19" s="2284">
        <v>2.9</v>
      </c>
      <c r="W19" s="2284">
        <v>3</v>
      </c>
      <c r="X19" s="2284">
        <v>1.1499999999999999</v>
      </c>
      <c r="Y19" s="2284">
        <v>0.8</v>
      </c>
      <c r="Z19" s="2284">
        <v>1.35</v>
      </c>
      <c r="AA19" s="2272"/>
      <c r="AB19" s="2272"/>
      <c r="AC19" s="2272"/>
      <c r="AD19" s="2272"/>
      <c r="AE19" s="2272"/>
      <c r="AF19" s="2272"/>
      <c r="AG19" s="2272"/>
      <c r="AH19" s="2272"/>
      <c r="AI19" s="2272"/>
      <c r="AJ19" s="2272"/>
      <c r="AK19" s="2272"/>
      <c r="AL19" s="2272"/>
      <c r="AM19" s="2272"/>
      <c r="AN19" s="2272"/>
      <c r="AO19" s="2272"/>
      <c r="AP19" s="2272"/>
      <c r="AQ19" s="2272"/>
      <c r="AR19" s="2272"/>
      <c r="AS19" s="2272"/>
      <c r="AT19" s="2272"/>
      <c r="AU19" s="2272"/>
      <c r="AV19" s="2272"/>
      <c r="AW19" s="2272"/>
      <c r="AX19" s="2272"/>
      <c r="AY19" s="2272"/>
      <c r="AZ19" s="2272"/>
      <c r="BA19" s="2272"/>
      <c r="BB19" s="2272"/>
      <c r="BC19" s="2272"/>
      <c r="BD19" s="2272"/>
      <c r="BE19" s="2272"/>
      <c r="BF19" s="2272"/>
      <c r="BG19" s="2272"/>
      <c r="BH19" s="2272"/>
      <c r="BI19" s="2272"/>
      <c r="BJ19" s="2272"/>
      <c r="BK19" s="2272"/>
      <c r="BL19" s="2272"/>
      <c r="BM19" s="2272"/>
      <c r="BN19" s="2272"/>
      <c r="BO19" s="2272"/>
      <c r="BP19" s="2272"/>
      <c r="BQ19" s="2272"/>
      <c r="BR19" s="2272"/>
      <c r="BS19" s="2272"/>
      <c r="BT19" s="2272"/>
      <c r="BU19" s="2272"/>
      <c r="BV19" s="2272"/>
      <c r="BW19" s="2272"/>
      <c r="BX19" s="2272"/>
      <c r="BY19" s="2272"/>
      <c r="BZ19" s="2272"/>
      <c r="CA19" s="2272"/>
      <c r="CB19" s="2272"/>
      <c r="CC19" s="2272"/>
      <c r="CD19" s="2272"/>
      <c r="CE19" s="2272"/>
      <c r="CF19" s="2272"/>
      <c r="CG19" s="2272"/>
      <c r="CH19" s="2272"/>
      <c r="CI19" s="2272"/>
      <c r="CJ19" s="2272"/>
      <c r="CK19" s="2272"/>
      <c r="CL19" s="2272"/>
      <c r="CM19" s="2272"/>
      <c r="CN19" s="2272"/>
      <c r="CO19" s="2272"/>
      <c r="CP19" s="2272"/>
      <c r="CQ19" s="2272"/>
      <c r="CR19" s="2272"/>
      <c r="CS19" s="2272"/>
      <c r="CT19" s="2272"/>
      <c r="CU19" s="2272"/>
      <c r="CV19" s="2272"/>
      <c r="CW19" s="2272"/>
      <c r="CX19" s="2272"/>
      <c r="CY19" s="2272"/>
      <c r="CZ19" s="2272"/>
      <c r="DA19" s="2272"/>
      <c r="DB19" s="2272"/>
      <c r="DC19" s="2272"/>
      <c r="DD19" s="2272"/>
      <c r="DE19" s="2272"/>
      <c r="DF19" s="2272"/>
      <c r="DG19" s="2272"/>
      <c r="DH19" s="2272"/>
      <c r="DI19" s="2272"/>
      <c r="DJ19" s="2272"/>
      <c r="DK19" s="2272"/>
      <c r="DL19" s="2272"/>
      <c r="DM19" s="2272"/>
      <c r="DN19" s="2272"/>
      <c r="DO19" s="2272"/>
      <c r="DP19" s="2272"/>
      <c r="DQ19" s="2272"/>
      <c r="DR19" s="2272"/>
      <c r="DS19" s="2272"/>
      <c r="DT19" s="2272"/>
      <c r="DU19" s="2272"/>
      <c r="DV19" s="2272"/>
      <c r="DW19" s="2272"/>
      <c r="DX19" s="2272"/>
      <c r="DY19" s="2272"/>
      <c r="DZ19" s="2272"/>
      <c r="EA19" s="2272"/>
      <c r="EB19" s="2272"/>
      <c r="EC19" s="2272"/>
      <c r="ED19" s="2272"/>
      <c r="EE19" s="2272"/>
      <c r="EF19" s="2272"/>
      <c r="EG19" s="2272"/>
      <c r="EH19" s="2272"/>
      <c r="EI19" s="2272"/>
      <c r="EJ19" s="2272"/>
      <c r="EK19" s="2272"/>
      <c r="EL19" s="2272"/>
      <c r="EM19" s="2272"/>
      <c r="EN19" s="2272"/>
      <c r="EO19" s="2272"/>
      <c r="EP19" s="2272"/>
      <c r="EQ19" s="2272"/>
      <c r="ER19" s="2272"/>
      <c r="ES19" s="2272"/>
      <c r="ET19" s="2272"/>
      <c r="EU19" s="2272"/>
      <c r="EV19" s="2272"/>
      <c r="EW19" s="2272"/>
      <c r="EX19" s="2272"/>
      <c r="EY19" s="2272"/>
      <c r="EZ19" s="2272"/>
      <c r="FA19" s="2272"/>
      <c r="FB19" s="2272"/>
      <c r="FC19" s="2272"/>
      <c r="FD19" s="2272"/>
      <c r="FE19" s="2272"/>
      <c r="FF19" s="2272"/>
      <c r="FG19" s="2272"/>
      <c r="FH19" s="2272"/>
      <c r="FI19" s="2272"/>
      <c r="FJ19" s="2272"/>
      <c r="FK19" s="2272"/>
      <c r="FL19" s="2272"/>
      <c r="FM19" s="2272"/>
      <c r="FN19" s="2272"/>
      <c r="FO19" s="2272"/>
      <c r="FP19" s="2272"/>
      <c r="FQ19" s="2272"/>
      <c r="FR19" s="2272"/>
      <c r="FS19" s="2272"/>
      <c r="FT19" s="2272"/>
      <c r="FU19" s="2272"/>
      <c r="FV19" s="2272"/>
      <c r="FW19" s="2272"/>
      <c r="FX19" s="2272"/>
      <c r="FY19" s="2272"/>
      <c r="FZ19" s="2272"/>
      <c r="GA19" s="2272"/>
      <c r="GB19" s="2272"/>
      <c r="GC19" s="2272"/>
      <c r="GD19" s="2272"/>
      <c r="GE19" s="2272"/>
      <c r="GF19" s="2272"/>
      <c r="GG19" s="2272"/>
      <c r="GH19" s="2272"/>
      <c r="GI19" s="2272"/>
      <c r="GJ19" s="2272"/>
      <c r="GK19" s="2272"/>
      <c r="GL19" s="2272"/>
      <c r="GM19" s="2272"/>
      <c r="GN19" s="2272"/>
      <c r="GO19" s="2272"/>
      <c r="GP19" s="2272"/>
      <c r="GQ19" s="2272"/>
      <c r="GR19" s="2272"/>
      <c r="GS19" s="2272"/>
      <c r="GT19" s="2272"/>
      <c r="GU19" s="2272"/>
      <c r="GV19" s="2272"/>
      <c r="GW19" s="2272"/>
      <c r="GX19" s="2272"/>
      <c r="GY19" s="2272"/>
      <c r="GZ19" s="2272"/>
      <c r="HA19" s="2272"/>
      <c r="HB19" s="2272"/>
      <c r="HC19" s="2272"/>
      <c r="HD19" s="2272"/>
      <c r="HE19" s="2272"/>
      <c r="HF19" s="2272"/>
      <c r="HG19" s="2272"/>
      <c r="HH19" s="2272"/>
      <c r="HI19" s="2272"/>
      <c r="HJ19" s="2272"/>
      <c r="HK19" s="2272"/>
      <c r="HL19" s="2272"/>
      <c r="HM19" s="2272"/>
      <c r="HN19" s="2272"/>
      <c r="HO19" s="2272"/>
      <c r="HP19" s="2272"/>
      <c r="HQ19" s="2272"/>
      <c r="HR19" s="2272"/>
      <c r="HS19" s="2272"/>
      <c r="HT19" s="2272"/>
      <c r="HU19" s="2272"/>
      <c r="HV19" s="2272"/>
      <c r="HW19" s="2272"/>
      <c r="HX19" s="2272"/>
      <c r="HY19" s="2272"/>
      <c r="HZ19" s="2272"/>
      <c r="IA19" s="2272"/>
      <c r="IB19" s="2272"/>
      <c r="IC19" s="2272"/>
      <c r="ID19" s="2272"/>
      <c r="IE19" s="2272"/>
      <c r="IF19" s="2272"/>
      <c r="IG19" s="2272"/>
      <c r="IH19" s="2272"/>
      <c r="II19" s="2272"/>
      <c r="IJ19" s="2272"/>
      <c r="IK19" s="2272"/>
      <c r="IL19" s="2272"/>
      <c r="IM19" s="2272"/>
      <c r="IN19" s="2272"/>
      <c r="IO19" s="2272"/>
      <c r="IP19" s="2272"/>
      <c r="IQ19" s="2272"/>
      <c r="IR19" s="2272"/>
      <c r="IS19" s="2272"/>
      <c r="IT19" s="2272"/>
      <c r="IU19" s="2272"/>
      <c r="IV19" s="2272"/>
    </row>
    <row r="20" spans="1:256" ht="14.25">
      <c r="A20" s="2277"/>
      <c r="B20" s="2284"/>
      <c r="C20" s="2285">
        <v>43881</v>
      </c>
      <c r="D20" s="2284">
        <v>4.05</v>
      </c>
      <c r="E20" s="2284">
        <v>4.05</v>
      </c>
      <c r="F20" s="2284">
        <v>4.05</v>
      </c>
      <c r="G20" s="2284">
        <v>4.05</v>
      </c>
      <c r="H20" s="2284">
        <v>4.75</v>
      </c>
      <c r="I20" s="2284"/>
      <c r="J20" s="2284"/>
      <c r="L20" s="2284"/>
      <c r="M20" s="2285">
        <v>41068</v>
      </c>
      <c r="N20" s="2284">
        <v>0.4</v>
      </c>
      <c r="O20" s="2284">
        <v>2.85</v>
      </c>
      <c r="P20" s="2284">
        <v>3.05</v>
      </c>
      <c r="Q20" s="2284">
        <v>3.25</v>
      </c>
      <c r="R20" s="2284">
        <v>4.0999999999999996</v>
      </c>
      <c r="S20" s="2284">
        <v>4.6500000000000004</v>
      </c>
      <c r="T20" s="2284">
        <v>5.0999999999999996</v>
      </c>
      <c r="U20" s="2284">
        <v>3.1</v>
      </c>
      <c r="V20" s="2284">
        <v>3.15</v>
      </c>
      <c r="W20" s="2284">
        <v>3.25</v>
      </c>
      <c r="X20" s="2284">
        <v>1.31</v>
      </c>
      <c r="Y20" s="2284">
        <v>0.94</v>
      </c>
      <c r="Z20" s="2284">
        <v>1.49</v>
      </c>
    </row>
    <row r="21" spans="1:256" ht="14.25">
      <c r="A21" s="2277"/>
      <c r="B21" s="2284"/>
      <c r="C21" s="2285">
        <v>43789</v>
      </c>
      <c r="D21" s="2284">
        <v>4.1500000000000004</v>
      </c>
      <c r="E21" s="2284">
        <v>4.1500000000000004</v>
      </c>
      <c r="F21" s="2284">
        <v>4.1500000000000004</v>
      </c>
      <c r="G21" s="2284">
        <v>4.1500000000000004</v>
      </c>
      <c r="H21" s="2284">
        <v>4.8</v>
      </c>
      <c r="I21" s="2284"/>
      <c r="J21" s="2284"/>
      <c r="K21" s="2266"/>
      <c r="L21" s="2284"/>
      <c r="M21" s="2285">
        <v>40731</v>
      </c>
      <c r="N21" s="2284">
        <v>0.5</v>
      </c>
      <c r="O21" s="2284">
        <v>3.1</v>
      </c>
      <c r="P21" s="2284">
        <v>3.3</v>
      </c>
      <c r="Q21" s="2284">
        <v>3.5</v>
      </c>
      <c r="R21" s="2284">
        <v>4.4000000000000004</v>
      </c>
      <c r="S21" s="2284">
        <v>5</v>
      </c>
      <c r="T21" s="2284">
        <v>5.5</v>
      </c>
      <c r="U21" s="2284">
        <v>3.1</v>
      </c>
      <c r="V21" s="2284">
        <v>3.3</v>
      </c>
      <c r="W21" s="2284">
        <v>3.5</v>
      </c>
      <c r="X21" s="2284">
        <v>1.31</v>
      </c>
      <c r="Y21" s="2284">
        <v>0.95</v>
      </c>
      <c r="Z21" s="2284">
        <v>1.49</v>
      </c>
    </row>
    <row r="22" spans="1:256" ht="14.25">
      <c r="A22" s="2277"/>
      <c r="B22" s="2284"/>
      <c r="C22" s="2285">
        <v>43728</v>
      </c>
      <c r="D22" s="2284">
        <v>4.2</v>
      </c>
      <c r="E22" s="2284">
        <v>4.2</v>
      </c>
      <c r="F22" s="2284">
        <v>4.2</v>
      </c>
      <c r="G22" s="2284">
        <v>4.2</v>
      </c>
      <c r="H22" s="2284">
        <v>4.8499999999999996</v>
      </c>
      <c r="I22" s="2284"/>
      <c r="J22" s="2284"/>
      <c r="L22" s="2284"/>
      <c r="M22" s="2285">
        <v>40639</v>
      </c>
      <c r="N22" s="2284">
        <v>0.5</v>
      </c>
      <c r="O22" s="2284">
        <v>2.85</v>
      </c>
      <c r="P22" s="2284">
        <v>3.05</v>
      </c>
      <c r="Q22" s="2284">
        <v>3.25</v>
      </c>
      <c r="R22" s="2284">
        <v>4.1500000000000004</v>
      </c>
      <c r="S22" s="2284">
        <v>4.75</v>
      </c>
      <c r="T22" s="2284">
        <v>5.25</v>
      </c>
      <c r="U22" s="2284">
        <v>2.85</v>
      </c>
      <c r="V22" s="2284">
        <v>3.05</v>
      </c>
      <c r="W22" s="2284">
        <v>3.25</v>
      </c>
      <c r="X22" s="2284">
        <v>1.31</v>
      </c>
      <c r="Y22" s="2284">
        <v>0.95</v>
      </c>
      <c r="Z22" s="2284">
        <v>1.49</v>
      </c>
    </row>
    <row r="23" spans="1:256" ht="14.25">
      <c r="A23" s="2780"/>
      <c r="B23" s="2278" t="s">
        <v>2290</v>
      </c>
      <c r="C23" s="2286">
        <v>43697</v>
      </c>
      <c r="D23" s="2777">
        <v>4.25</v>
      </c>
      <c r="E23" s="2777">
        <v>4.25</v>
      </c>
      <c r="F23" s="2777">
        <v>4.25</v>
      </c>
      <c r="G23" s="2777">
        <v>4.25</v>
      </c>
      <c r="H23" s="2777">
        <v>4.8499999999999996</v>
      </c>
      <c r="I23" s="2777"/>
      <c r="J23" s="2777"/>
      <c r="L23" s="2284"/>
      <c r="M23" s="2285">
        <v>40583</v>
      </c>
      <c r="N23" s="2284">
        <v>0.4</v>
      </c>
      <c r="O23" s="2284">
        <v>2.6</v>
      </c>
      <c r="P23" s="2284">
        <v>2.8</v>
      </c>
      <c r="Q23" s="2284">
        <v>3</v>
      </c>
      <c r="R23" s="2284">
        <v>3.9</v>
      </c>
      <c r="S23" s="2284">
        <v>4.5</v>
      </c>
      <c r="T23" s="2284">
        <v>5</v>
      </c>
      <c r="U23" s="2284">
        <v>2.6</v>
      </c>
      <c r="V23" s="2284">
        <v>2.8</v>
      </c>
      <c r="W23" s="2284">
        <v>3</v>
      </c>
      <c r="X23" s="2284">
        <v>1.21</v>
      </c>
      <c r="Y23" s="2284">
        <v>0.85</v>
      </c>
      <c r="Z23" s="2284">
        <v>1.39</v>
      </c>
    </row>
    <row r="24" spans="1:256" ht="14.25">
      <c r="B24" s="2781"/>
      <c r="C24" s="2782">
        <v>42301</v>
      </c>
      <c r="D24" s="2783">
        <v>4.3499999999999996</v>
      </c>
      <c r="E24" s="2783">
        <v>4.3499999999999996</v>
      </c>
      <c r="F24" s="2783">
        <v>4.75</v>
      </c>
      <c r="G24" s="2783">
        <v>4.75</v>
      </c>
      <c r="H24" s="2783">
        <v>4.9000000000000004</v>
      </c>
      <c r="I24" s="2783"/>
      <c r="J24" s="2783"/>
      <c r="L24" s="2284"/>
      <c r="M24" s="2285">
        <v>40538</v>
      </c>
      <c r="N24" s="2284">
        <v>0.36</v>
      </c>
      <c r="O24" s="2284">
        <v>2.25</v>
      </c>
      <c r="P24" s="2284">
        <v>2.5</v>
      </c>
      <c r="Q24" s="2284">
        <v>2.75</v>
      </c>
      <c r="R24" s="2284">
        <v>3.55</v>
      </c>
      <c r="S24" s="2284">
        <v>4.1500000000000004</v>
      </c>
      <c r="T24" s="2284">
        <v>4.55</v>
      </c>
      <c r="U24" s="2284">
        <v>2.16</v>
      </c>
      <c r="V24" s="2284">
        <v>2.5</v>
      </c>
      <c r="W24" s="2284">
        <v>2.85</v>
      </c>
      <c r="X24" s="2284">
        <v>1.17</v>
      </c>
      <c r="Y24" s="2284">
        <v>0.81</v>
      </c>
      <c r="Z24" s="2284">
        <v>1.35</v>
      </c>
    </row>
    <row r="25" spans="1:256">
      <c r="B25" s="2284"/>
      <c r="C25" s="2285">
        <v>42242</v>
      </c>
      <c r="D25" s="2284">
        <v>4.5999999999999996</v>
      </c>
      <c r="E25" s="2284">
        <v>4.5999999999999996</v>
      </c>
      <c r="F25" s="2284">
        <v>5</v>
      </c>
      <c r="G25" s="2284">
        <v>5</v>
      </c>
      <c r="H25" s="2284">
        <v>5.15</v>
      </c>
      <c r="I25" s="2284">
        <v>2.75</v>
      </c>
      <c r="J25" s="2284">
        <v>3.25</v>
      </c>
      <c r="L25" s="2284"/>
      <c r="M25" s="2285">
        <v>40471</v>
      </c>
      <c r="N25" s="2284">
        <v>0.36</v>
      </c>
      <c r="O25" s="2284">
        <v>1.91</v>
      </c>
      <c r="P25" s="2284">
        <v>2.2000000000000002</v>
      </c>
      <c r="Q25" s="2284">
        <v>2.5</v>
      </c>
      <c r="R25" s="2284">
        <v>3.25</v>
      </c>
      <c r="S25" s="2284">
        <v>3.85</v>
      </c>
      <c r="T25" s="2284">
        <v>4.2</v>
      </c>
      <c r="U25" s="2284">
        <v>1.91</v>
      </c>
      <c r="V25" s="2284">
        <v>2.2000000000000002</v>
      </c>
      <c r="W25" s="2284">
        <v>2.5</v>
      </c>
      <c r="X25" s="2284">
        <v>1.17</v>
      </c>
      <c r="Y25" s="2284">
        <v>0.81</v>
      </c>
      <c r="Z25" s="2284">
        <v>1.35</v>
      </c>
    </row>
    <row r="26" spans="1:256">
      <c r="B26" s="2284"/>
      <c r="C26" s="2285">
        <v>42183</v>
      </c>
      <c r="D26" s="2284">
        <v>4.8499999999999996</v>
      </c>
      <c r="E26" s="2284">
        <v>4.8499999999999996</v>
      </c>
      <c r="F26" s="2284">
        <v>5.25</v>
      </c>
      <c r="G26" s="2284">
        <v>5.25</v>
      </c>
      <c r="H26" s="2284">
        <v>5.4</v>
      </c>
      <c r="I26" s="2284">
        <v>3</v>
      </c>
      <c r="J26" s="2284">
        <v>3.5</v>
      </c>
      <c r="L26" s="2284"/>
      <c r="M26" s="2285">
        <v>39805</v>
      </c>
      <c r="N26" s="2284">
        <v>0.36</v>
      </c>
      <c r="O26" s="2284">
        <v>1.71</v>
      </c>
      <c r="P26" s="2284">
        <v>1.98</v>
      </c>
      <c r="Q26" s="2284">
        <v>2.25</v>
      </c>
      <c r="R26" s="2284">
        <v>2.79</v>
      </c>
      <c r="S26" s="2284">
        <v>3.33</v>
      </c>
      <c r="T26" s="2284">
        <v>3.6</v>
      </c>
      <c r="U26" s="2284">
        <v>1.71</v>
      </c>
      <c r="V26" s="2284">
        <v>1.98</v>
      </c>
      <c r="W26" s="2284">
        <v>2.25</v>
      </c>
      <c r="X26" s="2284">
        <v>1.17</v>
      </c>
      <c r="Y26" s="2284">
        <v>0.81</v>
      </c>
      <c r="Z26" s="2284">
        <v>1.35</v>
      </c>
    </row>
    <row r="27" spans="1:256">
      <c r="B27" s="2284"/>
      <c r="C27" s="2285">
        <v>42135</v>
      </c>
      <c r="D27" s="2284">
        <v>5.0999999999999996</v>
      </c>
      <c r="E27" s="2284">
        <v>5.0999999999999996</v>
      </c>
      <c r="F27" s="2284">
        <v>5.5</v>
      </c>
      <c r="G27" s="2284">
        <v>5.5</v>
      </c>
      <c r="H27" s="2284">
        <v>5.65</v>
      </c>
      <c r="I27" s="2284">
        <v>3.25</v>
      </c>
      <c r="J27" s="2284">
        <v>3.75</v>
      </c>
      <c r="L27" s="2284"/>
      <c r="M27" s="2285">
        <v>39779</v>
      </c>
      <c r="N27" s="2284">
        <v>0.36</v>
      </c>
      <c r="O27" s="2284">
        <v>1.98</v>
      </c>
      <c r="P27" s="2284">
        <v>2.25</v>
      </c>
      <c r="Q27" s="2284">
        <v>2.52</v>
      </c>
      <c r="R27" s="2284">
        <v>3.06</v>
      </c>
      <c r="S27" s="2284">
        <v>3.6</v>
      </c>
      <c r="T27" s="2284">
        <v>3.87</v>
      </c>
      <c r="U27" s="2284">
        <v>1.98</v>
      </c>
      <c r="V27" s="2284">
        <v>2.25</v>
      </c>
      <c r="W27" s="2284">
        <v>2.52</v>
      </c>
      <c r="X27" s="2284">
        <v>1.17</v>
      </c>
      <c r="Y27" s="2284">
        <v>0.81</v>
      </c>
      <c r="Z27" s="2284">
        <v>1.35</v>
      </c>
    </row>
    <row r="28" spans="1:256">
      <c r="B28" s="2284"/>
      <c r="C28" s="2285">
        <v>42064</v>
      </c>
      <c r="D28" s="2284">
        <v>5.35</v>
      </c>
      <c r="E28" s="2284">
        <v>5.35</v>
      </c>
      <c r="F28" s="2284">
        <v>5.75</v>
      </c>
      <c r="G28" s="2284">
        <v>5.75</v>
      </c>
      <c r="H28" s="2284">
        <v>5.9</v>
      </c>
      <c r="I28" s="2284"/>
      <c r="J28" s="2284"/>
      <c r="L28" s="2284"/>
      <c r="M28" s="2285">
        <v>39751</v>
      </c>
      <c r="N28" s="2284">
        <v>0.72</v>
      </c>
      <c r="O28" s="2284">
        <v>2.88</v>
      </c>
      <c r="P28" s="2284">
        <v>3.24</v>
      </c>
      <c r="Q28" s="2284">
        <v>3.6</v>
      </c>
      <c r="R28" s="2284">
        <v>4.1399999999999997</v>
      </c>
      <c r="S28" s="2284">
        <v>4.7699999999999996</v>
      </c>
      <c r="T28" s="2284">
        <v>5.13</v>
      </c>
      <c r="U28" s="2284">
        <v>2.88</v>
      </c>
      <c r="V28" s="2284">
        <v>3.24</v>
      </c>
      <c r="W28" s="2284">
        <v>3.6</v>
      </c>
      <c r="X28" s="2284">
        <v>1.53</v>
      </c>
      <c r="Y28" s="2284">
        <v>1.17</v>
      </c>
      <c r="Z28" s="2284">
        <v>1.71</v>
      </c>
    </row>
    <row r="29" spans="1:256">
      <c r="B29" s="2284"/>
      <c r="C29" s="2285">
        <v>41965</v>
      </c>
      <c r="D29" s="2284">
        <v>5.6</v>
      </c>
      <c r="E29" s="2284">
        <v>5.6</v>
      </c>
      <c r="F29" s="2284">
        <v>6</v>
      </c>
      <c r="G29" s="2284">
        <v>6</v>
      </c>
      <c r="H29" s="2284">
        <v>6.15</v>
      </c>
      <c r="I29" s="2284"/>
      <c r="J29" s="2284"/>
      <c r="L29" s="2284"/>
      <c r="M29" s="2286">
        <v>39736</v>
      </c>
      <c r="N29" s="2284">
        <v>0.72</v>
      </c>
      <c r="O29" s="2284">
        <v>3.15</v>
      </c>
      <c r="P29" s="2284">
        <v>3.51</v>
      </c>
      <c r="Q29" s="2284">
        <v>3.87</v>
      </c>
      <c r="R29" s="2284">
        <v>4.41</v>
      </c>
      <c r="S29" s="2284">
        <v>5.13</v>
      </c>
      <c r="T29" s="2284">
        <v>5.58</v>
      </c>
      <c r="U29" s="2284">
        <v>3.15</v>
      </c>
      <c r="V29" s="2284">
        <v>3.51</v>
      </c>
      <c r="W29" s="2284">
        <v>3.87</v>
      </c>
      <c r="X29" s="2284">
        <v>1.53</v>
      </c>
      <c r="Y29" s="2284">
        <v>1.17</v>
      </c>
      <c r="Z29" s="2284">
        <v>1.71</v>
      </c>
    </row>
    <row r="30" spans="1:256">
      <c r="B30" s="2284"/>
      <c r="C30" s="2285">
        <v>41096</v>
      </c>
      <c r="D30" s="2284">
        <v>5.6</v>
      </c>
      <c r="E30" s="2284">
        <v>6</v>
      </c>
      <c r="F30" s="2284">
        <v>6.15</v>
      </c>
      <c r="G30" s="2284">
        <v>6.4</v>
      </c>
      <c r="H30" s="2284">
        <v>6.55</v>
      </c>
      <c r="I30" s="2284">
        <v>4</v>
      </c>
      <c r="J30" s="2284">
        <v>4.5</v>
      </c>
      <c r="L30" s="2284"/>
      <c r="M30" s="2285">
        <v>39730</v>
      </c>
      <c r="N30" s="2284">
        <v>0.72</v>
      </c>
      <c r="O30" s="2284">
        <v>3.15</v>
      </c>
      <c r="P30" s="2284">
        <v>3.51</v>
      </c>
      <c r="Q30" s="2284">
        <v>3.87</v>
      </c>
      <c r="R30" s="2284">
        <v>4.41</v>
      </c>
      <c r="S30" s="2284">
        <v>5.13</v>
      </c>
      <c r="T30" s="2284">
        <v>5.58</v>
      </c>
      <c r="U30" s="2284">
        <v>3.15</v>
      </c>
      <c r="V30" s="2284">
        <v>3.51</v>
      </c>
      <c r="W30" s="2284">
        <v>3.87</v>
      </c>
      <c r="X30" s="2284">
        <v>1.53</v>
      </c>
      <c r="Y30" s="2284">
        <v>1.17</v>
      </c>
      <c r="Z30" s="2284">
        <v>1.71</v>
      </c>
    </row>
    <row r="31" spans="1:256">
      <c r="B31" s="2284"/>
      <c r="C31" s="2285">
        <v>41068</v>
      </c>
      <c r="D31" s="2284">
        <v>5.85</v>
      </c>
      <c r="E31" s="2284">
        <v>6.31</v>
      </c>
      <c r="F31" s="2284">
        <v>6.4</v>
      </c>
      <c r="G31" s="2284">
        <v>6.65</v>
      </c>
      <c r="H31" s="2284">
        <v>6.8</v>
      </c>
      <c r="I31" s="2284">
        <v>4.2</v>
      </c>
      <c r="J31" s="2284">
        <v>4.7</v>
      </c>
      <c r="L31" s="2284"/>
      <c r="M31" s="2285">
        <v>39437</v>
      </c>
      <c r="N31" s="2284">
        <v>0.72</v>
      </c>
      <c r="O31" s="2284">
        <v>3.33</v>
      </c>
      <c r="P31" s="2284">
        <v>3.78</v>
      </c>
      <c r="Q31" s="2284">
        <v>4.1399999999999997</v>
      </c>
      <c r="R31" s="2284">
        <v>4.68</v>
      </c>
      <c r="S31" s="2284">
        <v>5.4</v>
      </c>
      <c r="T31" s="2284">
        <v>5.85</v>
      </c>
      <c r="U31" s="2284">
        <v>3.33</v>
      </c>
      <c r="V31" s="2284">
        <v>3.78</v>
      </c>
      <c r="W31" s="2284">
        <v>4.1399999999999997</v>
      </c>
      <c r="X31" s="2284">
        <v>1.53</v>
      </c>
      <c r="Y31" s="2284">
        <v>1.17</v>
      </c>
      <c r="Z31" s="2284">
        <v>1.71</v>
      </c>
    </row>
    <row r="32" spans="1:256">
      <c r="B32" s="2284"/>
      <c r="C32" s="2285">
        <v>40731</v>
      </c>
      <c r="D32" s="2284">
        <v>6.1</v>
      </c>
      <c r="E32" s="2284">
        <v>6.56</v>
      </c>
      <c r="F32" s="2284">
        <v>6.65</v>
      </c>
      <c r="G32" s="2284">
        <v>6.9</v>
      </c>
      <c r="H32" s="2284">
        <v>7.05</v>
      </c>
      <c r="I32" s="2284">
        <v>4.45</v>
      </c>
      <c r="J32" s="2284">
        <v>4.9000000000000004</v>
      </c>
      <c r="L32" s="2284"/>
      <c r="M32" s="2285">
        <v>39340</v>
      </c>
      <c r="N32" s="2284">
        <v>0.81</v>
      </c>
      <c r="O32" s="2284">
        <v>2.88</v>
      </c>
      <c r="P32" s="2284">
        <v>3.42</v>
      </c>
      <c r="Q32" s="2284">
        <v>3.87</v>
      </c>
      <c r="R32" s="2284">
        <v>4.5</v>
      </c>
      <c r="S32" s="2284">
        <v>5.22</v>
      </c>
      <c r="T32" s="2284">
        <v>5.76</v>
      </c>
      <c r="U32" s="2284">
        <v>2.88</v>
      </c>
      <c r="V32" s="2284">
        <v>3.42</v>
      </c>
      <c r="W32" s="2284">
        <v>3.87</v>
      </c>
      <c r="X32" s="2284">
        <v>1.53</v>
      </c>
      <c r="Y32" s="2284">
        <v>1.17</v>
      </c>
      <c r="Z32" s="2284">
        <v>1.71</v>
      </c>
    </row>
    <row r="33" spans="2:26">
      <c r="B33" s="2284"/>
      <c r="C33" s="2285">
        <v>40639</v>
      </c>
      <c r="D33" s="2284">
        <v>5.85</v>
      </c>
      <c r="E33" s="2284">
        <v>6.31</v>
      </c>
      <c r="F33" s="2284">
        <v>6.4</v>
      </c>
      <c r="G33" s="2284">
        <v>6.65</v>
      </c>
      <c r="H33" s="2284">
        <v>6.8</v>
      </c>
      <c r="I33" s="2284">
        <v>4.2</v>
      </c>
      <c r="J33" s="2284">
        <v>4.7</v>
      </c>
      <c r="L33" s="2284"/>
      <c r="M33" s="2285">
        <v>39316</v>
      </c>
      <c r="N33" s="2284">
        <v>0.81</v>
      </c>
      <c r="O33" s="2284">
        <v>2.61</v>
      </c>
      <c r="P33" s="2284">
        <v>3.15</v>
      </c>
      <c r="Q33" s="2284">
        <v>3.6</v>
      </c>
      <c r="R33" s="2284">
        <v>4.2300000000000004</v>
      </c>
      <c r="S33" s="2284">
        <v>4.95</v>
      </c>
      <c r="T33" s="2284">
        <v>5.49</v>
      </c>
      <c r="U33" s="2284">
        <v>2.61</v>
      </c>
      <c r="V33" s="2284">
        <v>3.15</v>
      </c>
      <c r="W33" s="2284">
        <v>3.6</v>
      </c>
      <c r="X33" s="2284">
        <v>1.53</v>
      </c>
      <c r="Y33" s="2284">
        <v>1.17</v>
      </c>
      <c r="Z33" s="2284">
        <v>1.71</v>
      </c>
    </row>
    <row r="34" spans="2:26">
      <c r="B34" s="2284"/>
      <c r="C34" s="2285">
        <v>40583</v>
      </c>
      <c r="D34" s="2284">
        <v>5.6</v>
      </c>
      <c r="E34" s="2284">
        <v>6.06</v>
      </c>
      <c r="F34" s="2284">
        <v>6.1</v>
      </c>
      <c r="G34" s="2284">
        <v>6.45</v>
      </c>
      <c r="H34" s="2284">
        <v>6.6</v>
      </c>
      <c r="I34" s="2284">
        <v>4</v>
      </c>
      <c r="J34" s="2284">
        <v>4.5</v>
      </c>
      <c r="L34" s="2284"/>
      <c r="M34" s="2285">
        <v>39284</v>
      </c>
      <c r="N34" s="2284">
        <v>0.81</v>
      </c>
      <c r="O34" s="2284">
        <v>2.34</v>
      </c>
      <c r="P34" s="2284">
        <v>2.88</v>
      </c>
      <c r="Q34" s="2284">
        <v>3.33</v>
      </c>
      <c r="R34" s="2284">
        <v>3.96</v>
      </c>
      <c r="S34" s="2284">
        <v>4.68</v>
      </c>
      <c r="T34" s="2284">
        <v>5.22</v>
      </c>
      <c r="U34" s="2284">
        <v>2.34</v>
      </c>
      <c r="V34" s="2284">
        <v>2.88</v>
      </c>
      <c r="W34" s="2284">
        <v>3.33</v>
      </c>
      <c r="X34" s="2284">
        <v>1.53</v>
      </c>
      <c r="Y34" s="2284">
        <v>1.17</v>
      </c>
      <c r="Z34" s="2284">
        <v>1.71</v>
      </c>
    </row>
    <row r="35" spans="2:26">
      <c r="B35" s="2284"/>
      <c r="C35" s="2285">
        <v>40538</v>
      </c>
      <c r="D35" s="2284">
        <v>5.35</v>
      </c>
      <c r="E35" s="2284">
        <v>5.81</v>
      </c>
      <c r="F35" s="2284">
        <v>5.85</v>
      </c>
      <c r="G35" s="2284">
        <v>6.22</v>
      </c>
      <c r="H35" s="2284">
        <v>6.4</v>
      </c>
      <c r="I35" s="2284">
        <v>3.75</v>
      </c>
      <c r="J35" s="2284">
        <v>4.3</v>
      </c>
      <c r="L35" s="2284"/>
      <c r="M35" s="2285">
        <v>39221</v>
      </c>
      <c r="N35" s="2284">
        <v>0.72</v>
      </c>
      <c r="O35" s="2284">
        <v>2.0699999999999998</v>
      </c>
      <c r="P35" s="2284">
        <v>2.61</v>
      </c>
      <c r="Q35" s="2284">
        <v>3.06</v>
      </c>
      <c r="R35" s="2284">
        <v>3.69</v>
      </c>
      <c r="S35" s="2284">
        <v>4.41</v>
      </c>
      <c r="T35" s="2284">
        <v>4.95</v>
      </c>
      <c r="U35" s="2284">
        <v>2.0699999999999998</v>
      </c>
      <c r="V35" s="2284">
        <v>2.61</v>
      </c>
      <c r="W35" s="2284">
        <v>3.06</v>
      </c>
      <c r="X35" s="2284">
        <v>1.44</v>
      </c>
      <c r="Y35" s="2284">
        <v>1.08</v>
      </c>
      <c r="Z35" s="2284">
        <v>1.62</v>
      </c>
    </row>
    <row r="36" spans="2:26">
      <c r="B36" s="2284"/>
      <c r="C36" s="2285">
        <v>40471</v>
      </c>
      <c r="D36" s="2284">
        <v>5.0999999999999996</v>
      </c>
      <c r="E36" s="2284">
        <v>5.56</v>
      </c>
      <c r="F36" s="2284">
        <v>5.6</v>
      </c>
      <c r="G36" s="2284">
        <v>5.96</v>
      </c>
      <c r="H36" s="2284">
        <v>6.14</v>
      </c>
      <c r="I36" s="2284">
        <v>3.5</v>
      </c>
      <c r="J36" s="2284">
        <v>4.05</v>
      </c>
      <c r="L36" s="2284"/>
      <c r="M36" s="2285">
        <v>39159</v>
      </c>
      <c r="N36" s="2284">
        <v>0.72</v>
      </c>
      <c r="O36" s="2284">
        <v>1.98</v>
      </c>
      <c r="P36" s="2284">
        <v>2.4300000000000002</v>
      </c>
      <c r="Q36" s="2284">
        <v>2.79</v>
      </c>
      <c r="R36" s="2284">
        <v>3.33</v>
      </c>
      <c r="S36" s="2284">
        <v>3.96</v>
      </c>
      <c r="T36" s="2284">
        <v>4.41</v>
      </c>
      <c r="U36" s="2284">
        <v>1.98</v>
      </c>
      <c r="V36" s="2284">
        <v>2.4300000000000002</v>
      </c>
      <c r="W36" s="2284">
        <v>2.79</v>
      </c>
      <c r="X36" s="2284">
        <v>1.44</v>
      </c>
      <c r="Y36" s="2284">
        <v>1.08</v>
      </c>
      <c r="Z36" s="2284">
        <v>1.62</v>
      </c>
    </row>
    <row r="37" spans="2:26">
      <c r="B37" s="2284"/>
      <c r="C37" s="2285">
        <v>39805</v>
      </c>
      <c r="D37" s="2284">
        <v>4.8600000000000003</v>
      </c>
      <c r="E37" s="2284">
        <v>5.31</v>
      </c>
      <c r="F37" s="2284">
        <v>5.4</v>
      </c>
      <c r="G37" s="2284">
        <v>5.76</v>
      </c>
      <c r="H37" s="2284">
        <v>5.94</v>
      </c>
      <c r="I37" s="2284">
        <v>3.33</v>
      </c>
      <c r="J37" s="2284">
        <v>3.87</v>
      </c>
      <c r="L37" s="2284"/>
      <c r="M37" s="2285">
        <v>38948</v>
      </c>
      <c r="N37" s="2284">
        <v>0.72</v>
      </c>
      <c r="O37" s="2284">
        <v>1.8</v>
      </c>
      <c r="P37" s="2284">
        <v>2.25</v>
      </c>
      <c r="Q37" s="2284">
        <v>2.52</v>
      </c>
      <c r="R37" s="2284">
        <v>3.06</v>
      </c>
      <c r="S37" s="2284">
        <v>3.69</v>
      </c>
      <c r="T37" s="2284">
        <v>4.1399999999999997</v>
      </c>
      <c r="U37" s="2284">
        <v>1.8</v>
      </c>
      <c r="V37" s="2284">
        <v>2.25</v>
      </c>
      <c r="W37" s="2284">
        <v>2.52</v>
      </c>
      <c r="X37" s="2284">
        <v>1.44</v>
      </c>
      <c r="Y37" s="2284">
        <v>1.08</v>
      </c>
      <c r="Z37" s="2284">
        <v>1.62</v>
      </c>
    </row>
    <row r="38" spans="2:26">
      <c r="B38" s="2284"/>
      <c r="C38" s="2285">
        <v>39779</v>
      </c>
      <c r="D38" s="2284">
        <v>5.04</v>
      </c>
      <c r="E38" s="2284">
        <v>5.58</v>
      </c>
      <c r="F38" s="2284">
        <v>5.67</v>
      </c>
      <c r="G38" s="2284">
        <v>5.94</v>
      </c>
      <c r="H38" s="2284">
        <v>6.12</v>
      </c>
      <c r="I38" s="2284">
        <v>3.51</v>
      </c>
      <c r="J38" s="2284">
        <v>4.05</v>
      </c>
      <c r="L38" s="2284"/>
      <c r="M38" s="2285">
        <v>38289</v>
      </c>
      <c r="N38" s="2284">
        <v>0.72</v>
      </c>
      <c r="O38" s="2284">
        <v>1.71</v>
      </c>
      <c r="P38" s="2284">
        <v>2.0699999999999998</v>
      </c>
      <c r="Q38" s="2284">
        <v>2.25</v>
      </c>
      <c r="R38" s="2284">
        <v>2.7</v>
      </c>
      <c r="S38" s="2284">
        <v>3.24</v>
      </c>
      <c r="T38" s="2284">
        <v>3.6</v>
      </c>
      <c r="U38" s="2284">
        <v>1.71</v>
      </c>
      <c r="V38" s="2284">
        <v>2.0699999999999998</v>
      </c>
      <c r="W38" s="2284">
        <v>2.25</v>
      </c>
      <c r="X38" s="2284">
        <v>1.44</v>
      </c>
      <c r="Y38" s="2284">
        <v>1.08</v>
      </c>
      <c r="Z38" s="2284">
        <v>1.62</v>
      </c>
    </row>
    <row r="39" spans="2:26">
      <c r="B39" s="2284"/>
      <c r="C39" s="2285">
        <v>39751</v>
      </c>
      <c r="D39" s="2284">
        <v>6.03</v>
      </c>
      <c r="E39" s="2284">
        <v>6.66</v>
      </c>
      <c r="F39" s="2284">
        <v>6.75</v>
      </c>
      <c r="G39" s="2284">
        <v>7.02</v>
      </c>
      <c r="H39" s="2284">
        <v>7.2</v>
      </c>
      <c r="I39" s="2284">
        <v>4.05</v>
      </c>
      <c r="J39" s="2284">
        <v>4.59</v>
      </c>
      <c r="L39" s="2284"/>
      <c r="M39" s="2285">
        <v>37308</v>
      </c>
      <c r="N39" s="2284">
        <v>0.72</v>
      </c>
      <c r="O39" s="2284">
        <v>1.71</v>
      </c>
      <c r="P39" s="2284">
        <v>1.89</v>
      </c>
      <c r="Q39" s="2284">
        <v>1.98</v>
      </c>
      <c r="R39" s="2284">
        <v>2.25</v>
      </c>
      <c r="S39" s="2284">
        <v>2.52</v>
      </c>
      <c r="T39" s="2284">
        <v>2.79</v>
      </c>
      <c r="U39" s="2284">
        <v>1.71</v>
      </c>
      <c r="V39" s="2284">
        <v>1.89</v>
      </c>
      <c r="W39" s="2284">
        <v>1.98</v>
      </c>
      <c r="X39" s="2284">
        <v>1.44</v>
      </c>
      <c r="Y39" s="2284">
        <v>1.08</v>
      </c>
      <c r="Z39" s="2284">
        <v>1.62</v>
      </c>
    </row>
    <row r="40" spans="2:26">
      <c r="B40" s="2284"/>
      <c r="C40" s="2286">
        <v>39748</v>
      </c>
      <c r="D40" s="2284">
        <v>6.12</v>
      </c>
      <c r="E40" s="2284">
        <v>6.93</v>
      </c>
      <c r="F40" s="2284">
        <v>7.02</v>
      </c>
      <c r="G40" s="2284">
        <v>7.29</v>
      </c>
      <c r="H40" s="2284">
        <v>7.47</v>
      </c>
      <c r="I40" s="2284">
        <v>4.05</v>
      </c>
      <c r="J40" s="2284">
        <v>4.59</v>
      </c>
      <c r="L40" s="2284"/>
      <c r="M40" s="2285">
        <v>36321</v>
      </c>
      <c r="N40" s="2284">
        <v>0.99</v>
      </c>
      <c r="O40" s="2284">
        <v>1.98</v>
      </c>
      <c r="P40" s="2284">
        <v>2.16</v>
      </c>
      <c r="Q40" s="2284">
        <v>2.25</v>
      </c>
      <c r="R40" s="2284">
        <v>2.4300000000000002</v>
      </c>
      <c r="S40" s="2284">
        <v>2.7</v>
      </c>
      <c r="T40" s="2284">
        <v>2.88</v>
      </c>
      <c r="U40" s="2284">
        <v>1.98</v>
      </c>
      <c r="V40" s="2284">
        <v>2.16</v>
      </c>
      <c r="W40" s="2284">
        <v>2.25</v>
      </c>
      <c r="X40" s="2284">
        <v>1.71</v>
      </c>
      <c r="Y40" s="2284">
        <v>1.35</v>
      </c>
      <c r="Z40" s="2284">
        <v>1.89</v>
      </c>
    </row>
    <row r="41" spans="2:26">
      <c r="B41" s="2284"/>
      <c r="C41" s="2285">
        <v>39730</v>
      </c>
      <c r="D41" s="2284">
        <v>6.12</v>
      </c>
      <c r="E41" s="2284">
        <v>6.93</v>
      </c>
      <c r="F41" s="2284">
        <v>7.02</v>
      </c>
      <c r="G41" s="2284">
        <v>7.29</v>
      </c>
      <c r="H41" s="2284">
        <v>7.47</v>
      </c>
      <c r="I41" s="2284">
        <v>4.32</v>
      </c>
      <c r="J41" s="2284">
        <v>4.8600000000000003</v>
      </c>
      <c r="L41" s="2284"/>
      <c r="M41" s="2285">
        <v>36136</v>
      </c>
      <c r="N41" s="2284">
        <v>1.44</v>
      </c>
      <c r="O41" s="2284">
        <v>2.79</v>
      </c>
      <c r="P41" s="2284">
        <v>3.33</v>
      </c>
      <c r="Q41" s="2284">
        <v>3.78</v>
      </c>
      <c r="R41" s="2284">
        <v>3.96</v>
      </c>
      <c r="S41" s="2284">
        <v>4.1399999999999997</v>
      </c>
      <c r="T41" s="2284">
        <v>4.5</v>
      </c>
      <c r="U41" s="2284">
        <v>3.33</v>
      </c>
      <c r="V41" s="2284">
        <v>3.78</v>
      </c>
      <c r="W41" s="2284">
        <v>4.1399999999999997</v>
      </c>
      <c r="X41" s="2284">
        <v>2.16</v>
      </c>
      <c r="Y41" s="2284">
        <v>1.8</v>
      </c>
      <c r="Z41" s="2284">
        <v>2.34</v>
      </c>
    </row>
    <row r="42" spans="2:26">
      <c r="B42" s="2284"/>
      <c r="C42" s="2285">
        <v>39707</v>
      </c>
      <c r="D42" s="2284">
        <v>6.21</v>
      </c>
      <c r="E42" s="2284">
        <v>7.2</v>
      </c>
      <c r="F42" s="2284">
        <v>7.29</v>
      </c>
      <c r="G42" s="2284">
        <v>7.56</v>
      </c>
      <c r="H42" s="2284">
        <v>7.74</v>
      </c>
      <c r="I42" s="2284">
        <v>4.59</v>
      </c>
      <c r="J42" s="2284">
        <v>5.13</v>
      </c>
      <c r="L42" s="2284"/>
      <c r="M42" s="2285">
        <v>35977</v>
      </c>
      <c r="N42" s="2284">
        <v>1.44</v>
      </c>
      <c r="O42" s="2284">
        <v>2.79</v>
      </c>
      <c r="P42" s="2284">
        <v>3.96</v>
      </c>
      <c r="Q42" s="2284">
        <v>4.7699999999999996</v>
      </c>
      <c r="R42" s="2284">
        <v>4.8600000000000003</v>
      </c>
      <c r="S42" s="2284">
        <v>4.95</v>
      </c>
      <c r="T42" s="2284">
        <v>5.22</v>
      </c>
      <c r="U42" s="2284">
        <v>3.96</v>
      </c>
      <c r="V42" s="2284">
        <v>4.7699999999999996</v>
      </c>
      <c r="W42" s="2284">
        <v>4.95</v>
      </c>
      <c r="X42" s="2284" t="s">
        <v>2095</v>
      </c>
      <c r="Y42" s="2284" t="s">
        <v>2095</v>
      </c>
      <c r="Z42" s="2284" t="s">
        <v>2095</v>
      </c>
    </row>
    <row r="43" spans="2:26">
      <c r="B43" s="2284"/>
      <c r="C43" s="2285">
        <v>39437</v>
      </c>
      <c r="D43" s="2284">
        <v>6.57</v>
      </c>
      <c r="E43" s="2284">
        <v>7.47</v>
      </c>
      <c r="F43" s="2284">
        <v>7.56</v>
      </c>
      <c r="G43" s="2284">
        <v>7.74</v>
      </c>
      <c r="H43" s="2284">
        <v>7.83</v>
      </c>
      <c r="I43" s="2284">
        <v>4.7699999999999996</v>
      </c>
      <c r="J43" s="2284">
        <v>5.22</v>
      </c>
      <c r="L43" s="2284"/>
      <c r="M43" s="2285">
        <v>35879</v>
      </c>
      <c r="N43" s="2284">
        <v>1.71</v>
      </c>
      <c r="O43" s="2284">
        <v>2.88</v>
      </c>
      <c r="P43" s="2284">
        <v>4.1399999999999997</v>
      </c>
      <c r="Q43" s="2284">
        <v>5.22</v>
      </c>
      <c r="R43" s="2284">
        <v>5.58</v>
      </c>
      <c r="S43" s="2284">
        <v>6.21</v>
      </c>
      <c r="T43" s="2284">
        <v>6.66</v>
      </c>
      <c r="U43" s="2284">
        <v>4.1399999999999997</v>
      </c>
      <c r="V43" s="2284">
        <v>5.22</v>
      </c>
      <c r="W43" s="2284">
        <v>6.21</v>
      </c>
      <c r="X43" s="2284" t="s">
        <v>2095</v>
      </c>
      <c r="Y43" s="2284" t="s">
        <v>2095</v>
      </c>
      <c r="Z43" s="2284" t="s">
        <v>2095</v>
      </c>
    </row>
    <row r="44" spans="2:26">
      <c r="B44" s="2284"/>
      <c r="C44" s="2285">
        <v>39340</v>
      </c>
      <c r="D44" s="2284">
        <v>6.48</v>
      </c>
      <c r="E44" s="2284">
        <v>7.29</v>
      </c>
      <c r="F44" s="2284">
        <v>7.47</v>
      </c>
      <c r="G44" s="2284">
        <v>7.65</v>
      </c>
      <c r="H44" s="2284">
        <v>7.83</v>
      </c>
      <c r="I44" s="2284">
        <v>4.7699999999999996</v>
      </c>
      <c r="J44" s="2284">
        <v>5.22</v>
      </c>
      <c r="L44" s="2284"/>
      <c r="M44" s="2285">
        <v>35726</v>
      </c>
      <c r="N44" s="2284">
        <v>1.71</v>
      </c>
      <c r="O44" s="2284">
        <v>2.88</v>
      </c>
      <c r="P44" s="2284">
        <v>4.1399999999999997</v>
      </c>
      <c r="Q44" s="2284">
        <v>5.67</v>
      </c>
      <c r="R44" s="2284">
        <v>5.94</v>
      </c>
      <c r="S44" s="2284">
        <v>6.21</v>
      </c>
      <c r="T44" s="2284">
        <v>6.66</v>
      </c>
      <c r="U44" s="2284">
        <v>4.1399999999999997</v>
      </c>
      <c r="V44" s="2284">
        <v>5.67</v>
      </c>
      <c r="W44" s="2284">
        <v>6.21</v>
      </c>
      <c r="X44" s="2284" t="s">
        <v>2095</v>
      </c>
      <c r="Y44" s="2284" t="s">
        <v>2095</v>
      </c>
      <c r="Z44" s="2284" t="s">
        <v>2095</v>
      </c>
    </row>
    <row r="45" spans="2:26">
      <c r="B45" s="2284"/>
      <c r="C45" s="2285">
        <v>39316</v>
      </c>
      <c r="D45" s="2284">
        <v>6.21</v>
      </c>
      <c r="E45" s="2284">
        <v>7.02</v>
      </c>
      <c r="F45" s="2284">
        <v>7.2</v>
      </c>
      <c r="G45" s="2284">
        <v>7.38</v>
      </c>
      <c r="H45" s="2284">
        <v>7.56</v>
      </c>
      <c r="I45" s="2284">
        <v>4.59</v>
      </c>
      <c r="J45" s="2284">
        <v>5.04</v>
      </c>
      <c r="L45" s="2284"/>
      <c r="M45" s="2285">
        <v>35300</v>
      </c>
      <c r="N45" s="2284">
        <v>1.98</v>
      </c>
      <c r="O45" s="2284">
        <v>3.33</v>
      </c>
      <c r="P45" s="2284">
        <v>5.4</v>
      </c>
      <c r="Q45" s="2284">
        <v>7.47</v>
      </c>
      <c r="R45" s="2284">
        <v>7.92</v>
      </c>
      <c r="S45" s="2284">
        <v>8.2799999999999994</v>
      </c>
      <c r="T45" s="2284">
        <v>9</v>
      </c>
      <c r="U45" s="2284">
        <v>5.4</v>
      </c>
      <c r="V45" s="2284">
        <v>7.47</v>
      </c>
      <c r="W45" s="2284">
        <v>8.2799999999999994</v>
      </c>
      <c r="X45" s="2284" t="s">
        <v>2095</v>
      </c>
      <c r="Y45" s="2284" t="s">
        <v>2095</v>
      </c>
      <c r="Z45" s="2284" t="s">
        <v>2095</v>
      </c>
    </row>
    <row r="46" spans="2:26">
      <c r="B46" s="2284"/>
      <c r="C46" s="2285">
        <v>39284</v>
      </c>
      <c r="D46" s="2284">
        <v>6.03</v>
      </c>
      <c r="E46" s="2284">
        <v>6.84</v>
      </c>
      <c r="F46" s="2284">
        <v>7.02</v>
      </c>
      <c r="G46" s="2284">
        <v>7.2</v>
      </c>
      <c r="H46" s="2284">
        <v>7.38</v>
      </c>
      <c r="I46" s="2284">
        <v>4.5</v>
      </c>
      <c r="J46" s="2284">
        <v>4.95</v>
      </c>
      <c r="L46" s="2284"/>
      <c r="M46" s="2285">
        <v>35186</v>
      </c>
      <c r="N46" s="2284">
        <v>2.97</v>
      </c>
      <c r="O46" s="2284">
        <v>4.8600000000000003</v>
      </c>
      <c r="P46" s="2284">
        <v>7.2</v>
      </c>
      <c r="Q46" s="2284">
        <v>9.18</v>
      </c>
      <c r="R46" s="2284">
        <v>9.9</v>
      </c>
      <c r="S46" s="2284">
        <v>10.8</v>
      </c>
      <c r="T46" s="2284">
        <v>12.06</v>
      </c>
      <c r="U46" s="2284">
        <v>7.2</v>
      </c>
      <c r="V46" s="2284">
        <v>9.18</v>
      </c>
      <c r="W46" s="2284">
        <v>10.8</v>
      </c>
      <c r="X46" s="2284" t="s">
        <v>2095</v>
      </c>
      <c r="Y46" s="2284" t="s">
        <v>2095</v>
      </c>
      <c r="Z46" s="2284" t="s">
        <v>2095</v>
      </c>
    </row>
    <row r="47" spans="2:26">
      <c r="B47" s="2284"/>
      <c r="C47" s="2285">
        <v>39221</v>
      </c>
      <c r="D47" s="2284">
        <v>5.85</v>
      </c>
      <c r="E47" s="2284">
        <v>6.57</v>
      </c>
      <c r="F47" s="2284">
        <v>6.75</v>
      </c>
      <c r="G47" s="2284">
        <v>6.93</v>
      </c>
      <c r="H47" s="2284">
        <v>7.2</v>
      </c>
      <c r="I47" s="2284">
        <v>4.41</v>
      </c>
      <c r="J47" s="2284">
        <v>4.8600000000000003</v>
      </c>
      <c r="L47" s="2284"/>
      <c r="M47" s="2285">
        <v>34161</v>
      </c>
      <c r="N47" s="2284">
        <v>3.15</v>
      </c>
      <c r="O47" s="2284">
        <v>6.66</v>
      </c>
      <c r="P47" s="2284">
        <v>9</v>
      </c>
      <c r="Q47" s="2284">
        <v>10.98</v>
      </c>
      <c r="R47" s="2284">
        <v>11.7</v>
      </c>
      <c r="S47" s="2284">
        <v>12.24</v>
      </c>
      <c r="T47" s="2284">
        <v>13.86</v>
      </c>
      <c r="U47" s="2284">
        <v>9</v>
      </c>
      <c r="V47" s="2284">
        <v>10.98</v>
      </c>
      <c r="W47" s="2284">
        <v>12.24</v>
      </c>
      <c r="X47" s="2284" t="s">
        <v>2095</v>
      </c>
      <c r="Y47" s="2284" t="s">
        <v>2095</v>
      </c>
      <c r="Z47" s="2284" t="s">
        <v>2095</v>
      </c>
    </row>
    <row r="48" spans="2:26">
      <c r="B48" s="2284"/>
      <c r="C48" s="2285">
        <v>39159</v>
      </c>
      <c r="D48" s="2284">
        <v>5.67</v>
      </c>
      <c r="E48" s="2284">
        <v>6.39</v>
      </c>
      <c r="F48" s="2284">
        <v>6.57</v>
      </c>
      <c r="G48" s="2284">
        <v>6.75</v>
      </c>
      <c r="H48" s="2284">
        <v>7.11</v>
      </c>
      <c r="I48" s="2284">
        <v>4.32</v>
      </c>
      <c r="J48" s="2284">
        <v>4.7699999999999996</v>
      </c>
      <c r="L48" s="2284"/>
      <c r="M48" s="2285">
        <v>34104</v>
      </c>
      <c r="N48" s="2284">
        <v>2.16</v>
      </c>
      <c r="O48" s="2284">
        <v>4.8600000000000003</v>
      </c>
      <c r="P48" s="2284">
        <v>7.2</v>
      </c>
      <c r="Q48" s="2284">
        <v>9.18</v>
      </c>
      <c r="R48" s="2284">
        <v>9.9</v>
      </c>
      <c r="S48" s="2284">
        <v>10.8</v>
      </c>
      <c r="T48" s="2284">
        <v>12.06</v>
      </c>
      <c r="U48" s="2284">
        <v>7.2</v>
      </c>
      <c r="V48" s="2284">
        <v>9.18</v>
      </c>
      <c r="W48" s="2284">
        <v>10.8</v>
      </c>
      <c r="X48" s="2284" t="s">
        <v>2095</v>
      </c>
      <c r="Y48" s="2284" t="s">
        <v>2095</v>
      </c>
      <c r="Z48" s="2284" t="s">
        <v>2095</v>
      </c>
    </row>
    <row r="49" spans="2:26">
      <c r="B49" s="2284"/>
      <c r="C49" s="2285">
        <v>38948</v>
      </c>
      <c r="D49" s="2284">
        <v>5.58</v>
      </c>
      <c r="E49" s="2284">
        <v>6.12</v>
      </c>
      <c r="F49" s="2284">
        <v>6.3</v>
      </c>
      <c r="G49" s="2284">
        <v>6.48</v>
      </c>
      <c r="H49" s="2284">
        <v>6.84</v>
      </c>
      <c r="I49" s="2284">
        <v>4.1399999999999997</v>
      </c>
      <c r="J49" s="2284">
        <v>4.59</v>
      </c>
      <c r="L49" s="2284"/>
      <c r="M49" s="2285">
        <v>33349</v>
      </c>
      <c r="N49" s="2284">
        <v>1.8</v>
      </c>
      <c r="O49" s="2284">
        <v>3.24</v>
      </c>
      <c r="P49" s="2284">
        <v>5.4</v>
      </c>
      <c r="Q49" s="2284">
        <v>7.56</v>
      </c>
      <c r="R49" s="2284">
        <v>7.92</v>
      </c>
      <c r="S49" s="2284">
        <v>8.2799999999999994</v>
      </c>
      <c r="T49" s="2284">
        <v>9</v>
      </c>
      <c r="U49" s="2284">
        <v>6.12</v>
      </c>
      <c r="V49" s="2284">
        <v>6.84</v>
      </c>
      <c r="W49" s="2284">
        <v>7.56</v>
      </c>
      <c r="X49" s="2284" t="s">
        <v>2095</v>
      </c>
      <c r="Y49" s="2284" t="s">
        <v>2095</v>
      </c>
      <c r="Z49" s="2284" t="s">
        <v>2095</v>
      </c>
    </row>
    <row r="50" spans="2:26">
      <c r="B50" s="2284"/>
      <c r="C50" s="2285">
        <v>38835</v>
      </c>
      <c r="D50" s="2284">
        <v>5.4</v>
      </c>
      <c r="E50" s="2284">
        <v>5.85</v>
      </c>
      <c r="F50" s="2284">
        <v>6.03</v>
      </c>
      <c r="G50" s="2284">
        <v>6.12</v>
      </c>
      <c r="H50" s="2284">
        <v>6.39</v>
      </c>
      <c r="I50" s="2284">
        <v>4.1399999999999997</v>
      </c>
      <c r="J50" s="2284">
        <v>4.59</v>
      </c>
      <c r="L50" s="2284"/>
      <c r="M50" s="2285">
        <v>33106</v>
      </c>
      <c r="N50" s="2284">
        <v>2.16</v>
      </c>
      <c r="O50" s="2284">
        <v>4.32</v>
      </c>
      <c r="P50" s="2284">
        <v>6.48</v>
      </c>
      <c r="Q50" s="2284">
        <v>8.64</v>
      </c>
      <c r="R50" s="2284">
        <v>9.36</v>
      </c>
      <c r="S50" s="2284">
        <v>10.08</v>
      </c>
      <c r="T50" s="2284">
        <v>11.52</v>
      </c>
      <c r="U50" s="2284">
        <v>7.2</v>
      </c>
      <c r="V50" s="2284">
        <v>8.64</v>
      </c>
      <c r="W50" s="2284">
        <v>10.08</v>
      </c>
      <c r="X50" s="2284" t="s">
        <v>2095</v>
      </c>
      <c r="Y50" s="2284" t="s">
        <v>2095</v>
      </c>
      <c r="Z50" s="2284" t="s">
        <v>2095</v>
      </c>
    </row>
    <row r="51" spans="2:26">
      <c r="B51" s="2284"/>
      <c r="C51" s="2285">
        <v>38428</v>
      </c>
      <c r="D51" s="2284">
        <v>5.22</v>
      </c>
      <c r="E51" s="2284">
        <v>5.58</v>
      </c>
      <c r="F51" s="2284">
        <v>5.76</v>
      </c>
      <c r="G51" s="2284">
        <v>5.85</v>
      </c>
      <c r="H51" s="2284">
        <v>6.12</v>
      </c>
      <c r="I51" s="2284">
        <v>3.96</v>
      </c>
      <c r="J51" s="2284">
        <v>4.41</v>
      </c>
      <c r="L51" s="2284"/>
      <c r="M51" s="2285">
        <v>32978</v>
      </c>
      <c r="N51" s="2284">
        <v>2.88</v>
      </c>
      <c r="O51" s="2284">
        <v>6.3</v>
      </c>
      <c r="P51" s="2284">
        <v>7.74</v>
      </c>
      <c r="Q51" s="2284">
        <v>10.08</v>
      </c>
      <c r="R51" s="2284">
        <v>10.98</v>
      </c>
      <c r="S51" s="2284">
        <v>11.88</v>
      </c>
      <c r="T51" s="2284">
        <v>13.68</v>
      </c>
      <c r="U51" s="2284" t="s">
        <v>2095</v>
      </c>
      <c r="V51" s="2284" t="s">
        <v>2095</v>
      </c>
      <c r="W51" s="2284" t="s">
        <v>2095</v>
      </c>
      <c r="X51" s="2284" t="s">
        <v>2095</v>
      </c>
      <c r="Y51" s="2284" t="s">
        <v>2095</v>
      </c>
      <c r="Z51" s="2284" t="s">
        <v>2095</v>
      </c>
    </row>
    <row r="52" spans="2:26">
      <c r="B52" s="2284"/>
      <c r="C52" s="2285">
        <v>38289</v>
      </c>
      <c r="D52" s="2284">
        <v>5.22</v>
      </c>
      <c r="E52" s="2284">
        <v>5.58</v>
      </c>
      <c r="F52" s="2284">
        <v>5.76</v>
      </c>
      <c r="G52" s="2284">
        <v>5.85</v>
      </c>
      <c r="H52" s="2284">
        <v>6.12</v>
      </c>
      <c r="I52" s="2284">
        <v>3.78</v>
      </c>
      <c r="J52" s="2284">
        <v>4.2300000000000004</v>
      </c>
      <c r="L52" s="2284"/>
      <c r="M52" s="2285"/>
      <c r="N52" s="2284"/>
      <c r="O52" s="2284"/>
      <c r="P52" s="2284"/>
      <c r="Q52" s="2284"/>
      <c r="R52" s="2284"/>
      <c r="S52" s="2284"/>
      <c r="T52" s="2284"/>
      <c r="U52" s="2284"/>
      <c r="V52" s="2284"/>
      <c r="W52" s="2284"/>
      <c r="X52" s="2284"/>
      <c r="Y52" s="2284"/>
      <c r="Z52" s="2284"/>
    </row>
    <row r="53" spans="2:26">
      <c r="B53" s="2284"/>
      <c r="C53" s="2285">
        <v>37308</v>
      </c>
      <c r="D53" s="2284">
        <v>5.04</v>
      </c>
      <c r="E53" s="2284">
        <v>5.31</v>
      </c>
      <c r="F53" s="2284">
        <v>5.49</v>
      </c>
      <c r="G53" s="2284">
        <v>5.58</v>
      </c>
      <c r="H53" s="2284">
        <v>5.76</v>
      </c>
      <c r="I53" s="2284">
        <v>3.6</v>
      </c>
      <c r="J53" s="2284">
        <v>4.05</v>
      </c>
      <c r="L53" s="2284"/>
      <c r="M53" s="2285"/>
      <c r="N53" s="2284"/>
      <c r="O53" s="2284"/>
      <c r="P53" s="2284"/>
      <c r="Q53" s="2284"/>
      <c r="R53" s="2284"/>
      <c r="S53" s="2284"/>
      <c r="T53" s="2284"/>
      <c r="U53" s="2284"/>
      <c r="V53" s="2284"/>
      <c r="W53" s="2284"/>
      <c r="X53" s="2284"/>
      <c r="Y53" s="2284"/>
      <c r="Z53" s="2284"/>
    </row>
    <row r="54" spans="2:26">
      <c r="B54" s="2284"/>
      <c r="C54" s="2285">
        <v>36321</v>
      </c>
      <c r="D54" s="2284">
        <v>5.58</v>
      </c>
      <c r="E54" s="2284">
        <v>5.85</v>
      </c>
      <c r="F54" s="2284">
        <v>5.94</v>
      </c>
      <c r="G54" s="2284">
        <v>6.03</v>
      </c>
      <c r="H54" s="2284">
        <v>6.21</v>
      </c>
      <c r="I54" s="2284">
        <v>4.1399999999999997</v>
      </c>
      <c r="J54" s="2284">
        <v>4.59</v>
      </c>
      <c r="L54" s="2284"/>
      <c r="M54" s="2285"/>
      <c r="N54" s="2284"/>
      <c r="O54" s="2284"/>
      <c r="P54" s="2284"/>
      <c r="Q54" s="2284"/>
      <c r="R54" s="2284"/>
      <c r="S54" s="2284"/>
      <c r="T54" s="2284"/>
      <c r="U54" s="2284"/>
      <c r="V54" s="2284"/>
      <c r="W54" s="2284"/>
      <c r="X54" s="2284"/>
      <c r="Y54" s="2284"/>
      <c r="Z54" s="2284"/>
    </row>
    <row r="55" spans="2:26">
      <c r="B55" s="2284"/>
      <c r="C55" s="2285">
        <v>36136</v>
      </c>
      <c r="D55" s="2284">
        <v>6.12</v>
      </c>
      <c r="E55" s="2284">
        <v>6.39</v>
      </c>
      <c r="F55" s="2284">
        <v>6.66</v>
      </c>
      <c r="G55" s="2284">
        <v>7.2</v>
      </c>
      <c r="H55" s="2284">
        <v>7.56</v>
      </c>
      <c r="I55" s="2284">
        <v>0</v>
      </c>
      <c r="J55" s="2284">
        <v>0</v>
      </c>
      <c r="L55" s="2284"/>
      <c r="M55" s="2285"/>
      <c r="N55" s="2284"/>
      <c r="O55" s="2284"/>
      <c r="P55" s="2284"/>
      <c r="Q55" s="2284"/>
      <c r="R55" s="2284"/>
      <c r="S55" s="2284"/>
      <c r="T55" s="2284"/>
      <c r="U55" s="2284"/>
      <c r="V55" s="2284"/>
      <c r="W55" s="2284"/>
      <c r="X55" s="2284"/>
      <c r="Y55" s="2284"/>
      <c r="Z55" s="2284"/>
    </row>
    <row r="56" spans="2:26">
      <c r="B56" s="2284"/>
      <c r="C56" s="2285">
        <v>35977</v>
      </c>
      <c r="D56" s="2284">
        <v>6.57</v>
      </c>
      <c r="E56" s="2284">
        <v>6.93</v>
      </c>
      <c r="F56" s="2284">
        <v>7.11</v>
      </c>
      <c r="G56" s="2284">
        <v>7.65</v>
      </c>
      <c r="H56" s="2284">
        <v>8.01</v>
      </c>
      <c r="I56" s="2284">
        <v>0</v>
      </c>
      <c r="J56" s="2284">
        <v>0</v>
      </c>
      <c r="L56" s="2284"/>
      <c r="M56" s="2285"/>
      <c r="N56" s="2284"/>
      <c r="O56" s="2284"/>
      <c r="P56" s="2284"/>
      <c r="Q56" s="2284"/>
      <c r="R56" s="2284"/>
      <c r="S56" s="2284"/>
      <c r="T56" s="2284"/>
      <c r="U56" s="2284"/>
      <c r="V56" s="2284"/>
      <c r="W56" s="2284"/>
      <c r="X56" s="2284"/>
      <c r="Y56" s="2284"/>
      <c r="Z56" s="2284"/>
    </row>
    <row r="57" spans="2:26">
      <c r="B57" s="2284"/>
      <c r="C57" s="2285">
        <v>35879</v>
      </c>
      <c r="D57" s="2284">
        <v>7.02</v>
      </c>
      <c r="E57" s="2284">
        <v>7.92</v>
      </c>
      <c r="F57" s="2284">
        <v>9</v>
      </c>
      <c r="G57" s="2284">
        <v>9.7200000000000006</v>
      </c>
      <c r="H57" s="2284">
        <v>10.35</v>
      </c>
      <c r="I57" s="2284">
        <v>0</v>
      </c>
      <c r="J57" s="2284">
        <v>0</v>
      </c>
      <c r="L57" s="2284"/>
      <c r="M57" s="2285"/>
      <c r="N57" s="2284"/>
      <c r="O57" s="2284"/>
      <c r="P57" s="2284"/>
      <c r="Q57" s="2284"/>
      <c r="R57" s="2284"/>
      <c r="S57" s="2284"/>
      <c r="T57" s="2284"/>
      <c r="U57" s="2284"/>
      <c r="V57" s="2284"/>
      <c r="W57" s="2284"/>
      <c r="X57" s="2284"/>
      <c r="Y57" s="2284"/>
      <c r="Z57" s="2284"/>
    </row>
    <row r="58" spans="2:26">
      <c r="B58" s="2284"/>
      <c r="C58" s="2285">
        <v>35726</v>
      </c>
      <c r="D58" s="2284">
        <v>7.65</v>
      </c>
      <c r="E58" s="2284">
        <v>8.64</v>
      </c>
      <c r="F58" s="2284">
        <v>9.36</v>
      </c>
      <c r="G58" s="2284">
        <v>9.9</v>
      </c>
      <c r="H58" s="2284">
        <v>10.53</v>
      </c>
      <c r="I58" s="2284">
        <v>0</v>
      </c>
      <c r="J58" s="2284">
        <v>0</v>
      </c>
    </row>
    <row r="59" spans="2:26">
      <c r="B59" s="2284"/>
      <c r="C59" s="2285">
        <v>35300</v>
      </c>
      <c r="D59" s="2284">
        <v>9.18</v>
      </c>
      <c r="E59" s="2284">
        <v>10.08</v>
      </c>
      <c r="F59" s="2284">
        <v>10.98</v>
      </c>
      <c r="G59" s="2284">
        <v>11.7</v>
      </c>
      <c r="H59" s="2284">
        <v>12.42</v>
      </c>
      <c r="I59" s="2284">
        <v>0</v>
      </c>
      <c r="J59" s="2284">
        <v>0</v>
      </c>
    </row>
    <row r="60" spans="2:26">
      <c r="B60" s="2284"/>
      <c r="C60" s="2285">
        <v>35186</v>
      </c>
      <c r="D60" s="2284">
        <v>9.7200000000000006</v>
      </c>
      <c r="E60" s="2284">
        <v>10.98</v>
      </c>
      <c r="F60" s="2284">
        <v>13.14</v>
      </c>
      <c r="G60" s="2284">
        <v>14.94</v>
      </c>
      <c r="H60" s="2284">
        <v>15.12</v>
      </c>
      <c r="I60" s="2284">
        <v>0</v>
      </c>
      <c r="J60" s="2284">
        <v>0</v>
      </c>
    </row>
    <row r="61" spans="2:26">
      <c r="B61" s="2284"/>
      <c r="C61" s="2285">
        <v>34881</v>
      </c>
      <c r="D61" s="2284">
        <v>10.08</v>
      </c>
      <c r="E61" s="2284">
        <v>12.06</v>
      </c>
      <c r="F61" s="2284">
        <v>13.5</v>
      </c>
      <c r="G61" s="2284">
        <v>15.12</v>
      </c>
      <c r="H61" s="2284">
        <v>15.3</v>
      </c>
      <c r="I61" s="2284">
        <v>0</v>
      </c>
      <c r="J61" s="2284">
        <v>0</v>
      </c>
    </row>
    <row r="62" spans="2:26">
      <c r="B62" s="2284"/>
      <c r="C62" s="2285">
        <v>34700</v>
      </c>
      <c r="D62" s="2284">
        <v>9</v>
      </c>
      <c r="E62" s="2284">
        <v>10.98</v>
      </c>
      <c r="F62" s="2284">
        <v>12.96</v>
      </c>
      <c r="G62" s="2284">
        <v>14.58</v>
      </c>
      <c r="H62" s="2284">
        <v>14.76</v>
      </c>
      <c r="I62" s="2284">
        <v>0</v>
      </c>
      <c r="J62" s="2284">
        <v>0</v>
      </c>
    </row>
    <row r="63" spans="2:26">
      <c r="B63" s="2284"/>
      <c r="C63" s="2285">
        <v>34161</v>
      </c>
      <c r="D63" s="2284">
        <v>9</v>
      </c>
      <c r="E63" s="2284">
        <v>10.98</v>
      </c>
      <c r="F63" s="2284">
        <v>12.24</v>
      </c>
      <c r="G63" s="2284">
        <v>13.86</v>
      </c>
      <c r="H63" s="2284">
        <v>14.04</v>
      </c>
      <c r="I63" s="2284">
        <v>0</v>
      </c>
      <c r="J63" s="2284">
        <v>0</v>
      </c>
    </row>
    <row r="64" spans="2:26">
      <c r="B64" s="2284"/>
      <c r="C64" s="2285">
        <v>34104</v>
      </c>
      <c r="D64" s="2284">
        <v>8.82</v>
      </c>
      <c r="E64" s="2284">
        <v>9.36</v>
      </c>
      <c r="F64" s="2284">
        <v>10.8</v>
      </c>
      <c r="G64" s="2284">
        <v>12.06</v>
      </c>
      <c r="H64" s="2284">
        <v>12.24</v>
      </c>
      <c r="I64" s="2284">
        <v>0</v>
      </c>
      <c r="J64" s="2284">
        <v>0</v>
      </c>
    </row>
    <row r="65" spans="2:10">
      <c r="B65" s="2284"/>
      <c r="C65" s="2285">
        <v>33349</v>
      </c>
      <c r="D65" s="2284">
        <v>8.1</v>
      </c>
      <c r="E65" s="2284">
        <v>8.64</v>
      </c>
      <c r="F65" s="2284">
        <v>9</v>
      </c>
      <c r="G65" s="2284">
        <v>9.5399999999999991</v>
      </c>
      <c r="H65" s="2284">
        <v>9.7200000000000006</v>
      </c>
      <c r="I65" s="2284">
        <v>0</v>
      </c>
      <c r="J65" s="2284">
        <v>0</v>
      </c>
    </row>
    <row r="66" spans="2:10">
      <c r="B66" s="2284"/>
      <c r="C66" s="2285">
        <v>33318</v>
      </c>
      <c r="D66" s="2284">
        <v>9</v>
      </c>
      <c r="E66" s="2284">
        <v>10.08</v>
      </c>
      <c r="F66" s="2284">
        <v>10.8</v>
      </c>
      <c r="G66" s="2284">
        <v>11.52</v>
      </c>
      <c r="H66" s="2284">
        <v>11.88</v>
      </c>
      <c r="I66" s="2284" t="s">
        <v>2095</v>
      </c>
      <c r="J66" s="2284" t="s">
        <v>2095</v>
      </c>
    </row>
    <row r="67" spans="2:10">
      <c r="B67" s="2284"/>
      <c r="C67" s="2285">
        <v>33106</v>
      </c>
      <c r="D67" s="2284">
        <v>8.64</v>
      </c>
      <c r="E67" s="2284">
        <v>9.36</v>
      </c>
      <c r="F67" s="2284">
        <v>10.08</v>
      </c>
      <c r="G67" s="2284">
        <v>10.8</v>
      </c>
      <c r="H67" s="2284">
        <v>11.16</v>
      </c>
      <c r="I67" s="2284">
        <v>0</v>
      </c>
      <c r="J67" s="2284">
        <v>0</v>
      </c>
    </row>
    <row r="68" spans="2:10">
      <c r="B68" s="2284"/>
      <c r="C68" s="2285">
        <v>32540</v>
      </c>
      <c r="D68" s="2284">
        <v>11.34</v>
      </c>
      <c r="E68" s="2284">
        <v>11.34</v>
      </c>
      <c r="F68" s="2284">
        <v>12.78</v>
      </c>
      <c r="G68" s="2284">
        <v>14.4</v>
      </c>
      <c r="H68" s="2284">
        <v>19.260000000000002</v>
      </c>
      <c r="I68" s="2284">
        <v>0</v>
      </c>
      <c r="J68" s="2284">
        <v>0</v>
      </c>
    </row>
    <row r="69" spans="2:10">
      <c r="B69" s="2284"/>
      <c r="C69" s="2285"/>
      <c r="D69" s="2284"/>
      <c r="E69" s="2284"/>
      <c r="F69" s="2284"/>
      <c r="G69" s="2284"/>
      <c r="H69" s="2284"/>
      <c r="I69" s="2284"/>
      <c r="J69" s="2284"/>
    </row>
    <row r="70" spans="2:10">
      <c r="B70" s="2287"/>
      <c r="C70" s="2288"/>
      <c r="D70" s="2287"/>
      <c r="E70" s="2287"/>
      <c r="F70" s="2287"/>
      <c r="G70" s="2287"/>
      <c r="H70" s="2287"/>
      <c r="I70" s="2287"/>
      <c r="J70" s="2287"/>
    </row>
    <row r="71" spans="2:10">
      <c r="B71" s="2287"/>
      <c r="C71" s="2288"/>
      <c r="D71" s="2287"/>
      <c r="E71" s="2287"/>
      <c r="F71" s="2287"/>
      <c r="G71" s="2287"/>
      <c r="H71" s="2287"/>
      <c r="I71" s="2287"/>
      <c r="J71" s="2287"/>
    </row>
    <row r="72" spans="2:10">
      <c r="B72" s="2287"/>
      <c r="C72" s="2288"/>
      <c r="D72" s="2287"/>
      <c r="E72" s="2287"/>
      <c r="F72" s="2287"/>
      <c r="G72" s="2287"/>
      <c r="H72" s="2287"/>
      <c r="I72" s="2287"/>
      <c r="J72" s="2287"/>
    </row>
    <row r="73" spans="2:10">
      <c r="B73" s="2237"/>
      <c r="C73" s="2237"/>
      <c r="D73" s="2237"/>
      <c r="E73" s="2237"/>
      <c r="F73" s="2237"/>
      <c r="G73" s="2237"/>
      <c r="H73" s="2237"/>
      <c r="I73" s="2237"/>
      <c r="J73" s="2237"/>
    </row>
    <row r="74" spans="2:10">
      <c r="B74" s="2237"/>
      <c r="C74" s="2237"/>
      <c r="D74" s="2237"/>
      <c r="E74" s="2237"/>
      <c r="F74" s="2237"/>
      <c r="G74" s="2237"/>
      <c r="H74" s="2237"/>
      <c r="I74" s="2237"/>
      <c r="J74" s="2237"/>
    </row>
  </sheetData>
  <sheetProtection password="CEE9" sheet="1" objects="1" scenarios="1"/>
  <phoneticPr fontId="224"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8">
    <tabColor rgb="FF92D050"/>
    <pageSetUpPr fitToPage="1"/>
  </sheetPr>
  <dimension ref="A1:AO211"/>
  <sheetViews>
    <sheetView view="pageBreakPreview" zoomScale="90" zoomScaleNormal="80" zoomScaleSheetLayoutView="90" workbookViewId="0">
      <selection activeCell="F22" sqref="F22"/>
    </sheetView>
  </sheetViews>
  <sheetFormatPr defaultColWidth="6.625" defaultRowHeight="12.75"/>
  <cols>
    <col min="1" max="1" width="10.125" style="1732" customWidth="1"/>
    <col min="2" max="2" width="25.75" style="1722" customWidth="1"/>
    <col min="3" max="3" width="11.5" style="1733" customWidth="1"/>
    <col min="4" max="4" width="12" style="1722" customWidth="1"/>
    <col min="5" max="5" width="9.5" style="1732" customWidth="1"/>
    <col min="6" max="6" width="10.125" style="1722" customWidth="1"/>
    <col min="7" max="7" width="9.5" style="1722" customWidth="1"/>
    <col min="8" max="8" width="10" style="1722" customWidth="1"/>
    <col min="9" max="11" width="9.5" style="1722" customWidth="1"/>
    <col min="12" max="12" width="9" style="1723" customWidth="1"/>
    <col min="13" max="13" width="10.5" style="1723" bestFit="1" customWidth="1"/>
    <col min="14" max="26" width="9" style="1723" customWidth="1"/>
    <col min="27" max="254" width="9" style="1722" customWidth="1"/>
    <col min="255" max="16384" width="6.625" style="1722"/>
  </cols>
  <sheetData>
    <row r="1" spans="1:41" s="1654" customFormat="1" ht="20.25">
      <c r="A1" s="391" t="s">
        <v>426</v>
      </c>
      <c r="B1" s="2119" t="s">
        <v>905</v>
      </c>
      <c r="C1" s="1712"/>
      <c r="D1" s="1712"/>
      <c r="E1" s="1712"/>
      <c r="F1" s="1712"/>
      <c r="G1" s="1712"/>
      <c r="H1" s="1712"/>
      <c r="I1" s="1712"/>
      <c r="J1" s="1712"/>
      <c r="K1" s="392">
        <f>MATCH(B1,'数据-取费表'!A6:A16,0)+5</f>
        <v>6</v>
      </c>
      <c r="L1" s="237"/>
      <c r="M1" s="237"/>
      <c r="N1" s="237"/>
      <c r="O1" s="237"/>
      <c r="P1" s="237"/>
      <c r="Q1" s="237"/>
      <c r="R1" s="237"/>
      <c r="S1" s="237"/>
      <c r="T1" s="237"/>
      <c r="U1" s="237"/>
      <c r="V1" s="237"/>
      <c r="W1" s="237"/>
      <c r="X1" s="237"/>
      <c r="Y1" s="237"/>
      <c r="Z1" s="237"/>
    </row>
    <row r="2" spans="1:41" s="1654" customFormat="1" ht="18" customHeight="1">
      <c r="A2" s="393" t="s">
        <v>427</v>
      </c>
      <c r="B2" s="394">
        <f ca="1">C27</f>
        <v>14252</v>
      </c>
      <c r="C2" s="1712"/>
      <c r="D2" s="1712"/>
      <c r="E2" s="1712"/>
      <c r="F2" s="1712"/>
      <c r="G2" s="1712"/>
      <c r="H2" s="1712"/>
      <c r="I2" s="1712"/>
      <c r="J2" s="1712"/>
      <c r="K2" s="1712"/>
      <c r="L2" s="237"/>
      <c r="M2" s="237"/>
      <c r="N2" s="237"/>
      <c r="O2" s="237"/>
      <c r="P2" s="237"/>
      <c r="Q2" s="237"/>
      <c r="R2" s="237"/>
      <c r="S2" s="237"/>
      <c r="T2" s="237"/>
      <c r="U2" s="237"/>
      <c r="V2" s="237"/>
      <c r="W2" s="237"/>
      <c r="X2" s="237"/>
      <c r="Y2" s="237"/>
      <c r="Z2" s="237"/>
    </row>
    <row r="3" spans="1:41" s="1654" customFormat="1" ht="18" customHeight="1">
      <c r="A3" s="1170" t="s">
        <v>1217</v>
      </c>
      <c r="B3" s="395">
        <f ca="1">ROUND(B2*10000/IF(B1="",'数据-汇总表'!E3,INDIRECT("'数据-取费表'!K"&amp;$K$1)),0)</f>
        <v>1718</v>
      </c>
      <c r="C3" s="1712"/>
      <c r="D3" s="1712"/>
      <c r="E3" s="1712"/>
      <c r="F3" s="1712"/>
      <c r="G3" s="1712"/>
      <c r="H3" s="1712"/>
      <c r="I3" s="1712"/>
      <c r="J3" s="1712"/>
      <c r="K3" s="1712"/>
      <c r="L3" s="237"/>
      <c r="M3" s="237"/>
      <c r="N3" s="237"/>
      <c r="O3" s="237"/>
      <c r="P3" s="237"/>
      <c r="Q3" s="237"/>
      <c r="R3" s="237"/>
      <c r="S3" s="237"/>
      <c r="T3" s="237"/>
      <c r="U3" s="237"/>
      <c r="V3" s="237"/>
      <c r="W3" s="237"/>
      <c r="X3" s="237"/>
      <c r="Y3" s="237"/>
      <c r="Z3" s="237"/>
    </row>
    <row r="4" spans="1:41" s="1654" customFormat="1" ht="18" customHeight="1">
      <c r="A4" s="396" t="s">
        <v>428</v>
      </c>
      <c r="B4" s="397">
        <f ca="1">ROUND(B2*10000/IF(B1="",'数据-汇总表'!D3,INDIRECT("'数据-取费表'!R"&amp;$K$1)),0)</f>
        <v>1718</v>
      </c>
      <c r="C4" s="1674"/>
      <c r="D4" s="1712"/>
      <c r="E4" s="1712"/>
      <c r="F4" s="1712"/>
      <c r="G4" s="1712"/>
      <c r="H4" s="1712"/>
      <c r="I4" s="1712"/>
      <c r="J4" s="1712"/>
      <c r="K4" s="1712"/>
      <c r="L4" s="237"/>
      <c r="M4" s="237"/>
      <c r="N4" s="237"/>
      <c r="O4" s="237"/>
      <c r="P4" s="237"/>
      <c r="Q4" s="237"/>
      <c r="R4" s="237"/>
      <c r="S4" s="237"/>
      <c r="T4" s="237"/>
      <c r="U4" s="237"/>
      <c r="V4" s="237"/>
      <c r="W4" s="237"/>
      <c r="X4" s="237"/>
      <c r="Y4" s="237"/>
      <c r="Z4" s="237"/>
    </row>
    <row r="5" spans="1:41" s="1654" customFormat="1" ht="18" customHeight="1" thickBot="1">
      <c r="A5" s="399"/>
      <c r="B5" s="400">
        <f ca="1">ROUND(B2/(IF(B1="",'数据-汇总表'!D3,INDIRECT("'数据-取费表'!R"&amp;$K$1))/666.67),0)</f>
        <v>115</v>
      </c>
      <c r="C5" s="401" t="s">
        <v>429</v>
      </c>
      <c r="D5" s="1712"/>
      <c r="E5" s="1712"/>
      <c r="F5" s="1712"/>
      <c r="G5" s="1712"/>
      <c r="H5" s="1712"/>
      <c r="I5" s="1712"/>
      <c r="J5" s="1712"/>
      <c r="K5" s="1712"/>
      <c r="L5" s="237"/>
      <c r="M5" s="237"/>
      <c r="N5" s="237"/>
      <c r="O5" s="237"/>
      <c r="P5" s="237"/>
      <c r="Q5" s="237"/>
      <c r="R5" s="237"/>
      <c r="S5" s="237"/>
      <c r="T5" s="237"/>
      <c r="U5" s="237"/>
      <c r="V5" s="237"/>
      <c r="W5" s="237"/>
      <c r="X5" s="237"/>
      <c r="Y5" s="237"/>
      <c r="Z5" s="237"/>
    </row>
    <row r="6" spans="1:41" s="1719" customFormat="1" ht="16.5" customHeight="1">
      <c r="A6" s="402" t="s">
        <v>1934</v>
      </c>
      <c r="B6" s="403"/>
      <c r="C6" s="1345">
        <f ca="1">SUM(C10:K10)</f>
        <v>39551</v>
      </c>
      <c r="D6" s="1717"/>
      <c r="E6" s="1717"/>
      <c r="F6" s="1717"/>
      <c r="G6" s="1717"/>
      <c r="H6" s="1717"/>
      <c r="I6" s="1717"/>
      <c r="J6" s="1717"/>
      <c r="K6" s="1718"/>
      <c r="L6" s="2704"/>
      <c r="M6" s="2704"/>
      <c r="N6" s="2704"/>
      <c r="O6" s="2704"/>
      <c r="P6" s="2704"/>
      <c r="Q6" s="2704"/>
      <c r="R6" s="2704"/>
      <c r="S6" s="2704"/>
      <c r="T6" s="2704"/>
      <c r="U6" s="2704"/>
      <c r="V6" s="2704"/>
      <c r="W6" s="2704"/>
      <c r="X6" s="2704"/>
      <c r="Y6" s="2704"/>
      <c r="Z6" s="2704"/>
    </row>
    <row r="7" spans="1:41" s="1721" customFormat="1" ht="15">
      <c r="A7" s="404" t="s">
        <v>430</v>
      </c>
      <c r="B7" s="405" t="s">
        <v>431</v>
      </c>
      <c r="C7" s="2814" t="s">
        <v>905</v>
      </c>
      <c r="D7" s="406"/>
      <c r="E7" s="406"/>
      <c r="F7" s="406"/>
      <c r="G7" s="406"/>
      <c r="H7" s="406"/>
      <c r="I7" s="406"/>
      <c r="J7" s="406"/>
      <c r="K7" s="407"/>
      <c r="AA7" s="1720"/>
      <c r="AB7" s="1720"/>
      <c r="AC7" s="1720"/>
      <c r="AD7" s="1720"/>
      <c r="AE7" s="1720"/>
      <c r="AF7" s="1720"/>
      <c r="AG7" s="1720"/>
      <c r="AH7" s="1720"/>
      <c r="AI7" s="1720"/>
      <c r="AJ7" s="1720"/>
      <c r="AK7" s="1720"/>
      <c r="AL7" s="1720"/>
      <c r="AM7" s="1720"/>
      <c r="AN7" s="1720"/>
      <c r="AO7" s="1720"/>
    </row>
    <row r="8" spans="1:41" s="1723" customFormat="1" ht="13.5" customHeight="1">
      <c r="A8" s="1353" t="s">
        <v>1374</v>
      </c>
      <c r="B8" s="408" t="s">
        <v>432</v>
      </c>
      <c r="C8" s="2140">
        <f ca="1">不动产收益法!B3</f>
        <v>4768</v>
      </c>
      <c r="D8" s="409"/>
      <c r="E8" s="409"/>
      <c r="F8" s="409"/>
      <c r="G8" s="409"/>
      <c r="H8" s="409"/>
      <c r="I8" s="409"/>
      <c r="J8" s="409"/>
      <c r="K8" s="410"/>
      <c r="AA8" s="1722"/>
      <c r="AB8" s="1722"/>
      <c r="AC8" s="1722"/>
      <c r="AD8" s="1722"/>
      <c r="AE8" s="1722"/>
      <c r="AF8" s="1722"/>
      <c r="AG8" s="1722"/>
      <c r="AH8" s="1722"/>
      <c r="AI8" s="1722"/>
      <c r="AJ8" s="1722"/>
      <c r="AK8" s="1722"/>
      <c r="AL8" s="1722"/>
      <c r="AM8" s="1722"/>
      <c r="AN8" s="1722"/>
      <c r="AO8" s="1722"/>
    </row>
    <row r="9" spans="1:41" s="1723" customFormat="1" ht="13.5" customHeight="1">
      <c r="A9" s="1353" t="s">
        <v>1375</v>
      </c>
      <c r="B9" s="408" t="s">
        <v>433</v>
      </c>
      <c r="C9" s="411">
        <f>SUMIF('数据-汇总表'!$C19:$C33,'剩余法-现房'!C7,'数据-汇总表'!$E19:$E33)</f>
        <v>82949.97</v>
      </c>
      <c r="D9" s="411">
        <f>SUMIF('数据-汇总表'!$C19:$C33,'剩余法-现房'!D7,'数据-汇总表'!$E19:$E33)</f>
        <v>0</v>
      </c>
      <c r="E9" s="411">
        <f>SUMIF('数据-汇总表'!$C19:$C33,'剩余法-现房'!E7,'数据-汇总表'!$E19:$E33)</f>
        <v>0</v>
      </c>
      <c r="F9" s="411">
        <f>SUMIF('数据-汇总表'!$C19:$C33,'剩余法-现房'!F7,'数据-汇总表'!$E19:$E33)</f>
        <v>0</v>
      </c>
      <c r="G9" s="411">
        <f>SUMIF('数据-汇总表'!$C19:$C33,'剩余法-现房'!G7,'数据-汇总表'!$E19:$E33)</f>
        <v>0</v>
      </c>
      <c r="H9" s="411">
        <f>SUMIF('数据-汇总表'!$C19:$C33,'剩余法-现房'!H7,'数据-汇总表'!$E19:$E33)</f>
        <v>0</v>
      </c>
      <c r="I9" s="411">
        <f>SUMIF('数据-汇总表'!$C19:$C33,'剩余法-现房'!I7,'数据-汇总表'!$E19:$E33)</f>
        <v>0</v>
      </c>
      <c r="J9" s="411">
        <f>SUMIF('数据-汇总表'!$C19:$C33,'剩余法-现房'!J7,'数据-汇总表'!$E19:$E33)</f>
        <v>0</v>
      </c>
      <c r="K9" s="412">
        <f>SUMIF('数据-汇总表'!$C19:$C33,'剩余法-现房'!K7,'数据-汇总表'!$E19:$E33)</f>
        <v>0</v>
      </c>
      <c r="AA9" s="1722"/>
      <c r="AB9" s="1722"/>
      <c r="AC9" s="1722"/>
      <c r="AD9" s="1722"/>
      <c r="AE9" s="1722"/>
      <c r="AF9" s="1722"/>
      <c r="AG9" s="1722"/>
      <c r="AH9" s="1722"/>
      <c r="AI9" s="1722"/>
      <c r="AJ9" s="1722"/>
      <c r="AK9" s="1722"/>
      <c r="AL9" s="1722"/>
      <c r="AM9" s="1722"/>
      <c r="AN9" s="1722"/>
      <c r="AO9" s="1722"/>
    </row>
    <row r="10" spans="1:41" s="1723" customFormat="1" ht="13.5" customHeight="1" thickBot="1">
      <c r="A10" s="1354" t="s">
        <v>1376</v>
      </c>
      <c r="B10" s="1346" t="s">
        <v>434</v>
      </c>
      <c r="C10" s="2315">
        <f ca="1">ROUND(C8*C9/10000,)</f>
        <v>39551</v>
      </c>
      <c r="D10" s="1347"/>
      <c r="E10" s="1347"/>
      <c r="F10" s="1348"/>
      <c r="G10" s="1348"/>
      <c r="H10" s="1348"/>
      <c r="I10" s="1348"/>
      <c r="J10" s="1348"/>
      <c r="K10" s="1349"/>
      <c r="AA10" s="1722"/>
      <c r="AB10" s="1722"/>
      <c r="AC10" s="1722"/>
      <c r="AD10" s="1722"/>
      <c r="AE10" s="1722"/>
      <c r="AF10" s="1722"/>
      <c r="AG10" s="1722"/>
      <c r="AH10" s="1722"/>
      <c r="AI10" s="1722"/>
      <c r="AJ10" s="1722"/>
      <c r="AK10" s="1722"/>
      <c r="AL10" s="1722"/>
      <c r="AM10" s="1722"/>
      <c r="AN10" s="1722"/>
      <c r="AO10" s="1722"/>
    </row>
    <row r="11" spans="1:41" s="1719" customFormat="1" ht="16.5" customHeight="1">
      <c r="A11" s="1342" t="s">
        <v>1393</v>
      </c>
      <c r="B11" s="1343"/>
      <c r="C11" s="1343"/>
      <c r="D11" s="1343"/>
      <c r="E11" s="1343"/>
      <c r="F11" s="1343"/>
      <c r="G11" s="1343"/>
      <c r="H11" s="1343"/>
      <c r="I11" s="1343"/>
      <c r="J11" s="1343"/>
      <c r="K11" s="1344"/>
      <c r="L11" s="2704"/>
      <c r="M11" s="2704"/>
      <c r="N11" s="2704"/>
      <c r="O11" s="2704"/>
      <c r="P11" s="2704"/>
      <c r="Q11" s="2704"/>
      <c r="R11" s="2704"/>
      <c r="S11" s="2704"/>
      <c r="T11" s="2704"/>
      <c r="U11" s="2704"/>
      <c r="V11" s="2704"/>
      <c r="W11" s="2704"/>
      <c r="X11" s="2704"/>
      <c r="Y11" s="2704"/>
      <c r="Z11" s="2704"/>
    </row>
    <row r="12" spans="1:41" s="1695" customFormat="1" ht="13.5" customHeight="1">
      <c r="A12" s="404" t="s">
        <v>430</v>
      </c>
      <c r="B12" s="413" t="s">
        <v>431</v>
      </c>
      <c r="C12" s="414" t="s">
        <v>435</v>
      </c>
      <c r="D12" s="415" t="s">
        <v>436</v>
      </c>
      <c r="E12" s="415" t="s">
        <v>437</v>
      </c>
      <c r="F12" s="415" t="s">
        <v>438</v>
      </c>
      <c r="G12" s="413"/>
      <c r="H12" s="416"/>
      <c r="I12" s="416"/>
      <c r="J12" s="416"/>
      <c r="K12" s="417"/>
      <c r="L12" s="2705"/>
      <c r="M12" s="2705"/>
      <c r="N12" s="2705"/>
      <c r="O12" s="2705"/>
      <c r="P12" s="2705"/>
      <c r="Q12" s="2705"/>
      <c r="R12" s="2705"/>
      <c r="S12" s="2705"/>
      <c r="T12" s="2705"/>
      <c r="U12" s="2705"/>
      <c r="V12" s="2705"/>
      <c r="W12" s="2705"/>
      <c r="X12" s="2705"/>
      <c r="Y12" s="2705"/>
      <c r="Z12" s="2705"/>
    </row>
    <row r="13" spans="1:41" s="1724" customFormat="1" ht="13.5" customHeight="1">
      <c r="A13" s="1355" t="s">
        <v>1377</v>
      </c>
      <c r="B13" s="418" t="s">
        <v>439</v>
      </c>
      <c r="C13" s="419">
        <f ca="1">IF(B1="",'数据-取费表'!M16,INDIRECT("'数据-取费表'!M"&amp;$K$1)+INDIRECT("'数据-取费表'!t"&amp;$K$1))</f>
        <v>20737</v>
      </c>
      <c r="D13" s="420"/>
      <c r="E13" s="339"/>
      <c r="F13" s="421"/>
      <c r="G13" s="413"/>
      <c r="H13" s="416"/>
      <c r="I13" s="416"/>
      <c r="J13" s="416"/>
      <c r="K13" s="417"/>
      <c r="L13" s="1725"/>
      <c r="M13" s="1725"/>
      <c r="N13" s="1725"/>
      <c r="O13" s="1725"/>
      <c r="P13" s="1725"/>
      <c r="Q13" s="1725"/>
      <c r="R13" s="1725"/>
      <c r="S13" s="1725"/>
      <c r="T13" s="1725"/>
      <c r="U13" s="1725"/>
      <c r="V13" s="1725"/>
      <c r="W13" s="1725"/>
      <c r="X13" s="1725"/>
      <c r="Y13" s="1725"/>
      <c r="Z13" s="1725"/>
    </row>
    <row r="14" spans="1:41" s="1724" customFormat="1" ht="13.5" customHeight="1">
      <c r="A14" s="1355" t="s">
        <v>1378</v>
      </c>
      <c r="B14" s="418" t="s">
        <v>440</v>
      </c>
      <c r="C14" s="49">
        <f ca="1">ROUND(C13*F14,0)</f>
        <v>622</v>
      </c>
      <c r="D14" s="420"/>
      <c r="E14" s="339"/>
      <c r="F14" s="425">
        <f>'数据-取费表'!B33</f>
        <v>0.03</v>
      </c>
      <c r="G14" s="413" t="s">
        <v>462</v>
      </c>
      <c r="H14" s="416"/>
      <c r="I14" s="416"/>
      <c r="J14" s="416"/>
      <c r="K14" s="417"/>
      <c r="L14" s="1725"/>
      <c r="M14" s="1725"/>
      <c r="N14" s="1725"/>
      <c r="O14" s="1725"/>
      <c r="P14" s="1725"/>
      <c r="Q14" s="1725"/>
      <c r="R14" s="1725"/>
      <c r="S14" s="1725"/>
      <c r="T14" s="1725"/>
      <c r="U14" s="1725"/>
      <c r="V14" s="1725"/>
      <c r="W14" s="1725"/>
      <c r="X14" s="1725"/>
      <c r="Y14" s="1725"/>
      <c r="Z14" s="1725"/>
    </row>
    <row r="15" spans="1:41" s="1724" customFormat="1" ht="13.5" customHeight="1">
      <c r="A15" s="1355" t="s">
        <v>1379</v>
      </c>
      <c r="B15" s="418" t="s">
        <v>442</v>
      </c>
      <c r="C15" s="49">
        <f ca="1">ROUND(IF(B1="",SUMIF('数据-取费表'!C:C,"住宅",'数据-取费表'!M:M)*F15,IF(INDIRECT("'数据-取费表'!c"&amp;$K$1)="住宅",INDIRECT("'数据-取费表'!M"&amp;$K$1)*F15,0)),0)</f>
        <v>0</v>
      </c>
      <c r="D15" s="420"/>
      <c r="E15" s="339"/>
      <c r="F15" s="425">
        <f>'数据-取费表'!B34</f>
        <v>0</v>
      </c>
      <c r="G15" s="413" t="s">
        <v>462</v>
      </c>
      <c r="H15" s="416"/>
      <c r="I15" s="416"/>
      <c r="J15" s="416"/>
      <c r="K15" s="417"/>
      <c r="L15" s="1725"/>
      <c r="M15" s="1725"/>
      <c r="N15" s="1725"/>
      <c r="O15" s="1725"/>
      <c r="P15" s="1725"/>
      <c r="Q15" s="1725"/>
      <c r="R15" s="1725"/>
      <c r="S15" s="1725"/>
      <c r="T15" s="1725"/>
      <c r="U15" s="1725"/>
      <c r="V15" s="1725"/>
      <c r="W15" s="1725"/>
      <c r="X15" s="1725"/>
      <c r="Y15" s="1725"/>
      <c r="Z15" s="1725"/>
    </row>
    <row r="16" spans="1:41" s="1725" customFormat="1" ht="13.5" customHeight="1">
      <c r="A16" s="1355" t="s">
        <v>1380</v>
      </c>
      <c r="B16" s="418" t="s">
        <v>444</v>
      </c>
      <c r="C16" s="49">
        <f ca="1">ROUND(D16*E16/10000,0)</f>
        <v>1659</v>
      </c>
      <c r="D16" s="420">
        <f ca="1">IF(B1="",'数据-汇总表'!E3,INDIRECT("'数据-取费表'!K"&amp;$K$1)+INDIRECT("'数据-取费表'!S"&amp;$K$1))</f>
        <v>82949.97</v>
      </c>
      <c r="E16" s="49">
        <f>'数据-取费表'!B35</f>
        <v>200</v>
      </c>
      <c r="F16" s="422"/>
      <c r="G16" s="413"/>
      <c r="H16" s="416"/>
      <c r="I16" s="416"/>
      <c r="J16" s="416"/>
      <c r="K16" s="417"/>
      <c r="AA16" s="1724"/>
      <c r="AB16" s="1724"/>
      <c r="AC16" s="1724"/>
      <c r="AD16" s="1724"/>
      <c r="AE16" s="1724"/>
      <c r="AF16" s="1724"/>
      <c r="AG16" s="1724"/>
      <c r="AH16" s="1724"/>
      <c r="AI16" s="1724"/>
      <c r="AJ16" s="1724"/>
      <c r="AK16" s="1724"/>
      <c r="AL16" s="1724"/>
      <c r="AM16" s="1724"/>
      <c r="AN16" s="1724"/>
      <c r="AO16" s="1724"/>
    </row>
    <row r="17" spans="1:26" s="1724" customFormat="1" ht="13.5" customHeight="1">
      <c r="A17" s="1355" t="s">
        <v>1381</v>
      </c>
      <c r="B17" s="418" t="s">
        <v>445</v>
      </c>
      <c r="C17" s="423">
        <f ca="1">ROUND(C13*F17,0)</f>
        <v>415</v>
      </c>
      <c r="D17" s="424"/>
      <c r="E17" s="423"/>
      <c r="F17" s="425">
        <f>'数据-取费表'!B36</f>
        <v>0.02</v>
      </c>
      <c r="G17" s="413" t="s">
        <v>462</v>
      </c>
      <c r="H17" s="426"/>
      <c r="I17" s="426"/>
      <c r="J17" s="426"/>
      <c r="K17" s="427"/>
      <c r="L17" s="1725"/>
      <c r="M17" s="1725"/>
      <c r="N17" s="1725"/>
      <c r="O17" s="1725"/>
      <c r="P17" s="1725"/>
      <c r="Q17" s="1725"/>
      <c r="R17" s="1725"/>
      <c r="S17" s="1725"/>
      <c r="T17" s="1725"/>
      <c r="U17" s="1725"/>
      <c r="V17" s="1725"/>
      <c r="W17" s="1725"/>
      <c r="X17" s="1725"/>
      <c r="Y17" s="1725"/>
      <c r="Z17" s="1725"/>
    </row>
    <row r="18" spans="1:26" s="1727" customFormat="1" ht="13.5" customHeight="1">
      <c r="A18" s="1356" t="s">
        <v>1382</v>
      </c>
      <c r="B18" s="428" t="s">
        <v>447</v>
      </c>
      <c r="C18" s="429">
        <f ca="1">SUM(C13:C17)</f>
        <v>23433</v>
      </c>
      <c r="D18" s="430"/>
      <c r="E18" s="431"/>
      <c r="F18" s="431"/>
      <c r="G18" s="1130" t="s">
        <v>1783</v>
      </c>
      <c r="H18" s="416"/>
      <c r="I18" s="416"/>
      <c r="J18" s="416"/>
      <c r="K18" s="417"/>
      <c r="L18" s="2707"/>
      <c r="M18" s="2707"/>
      <c r="N18" s="2707"/>
      <c r="O18" s="2707"/>
      <c r="P18" s="2707"/>
      <c r="Q18" s="2707"/>
      <c r="R18" s="2707"/>
      <c r="S18" s="2707"/>
      <c r="T18" s="2707"/>
      <c r="U18" s="2707"/>
      <c r="V18" s="2707"/>
      <c r="W18" s="2707"/>
      <c r="X18" s="2707"/>
      <c r="Y18" s="2707"/>
      <c r="Z18" s="2707"/>
    </row>
    <row r="19" spans="1:26" s="1727" customFormat="1" ht="13.5" customHeight="1">
      <c r="A19" s="1356" t="s">
        <v>1383</v>
      </c>
      <c r="B19" s="428" t="s">
        <v>453</v>
      </c>
      <c r="C19" s="429">
        <f ca="1">ROUND(C18*F19,0)</f>
        <v>469</v>
      </c>
      <c r="D19" s="430"/>
      <c r="E19" s="431"/>
      <c r="F19" s="435">
        <f>'数据-取费表'!B37</f>
        <v>0.02</v>
      </c>
      <c r="G19" s="413" t="s">
        <v>463</v>
      </c>
      <c r="H19" s="416"/>
      <c r="I19" s="416"/>
      <c r="J19" s="416"/>
      <c r="K19" s="417"/>
      <c r="L19" s="2709"/>
      <c r="M19" s="2709"/>
      <c r="N19" s="2709"/>
      <c r="O19" s="2707"/>
      <c r="P19" s="2707"/>
      <c r="Q19" s="2707"/>
      <c r="R19" s="2707"/>
      <c r="S19" s="2707"/>
      <c r="T19" s="2707"/>
      <c r="U19" s="2707"/>
      <c r="V19" s="2707"/>
      <c r="W19" s="2707"/>
      <c r="X19" s="2707"/>
      <c r="Y19" s="2707"/>
      <c r="Z19" s="2707"/>
    </row>
    <row r="20" spans="1:26" s="1729" customFormat="1" ht="13.5" customHeight="1">
      <c r="A20" s="1356" t="s">
        <v>1384</v>
      </c>
      <c r="B20" s="430" t="s">
        <v>454</v>
      </c>
      <c r="C20" s="439">
        <f ca="1">ROUND(IF('数据-取费表'!B22&lt;=1,(C18+C19)*F20*'数据-取费表'!B20/2,(C18+C19)*(POWER((1+F20),'数据-取费表'!B20/2)-1)),0)</f>
        <v>409</v>
      </c>
      <c r="D20" s="431">
        <f ca="1">ROUND(((1+F20)^'数据-取费表'!B20)-1,4)</f>
        <v>3.4500000000000003E-2</v>
      </c>
      <c r="E20" s="431"/>
      <c r="F20" s="440">
        <f ca="1">'数据-取费表'!B40</f>
        <v>3.4500000000000003E-2</v>
      </c>
      <c r="G20" s="1130" t="str">
        <f>IF('数据-取费表'!B22&lt;=1,"单利计息。","复利计息。")&amp;"建造成本、管理费用产生的利息 / 地价及税费产生的利息。"</f>
        <v>复利计息。建造成本、管理费用产生的利息 / 地价及税费产生的利息。</v>
      </c>
      <c r="H20" s="416"/>
      <c r="I20" s="416"/>
      <c r="J20" s="416"/>
      <c r="K20" s="417"/>
      <c r="L20" s="2715" t="s">
        <v>1800</v>
      </c>
      <c r="M20" s="2716"/>
      <c r="N20" s="2716"/>
      <c r="O20" s="2716"/>
      <c r="P20" s="2716"/>
      <c r="Q20" s="2709"/>
      <c r="R20" s="2709"/>
      <c r="S20" s="2709"/>
      <c r="T20" s="2709"/>
      <c r="U20" s="2709"/>
      <c r="V20" s="2709"/>
      <c r="W20" s="2709"/>
      <c r="X20" s="2709"/>
      <c r="Y20" s="2709"/>
      <c r="Z20" s="2709"/>
    </row>
    <row r="21" spans="1:26" s="1728" customFormat="1" ht="13.5" customHeight="1">
      <c r="A21" s="1356" t="s">
        <v>2299</v>
      </c>
      <c r="B21" s="2316" t="s">
        <v>2107</v>
      </c>
      <c r="C21" s="447">
        <f ca="1">ROUND((C18+C19)*F21,0)</f>
        <v>2390</v>
      </c>
      <c r="D21" s="2786"/>
      <c r="E21" s="431"/>
      <c r="F21" s="448">
        <f ca="1">IF(B1="",'数据-取费表'!Q16,INDIRECT("'数据-取费表'!q"&amp;$K$1))</f>
        <v>0.1</v>
      </c>
      <c r="G21" s="413"/>
      <c r="H21" s="416"/>
      <c r="I21" s="416"/>
      <c r="J21" s="416"/>
      <c r="K21" s="417"/>
      <c r="L21" s="2708"/>
      <c r="M21" s="2708"/>
      <c r="N21" s="2708"/>
      <c r="O21" s="2708"/>
      <c r="P21" s="2708"/>
      <c r="Q21" s="2708"/>
      <c r="R21" s="2708"/>
      <c r="S21" s="2708"/>
      <c r="T21" s="2708"/>
      <c r="U21" s="2708"/>
      <c r="V21" s="2708"/>
      <c r="W21" s="2708"/>
      <c r="X21" s="2708"/>
      <c r="Y21" s="2708"/>
      <c r="Z21" s="2708"/>
    </row>
    <row r="22" spans="1:26" s="1729" customFormat="1" ht="13.5" customHeight="1">
      <c r="A22" s="1356" t="s">
        <v>1388</v>
      </c>
      <c r="B22" s="445" t="s">
        <v>464</v>
      </c>
      <c r="C22" s="450"/>
      <c r="D22" s="450"/>
      <c r="E22" s="451"/>
      <c r="F22" s="2788">
        <f ca="1">IF(B1="",'数据-取费表'!N16,INDIRECT("'数据-取费表'!N"&amp;$K$1))</f>
        <v>0.75</v>
      </c>
      <c r="G22" s="413"/>
      <c r="H22" s="416"/>
      <c r="I22" s="416"/>
      <c r="J22" s="416"/>
      <c r="K22" s="417"/>
      <c r="L22" s="2709"/>
      <c r="M22" s="2709"/>
      <c r="N22" s="2709"/>
      <c r="O22" s="2709"/>
      <c r="P22" s="2709"/>
      <c r="Q22" s="2709"/>
      <c r="R22" s="2709"/>
      <c r="S22" s="2709"/>
      <c r="T22" s="2709"/>
      <c r="U22" s="2709"/>
      <c r="V22" s="2709"/>
      <c r="W22" s="2709"/>
      <c r="X22" s="2709"/>
      <c r="Y22" s="2709"/>
      <c r="Z22" s="2709"/>
    </row>
    <row r="23" spans="1:26" s="1729" customFormat="1" ht="13.5" customHeight="1" thickBot="1">
      <c r="A23" s="2789" t="s">
        <v>1389</v>
      </c>
      <c r="B23" s="2790" t="s">
        <v>2300</v>
      </c>
      <c r="C23" s="2791">
        <f ca="1">ROUND((C18+C19+C20+C21)*F22,0)</f>
        <v>20026</v>
      </c>
      <c r="D23" s="2792"/>
      <c r="E23" s="2793"/>
      <c r="F23" s="452"/>
      <c r="G23" s="405"/>
      <c r="H23" s="2794"/>
      <c r="I23" s="2794"/>
      <c r="J23" s="2794"/>
      <c r="K23" s="2795"/>
      <c r="L23" s="2709"/>
      <c r="M23" s="2709"/>
      <c r="N23" s="2709"/>
      <c r="O23" s="2709"/>
      <c r="P23" s="2709"/>
      <c r="Q23" s="2709"/>
      <c r="R23" s="2709"/>
      <c r="S23" s="2709"/>
      <c r="T23" s="2709"/>
      <c r="U23" s="2709"/>
      <c r="V23" s="2709"/>
      <c r="W23" s="2709"/>
      <c r="X23" s="2709"/>
      <c r="Y23" s="2709"/>
      <c r="Z23" s="2709"/>
    </row>
    <row r="24" spans="1:26" s="1729" customFormat="1" ht="13.5" customHeight="1" thickBot="1">
      <c r="A24" s="3751" t="s">
        <v>1394</v>
      </c>
      <c r="B24" s="3752"/>
      <c r="C24" s="2796">
        <f ca="1">ROUND(C6*F24/(1+'数据-取费表'!B42),0)</f>
        <v>2072</v>
      </c>
      <c r="D24" s="2797"/>
      <c r="E24" s="2798"/>
      <c r="F24" s="2799">
        <f>'数据-取费表'!B41</f>
        <v>5.5000000000000007E-2</v>
      </c>
      <c r="G24" s="2800"/>
      <c r="H24" s="2800"/>
      <c r="I24" s="2800"/>
      <c r="J24" s="2800"/>
      <c r="K24" s="2801"/>
      <c r="L24" s="2709"/>
      <c r="M24" s="2709"/>
      <c r="N24" s="2709"/>
      <c r="O24" s="2709"/>
      <c r="P24" s="2709"/>
      <c r="Q24" s="2709"/>
      <c r="R24" s="2709"/>
      <c r="S24" s="2709"/>
      <c r="T24" s="2709"/>
      <c r="U24" s="2709"/>
      <c r="V24" s="2709"/>
      <c r="W24" s="2709"/>
      <c r="X24" s="2709"/>
      <c r="Y24" s="2709"/>
      <c r="Z24" s="2709"/>
    </row>
    <row r="25" spans="1:26" s="1729" customFormat="1" ht="13.5" customHeight="1" thickBot="1">
      <c r="A25" s="3751" t="s">
        <v>2297</v>
      </c>
      <c r="B25" s="3752"/>
      <c r="C25" s="2796">
        <f ca="1">ROUND(C6*F25,0)</f>
        <v>791</v>
      </c>
      <c r="D25" s="2797"/>
      <c r="E25" s="2798"/>
      <c r="F25" s="2802">
        <f>'数据-取费表'!B38</f>
        <v>0.02</v>
      </c>
      <c r="G25" s="2803"/>
      <c r="H25" s="2800"/>
      <c r="I25" s="2800"/>
      <c r="J25" s="2800"/>
      <c r="K25" s="2801"/>
      <c r="L25" s="2709"/>
      <c r="M25" s="2709"/>
      <c r="N25" s="2709"/>
      <c r="O25" s="2709"/>
      <c r="P25" s="2709"/>
      <c r="Q25" s="2709"/>
      <c r="R25" s="2709"/>
      <c r="S25" s="2709"/>
      <c r="T25" s="2709"/>
      <c r="U25" s="2709"/>
      <c r="V25" s="2709"/>
      <c r="W25" s="2709"/>
      <c r="X25" s="2709"/>
      <c r="Y25" s="2709"/>
      <c r="Z25" s="2709"/>
    </row>
    <row r="26" spans="1:26" s="1734" customFormat="1" ht="13.5" customHeight="1" thickBot="1">
      <c r="A26" s="3751" t="s">
        <v>2298</v>
      </c>
      <c r="B26" s="3752"/>
      <c r="C26" s="2808"/>
      <c r="D26" s="2809"/>
      <c r="E26" s="2809"/>
      <c r="F26" s="2810">
        <f>'数据-取费表'!B48+'数据-取费表'!B49</f>
        <v>3.0499999999999999E-2</v>
      </c>
      <c r="G26" s="2811"/>
      <c r="H26" s="2811"/>
      <c r="I26" s="2811"/>
      <c r="J26" s="2812"/>
      <c r="K26" s="2813"/>
      <c r="L26" s="2714"/>
      <c r="M26" s="2714"/>
      <c r="N26" s="2714"/>
      <c r="O26" s="2714"/>
      <c r="P26" s="2714"/>
      <c r="Q26" s="2714"/>
      <c r="R26" s="2714"/>
      <c r="S26" s="2714"/>
      <c r="T26" s="2714"/>
      <c r="U26" s="2714"/>
      <c r="V26" s="2714"/>
      <c r="W26" s="2714"/>
      <c r="X26" s="2714"/>
      <c r="Y26" s="2714"/>
      <c r="Z26" s="2714"/>
    </row>
    <row r="27" spans="1:26" s="2787" customFormat="1" ht="13.5" customHeight="1" thickBot="1">
      <c r="A27" s="3753" t="s">
        <v>2296</v>
      </c>
      <c r="B27" s="3754"/>
      <c r="C27" s="2804">
        <f ca="1">ROUND((C6-C23-C24-C25)/((1+F26)*(1+D20+F21)),0)</f>
        <v>14252</v>
      </c>
      <c r="D27" s="2805"/>
      <c r="E27" s="2805"/>
      <c r="F27" s="2805"/>
      <c r="G27" s="2806" t="s">
        <v>2231</v>
      </c>
      <c r="H27" s="2805"/>
      <c r="I27" s="2805"/>
      <c r="J27" s="2805"/>
      <c r="K27" s="2807"/>
    </row>
    <row r="28" spans="1:26" s="1723" customFormat="1">
      <c r="A28" s="2712"/>
      <c r="C28" s="2713"/>
      <c r="E28" s="2712"/>
    </row>
    <row r="29" spans="1:26" s="1723" customFormat="1" ht="12.75" customHeight="1">
      <c r="A29" s="2712"/>
      <c r="C29" s="2713"/>
      <c r="E29" s="2712"/>
    </row>
    <row r="30" spans="1:26" s="1723" customFormat="1">
      <c r="A30" s="2712"/>
      <c r="C30" s="2713"/>
      <c r="E30" s="2712"/>
    </row>
    <row r="31" spans="1:26" s="1723" customFormat="1">
      <c r="A31" s="2712"/>
      <c r="C31" s="2713"/>
      <c r="E31" s="2712"/>
    </row>
    <row r="32" spans="1:26" s="1723" customFormat="1">
      <c r="A32" s="2712"/>
      <c r="C32" s="2713"/>
      <c r="E32" s="2712"/>
    </row>
    <row r="33" spans="1:5" s="1723" customFormat="1">
      <c r="A33" s="2712"/>
      <c r="C33" s="2713"/>
      <c r="E33" s="2712"/>
    </row>
    <row r="34" spans="1:5" s="1723" customFormat="1">
      <c r="A34" s="2712"/>
      <c r="C34" s="2713"/>
      <c r="E34" s="2712"/>
    </row>
    <row r="35" spans="1:5" s="1723" customFormat="1">
      <c r="A35" s="2712"/>
      <c r="C35" s="2713"/>
      <c r="E35" s="2712"/>
    </row>
    <row r="36" spans="1:5" s="1723" customFormat="1">
      <c r="A36" s="2712"/>
      <c r="C36" s="2713"/>
      <c r="E36" s="2712"/>
    </row>
    <row r="37" spans="1:5" s="1723" customFormat="1">
      <c r="A37" s="2712"/>
      <c r="C37" s="2713"/>
      <c r="E37" s="2712"/>
    </row>
    <row r="38" spans="1:5" s="1723" customFormat="1">
      <c r="A38" s="2712"/>
      <c r="C38" s="2713"/>
      <c r="E38" s="2712"/>
    </row>
    <row r="39" spans="1:5" s="1723" customFormat="1">
      <c r="A39" s="2712"/>
      <c r="C39" s="2713"/>
      <c r="E39" s="2712"/>
    </row>
    <row r="40" spans="1:5" s="1723" customFormat="1">
      <c r="A40" s="2712"/>
      <c r="C40" s="2713"/>
      <c r="E40" s="2712"/>
    </row>
    <row r="41" spans="1:5" s="1723" customFormat="1">
      <c r="A41" s="2712"/>
      <c r="C41" s="2713"/>
      <c r="E41" s="2712"/>
    </row>
    <row r="42" spans="1:5" s="1723" customFormat="1">
      <c r="A42" s="2712"/>
      <c r="C42" s="2713"/>
      <c r="E42" s="2712"/>
    </row>
    <row r="43" spans="1:5" s="1723" customFormat="1">
      <c r="A43" s="2712"/>
      <c r="C43" s="2713"/>
      <c r="E43" s="2712"/>
    </row>
    <row r="44" spans="1:5" s="1723" customFormat="1">
      <c r="A44" s="2712"/>
      <c r="C44" s="2713"/>
      <c r="E44" s="2712"/>
    </row>
    <row r="45" spans="1:5" s="1723" customFormat="1">
      <c r="A45" s="2712"/>
      <c r="C45" s="2713"/>
      <c r="E45" s="2712"/>
    </row>
    <row r="46" spans="1:5" s="1723" customFormat="1">
      <c r="A46" s="2712"/>
      <c r="C46" s="2713"/>
      <c r="E46" s="2712"/>
    </row>
    <row r="47" spans="1:5" s="1723" customFormat="1">
      <c r="A47" s="2712"/>
      <c r="C47" s="2713"/>
      <c r="E47" s="2712"/>
    </row>
    <row r="48" spans="1:5" s="1723" customFormat="1">
      <c r="A48" s="2712"/>
      <c r="C48" s="2713"/>
      <c r="E48" s="2712"/>
    </row>
    <row r="49" spans="1:5" s="1723" customFormat="1">
      <c r="A49" s="2712"/>
      <c r="C49" s="2713"/>
      <c r="E49" s="2712"/>
    </row>
    <row r="50" spans="1:5" s="1723" customFormat="1">
      <c r="A50" s="2712"/>
      <c r="C50" s="2713"/>
      <c r="E50" s="2712"/>
    </row>
    <row r="51" spans="1:5" s="1723" customFormat="1">
      <c r="A51" s="2712"/>
      <c r="C51" s="2713"/>
      <c r="E51" s="2712"/>
    </row>
    <row r="52" spans="1:5" s="1723" customFormat="1">
      <c r="A52" s="2712"/>
      <c r="C52" s="2713"/>
      <c r="E52" s="2712"/>
    </row>
    <row r="53" spans="1:5" s="1723" customFormat="1">
      <c r="A53" s="2712"/>
      <c r="C53" s="2713"/>
      <c r="E53" s="2712"/>
    </row>
    <row r="54" spans="1:5" s="1723" customFormat="1">
      <c r="A54" s="2712"/>
      <c r="C54" s="2713"/>
      <c r="E54" s="2712"/>
    </row>
    <row r="55" spans="1:5" s="1723" customFormat="1">
      <c r="A55" s="2712"/>
      <c r="C55" s="2713"/>
      <c r="E55" s="2712"/>
    </row>
    <row r="56" spans="1:5" s="1723" customFormat="1">
      <c r="A56" s="2712"/>
      <c r="C56" s="2713"/>
      <c r="E56" s="2712"/>
    </row>
    <row r="57" spans="1:5" s="1723" customFormat="1">
      <c r="A57" s="2712"/>
      <c r="C57" s="2713"/>
      <c r="E57" s="2712"/>
    </row>
    <row r="58" spans="1:5" s="1723" customFormat="1">
      <c r="A58" s="2712"/>
      <c r="C58" s="2713"/>
      <c r="E58" s="2712"/>
    </row>
    <row r="59" spans="1:5" s="1723" customFormat="1">
      <c r="A59" s="2712"/>
      <c r="C59" s="2713"/>
      <c r="E59" s="2712"/>
    </row>
    <row r="60" spans="1:5" s="1723" customFormat="1">
      <c r="A60" s="2712"/>
      <c r="C60" s="2713"/>
      <c r="E60" s="2712"/>
    </row>
    <row r="61" spans="1:5" s="1723" customFormat="1">
      <c r="A61" s="2712"/>
      <c r="C61" s="2713"/>
      <c r="E61" s="2712"/>
    </row>
    <row r="62" spans="1:5" s="1723" customFormat="1">
      <c r="A62" s="2712"/>
      <c r="C62" s="2713"/>
      <c r="E62" s="2712"/>
    </row>
    <row r="63" spans="1:5" s="1723" customFormat="1">
      <c r="A63" s="2712"/>
      <c r="C63" s="2713"/>
      <c r="E63" s="2712"/>
    </row>
    <row r="64" spans="1:5" s="1723" customFormat="1">
      <c r="A64" s="2712"/>
      <c r="C64" s="2713"/>
      <c r="E64" s="2712"/>
    </row>
    <row r="65" spans="1:5" s="1723" customFormat="1">
      <c r="A65" s="2712"/>
      <c r="C65" s="2713"/>
      <c r="E65" s="2712"/>
    </row>
    <row r="66" spans="1:5" s="1723" customFormat="1">
      <c r="A66" s="2712"/>
      <c r="C66" s="2713"/>
      <c r="E66" s="2712"/>
    </row>
    <row r="67" spans="1:5" s="1723" customFormat="1">
      <c r="A67" s="2712"/>
      <c r="C67" s="2713"/>
      <c r="E67" s="2712"/>
    </row>
    <row r="68" spans="1:5" s="1723" customFormat="1">
      <c r="A68" s="2712"/>
      <c r="C68" s="2713"/>
      <c r="E68" s="2712"/>
    </row>
    <row r="69" spans="1:5" s="1723" customFormat="1">
      <c r="A69" s="2712"/>
      <c r="C69" s="2713"/>
      <c r="E69" s="2712"/>
    </row>
    <row r="70" spans="1:5" s="1723" customFormat="1">
      <c r="A70" s="2712"/>
      <c r="C70" s="2713"/>
      <c r="E70" s="2712"/>
    </row>
    <row r="71" spans="1:5" s="1723" customFormat="1">
      <c r="A71" s="2712"/>
      <c r="C71" s="2713"/>
      <c r="E71" s="2712"/>
    </row>
    <row r="72" spans="1:5" s="1723" customFormat="1">
      <c r="A72" s="2712"/>
      <c r="C72" s="2713"/>
      <c r="E72" s="2712"/>
    </row>
    <row r="73" spans="1:5" s="1723" customFormat="1">
      <c r="A73" s="2712"/>
      <c r="C73" s="2713"/>
      <c r="E73" s="2712"/>
    </row>
    <row r="74" spans="1:5" s="1723" customFormat="1">
      <c r="A74" s="2712"/>
      <c r="C74" s="2713"/>
      <c r="E74" s="2712"/>
    </row>
    <row r="75" spans="1:5" s="1723" customFormat="1">
      <c r="A75" s="2712"/>
      <c r="C75" s="2713"/>
      <c r="E75" s="2712"/>
    </row>
    <row r="76" spans="1:5" s="1723" customFormat="1">
      <c r="A76" s="2712"/>
      <c r="C76" s="2713"/>
      <c r="E76" s="2712"/>
    </row>
    <row r="77" spans="1:5" s="1723" customFormat="1">
      <c r="A77" s="2712"/>
      <c r="C77" s="2713"/>
      <c r="E77" s="2712"/>
    </row>
    <row r="78" spans="1:5" s="1723" customFormat="1">
      <c r="A78" s="2712"/>
      <c r="C78" s="2713"/>
      <c r="E78" s="2712"/>
    </row>
    <row r="79" spans="1:5" s="1723" customFormat="1">
      <c r="A79" s="2712"/>
      <c r="C79" s="2713"/>
      <c r="E79" s="2712"/>
    </row>
    <row r="80" spans="1:5" s="1723" customFormat="1">
      <c r="A80" s="2712"/>
      <c r="C80" s="2713"/>
      <c r="E80" s="2712"/>
    </row>
    <row r="81" spans="1:5" s="1723" customFormat="1">
      <c r="A81" s="2712"/>
      <c r="C81" s="2713"/>
      <c r="E81" s="2712"/>
    </row>
    <row r="82" spans="1:5" s="1723" customFormat="1">
      <c r="A82" s="2712"/>
      <c r="C82" s="2713"/>
      <c r="E82" s="2712"/>
    </row>
    <row r="83" spans="1:5" s="1723" customFormat="1">
      <c r="A83" s="2712"/>
      <c r="C83" s="2713"/>
      <c r="E83" s="2712"/>
    </row>
    <row r="84" spans="1:5" s="1723" customFormat="1">
      <c r="A84" s="2712"/>
      <c r="C84" s="2713"/>
      <c r="E84" s="2712"/>
    </row>
    <row r="85" spans="1:5" s="1723" customFormat="1">
      <c r="A85" s="2712"/>
      <c r="C85" s="2713"/>
      <c r="E85" s="2712"/>
    </row>
    <row r="86" spans="1:5" s="1723" customFormat="1">
      <c r="A86" s="2712"/>
      <c r="C86" s="2713"/>
      <c r="E86" s="2712"/>
    </row>
    <row r="87" spans="1:5" s="1723" customFormat="1">
      <c r="A87" s="2712"/>
      <c r="C87" s="2713"/>
      <c r="E87" s="2712"/>
    </row>
    <row r="88" spans="1:5" s="1723" customFormat="1">
      <c r="A88" s="2712"/>
      <c r="C88" s="2713"/>
      <c r="E88" s="2712"/>
    </row>
    <row r="89" spans="1:5" s="1723" customFormat="1">
      <c r="A89" s="2712"/>
      <c r="C89" s="2713"/>
      <c r="E89" s="2712"/>
    </row>
    <row r="90" spans="1:5" s="1723" customFormat="1">
      <c r="A90" s="2712"/>
      <c r="C90" s="2713"/>
      <c r="E90" s="2712"/>
    </row>
    <row r="91" spans="1:5" s="1723" customFormat="1">
      <c r="A91" s="2712"/>
      <c r="C91" s="2713"/>
      <c r="E91" s="2712"/>
    </row>
    <row r="92" spans="1:5" s="1723" customFormat="1">
      <c r="A92" s="2712"/>
      <c r="C92" s="2713"/>
      <c r="E92" s="2712"/>
    </row>
    <row r="93" spans="1:5" s="1723" customFormat="1">
      <c r="A93" s="2712"/>
      <c r="C93" s="2713"/>
      <c r="E93" s="2712"/>
    </row>
    <row r="94" spans="1:5" s="1723" customFormat="1">
      <c r="A94" s="2712"/>
      <c r="C94" s="2713"/>
      <c r="E94" s="2712"/>
    </row>
    <row r="95" spans="1:5" s="1723" customFormat="1">
      <c r="A95" s="2712"/>
      <c r="C95" s="2713"/>
      <c r="E95" s="2712"/>
    </row>
    <row r="96" spans="1:5" s="1723" customFormat="1">
      <c r="A96" s="2712"/>
      <c r="C96" s="2713"/>
      <c r="E96" s="2712"/>
    </row>
    <row r="97" spans="1:5" s="1723" customFormat="1">
      <c r="A97" s="2712"/>
      <c r="C97" s="2713"/>
      <c r="E97" s="2712"/>
    </row>
    <row r="98" spans="1:5" s="1723" customFormat="1">
      <c r="A98" s="2712"/>
      <c r="C98" s="2713"/>
      <c r="E98" s="2712"/>
    </row>
    <row r="99" spans="1:5" s="1723" customFormat="1">
      <c r="A99" s="2712"/>
      <c r="C99" s="2713"/>
      <c r="E99" s="2712"/>
    </row>
    <row r="100" spans="1:5" s="1723" customFormat="1">
      <c r="A100" s="2712"/>
      <c r="C100" s="2713"/>
      <c r="E100" s="2712"/>
    </row>
    <row r="101" spans="1:5" s="1723" customFormat="1">
      <c r="A101" s="2712"/>
      <c r="C101" s="2713"/>
      <c r="E101" s="2712"/>
    </row>
    <row r="102" spans="1:5" s="1723" customFormat="1">
      <c r="A102" s="2712"/>
      <c r="C102" s="2713"/>
      <c r="E102" s="2712"/>
    </row>
    <row r="103" spans="1:5" s="1723" customFormat="1">
      <c r="A103" s="2712"/>
      <c r="C103" s="2713"/>
      <c r="E103" s="2712"/>
    </row>
    <row r="104" spans="1:5" s="1723" customFormat="1">
      <c r="A104" s="2712"/>
      <c r="C104" s="2713"/>
      <c r="E104" s="2712"/>
    </row>
    <row r="105" spans="1:5" s="1723" customFormat="1">
      <c r="A105" s="2712"/>
      <c r="C105" s="2713"/>
      <c r="E105" s="2712"/>
    </row>
    <row r="106" spans="1:5" s="1723" customFormat="1">
      <c r="A106" s="2712"/>
      <c r="C106" s="2713"/>
      <c r="E106" s="2712"/>
    </row>
    <row r="107" spans="1:5" s="1723" customFormat="1">
      <c r="A107" s="2712"/>
      <c r="C107" s="2713"/>
      <c r="E107" s="2712"/>
    </row>
    <row r="108" spans="1:5" s="1723" customFormat="1">
      <c r="A108" s="2712"/>
      <c r="C108" s="2713"/>
      <c r="E108" s="2712"/>
    </row>
    <row r="109" spans="1:5" s="1723" customFormat="1">
      <c r="A109" s="2712"/>
      <c r="C109" s="2713"/>
      <c r="E109" s="2712"/>
    </row>
    <row r="110" spans="1:5" s="1723" customFormat="1">
      <c r="A110" s="2712"/>
      <c r="C110" s="2713"/>
      <c r="E110" s="2712"/>
    </row>
    <row r="111" spans="1:5" s="1723" customFormat="1">
      <c r="A111" s="2712"/>
      <c r="C111" s="2713"/>
      <c r="E111" s="2712"/>
    </row>
    <row r="112" spans="1:5" s="1723" customFormat="1">
      <c r="A112" s="2712"/>
      <c r="C112" s="2713"/>
      <c r="E112" s="2712"/>
    </row>
    <row r="113" spans="1:5" s="1723" customFormat="1">
      <c r="A113" s="2712"/>
      <c r="C113" s="2713"/>
      <c r="E113" s="2712"/>
    </row>
    <row r="114" spans="1:5" s="1723" customFormat="1">
      <c r="A114" s="2712"/>
      <c r="C114" s="2713"/>
      <c r="E114" s="2712"/>
    </row>
    <row r="115" spans="1:5" s="1723" customFormat="1">
      <c r="A115" s="2712"/>
      <c r="C115" s="2713"/>
      <c r="E115" s="2712"/>
    </row>
    <row r="116" spans="1:5" s="1723" customFormat="1">
      <c r="A116" s="2712"/>
      <c r="C116" s="2713"/>
      <c r="E116" s="2712"/>
    </row>
    <row r="117" spans="1:5" s="1723" customFormat="1">
      <c r="A117" s="2712"/>
      <c r="C117" s="2713"/>
      <c r="E117" s="2712"/>
    </row>
    <row r="118" spans="1:5" s="1723" customFormat="1">
      <c r="A118" s="2712"/>
      <c r="C118" s="2713"/>
      <c r="E118" s="2712"/>
    </row>
    <row r="119" spans="1:5" s="1723" customFormat="1">
      <c r="A119" s="2712"/>
      <c r="C119" s="2713"/>
      <c r="E119" s="2712"/>
    </row>
    <row r="120" spans="1:5" s="1723" customFormat="1">
      <c r="A120" s="2712"/>
      <c r="C120" s="2713"/>
      <c r="E120" s="2712"/>
    </row>
    <row r="121" spans="1:5" s="1723" customFormat="1">
      <c r="A121" s="2712"/>
      <c r="C121" s="2713"/>
      <c r="E121" s="2712"/>
    </row>
    <row r="122" spans="1:5" s="1723" customFormat="1">
      <c r="A122" s="2712"/>
      <c r="C122" s="2713"/>
      <c r="E122" s="2712"/>
    </row>
    <row r="123" spans="1:5" s="1723" customFormat="1">
      <c r="A123" s="2712"/>
      <c r="C123" s="2713"/>
      <c r="E123" s="2712"/>
    </row>
    <row r="124" spans="1:5" s="1723" customFormat="1">
      <c r="A124" s="2712"/>
      <c r="C124" s="2713"/>
      <c r="E124" s="2712"/>
    </row>
    <row r="125" spans="1:5" s="1723" customFormat="1">
      <c r="A125" s="2712"/>
      <c r="C125" s="2713"/>
      <c r="E125" s="2712"/>
    </row>
    <row r="126" spans="1:5" s="1723" customFormat="1">
      <c r="A126" s="2712"/>
      <c r="C126" s="2713"/>
      <c r="E126" s="2712"/>
    </row>
    <row r="127" spans="1:5" s="1723" customFormat="1">
      <c r="A127" s="2712"/>
      <c r="C127" s="2713"/>
      <c r="E127" s="2712"/>
    </row>
    <row r="128" spans="1:5" s="1723" customFormat="1">
      <c r="A128" s="2712"/>
      <c r="C128" s="2713"/>
      <c r="E128" s="2712"/>
    </row>
    <row r="129" spans="1:5" s="1723" customFormat="1">
      <c r="A129" s="2712"/>
      <c r="C129" s="2713"/>
      <c r="E129" s="2712"/>
    </row>
    <row r="130" spans="1:5" s="1723" customFormat="1">
      <c r="A130" s="2712"/>
      <c r="C130" s="2713"/>
      <c r="E130" s="2712"/>
    </row>
    <row r="131" spans="1:5" s="1723" customFormat="1">
      <c r="A131" s="2712"/>
      <c r="C131" s="2713"/>
      <c r="E131" s="2712"/>
    </row>
    <row r="132" spans="1:5" s="1723" customFormat="1">
      <c r="A132" s="2712"/>
      <c r="C132" s="2713"/>
      <c r="E132" s="2712"/>
    </row>
    <row r="133" spans="1:5" s="1723" customFormat="1">
      <c r="A133" s="2712"/>
      <c r="C133" s="2713"/>
      <c r="E133" s="2712"/>
    </row>
    <row r="134" spans="1:5" s="1723" customFormat="1">
      <c r="A134" s="2712"/>
      <c r="C134" s="2713"/>
      <c r="E134" s="2712"/>
    </row>
    <row r="135" spans="1:5" s="1723" customFormat="1">
      <c r="A135" s="2712"/>
      <c r="C135" s="2713"/>
      <c r="E135" s="2712"/>
    </row>
    <row r="136" spans="1:5" s="1723" customFormat="1">
      <c r="A136" s="2712"/>
      <c r="C136" s="2713"/>
      <c r="E136" s="2712"/>
    </row>
    <row r="137" spans="1:5" s="1723" customFormat="1">
      <c r="A137" s="2712"/>
      <c r="C137" s="2713"/>
      <c r="E137" s="2712"/>
    </row>
    <row r="138" spans="1:5" s="1723" customFormat="1">
      <c r="A138" s="2712"/>
      <c r="C138" s="2713"/>
      <c r="E138" s="2712"/>
    </row>
    <row r="139" spans="1:5" s="1723" customFormat="1">
      <c r="A139" s="2712"/>
      <c r="C139" s="2713"/>
      <c r="E139" s="2712"/>
    </row>
    <row r="140" spans="1:5" s="1723" customFormat="1">
      <c r="A140" s="2712"/>
      <c r="C140" s="2713"/>
      <c r="E140" s="2712"/>
    </row>
    <row r="141" spans="1:5" s="1723" customFormat="1">
      <c r="A141" s="2712"/>
      <c r="C141" s="2713"/>
      <c r="E141" s="2712"/>
    </row>
    <row r="142" spans="1:5" s="1723" customFormat="1">
      <c r="A142" s="2712"/>
      <c r="C142" s="2713"/>
      <c r="E142" s="2712"/>
    </row>
    <row r="143" spans="1:5" s="1723" customFormat="1">
      <c r="A143" s="2712"/>
      <c r="C143" s="2713"/>
      <c r="E143" s="2712"/>
    </row>
    <row r="144" spans="1:5" s="1723" customFormat="1">
      <c r="A144" s="2712"/>
      <c r="C144" s="2713"/>
      <c r="E144" s="2712"/>
    </row>
    <row r="145" spans="1:5" s="1723" customFormat="1">
      <c r="A145" s="2712"/>
      <c r="C145" s="2713"/>
      <c r="E145" s="2712"/>
    </row>
    <row r="146" spans="1:5" s="1723" customFormat="1">
      <c r="A146" s="2712"/>
      <c r="C146" s="2713"/>
      <c r="E146" s="2712"/>
    </row>
    <row r="147" spans="1:5" s="1723" customFormat="1">
      <c r="A147" s="2712"/>
      <c r="C147" s="2713"/>
      <c r="E147" s="2712"/>
    </row>
    <row r="148" spans="1:5" s="1723" customFormat="1">
      <c r="A148" s="2712"/>
      <c r="C148" s="2713"/>
      <c r="E148" s="2712"/>
    </row>
    <row r="149" spans="1:5" s="1723" customFormat="1">
      <c r="A149" s="2712"/>
      <c r="C149" s="2713"/>
      <c r="E149" s="2712"/>
    </row>
    <row r="150" spans="1:5" s="1723" customFormat="1">
      <c r="A150" s="2712"/>
      <c r="C150" s="2713"/>
      <c r="E150" s="2712"/>
    </row>
    <row r="151" spans="1:5" s="1723" customFormat="1">
      <c r="A151" s="2712"/>
      <c r="C151" s="2713"/>
      <c r="E151" s="2712"/>
    </row>
    <row r="152" spans="1:5" s="1723" customFormat="1">
      <c r="A152" s="2712"/>
      <c r="C152" s="2713"/>
      <c r="E152" s="2712"/>
    </row>
    <row r="153" spans="1:5" s="1723" customFormat="1">
      <c r="A153" s="2712"/>
      <c r="C153" s="2713"/>
      <c r="E153" s="2712"/>
    </row>
    <row r="154" spans="1:5" s="1723" customFormat="1">
      <c r="A154" s="2712"/>
      <c r="C154" s="2713"/>
      <c r="E154" s="2712"/>
    </row>
    <row r="155" spans="1:5" s="1723" customFormat="1">
      <c r="A155" s="2712"/>
      <c r="C155" s="2713"/>
      <c r="E155" s="2712"/>
    </row>
    <row r="156" spans="1:5" s="1723" customFormat="1">
      <c r="A156" s="2712"/>
      <c r="C156" s="2713"/>
      <c r="E156" s="2712"/>
    </row>
    <row r="157" spans="1:5" s="1723" customFormat="1">
      <c r="A157" s="2712"/>
      <c r="C157" s="2713"/>
      <c r="E157" s="2712"/>
    </row>
    <row r="158" spans="1:5" s="1723" customFormat="1">
      <c r="A158" s="2712"/>
      <c r="C158" s="2713"/>
      <c r="E158" s="2712"/>
    </row>
    <row r="159" spans="1:5" s="1723" customFormat="1">
      <c r="A159" s="2712"/>
      <c r="C159" s="2713"/>
      <c r="E159" s="2712"/>
    </row>
    <row r="160" spans="1:5" s="1723" customFormat="1">
      <c r="A160" s="2712"/>
      <c r="C160" s="2713"/>
      <c r="E160" s="2712"/>
    </row>
    <row r="161" spans="1:5" s="1723" customFormat="1">
      <c r="A161" s="2712"/>
      <c r="C161" s="2713"/>
      <c r="E161" s="2712"/>
    </row>
    <row r="162" spans="1:5" s="1723" customFormat="1">
      <c r="A162" s="2712"/>
      <c r="C162" s="2713"/>
      <c r="E162" s="2712"/>
    </row>
    <row r="163" spans="1:5" s="1723" customFormat="1">
      <c r="A163" s="2712"/>
      <c r="C163" s="2713"/>
      <c r="E163" s="2712"/>
    </row>
    <row r="164" spans="1:5" s="1723" customFormat="1">
      <c r="A164" s="2712"/>
      <c r="C164" s="2713"/>
      <c r="E164" s="2712"/>
    </row>
    <row r="165" spans="1:5" s="1723" customFormat="1">
      <c r="A165" s="2712"/>
      <c r="C165" s="2713"/>
      <c r="E165" s="2712"/>
    </row>
    <row r="166" spans="1:5" s="1723" customFormat="1">
      <c r="A166" s="2712"/>
      <c r="C166" s="2713"/>
      <c r="E166" s="2712"/>
    </row>
    <row r="167" spans="1:5" s="1723" customFormat="1">
      <c r="A167" s="2712"/>
      <c r="C167" s="2713"/>
      <c r="E167" s="2712"/>
    </row>
    <row r="168" spans="1:5" s="1723" customFormat="1">
      <c r="A168" s="2712"/>
      <c r="C168" s="2713"/>
      <c r="E168" s="2712"/>
    </row>
    <row r="169" spans="1:5" s="1723" customFormat="1">
      <c r="A169" s="2712"/>
      <c r="C169" s="2713"/>
      <c r="E169" s="2712"/>
    </row>
    <row r="170" spans="1:5" s="1723" customFormat="1">
      <c r="A170" s="2712"/>
      <c r="C170" s="2713"/>
      <c r="E170" s="2712"/>
    </row>
    <row r="171" spans="1:5" s="1723" customFormat="1">
      <c r="A171" s="2712"/>
      <c r="C171" s="2713"/>
      <c r="E171" s="2712"/>
    </row>
    <row r="172" spans="1:5" s="1723" customFormat="1">
      <c r="A172" s="2712"/>
      <c r="C172" s="2713"/>
      <c r="E172" s="2712"/>
    </row>
    <row r="173" spans="1:5" s="1723" customFormat="1">
      <c r="A173" s="2712"/>
      <c r="C173" s="2713"/>
      <c r="E173" s="2712"/>
    </row>
    <row r="174" spans="1:5" s="1723" customFormat="1">
      <c r="A174" s="2712"/>
      <c r="C174" s="2713"/>
      <c r="E174" s="2712"/>
    </row>
    <row r="175" spans="1:5" s="1723" customFormat="1">
      <c r="A175" s="2712"/>
      <c r="C175" s="2713"/>
      <c r="E175" s="2712"/>
    </row>
    <row r="176" spans="1:5" s="1723" customFormat="1">
      <c r="A176" s="2712"/>
      <c r="C176" s="2713"/>
      <c r="E176" s="2712"/>
    </row>
    <row r="177" spans="1:5" s="1723" customFormat="1">
      <c r="A177" s="2712"/>
      <c r="C177" s="2713"/>
      <c r="E177" s="2712"/>
    </row>
    <row r="178" spans="1:5" s="1723" customFormat="1">
      <c r="A178" s="2712"/>
      <c r="C178" s="2713"/>
      <c r="E178" s="2712"/>
    </row>
    <row r="179" spans="1:5" s="1723" customFormat="1">
      <c r="A179" s="2712"/>
      <c r="C179" s="2713"/>
      <c r="E179" s="2712"/>
    </row>
    <row r="180" spans="1:5" s="1723" customFormat="1">
      <c r="A180" s="2712"/>
      <c r="C180" s="2713"/>
      <c r="E180" s="2712"/>
    </row>
    <row r="181" spans="1:5" s="1723" customFormat="1">
      <c r="A181" s="2712"/>
      <c r="C181" s="2713"/>
      <c r="E181" s="2712"/>
    </row>
    <row r="182" spans="1:5" s="1723" customFormat="1">
      <c r="A182" s="2712"/>
      <c r="C182" s="2713"/>
      <c r="E182" s="2712"/>
    </row>
    <row r="183" spans="1:5" s="1723" customFormat="1">
      <c r="A183" s="2712"/>
      <c r="C183" s="2713"/>
      <c r="E183" s="2712"/>
    </row>
    <row r="184" spans="1:5" s="1723" customFormat="1">
      <c r="A184" s="2712"/>
      <c r="C184" s="2713"/>
      <c r="E184" s="2712"/>
    </row>
    <row r="185" spans="1:5" s="1723" customFormat="1">
      <c r="A185" s="2712"/>
      <c r="C185" s="2713"/>
      <c r="E185" s="2712"/>
    </row>
    <row r="186" spans="1:5" s="1723" customFormat="1">
      <c r="A186" s="2712"/>
      <c r="C186" s="2713"/>
      <c r="E186" s="2712"/>
    </row>
    <row r="187" spans="1:5" s="1723" customFormat="1">
      <c r="A187" s="2712"/>
      <c r="C187" s="2713"/>
      <c r="E187" s="2712"/>
    </row>
    <row r="188" spans="1:5" s="1723" customFormat="1">
      <c r="A188" s="2712"/>
      <c r="C188" s="2713"/>
      <c r="E188" s="2712"/>
    </row>
    <row r="189" spans="1:5" s="1723" customFormat="1">
      <c r="A189" s="2712"/>
      <c r="C189" s="2713"/>
      <c r="E189" s="2712"/>
    </row>
    <row r="190" spans="1:5" s="1723" customFormat="1">
      <c r="A190" s="2712"/>
      <c r="C190" s="2713"/>
      <c r="E190" s="2712"/>
    </row>
    <row r="191" spans="1:5" s="1723" customFormat="1">
      <c r="A191" s="2712"/>
      <c r="C191" s="2713"/>
      <c r="E191" s="2712"/>
    </row>
    <row r="192" spans="1:5" s="1723" customFormat="1">
      <c r="A192" s="2712"/>
      <c r="C192" s="2713"/>
      <c r="E192" s="2712"/>
    </row>
    <row r="193" spans="1:5" s="1723" customFormat="1">
      <c r="A193" s="2712"/>
      <c r="C193" s="2713"/>
      <c r="E193" s="2712"/>
    </row>
    <row r="194" spans="1:5" s="1723" customFormat="1">
      <c r="A194" s="2712"/>
      <c r="C194" s="2713"/>
      <c r="E194" s="2712"/>
    </row>
    <row r="195" spans="1:5" s="1723" customFormat="1">
      <c r="A195" s="2712"/>
      <c r="C195" s="2713"/>
      <c r="E195" s="2712"/>
    </row>
    <row r="196" spans="1:5" s="1723" customFormat="1">
      <c r="A196" s="2712"/>
      <c r="C196" s="2713"/>
      <c r="E196" s="2712"/>
    </row>
    <row r="197" spans="1:5" s="1723" customFormat="1">
      <c r="A197" s="2712"/>
      <c r="C197" s="2713"/>
      <c r="E197" s="2712"/>
    </row>
    <row r="198" spans="1:5" s="1723" customFormat="1">
      <c r="A198" s="2712"/>
      <c r="C198" s="2713"/>
      <c r="E198" s="2712"/>
    </row>
    <row r="199" spans="1:5" s="1723" customFormat="1">
      <c r="A199" s="2712"/>
      <c r="C199" s="2713"/>
      <c r="E199" s="2712"/>
    </row>
    <row r="200" spans="1:5" s="1723" customFormat="1">
      <c r="A200" s="2712"/>
      <c r="C200" s="2713"/>
      <c r="E200" s="2712"/>
    </row>
    <row r="201" spans="1:5" s="1723" customFormat="1">
      <c r="A201" s="2712"/>
      <c r="C201" s="2713"/>
      <c r="E201" s="2712"/>
    </row>
    <row r="202" spans="1:5" s="1723" customFormat="1">
      <c r="A202" s="2712"/>
      <c r="C202" s="2713"/>
      <c r="E202" s="2712"/>
    </row>
    <row r="203" spans="1:5" s="1723" customFormat="1">
      <c r="A203" s="2712"/>
      <c r="C203" s="2713"/>
      <c r="E203" s="2712"/>
    </row>
    <row r="204" spans="1:5" s="1723" customFormat="1">
      <c r="A204" s="2712"/>
      <c r="C204" s="2713"/>
      <c r="E204" s="2712"/>
    </row>
    <row r="205" spans="1:5" s="1723" customFormat="1">
      <c r="A205" s="2712"/>
      <c r="C205" s="2713"/>
      <c r="E205" s="2712"/>
    </row>
    <row r="206" spans="1:5" s="1723" customFormat="1">
      <c r="A206" s="2712"/>
      <c r="C206" s="2713"/>
      <c r="E206" s="2712"/>
    </row>
    <row r="207" spans="1:5" s="1723" customFormat="1">
      <c r="A207" s="2712"/>
      <c r="C207" s="2713"/>
      <c r="E207" s="2712"/>
    </row>
    <row r="208" spans="1:5" s="1723" customFormat="1">
      <c r="A208" s="2712"/>
      <c r="C208" s="2713"/>
      <c r="E208" s="2712"/>
    </row>
    <row r="209" spans="1:5" s="1723" customFormat="1">
      <c r="A209" s="2712"/>
      <c r="C209" s="2713"/>
      <c r="E209" s="2712"/>
    </row>
    <row r="210" spans="1:5" s="1723" customFormat="1">
      <c r="A210" s="2712"/>
      <c r="C210" s="2713"/>
      <c r="E210" s="2712"/>
    </row>
    <row r="211" spans="1:5" s="1723" customFormat="1">
      <c r="A211" s="2712"/>
      <c r="C211" s="2713"/>
      <c r="E211" s="2712"/>
    </row>
  </sheetData>
  <sheetProtection formatCells="0" formatColumns="0" formatRows="0"/>
  <mergeCells count="4">
    <mergeCell ref="A24:B24"/>
    <mergeCell ref="A25:B25"/>
    <mergeCell ref="A26:B26"/>
    <mergeCell ref="A27:B27"/>
  </mergeCells>
  <phoneticPr fontId="40" type="noConversion"/>
  <dataValidations count="1">
    <dataValidation type="list" allowBlank="1" showInputMessage="1" showErrorMessage="1" sqref="C7:K7 B1" xr:uid="{00000000-0002-0000-1200-000000000000}">
      <formula1>项目类型</formula1>
    </dataValidation>
  </dataValidations>
  <pageMargins left="0.7" right="0.7" top="0.75" bottom="0.75" header="0.3" footer="0.3"/>
  <pageSetup paperSize="9" scale="70" fitToHeight="0"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6">
    <tabColor rgb="FF92D050"/>
    <pageSetUpPr fitToPage="1"/>
  </sheetPr>
  <dimension ref="A1:AE490"/>
  <sheetViews>
    <sheetView view="pageBreakPreview" zoomScale="98" zoomScaleNormal="80" zoomScaleSheetLayoutView="98" workbookViewId="0">
      <selection activeCell="F22" sqref="F22"/>
    </sheetView>
  </sheetViews>
  <sheetFormatPr defaultColWidth="6.625" defaultRowHeight="12.75"/>
  <cols>
    <col min="1" max="1" width="9.75" style="1732" customWidth="1"/>
    <col min="2" max="2" width="25.75" style="1722" customWidth="1"/>
    <col min="3" max="3" width="10.375" style="1733" customWidth="1"/>
    <col min="4" max="4" width="12" style="1722" customWidth="1"/>
    <col min="5" max="5" width="9.5" style="1732" customWidth="1"/>
    <col min="6" max="6" width="10.125" style="1722" customWidth="1"/>
    <col min="7" max="7" width="11.625" style="1722" customWidth="1"/>
    <col min="8" max="8" width="10" style="1722" customWidth="1"/>
    <col min="9" max="11" width="9.5" style="1722" customWidth="1"/>
    <col min="12" max="12" width="9" style="1723" customWidth="1"/>
    <col min="13" max="13" width="10.5" style="1723" bestFit="1" customWidth="1"/>
    <col min="14" max="26" width="9" style="1723" customWidth="1"/>
    <col min="27" max="254" width="9" style="1722" customWidth="1"/>
    <col min="255" max="16384" width="6.625" style="1722"/>
  </cols>
  <sheetData>
    <row r="1" spans="1:31" s="1654" customFormat="1" ht="20.25">
      <c r="A1" s="1711" t="s">
        <v>426</v>
      </c>
      <c r="B1" s="2119" t="s">
        <v>905</v>
      </c>
      <c r="C1" s="1712"/>
      <c r="D1" s="1712"/>
      <c r="E1" s="1712"/>
      <c r="F1" s="1712"/>
      <c r="G1" s="1712"/>
      <c r="H1" s="1712"/>
      <c r="I1" s="1712"/>
      <c r="J1" s="1712"/>
      <c r="K1" s="392">
        <f>MATCH(B1,'数据-取费表'!A6:A16,0)+5</f>
        <v>6</v>
      </c>
      <c r="L1" s="237"/>
      <c r="M1" s="237"/>
      <c r="N1" s="237"/>
      <c r="O1" s="237"/>
      <c r="P1" s="237"/>
      <c r="Q1" s="237"/>
      <c r="R1" s="237"/>
      <c r="S1" s="237"/>
      <c r="T1" s="237"/>
      <c r="U1" s="237"/>
      <c r="V1" s="237"/>
      <c r="W1" s="237"/>
      <c r="X1" s="237"/>
      <c r="Y1" s="237"/>
      <c r="Z1" s="237"/>
    </row>
    <row r="2" spans="1:31" s="1654" customFormat="1" ht="18" customHeight="1">
      <c r="A2" s="1709" t="s">
        <v>427</v>
      </c>
      <c r="B2" s="1713" t="e">
        <f ca="1">C36</f>
        <v>#VALUE!</v>
      </c>
      <c r="C2" s="1712"/>
      <c r="D2" s="1712"/>
      <c r="E2" s="1712"/>
      <c r="F2" s="1712"/>
      <c r="G2" s="1712"/>
      <c r="H2" s="1712"/>
      <c r="I2" s="1712"/>
      <c r="J2" s="1712"/>
      <c r="K2" s="1712"/>
      <c r="L2" s="237"/>
      <c r="M2" s="237"/>
      <c r="N2" s="237"/>
      <c r="O2" s="237"/>
      <c r="P2" s="237"/>
      <c r="Q2" s="237"/>
      <c r="R2" s="237"/>
      <c r="S2" s="237"/>
      <c r="T2" s="237"/>
      <c r="U2" s="237"/>
      <c r="V2" s="237"/>
      <c r="W2" s="237"/>
      <c r="X2" s="237"/>
      <c r="Y2" s="237"/>
      <c r="Z2" s="237"/>
    </row>
    <row r="3" spans="1:31" s="1654" customFormat="1" ht="18" customHeight="1">
      <c r="A3" s="1714" t="s">
        <v>1217</v>
      </c>
      <c r="B3" s="1715" t="e">
        <f ca="1">ROUND(B2*10000/IF(B1="",'数据-汇总表'!E3,INDIRECT("'数据-取费表'!K"&amp;$K$1)),0)</f>
        <v>#VALUE!</v>
      </c>
      <c r="C3" s="1712"/>
      <c r="D3" s="1712"/>
      <c r="E3" s="1712"/>
      <c r="F3" s="1712"/>
      <c r="G3" s="1712"/>
      <c r="H3" s="1712"/>
      <c r="I3" s="1712"/>
      <c r="J3" s="1712"/>
      <c r="K3" s="1712"/>
      <c r="L3" s="237"/>
      <c r="M3" s="237"/>
      <c r="N3" s="237"/>
      <c r="O3" s="237"/>
      <c r="P3" s="237"/>
      <c r="Q3" s="237"/>
      <c r="R3" s="237"/>
      <c r="S3" s="237"/>
      <c r="T3" s="237"/>
      <c r="U3" s="237"/>
      <c r="V3" s="237"/>
      <c r="W3" s="237"/>
      <c r="X3" s="237"/>
      <c r="Y3" s="237"/>
      <c r="Z3" s="237"/>
    </row>
    <row r="4" spans="1:31" s="1654" customFormat="1" ht="18" customHeight="1">
      <c r="A4" s="396" t="s">
        <v>428</v>
      </c>
      <c r="B4" s="397" t="e">
        <f ca="1">ROUND(B2*10000/IF(B1="",'数据-汇总表'!D3,INDIRECT("'数据-取费表'!R"&amp;$K$1)),0)</f>
        <v>#VALUE!</v>
      </c>
      <c r="C4" s="398"/>
      <c r="D4" s="392"/>
      <c r="E4" s="392"/>
      <c r="F4" s="392"/>
      <c r="G4" s="392"/>
      <c r="H4" s="392"/>
      <c r="I4" s="392"/>
      <c r="J4" s="392"/>
      <c r="K4" s="392"/>
      <c r="L4" s="237"/>
      <c r="M4" s="237"/>
      <c r="N4" s="237"/>
      <c r="O4" s="237"/>
      <c r="P4" s="237"/>
      <c r="Q4" s="237"/>
      <c r="R4" s="237"/>
      <c r="S4" s="237"/>
      <c r="T4" s="237"/>
      <c r="U4" s="237"/>
      <c r="V4" s="237"/>
      <c r="W4" s="237"/>
      <c r="X4" s="237"/>
      <c r="Y4" s="237"/>
      <c r="Z4" s="237"/>
    </row>
    <row r="5" spans="1:31" s="1654" customFormat="1" ht="18" customHeight="1" thickBot="1">
      <c r="A5" s="399"/>
      <c r="B5" s="400" t="e">
        <f ca="1">ROUND(B2/(IF(B1="",'数据-汇总表'!D3,INDIRECT("'数据-取费表'!R"&amp;$K$1))/666.67),0)</f>
        <v>#VALUE!</v>
      </c>
      <c r="C5" s="401" t="s">
        <v>429</v>
      </c>
      <c r="D5" s="392"/>
      <c r="E5" s="392"/>
      <c r="F5" s="392"/>
      <c r="G5" s="392"/>
      <c r="H5" s="392"/>
      <c r="I5" s="392"/>
      <c r="J5" s="392"/>
      <c r="K5" s="392"/>
      <c r="L5" s="237"/>
      <c r="M5" s="237"/>
      <c r="N5" s="237"/>
      <c r="O5" s="237"/>
      <c r="P5" s="237"/>
      <c r="Q5" s="237"/>
      <c r="R5" s="237"/>
      <c r="S5" s="237"/>
      <c r="T5" s="237"/>
      <c r="U5" s="237"/>
      <c r="V5" s="237"/>
      <c r="W5" s="237"/>
      <c r="X5" s="237"/>
      <c r="Y5" s="237"/>
      <c r="Z5" s="237"/>
    </row>
    <row r="6" spans="1:31" s="1719" customFormat="1" ht="16.5" customHeight="1">
      <c r="A6" s="2134" t="s">
        <v>1371</v>
      </c>
      <c r="B6" s="2135"/>
      <c r="C6" s="2136">
        <f ca="1">SUM(C10:K10)</f>
        <v>39551</v>
      </c>
      <c r="D6" s="2135"/>
      <c r="E6" s="2135"/>
      <c r="F6" s="2135"/>
      <c r="G6" s="2135"/>
      <c r="H6" s="2135"/>
      <c r="I6" s="2135"/>
      <c r="J6" s="2135"/>
      <c r="K6" s="2137"/>
      <c r="L6" s="2704"/>
      <c r="M6" s="2704"/>
      <c r="N6" s="2704"/>
      <c r="O6" s="2704"/>
      <c r="P6" s="2704"/>
      <c r="Q6" s="2704"/>
      <c r="R6" s="2704"/>
      <c r="S6" s="2704"/>
      <c r="T6" s="2704"/>
      <c r="U6" s="2704"/>
      <c r="V6" s="2704"/>
      <c r="W6" s="2704"/>
      <c r="X6" s="2704"/>
      <c r="Y6" s="2704"/>
      <c r="Z6" s="2704"/>
    </row>
    <row r="7" spans="1:31" s="1721" customFormat="1" ht="15">
      <c r="A7" s="2138" t="s">
        <v>430</v>
      </c>
      <c r="B7" s="2139" t="s">
        <v>431</v>
      </c>
      <c r="C7" s="406" t="s">
        <v>905</v>
      </c>
      <c r="D7" s="406"/>
      <c r="E7" s="406"/>
      <c r="F7" s="406"/>
      <c r="G7" s="406"/>
      <c r="H7" s="406"/>
      <c r="I7" s="406"/>
      <c r="J7" s="406"/>
      <c r="K7" s="407"/>
      <c r="AA7" s="1720"/>
      <c r="AB7" s="1720"/>
      <c r="AC7" s="1720"/>
      <c r="AD7" s="1720"/>
      <c r="AE7" s="1720"/>
    </row>
    <row r="8" spans="1:31" s="1723" customFormat="1" ht="13.5" customHeight="1">
      <c r="A8" s="738" t="s">
        <v>1374</v>
      </c>
      <c r="B8" s="241" t="s">
        <v>432</v>
      </c>
      <c r="C8" s="2140">
        <f ca="1">不动产收益法!B3</f>
        <v>4768</v>
      </c>
      <c r="D8" s="2140"/>
      <c r="E8" s="2140"/>
      <c r="F8" s="2140"/>
      <c r="G8" s="2140"/>
      <c r="H8" s="2140"/>
      <c r="I8" s="2140"/>
      <c r="J8" s="2140"/>
      <c r="K8" s="2141"/>
      <c r="AA8" s="1722"/>
      <c r="AB8" s="1722"/>
      <c r="AC8" s="1722"/>
      <c r="AD8" s="1722"/>
      <c r="AE8" s="1722"/>
    </row>
    <row r="9" spans="1:31" s="1723" customFormat="1" ht="13.5" customHeight="1">
      <c r="A9" s="738" t="s">
        <v>1375</v>
      </c>
      <c r="B9" s="241" t="s">
        <v>433</v>
      </c>
      <c r="C9" s="411">
        <f>SUMIF('数据-汇总表'!$C19:$C33,'剩余法-待开发'!C7,'数据-汇总表'!$E19:$E33)</f>
        <v>82949.97</v>
      </c>
      <c r="D9" s="411">
        <f>SUMIF('数据-汇总表'!$C19:$C33,'剩余法-待开发'!D7,'数据-汇总表'!$E19:$E33)</f>
        <v>0</v>
      </c>
      <c r="E9" s="411">
        <f>SUMIF('数据-汇总表'!$C19:$C33,'剩余法-待开发'!E7,'数据-汇总表'!$E19:$E33)</f>
        <v>0</v>
      </c>
      <c r="F9" s="411">
        <f>SUMIF('数据-汇总表'!$C19:$C33,'剩余法-待开发'!F7,'数据-汇总表'!$E19:$E33)</f>
        <v>0</v>
      </c>
      <c r="G9" s="411">
        <f>SUMIF('数据-汇总表'!$C19:$C33,'剩余法-待开发'!G7,'数据-汇总表'!$E19:$E33)</f>
        <v>0</v>
      </c>
      <c r="H9" s="411">
        <f>SUMIF('数据-汇总表'!$C19:$C33,'剩余法-待开发'!H7,'数据-汇总表'!$E19:$E33)</f>
        <v>0</v>
      </c>
      <c r="I9" s="411">
        <f>SUMIF('数据-汇总表'!$C19:$C33,'剩余法-待开发'!I7,'数据-汇总表'!$E19:$E33)</f>
        <v>0</v>
      </c>
      <c r="J9" s="411">
        <f>SUMIF('数据-汇总表'!$C19:$C33,'剩余法-待开发'!J7,'数据-汇总表'!$E19:$E33)</f>
        <v>0</v>
      </c>
      <c r="K9" s="412">
        <f>SUMIF('数据-汇总表'!$C19:$C33,'剩余法-待开发'!K7,'数据-汇总表'!$E19:$E33)</f>
        <v>0</v>
      </c>
      <c r="AA9" s="1722"/>
      <c r="AB9" s="1722"/>
      <c r="AC9" s="1722"/>
      <c r="AD9" s="1722"/>
      <c r="AE9" s="1722"/>
    </row>
    <row r="10" spans="1:31" s="1723" customFormat="1" ht="13.5" customHeight="1" thickBot="1">
      <c r="A10" s="2142" t="s">
        <v>1376</v>
      </c>
      <c r="B10" s="2128" t="s">
        <v>434</v>
      </c>
      <c r="C10" s="2315">
        <f ca="1">ROUND(C8*C9/10000,)</f>
        <v>39551</v>
      </c>
      <c r="D10" s="2315"/>
      <c r="E10" s="2315"/>
      <c r="F10" s="2143"/>
      <c r="G10" s="2143"/>
      <c r="H10" s="2143"/>
      <c r="I10" s="2143"/>
      <c r="J10" s="2143"/>
      <c r="K10" s="2144"/>
      <c r="AA10" s="1722"/>
      <c r="AB10" s="1722"/>
      <c r="AC10" s="1722"/>
      <c r="AD10" s="1722"/>
      <c r="AE10" s="1722"/>
    </row>
    <row r="11" spans="1:31" s="1719" customFormat="1" ht="16.5" customHeight="1">
      <c r="A11" s="2145" t="s">
        <v>1372</v>
      </c>
      <c r="B11" s="2135"/>
      <c r="C11" s="2135"/>
      <c r="D11" s="2135"/>
      <c r="E11" s="2135"/>
      <c r="F11" s="2135"/>
      <c r="G11" s="2135"/>
      <c r="H11" s="2135"/>
      <c r="I11" s="2135"/>
      <c r="J11" s="2135"/>
      <c r="K11" s="2137"/>
      <c r="L11" s="2704"/>
      <c r="M11" s="2704"/>
      <c r="N11" s="2704"/>
      <c r="O11" s="2704"/>
      <c r="P11" s="2704"/>
      <c r="Q11" s="2704"/>
      <c r="R11" s="2704"/>
      <c r="S11" s="2704"/>
      <c r="T11" s="2704"/>
      <c r="U11" s="2704"/>
      <c r="V11" s="2704"/>
      <c r="W11" s="2704"/>
      <c r="X11" s="2704"/>
      <c r="Y11" s="2704"/>
      <c r="Z11" s="2704"/>
    </row>
    <row r="12" spans="1:31" s="1695" customFormat="1" ht="13.5" customHeight="1">
      <c r="A12" s="2146" t="s">
        <v>430</v>
      </c>
      <c r="B12" s="2122" t="s">
        <v>431</v>
      </c>
      <c r="C12" s="2147" t="s">
        <v>435</v>
      </c>
      <c r="D12" s="1631" t="s">
        <v>436</v>
      </c>
      <c r="E12" s="1631" t="s">
        <v>437</v>
      </c>
      <c r="F12" s="1631" t="s">
        <v>438</v>
      </c>
      <c r="G12" s="2122"/>
      <c r="H12" s="2123"/>
      <c r="I12" s="2123"/>
      <c r="J12" s="2123"/>
      <c r="K12" s="2124"/>
      <c r="L12" s="2705"/>
      <c r="M12" s="2705"/>
      <c r="N12" s="2705"/>
      <c r="O12" s="2705"/>
      <c r="P12" s="2705"/>
      <c r="Q12" s="2705"/>
      <c r="R12" s="2705"/>
      <c r="S12" s="2705"/>
      <c r="T12" s="2705"/>
      <c r="U12" s="2705"/>
      <c r="V12" s="2705"/>
      <c r="W12" s="2705"/>
      <c r="X12" s="2705"/>
      <c r="Y12" s="2705"/>
      <c r="Z12" s="2705"/>
    </row>
    <row r="13" spans="1:31" s="1724" customFormat="1" ht="13.5" customHeight="1">
      <c r="A13" s="2148" t="s">
        <v>1377</v>
      </c>
      <c r="B13" s="2149" t="s">
        <v>439</v>
      </c>
      <c r="C13" s="419" t="e">
        <f ca="1">IF(B1="",'数据-取费表'!P16,INDIRECT("'数据-取费表'!p"&amp;$K$1)+INDIRECT("'数据-取费表'!t"&amp;$K$1))</f>
        <v>#VALUE!</v>
      </c>
      <c r="D13" s="2150"/>
      <c r="E13" s="339"/>
      <c r="F13" s="2151"/>
      <c r="G13" s="2122"/>
      <c r="H13" s="2123"/>
      <c r="I13" s="2123"/>
      <c r="J13" s="2123"/>
      <c r="K13" s="2124"/>
      <c r="L13" s="1725"/>
      <c r="M13" s="1725"/>
      <c r="N13" s="1725"/>
      <c r="O13" s="1725"/>
      <c r="P13" s="1725"/>
      <c r="Q13" s="1725"/>
      <c r="R13" s="1725"/>
      <c r="S13" s="1725"/>
      <c r="T13" s="1725"/>
      <c r="U13" s="1725"/>
      <c r="V13" s="1725"/>
      <c r="W13" s="1725"/>
      <c r="X13" s="1725"/>
      <c r="Y13" s="1725"/>
      <c r="Z13" s="1725"/>
    </row>
    <row r="14" spans="1:31" s="1724" customFormat="1" ht="13.5" customHeight="1">
      <c r="A14" s="2148" t="s">
        <v>1378</v>
      </c>
      <c r="B14" s="2149" t="s">
        <v>440</v>
      </c>
      <c r="C14" s="49" t="e">
        <f ca="1">ROUND(C13*F14,0)</f>
        <v>#VALUE!</v>
      </c>
      <c r="D14" s="2150"/>
      <c r="E14" s="339"/>
      <c r="F14" s="2154">
        <f>'数据-取费表'!B33</f>
        <v>0.03</v>
      </c>
      <c r="G14" s="2122" t="s">
        <v>441</v>
      </c>
      <c r="H14" s="2123"/>
      <c r="I14" s="2123"/>
      <c r="J14" s="2123"/>
      <c r="K14" s="2124"/>
      <c r="L14" s="1725"/>
      <c r="M14" s="1725"/>
      <c r="N14" s="1725"/>
      <c r="O14" s="1725"/>
      <c r="P14" s="1725"/>
      <c r="Q14" s="1725"/>
      <c r="R14" s="1725"/>
      <c r="S14" s="1725"/>
      <c r="T14" s="1725"/>
      <c r="U14" s="1725"/>
      <c r="V14" s="1725"/>
      <c r="W14" s="1725"/>
      <c r="X14" s="1725"/>
      <c r="Y14" s="1725"/>
      <c r="Z14" s="1725"/>
    </row>
    <row r="15" spans="1:31" s="1724" customFormat="1" ht="13.5" customHeight="1">
      <c r="A15" s="2148" t="s">
        <v>1379</v>
      </c>
      <c r="B15" s="2149" t="s">
        <v>442</v>
      </c>
      <c r="C15" s="49">
        <f ca="1">ROUND(IF(B1="",SUMIF('数据-取费表'!C:C,"住宅",'数据-取费表'!P:P)*F15,IF(INDIRECT("'数据-取费表'!c"&amp;$K$1)="住宅",INDIRECT("'数据-取费表'!P"&amp;$K$1)*F15,0)),0)</f>
        <v>0</v>
      </c>
      <c r="D15" s="2150"/>
      <c r="E15" s="339"/>
      <c r="F15" s="2154">
        <f>'数据-取费表'!B34</f>
        <v>0</v>
      </c>
      <c r="G15" s="2122" t="s">
        <v>443</v>
      </c>
      <c r="H15" s="2123"/>
      <c r="I15" s="2123"/>
      <c r="J15" s="2123"/>
      <c r="K15" s="2124"/>
      <c r="L15" s="1725"/>
      <c r="M15" s="1725"/>
      <c r="N15" s="1725"/>
      <c r="O15" s="1725"/>
      <c r="P15" s="1725"/>
      <c r="Q15" s="1725"/>
      <c r="R15" s="1725"/>
      <c r="S15" s="1725"/>
      <c r="T15" s="1725"/>
      <c r="U15" s="1725"/>
      <c r="V15" s="1725"/>
      <c r="W15" s="1725"/>
      <c r="X15" s="1725"/>
      <c r="Y15" s="1725"/>
      <c r="Z15" s="1725"/>
    </row>
    <row r="16" spans="1:31" s="1725" customFormat="1" ht="13.5" customHeight="1">
      <c r="A16" s="2148" t="s">
        <v>1380</v>
      </c>
      <c r="B16" s="2149" t="s">
        <v>444</v>
      </c>
      <c r="C16" s="49">
        <f ca="1">ROUND(D16*E16/10000,0)</f>
        <v>1659</v>
      </c>
      <c r="D16" s="2150">
        <f ca="1">IF(B1="",'数据-汇总表'!E3,INDIRECT("'数据-取费表'!K"&amp;$K$1)+INDIRECT("'数据-取费表'!S"&amp;$K$1))</f>
        <v>82949.97</v>
      </c>
      <c r="E16" s="49">
        <f>'数据-取费表'!B35</f>
        <v>200</v>
      </c>
      <c r="F16" s="2152"/>
      <c r="G16" s="2122"/>
      <c r="H16" s="2123"/>
      <c r="I16" s="2123"/>
      <c r="J16" s="2123"/>
      <c r="K16" s="2124"/>
      <c r="AA16" s="1724"/>
      <c r="AB16" s="1724"/>
      <c r="AC16" s="1724"/>
      <c r="AD16" s="1724"/>
      <c r="AE16" s="1724"/>
    </row>
    <row r="17" spans="1:26" s="1724" customFormat="1" ht="13.5" customHeight="1">
      <c r="A17" s="2148" t="s">
        <v>1381</v>
      </c>
      <c r="B17" s="2149" t="s">
        <v>445</v>
      </c>
      <c r="C17" s="2153" t="e">
        <f ca="1">ROUND(C13*F17,0)</f>
        <v>#VALUE!</v>
      </c>
      <c r="D17" s="444"/>
      <c r="E17" s="2153"/>
      <c r="F17" s="2154">
        <f>'数据-取费表'!B36</f>
        <v>0.02</v>
      </c>
      <c r="G17" s="241" t="s">
        <v>446</v>
      </c>
      <c r="H17" s="1061"/>
      <c r="I17" s="1061"/>
      <c r="J17" s="1061"/>
      <c r="K17" s="258"/>
      <c r="L17" s="1725"/>
      <c r="M17" s="1725"/>
      <c r="N17" s="1725"/>
      <c r="O17" s="1725"/>
      <c r="P17" s="1725"/>
      <c r="Q17" s="1725"/>
      <c r="R17" s="1725"/>
      <c r="S17" s="1725"/>
      <c r="T17" s="1725"/>
      <c r="U17" s="1725"/>
      <c r="V17" s="1725"/>
      <c r="W17" s="1725"/>
      <c r="X17" s="1725"/>
      <c r="Y17" s="1725"/>
      <c r="Z17" s="1725"/>
    </row>
    <row r="18" spans="1:26" s="1724" customFormat="1" ht="13.5" customHeight="1">
      <c r="A18" s="2155" t="s">
        <v>1382</v>
      </c>
      <c r="B18" s="2156" t="s">
        <v>447</v>
      </c>
      <c r="C18" s="2157" t="e">
        <f ca="1">SUM(C13:C17)</f>
        <v>#VALUE!</v>
      </c>
      <c r="D18" s="2158"/>
      <c r="E18" s="437"/>
      <c r="F18" s="437"/>
      <c r="G18" s="1042" t="s">
        <v>1781</v>
      </c>
      <c r="H18" s="1043"/>
      <c r="I18" s="1043"/>
      <c r="J18" s="1043"/>
      <c r="K18" s="130"/>
      <c r="L18" s="1725"/>
      <c r="M18" s="1725"/>
      <c r="N18" s="1725"/>
      <c r="O18" s="1725"/>
      <c r="P18" s="1725"/>
      <c r="Q18" s="1725"/>
      <c r="R18" s="1725"/>
      <c r="S18" s="1725"/>
      <c r="T18" s="1725"/>
      <c r="U18" s="1725"/>
      <c r="V18" s="1725"/>
      <c r="W18" s="1725"/>
      <c r="X18" s="1725"/>
      <c r="Y18" s="1725"/>
      <c r="Z18" s="1725"/>
    </row>
    <row r="19" spans="1:26" s="1724" customFormat="1" ht="13.5" customHeight="1">
      <c r="A19" s="2155" t="s">
        <v>1383</v>
      </c>
      <c r="B19" s="2156" t="s">
        <v>448</v>
      </c>
      <c r="C19" s="1631">
        <f ca="1">ROUND(D19*E19/10000,0)</f>
        <v>0</v>
      </c>
      <c r="D19" s="2159">
        <f ca="1">D16</f>
        <v>82949.97</v>
      </c>
      <c r="E19" s="1631">
        <f>'数据-取费表'!B32</f>
        <v>0</v>
      </c>
      <c r="F19" s="437"/>
      <c r="G19" s="2122" t="s">
        <v>449</v>
      </c>
      <c r="H19" s="2123"/>
      <c r="I19" s="1043"/>
      <c r="J19" s="1043"/>
      <c r="K19" s="130"/>
      <c r="L19" s="1725"/>
      <c r="M19" s="1725"/>
      <c r="N19" s="1725"/>
      <c r="O19" s="1725"/>
      <c r="P19" s="1725"/>
      <c r="Q19" s="1725"/>
      <c r="R19" s="1725"/>
      <c r="S19" s="1725"/>
      <c r="T19" s="1725"/>
      <c r="U19" s="1725"/>
      <c r="V19" s="1725"/>
      <c r="W19" s="1725"/>
      <c r="X19" s="1725"/>
      <c r="Y19" s="1725"/>
      <c r="Z19" s="1725"/>
    </row>
    <row r="20" spans="1:26" s="1724" customFormat="1" ht="13.5" customHeight="1">
      <c r="A20" s="2155" t="s">
        <v>1384</v>
      </c>
      <c r="B20" s="2156" t="s">
        <v>450</v>
      </c>
      <c r="C20" s="1631">
        <f ca="1">C21+C22-IF(B1="",'数据-取费表'!B29,IF(G20="已全部缴纳",C21+C22,H20))</f>
        <v>1410</v>
      </c>
      <c r="D20" s="2159"/>
      <c r="E20" s="1631"/>
      <c r="F20" s="2160"/>
      <c r="G20" s="2344"/>
      <c r="H20" s="2120"/>
      <c r="I20" s="2121" t="s">
        <v>1933</v>
      </c>
      <c r="J20" s="1043"/>
      <c r="K20" s="130"/>
      <c r="L20" s="1725"/>
      <c r="M20" s="1725"/>
      <c r="N20" s="1725"/>
      <c r="O20" s="1725"/>
      <c r="P20" s="1725"/>
      <c r="Q20" s="1725"/>
      <c r="R20" s="1725"/>
      <c r="S20" s="1725"/>
      <c r="T20" s="1725"/>
      <c r="U20" s="1725"/>
      <c r="V20" s="1725"/>
      <c r="W20" s="1725"/>
      <c r="X20" s="1725"/>
      <c r="Y20" s="1725"/>
      <c r="Z20" s="1725"/>
    </row>
    <row r="21" spans="1:26" s="1724" customFormat="1" ht="13.5" customHeight="1">
      <c r="A21" s="2148" t="s">
        <v>1385</v>
      </c>
      <c r="B21" s="2149" t="s">
        <v>451</v>
      </c>
      <c r="C21" s="49">
        <f ca="1">ROUND(D21*E21/10000,0)</f>
        <v>0</v>
      </c>
      <c r="D21" s="2150">
        <f ca="1">IF(B1="",'数据-汇总表'!E5,IF(INDIRECT("'数据-取费表'!c"&amp;$K$1)="住宅",INDIRECT("'数据-取费表'!k"&amp;$K$1),0))</f>
        <v>0</v>
      </c>
      <c r="E21" s="49">
        <f>'数据-取费表'!B27</f>
        <v>0</v>
      </c>
      <c r="F21" s="2152"/>
      <c r="G21" s="22"/>
      <c r="H21" s="47"/>
      <c r="I21" s="47"/>
      <c r="J21" s="47"/>
      <c r="K21" s="2125"/>
      <c r="L21" s="1725"/>
      <c r="M21" s="1725"/>
      <c r="N21" s="1725"/>
      <c r="O21" s="1725"/>
      <c r="P21" s="1725"/>
      <c r="Q21" s="1725"/>
      <c r="R21" s="1725"/>
      <c r="S21" s="1725"/>
      <c r="T21" s="1725"/>
      <c r="U21" s="1725"/>
      <c r="V21" s="1725"/>
      <c r="W21" s="1725"/>
      <c r="X21" s="1725"/>
      <c r="Y21" s="1725"/>
      <c r="Z21" s="1725"/>
    </row>
    <row r="22" spans="1:26" s="1724" customFormat="1" ht="13.5" customHeight="1">
      <c r="A22" s="2148" t="s">
        <v>1386</v>
      </c>
      <c r="B22" s="2149" t="s">
        <v>452</v>
      </c>
      <c r="C22" s="49">
        <f ca="1">ROUND(D22*E22/10000,0)</f>
        <v>1410</v>
      </c>
      <c r="D22" s="2150">
        <f ca="1">IF(B1="",'数据-汇总表'!E6,IF(INDIRECT("'数据-取费表'!c"&amp;$K$1)="住宅",INDIRECT("'数据-取费表'!s"&amp;$K$1),INDIRECT("'数据-取费表'!k"&amp;$K$1)+INDIRECT("'数据-取费表'!s"&amp;$K$1)))</f>
        <v>82949.97</v>
      </c>
      <c r="E22" s="49">
        <f>'数据-取费表'!B28</f>
        <v>170</v>
      </c>
      <c r="F22" s="2152"/>
      <c r="G22" s="22"/>
      <c r="H22" s="47"/>
      <c r="I22" s="47"/>
      <c r="J22" s="47"/>
      <c r="K22" s="2125"/>
      <c r="L22" s="1725"/>
      <c r="M22" s="1725"/>
      <c r="N22" s="1725"/>
      <c r="O22" s="1725"/>
      <c r="P22" s="1725"/>
      <c r="Q22" s="1725"/>
      <c r="R22" s="1725"/>
      <c r="S22" s="1725"/>
      <c r="T22" s="1725"/>
      <c r="U22" s="1725"/>
      <c r="V22" s="1725"/>
      <c r="W22" s="1725"/>
      <c r="X22" s="1725"/>
      <c r="Y22" s="1725"/>
      <c r="Z22" s="1725"/>
    </row>
    <row r="23" spans="1:26" s="1724" customFormat="1" ht="13.5" customHeight="1">
      <c r="A23" s="2155" t="s">
        <v>1387</v>
      </c>
      <c r="B23" s="2319" t="s">
        <v>2109</v>
      </c>
      <c r="C23" s="2157" t="e">
        <f ca="1">ROUND((C18+C19+C20)*F23,0)</f>
        <v>#VALUE!</v>
      </c>
      <c r="D23" s="437"/>
      <c r="E23" s="437"/>
      <c r="F23" s="2161">
        <f>'数据-取费表'!B37</f>
        <v>0.02</v>
      </c>
      <c r="G23" s="2122" t="s">
        <v>1782</v>
      </c>
      <c r="H23" s="2123"/>
      <c r="I23" s="2123"/>
      <c r="J23" s="2123"/>
      <c r="K23" s="2124"/>
      <c r="L23" s="2706"/>
      <c r="M23" s="2706"/>
      <c r="N23" s="2706"/>
      <c r="O23" s="1725"/>
      <c r="P23" s="1725"/>
      <c r="Q23" s="1725"/>
      <c r="R23" s="1725"/>
      <c r="S23" s="1725"/>
      <c r="T23" s="1725"/>
      <c r="U23" s="1725"/>
      <c r="V23" s="1725"/>
      <c r="W23" s="1725"/>
      <c r="X23" s="1725"/>
      <c r="Y23" s="1725"/>
      <c r="Z23" s="1725"/>
    </row>
    <row r="24" spans="1:26" s="1724" customFormat="1" ht="13.5" customHeight="1">
      <c r="A24" s="2155" t="s">
        <v>1388</v>
      </c>
      <c r="B24" s="2319" t="s">
        <v>2112</v>
      </c>
      <c r="C24" s="2157">
        <f ca="1">ROUND(C6*F24,0)</f>
        <v>791</v>
      </c>
      <c r="D24" s="444"/>
      <c r="E24" s="442"/>
      <c r="F24" s="2161">
        <f>'数据-取费表'!B38</f>
        <v>0.02</v>
      </c>
      <c r="G24" s="2127" t="s">
        <v>459</v>
      </c>
      <c r="H24" s="1061"/>
      <c r="I24" s="1061"/>
      <c r="J24" s="1061"/>
      <c r="K24" s="258"/>
      <c r="L24" s="2706"/>
      <c r="M24" s="2706"/>
      <c r="N24" s="2706"/>
      <c r="O24" s="1725"/>
      <c r="P24" s="1725"/>
      <c r="Q24" s="1725"/>
      <c r="R24" s="1725"/>
      <c r="S24" s="1725"/>
      <c r="T24" s="1725"/>
      <c r="U24" s="1725"/>
      <c r="V24" s="1725"/>
      <c r="W24" s="1725"/>
      <c r="X24" s="1725"/>
      <c r="Y24" s="1725"/>
      <c r="Z24" s="1725"/>
    </row>
    <row r="25" spans="1:26" s="1727" customFormat="1" ht="13.5" customHeight="1">
      <c r="A25" s="2155" t="s">
        <v>1389</v>
      </c>
      <c r="B25" s="2319" t="s">
        <v>2110</v>
      </c>
      <c r="C25" s="436">
        <f>ROUND(F25/(1+'数据-取费表'!C42),4)</f>
        <v>2.9000000000000001E-2</v>
      </c>
      <c r="D25" s="431" t="s">
        <v>2105</v>
      </c>
      <c r="E25" s="438"/>
      <c r="F25" s="2161">
        <f>IF(项目基本情况!B8="出让",0,'数据-取费表'!B48+'数据-取费表'!B49)</f>
        <v>3.0499999999999999E-2</v>
      </c>
      <c r="G25" s="2126" t="s">
        <v>1647</v>
      </c>
      <c r="H25" s="2123"/>
      <c r="I25" s="2123"/>
      <c r="J25" s="2123"/>
      <c r="K25" s="2124"/>
      <c r="L25" s="2707"/>
      <c r="M25" s="2707"/>
      <c r="N25" s="2707"/>
      <c r="O25" s="2707"/>
      <c r="P25" s="2707"/>
      <c r="Q25" s="2707"/>
      <c r="R25" s="2707"/>
      <c r="S25" s="2707"/>
      <c r="T25" s="2707"/>
      <c r="U25" s="2707"/>
      <c r="V25" s="2707"/>
      <c r="W25" s="2707"/>
      <c r="X25" s="2707"/>
      <c r="Y25" s="2707"/>
      <c r="Z25" s="2707"/>
    </row>
    <row r="26" spans="1:26" s="1726" customFormat="1" ht="13.5" customHeight="1">
      <c r="A26" s="2155" t="s">
        <v>1390</v>
      </c>
      <c r="B26" s="2320" t="s">
        <v>2111</v>
      </c>
      <c r="C26" s="2162" t="e">
        <f ca="1">C28</f>
        <v>#VALUE!</v>
      </c>
      <c r="D26" s="436">
        <f ca="1">C27</f>
        <v>0</v>
      </c>
      <c r="E26" s="438" t="s">
        <v>455</v>
      </c>
      <c r="F26" s="440">
        <f ca="1">'数据-取费表'!B40</f>
        <v>3.4500000000000003E-2</v>
      </c>
      <c r="G26" s="2045" t="str">
        <f>IF('数据-取费表'!B22&lt;=1,"单利计息。","复利计息。")&amp;"后续开发成本、管理费用及销售费用产生的利息。"</f>
        <v>复利计息。后续开发成本、管理费用及销售费用产生的利息。</v>
      </c>
      <c r="H26" s="1043"/>
      <c r="I26" s="1043"/>
      <c r="J26" s="1043"/>
      <c r="K26" s="130"/>
      <c r="L26" s="2706"/>
      <c r="M26" s="2706"/>
      <c r="N26" s="2706"/>
      <c r="O26" s="2706"/>
      <c r="P26" s="2706"/>
      <c r="Q26" s="2706"/>
      <c r="R26" s="2706"/>
      <c r="S26" s="2706"/>
      <c r="T26" s="2706"/>
      <c r="U26" s="2706"/>
      <c r="V26" s="2706"/>
      <c r="W26" s="2706"/>
      <c r="X26" s="2706"/>
      <c r="Y26" s="2706"/>
      <c r="Z26" s="2706"/>
    </row>
    <row r="27" spans="1:26" s="1728" customFormat="1" ht="13.5" customHeight="1">
      <c r="A27" s="738" t="s">
        <v>1385</v>
      </c>
      <c r="B27" s="2163" t="s">
        <v>456</v>
      </c>
      <c r="C27" s="2164">
        <f ca="1">ROUND(IF('数据-取费表'!B22&lt;=1,(1+C25)*F26*'数据-取费表'!B24,(1+C25)*(POWER((1+F26),'数据-取费表'!B24)-1)),4)</f>
        <v>0</v>
      </c>
      <c r="D27" s="441"/>
      <c r="E27" s="442"/>
      <c r="F27" s="443"/>
      <c r="G27" s="2045" t="str">
        <f>IF('数据-取费表'!B22&lt;=1,"（1+取得税费率/(1+5%)）×年利率×建设期","（1+取得税费率）/(1+5%)×((1+年利率)^建设期-1)")</f>
        <v>（1+取得税费率）/(1+5%)×((1+年利率)^建设期-1)</v>
      </c>
      <c r="H27" s="1061"/>
      <c r="I27" s="1061"/>
      <c r="J27" s="1061"/>
      <c r="K27" s="258"/>
      <c r="L27" s="2708"/>
      <c r="M27" s="2708"/>
      <c r="N27" s="2708"/>
      <c r="O27" s="2708"/>
      <c r="P27" s="2708"/>
      <c r="Q27" s="2708"/>
      <c r="R27" s="2708"/>
      <c r="S27" s="2708"/>
      <c r="T27" s="2708"/>
      <c r="U27" s="2708"/>
      <c r="V27" s="2708"/>
      <c r="W27" s="2708"/>
      <c r="X27" s="2708"/>
      <c r="Y27" s="2708"/>
      <c r="Z27" s="2708"/>
    </row>
    <row r="28" spans="1:26" s="1728" customFormat="1" ht="13.5" customHeight="1">
      <c r="A28" s="738" t="s">
        <v>1386</v>
      </c>
      <c r="B28" s="2163" t="s">
        <v>2113</v>
      </c>
      <c r="C28" s="2165" t="e">
        <f ca="1">ROUND(IF('数据-取费表'!B22&lt;=1,(C18+C19+C20+C23+C24)*F26*'数据-取费表'!B24/2,(C18+C19+C20+C23+C24)*(POWER((1+F26),'数据-取费表'!B24/2)-1)),0)</f>
        <v>#VALUE!</v>
      </c>
      <c r="D28" s="441"/>
      <c r="E28" s="442"/>
      <c r="F28" s="443"/>
      <c r="G28" s="2045" t="str">
        <f>IF('数据-取费表'!B22&lt;=1,"（1）-（4）项×年利率×建设期÷2","（1）-（4）项×((1+年利率)^(建设期÷2)-1)")</f>
        <v>（1）-（4）项×((1+年利率)^(建设期÷2)-1)</v>
      </c>
      <c r="H28" s="1061"/>
      <c r="I28" s="1061"/>
      <c r="J28" s="1061"/>
      <c r="K28" s="258"/>
      <c r="L28" s="2708"/>
      <c r="M28" s="2708"/>
      <c r="N28" s="2708"/>
      <c r="O28" s="2708"/>
      <c r="P28" s="2708"/>
      <c r="Q28" s="2708"/>
      <c r="R28" s="2708"/>
      <c r="S28" s="2708"/>
      <c r="T28" s="2708"/>
      <c r="U28" s="2708"/>
      <c r="V28" s="2708"/>
      <c r="W28" s="2708"/>
      <c r="X28" s="2708"/>
      <c r="Y28" s="2708"/>
      <c r="Z28" s="2708"/>
    </row>
    <row r="29" spans="1:26" s="1728" customFormat="1" ht="13.5" customHeight="1">
      <c r="A29" s="2166" t="s">
        <v>1391</v>
      </c>
      <c r="B29" s="2156" t="s">
        <v>457</v>
      </c>
      <c r="C29" s="2157">
        <f ca="1">ROUND(C6*F29/(1+'数据-取费表'!C42),0)</f>
        <v>2072</v>
      </c>
      <c r="D29" s="437"/>
      <c r="E29" s="437"/>
      <c r="F29" s="2321">
        <f>'数据-取费表'!B41</f>
        <v>5.5000000000000007E-2</v>
      </c>
      <c r="G29" s="2127" t="s">
        <v>458</v>
      </c>
      <c r="H29" s="2123"/>
      <c r="I29" s="2123"/>
      <c r="J29" s="2123"/>
      <c r="K29" s="2124"/>
      <c r="L29" s="2708"/>
      <c r="M29" s="2708"/>
      <c r="N29" s="2708"/>
      <c r="O29" s="2708"/>
      <c r="P29" s="2708"/>
      <c r="Q29" s="2708"/>
      <c r="R29" s="2708"/>
      <c r="S29" s="2708"/>
      <c r="T29" s="2708"/>
      <c r="U29" s="2708"/>
      <c r="V29" s="2708"/>
      <c r="W29" s="2708"/>
      <c r="X29" s="2708"/>
      <c r="Y29" s="2708"/>
      <c r="Z29" s="2708"/>
    </row>
    <row r="30" spans="1:26" s="1729" customFormat="1" ht="13.5" customHeight="1">
      <c r="A30" s="1357" t="s">
        <v>1392</v>
      </c>
      <c r="B30" s="2167" t="s">
        <v>460</v>
      </c>
      <c r="C30" s="2162" t="e">
        <f ca="1">C31</f>
        <v>#VALUE!</v>
      </c>
      <c r="D30" s="446">
        <f ca="1">C32</f>
        <v>2.9000000000000001E-2</v>
      </c>
      <c r="E30" s="438" t="s">
        <v>455</v>
      </c>
      <c r="F30" s="440"/>
      <c r="G30" s="2126" t="s">
        <v>2230</v>
      </c>
      <c r="H30" s="2123"/>
      <c r="I30" s="2123"/>
      <c r="J30" s="2123"/>
      <c r="K30" s="2124"/>
      <c r="L30" s="2709"/>
      <c r="M30" s="2709"/>
      <c r="N30" s="2709"/>
      <c r="O30" s="2709"/>
      <c r="P30" s="2709"/>
      <c r="Q30" s="2709"/>
      <c r="R30" s="2709"/>
      <c r="S30" s="2709"/>
      <c r="T30" s="2709"/>
      <c r="U30" s="2709"/>
      <c r="V30" s="2709"/>
      <c r="W30" s="2709"/>
      <c r="X30" s="2709"/>
      <c r="Y30" s="2709"/>
      <c r="Z30" s="2709"/>
    </row>
    <row r="31" spans="1:26" s="1728" customFormat="1" ht="13.5" customHeight="1">
      <c r="A31" s="738" t="s">
        <v>1385</v>
      </c>
      <c r="B31" s="2163"/>
      <c r="C31" s="419" t="e">
        <f ca="1">C18+C19+C20+C23+C24+C26+C29</f>
        <v>#VALUE!</v>
      </c>
      <c r="D31" s="441"/>
      <c r="E31" s="442"/>
      <c r="F31" s="443"/>
      <c r="G31" s="241"/>
      <c r="H31" s="1061"/>
      <c r="I31" s="1061"/>
      <c r="J31" s="1061"/>
      <c r="K31" s="258"/>
      <c r="L31" s="2708"/>
      <c r="M31" s="2708"/>
      <c r="N31" s="2708"/>
      <c r="O31" s="2708"/>
      <c r="P31" s="2708"/>
      <c r="Q31" s="2708"/>
      <c r="R31" s="2708"/>
      <c r="S31" s="2708"/>
      <c r="T31" s="2708"/>
      <c r="U31" s="2708"/>
      <c r="V31" s="2708"/>
      <c r="W31" s="2708"/>
      <c r="X31" s="2708"/>
      <c r="Y31" s="2708"/>
      <c r="Z31" s="2708"/>
    </row>
    <row r="32" spans="1:26" s="1728" customFormat="1" ht="13.5" customHeight="1">
      <c r="A32" s="738" t="s">
        <v>1386</v>
      </c>
      <c r="B32" s="2163"/>
      <c r="C32" s="49">
        <f ca="1">ROUND(C25+D26,4)</f>
        <v>2.9000000000000001E-2</v>
      </c>
      <c r="D32" s="441"/>
      <c r="E32" s="442"/>
      <c r="F32" s="443"/>
      <c r="G32" s="241"/>
      <c r="H32" s="1061"/>
      <c r="I32" s="1061"/>
      <c r="J32" s="1061"/>
      <c r="K32" s="258"/>
      <c r="L32" s="2708"/>
      <c r="M32" s="2708"/>
      <c r="N32" s="2708"/>
      <c r="O32" s="2708"/>
      <c r="P32" s="2708"/>
      <c r="Q32" s="2708"/>
      <c r="R32" s="2708"/>
      <c r="S32" s="2708"/>
      <c r="T32" s="2708"/>
      <c r="U32" s="2708"/>
      <c r="V32" s="2708"/>
      <c r="W32" s="2708"/>
      <c r="X32" s="2708"/>
      <c r="Y32" s="2708"/>
      <c r="Z32" s="2708"/>
    </row>
    <row r="33" spans="1:26" s="1730" customFormat="1" ht="13.5" customHeight="1">
      <c r="A33" s="2318" t="s">
        <v>2108</v>
      </c>
      <c r="B33" s="2316" t="s">
        <v>2106</v>
      </c>
      <c r="C33" s="447" t="e">
        <f ca="1">C35</f>
        <v>#VALUE!</v>
      </c>
      <c r="D33" s="436">
        <f ca="1">C34</f>
        <v>0.10290000000000001</v>
      </c>
      <c r="E33" s="438" t="s">
        <v>455</v>
      </c>
      <c r="F33" s="448">
        <f ca="1">IF(B1="",'数据-取费表'!Q16,INDIRECT("'数据-取费表'!q"&amp;$K$1))</f>
        <v>0.1</v>
      </c>
      <c r="G33" s="1042"/>
      <c r="H33" s="1043"/>
      <c r="I33" s="1043"/>
      <c r="J33" s="1043"/>
      <c r="K33" s="130"/>
      <c r="L33" s="2710"/>
      <c r="M33" s="2710"/>
      <c r="N33" s="2710"/>
      <c r="O33" s="2710"/>
      <c r="P33" s="2710"/>
      <c r="Q33" s="2710"/>
      <c r="R33" s="2710"/>
      <c r="S33" s="2710"/>
      <c r="T33" s="2710"/>
      <c r="U33" s="2710"/>
      <c r="V33" s="2710"/>
      <c r="W33" s="2710"/>
      <c r="X33" s="2710"/>
      <c r="Y33" s="2710"/>
      <c r="Z33" s="2710"/>
    </row>
    <row r="34" spans="1:26" s="1731" customFormat="1" ht="13.5" customHeight="1">
      <c r="A34" s="345" t="s">
        <v>1385</v>
      </c>
      <c r="B34" s="2168" t="s">
        <v>461</v>
      </c>
      <c r="C34" s="441">
        <f ca="1">ROUND((1+C25)*F33,4)</f>
        <v>0.10290000000000001</v>
      </c>
      <c r="D34" s="441"/>
      <c r="E34" s="442"/>
      <c r="F34" s="449"/>
      <c r="G34" s="241" t="s">
        <v>1648</v>
      </c>
      <c r="H34" s="1061"/>
      <c r="I34" s="1061"/>
      <c r="J34" s="1061"/>
      <c r="K34" s="258"/>
      <c r="L34" s="2711"/>
      <c r="M34" s="2711"/>
      <c r="N34" s="2711"/>
      <c r="O34" s="2711"/>
      <c r="P34" s="2711"/>
      <c r="Q34" s="2711"/>
      <c r="R34" s="2711"/>
      <c r="S34" s="2711"/>
      <c r="T34" s="2711"/>
      <c r="U34" s="2711"/>
      <c r="V34" s="2711"/>
      <c r="W34" s="2711"/>
      <c r="X34" s="2711"/>
      <c r="Y34" s="2711"/>
      <c r="Z34" s="2711"/>
    </row>
    <row r="35" spans="1:26" s="1731" customFormat="1" ht="13.5" customHeight="1" thickBot="1">
      <c r="A35" s="1358" t="s">
        <v>1386</v>
      </c>
      <c r="B35" s="2317" t="s">
        <v>2114</v>
      </c>
      <c r="C35" s="1350" t="e">
        <f ca="1">ROUND((C18+C19+C20+C23+C24)*F33,0)</f>
        <v>#VALUE!</v>
      </c>
      <c r="D35" s="1351"/>
      <c r="E35" s="2169"/>
      <c r="F35" s="1352"/>
      <c r="G35" s="2128"/>
      <c r="H35" s="2129"/>
      <c r="I35" s="2129"/>
      <c r="J35" s="2129"/>
      <c r="K35" s="2130"/>
      <c r="L35" s="2711"/>
      <c r="M35" s="2711"/>
      <c r="N35" s="2711"/>
      <c r="O35" s="2711"/>
      <c r="P35" s="2711"/>
      <c r="Q35" s="2711"/>
      <c r="R35" s="2711"/>
      <c r="S35" s="2711"/>
      <c r="T35" s="2711"/>
      <c r="U35" s="2711"/>
      <c r="V35" s="2711"/>
      <c r="W35" s="2711"/>
      <c r="X35" s="2711"/>
      <c r="Y35" s="2711"/>
      <c r="Z35" s="2711"/>
    </row>
    <row r="36" spans="1:26" s="1695" customFormat="1" ht="13.5" customHeight="1" thickBot="1">
      <c r="A36" s="262" t="s">
        <v>1373</v>
      </c>
      <c r="B36" s="2132"/>
      <c r="C36" s="2170" t="e">
        <f ca="1">ROUND((C6-C30-C33)/(1+D30+D33),0)</f>
        <v>#VALUE!</v>
      </c>
      <c r="D36" s="2132"/>
      <c r="E36" s="2132"/>
      <c r="F36" s="2132"/>
      <c r="G36" s="2131" t="s">
        <v>2115</v>
      </c>
      <c r="H36" s="2132"/>
      <c r="I36" s="2132"/>
      <c r="J36" s="2132"/>
      <c r="K36" s="2133"/>
      <c r="L36" s="2705"/>
      <c r="M36" s="2705"/>
      <c r="N36" s="2705"/>
      <c r="O36" s="2705"/>
      <c r="P36" s="2705"/>
      <c r="Q36" s="2705"/>
      <c r="R36" s="2705"/>
      <c r="S36" s="2705"/>
      <c r="T36" s="2705"/>
      <c r="U36" s="2705"/>
      <c r="V36" s="2705"/>
      <c r="W36" s="2705"/>
      <c r="X36" s="2705"/>
      <c r="Y36" s="2705"/>
      <c r="Z36" s="2705"/>
    </row>
    <row r="37" spans="1:26" s="1723" customFormat="1">
      <c r="A37" s="2712"/>
      <c r="C37" s="2713"/>
      <c r="E37" s="2712"/>
    </row>
    <row r="38" spans="1:26" s="1723" customFormat="1" ht="12.75" customHeight="1">
      <c r="A38" s="2712"/>
      <c r="C38" s="2713"/>
      <c r="E38" s="2712"/>
    </row>
    <row r="39" spans="1:26" s="1723" customFormat="1">
      <c r="A39" s="2712"/>
      <c r="C39" s="2713"/>
      <c r="E39" s="2712"/>
    </row>
    <row r="40" spans="1:26" s="1723" customFormat="1">
      <c r="A40" s="2712"/>
      <c r="C40" s="2713"/>
      <c r="E40" s="2712"/>
    </row>
    <row r="41" spans="1:26" s="1723" customFormat="1">
      <c r="A41" s="2712"/>
      <c r="C41" s="2713"/>
      <c r="E41" s="2712"/>
    </row>
    <row r="42" spans="1:26" s="1723" customFormat="1">
      <c r="A42" s="2712"/>
      <c r="C42" s="2713"/>
      <c r="E42" s="2712"/>
    </row>
    <row r="43" spans="1:26" s="1723" customFormat="1">
      <c r="A43" s="2712"/>
      <c r="C43" s="2713"/>
      <c r="E43" s="2712"/>
    </row>
    <row r="44" spans="1:26" s="1723" customFormat="1">
      <c r="A44" s="2712"/>
      <c r="C44" s="2713"/>
      <c r="E44" s="2712"/>
    </row>
    <row r="45" spans="1:26" s="1723" customFormat="1">
      <c r="A45" s="2712"/>
      <c r="C45" s="2713"/>
      <c r="E45" s="2712"/>
    </row>
    <row r="46" spans="1:26" s="1723" customFormat="1">
      <c r="A46" s="2712"/>
      <c r="C46" s="2713"/>
      <c r="E46" s="2712"/>
    </row>
    <row r="47" spans="1:26" s="1723" customFormat="1">
      <c r="A47" s="2712"/>
      <c r="C47" s="2713"/>
      <c r="E47" s="2712"/>
    </row>
    <row r="48" spans="1:26" s="1723" customFormat="1">
      <c r="A48" s="2712"/>
      <c r="C48" s="2713"/>
      <c r="E48" s="2712"/>
    </row>
    <row r="49" spans="1:5" s="1723" customFormat="1">
      <c r="A49" s="2712"/>
      <c r="C49" s="2713"/>
      <c r="E49" s="2712"/>
    </row>
    <row r="50" spans="1:5" s="1723" customFormat="1">
      <c r="A50" s="2712"/>
      <c r="C50" s="2713"/>
      <c r="E50" s="2712"/>
    </row>
    <row r="51" spans="1:5" s="1723" customFormat="1">
      <c r="A51" s="2712"/>
      <c r="C51" s="2713"/>
      <c r="E51" s="2712"/>
    </row>
    <row r="52" spans="1:5" s="1723" customFormat="1">
      <c r="A52" s="2712"/>
      <c r="C52" s="2713"/>
      <c r="E52" s="2712"/>
    </row>
    <row r="53" spans="1:5" s="1723" customFormat="1">
      <c r="A53" s="2712"/>
      <c r="C53" s="2713"/>
      <c r="E53" s="2712"/>
    </row>
    <row r="54" spans="1:5" s="1723" customFormat="1">
      <c r="A54" s="2712"/>
      <c r="C54" s="2713"/>
      <c r="E54" s="2712"/>
    </row>
    <row r="55" spans="1:5" s="1723" customFormat="1">
      <c r="A55" s="2712"/>
      <c r="C55" s="2713"/>
      <c r="E55" s="2712"/>
    </row>
    <row r="56" spans="1:5" s="1723" customFormat="1">
      <c r="A56" s="2712"/>
      <c r="C56" s="2713"/>
      <c r="E56" s="2712"/>
    </row>
    <row r="57" spans="1:5" s="1723" customFormat="1">
      <c r="A57" s="2712"/>
      <c r="C57" s="2713"/>
      <c r="E57" s="2712"/>
    </row>
    <row r="58" spans="1:5" s="1723" customFormat="1">
      <c r="A58" s="2712"/>
      <c r="C58" s="2713"/>
      <c r="E58" s="2712"/>
    </row>
    <row r="59" spans="1:5" s="1723" customFormat="1">
      <c r="A59" s="2712"/>
      <c r="C59" s="2713"/>
      <c r="E59" s="2712"/>
    </row>
    <row r="60" spans="1:5" s="1723" customFormat="1">
      <c r="A60" s="2712"/>
      <c r="C60" s="2713"/>
      <c r="E60" s="2712"/>
    </row>
    <row r="61" spans="1:5" s="1723" customFormat="1">
      <c r="A61" s="2712"/>
      <c r="C61" s="2713"/>
      <c r="E61" s="2712"/>
    </row>
    <row r="62" spans="1:5" s="1723" customFormat="1">
      <c r="A62" s="2712"/>
      <c r="C62" s="2713"/>
      <c r="E62" s="2712"/>
    </row>
    <row r="63" spans="1:5" s="1723" customFormat="1">
      <c r="A63" s="2712"/>
      <c r="C63" s="2713"/>
      <c r="E63" s="2712"/>
    </row>
    <row r="64" spans="1:5" s="1723" customFormat="1">
      <c r="A64" s="2712"/>
      <c r="C64" s="2713"/>
      <c r="E64" s="2712"/>
    </row>
    <row r="65" spans="1:5" s="1723" customFormat="1">
      <c r="A65" s="2712"/>
      <c r="C65" s="2713"/>
      <c r="E65" s="2712"/>
    </row>
    <row r="66" spans="1:5" s="1723" customFormat="1">
      <c r="A66" s="2712"/>
      <c r="C66" s="2713"/>
      <c r="E66" s="2712"/>
    </row>
    <row r="67" spans="1:5" s="1723" customFormat="1">
      <c r="A67" s="2712"/>
      <c r="C67" s="2713"/>
      <c r="E67" s="2712"/>
    </row>
    <row r="68" spans="1:5" s="1723" customFormat="1">
      <c r="A68" s="2712"/>
      <c r="C68" s="2713"/>
      <c r="E68" s="2712"/>
    </row>
    <row r="69" spans="1:5" s="1723" customFormat="1">
      <c r="A69" s="2712"/>
      <c r="C69" s="2713"/>
      <c r="E69" s="2712"/>
    </row>
    <row r="70" spans="1:5" s="1723" customFormat="1">
      <c r="A70" s="2712"/>
      <c r="C70" s="2713"/>
      <c r="E70" s="2712"/>
    </row>
    <row r="71" spans="1:5" s="1723" customFormat="1">
      <c r="A71" s="2712"/>
      <c r="C71" s="2713"/>
      <c r="E71" s="2712"/>
    </row>
    <row r="72" spans="1:5" s="1723" customFormat="1">
      <c r="A72" s="2712"/>
      <c r="C72" s="2713"/>
      <c r="E72" s="2712"/>
    </row>
    <row r="73" spans="1:5" s="1723" customFormat="1">
      <c r="A73" s="2712"/>
      <c r="C73" s="2713"/>
      <c r="E73" s="2712"/>
    </row>
    <row r="74" spans="1:5" s="1723" customFormat="1">
      <c r="A74" s="2712"/>
      <c r="C74" s="2713"/>
      <c r="E74" s="2712"/>
    </row>
    <row r="75" spans="1:5" s="1723" customFormat="1">
      <c r="A75" s="2712"/>
      <c r="C75" s="2713"/>
      <c r="E75" s="2712"/>
    </row>
    <row r="76" spans="1:5" s="1723" customFormat="1">
      <c r="A76" s="2712"/>
      <c r="C76" s="2713"/>
      <c r="E76" s="2712"/>
    </row>
    <row r="77" spans="1:5" s="1723" customFormat="1">
      <c r="A77" s="2712"/>
      <c r="C77" s="2713"/>
      <c r="E77" s="2712"/>
    </row>
    <row r="78" spans="1:5" s="1723" customFormat="1">
      <c r="A78" s="2712"/>
      <c r="C78" s="2713"/>
      <c r="E78" s="2712"/>
    </row>
    <row r="79" spans="1:5" s="1723" customFormat="1">
      <c r="A79" s="2712"/>
      <c r="C79" s="2713"/>
      <c r="E79" s="2712"/>
    </row>
    <row r="80" spans="1:5" s="1723" customFormat="1">
      <c r="A80" s="2712"/>
      <c r="C80" s="2713"/>
      <c r="E80" s="2712"/>
    </row>
    <row r="81" spans="1:5" s="1723" customFormat="1">
      <c r="A81" s="2712"/>
      <c r="C81" s="2713"/>
      <c r="E81" s="2712"/>
    </row>
    <row r="82" spans="1:5" s="1723" customFormat="1">
      <c r="A82" s="2712"/>
      <c r="C82" s="2713"/>
      <c r="E82" s="2712"/>
    </row>
    <row r="83" spans="1:5" s="1723" customFormat="1">
      <c r="A83" s="2712"/>
      <c r="C83" s="2713"/>
      <c r="E83" s="2712"/>
    </row>
    <row r="84" spans="1:5" s="1723" customFormat="1">
      <c r="A84" s="2712"/>
      <c r="C84" s="2713"/>
      <c r="E84" s="2712"/>
    </row>
    <row r="85" spans="1:5" s="1723" customFormat="1">
      <c r="A85" s="2712"/>
      <c r="C85" s="2713"/>
      <c r="E85" s="2712"/>
    </row>
    <row r="86" spans="1:5" s="1723" customFormat="1">
      <c r="A86" s="2712"/>
      <c r="C86" s="2713"/>
      <c r="E86" s="2712"/>
    </row>
    <row r="87" spans="1:5" s="1723" customFormat="1">
      <c r="A87" s="2712"/>
      <c r="C87" s="2713"/>
      <c r="E87" s="2712"/>
    </row>
    <row r="88" spans="1:5" s="1723" customFormat="1">
      <c r="A88" s="2712"/>
      <c r="C88" s="2713"/>
      <c r="E88" s="2712"/>
    </row>
    <row r="89" spans="1:5" s="1723" customFormat="1">
      <c r="A89" s="2712"/>
      <c r="C89" s="2713"/>
      <c r="E89" s="2712"/>
    </row>
    <row r="90" spans="1:5" s="1723" customFormat="1">
      <c r="A90" s="2712"/>
      <c r="C90" s="2713"/>
      <c r="E90" s="2712"/>
    </row>
    <row r="91" spans="1:5" s="1723" customFormat="1">
      <c r="A91" s="2712"/>
      <c r="C91" s="2713"/>
      <c r="E91" s="2712"/>
    </row>
    <row r="92" spans="1:5" s="1723" customFormat="1">
      <c r="A92" s="2712"/>
      <c r="C92" s="2713"/>
      <c r="E92" s="2712"/>
    </row>
    <row r="93" spans="1:5" s="1723" customFormat="1">
      <c r="A93" s="2712"/>
      <c r="C93" s="2713"/>
      <c r="E93" s="2712"/>
    </row>
    <row r="94" spans="1:5" s="1723" customFormat="1">
      <c r="A94" s="2712"/>
      <c r="C94" s="2713"/>
      <c r="E94" s="2712"/>
    </row>
    <row r="95" spans="1:5" s="1723" customFormat="1">
      <c r="A95" s="2712"/>
      <c r="C95" s="2713"/>
      <c r="E95" s="2712"/>
    </row>
    <row r="96" spans="1:5" s="1723" customFormat="1">
      <c r="A96" s="2712"/>
      <c r="C96" s="2713"/>
      <c r="E96" s="2712"/>
    </row>
    <row r="97" spans="1:5" s="1723" customFormat="1">
      <c r="A97" s="2712"/>
      <c r="C97" s="2713"/>
      <c r="E97" s="2712"/>
    </row>
    <row r="98" spans="1:5" s="1723" customFormat="1">
      <c r="A98" s="2712"/>
      <c r="C98" s="2713"/>
      <c r="E98" s="2712"/>
    </row>
    <row r="99" spans="1:5" s="1723" customFormat="1">
      <c r="A99" s="2712"/>
      <c r="C99" s="2713"/>
      <c r="E99" s="2712"/>
    </row>
    <row r="100" spans="1:5" s="1723" customFormat="1">
      <c r="A100" s="2712"/>
      <c r="C100" s="2713"/>
      <c r="E100" s="2712"/>
    </row>
    <row r="101" spans="1:5" s="1723" customFormat="1">
      <c r="A101" s="2712"/>
      <c r="C101" s="2713"/>
      <c r="E101" s="2712"/>
    </row>
    <row r="102" spans="1:5" s="1723" customFormat="1">
      <c r="A102" s="2712"/>
      <c r="C102" s="2713"/>
      <c r="E102" s="2712"/>
    </row>
    <row r="103" spans="1:5" s="1723" customFormat="1">
      <c r="A103" s="2712"/>
      <c r="C103" s="2713"/>
      <c r="E103" s="2712"/>
    </row>
    <row r="104" spans="1:5" s="1723" customFormat="1">
      <c r="A104" s="2712"/>
      <c r="C104" s="2713"/>
      <c r="E104" s="2712"/>
    </row>
    <row r="105" spans="1:5" s="1723" customFormat="1">
      <c r="A105" s="2712"/>
      <c r="C105" s="2713"/>
      <c r="E105" s="2712"/>
    </row>
    <row r="106" spans="1:5" s="1723" customFormat="1">
      <c r="A106" s="2712"/>
      <c r="C106" s="2713"/>
      <c r="E106" s="2712"/>
    </row>
    <row r="107" spans="1:5" s="1723" customFormat="1">
      <c r="A107" s="2712"/>
      <c r="C107" s="2713"/>
      <c r="E107" s="2712"/>
    </row>
    <row r="108" spans="1:5" s="1723" customFormat="1">
      <c r="A108" s="2712"/>
      <c r="C108" s="2713"/>
      <c r="E108" s="2712"/>
    </row>
    <row r="109" spans="1:5" s="1723" customFormat="1">
      <c r="A109" s="2712"/>
      <c r="C109" s="2713"/>
      <c r="E109" s="2712"/>
    </row>
    <row r="110" spans="1:5" s="1723" customFormat="1">
      <c r="A110" s="2712"/>
      <c r="C110" s="2713"/>
      <c r="E110" s="2712"/>
    </row>
    <row r="111" spans="1:5" s="1723" customFormat="1">
      <c r="A111" s="2712"/>
      <c r="C111" s="2713"/>
      <c r="E111" s="2712"/>
    </row>
    <row r="112" spans="1:5" s="1723" customFormat="1">
      <c r="A112" s="2712"/>
      <c r="C112" s="2713"/>
      <c r="E112" s="2712"/>
    </row>
    <row r="113" spans="1:5" s="1723" customFormat="1">
      <c r="A113" s="2712"/>
      <c r="C113" s="2713"/>
      <c r="E113" s="2712"/>
    </row>
    <row r="114" spans="1:5" s="1723" customFormat="1">
      <c r="A114" s="2712"/>
      <c r="C114" s="2713"/>
      <c r="E114" s="2712"/>
    </row>
    <row r="115" spans="1:5" s="1723" customFormat="1">
      <c r="A115" s="2712"/>
      <c r="C115" s="2713"/>
      <c r="E115" s="2712"/>
    </row>
    <row r="116" spans="1:5" s="1723" customFormat="1">
      <c r="A116" s="2712"/>
      <c r="C116" s="2713"/>
      <c r="E116" s="2712"/>
    </row>
    <row r="117" spans="1:5" s="1723" customFormat="1">
      <c r="A117" s="2712"/>
      <c r="C117" s="2713"/>
      <c r="E117" s="2712"/>
    </row>
    <row r="118" spans="1:5" s="1723" customFormat="1">
      <c r="A118" s="2712"/>
      <c r="C118" s="2713"/>
      <c r="E118" s="2712"/>
    </row>
    <row r="119" spans="1:5" s="1723" customFormat="1">
      <c r="A119" s="2712"/>
      <c r="C119" s="2713"/>
      <c r="E119" s="2712"/>
    </row>
    <row r="120" spans="1:5" s="1723" customFormat="1">
      <c r="A120" s="2712"/>
      <c r="C120" s="2713"/>
      <c r="E120" s="2712"/>
    </row>
    <row r="121" spans="1:5" s="1723" customFormat="1">
      <c r="A121" s="2712"/>
      <c r="C121" s="2713"/>
      <c r="E121" s="2712"/>
    </row>
    <row r="122" spans="1:5" s="1723" customFormat="1">
      <c r="A122" s="2712"/>
      <c r="C122" s="2713"/>
      <c r="E122" s="2712"/>
    </row>
    <row r="123" spans="1:5" s="1723" customFormat="1">
      <c r="A123" s="2712"/>
      <c r="C123" s="2713"/>
      <c r="E123" s="2712"/>
    </row>
    <row r="124" spans="1:5" s="1723" customFormat="1">
      <c r="A124" s="2712"/>
      <c r="C124" s="2713"/>
      <c r="E124" s="2712"/>
    </row>
    <row r="125" spans="1:5" s="1723" customFormat="1">
      <c r="A125" s="2712"/>
      <c r="C125" s="2713"/>
      <c r="E125" s="2712"/>
    </row>
    <row r="126" spans="1:5" s="1723" customFormat="1">
      <c r="A126" s="2712"/>
      <c r="C126" s="2713"/>
      <c r="E126" s="2712"/>
    </row>
    <row r="127" spans="1:5" s="1723" customFormat="1">
      <c r="A127" s="2712"/>
      <c r="C127" s="2713"/>
      <c r="E127" s="2712"/>
    </row>
    <row r="128" spans="1:5" s="1723" customFormat="1">
      <c r="A128" s="2712"/>
      <c r="C128" s="2713"/>
      <c r="E128" s="2712"/>
    </row>
    <row r="129" spans="1:5" s="1723" customFormat="1">
      <c r="A129" s="2712"/>
      <c r="C129" s="2713"/>
      <c r="E129" s="2712"/>
    </row>
    <row r="130" spans="1:5" s="1723" customFormat="1">
      <c r="A130" s="2712"/>
      <c r="C130" s="2713"/>
      <c r="E130" s="2712"/>
    </row>
    <row r="131" spans="1:5" s="1723" customFormat="1">
      <c r="A131" s="2712"/>
      <c r="C131" s="2713"/>
      <c r="E131" s="2712"/>
    </row>
    <row r="132" spans="1:5" s="1723" customFormat="1">
      <c r="A132" s="2712"/>
      <c r="C132" s="2713"/>
      <c r="E132" s="2712"/>
    </row>
    <row r="133" spans="1:5" s="1723" customFormat="1">
      <c r="A133" s="2712"/>
      <c r="C133" s="2713"/>
      <c r="E133" s="2712"/>
    </row>
    <row r="134" spans="1:5" s="1723" customFormat="1">
      <c r="A134" s="2712"/>
      <c r="C134" s="2713"/>
      <c r="E134" s="2712"/>
    </row>
    <row r="135" spans="1:5" s="1723" customFormat="1">
      <c r="A135" s="2712"/>
      <c r="C135" s="2713"/>
      <c r="E135" s="2712"/>
    </row>
    <row r="136" spans="1:5" s="1723" customFormat="1">
      <c r="A136" s="2712"/>
      <c r="C136" s="2713"/>
      <c r="E136" s="2712"/>
    </row>
    <row r="137" spans="1:5" s="1723" customFormat="1">
      <c r="A137" s="2712"/>
      <c r="C137" s="2713"/>
      <c r="E137" s="2712"/>
    </row>
    <row r="138" spans="1:5" s="1723" customFormat="1">
      <c r="A138" s="2712"/>
      <c r="C138" s="2713"/>
      <c r="E138" s="2712"/>
    </row>
    <row r="139" spans="1:5" s="1723" customFormat="1">
      <c r="A139" s="2712"/>
      <c r="C139" s="2713"/>
      <c r="E139" s="2712"/>
    </row>
    <row r="140" spans="1:5" s="1723" customFormat="1">
      <c r="A140" s="2712"/>
      <c r="C140" s="2713"/>
      <c r="E140" s="2712"/>
    </row>
    <row r="141" spans="1:5" s="1723" customFormat="1">
      <c r="A141" s="2712"/>
      <c r="C141" s="2713"/>
      <c r="E141" s="2712"/>
    </row>
    <row r="142" spans="1:5" s="1723" customFormat="1">
      <c r="A142" s="2712"/>
      <c r="C142" s="2713"/>
      <c r="E142" s="2712"/>
    </row>
    <row r="143" spans="1:5" s="1723" customFormat="1">
      <c r="A143" s="2712"/>
      <c r="C143" s="2713"/>
      <c r="E143" s="2712"/>
    </row>
    <row r="144" spans="1:5" s="1723" customFormat="1">
      <c r="A144" s="2712"/>
      <c r="C144" s="2713"/>
      <c r="E144" s="2712"/>
    </row>
    <row r="145" spans="1:5" s="1723" customFormat="1">
      <c r="A145" s="2712"/>
      <c r="C145" s="2713"/>
      <c r="E145" s="2712"/>
    </row>
    <row r="146" spans="1:5" s="1723" customFormat="1">
      <c r="A146" s="2712"/>
      <c r="C146" s="2713"/>
      <c r="E146" s="2712"/>
    </row>
    <row r="147" spans="1:5" s="1723" customFormat="1">
      <c r="A147" s="2712"/>
      <c r="C147" s="2713"/>
      <c r="E147" s="2712"/>
    </row>
    <row r="148" spans="1:5" s="1723" customFormat="1">
      <c r="A148" s="2712"/>
      <c r="C148" s="2713"/>
      <c r="E148" s="2712"/>
    </row>
    <row r="149" spans="1:5" s="1723" customFormat="1">
      <c r="A149" s="2712"/>
      <c r="C149" s="2713"/>
      <c r="E149" s="2712"/>
    </row>
    <row r="150" spans="1:5" s="1723" customFormat="1">
      <c r="A150" s="2712"/>
      <c r="C150" s="2713"/>
      <c r="E150" s="2712"/>
    </row>
    <row r="151" spans="1:5" s="1723" customFormat="1">
      <c r="A151" s="2712"/>
      <c r="C151" s="2713"/>
      <c r="E151" s="2712"/>
    </row>
    <row r="152" spans="1:5" s="1723" customFormat="1">
      <c r="A152" s="2712"/>
      <c r="C152" s="2713"/>
      <c r="E152" s="2712"/>
    </row>
    <row r="153" spans="1:5" s="1723" customFormat="1">
      <c r="A153" s="2712"/>
      <c r="C153" s="2713"/>
      <c r="E153" s="2712"/>
    </row>
    <row r="154" spans="1:5" s="1723" customFormat="1">
      <c r="A154" s="2712"/>
      <c r="C154" s="2713"/>
      <c r="E154" s="2712"/>
    </row>
    <row r="155" spans="1:5" s="1723" customFormat="1">
      <c r="A155" s="2712"/>
      <c r="C155" s="2713"/>
      <c r="E155" s="2712"/>
    </row>
    <row r="156" spans="1:5" s="1723" customFormat="1">
      <c r="A156" s="2712"/>
      <c r="C156" s="2713"/>
      <c r="E156" s="2712"/>
    </row>
    <row r="157" spans="1:5" s="1723" customFormat="1">
      <c r="A157" s="2712"/>
      <c r="C157" s="2713"/>
      <c r="E157" s="2712"/>
    </row>
    <row r="158" spans="1:5" s="1723" customFormat="1">
      <c r="A158" s="2712"/>
      <c r="C158" s="2713"/>
      <c r="E158" s="2712"/>
    </row>
    <row r="159" spans="1:5" s="1723" customFormat="1">
      <c r="A159" s="2712"/>
      <c r="C159" s="2713"/>
      <c r="E159" s="2712"/>
    </row>
    <row r="160" spans="1:5" s="1723" customFormat="1">
      <c r="A160" s="2712"/>
      <c r="C160" s="2713"/>
      <c r="E160" s="2712"/>
    </row>
    <row r="161" spans="1:5" s="1723" customFormat="1">
      <c r="A161" s="2712"/>
      <c r="C161" s="2713"/>
      <c r="E161" s="2712"/>
    </row>
    <row r="162" spans="1:5" s="1723" customFormat="1">
      <c r="A162" s="2712"/>
      <c r="C162" s="2713"/>
      <c r="E162" s="2712"/>
    </row>
    <row r="163" spans="1:5" s="1723" customFormat="1">
      <c r="A163" s="2712"/>
      <c r="C163" s="2713"/>
      <c r="E163" s="2712"/>
    </row>
    <row r="164" spans="1:5" s="1723" customFormat="1">
      <c r="A164" s="2712"/>
      <c r="C164" s="2713"/>
      <c r="E164" s="2712"/>
    </row>
    <row r="165" spans="1:5" s="1723" customFormat="1">
      <c r="A165" s="2712"/>
      <c r="C165" s="2713"/>
      <c r="E165" s="2712"/>
    </row>
    <row r="166" spans="1:5" s="1723" customFormat="1">
      <c r="A166" s="2712"/>
      <c r="C166" s="2713"/>
      <c r="E166" s="2712"/>
    </row>
    <row r="167" spans="1:5" s="1723" customFormat="1">
      <c r="A167" s="2712"/>
      <c r="C167" s="2713"/>
      <c r="E167" s="2712"/>
    </row>
    <row r="168" spans="1:5" s="1723" customFormat="1">
      <c r="A168" s="2712"/>
      <c r="C168" s="2713"/>
      <c r="E168" s="2712"/>
    </row>
    <row r="169" spans="1:5" s="1723" customFormat="1">
      <c r="A169" s="2712"/>
      <c r="C169" s="2713"/>
      <c r="E169" s="2712"/>
    </row>
    <row r="170" spans="1:5" s="1723" customFormat="1">
      <c r="A170" s="2712"/>
      <c r="C170" s="2713"/>
      <c r="E170" s="2712"/>
    </row>
    <row r="171" spans="1:5" s="1723" customFormat="1">
      <c r="A171" s="2712"/>
      <c r="C171" s="2713"/>
      <c r="E171" s="2712"/>
    </row>
    <row r="172" spans="1:5" s="1723" customFormat="1">
      <c r="A172" s="2712"/>
      <c r="C172" s="2713"/>
      <c r="E172" s="2712"/>
    </row>
    <row r="173" spans="1:5" s="1723" customFormat="1">
      <c r="A173" s="2712"/>
      <c r="C173" s="2713"/>
      <c r="E173" s="2712"/>
    </row>
    <row r="174" spans="1:5" s="1723" customFormat="1">
      <c r="A174" s="2712"/>
      <c r="C174" s="2713"/>
      <c r="E174" s="2712"/>
    </row>
    <row r="175" spans="1:5" s="1723" customFormat="1">
      <c r="A175" s="2712"/>
      <c r="C175" s="2713"/>
      <c r="E175" s="2712"/>
    </row>
    <row r="176" spans="1:5" s="1723" customFormat="1">
      <c r="A176" s="2712"/>
      <c r="C176" s="2713"/>
      <c r="E176" s="2712"/>
    </row>
    <row r="177" spans="1:5" s="1723" customFormat="1">
      <c r="A177" s="2712"/>
      <c r="C177" s="2713"/>
      <c r="E177" s="2712"/>
    </row>
    <row r="178" spans="1:5" s="1723" customFormat="1">
      <c r="A178" s="2712"/>
      <c r="C178" s="2713"/>
      <c r="E178" s="2712"/>
    </row>
    <row r="179" spans="1:5" s="1723" customFormat="1">
      <c r="A179" s="2712"/>
      <c r="C179" s="2713"/>
      <c r="E179" s="2712"/>
    </row>
    <row r="180" spans="1:5" s="1723" customFormat="1">
      <c r="A180" s="2712"/>
      <c r="C180" s="2713"/>
      <c r="E180" s="2712"/>
    </row>
    <row r="181" spans="1:5" s="1723" customFormat="1">
      <c r="A181" s="2712"/>
      <c r="C181" s="2713"/>
      <c r="E181" s="2712"/>
    </row>
    <row r="182" spans="1:5" s="1723" customFormat="1">
      <c r="A182" s="2712"/>
      <c r="C182" s="2713"/>
      <c r="E182" s="2712"/>
    </row>
    <row r="183" spans="1:5" s="1723" customFormat="1">
      <c r="A183" s="2712"/>
      <c r="C183" s="2713"/>
      <c r="E183" s="2712"/>
    </row>
    <row r="184" spans="1:5" s="1723" customFormat="1">
      <c r="A184" s="2712"/>
      <c r="C184" s="2713"/>
      <c r="E184" s="2712"/>
    </row>
    <row r="185" spans="1:5" s="1723" customFormat="1">
      <c r="A185" s="2712"/>
      <c r="C185" s="2713"/>
      <c r="E185" s="2712"/>
    </row>
    <row r="186" spans="1:5" s="1723" customFormat="1">
      <c r="A186" s="2712"/>
      <c r="C186" s="2713"/>
      <c r="E186" s="2712"/>
    </row>
    <row r="187" spans="1:5" s="1723" customFormat="1">
      <c r="A187" s="2712"/>
      <c r="C187" s="2713"/>
      <c r="E187" s="2712"/>
    </row>
    <row r="188" spans="1:5" s="1723" customFormat="1">
      <c r="A188" s="2712"/>
      <c r="C188" s="2713"/>
      <c r="E188" s="2712"/>
    </row>
    <row r="189" spans="1:5" s="1723" customFormat="1">
      <c r="A189" s="2712"/>
      <c r="C189" s="2713"/>
      <c r="E189" s="2712"/>
    </row>
    <row r="190" spans="1:5" s="1723" customFormat="1">
      <c r="A190" s="2712"/>
      <c r="C190" s="2713"/>
      <c r="E190" s="2712"/>
    </row>
    <row r="191" spans="1:5" s="1723" customFormat="1">
      <c r="A191" s="2712"/>
      <c r="C191" s="2713"/>
      <c r="E191" s="2712"/>
    </row>
    <row r="192" spans="1:5" s="1723" customFormat="1">
      <c r="A192" s="2712"/>
      <c r="C192" s="2713"/>
      <c r="E192" s="2712"/>
    </row>
    <row r="193" spans="1:5" s="1723" customFormat="1">
      <c r="A193" s="2712"/>
      <c r="C193" s="2713"/>
      <c r="E193" s="2712"/>
    </row>
    <row r="194" spans="1:5" s="1723" customFormat="1">
      <c r="A194" s="2712"/>
      <c r="C194" s="2713"/>
      <c r="E194" s="2712"/>
    </row>
    <row r="195" spans="1:5" s="1723" customFormat="1">
      <c r="A195" s="2712"/>
      <c r="C195" s="2713"/>
      <c r="E195" s="2712"/>
    </row>
    <row r="196" spans="1:5" s="1723" customFormat="1">
      <c r="A196" s="2712"/>
      <c r="C196" s="2713"/>
      <c r="E196" s="2712"/>
    </row>
    <row r="197" spans="1:5" s="1723" customFormat="1">
      <c r="A197" s="2712"/>
      <c r="C197" s="2713"/>
      <c r="E197" s="2712"/>
    </row>
    <row r="198" spans="1:5" s="1723" customFormat="1">
      <c r="A198" s="2712"/>
      <c r="C198" s="2713"/>
      <c r="E198" s="2712"/>
    </row>
    <row r="199" spans="1:5" s="1723" customFormat="1">
      <c r="A199" s="2712"/>
      <c r="C199" s="2713"/>
      <c r="E199" s="2712"/>
    </row>
    <row r="200" spans="1:5" s="1723" customFormat="1">
      <c r="A200" s="2712"/>
      <c r="C200" s="2713"/>
      <c r="E200" s="2712"/>
    </row>
    <row r="201" spans="1:5" s="1723" customFormat="1">
      <c r="A201" s="2712"/>
      <c r="C201" s="2713"/>
      <c r="E201" s="2712"/>
    </row>
    <row r="202" spans="1:5" s="1723" customFormat="1">
      <c r="A202" s="2712"/>
      <c r="C202" s="2713"/>
      <c r="E202" s="2712"/>
    </row>
    <row r="203" spans="1:5" s="1723" customFormat="1">
      <c r="A203" s="2712"/>
      <c r="C203" s="2713"/>
      <c r="E203" s="2712"/>
    </row>
    <row r="204" spans="1:5" s="1723" customFormat="1">
      <c r="A204" s="2712"/>
      <c r="C204" s="2713"/>
      <c r="E204" s="2712"/>
    </row>
    <row r="205" spans="1:5" s="1723" customFormat="1">
      <c r="A205" s="2712"/>
      <c r="C205" s="2713"/>
      <c r="E205" s="2712"/>
    </row>
    <row r="206" spans="1:5" s="1723" customFormat="1">
      <c r="A206" s="2712"/>
      <c r="C206" s="2713"/>
      <c r="E206" s="2712"/>
    </row>
    <row r="207" spans="1:5" s="1723" customFormat="1">
      <c r="A207" s="2712"/>
      <c r="C207" s="2713"/>
      <c r="E207" s="2712"/>
    </row>
    <row r="208" spans="1:5" s="1723" customFormat="1">
      <c r="A208" s="2712"/>
      <c r="C208" s="2713"/>
      <c r="E208" s="2712"/>
    </row>
    <row r="209" spans="1:5" s="1723" customFormat="1">
      <c r="A209" s="2712"/>
      <c r="C209" s="2713"/>
      <c r="E209" s="2712"/>
    </row>
    <row r="210" spans="1:5" s="1723" customFormat="1">
      <c r="A210" s="2712"/>
      <c r="C210" s="2713"/>
      <c r="E210" s="2712"/>
    </row>
    <row r="211" spans="1:5" s="1723" customFormat="1">
      <c r="A211" s="2712"/>
      <c r="C211" s="2713"/>
      <c r="E211" s="2712"/>
    </row>
    <row r="212" spans="1:5" s="1723" customFormat="1">
      <c r="A212" s="2712"/>
      <c r="C212" s="2713"/>
      <c r="E212" s="2712"/>
    </row>
    <row r="213" spans="1:5" s="1723" customFormat="1">
      <c r="A213" s="2712"/>
      <c r="C213" s="2713"/>
      <c r="E213" s="2712"/>
    </row>
    <row r="214" spans="1:5" s="1723" customFormat="1">
      <c r="A214" s="2712"/>
      <c r="C214" s="2713"/>
      <c r="E214" s="2712"/>
    </row>
    <row r="215" spans="1:5" s="1723" customFormat="1">
      <c r="A215" s="2712"/>
      <c r="C215" s="2713"/>
      <c r="E215" s="2712"/>
    </row>
    <row r="216" spans="1:5" s="1723" customFormat="1">
      <c r="A216" s="2712"/>
      <c r="C216" s="2713"/>
      <c r="E216" s="2712"/>
    </row>
    <row r="217" spans="1:5" s="1723" customFormat="1">
      <c r="A217" s="2712"/>
      <c r="C217" s="2713"/>
      <c r="E217" s="2712"/>
    </row>
    <row r="218" spans="1:5" s="1723" customFormat="1">
      <c r="A218" s="2712"/>
      <c r="C218" s="2713"/>
      <c r="E218" s="2712"/>
    </row>
    <row r="219" spans="1:5" s="1723" customFormat="1">
      <c r="A219" s="2712"/>
      <c r="C219" s="2713"/>
      <c r="E219" s="2712"/>
    </row>
    <row r="220" spans="1:5" s="1723" customFormat="1">
      <c r="A220" s="2712"/>
      <c r="C220" s="2713"/>
      <c r="E220" s="2712"/>
    </row>
    <row r="221" spans="1:5" s="1723" customFormat="1">
      <c r="A221" s="2712"/>
      <c r="C221" s="2713"/>
      <c r="E221" s="2712"/>
    </row>
    <row r="222" spans="1:5" s="1723" customFormat="1">
      <c r="A222" s="2712"/>
      <c r="C222" s="2713"/>
      <c r="E222" s="2712"/>
    </row>
    <row r="223" spans="1:5" s="1723" customFormat="1">
      <c r="A223" s="2712"/>
      <c r="C223" s="2713"/>
      <c r="E223" s="2712"/>
    </row>
    <row r="224" spans="1:5" s="1723" customFormat="1">
      <c r="A224" s="2712"/>
      <c r="C224" s="2713"/>
      <c r="E224" s="2712"/>
    </row>
    <row r="225" spans="1:5" s="1723" customFormat="1">
      <c r="A225" s="2712"/>
      <c r="C225" s="2713"/>
      <c r="E225" s="2712"/>
    </row>
    <row r="226" spans="1:5" s="1723" customFormat="1">
      <c r="A226" s="2712"/>
      <c r="C226" s="2713"/>
      <c r="E226" s="2712"/>
    </row>
    <row r="227" spans="1:5" s="1723" customFormat="1">
      <c r="A227" s="2712"/>
      <c r="C227" s="2713"/>
      <c r="E227" s="2712"/>
    </row>
    <row r="228" spans="1:5" s="1723" customFormat="1">
      <c r="A228" s="2712"/>
      <c r="C228" s="2713"/>
      <c r="E228" s="2712"/>
    </row>
    <row r="229" spans="1:5" s="1723" customFormat="1">
      <c r="A229" s="2712"/>
      <c r="C229" s="2713"/>
      <c r="E229" s="2712"/>
    </row>
    <row r="230" spans="1:5" s="1723" customFormat="1">
      <c r="A230" s="2712"/>
      <c r="C230" s="2713"/>
      <c r="E230" s="2712"/>
    </row>
    <row r="231" spans="1:5" s="1723" customFormat="1">
      <c r="A231" s="2712"/>
      <c r="C231" s="2713"/>
      <c r="E231" s="2712"/>
    </row>
    <row r="232" spans="1:5" s="1723" customFormat="1">
      <c r="A232" s="2712"/>
      <c r="C232" s="2713"/>
      <c r="E232" s="2712"/>
    </row>
    <row r="233" spans="1:5" s="1723" customFormat="1">
      <c r="A233" s="2712"/>
      <c r="C233" s="2713"/>
      <c r="E233" s="2712"/>
    </row>
    <row r="234" spans="1:5" s="1723" customFormat="1">
      <c r="A234" s="2712"/>
      <c r="C234" s="2713"/>
      <c r="E234" s="2712"/>
    </row>
    <row r="235" spans="1:5" s="1723" customFormat="1">
      <c r="A235" s="2712"/>
      <c r="C235" s="2713"/>
      <c r="E235" s="2712"/>
    </row>
    <row r="236" spans="1:5" s="1723" customFormat="1">
      <c r="A236" s="2712"/>
      <c r="C236" s="2713"/>
      <c r="E236" s="2712"/>
    </row>
    <row r="237" spans="1:5" s="1723" customFormat="1">
      <c r="A237" s="2712"/>
      <c r="C237" s="2713"/>
      <c r="E237" s="2712"/>
    </row>
    <row r="238" spans="1:5" s="1723" customFormat="1">
      <c r="A238" s="2712"/>
      <c r="C238" s="2713"/>
      <c r="E238" s="2712"/>
    </row>
    <row r="239" spans="1:5" s="1723" customFormat="1">
      <c r="A239" s="2712"/>
      <c r="C239" s="2713"/>
      <c r="E239" s="2712"/>
    </row>
    <row r="240" spans="1:5" s="1723" customFormat="1">
      <c r="A240" s="2712"/>
      <c r="C240" s="2713"/>
      <c r="E240" s="2712"/>
    </row>
    <row r="241" spans="1:5" s="1723" customFormat="1">
      <c r="A241" s="2712"/>
      <c r="C241" s="2713"/>
      <c r="E241" s="2712"/>
    </row>
    <row r="242" spans="1:5" s="1723" customFormat="1">
      <c r="A242" s="2712"/>
      <c r="C242" s="2713"/>
      <c r="E242" s="2712"/>
    </row>
    <row r="243" spans="1:5" s="1723" customFormat="1">
      <c r="A243" s="2712"/>
      <c r="C243" s="2713"/>
      <c r="E243" s="2712"/>
    </row>
    <row r="244" spans="1:5" s="1723" customFormat="1">
      <c r="A244" s="2712"/>
      <c r="C244" s="2713"/>
      <c r="E244" s="2712"/>
    </row>
    <row r="245" spans="1:5" s="1723" customFormat="1">
      <c r="A245" s="2712"/>
      <c r="C245" s="2713"/>
      <c r="E245" s="2712"/>
    </row>
    <row r="246" spans="1:5" s="1723" customFormat="1">
      <c r="A246" s="2712"/>
      <c r="C246" s="2713"/>
      <c r="E246" s="2712"/>
    </row>
    <row r="247" spans="1:5" s="1723" customFormat="1">
      <c r="A247" s="2712"/>
      <c r="C247" s="2713"/>
      <c r="E247" s="2712"/>
    </row>
    <row r="248" spans="1:5" s="1723" customFormat="1">
      <c r="A248" s="2712"/>
      <c r="C248" s="2713"/>
      <c r="E248" s="2712"/>
    </row>
    <row r="249" spans="1:5" s="1723" customFormat="1">
      <c r="A249" s="2712"/>
      <c r="C249" s="2713"/>
      <c r="E249" s="2712"/>
    </row>
    <row r="250" spans="1:5" s="1723" customFormat="1">
      <c r="A250" s="2712"/>
      <c r="C250" s="2713"/>
      <c r="E250" s="2712"/>
    </row>
    <row r="251" spans="1:5" s="1723" customFormat="1">
      <c r="A251" s="2712"/>
      <c r="C251" s="2713"/>
      <c r="E251" s="2712"/>
    </row>
    <row r="252" spans="1:5" s="1723" customFormat="1">
      <c r="A252" s="2712"/>
      <c r="C252" s="2713"/>
      <c r="E252" s="2712"/>
    </row>
    <row r="253" spans="1:5" s="1723" customFormat="1">
      <c r="A253" s="2712"/>
      <c r="C253" s="2713"/>
      <c r="E253" s="2712"/>
    </row>
    <row r="254" spans="1:5" s="1723" customFormat="1">
      <c r="A254" s="2712"/>
      <c r="C254" s="2713"/>
      <c r="E254" s="2712"/>
    </row>
    <row r="255" spans="1:5" s="1723" customFormat="1">
      <c r="A255" s="2712"/>
      <c r="C255" s="2713"/>
      <c r="E255" s="2712"/>
    </row>
    <row r="256" spans="1:5" s="1723" customFormat="1">
      <c r="A256" s="2712"/>
      <c r="C256" s="2713"/>
      <c r="E256" s="2712"/>
    </row>
    <row r="257" spans="1:5" s="1723" customFormat="1">
      <c r="A257" s="2712"/>
      <c r="C257" s="2713"/>
      <c r="E257" s="2712"/>
    </row>
    <row r="258" spans="1:5" s="1723" customFormat="1">
      <c r="A258" s="2712"/>
      <c r="C258" s="2713"/>
      <c r="E258" s="2712"/>
    </row>
    <row r="259" spans="1:5" s="1723" customFormat="1">
      <c r="A259" s="2712"/>
      <c r="C259" s="2713"/>
      <c r="E259" s="2712"/>
    </row>
    <row r="260" spans="1:5" s="1723" customFormat="1">
      <c r="A260" s="2712"/>
      <c r="C260" s="2713"/>
      <c r="E260" s="2712"/>
    </row>
    <row r="261" spans="1:5" s="1723" customFormat="1">
      <c r="A261" s="2712"/>
      <c r="C261" s="2713"/>
      <c r="E261" s="2712"/>
    </row>
    <row r="262" spans="1:5" s="1723" customFormat="1">
      <c r="A262" s="2712"/>
      <c r="C262" s="2713"/>
      <c r="E262" s="2712"/>
    </row>
    <row r="263" spans="1:5" s="1723" customFormat="1">
      <c r="A263" s="2712"/>
      <c r="C263" s="2713"/>
      <c r="E263" s="2712"/>
    </row>
    <row r="264" spans="1:5" s="1723" customFormat="1">
      <c r="A264" s="2712"/>
      <c r="C264" s="2713"/>
      <c r="E264" s="2712"/>
    </row>
    <row r="265" spans="1:5" s="1723" customFormat="1">
      <c r="A265" s="2712"/>
      <c r="C265" s="2713"/>
      <c r="E265" s="2712"/>
    </row>
    <row r="266" spans="1:5" s="1723" customFormat="1">
      <c r="A266" s="2712"/>
      <c r="C266" s="2713"/>
      <c r="E266" s="2712"/>
    </row>
    <row r="267" spans="1:5" s="1723" customFormat="1">
      <c r="A267" s="2712"/>
      <c r="C267" s="2713"/>
      <c r="E267" s="2712"/>
    </row>
    <row r="268" spans="1:5" s="1723" customFormat="1">
      <c r="A268" s="2712"/>
      <c r="C268" s="2713"/>
      <c r="E268" s="2712"/>
    </row>
    <row r="269" spans="1:5" s="1723" customFormat="1">
      <c r="A269" s="2712"/>
      <c r="C269" s="2713"/>
      <c r="E269" s="2712"/>
    </row>
    <row r="270" spans="1:5" s="1723" customFormat="1">
      <c r="A270" s="2712"/>
      <c r="C270" s="2713"/>
      <c r="E270" s="2712"/>
    </row>
    <row r="271" spans="1:5" s="1723" customFormat="1">
      <c r="A271" s="2712"/>
      <c r="C271" s="2713"/>
      <c r="E271" s="2712"/>
    </row>
    <row r="272" spans="1:5" s="1723" customFormat="1">
      <c r="A272" s="2712"/>
      <c r="C272" s="2713"/>
      <c r="E272" s="2712"/>
    </row>
    <row r="273" spans="1:5" s="1723" customFormat="1">
      <c r="A273" s="2712"/>
      <c r="C273" s="2713"/>
      <c r="E273" s="2712"/>
    </row>
    <row r="274" spans="1:5" s="1723" customFormat="1">
      <c r="A274" s="2712"/>
      <c r="C274" s="2713"/>
      <c r="E274" s="2712"/>
    </row>
    <row r="275" spans="1:5" s="1723" customFormat="1">
      <c r="A275" s="2712"/>
      <c r="C275" s="2713"/>
      <c r="E275" s="2712"/>
    </row>
    <row r="276" spans="1:5" s="1723" customFormat="1">
      <c r="A276" s="2712"/>
      <c r="C276" s="2713"/>
      <c r="E276" s="2712"/>
    </row>
    <row r="277" spans="1:5" s="1723" customFormat="1">
      <c r="A277" s="2712"/>
      <c r="C277" s="2713"/>
      <c r="E277" s="2712"/>
    </row>
    <row r="278" spans="1:5" s="1723" customFormat="1">
      <c r="A278" s="2712"/>
      <c r="C278" s="2713"/>
      <c r="E278" s="2712"/>
    </row>
    <row r="279" spans="1:5" s="1723" customFormat="1">
      <c r="A279" s="2712"/>
      <c r="C279" s="2713"/>
      <c r="E279" s="2712"/>
    </row>
    <row r="280" spans="1:5" s="1723" customFormat="1">
      <c r="A280" s="2712"/>
      <c r="C280" s="2713"/>
      <c r="E280" s="2712"/>
    </row>
    <row r="281" spans="1:5" s="1723" customFormat="1">
      <c r="A281" s="2712"/>
      <c r="C281" s="2713"/>
      <c r="E281" s="2712"/>
    </row>
    <row r="282" spans="1:5" s="1723" customFormat="1">
      <c r="A282" s="2712"/>
      <c r="C282" s="2713"/>
      <c r="E282" s="2712"/>
    </row>
    <row r="283" spans="1:5" s="1723" customFormat="1">
      <c r="A283" s="2712"/>
      <c r="C283" s="2713"/>
      <c r="E283" s="2712"/>
    </row>
    <row r="284" spans="1:5" s="1723" customFormat="1">
      <c r="A284" s="2712"/>
      <c r="C284" s="2713"/>
      <c r="E284" s="2712"/>
    </row>
    <row r="285" spans="1:5" s="1723" customFormat="1">
      <c r="A285" s="2712"/>
      <c r="C285" s="2713"/>
      <c r="E285" s="2712"/>
    </row>
    <row r="286" spans="1:5" s="1723" customFormat="1">
      <c r="A286" s="2712"/>
      <c r="C286" s="2713"/>
      <c r="E286" s="2712"/>
    </row>
    <row r="287" spans="1:5" s="1723" customFormat="1">
      <c r="A287" s="2712"/>
      <c r="C287" s="2713"/>
      <c r="E287" s="2712"/>
    </row>
    <row r="288" spans="1:5" s="1723" customFormat="1">
      <c r="A288" s="2712"/>
      <c r="C288" s="2713"/>
      <c r="E288" s="2712"/>
    </row>
    <row r="289" spans="1:5" s="1723" customFormat="1">
      <c r="A289" s="2712"/>
      <c r="C289" s="2713"/>
      <c r="E289" s="2712"/>
    </row>
    <row r="290" spans="1:5" s="1723" customFormat="1">
      <c r="A290" s="2712"/>
      <c r="C290" s="2713"/>
      <c r="E290" s="2712"/>
    </row>
    <row r="291" spans="1:5" s="1723" customFormat="1">
      <c r="A291" s="2712"/>
      <c r="C291" s="2713"/>
      <c r="E291" s="2712"/>
    </row>
    <row r="292" spans="1:5" s="1723" customFormat="1">
      <c r="A292" s="2712"/>
      <c r="C292" s="2713"/>
      <c r="E292" s="2712"/>
    </row>
    <row r="293" spans="1:5" s="1723" customFormat="1">
      <c r="A293" s="2712"/>
      <c r="C293" s="2713"/>
      <c r="E293" s="2712"/>
    </row>
    <row r="294" spans="1:5" s="1723" customFormat="1">
      <c r="A294" s="2712"/>
      <c r="C294" s="2713"/>
      <c r="E294" s="2712"/>
    </row>
    <row r="295" spans="1:5" s="1723" customFormat="1">
      <c r="A295" s="2712"/>
      <c r="C295" s="2713"/>
      <c r="E295" s="2712"/>
    </row>
    <row r="296" spans="1:5" s="1723" customFormat="1">
      <c r="A296" s="2712"/>
      <c r="C296" s="2713"/>
      <c r="E296" s="2712"/>
    </row>
    <row r="297" spans="1:5" s="1723" customFormat="1">
      <c r="A297" s="2712"/>
      <c r="C297" s="2713"/>
      <c r="E297" s="2712"/>
    </row>
    <row r="298" spans="1:5" s="1723" customFormat="1">
      <c r="A298" s="2712"/>
      <c r="C298" s="2713"/>
      <c r="E298" s="2712"/>
    </row>
    <row r="299" spans="1:5" s="1723" customFormat="1">
      <c r="A299" s="2712"/>
      <c r="C299" s="2713"/>
      <c r="E299" s="2712"/>
    </row>
    <row r="300" spans="1:5" s="1723" customFormat="1">
      <c r="A300" s="2712"/>
      <c r="C300" s="2713"/>
      <c r="E300" s="2712"/>
    </row>
    <row r="301" spans="1:5" s="1723" customFormat="1">
      <c r="A301" s="2712"/>
      <c r="C301" s="2713"/>
      <c r="E301" s="2712"/>
    </row>
    <row r="302" spans="1:5" s="1723" customFormat="1">
      <c r="A302" s="2712"/>
      <c r="C302" s="2713"/>
      <c r="E302" s="2712"/>
    </row>
    <row r="303" spans="1:5" s="1723" customFormat="1">
      <c r="A303" s="2712"/>
      <c r="C303" s="2713"/>
      <c r="E303" s="2712"/>
    </row>
    <row r="304" spans="1:5" s="1723" customFormat="1">
      <c r="A304" s="2712"/>
      <c r="C304" s="2713"/>
      <c r="E304" s="2712"/>
    </row>
    <row r="305" spans="1:5" s="1723" customFormat="1">
      <c r="A305" s="2712"/>
      <c r="C305" s="2713"/>
      <c r="E305" s="2712"/>
    </row>
    <row r="306" spans="1:5" s="1723" customFormat="1">
      <c r="A306" s="2712"/>
      <c r="C306" s="2713"/>
      <c r="E306" s="2712"/>
    </row>
    <row r="307" spans="1:5" s="1723" customFormat="1">
      <c r="A307" s="2712"/>
      <c r="C307" s="2713"/>
      <c r="E307" s="2712"/>
    </row>
    <row r="308" spans="1:5" s="1723" customFormat="1">
      <c r="A308" s="2712"/>
      <c r="C308" s="2713"/>
      <c r="E308" s="2712"/>
    </row>
    <row r="309" spans="1:5" s="1723" customFormat="1">
      <c r="A309" s="2712"/>
      <c r="C309" s="2713"/>
      <c r="E309" s="2712"/>
    </row>
    <row r="310" spans="1:5" s="1723" customFormat="1">
      <c r="A310" s="2712"/>
      <c r="C310" s="2713"/>
      <c r="E310" s="2712"/>
    </row>
    <row r="311" spans="1:5" s="1723" customFormat="1">
      <c r="A311" s="2712"/>
      <c r="C311" s="2713"/>
      <c r="E311" s="2712"/>
    </row>
    <row r="312" spans="1:5" s="1723" customFormat="1">
      <c r="A312" s="2712"/>
      <c r="C312" s="2713"/>
      <c r="E312" s="2712"/>
    </row>
    <row r="313" spans="1:5" s="1723" customFormat="1">
      <c r="A313" s="2712"/>
      <c r="C313" s="2713"/>
      <c r="E313" s="2712"/>
    </row>
    <row r="314" spans="1:5" s="1723" customFormat="1">
      <c r="A314" s="2712"/>
      <c r="C314" s="2713"/>
      <c r="E314" s="2712"/>
    </row>
    <row r="315" spans="1:5" s="1723" customFormat="1">
      <c r="A315" s="2712"/>
      <c r="C315" s="2713"/>
      <c r="E315" s="2712"/>
    </row>
    <row r="316" spans="1:5" s="1723" customFormat="1">
      <c r="A316" s="2712"/>
      <c r="C316" s="2713"/>
      <c r="E316" s="2712"/>
    </row>
    <row r="317" spans="1:5" s="1723" customFormat="1">
      <c r="A317" s="2712"/>
      <c r="C317" s="2713"/>
      <c r="E317" s="2712"/>
    </row>
    <row r="318" spans="1:5" s="1723" customFormat="1">
      <c r="A318" s="2712"/>
      <c r="C318" s="2713"/>
      <c r="E318" s="2712"/>
    </row>
    <row r="319" spans="1:5" s="1723" customFormat="1">
      <c r="A319" s="2712"/>
      <c r="C319" s="2713"/>
      <c r="E319" s="2712"/>
    </row>
    <row r="320" spans="1:5" s="1723" customFormat="1">
      <c r="A320" s="2712"/>
      <c r="C320" s="2713"/>
      <c r="E320" s="2712"/>
    </row>
    <row r="321" spans="1:5" s="1723" customFormat="1">
      <c r="A321" s="2712"/>
      <c r="C321" s="2713"/>
      <c r="E321" s="2712"/>
    </row>
    <row r="322" spans="1:5" s="1723" customFormat="1">
      <c r="A322" s="2712"/>
      <c r="C322" s="2713"/>
      <c r="E322" s="2712"/>
    </row>
    <row r="323" spans="1:5" s="1723" customFormat="1">
      <c r="A323" s="2712"/>
      <c r="C323" s="2713"/>
      <c r="E323" s="2712"/>
    </row>
    <row r="324" spans="1:5" s="1723" customFormat="1">
      <c r="A324" s="2712"/>
      <c r="C324" s="2713"/>
      <c r="E324" s="2712"/>
    </row>
    <row r="325" spans="1:5" s="1723" customFormat="1">
      <c r="A325" s="2712"/>
      <c r="C325" s="2713"/>
      <c r="E325" s="2712"/>
    </row>
    <row r="326" spans="1:5" s="1723" customFormat="1">
      <c r="A326" s="2712"/>
      <c r="C326" s="2713"/>
      <c r="E326" s="2712"/>
    </row>
    <row r="327" spans="1:5" s="1723" customFormat="1">
      <c r="A327" s="2712"/>
      <c r="C327" s="2713"/>
      <c r="E327" s="2712"/>
    </row>
    <row r="328" spans="1:5" s="1723" customFormat="1">
      <c r="A328" s="2712"/>
      <c r="C328" s="2713"/>
      <c r="E328" s="2712"/>
    </row>
    <row r="329" spans="1:5" s="1723" customFormat="1">
      <c r="A329" s="2712"/>
      <c r="C329" s="2713"/>
      <c r="E329" s="2712"/>
    </row>
    <row r="330" spans="1:5" s="1723" customFormat="1">
      <c r="A330" s="2712"/>
      <c r="C330" s="2713"/>
      <c r="E330" s="2712"/>
    </row>
    <row r="331" spans="1:5" s="1723" customFormat="1">
      <c r="A331" s="2712"/>
      <c r="C331" s="2713"/>
      <c r="E331" s="2712"/>
    </row>
    <row r="332" spans="1:5" s="1723" customFormat="1">
      <c r="A332" s="2712"/>
      <c r="C332" s="2713"/>
      <c r="E332" s="2712"/>
    </row>
    <row r="333" spans="1:5" s="1723" customFormat="1">
      <c r="A333" s="2712"/>
      <c r="C333" s="2713"/>
      <c r="E333" s="2712"/>
    </row>
    <row r="334" spans="1:5" s="1723" customFormat="1">
      <c r="A334" s="2712"/>
      <c r="C334" s="2713"/>
      <c r="E334" s="2712"/>
    </row>
    <row r="335" spans="1:5" s="1723" customFormat="1">
      <c r="A335" s="2712"/>
      <c r="C335" s="2713"/>
      <c r="E335" s="2712"/>
    </row>
    <row r="336" spans="1:5" s="1723" customFormat="1">
      <c r="A336" s="2712"/>
      <c r="C336" s="2713"/>
      <c r="E336" s="2712"/>
    </row>
    <row r="337" spans="1:5" s="1723" customFormat="1">
      <c r="A337" s="2712"/>
      <c r="C337" s="2713"/>
      <c r="E337" s="2712"/>
    </row>
    <row r="338" spans="1:5" s="1723" customFormat="1">
      <c r="A338" s="2712"/>
      <c r="C338" s="2713"/>
      <c r="E338" s="2712"/>
    </row>
    <row r="339" spans="1:5" s="1723" customFormat="1">
      <c r="A339" s="2712"/>
      <c r="C339" s="2713"/>
      <c r="E339" s="2712"/>
    </row>
    <row r="340" spans="1:5" s="1723" customFormat="1">
      <c r="A340" s="2712"/>
      <c r="C340" s="2713"/>
      <c r="E340" s="2712"/>
    </row>
    <row r="341" spans="1:5" s="1723" customFormat="1">
      <c r="A341" s="2712"/>
      <c r="C341" s="2713"/>
      <c r="E341" s="2712"/>
    </row>
    <row r="342" spans="1:5" s="1723" customFormat="1">
      <c r="A342" s="2712"/>
      <c r="C342" s="2713"/>
      <c r="E342" s="2712"/>
    </row>
    <row r="343" spans="1:5" s="1723" customFormat="1">
      <c r="A343" s="2712"/>
      <c r="C343" s="2713"/>
      <c r="E343" s="2712"/>
    </row>
    <row r="344" spans="1:5" s="1723" customFormat="1">
      <c r="A344" s="2712"/>
      <c r="C344" s="2713"/>
      <c r="E344" s="2712"/>
    </row>
    <row r="345" spans="1:5" s="1723" customFormat="1">
      <c r="A345" s="2712"/>
      <c r="C345" s="2713"/>
      <c r="E345" s="2712"/>
    </row>
    <row r="346" spans="1:5" s="1723" customFormat="1">
      <c r="A346" s="2712"/>
      <c r="C346" s="2713"/>
      <c r="E346" s="2712"/>
    </row>
    <row r="347" spans="1:5" s="1723" customFormat="1">
      <c r="A347" s="2712"/>
      <c r="C347" s="2713"/>
      <c r="E347" s="2712"/>
    </row>
    <row r="348" spans="1:5" s="1723" customFormat="1">
      <c r="A348" s="2712"/>
      <c r="C348" s="2713"/>
      <c r="E348" s="2712"/>
    </row>
    <row r="349" spans="1:5" s="1723" customFormat="1">
      <c r="A349" s="2712"/>
      <c r="C349" s="2713"/>
      <c r="E349" s="2712"/>
    </row>
    <row r="350" spans="1:5" s="1723" customFormat="1">
      <c r="A350" s="2712"/>
      <c r="C350" s="2713"/>
      <c r="E350" s="2712"/>
    </row>
    <row r="351" spans="1:5" s="1723" customFormat="1">
      <c r="A351" s="2712"/>
      <c r="C351" s="2713"/>
      <c r="E351" s="2712"/>
    </row>
    <row r="352" spans="1:5" s="1723" customFormat="1">
      <c r="A352" s="2712"/>
      <c r="C352" s="2713"/>
      <c r="E352" s="2712"/>
    </row>
    <row r="353" spans="1:5" s="1723" customFormat="1">
      <c r="A353" s="2712"/>
      <c r="C353" s="2713"/>
      <c r="E353" s="2712"/>
    </row>
    <row r="354" spans="1:5" s="1723" customFormat="1">
      <c r="A354" s="2712"/>
      <c r="C354" s="2713"/>
      <c r="E354" s="2712"/>
    </row>
    <row r="355" spans="1:5" s="1723" customFormat="1">
      <c r="A355" s="2712"/>
      <c r="C355" s="2713"/>
      <c r="E355" s="2712"/>
    </row>
    <row r="356" spans="1:5" s="1723" customFormat="1">
      <c r="A356" s="2712"/>
      <c r="C356" s="2713"/>
      <c r="E356" s="2712"/>
    </row>
    <row r="357" spans="1:5" s="1723" customFormat="1">
      <c r="A357" s="2712"/>
      <c r="C357" s="2713"/>
      <c r="E357" s="2712"/>
    </row>
    <row r="358" spans="1:5" s="1723" customFormat="1">
      <c r="A358" s="2712"/>
      <c r="C358" s="2713"/>
      <c r="E358" s="2712"/>
    </row>
    <row r="359" spans="1:5" s="1723" customFormat="1">
      <c r="A359" s="2712"/>
      <c r="C359" s="2713"/>
      <c r="E359" s="2712"/>
    </row>
    <row r="360" spans="1:5" s="1723" customFormat="1">
      <c r="A360" s="2712"/>
      <c r="C360" s="2713"/>
      <c r="E360" s="2712"/>
    </row>
    <row r="361" spans="1:5" s="1723" customFormat="1">
      <c r="A361" s="2712"/>
      <c r="C361" s="2713"/>
      <c r="E361" s="2712"/>
    </row>
    <row r="362" spans="1:5" s="1723" customFormat="1">
      <c r="A362" s="2712"/>
      <c r="C362" s="2713"/>
      <c r="E362" s="2712"/>
    </row>
    <row r="363" spans="1:5" s="1723" customFormat="1">
      <c r="A363" s="2712"/>
      <c r="C363" s="2713"/>
      <c r="E363" s="2712"/>
    </row>
    <row r="364" spans="1:5" s="1723" customFormat="1">
      <c r="A364" s="2712"/>
      <c r="C364" s="2713"/>
      <c r="E364" s="2712"/>
    </row>
    <row r="365" spans="1:5" s="1723" customFormat="1">
      <c r="A365" s="2712"/>
      <c r="C365" s="2713"/>
      <c r="E365" s="2712"/>
    </row>
    <row r="366" spans="1:5" s="1723" customFormat="1">
      <c r="A366" s="2712"/>
      <c r="C366" s="2713"/>
      <c r="E366" s="2712"/>
    </row>
    <row r="367" spans="1:5" s="1723" customFormat="1">
      <c r="A367" s="2712"/>
      <c r="C367" s="2713"/>
      <c r="E367" s="2712"/>
    </row>
    <row r="368" spans="1:5" s="1723" customFormat="1">
      <c r="A368" s="2712"/>
      <c r="C368" s="2713"/>
      <c r="E368" s="2712"/>
    </row>
    <row r="369" spans="1:5" s="1723" customFormat="1">
      <c r="A369" s="2712"/>
      <c r="C369" s="2713"/>
      <c r="E369" s="2712"/>
    </row>
    <row r="370" spans="1:5" s="1723" customFormat="1">
      <c r="A370" s="2712"/>
      <c r="C370" s="2713"/>
      <c r="E370" s="2712"/>
    </row>
    <row r="371" spans="1:5" s="1723" customFormat="1">
      <c r="A371" s="2712"/>
      <c r="C371" s="2713"/>
      <c r="E371" s="2712"/>
    </row>
    <row r="372" spans="1:5" s="1723" customFormat="1">
      <c r="A372" s="2712"/>
      <c r="C372" s="2713"/>
      <c r="E372" s="2712"/>
    </row>
    <row r="373" spans="1:5" s="1723" customFormat="1">
      <c r="A373" s="2712"/>
      <c r="C373" s="2713"/>
      <c r="E373" s="2712"/>
    </row>
    <row r="374" spans="1:5" s="1723" customFormat="1">
      <c r="A374" s="2712"/>
      <c r="C374" s="2713"/>
      <c r="E374" s="2712"/>
    </row>
    <row r="375" spans="1:5" s="1723" customFormat="1">
      <c r="A375" s="2712"/>
      <c r="C375" s="2713"/>
      <c r="E375" s="2712"/>
    </row>
    <row r="376" spans="1:5" s="1723" customFormat="1">
      <c r="A376" s="2712"/>
      <c r="C376" s="2713"/>
      <c r="E376" s="2712"/>
    </row>
    <row r="377" spans="1:5" s="1723" customFormat="1">
      <c r="A377" s="2712"/>
      <c r="C377" s="2713"/>
      <c r="E377" s="2712"/>
    </row>
    <row r="378" spans="1:5" s="1723" customFormat="1">
      <c r="A378" s="2712"/>
      <c r="C378" s="2713"/>
      <c r="E378" s="2712"/>
    </row>
    <row r="379" spans="1:5" s="1723" customFormat="1">
      <c r="A379" s="2712"/>
      <c r="C379" s="2713"/>
      <c r="E379" s="2712"/>
    </row>
    <row r="380" spans="1:5" s="1723" customFormat="1">
      <c r="A380" s="2712"/>
      <c r="C380" s="2713"/>
      <c r="E380" s="2712"/>
    </row>
    <row r="381" spans="1:5" s="1723" customFormat="1">
      <c r="A381" s="2712"/>
      <c r="C381" s="2713"/>
      <c r="E381" s="2712"/>
    </row>
    <row r="382" spans="1:5" s="1723" customFormat="1">
      <c r="A382" s="2712"/>
      <c r="C382" s="2713"/>
      <c r="E382" s="2712"/>
    </row>
    <row r="383" spans="1:5" s="1723" customFormat="1">
      <c r="A383" s="2712"/>
      <c r="C383" s="2713"/>
      <c r="E383" s="2712"/>
    </row>
    <row r="384" spans="1:5" s="1723" customFormat="1">
      <c r="A384" s="2712"/>
      <c r="C384" s="2713"/>
      <c r="E384" s="2712"/>
    </row>
    <row r="385" spans="1:5" s="1723" customFormat="1">
      <c r="A385" s="2712"/>
      <c r="C385" s="2713"/>
      <c r="E385" s="2712"/>
    </row>
    <row r="386" spans="1:5" s="1723" customFormat="1">
      <c r="A386" s="2712"/>
      <c r="C386" s="2713"/>
      <c r="E386" s="2712"/>
    </row>
    <row r="387" spans="1:5" s="1723" customFormat="1">
      <c r="A387" s="2712"/>
      <c r="C387" s="2713"/>
      <c r="E387" s="2712"/>
    </row>
    <row r="388" spans="1:5" s="1723" customFormat="1">
      <c r="A388" s="2712"/>
      <c r="C388" s="2713"/>
      <c r="E388" s="2712"/>
    </row>
    <row r="389" spans="1:5" s="1723" customFormat="1">
      <c r="A389" s="2712"/>
      <c r="C389" s="2713"/>
      <c r="E389" s="2712"/>
    </row>
    <row r="390" spans="1:5" s="1723" customFormat="1">
      <c r="A390" s="2712"/>
      <c r="C390" s="2713"/>
      <c r="E390" s="2712"/>
    </row>
    <row r="391" spans="1:5" s="1723" customFormat="1">
      <c r="A391" s="2712"/>
      <c r="C391" s="2713"/>
      <c r="E391" s="2712"/>
    </row>
    <row r="392" spans="1:5" s="1723" customFormat="1">
      <c r="A392" s="2712"/>
      <c r="C392" s="2713"/>
      <c r="E392" s="2712"/>
    </row>
    <row r="393" spans="1:5" s="1723" customFormat="1">
      <c r="A393" s="2712"/>
      <c r="C393" s="2713"/>
      <c r="E393" s="2712"/>
    </row>
    <row r="394" spans="1:5" s="1723" customFormat="1">
      <c r="A394" s="2712"/>
      <c r="C394" s="2713"/>
      <c r="E394" s="2712"/>
    </row>
    <row r="395" spans="1:5" s="1723" customFormat="1">
      <c r="A395" s="2712"/>
      <c r="C395" s="2713"/>
      <c r="E395" s="2712"/>
    </row>
    <row r="396" spans="1:5" s="1723" customFormat="1">
      <c r="A396" s="2712"/>
      <c r="C396" s="2713"/>
      <c r="E396" s="2712"/>
    </row>
    <row r="397" spans="1:5" s="1723" customFormat="1">
      <c r="A397" s="2712"/>
      <c r="C397" s="2713"/>
      <c r="E397" s="2712"/>
    </row>
    <row r="398" spans="1:5" s="1723" customFormat="1">
      <c r="A398" s="2712"/>
      <c r="C398" s="2713"/>
      <c r="E398" s="2712"/>
    </row>
    <row r="399" spans="1:5" s="1723" customFormat="1">
      <c r="A399" s="2712"/>
      <c r="C399" s="2713"/>
      <c r="E399" s="2712"/>
    </row>
    <row r="400" spans="1:5" s="1723" customFormat="1">
      <c r="A400" s="2712"/>
      <c r="C400" s="2713"/>
      <c r="E400" s="2712"/>
    </row>
    <row r="401" spans="1:5" s="1723" customFormat="1">
      <c r="A401" s="2712"/>
      <c r="C401" s="2713"/>
      <c r="E401" s="2712"/>
    </row>
    <row r="402" spans="1:5" s="1723" customFormat="1">
      <c r="A402" s="2712"/>
      <c r="C402" s="2713"/>
      <c r="E402" s="2712"/>
    </row>
    <row r="403" spans="1:5" s="1723" customFormat="1">
      <c r="A403" s="2712"/>
      <c r="C403" s="2713"/>
      <c r="E403" s="2712"/>
    </row>
    <row r="404" spans="1:5" s="1723" customFormat="1">
      <c r="A404" s="2712"/>
      <c r="C404" s="2713"/>
      <c r="E404" s="2712"/>
    </row>
    <row r="405" spans="1:5" s="1723" customFormat="1">
      <c r="A405" s="2712"/>
      <c r="C405" s="2713"/>
      <c r="E405" s="2712"/>
    </row>
    <row r="406" spans="1:5" s="1723" customFormat="1">
      <c r="A406" s="2712"/>
      <c r="C406" s="2713"/>
      <c r="E406" s="2712"/>
    </row>
    <row r="407" spans="1:5" s="1723" customFormat="1">
      <c r="A407" s="2712"/>
      <c r="C407" s="2713"/>
      <c r="E407" s="2712"/>
    </row>
    <row r="408" spans="1:5" s="1723" customFormat="1">
      <c r="A408" s="2712"/>
      <c r="C408" s="2713"/>
      <c r="E408" s="2712"/>
    </row>
    <row r="409" spans="1:5" s="1723" customFormat="1">
      <c r="A409" s="2712"/>
      <c r="C409" s="2713"/>
      <c r="E409" s="2712"/>
    </row>
    <row r="410" spans="1:5" s="1723" customFormat="1">
      <c r="A410" s="2712"/>
      <c r="C410" s="2713"/>
      <c r="E410" s="2712"/>
    </row>
    <row r="411" spans="1:5" s="1723" customFormat="1">
      <c r="A411" s="2712"/>
      <c r="C411" s="2713"/>
      <c r="E411" s="2712"/>
    </row>
    <row r="412" spans="1:5" s="1723" customFormat="1">
      <c r="A412" s="2712"/>
      <c r="C412" s="2713"/>
      <c r="E412" s="2712"/>
    </row>
    <row r="413" spans="1:5" s="1723" customFormat="1">
      <c r="A413" s="2712"/>
      <c r="C413" s="2713"/>
      <c r="E413" s="2712"/>
    </row>
    <row r="414" spans="1:5" s="1723" customFormat="1">
      <c r="A414" s="2712"/>
      <c r="C414" s="2713"/>
      <c r="E414" s="2712"/>
    </row>
    <row r="415" spans="1:5" s="1723" customFormat="1">
      <c r="A415" s="2712"/>
      <c r="C415" s="2713"/>
      <c r="E415" s="2712"/>
    </row>
    <row r="416" spans="1:5" s="1723" customFormat="1">
      <c r="A416" s="2712"/>
      <c r="C416" s="2713"/>
      <c r="E416" s="2712"/>
    </row>
    <row r="417" spans="1:5" s="1723" customFormat="1">
      <c r="A417" s="2712"/>
      <c r="C417" s="2713"/>
      <c r="E417" s="2712"/>
    </row>
    <row r="418" spans="1:5" s="1723" customFormat="1">
      <c r="A418" s="2712"/>
      <c r="C418" s="2713"/>
      <c r="E418" s="2712"/>
    </row>
    <row r="419" spans="1:5" s="1723" customFormat="1">
      <c r="A419" s="2712"/>
      <c r="C419" s="2713"/>
      <c r="E419" s="2712"/>
    </row>
    <row r="420" spans="1:5" s="1723" customFormat="1">
      <c r="A420" s="2712"/>
      <c r="C420" s="2713"/>
      <c r="E420" s="2712"/>
    </row>
    <row r="421" spans="1:5" s="1723" customFormat="1">
      <c r="A421" s="2712"/>
      <c r="C421" s="2713"/>
      <c r="E421" s="2712"/>
    </row>
    <row r="422" spans="1:5" s="1723" customFormat="1">
      <c r="A422" s="2712"/>
      <c r="C422" s="2713"/>
      <c r="E422" s="2712"/>
    </row>
    <row r="423" spans="1:5" s="1723" customFormat="1">
      <c r="A423" s="2712"/>
      <c r="C423" s="2713"/>
      <c r="E423" s="2712"/>
    </row>
    <row r="424" spans="1:5" s="1723" customFormat="1">
      <c r="A424" s="2712"/>
      <c r="C424" s="2713"/>
      <c r="E424" s="2712"/>
    </row>
    <row r="425" spans="1:5" s="1723" customFormat="1">
      <c r="A425" s="2712"/>
      <c r="C425" s="2713"/>
      <c r="E425" s="2712"/>
    </row>
    <row r="426" spans="1:5" s="1723" customFormat="1">
      <c r="A426" s="2712"/>
      <c r="C426" s="2713"/>
      <c r="E426" s="2712"/>
    </row>
    <row r="427" spans="1:5" s="1723" customFormat="1">
      <c r="A427" s="2712"/>
      <c r="C427" s="2713"/>
      <c r="E427" s="2712"/>
    </row>
    <row r="428" spans="1:5" s="1723" customFormat="1">
      <c r="A428" s="2712"/>
      <c r="C428" s="2713"/>
      <c r="E428" s="2712"/>
    </row>
    <row r="429" spans="1:5" s="1723" customFormat="1">
      <c r="A429" s="2712"/>
      <c r="C429" s="2713"/>
      <c r="E429" s="2712"/>
    </row>
    <row r="430" spans="1:5" s="1723" customFormat="1">
      <c r="A430" s="2712"/>
      <c r="C430" s="2713"/>
      <c r="E430" s="2712"/>
    </row>
    <row r="431" spans="1:5" s="1723" customFormat="1">
      <c r="A431" s="2712"/>
      <c r="C431" s="2713"/>
      <c r="E431" s="2712"/>
    </row>
    <row r="432" spans="1:5" s="1723" customFormat="1">
      <c r="A432" s="2712"/>
      <c r="C432" s="2713"/>
      <c r="E432" s="2712"/>
    </row>
    <row r="433" spans="1:5" s="1723" customFormat="1">
      <c r="A433" s="2712"/>
      <c r="C433" s="2713"/>
      <c r="E433" s="2712"/>
    </row>
    <row r="434" spans="1:5" s="1723" customFormat="1">
      <c r="A434" s="2712"/>
      <c r="C434" s="2713"/>
      <c r="E434" s="2712"/>
    </row>
    <row r="435" spans="1:5" s="1723" customFormat="1">
      <c r="A435" s="2712"/>
      <c r="C435" s="2713"/>
      <c r="E435" s="2712"/>
    </row>
    <row r="436" spans="1:5" s="1723" customFormat="1">
      <c r="A436" s="2712"/>
      <c r="C436" s="2713"/>
      <c r="E436" s="2712"/>
    </row>
    <row r="437" spans="1:5" s="1723" customFormat="1">
      <c r="A437" s="2712"/>
      <c r="C437" s="2713"/>
      <c r="E437" s="2712"/>
    </row>
    <row r="438" spans="1:5" s="1723" customFormat="1">
      <c r="A438" s="2712"/>
      <c r="C438" s="2713"/>
      <c r="E438" s="2712"/>
    </row>
    <row r="439" spans="1:5" s="1723" customFormat="1">
      <c r="A439" s="2712"/>
      <c r="C439" s="2713"/>
      <c r="E439" s="2712"/>
    </row>
    <row r="440" spans="1:5" s="1723" customFormat="1">
      <c r="A440" s="2712"/>
      <c r="C440" s="2713"/>
      <c r="E440" s="2712"/>
    </row>
    <row r="441" spans="1:5" s="1723" customFormat="1">
      <c r="A441" s="2712"/>
      <c r="C441" s="2713"/>
      <c r="E441" s="2712"/>
    </row>
    <row r="442" spans="1:5" s="1723" customFormat="1">
      <c r="A442" s="2712"/>
      <c r="C442" s="2713"/>
      <c r="E442" s="2712"/>
    </row>
    <row r="443" spans="1:5" s="1723" customFormat="1">
      <c r="A443" s="2712"/>
      <c r="C443" s="2713"/>
      <c r="E443" s="2712"/>
    </row>
    <row r="444" spans="1:5" s="1723" customFormat="1">
      <c r="A444" s="2712"/>
      <c r="C444" s="2713"/>
      <c r="E444" s="2712"/>
    </row>
    <row r="445" spans="1:5" s="1723" customFormat="1">
      <c r="A445" s="2712"/>
      <c r="C445" s="2713"/>
      <c r="E445" s="2712"/>
    </row>
    <row r="446" spans="1:5" s="1723" customFormat="1">
      <c r="A446" s="2712"/>
      <c r="C446" s="2713"/>
      <c r="E446" s="2712"/>
    </row>
    <row r="447" spans="1:5" s="1723" customFormat="1">
      <c r="A447" s="2712"/>
      <c r="C447" s="2713"/>
      <c r="E447" s="2712"/>
    </row>
    <row r="448" spans="1:5" s="1723" customFormat="1">
      <c r="A448" s="2712"/>
      <c r="C448" s="2713"/>
      <c r="E448" s="2712"/>
    </row>
    <row r="449" spans="1:5" s="1723" customFormat="1">
      <c r="A449" s="2712"/>
      <c r="C449" s="2713"/>
      <c r="E449" s="2712"/>
    </row>
    <row r="450" spans="1:5" s="1723" customFormat="1">
      <c r="A450" s="2712"/>
      <c r="C450" s="2713"/>
      <c r="E450" s="2712"/>
    </row>
    <row r="451" spans="1:5" s="1723" customFormat="1">
      <c r="A451" s="2712"/>
      <c r="C451" s="2713"/>
      <c r="E451" s="2712"/>
    </row>
    <row r="452" spans="1:5" s="1723" customFormat="1">
      <c r="A452" s="2712"/>
      <c r="C452" s="2713"/>
      <c r="E452" s="2712"/>
    </row>
    <row r="453" spans="1:5" s="1723" customFormat="1">
      <c r="A453" s="2712"/>
      <c r="C453" s="2713"/>
      <c r="E453" s="2712"/>
    </row>
    <row r="454" spans="1:5" s="1723" customFormat="1">
      <c r="A454" s="2712"/>
      <c r="C454" s="2713"/>
      <c r="E454" s="2712"/>
    </row>
    <row r="455" spans="1:5" s="1723" customFormat="1">
      <c r="A455" s="2712"/>
      <c r="C455" s="2713"/>
      <c r="E455" s="2712"/>
    </row>
    <row r="456" spans="1:5" s="1723" customFormat="1">
      <c r="A456" s="2712"/>
      <c r="C456" s="2713"/>
      <c r="E456" s="2712"/>
    </row>
    <row r="457" spans="1:5" s="1723" customFormat="1">
      <c r="A457" s="2712"/>
      <c r="C457" s="2713"/>
      <c r="E457" s="2712"/>
    </row>
    <row r="458" spans="1:5" s="1723" customFormat="1">
      <c r="A458" s="2712"/>
      <c r="C458" s="2713"/>
      <c r="E458" s="2712"/>
    </row>
    <row r="459" spans="1:5" s="1723" customFormat="1">
      <c r="A459" s="2712"/>
      <c r="C459" s="2713"/>
      <c r="E459" s="2712"/>
    </row>
    <row r="460" spans="1:5" s="1723" customFormat="1">
      <c r="A460" s="2712"/>
      <c r="C460" s="2713"/>
      <c r="E460" s="2712"/>
    </row>
    <row r="461" spans="1:5" s="1723" customFormat="1">
      <c r="A461" s="2712"/>
      <c r="C461" s="2713"/>
      <c r="E461" s="2712"/>
    </row>
    <row r="462" spans="1:5" s="1723" customFormat="1">
      <c r="A462" s="2712"/>
      <c r="C462" s="2713"/>
      <c r="E462" s="2712"/>
    </row>
    <row r="463" spans="1:5" s="1723" customFormat="1">
      <c r="A463" s="2712"/>
      <c r="C463" s="2713"/>
      <c r="E463" s="2712"/>
    </row>
    <row r="464" spans="1:5" s="1723" customFormat="1">
      <c r="A464" s="2712"/>
      <c r="C464" s="2713"/>
      <c r="E464" s="2712"/>
    </row>
    <row r="465" spans="1:5" s="1723" customFormat="1">
      <c r="A465" s="2712"/>
      <c r="C465" s="2713"/>
      <c r="E465" s="2712"/>
    </row>
    <row r="466" spans="1:5" s="1723" customFormat="1">
      <c r="A466" s="2712"/>
      <c r="C466" s="2713"/>
      <c r="E466" s="2712"/>
    </row>
    <row r="467" spans="1:5" s="1723" customFormat="1">
      <c r="A467" s="2712"/>
      <c r="C467" s="2713"/>
      <c r="E467" s="2712"/>
    </row>
    <row r="468" spans="1:5" s="1723" customFormat="1">
      <c r="A468" s="2712"/>
      <c r="C468" s="2713"/>
      <c r="E468" s="2712"/>
    </row>
    <row r="469" spans="1:5" s="1723" customFormat="1">
      <c r="A469" s="2712"/>
      <c r="C469" s="2713"/>
      <c r="E469" s="2712"/>
    </row>
    <row r="470" spans="1:5" s="1723" customFormat="1">
      <c r="A470" s="2712"/>
      <c r="C470" s="2713"/>
      <c r="E470" s="2712"/>
    </row>
    <row r="471" spans="1:5" s="1723" customFormat="1">
      <c r="A471" s="2712"/>
      <c r="C471" s="2713"/>
      <c r="E471" s="2712"/>
    </row>
    <row r="472" spans="1:5" s="1723" customFormat="1">
      <c r="A472" s="2712"/>
      <c r="C472" s="2713"/>
      <c r="E472" s="2712"/>
    </row>
    <row r="473" spans="1:5" s="1723" customFormat="1">
      <c r="A473" s="2712"/>
      <c r="C473" s="2713"/>
      <c r="E473" s="2712"/>
    </row>
    <row r="474" spans="1:5" s="1723" customFormat="1">
      <c r="A474" s="2712"/>
      <c r="C474" s="2713"/>
      <c r="E474" s="2712"/>
    </row>
    <row r="475" spans="1:5" s="1723" customFormat="1">
      <c r="A475" s="2712"/>
      <c r="C475" s="2713"/>
      <c r="E475" s="2712"/>
    </row>
    <row r="476" spans="1:5" s="1723" customFormat="1">
      <c r="A476" s="2712"/>
      <c r="C476" s="2713"/>
      <c r="E476" s="2712"/>
    </row>
    <row r="477" spans="1:5" s="1723" customFormat="1">
      <c r="A477" s="2712"/>
      <c r="C477" s="2713"/>
      <c r="E477" s="2712"/>
    </row>
    <row r="478" spans="1:5" s="1723" customFormat="1">
      <c r="A478" s="2712"/>
      <c r="C478" s="2713"/>
      <c r="E478" s="2712"/>
    </row>
    <row r="479" spans="1:5" s="1723" customFormat="1">
      <c r="A479" s="2712"/>
      <c r="C479" s="2713"/>
      <c r="E479" s="2712"/>
    </row>
    <row r="480" spans="1:5" s="1723" customFormat="1">
      <c r="A480" s="2712"/>
      <c r="C480" s="2713"/>
      <c r="E480" s="2712"/>
    </row>
    <row r="481" spans="1:5" s="1723" customFormat="1">
      <c r="A481" s="2712"/>
      <c r="C481" s="2713"/>
      <c r="E481" s="2712"/>
    </row>
    <row r="482" spans="1:5" s="1723" customFormat="1">
      <c r="A482" s="2712"/>
      <c r="C482" s="2713"/>
      <c r="E482" s="2712"/>
    </row>
    <row r="483" spans="1:5" s="1723" customFormat="1">
      <c r="A483" s="2712"/>
      <c r="C483" s="2713"/>
      <c r="E483" s="2712"/>
    </row>
    <row r="484" spans="1:5" s="1723" customFormat="1">
      <c r="A484" s="2712"/>
      <c r="C484" s="2713"/>
      <c r="E484" s="2712"/>
    </row>
    <row r="485" spans="1:5" s="1723" customFormat="1">
      <c r="A485" s="2712"/>
      <c r="C485" s="2713"/>
      <c r="E485" s="2712"/>
    </row>
    <row r="486" spans="1:5" s="1723" customFormat="1">
      <c r="A486" s="2712"/>
      <c r="C486" s="2713"/>
      <c r="E486" s="2712"/>
    </row>
    <row r="487" spans="1:5" s="1723" customFormat="1">
      <c r="A487" s="2712"/>
      <c r="C487" s="2713"/>
      <c r="E487" s="2712"/>
    </row>
    <row r="488" spans="1:5" s="1723" customFormat="1">
      <c r="A488" s="2712"/>
      <c r="C488" s="2713"/>
      <c r="E488" s="2712"/>
    </row>
    <row r="489" spans="1:5" s="1723" customFormat="1">
      <c r="A489" s="2712"/>
      <c r="C489" s="2713"/>
      <c r="E489" s="2712"/>
    </row>
    <row r="490" spans="1:5" s="1723" customFormat="1">
      <c r="A490" s="2712"/>
      <c r="C490" s="2713"/>
      <c r="E490" s="2712"/>
    </row>
  </sheetData>
  <sheetProtection password="CEE9" sheet="1" objects="1" scenarios="1" formatCells="0" formatColumns="0" formatRows="0"/>
  <phoneticPr fontId="15" type="noConversion"/>
  <dataValidations count="2">
    <dataValidation type="list" allowBlank="1" showInputMessage="1" showErrorMessage="1" sqref="C7:K7 B1" xr:uid="{00000000-0002-0000-1100-000000000000}">
      <formula1>项目类型</formula1>
    </dataValidation>
    <dataValidation type="list" allowBlank="1" showInputMessage="1" showErrorMessage="1" sqref="G20" xr:uid="{00000000-0002-0000-1100-000001000000}">
      <formula1>"已全部缴纳,已部分缴纳"</formula1>
    </dataValidation>
  </dataValidations>
  <pageMargins left="0.7" right="0.7" top="0.75" bottom="0.75" header="0.3" footer="0.3"/>
  <pageSetup paperSize="9" scale="70" fitToHeight="0" orientation="portrait"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7">
    <tabColor rgb="FF92D050"/>
    <pageSetUpPr fitToPage="1"/>
  </sheetPr>
  <dimension ref="A1:AG76"/>
  <sheetViews>
    <sheetView view="pageBreakPreview" zoomScaleNormal="60" zoomScaleSheetLayoutView="100" workbookViewId="0">
      <selection activeCell="J56" sqref="J56"/>
    </sheetView>
  </sheetViews>
  <sheetFormatPr defaultColWidth="9" defaultRowHeight="15"/>
  <cols>
    <col min="1" max="1" width="9" style="1673" customWidth="1"/>
    <col min="2" max="2" width="20.625" style="1707" customWidth="1"/>
    <col min="3" max="3" width="11.875" style="1707" customWidth="1"/>
    <col min="4" max="4" width="40.5" style="1673" customWidth="1"/>
    <col min="5" max="5" width="15.75" style="1673" customWidth="1"/>
    <col min="6" max="6" width="10.625" style="1673" customWidth="1"/>
    <col min="7" max="7" width="4.875" style="1673" customWidth="1"/>
    <col min="8" max="8" width="8.5" style="1673" customWidth="1"/>
    <col min="9" max="9" width="21.25" style="1673" customWidth="1"/>
    <col min="10" max="10" width="12.25" style="1673" customWidth="1"/>
    <col min="11" max="11" width="40.125" style="1708" customWidth="1"/>
    <col min="12" max="12" width="18.375" style="1673" customWidth="1"/>
    <col min="13" max="13" width="13" style="1673" customWidth="1"/>
    <col min="14" max="14" width="9.5" style="1672" bestFit="1" customWidth="1"/>
    <col min="15" max="15" width="5.875" style="1672" customWidth="1"/>
    <col min="16" max="16" width="27.625" style="1672" customWidth="1"/>
    <col min="17" max="17" width="13.75" style="1705" customWidth="1"/>
    <col min="18" max="18" width="23.5" style="1672" customWidth="1"/>
    <col min="19" max="19" width="1.5" style="1672" customWidth="1"/>
    <col min="20" max="33" width="9" style="1672"/>
    <col min="34" max="16384" width="9" style="1673"/>
  </cols>
  <sheetData>
    <row r="1" spans="1:33" s="1667" customFormat="1" ht="21">
      <c r="A1" s="766" t="s">
        <v>1254</v>
      </c>
      <c r="B1" s="675"/>
      <c r="C1" s="708" t="s">
        <v>905</v>
      </c>
      <c r="D1" s="2363" t="s">
        <v>877</v>
      </c>
      <c r="E1" s="1947" t="s">
        <v>1728</v>
      </c>
      <c r="F1" s="1948">
        <f ca="1">J53</f>
        <v>31.85</v>
      </c>
      <c r="G1" s="2759">
        <f>MATCH(C1,'数据-取费表'!A6:A16,0)+5</f>
        <v>6</v>
      </c>
      <c r="H1" s="1663"/>
      <c r="I1" s="1664"/>
      <c r="J1" s="1664"/>
      <c r="K1" s="1665"/>
      <c r="L1" s="1664"/>
      <c r="M1" s="1664"/>
      <c r="N1" s="1666"/>
      <c r="O1" s="1666"/>
      <c r="P1" s="1666"/>
      <c r="Q1" s="1951"/>
      <c r="R1" s="1666"/>
      <c r="S1" s="1666"/>
      <c r="T1" s="1666"/>
      <c r="U1" s="1666"/>
      <c r="V1" s="1666"/>
      <c r="W1" s="1666"/>
      <c r="X1" s="1666"/>
      <c r="Y1" s="1666"/>
      <c r="Z1" s="1666"/>
      <c r="AA1" s="1666"/>
      <c r="AB1" s="1666"/>
      <c r="AC1" s="1666"/>
      <c r="AD1" s="1666"/>
      <c r="AE1" s="1666"/>
      <c r="AF1" s="1666"/>
      <c r="AG1" s="1666"/>
    </row>
    <row r="2" spans="1:33" ht="18" customHeight="1">
      <c r="A2" s="393" t="s">
        <v>1255</v>
      </c>
      <c r="B2" s="710">
        <f ca="1">C40+J29+L46</f>
        <v>39552</v>
      </c>
      <c r="C2" s="2764"/>
      <c r="D2" s="2763"/>
      <c r="E2" s="2765"/>
      <c r="F2" s="2765"/>
      <c r="G2" s="2760"/>
      <c r="H2" s="1670"/>
      <c r="I2" s="1670"/>
      <c r="J2" s="1670"/>
      <c r="K2" s="1671"/>
      <c r="L2" s="1670"/>
      <c r="M2" s="1670"/>
    </row>
    <row r="3" spans="1:33" ht="18" customHeight="1" thickBot="1">
      <c r="A3" s="767" t="s">
        <v>1256</v>
      </c>
      <c r="B3" s="768">
        <f ca="1">IF(ISERROR(B2*10000/F43),0,ROUND(B2*10000/F43,0))</f>
        <v>4768</v>
      </c>
      <c r="C3" s="2764"/>
      <c r="D3" s="2763"/>
      <c r="E3" s="2765"/>
      <c r="F3" s="2765"/>
      <c r="G3" s="2760"/>
      <c r="H3" s="711" t="s">
        <v>642</v>
      </c>
      <c r="I3" s="1157"/>
      <c r="J3" s="1157"/>
      <c r="K3" s="1324"/>
      <c r="L3" s="1157"/>
      <c r="M3" s="1157"/>
    </row>
    <row r="4" spans="1:33" ht="18" customHeight="1">
      <c r="A4" s="712" t="s">
        <v>1257</v>
      </c>
      <c r="B4" s="713" t="s">
        <v>1258</v>
      </c>
      <c r="C4" s="713" t="s">
        <v>1259</v>
      </c>
      <c r="D4" s="713" t="s">
        <v>581</v>
      </c>
      <c r="E4" s="714" t="s">
        <v>1260</v>
      </c>
      <c r="F4" s="715"/>
      <c r="G4" s="1668"/>
      <c r="H4" s="712" t="s">
        <v>1261</v>
      </c>
      <c r="I4" s="713" t="s">
        <v>1262</v>
      </c>
      <c r="J4" s="713" t="s">
        <v>1263</v>
      </c>
      <c r="K4" s="713" t="s">
        <v>1264</v>
      </c>
      <c r="L4" s="714" t="s">
        <v>1265</v>
      </c>
      <c r="M4" s="715"/>
    </row>
    <row r="5" spans="1:33" ht="18" customHeight="1">
      <c r="A5" s="716">
        <v>1</v>
      </c>
      <c r="B5" s="717" t="s">
        <v>1802</v>
      </c>
      <c r="C5" s="51">
        <f ca="1">C6+C10+C12</f>
        <v>3274</v>
      </c>
      <c r="D5" s="2001" t="s">
        <v>1805</v>
      </c>
      <c r="E5" s="1995"/>
      <c r="F5" s="1996"/>
      <c r="G5" s="1668"/>
      <c r="H5" s="716">
        <v>1</v>
      </c>
      <c r="I5" s="717" t="s">
        <v>1802</v>
      </c>
      <c r="J5" s="51">
        <f ca="1">J6+J10+J12</f>
        <v>0</v>
      </c>
      <c r="K5" s="2001" t="s">
        <v>1805</v>
      </c>
      <c r="L5" s="1995"/>
      <c r="M5" s="1996"/>
    </row>
    <row r="6" spans="1:33" ht="18" customHeight="1">
      <c r="A6" s="1521" t="s">
        <v>1353</v>
      </c>
      <c r="B6" s="3696" t="s">
        <v>1807</v>
      </c>
      <c r="C6" s="718">
        <f ca="1">ROUND(F6*F8*F7*(1-F9)/10000,0)</f>
        <v>3270</v>
      </c>
      <c r="D6" s="2002" t="s">
        <v>1806</v>
      </c>
      <c r="E6" s="719" t="s">
        <v>1267</v>
      </c>
      <c r="F6" s="720">
        <f ca="1">INDIRECT("'数据-取费表'!u"&amp;$G$1)</f>
        <v>1.2</v>
      </c>
      <c r="G6" s="1668"/>
      <c r="H6" s="2009" t="s">
        <v>1812</v>
      </c>
      <c r="I6" s="3696" t="s">
        <v>1807</v>
      </c>
      <c r="J6" s="718">
        <f ca="1">ROUND(M6*M8*M7*(1-M9)/10000,0)</f>
        <v>0</v>
      </c>
      <c r="K6" s="315" t="s">
        <v>1266</v>
      </c>
      <c r="L6" s="719" t="s">
        <v>1267</v>
      </c>
      <c r="M6" s="720">
        <f ca="1">INDIRECT("'数据-取费表'!z"&amp;$G$1)</f>
        <v>0</v>
      </c>
    </row>
    <row r="7" spans="1:33" ht="18" customHeight="1">
      <c r="A7" s="2005"/>
      <c r="B7" s="3697"/>
      <c r="C7" s="723"/>
      <c r="D7" s="724"/>
      <c r="E7" s="719" t="s">
        <v>1268</v>
      </c>
      <c r="F7" s="720">
        <f ca="1">IF(INDIRECT("'数据-取费表'!ah"&amp;$G$1)="",INDIRECT("'数据-取费表'!k"&amp;$G$1),INDIRECT("'数据-取费表'!ah"&amp;$G$1))</f>
        <v>82949.97</v>
      </c>
      <c r="G7" s="1668"/>
      <c r="H7" s="1994"/>
      <c r="I7" s="3697"/>
      <c r="J7" s="723"/>
      <c r="K7" s="724"/>
      <c r="L7" s="719" t="s">
        <v>1268</v>
      </c>
      <c r="M7" s="720">
        <f ca="1">F7</f>
        <v>82949.97</v>
      </c>
    </row>
    <row r="8" spans="1:33" ht="18" customHeight="1">
      <c r="A8" s="1998"/>
      <c r="B8" s="3698"/>
      <c r="C8" s="723"/>
      <c r="D8" s="724"/>
      <c r="E8" s="719" t="s">
        <v>1269</v>
      </c>
      <c r="F8" s="720">
        <f ca="1">INDIRECT("'数据-取费表'!ai"&amp;$G$1)</f>
        <v>365</v>
      </c>
      <c r="G8" s="1668"/>
      <c r="H8" s="1994"/>
      <c r="I8" s="3698"/>
      <c r="J8" s="723"/>
      <c r="K8" s="724"/>
      <c r="L8" s="719" t="s">
        <v>1269</v>
      </c>
      <c r="M8" s="720">
        <f ca="1">INDIRECT("'数据-取费表'!ai"&amp;$G$1)</f>
        <v>365</v>
      </c>
    </row>
    <row r="9" spans="1:33" ht="18" customHeight="1">
      <c r="A9" s="721"/>
      <c r="B9" s="3699"/>
      <c r="C9" s="723"/>
      <c r="D9" s="724"/>
      <c r="E9" s="719" t="s">
        <v>1270</v>
      </c>
      <c r="F9" s="729">
        <f ca="1">INDIRECT("'数据-取费表'!w"&amp;$G$1)</f>
        <v>0.1</v>
      </c>
      <c r="G9" s="1668"/>
      <c r="H9" s="2010"/>
      <c r="I9" s="3698"/>
      <c r="J9" s="723"/>
      <c r="K9" s="724"/>
      <c r="L9" s="730" t="s">
        <v>1270</v>
      </c>
      <c r="M9" s="731">
        <f ca="1">INDIRECT("'数据-取费表'!ab"&amp;$G$1)</f>
        <v>0</v>
      </c>
    </row>
    <row r="10" spans="1:33" ht="18" customHeight="1">
      <c r="A10" s="1521" t="s">
        <v>1810</v>
      </c>
      <c r="B10" s="1999" t="s">
        <v>1803</v>
      </c>
      <c r="C10" s="734">
        <f ca="1">ROUND(IF(F10="押一",C6/12*F11,IF(F10="押二",C6/12*2*F11,IF(F10="押三",C6/12*3*F11,C11*F11))),0)</f>
        <v>4</v>
      </c>
      <c r="D10" s="2006" t="s">
        <v>2232</v>
      </c>
      <c r="E10" s="2003" t="s">
        <v>1808</v>
      </c>
      <c r="F10" s="2076" t="s">
        <v>3426</v>
      </c>
      <c r="G10" s="1668"/>
      <c r="H10" s="2037" t="s">
        <v>1813</v>
      </c>
      <c r="I10" s="2041" t="s">
        <v>1803</v>
      </c>
      <c r="J10" s="718">
        <f ca="1">ROUND(IF(M10="押一",J6/12*M11,IF(M10="押二",J6/12*2*M11,IF(M10="押三",J6/12*3*M11,J11*M11))),0)</f>
        <v>0</v>
      </c>
      <c r="K10" s="2006" t="s">
        <v>2232</v>
      </c>
      <c r="L10" s="2003" t="s">
        <v>1808</v>
      </c>
      <c r="M10" s="2076"/>
    </row>
    <row r="11" spans="1:33" ht="18" customHeight="1">
      <c r="A11" s="725"/>
      <c r="B11" s="2000" t="s">
        <v>1856</v>
      </c>
      <c r="C11" s="2004"/>
      <c r="D11" s="724"/>
      <c r="E11" s="2003" t="s">
        <v>1809</v>
      </c>
      <c r="F11" s="731">
        <f ca="1">'数据-取费表'!B39</f>
        <v>1.4999999999999999E-2</v>
      </c>
      <c r="G11" s="1668"/>
      <c r="H11" s="2038"/>
      <c r="I11" s="2000" t="s">
        <v>1856</v>
      </c>
      <c r="J11" s="2004"/>
      <c r="K11" s="287"/>
      <c r="L11" s="2003" t="s">
        <v>1809</v>
      </c>
      <c r="M11" s="1997">
        <f ca="1">'数据-取费表'!B39</f>
        <v>1.4999999999999999E-2</v>
      </c>
    </row>
    <row r="12" spans="1:33" ht="18" customHeight="1" thickBot="1">
      <c r="A12" s="2013" t="s">
        <v>1811</v>
      </c>
      <c r="B12" s="2014" t="s">
        <v>1804</v>
      </c>
      <c r="C12" s="2015"/>
      <c r="D12" s="2016"/>
      <c r="E12" s="2017"/>
      <c r="F12" s="2018"/>
      <c r="G12" s="1668"/>
      <c r="H12" s="2027" t="s">
        <v>1814</v>
      </c>
      <c r="I12" s="2039" t="s">
        <v>1804</v>
      </c>
      <c r="J12" s="2040"/>
      <c r="K12" s="2016"/>
      <c r="L12" s="2017"/>
      <c r="M12" s="2030"/>
    </row>
    <row r="13" spans="1:33" ht="18" customHeight="1" thickTop="1">
      <c r="A13" s="1520">
        <v>2</v>
      </c>
      <c r="B13" s="1518" t="s">
        <v>1271</v>
      </c>
      <c r="C13" s="727">
        <f ca="1">ROUND(C29*F13,0)</f>
        <v>21643</v>
      </c>
      <c r="D13" s="1525" t="s">
        <v>1654</v>
      </c>
      <c r="E13" s="1525" t="s">
        <v>1273</v>
      </c>
      <c r="F13" s="2012">
        <f ca="1">INDIRECT("'数据-取费表'!y"&amp;$G$1)</f>
        <v>0.75</v>
      </c>
      <c r="G13" s="1668"/>
      <c r="H13" s="1520">
        <v>2</v>
      </c>
      <c r="I13" s="1518" t="s">
        <v>1271</v>
      </c>
      <c r="J13" s="1512">
        <f ca="1">ROUND(J14*J15,0)</f>
        <v>0</v>
      </c>
      <c r="K13" s="1514" t="s">
        <v>1272</v>
      </c>
      <c r="L13" s="2028"/>
      <c r="M13" s="2029"/>
    </row>
    <row r="14" spans="1:33" ht="18" customHeight="1">
      <c r="A14" s="1368" t="s">
        <v>1409</v>
      </c>
      <c r="B14" s="719" t="s">
        <v>593</v>
      </c>
      <c r="C14" s="739">
        <f ca="1">INDIRECT("'数据-取费表'!m"&amp;$G$1)+INDIRECT("'数据-取费表'!t"&amp;$G$1)</f>
        <v>20737</v>
      </c>
      <c r="D14" s="906" t="s">
        <v>1274</v>
      </c>
      <c r="E14" s="905"/>
      <c r="F14" s="740"/>
      <c r="G14" s="1668"/>
      <c r="H14" s="1369" t="s">
        <v>1359</v>
      </c>
      <c r="I14" s="1825" t="s">
        <v>2103</v>
      </c>
      <c r="J14" s="49">
        <f ca="1">C29</f>
        <v>28857</v>
      </c>
      <c r="K14" s="22"/>
      <c r="L14" s="736"/>
      <c r="M14" s="737"/>
    </row>
    <row r="15" spans="1:33" s="1676" customFormat="1" ht="18" customHeight="1" thickBot="1">
      <c r="A15" s="1368" t="s">
        <v>1410</v>
      </c>
      <c r="B15" s="719" t="s">
        <v>595</v>
      </c>
      <c r="C15" s="49">
        <f ca="1">ROUND(C14*F15,0)</f>
        <v>622</v>
      </c>
      <c r="D15" s="741" t="s">
        <v>1275</v>
      </c>
      <c r="E15" s="741" t="s">
        <v>1276</v>
      </c>
      <c r="F15" s="742">
        <f>'数据-取费表'!B33</f>
        <v>0.03</v>
      </c>
      <c r="G15" s="2761"/>
      <c r="H15" s="2027" t="s">
        <v>1414</v>
      </c>
      <c r="I15" s="2022" t="s">
        <v>1273</v>
      </c>
      <c r="J15" s="2031">
        <f ca="1">INDIRECT("'数据-取费表'!ad"&amp;$G$1)</f>
        <v>0</v>
      </c>
      <c r="K15" s="2032"/>
      <c r="L15" s="2033"/>
      <c r="M15" s="2034"/>
      <c r="N15" s="1675"/>
      <c r="O15" s="1675"/>
      <c r="P15" s="1675"/>
      <c r="Q15" s="1952"/>
      <c r="R15" s="1675"/>
      <c r="S15" s="1675"/>
      <c r="T15" s="1675"/>
      <c r="U15" s="1675"/>
      <c r="V15" s="1675"/>
      <c r="W15" s="1675"/>
      <c r="X15" s="1675"/>
      <c r="Y15" s="1675"/>
      <c r="Z15" s="1675"/>
      <c r="AA15" s="1675"/>
      <c r="AB15" s="1675"/>
      <c r="AC15" s="1675"/>
      <c r="AD15" s="1675"/>
      <c r="AE15" s="1675"/>
      <c r="AF15" s="1675"/>
      <c r="AG15" s="1675"/>
    </row>
    <row r="16" spans="1:33" ht="18" customHeight="1" thickTop="1">
      <c r="A16" s="1368" t="s">
        <v>1411</v>
      </c>
      <c r="B16" s="719" t="s">
        <v>598</v>
      </c>
      <c r="C16" s="49">
        <f ca="1">ROUND(INDIRECT("'数据-取费表'!m"&amp;$G$1)*F16,0)</f>
        <v>0</v>
      </c>
      <c r="D16" s="719" t="s">
        <v>1275</v>
      </c>
      <c r="E16" s="719" t="s">
        <v>1276</v>
      </c>
      <c r="F16" s="744">
        <f ca="1">IF(INDIRECT("'数据-取费表'!c"&amp;$G$1)="住宅",'数据-取费表'!B34,0)</f>
        <v>0</v>
      </c>
      <c r="G16" s="1668"/>
      <c r="H16" s="1520" t="s">
        <v>1277</v>
      </c>
      <c r="I16" s="1518" t="s">
        <v>1278</v>
      </c>
      <c r="J16" s="727">
        <f ca="1">ROUND(J17+J22+J23+J24,0)</f>
        <v>157</v>
      </c>
      <c r="K16" s="1514" t="s">
        <v>1279</v>
      </c>
      <c r="L16" s="909"/>
      <c r="M16" s="1996"/>
    </row>
    <row r="17" spans="1:33" s="1676" customFormat="1" ht="18" customHeight="1">
      <c r="A17" s="1368" t="s">
        <v>1412</v>
      </c>
      <c r="B17" s="719" t="s">
        <v>601</v>
      </c>
      <c r="C17" s="49">
        <f ca="1">ROUND(F17*(F43+INDIRECT("'数据-取费表'!S"&amp;$G$1))/10000,0)</f>
        <v>1659</v>
      </c>
      <c r="D17" s="719" t="s">
        <v>1280</v>
      </c>
      <c r="E17" s="719" t="s">
        <v>1281</v>
      </c>
      <c r="F17" s="52">
        <f>'数据-取费表'!B35</f>
        <v>200</v>
      </c>
      <c r="G17" s="2761"/>
      <c r="H17" s="1369" t="s">
        <v>1359</v>
      </c>
      <c r="I17" s="719" t="s">
        <v>604</v>
      </c>
      <c r="J17" s="2555">
        <f ca="1">ROUND(IF(AND(项目基本情况!B11="自然人",项目基本情况!B10="北京市"),J6*M17/(1+'数据-取费表'!C42),J18+J19+J20),2)</f>
        <v>12.44</v>
      </c>
      <c r="K17" s="906" t="s">
        <v>1282</v>
      </c>
      <c r="L17" s="907" t="s">
        <v>1283</v>
      </c>
      <c r="M17" s="2554">
        <f ca="1">IF(项目基本情况!B11="企业","——",IF('数据-取费表'!B10="住宅",IF(M6*M7*M8/12/(1+'数据-取费表'!F30)&gt;100000,4%,2.5%),IF(M6*M7*M8/12/(1+'数据-取费表'!F30)&gt;100000,12%,7%)))</f>
        <v>7.0000000000000007E-2</v>
      </c>
      <c r="N17" s="1675"/>
      <c r="O17" s="1675"/>
      <c r="P17" s="1675"/>
      <c r="Q17" s="1952"/>
      <c r="R17" s="1675"/>
      <c r="S17" s="1675"/>
      <c r="T17" s="1675"/>
      <c r="U17" s="1675"/>
      <c r="V17" s="1675"/>
      <c r="W17" s="1675"/>
      <c r="X17" s="1675"/>
      <c r="Y17" s="1675"/>
      <c r="Z17" s="1675"/>
      <c r="AA17" s="1675"/>
      <c r="AB17" s="1675"/>
      <c r="AC17" s="1675"/>
      <c r="AD17" s="1675"/>
      <c r="AE17" s="1675"/>
      <c r="AF17" s="1675"/>
      <c r="AG17" s="1675"/>
    </row>
    <row r="18" spans="1:33" s="1676" customFormat="1" ht="18" customHeight="1">
      <c r="A18" s="1368" t="s">
        <v>1413</v>
      </c>
      <c r="B18" s="719" t="s">
        <v>607</v>
      </c>
      <c r="C18" s="49">
        <f ca="1">ROUND(C14*F18,0)</f>
        <v>415</v>
      </c>
      <c r="D18" s="719" t="s">
        <v>1275</v>
      </c>
      <c r="E18" s="719" t="s">
        <v>1276</v>
      </c>
      <c r="F18" s="744">
        <f>'数据-取费表'!B36</f>
        <v>0.02</v>
      </c>
      <c r="G18" s="2761"/>
      <c r="H18" s="1368" t="s">
        <v>1409</v>
      </c>
      <c r="I18" s="719" t="s">
        <v>1284</v>
      </c>
      <c r="J18" s="49">
        <f ca="1">ROUND(J6*M18/(1+'数据-取费表'!C42),2)</f>
        <v>0</v>
      </c>
      <c r="K18" s="907" t="s">
        <v>1285</v>
      </c>
      <c r="L18" s="719" t="s">
        <v>1276</v>
      </c>
      <c r="M18" s="744">
        <f>'数据-取费表'!B41</f>
        <v>5.5000000000000007E-2</v>
      </c>
      <c r="N18" s="1675"/>
      <c r="O18" s="1675"/>
      <c r="P18" s="1675"/>
      <c r="Q18" s="1952"/>
      <c r="R18" s="1675"/>
      <c r="S18" s="1675"/>
      <c r="T18" s="1675"/>
      <c r="U18" s="1675"/>
      <c r="V18" s="1675"/>
      <c r="W18" s="1675"/>
      <c r="X18" s="1675"/>
      <c r="Y18" s="1675"/>
      <c r="Z18" s="1675"/>
      <c r="AA18" s="1675"/>
      <c r="AB18" s="1675"/>
      <c r="AC18" s="1675"/>
      <c r="AD18" s="1675"/>
      <c r="AE18" s="1675"/>
      <c r="AF18" s="1675"/>
      <c r="AG18" s="1675"/>
    </row>
    <row r="19" spans="1:33" ht="18" customHeight="1">
      <c r="A19" s="1369" t="s">
        <v>1359</v>
      </c>
      <c r="B19" s="719" t="s">
        <v>610</v>
      </c>
      <c r="C19" s="49">
        <f ca="1">SUM(C14:C18)</f>
        <v>23433</v>
      </c>
      <c r="D19" s="241" t="s">
        <v>1286</v>
      </c>
      <c r="E19" s="915"/>
      <c r="F19" s="52"/>
      <c r="G19" s="1668"/>
      <c r="H19" s="1368" t="s">
        <v>1410</v>
      </c>
      <c r="I19" s="719" t="s">
        <v>1287</v>
      </c>
      <c r="J19" s="49">
        <f ca="1">IF(K19="按租金收入计税",ROUND(J6*M19/(1+'数据-取费表'!C42),1),ROUND(C29*F33*0.7,2))</f>
        <v>0</v>
      </c>
      <c r="K19" s="745" t="s">
        <v>3248</v>
      </c>
      <c r="L19" s="719" t="s">
        <v>1276</v>
      </c>
      <c r="M19" s="744">
        <f>IF(K19="按租金收入计税",'数据-取费表'!B51,'数据-取费表'!B50)</f>
        <v>0.12</v>
      </c>
    </row>
    <row r="20" spans="1:33" s="1676" customFormat="1" ht="18" customHeight="1">
      <c r="A20" s="1369" t="s">
        <v>1414</v>
      </c>
      <c r="B20" s="719" t="s">
        <v>613</v>
      </c>
      <c r="C20" s="49">
        <f ca="1">ROUND(C19*F20,0)</f>
        <v>469</v>
      </c>
      <c r="D20" s="746" t="s">
        <v>1288</v>
      </c>
      <c r="E20" s="719" t="s">
        <v>1276</v>
      </c>
      <c r="F20" s="744">
        <f>'数据-取费表'!B37</f>
        <v>0.02</v>
      </c>
      <c r="G20" s="2761"/>
      <c r="H20" s="1371" t="s">
        <v>1405</v>
      </c>
      <c r="I20" s="315" t="s">
        <v>1289</v>
      </c>
      <c r="J20" s="50">
        <f ca="1">ROUND(M20*M21/10000,2)</f>
        <v>12.44</v>
      </c>
      <c r="K20" s="748" t="s">
        <v>1290</v>
      </c>
      <c r="L20" s="719" t="s">
        <v>1291</v>
      </c>
      <c r="M20" s="587">
        <f>'数据-取费表'!B52</f>
        <v>1.5</v>
      </c>
      <c r="N20" s="1675"/>
      <c r="O20" s="1675"/>
      <c r="P20" s="1675"/>
      <c r="Q20" s="1952"/>
      <c r="R20" s="1675"/>
      <c r="S20" s="1675"/>
      <c r="T20" s="1675"/>
      <c r="U20" s="1675"/>
      <c r="V20" s="1675"/>
      <c r="W20" s="1675"/>
      <c r="X20" s="1675"/>
      <c r="Y20" s="1675"/>
      <c r="Z20" s="1675"/>
      <c r="AA20" s="1675"/>
      <c r="AB20" s="1675"/>
      <c r="AC20" s="1675"/>
      <c r="AD20" s="1675"/>
      <c r="AE20" s="1675"/>
      <c r="AF20" s="1675"/>
      <c r="AG20" s="1675"/>
    </row>
    <row r="21" spans="1:33" s="1676" customFormat="1" ht="18" customHeight="1">
      <c r="A21" s="1369" t="s">
        <v>1415</v>
      </c>
      <c r="B21" s="719" t="s">
        <v>1292</v>
      </c>
      <c r="C21" s="49" t="s">
        <v>1293</v>
      </c>
      <c r="D21" s="746" t="s">
        <v>1655</v>
      </c>
      <c r="E21" s="719" t="s">
        <v>1294</v>
      </c>
      <c r="F21" s="744">
        <f>'数据-取费表'!B38</f>
        <v>0.02</v>
      </c>
      <c r="G21" s="2761"/>
      <c r="H21" s="2011"/>
      <c r="I21" s="728"/>
      <c r="J21" s="65"/>
      <c r="K21" s="750"/>
      <c r="L21" s="719" t="s">
        <v>1295</v>
      </c>
      <c r="M21" s="720">
        <f ca="1">INDIRECT("'数据-取费表'!r"&amp;$G$1)</f>
        <v>82949.97</v>
      </c>
      <c r="N21" s="1675"/>
      <c r="O21" s="1675"/>
      <c r="P21" s="1675"/>
      <c r="Q21" s="1952"/>
      <c r="R21" s="1675"/>
      <c r="S21" s="1675"/>
      <c r="T21" s="1675"/>
      <c r="U21" s="1675"/>
      <c r="V21" s="1675"/>
      <c r="W21" s="1675"/>
      <c r="X21" s="1675"/>
      <c r="Y21" s="1675"/>
      <c r="Z21" s="1675"/>
      <c r="AA21" s="1675"/>
      <c r="AB21" s="1675"/>
      <c r="AC21" s="1675"/>
      <c r="AD21" s="1675"/>
      <c r="AE21" s="1675"/>
      <c r="AF21" s="1675"/>
      <c r="AG21" s="1675"/>
    </row>
    <row r="22" spans="1:33" ht="18" customHeight="1">
      <c r="A22" s="1369" t="s">
        <v>1416</v>
      </c>
      <c r="B22" s="719" t="s">
        <v>1296</v>
      </c>
      <c r="C22" s="49"/>
      <c r="D22" s="2045" t="str">
        <f>IF(F23&lt;=1,"单利计息。","复利计息。")&amp;"建造成本、管理费用、销售费用产生的利息。"</f>
        <v>单利计息。建造成本、管理费用、销售费用产生的利息。</v>
      </c>
      <c r="E22" s="915"/>
      <c r="F22" s="52"/>
      <c r="G22" s="1668"/>
      <c r="H22" s="1369" t="s">
        <v>1414</v>
      </c>
      <c r="I22" s="719" t="s">
        <v>1297</v>
      </c>
      <c r="J22" s="49">
        <f ca="1">ROUND(J14*M22,2)</f>
        <v>144.29</v>
      </c>
      <c r="K22" s="907" t="s">
        <v>1298</v>
      </c>
      <c r="L22" s="719" t="s">
        <v>1276</v>
      </c>
      <c r="M22" s="751">
        <f ca="1">INDIRECT("'数据-取费表'!Ak"&amp;$G$1)</f>
        <v>5.0000000000000001E-3</v>
      </c>
    </row>
    <row r="23" spans="1:33" s="1676" customFormat="1" ht="18" customHeight="1">
      <c r="A23" s="1368" t="s">
        <v>1360</v>
      </c>
      <c r="B23" s="719" t="s">
        <v>1818</v>
      </c>
      <c r="C23" s="49">
        <f ca="1">ROUND(IF('数据-取费表'!B22&lt;=1,(C19+C20)*F24*F23/2,(C19+C20)*(POWER((1+F24),F23/2)-1)),0)</f>
        <v>409</v>
      </c>
      <c r="D23" s="2044" t="str">
        <f>IF(F23&lt;=1,"(建造成本+管理费用)×利率×(建设周期÷2)","(建造成本+管理费用)×((1+利率)^(建设周期÷2)-1)")</f>
        <v>(建造成本+管理费用)×利率×(建设周期÷2)</v>
      </c>
      <c r="E23" s="719" t="s">
        <v>1299</v>
      </c>
      <c r="F23" s="587">
        <f>'数据-取费表'!B20</f>
        <v>1</v>
      </c>
      <c r="G23" s="2761"/>
      <c r="H23" s="1369" t="s">
        <v>1415</v>
      </c>
      <c r="I23" s="719" t="s">
        <v>626</v>
      </c>
      <c r="J23" s="49">
        <f ca="1">ROUND(J13*M23,2)</f>
        <v>0</v>
      </c>
      <c r="K23" s="907" t="s">
        <v>1300</v>
      </c>
      <c r="L23" s="719" t="s">
        <v>1276</v>
      </c>
      <c r="M23" s="752">
        <f ca="1">INDIRECT("'数据-取费表'!Al"&amp;$G$1)</f>
        <v>1E-3</v>
      </c>
      <c r="N23" s="1675"/>
      <c r="O23" s="1675"/>
      <c r="P23" s="1675"/>
      <c r="Q23" s="1952"/>
      <c r="R23" s="1675"/>
      <c r="S23" s="1675"/>
      <c r="T23" s="1675"/>
      <c r="U23" s="1675"/>
      <c r="V23" s="1675"/>
      <c r="W23" s="1675"/>
      <c r="X23" s="1675"/>
      <c r="Y23" s="1675"/>
      <c r="Z23" s="1675"/>
      <c r="AA23" s="1675"/>
      <c r="AB23" s="1675"/>
      <c r="AC23" s="1675"/>
      <c r="AD23" s="1675"/>
      <c r="AE23" s="1675"/>
      <c r="AF23" s="1675"/>
      <c r="AG23" s="1675"/>
    </row>
    <row r="24" spans="1:33" s="1676" customFormat="1" ht="18" customHeight="1" thickBot="1">
      <c r="A24" s="1368" t="s">
        <v>1361</v>
      </c>
      <c r="B24" s="719" t="s">
        <v>1301</v>
      </c>
      <c r="C24" s="49">
        <f ca="1">ROUND(IF('数据-取费表'!B22&lt;=1,F21*F24*F23/2,F21*(POWER((1+F24),F23/2)-1)),4)</f>
        <v>2.9999999999999997E-4</v>
      </c>
      <c r="D24" s="2044" t="str">
        <f>IF(F23&lt;=1,"销售费用×利率×(建设周期÷2)","销售费用×((1+利率)^(建设周期÷2)-1)")</f>
        <v>销售费用×利率×(建设周期÷2)</v>
      </c>
      <c r="E24" s="719" t="s">
        <v>1302</v>
      </c>
      <c r="F24" s="753">
        <f ca="1">'数据-取费表'!B40</f>
        <v>3.4500000000000003E-2</v>
      </c>
      <c r="G24" s="2761"/>
      <c r="H24" s="2027" t="s">
        <v>1416</v>
      </c>
      <c r="I24" s="2022" t="s">
        <v>613</v>
      </c>
      <c r="J24" s="2020">
        <f ca="1">ROUND(J5*M24,2)</f>
        <v>0</v>
      </c>
      <c r="K24" s="2021" t="s">
        <v>1303</v>
      </c>
      <c r="L24" s="2022" t="s">
        <v>1276</v>
      </c>
      <c r="M24" s="2018">
        <f ca="1">INDIRECT("'数据-取费表'!Am"&amp;$G$1)</f>
        <v>0.01</v>
      </c>
      <c r="N24" s="1675"/>
      <c r="O24" s="1675"/>
      <c r="P24" s="1675"/>
      <c r="Q24" s="1952"/>
      <c r="R24" s="1675"/>
      <c r="S24" s="1675"/>
      <c r="T24" s="1675"/>
      <c r="U24" s="1675"/>
      <c r="V24" s="1675"/>
      <c r="W24" s="1675"/>
      <c r="X24" s="1675"/>
      <c r="Y24" s="1675"/>
      <c r="Z24" s="1675"/>
      <c r="AA24" s="1675"/>
      <c r="AB24" s="1675"/>
      <c r="AC24" s="1675"/>
      <c r="AD24" s="1675"/>
      <c r="AE24" s="1675"/>
      <c r="AF24" s="1675"/>
      <c r="AG24" s="1675"/>
    </row>
    <row r="25" spans="1:33" ht="18" customHeight="1" thickTop="1">
      <c r="A25" s="1370" t="s">
        <v>1369</v>
      </c>
      <c r="B25" s="719" t="s">
        <v>631</v>
      </c>
      <c r="C25" s="49"/>
      <c r="D25" s="241" t="s">
        <v>1304</v>
      </c>
      <c r="E25" s="915"/>
      <c r="F25" s="52"/>
      <c r="G25" s="1668"/>
      <c r="H25" s="1520" t="s">
        <v>1305</v>
      </c>
      <c r="I25" s="2297" t="s">
        <v>2099</v>
      </c>
      <c r="J25" s="727">
        <f ca="1">J5-J16</f>
        <v>-157</v>
      </c>
      <c r="K25" s="2024" t="s">
        <v>1306</v>
      </c>
      <c r="L25" s="2025"/>
      <c r="M25" s="2026"/>
    </row>
    <row r="26" spans="1:33" ht="18" customHeight="1">
      <c r="A26" s="1368" t="s">
        <v>1360</v>
      </c>
      <c r="B26" s="719" t="s">
        <v>1785</v>
      </c>
      <c r="C26" s="49">
        <f ca="1">ROUND((C19+C20)*F26,0)</f>
        <v>2390</v>
      </c>
      <c r="D26" s="746" t="s">
        <v>1307</v>
      </c>
      <c r="E26" s="730" t="s">
        <v>1308</v>
      </c>
      <c r="F26" s="729">
        <f ca="1">INDIRECT("'数据-取费表'!q"&amp;$G$1)</f>
        <v>0.1</v>
      </c>
      <c r="G26" s="1668"/>
      <c r="H26" s="2007" t="s">
        <v>1309</v>
      </c>
      <c r="I26" s="1826" t="s">
        <v>2104</v>
      </c>
      <c r="J26" s="718">
        <f ca="1">IF(J5&lt;&gt;0,ROUND(J25*(1-((1+M28)/(1+M26))^M27)/(M26-M28),0),0)</f>
        <v>0</v>
      </c>
      <c r="K26" s="748" t="s">
        <v>1310</v>
      </c>
      <c r="L26" s="719" t="s">
        <v>1773</v>
      </c>
      <c r="M26" s="729">
        <f ca="1">INDIRECT("'数据-取费表'!I"&amp;$G$1)</f>
        <v>0.06</v>
      </c>
    </row>
    <row r="27" spans="1:33" ht="18" customHeight="1">
      <c r="A27" s="1368" t="s">
        <v>1361</v>
      </c>
      <c r="B27" s="719" t="s">
        <v>633</v>
      </c>
      <c r="C27" s="49">
        <f ca="1">ROUND(F21*F26,4)</f>
        <v>2E-3</v>
      </c>
      <c r="D27" s="746" t="s">
        <v>1311</v>
      </c>
      <c r="E27" s="741"/>
      <c r="F27" s="742"/>
      <c r="G27" s="1668"/>
      <c r="H27" s="2008"/>
      <c r="I27" s="722"/>
      <c r="J27" s="723"/>
      <c r="K27" s="755" t="s">
        <v>1312</v>
      </c>
      <c r="L27" s="719" t="s">
        <v>1313</v>
      </c>
      <c r="M27" s="756">
        <f ca="1">INDIRECT("'数据-取费表'!ag"&amp;$G$1)</f>
        <v>0</v>
      </c>
    </row>
    <row r="28" spans="1:33" s="1676" customFormat="1" ht="18" customHeight="1">
      <c r="A28" s="1370" t="s">
        <v>1370</v>
      </c>
      <c r="B28" s="719" t="s">
        <v>634</v>
      </c>
      <c r="C28" s="49">
        <f>ROUND(F28/(1+'数据-取费表'!C42),4)</f>
        <v>5.2400000000000002E-2</v>
      </c>
      <c r="D28" s="746" t="s">
        <v>1656</v>
      </c>
      <c r="E28" s="719" t="s">
        <v>1314</v>
      </c>
      <c r="F28" s="744">
        <f>'数据-取费表'!B41</f>
        <v>5.5000000000000007E-2</v>
      </c>
      <c r="G28" s="2761"/>
      <c r="H28" s="1520"/>
      <c r="I28" s="726"/>
      <c r="J28" s="727"/>
      <c r="K28" s="750"/>
      <c r="L28" s="719" t="s">
        <v>1315</v>
      </c>
      <c r="M28" s="729">
        <f ca="1">INDIRECT("'数据-取费表'!aa"&amp;$G$1)</f>
        <v>0</v>
      </c>
      <c r="N28" s="1675"/>
      <c r="O28" s="1675"/>
      <c r="P28" s="1675"/>
      <c r="Q28" s="1952"/>
      <c r="R28" s="1675"/>
      <c r="S28" s="1675"/>
      <c r="T28" s="1675"/>
      <c r="U28" s="1675"/>
      <c r="V28" s="1675"/>
      <c r="W28" s="1675"/>
      <c r="X28" s="1675"/>
      <c r="Y28" s="1675"/>
      <c r="Z28" s="1675"/>
      <c r="AA28" s="1675"/>
      <c r="AB28" s="1675"/>
      <c r="AC28" s="1675"/>
      <c r="AD28" s="1675"/>
      <c r="AE28" s="1675"/>
      <c r="AF28" s="1675"/>
      <c r="AG28" s="1675"/>
    </row>
    <row r="29" spans="1:33" s="1676" customFormat="1" ht="18" customHeight="1" thickBot="1">
      <c r="A29" s="2019" t="s">
        <v>1417</v>
      </c>
      <c r="B29" s="2017" t="s">
        <v>1657</v>
      </c>
      <c r="C29" s="2020">
        <f ca="1">ROUND((C19+C20+C23+C26)/(1-F21-C24-C27-C28),0)</f>
        <v>28857</v>
      </c>
      <c r="D29" s="2021"/>
      <c r="E29" s="2022"/>
      <c r="F29" s="2023"/>
      <c r="G29" s="2761"/>
      <c r="H29" s="757" t="s">
        <v>1316</v>
      </c>
      <c r="I29" s="758" t="s">
        <v>1317</v>
      </c>
      <c r="J29" s="759">
        <f ca="1">ROUND(J26/(1+F40)^F41,0)</f>
        <v>0</v>
      </c>
      <c r="K29" s="760" t="s">
        <v>1318</v>
      </c>
      <c r="L29" s="761"/>
      <c r="M29" s="762">
        <f ca="1">INDIRECT("'数据-取费表'!k"&amp;$G$1)</f>
        <v>82949.97</v>
      </c>
      <c r="N29" s="1675"/>
      <c r="O29" s="1675"/>
      <c r="P29" s="1675"/>
      <c r="Q29" s="1952"/>
      <c r="R29" s="1675"/>
      <c r="S29" s="1675"/>
      <c r="T29" s="1675"/>
      <c r="U29" s="1675"/>
      <c r="V29" s="1675"/>
      <c r="W29" s="1675"/>
      <c r="X29" s="1675"/>
      <c r="Y29" s="1675"/>
      <c r="Z29" s="1675"/>
      <c r="AA29" s="1675"/>
      <c r="AB29" s="1675"/>
      <c r="AC29" s="1675"/>
      <c r="AD29" s="1675"/>
      <c r="AE29" s="1675"/>
      <c r="AF29" s="1675"/>
      <c r="AG29" s="1675"/>
    </row>
    <row r="30" spans="1:33" ht="18" customHeight="1" thickTop="1">
      <c r="A30" s="1520" t="s">
        <v>1418</v>
      </c>
      <c r="B30" s="1518" t="s">
        <v>1319</v>
      </c>
      <c r="C30" s="727">
        <f ca="1">ROUND(C31+C36+C37+C38,0)</f>
        <v>756</v>
      </c>
      <c r="D30" s="1514" t="s">
        <v>1320</v>
      </c>
      <c r="E30" s="909"/>
      <c r="F30" s="1996"/>
      <c r="G30" s="1668"/>
      <c r="H30" s="1677"/>
      <c r="I30" s="1678"/>
      <c r="J30" s="1679"/>
      <c r="K30" s="1636"/>
      <c r="L30" s="1680"/>
      <c r="M30" s="1681"/>
    </row>
    <row r="31" spans="1:33" ht="18" customHeight="1">
      <c r="A31" s="1369" t="s">
        <v>1359</v>
      </c>
      <c r="B31" s="719" t="s">
        <v>604</v>
      </c>
      <c r="C31" s="2555">
        <f ca="1">ROUND(IF(AND(项目基本情况!B11="自然人",项目基本情况!B10="北京市"),C6*F31/(1+'数据-取费表'!C42),C32+C33+C34),2)</f>
        <v>557.44000000000005</v>
      </c>
      <c r="D31" s="906" t="s">
        <v>1321</v>
      </c>
      <c r="E31" s="907" t="s">
        <v>1322</v>
      </c>
      <c r="F31" s="2554">
        <f ca="1">IF(项目基本情况!B11="企业","——",IF(M47="住宅",IF(F6*F7*F8/12/(1+'数据-取费表'!F30)&gt;100000,4%,2.5%),IF(F6*F7*F8/12/(1+'数据-取费表'!F30)&gt;100000,12%,7%)))</f>
        <v>0.12</v>
      </c>
      <c r="G31" s="1668"/>
      <c r="H31" s="2758" t="s">
        <v>2284</v>
      </c>
      <c r="I31" s="1678"/>
      <c r="J31" s="1679"/>
      <c r="K31" s="1636"/>
      <c r="L31" s="1680"/>
      <c r="M31" s="1681"/>
    </row>
    <row r="32" spans="1:33" ht="18" customHeight="1">
      <c r="A32" s="1368" t="s">
        <v>1360</v>
      </c>
      <c r="B32" s="719" t="s">
        <v>1323</v>
      </c>
      <c r="C32" s="49">
        <f ca="1">ROUND(C6*F32/(1+'数据-取费表'!C42),2)</f>
        <v>171.29</v>
      </c>
      <c r="D32" s="907" t="s">
        <v>1324</v>
      </c>
      <c r="E32" s="719" t="s">
        <v>1325</v>
      </c>
      <c r="F32" s="744">
        <f>'数据-取费表'!B41</f>
        <v>5.5000000000000007E-2</v>
      </c>
      <c r="G32" s="1668"/>
      <c r="H32" s="1682"/>
      <c r="I32" s="1683"/>
      <c r="J32" s="1684"/>
      <c r="K32" s="1685"/>
      <c r="L32" s="1686"/>
      <c r="M32" s="1687"/>
    </row>
    <row r="33" spans="1:18" ht="18" customHeight="1">
      <c r="A33" s="1368" t="s">
        <v>1361</v>
      </c>
      <c r="B33" s="719" t="s">
        <v>1326</v>
      </c>
      <c r="C33" s="49">
        <f ca="1">IF(D33="按租金收入计税",ROUND(C6*F33/(1+'数据-取费表'!C42),2),IF(D33="按房产原值计税",ROUND(C29*F33*0.7,2),INDIRECT("'数据-取费表'!Aj"&amp;$G$1)))</f>
        <v>373.71</v>
      </c>
      <c r="D33" s="745" t="s">
        <v>3248</v>
      </c>
      <c r="E33" s="719" t="s">
        <v>1325</v>
      </c>
      <c r="F33" s="744">
        <f>IF(D33="按租金收入计税",'数据-取费表'!B51,'数据-取费表'!B50)</f>
        <v>0.12</v>
      </c>
      <c r="G33" s="1668"/>
      <c r="H33" s="1688"/>
      <c r="I33" s="1688"/>
      <c r="J33" s="1688"/>
      <c r="K33" s="1689"/>
      <c r="L33" s="1688"/>
      <c r="M33" s="1688"/>
    </row>
    <row r="34" spans="1:18" ht="18" customHeight="1">
      <c r="A34" s="1371" t="s">
        <v>1362</v>
      </c>
      <c r="B34" s="315" t="s">
        <v>1327</v>
      </c>
      <c r="C34" s="50">
        <f ca="1">ROUND(F34*F35/10000,2)</f>
        <v>12.44</v>
      </c>
      <c r="D34" s="748" t="s">
        <v>1328</v>
      </c>
      <c r="E34" s="719" t="s">
        <v>1329</v>
      </c>
      <c r="F34" s="587">
        <f>'数据-取费表'!B52</f>
        <v>1.5</v>
      </c>
      <c r="G34" s="1668"/>
      <c r="H34" s="1677"/>
      <c r="I34" s="769" t="s">
        <v>1342</v>
      </c>
      <c r="J34" s="770"/>
      <c r="K34" s="1691"/>
      <c r="L34" s="1690"/>
      <c r="M34" s="1690"/>
    </row>
    <row r="35" spans="1:18" ht="18" customHeight="1">
      <c r="A35" s="749"/>
      <c r="B35" s="728"/>
      <c r="C35" s="65"/>
      <c r="D35" s="750"/>
      <c r="E35" s="719" t="s">
        <v>1330</v>
      </c>
      <c r="F35" s="720">
        <f ca="1">INDIRECT("'数据-取费表'!r"&amp;$G$1)</f>
        <v>82949.97</v>
      </c>
      <c r="G35" s="1668"/>
      <c r="H35" s="1677"/>
      <c r="I35" s="771" t="s">
        <v>1343</v>
      </c>
      <c r="J35" s="772">
        <f ca="1">ROUND(C13*J36,0)</f>
        <v>1515</v>
      </c>
      <c r="K35" s="1689"/>
      <c r="L35" s="1688"/>
      <c r="M35" s="1688"/>
    </row>
    <row r="36" spans="1:18" ht="18" customHeight="1">
      <c r="A36" s="1369" t="s">
        <v>1414</v>
      </c>
      <c r="B36" s="719" t="s">
        <v>1331</v>
      </c>
      <c r="C36" s="49">
        <f ca="1">ROUND(C29*F36,2)</f>
        <v>144.29</v>
      </c>
      <c r="D36" s="907" t="s">
        <v>1332</v>
      </c>
      <c r="E36" s="719" t="s">
        <v>1325</v>
      </c>
      <c r="F36" s="751">
        <f ca="1">INDIRECT("'数据-取费表'!Ak"&amp;$G$1)</f>
        <v>5.0000000000000001E-3</v>
      </c>
      <c r="G36" s="1668"/>
      <c r="H36" s="1688"/>
      <c r="I36" s="773" t="s">
        <v>1344</v>
      </c>
      <c r="J36" s="774">
        <f ca="1">INDIRECT("'数据-取费表'!j"&amp;$G$1)</f>
        <v>7.0000000000000007E-2</v>
      </c>
      <c r="K36" s="1692"/>
      <c r="L36" s="1688"/>
      <c r="M36" s="1688"/>
    </row>
    <row r="37" spans="1:18" ht="18" customHeight="1">
      <c r="A37" s="1369" t="s">
        <v>1415</v>
      </c>
      <c r="B37" s="719" t="s">
        <v>626</v>
      </c>
      <c r="C37" s="49">
        <f ca="1">ROUND(C13*F37,2)</f>
        <v>21.64</v>
      </c>
      <c r="D37" s="907" t="s">
        <v>1333</v>
      </c>
      <c r="E37" s="719" t="s">
        <v>1325</v>
      </c>
      <c r="F37" s="752">
        <f ca="1">INDIRECT("'数据-取费表'!Al"&amp;$G$1)</f>
        <v>1E-3</v>
      </c>
      <c r="G37" s="1668"/>
      <c r="H37" s="1688"/>
      <c r="I37" s="775" t="s">
        <v>1345</v>
      </c>
      <c r="J37" s="776"/>
      <c r="K37" s="1692"/>
      <c r="L37" s="1688"/>
      <c r="M37" s="1688"/>
    </row>
    <row r="38" spans="1:18" ht="18" customHeight="1" thickBot="1">
      <c r="A38" s="2027" t="s">
        <v>1416</v>
      </c>
      <c r="B38" s="2022" t="s">
        <v>613</v>
      </c>
      <c r="C38" s="2020">
        <f ca="1">ROUND(C5*F38,2)</f>
        <v>32.74</v>
      </c>
      <c r="D38" s="2021" t="s">
        <v>1334</v>
      </c>
      <c r="E38" s="2022" t="s">
        <v>1325</v>
      </c>
      <c r="F38" s="2018">
        <f ca="1">INDIRECT("'数据-取费表'!Am"&amp;$G$1)</f>
        <v>0.01</v>
      </c>
      <c r="G38" s="1668"/>
      <c r="H38" s="1688"/>
      <c r="I38" s="777" t="s">
        <v>1346</v>
      </c>
      <c r="J38" s="778"/>
      <c r="K38" s="1693"/>
      <c r="L38" s="1688"/>
      <c r="M38" s="1688"/>
    </row>
    <row r="39" spans="1:18" ht="24.6" customHeight="1" thickTop="1">
      <c r="A39" s="1520" t="s">
        <v>1419</v>
      </c>
      <c r="B39" s="2297" t="s">
        <v>2099</v>
      </c>
      <c r="C39" s="727">
        <f ca="1">C5-C30</f>
        <v>2518</v>
      </c>
      <c r="D39" s="2024" t="s">
        <v>1335</v>
      </c>
      <c r="E39" s="2025"/>
      <c r="F39" s="2026"/>
      <c r="G39" s="1668"/>
      <c r="H39" s="1688"/>
      <c r="I39" s="771" t="s">
        <v>1347</v>
      </c>
      <c r="J39" s="779">
        <f ca="1">ROUND(J35/C39,3)</f>
        <v>0.60199999999999998</v>
      </c>
      <c r="K39" s="1693"/>
      <c r="L39" s="1688"/>
      <c r="M39" s="1688"/>
    </row>
    <row r="40" spans="1:18" ht="18" customHeight="1">
      <c r="A40" s="716" t="s">
        <v>1420</v>
      </c>
      <c r="B40" s="1826" t="s">
        <v>1658</v>
      </c>
      <c r="C40" s="718">
        <f ca="1">ROUND(C39*(1-((1+F42)/(1+F40))^F41)/(F40-F42),0)</f>
        <v>39552</v>
      </c>
      <c r="D40" s="748" t="s">
        <v>1336</v>
      </c>
      <c r="E40" s="719" t="s">
        <v>1773</v>
      </c>
      <c r="F40" s="729">
        <f ca="1">INDIRECT("'数据-取费表'!I"&amp;$G$1)</f>
        <v>0.06</v>
      </c>
      <c r="G40" s="1668"/>
      <c r="H40" s="1668"/>
      <c r="I40" s="771" t="s">
        <v>1348</v>
      </c>
      <c r="J40" s="779">
        <f ca="1">1-J39</f>
        <v>0.39800000000000002</v>
      </c>
      <c r="K40" s="1693"/>
      <c r="L40" s="1668"/>
      <c r="M40" s="1668"/>
    </row>
    <row r="41" spans="1:18" ht="18" customHeight="1">
      <c r="A41" s="721"/>
      <c r="B41" s="722"/>
      <c r="C41" s="723"/>
      <c r="D41" s="755" t="s">
        <v>1337</v>
      </c>
      <c r="E41" s="719" t="s">
        <v>2224</v>
      </c>
      <c r="F41" s="756">
        <f ca="1">IF(INDIRECT("'数据-取费表'!af"&amp;$G$1)=0,INDIRECT("'数据-取费表'!ae"&amp;$G$1),INDIRECT("'数据-取费表'!af"&amp;$G$1))</f>
        <v>31.85</v>
      </c>
      <c r="G41" s="1668"/>
      <c r="H41" s="1636"/>
      <c r="I41" s="777" t="s">
        <v>1349</v>
      </c>
      <c r="J41" s="780"/>
      <c r="K41" s="1692"/>
      <c r="L41" s="1636"/>
      <c r="M41" s="1636"/>
    </row>
    <row r="42" spans="1:18" ht="18" customHeight="1">
      <c r="A42" s="725"/>
      <c r="B42" s="726"/>
      <c r="C42" s="727"/>
      <c r="D42" s="750"/>
      <c r="E42" s="719" t="s">
        <v>1338</v>
      </c>
      <c r="F42" s="729">
        <f ca="1">INDIRECT("'数据-取费表'!v"&amp;$G$1)</f>
        <v>0.01</v>
      </c>
      <c r="G42" s="1668"/>
      <c r="H42" s="1636"/>
      <c r="I42" s="781" t="s">
        <v>1350</v>
      </c>
      <c r="J42" s="779">
        <f ca="1">ROUND(C13/C40,3)</f>
        <v>0.54700000000000004</v>
      </c>
      <c r="K42" s="1692"/>
      <c r="L42" s="1636"/>
      <c r="M42" s="1636"/>
    </row>
    <row r="43" spans="1:18" ht="18" customHeight="1" thickBot="1">
      <c r="A43" s="757" t="s">
        <v>1316</v>
      </c>
      <c r="B43" s="758" t="s">
        <v>1339</v>
      </c>
      <c r="C43" s="759">
        <f ca="1">ROUND(C40*10000/F43,0)</f>
        <v>4768</v>
      </c>
      <c r="D43" s="760" t="s">
        <v>1340</v>
      </c>
      <c r="E43" s="761" t="s">
        <v>1341</v>
      </c>
      <c r="F43" s="762">
        <f ca="1">INDIRECT("'数据-取费表'!k"&amp;$G$1)</f>
        <v>82949.97</v>
      </c>
      <c r="G43" s="1668"/>
      <c r="H43" s="1636"/>
      <c r="I43" s="781" t="s">
        <v>1351</v>
      </c>
      <c r="J43" s="782">
        <f ca="1">1-J42</f>
        <v>0.45299999999999996</v>
      </c>
      <c r="K43" s="1692"/>
      <c r="L43" s="1636"/>
      <c r="M43" s="1636"/>
    </row>
    <row r="44" spans="1:18" s="1672" customFormat="1" ht="18" customHeight="1">
      <c r="A44" s="1695"/>
      <c r="B44" s="1695"/>
      <c r="C44" s="1710"/>
      <c r="D44" s="1695"/>
      <c r="E44" s="1695"/>
      <c r="F44" s="1695"/>
      <c r="K44" s="1696"/>
      <c r="Q44" s="1705"/>
    </row>
    <row r="45" spans="1:18" s="1672" customFormat="1" ht="18" customHeight="1" thickBot="1">
      <c r="A45" s="1695"/>
      <c r="B45" s="1695"/>
      <c r="C45" s="1710"/>
      <c r="D45" s="1695"/>
      <c r="E45" s="1695"/>
      <c r="F45" s="1695"/>
      <c r="K45" s="1696"/>
      <c r="Q45" s="1705"/>
    </row>
    <row r="46" spans="1:18" s="1672" customFormat="1" ht="18" customHeight="1" thickBot="1">
      <c r="A46" s="1824" t="s">
        <v>1652</v>
      </c>
      <c r="B46" s="1695"/>
      <c r="C46" s="1147">
        <f ca="1">C67-C40</f>
        <v>-42055</v>
      </c>
      <c r="D46" s="2762"/>
      <c r="E46" s="2762"/>
      <c r="F46" s="2762"/>
      <c r="I46" s="1939" t="s">
        <v>1697</v>
      </c>
      <c r="J46" s="1940"/>
      <c r="K46" s="1941"/>
      <c r="L46" s="2375" t="str">
        <f ca="1">IF(OR(M47="住宅",D1="土地（套用方法）"),0,IF(L48&gt;J51,L60,J60))</f>
        <v>0</v>
      </c>
      <c r="M46" s="2763"/>
      <c r="O46" s="1953" t="s">
        <v>1764</v>
      </c>
      <c r="P46" s="1145"/>
      <c r="Q46" s="1330"/>
      <c r="R46" s="1145"/>
    </row>
    <row r="47" spans="1:18" s="1672" customFormat="1" ht="18" customHeight="1" thickBot="1">
      <c r="A47" s="3381">
        <v>1</v>
      </c>
      <c r="B47" s="3382" t="s">
        <v>583</v>
      </c>
      <c r="C47" s="3383">
        <f ca="1">C48+C52+C54</f>
        <v>0</v>
      </c>
      <c r="D47" s="3384"/>
      <c r="E47" s="3384"/>
      <c r="F47" s="3385"/>
      <c r="I47" s="2367" t="s">
        <v>1698</v>
      </c>
      <c r="J47" s="1942" t="s">
        <v>3427</v>
      </c>
      <c r="K47" s="2372" t="s">
        <v>1703</v>
      </c>
      <c r="L47" s="2376">
        <f ca="1">INDIRECT("'数据-取费表'!d"&amp;$G$1)</f>
        <v>50</v>
      </c>
      <c r="M47" s="1330" t="str">
        <f>IF(ISNUMBER(FIND("住宅",C1)),"住宅","非住宅")</f>
        <v>非住宅</v>
      </c>
      <c r="O47" s="1954" t="s">
        <v>1729</v>
      </c>
      <c r="P47" s="1955" t="s">
        <v>1730</v>
      </c>
      <c r="Q47" s="1956" t="s">
        <v>1731</v>
      </c>
      <c r="R47" s="1955" t="s">
        <v>1732</v>
      </c>
    </row>
    <row r="48" spans="1:18" s="1672" customFormat="1" ht="18" customHeight="1" thickBot="1">
      <c r="A48" s="2084" t="s">
        <v>1820</v>
      </c>
      <c r="B48" s="2085" t="s">
        <v>1821</v>
      </c>
      <c r="C48" s="1935">
        <f ca="1">ROUND(F48*F50*F49*(1-F51)/10000,0)</f>
        <v>0</v>
      </c>
      <c r="D48" s="1936" t="s">
        <v>584</v>
      </c>
      <c r="E48" s="1937" t="s">
        <v>1653</v>
      </c>
      <c r="F48" s="1938">
        <f ca="1">M6</f>
        <v>0</v>
      </c>
      <c r="G48" s="1699"/>
      <c r="I48" s="2364" t="s">
        <v>1699</v>
      </c>
      <c r="J48" s="1943" t="s">
        <v>1722</v>
      </c>
      <c r="K48" s="2373" t="s">
        <v>1705</v>
      </c>
      <c r="L48" s="1567">
        <f ca="1">INDIRECT("'数据-取费表'!f"&amp;$G$1)</f>
        <v>31.85</v>
      </c>
      <c r="M48" s="2763"/>
      <c r="O48" s="1957" t="s">
        <v>1733</v>
      </c>
      <c r="P48" s="1958" t="s">
        <v>1759</v>
      </c>
      <c r="Q48" s="1959">
        <f ca="1">C40+J29</f>
        <v>39552</v>
      </c>
      <c r="R48" s="1958" t="s">
        <v>1734</v>
      </c>
    </row>
    <row r="49" spans="1:18" s="1672" customFormat="1" ht="18" customHeight="1" thickBot="1">
      <c r="A49" s="721"/>
      <c r="B49" s="722"/>
      <c r="C49" s="723"/>
      <c r="D49" s="724"/>
      <c r="E49" s="719" t="s">
        <v>1268</v>
      </c>
      <c r="F49" s="720">
        <f ca="1">F7</f>
        <v>82949.97</v>
      </c>
      <c r="G49" s="1699"/>
      <c r="H49" s="1702"/>
      <c r="I49" s="2364" t="s">
        <v>1700</v>
      </c>
      <c r="J49" s="1944">
        <v>2007</v>
      </c>
      <c r="K49" s="2374" t="s">
        <v>1706</v>
      </c>
      <c r="L49" s="1566"/>
      <c r="M49" s="2763"/>
      <c r="O49" s="1957" t="s">
        <v>1735</v>
      </c>
      <c r="P49" s="1958" t="s">
        <v>1760</v>
      </c>
      <c r="Q49" s="1959" t="str">
        <f ca="1">J60</f>
        <v>0</v>
      </c>
      <c r="R49" s="1958" t="s">
        <v>1736</v>
      </c>
    </row>
    <row r="50" spans="1:18" s="1672" customFormat="1" ht="18" customHeight="1" thickBot="1">
      <c r="A50" s="721"/>
      <c r="B50" s="722"/>
      <c r="C50" s="723"/>
      <c r="D50" s="724"/>
      <c r="E50" s="719" t="s">
        <v>1269</v>
      </c>
      <c r="F50" s="720">
        <f ca="1">F8</f>
        <v>365</v>
      </c>
      <c r="H50" s="1702"/>
      <c r="I50" s="2364" t="s">
        <v>1701</v>
      </c>
      <c r="J50" s="2371">
        <f>SUMPRODUCT((I63:I65=J47)*(J62:L62=J48)*(J63:L65))</f>
        <v>70</v>
      </c>
      <c r="K50" s="2374" t="s">
        <v>1707</v>
      </c>
      <c r="L50" s="1566"/>
      <c r="M50" s="2763"/>
      <c r="O50" s="1960" t="s">
        <v>1737</v>
      </c>
      <c r="P50" s="1958" t="s">
        <v>1761</v>
      </c>
      <c r="Q50" s="1959">
        <f ca="1">C29</f>
        <v>28857</v>
      </c>
      <c r="R50" s="1958" t="s">
        <v>1734</v>
      </c>
    </row>
    <row r="51" spans="1:18" s="1672" customFormat="1" ht="18" customHeight="1" thickBot="1">
      <c r="A51" s="721"/>
      <c r="B51" s="722"/>
      <c r="C51" s="723"/>
      <c r="D51" s="724"/>
      <c r="E51" s="719" t="s">
        <v>588</v>
      </c>
      <c r="F51" s="1934"/>
      <c r="H51" s="1702"/>
      <c r="I51" s="2368" t="s">
        <v>1702</v>
      </c>
      <c r="J51" s="1567">
        <f>IF(J49="",J50,J49+J50-YEAR('数据-取费表'!B2))</f>
        <v>53</v>
      </c>
      <c r="K51" s="2364" t="s">
        <v>1708</v>
      </c>
      <c r="L51" s="2377">
        <f ca="1">ROUND(-PV(INDIRECT("'数据-取费表'!h"&amp;$G$1),J51,(C39-C13*J36),0),0)</f>
        <v>18549</v>
      </c>
      <c r="M51" s="2763"/>
      <c r="O51" s="1960" t="s">
        <v>1738</v>
      </c>
      <c r="P51" s="1958" t="s">
        <v>1739</v>
      </c>
      <c r="Q51" s="1961" t="e">
        <f ca="1">J58</f>
        <v>#VALUE!</v>
      </c>
      <c r="R51" s="1962"/>
    </row>
    <row r="52" spans="1:18" s="1672" customFormat="1" ht="18" customHeight="1" thickBot="1">
      <c r="A52" s="716" t="s">
        <v>1819</v>
      </c>
      <c r="B52" s="1999" t="s">
        <v>1803</v>
      </c>
      <c r="C52" s="734">
        <f ca="1">ROUND(IF(F52="押一",C48/12*F11,IF(F52="押二",C48/12*2*F11,IF(F52="押三",C48/12*3*F11,C53*F11))),0)</f>
        <v>0</v>
      </c>
      <c r="D52" s="2006" t="s">
        <v>2233</v>
      </c>
      <c r="E52" s="2003" t="s">
        <v>1808</v>
      </c>
      <c r="F52" s="2076"/>
      <c r="I52" s="2369" t="s">
        <v>1775</v>
      </c>
      <c r="J52" s="1945">
        <f>'数据-取费表'!J6</f>
        <v>7.0000000000000007E-2</v>
      </c>
      <c r="K52" s="2369" t="s">
        <v>1774</v>
      </c>
      <c r="L52" s="1945"/>
      <c r="M52" s="2763"/>
      <c r="O52" s="1960" t="s">
        <v>1740</v>
      </c>
      <c r="P52" s="1958" t="s">
        <v>1741</v>
      </c>
      <c r="Q52" s="1961">
        <f>J52</f>
        <v>7.0000000000000007E-2</v>
      </c>
      <c r="R52" s="1962"/>
    </row>
    <row r="53" spans="1:18" s="1672" customFormat="1" ht="39.75" customHeight="1" thickBot="1">
      <c r="A53" s="721"/>
      <c r="B53" s="2000" t="s">
        <v>1856</v>
      </c>
      <c r="C53" s="2004"/>
      <c r="D53" s="2006"/>
      <c r="E53" s="2003"/>
      <c r="F53" s="735"/>
      <c r="I53" s="2370" t="s">
        <v>2236</v>
      </c>
      <c r="J53" s="2416">
        <f ca="1">IF(M47="住宅",IF(D1="——",MAX(J51,L48),MAX(J51,L48-'数据-取费表'!B20)),IF(D1="——",MIN(J51,L48),MIN(J51,L48-'数据-取费表'!B20)))</f>
        <v>31.85</v>
      </c>
      <c r="K53" s="3755" t="s">
        <v>2226</v>
      </c>
      <c r="L53" s="3756"/>
      <c r="M53" s="2763"/>
      <c r="O53" s="1960" t="s">
        <v>1742</v>
      </c>
      <c r="P53" s="1958" t="s">
        <v>1743</v>
      </c>
      <c r="Q53" s="1959">
        <f ca="1">J53</f>
        <v>31.85</v>
      </c>
      <c r="R53" s="1958" t="s">
        <v>1744</v>
      </c>
    </row>
    <row r="54" spans="1:18" s="1672" customFormat="1" ht="18" customHeight="1" thickBot="1">
      <c r="A54" s="2013" t="s">
        <v>1811</v>
      </c>
      <c r="B54" s="2014" t="s">
        <v>1804</v>
      </c>
      <c r="C54" s="2015"/>
      <c r="D54" s="2006"/>
      <c r="E54" s="2003"/>
      <c r="F54" s="735"/>
      <c r="I54" s="167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696"/>
      <c r="M54" s="2763"/>
      <c r="O54" s="1957" t="s">
        <v>1745</v>
      </c>
      <c r="P54" s="1958" t="s">
        <v>1762</v>
      </c>
      <c r="Q54" s="1959">
        <f ca="1">Q48+Q49</f>
        <v>39552</v>
      </c>
      <c r="R54" s="1962" t="s">
        <v>1746</v>
      </c>
    </row>
    <row r="55" spans="1:18" s="1672" customFormat="1" ht="18" customHeight="1" thickTop="1" thickBot="1">
      <c r="A55" s="732">
        <v>2</v>
      </c>
      <c r="B55" s="733" t="s">
        <v>592</v>
      </c>
      <c r="C55" s="734">
        <f ca="1">C13</f>
        <v>21643</v>
      </c>
      <c r="D55" s="730"/>
      <c r="E55" s="730"/>
      <c r="F55" s="735"/>
      <c r="I55" s="2380" t="s">
        <v>1709</v>
      </c>
      <c r="J55" s="2353" t="e">
        <f ca="1">ROUND(IF(J47="钢混",J57/J50,1-(1-2%)*(J50-J57)/J50),3)</f>
        <v>#VALUE!</v>
      </c>
      <c r="K55" s="2381" t="s">
        <v>1710</v>
      </c>
      <c r="L55" s="1946"/>
      <c r="M55" s="2763"/>
      <c r="O55" s="1963" t="s">
        <v>1765</v>
      </c>
      <c r="P55" s="1145"/>
      <c r="Q55" s="1330"/>
      <c r="R55" s="1145"/>
    </row>
    <row r="56" spans="1:18" s="1672" customFormat="1" ht="42.75" customHeight="1" thickBot="1">
      <c r="A56" s="1370"/>
      <c r="B56" s="1825" t="s">
        <v>1659</v>
      </c>
      <c r="C56" s="49">
        <f ca="1">C29</f>
        <v>28857</v>
      </c>
      <c r="D56" s="907"/>
      <c r="E56" s="719"/>
      <c r="F56" s="744"/>
      <c r="I56" s="2382" t="s">
        <v>1711</v>
      </c>
      <c r="J56" s="2392" t="s">
        <v>3273</v>
      </c>
      <c r="K56" s="2364" t="s">
        <v>1716</v>
      </c>
      <c r="L56" s="1567" t="str">
        <f ca="1">IF(L48&lt;J51,"——",L48-J51)</f>
        <v>——</v>
      </c>
      <c r="M56" s="2763"/>
      <c r="O56" s="1954" t="s">
        <v>1729</v>
      </c>
      <c r="P56" s="1955" t="s">
        <v>1730</v>
      </c>
      <c r="Q56" s="1956" t="s">
        <v>1731</v>
      </c>
      <c r="R56" s="1955" t="s">
        <v>1732</v>
      </c>
    </row>
    <row r="57" spans="1:18" s="1672" customFormat="1" ht="28.5" customHeight="1" thickBot="1">
      <c r="A57" s="732" t="s">
        <v>1277</v>
      </c>
      <c r="B57" s="733" t="s">
        <v>599</v>
      </c>
      <c r="C57" s="734">
        <f ca="1">ROUND(C58+C63+C64+C65,0)</f>
        <v>178</v>
      </c>
      <c r="D57" s="22" t="s">
        <v>1279</v>
      </c>
      <c r="E57" s="915"/>
      <c r="F57" s="52"/>
      <c r="I57" s="2383" t="s">
        <v>1712</v>
      </c>
      <c r="J57" s="2384" t="str">
        <f ca="1">IF(OR(M47="住宅",J51&lt;L48,J56="是"),"——",J51-L48)</f>
        <v>——</v>
      </c>
      <c r="K57" s="2364" t="s">
        <v>1717</v>
      </c>
      <c r="L57" s="1567" t="str">
        <f ca="1">IF(L48&lt;J51,"——",IF(L55="比较法",L49,IF(L55="基准地价",L50,L51)))</f>
        <v>——</v>
      </c>
      <c r="M57" s="2763"/>
      <c r="O57" s="1957" t="s">
        <v>1733</v>
      </c>
      <c r="P57" s="1958" t="s">
        <v>1763</v>
      </c>
      <c r="Q57" s="1959">
        <f ca="1">C40+J29</f>
        <v>39552</v>
      </c>
      <c r="R57" s="1958" t="s">
        <v>1734</v>
      </c>
    </row>
    <row r="58" spans="1:18" s="1672" customFormat="1" ht="28.5" customHeight="1" thickBot="1">
      <c r="A58" s="1369" t="s">
        <v>1353</v>
      </c>
      <c r="B58" s="719" t="s">
        <v>604</v>
      </c>
      <c r="C58" s="2555">
        <f ca="1">ROUND(IF(AND(项目基本情况!B11="自然人",项目基本情况!B10="北京市"),C48*F58/(1+'数据-取费表'!C42),C59+C60+C61),2)</f>
        <v>12.44</v>
      </c>
      <c r="D58" s="906" t="s">
        <v>605</v>
      </c>
      <c r="E58" s="907" t="s">
        <v>637</v>
      </c>
      <c r="F58" s="2554">
        <f ca="1">IF(项目基本情况!B11="企业","——",IF('数据-取费表'!B10="住宅",IF(F48*F49*F50/12/(1+'数据-取费表'!F30)&gt;100000,4%,2.5%),IF(F48*F49*F50/12/(1+'数据-取费表'!F30)&gt;100000,12%,7%)))</f>
        <v>7.0000000000000007E-2</v>
      </c>
      <c r="I58" s="2383" t="s">
        <v>1713</v>
      </c>
      <c r="J58" s="2354" t="e">
        <f ca="1">IF(J55&lt;0.4,0.4,J55)</f>
        <v>#VALUE!</v>
      </c>
      <c r="K58" s="2364" t="s">
        <v>1718</v>
      </c>
      <c r="L58" s="1567" t="e">
        <f ca="1">ROUND(POWER(1+L52,L47-L48)*(POWER(1+L52,L48)-1)/(POWER(1+L52,L47)-1),4)</f>
        <v>#DIV/0!</v>
      </c>
      <c r="M58" s="2763"/>
      <c r="O58" s="1957" t="s">
        <v>1735</v>
      </c>
      <c r="P58" s="1958" t="s">
        <v>1766</v>
      </c>
      <c r="Q58" s="1959">
        <f ca="1">L60</f>
        <v>0</v>
      </c>
      <c r="R58" s="1962" t="s">
        <v>1768</v>
      </c>
    </row>
    <row r="59" spans="1:18" s="1672" customFormat="1" ht="28.5" customHeight="1" thickBot="1">
      <c r="A59" s="1368" t="s">
        <v>1360</v>
      </c>
      <c r="B59" s="719" t="s">
        <v>608</v>
      </c>
      <c r="C59" s="49">
        <f ca="1">ROUND(C47*F59/1.05,2)</f>
        <v>0</v>
      </c>
      <c r="D59" s="907" t="s">
        <v>1285</v>
      </c>
      <c r="E59" s="719" t="s">
        <v>1276</v>
      </c>
      <c r="F59" s="744">
        <f t="shared" ref="F59:F65" si="0">F32</f>
        <v>5.5000000000000007E-2</v>
      </c>
      <c r="I59" s="2383" t="s">
        <v>1714</v>
      </c>
      <c r="J59" s="2384" t="str">
        <f ca="1">IF(OR(M47="住宅",J51&lt;L48,J56="是"),"——",ROUND(C29*J58,0))</f>
        <v>——</v>
      </c>
      <c r="K59" s="2364" t="str">
        <f>IF(D1="——","建筑物剩余耐用年限下的土地年期修正系数Kn","建设期及建筑物耐用年限下的土地年期修正系数Kn")</f>
        <v>建筑物剩余耐用年限下的土地年期修正系数Kn</v>
      </c>
      <c r="L59" s="1567" t="e">
        <f ca="1">ROUND(IF(D1="土地（套用方法）",POWER(1+L52,L47-(J51+'数据-取费表'!B20))*(POWER(1+L52,(J51+'数据-取费表'!B20))-1)/(POWER(1+L52,L47)-1),POWER(1+L52,L47-J51)*(POWER(1+L52,J51)-1)/(POWER(1+L52,L47)-1)),4)</f>
        <v>#DIV/0!</v>
      </c>
      <c r="M59" s="2763"/>
      <c r="O59" s="1960" t="s">
        <v>1737</v>
      </c>
      <c r="P59" s="1958" t="s">
        <v>1767</v>
      </c>
      <c r="Q59" s="1959">
        <f>IF(L55="比较法",L49,IF(L55="基准地价",L50,0))</f>
        <v>0</v>
      </c>
      <c r="R59" s="1958" t="s">
        <v>1734</v>
      </c>
    </row>
    <row r="60" spans="1:18" s="1672" customFormat="1" ht="18" customHeight="1" thickBot="1">
      <c r="A60" s="1368" t="s">
        <v>1361</v>
      </c>
      <c r="B60" s="719" t="s">
        <v>1287</v>
      </c>
      <c r="C60" s="49">
        <f ca="1">IF(D60="按租金收入计税",ROUND(C48*F60/(1+'数据-取费表'!C42),2),IF(D60="按房产原值计税",ROUND(C56*F60*0.7,2),INDIRECT("'数据-取费表'!Aj"&amp;$G$1)))</f>
        <v>0</v>
      </c>
      <c r="D60" s="907" t="str">
        <f>D33</f>
        <v>按租金收入计税</v>
      </c>
      <c r="E60" s="719" t="s">
        <v>1276</v>
      </c>
      <c r="F60" s="744">
        <f t="shared" si="0"/>
        <v>0.12</v>
      </c>
      <c r="I60" s="2385" t="s">
        <v>1715</v>
      </c>
      <c r="J60" s="2386" t="str">
        <f ca="1">IF(OR(M47="住宅",J51&lt;L48,J56="是"),"0",ROUND(J59/(1+J52)^J53,0))</f>
        <v>0</v>
      </c>
      <c r="K60" s="2387" t="s">
        <v>1720</v>
      </c>
      <c r="L60" s="2386">
        <f ca="1">IF(OR(M47="住宅",L48&lt;J51),0,ROUND(L57*(L58/L59-1),0))</f>
        <v>0</v>
      </c>
      <c r="M60" s="2763"/>
      <c r="O60" s="1960" t="s">
        <v>1738</v>
      </c>
      <c r="P60" s="1958" t="s">
        <v>1747</v>
      </c>
      <c r="Q60" s="1961">
        <f>L52</f>
        <v>0</v>
      </c>
      <c r="R60" s="1962"/>
    </row>
    <row r="61" spans="1:18" s="1672" customFormat="1" ht="18" customHeight="1" thickBot="1">
      <c r="A61" s="1371" t="s">
        <v>1362</v>
      </c>
      <c r="B61" s="315" t="s">
        <v>615</v>
      </c>
      <c r="C61" s="50">
        <f ca="1">ROUND(F61*F62/10000,2)</f>
        <v>12.44</v>
      </c>
      <c r="D61" s="748" t="s">
        <v>616</v>
      </c>
      <c r="E61" s="719" t="s">
        <v>617</v>
      </c>
      <c r="F61" s="587">
        <f t="shared" si="0"/>
        <v>1.5</v>
      </c>
      <c r="K61" s="1696"/>
      <c r="O61" s="1960" t="s">
        <v>1740</v>
      </c>
      <c r="P61" s="1958" t="s">
        <v>1748</v>
      </c>
      <c r="Q61" s="1959" t="e">
        <f ca="1">L58</f>
        <v>#DIV/0!</v>
      </c>
      <c r="R61" s="1962" t="s">
        <v>1749</v>
      </c>
    </row>
    <row r="62" spans="1:18" s="1672" customFormat="1" ht="15.75" thickBot="1">
      <c r="A62" s="749"/>
      <c r="B62" s="728"/>
      <c r="C62" s="65"/>
      <c r="D62" s="750"/>
      <c r="E62" s="719" t="s">
        <v>621</v>
      </c>
      <c r="F62" s="720">
        <f t="shared" ca="1" si="0"/>
        <v>82949.97</v>
      </c>
      <c r="I62" s="2388" t="s">
        <v>1721</v>
      </c>
      <c r="J62" s="2389" t="s">
        <v>1722</v>
      </c>
      <c r="K62" s="2389" t="s">
        <v>1723</v>
      </c>
      <c r="L62" s="2389" t="s">
        <v>1704</v>
      </c>
      <c r="M62" s="2390" t="s">
        <v>2205</v>
      </c>
      <c r="O62" s="1960" t="s">
        <v>1742</v>
      </c>
      <c r="P62" s="1958" t="str">
        <f>K59</f>
        <v>建筑物剩余耐用年限下的土地年期修正系数Kn</v>
      </c>
      <c r="Q62" s="1959" t="e">
        <f ca="1">L59</f>
        <v>#DIV/0!</v>
      </c>
      <c r="R62" s="1962" t="s">
        <v>1751</v>
      </c>
    </row>
    <row r="63" spans="1:18" s="1672" customFormat="1" ht="15.75" thickBot="1">
      <c r="A63" s="1369" t="s">
        <v>1414</v>
      </c>
      <c r="B63" s="719" t="s">
        <v>623</v>
      </c>
      <c r="C63" s="49">
        <f ca="1">ROUND(C56*F63,2)</f>
        <v>144.29</v>
      </c>
      <c r="D63" s="907" t="s">
        <v>1332</v>
      </c>
      <c r="E63" s="719" t="s">
        <v>1276</v>
      </c>
      <c r="F63" s="751">
        <f t="shared" ca="1" si="0"/>
        <v>5.0000000000000001E-3</v>
      </c>
      <c r="I63" s="2388" t="s">
        <v>1724</v>
      </c>
      <c r="J63" s="2389">
        <v>70</v>
      </c>
      <c r="K63" s="2389">
        <v>50</v>
      </c>
      <c r="L63" s="2389">
        <v>80</v>
      </c>
      <c r="M63" s="2391">
        <v>0.02</v>
      </c>
      <c r="O63" s="1957" t="s">
        <v>1745</v>
      </c>
      <c r="P63" s="1958" t="s">
        <v>1762</v>
      </c>
      <c r="Q63" s="1959">
        <f ca="1">Q57+Q58</f>
        <v>39552</v>
      </c>
      <c r="R63" s="1962" t="s">
        <v>1746</v>
      </c>
    </row>
    <row r="64" spans="1:18" s="1672" customFormat="1" ht="16.5" thickBot="1">
      <c r="A64" s="1369" t="s">
        <v>1415</v>
      </c>
      <c r="B64" s="719" t="s">
        <v>626</v>
      </c>
      <c r="C64" s="49">
        <f ca="1">ROUND(C55*F64,2)</f>
        <v>21.64</v>
      </c>
      <c r="D64" s="907" t="s">
        <v>627</v>
      </c>
      <c r="E64" s="719" t="s">
        <v>1276</v>
      </c>
      <c r="F64" s="752">
        <f t="shared" ca="1" si="0"/>
        <v>1E-3</v>
      </c>
      <c r="I64" s="2388" t="s">
        <v>1725</v>
      </c>
      <c r="J64" s="2389">
        <v>50</v>
      </c>
      <c r="K64" s="2389">
        <v>35</v>
      </c>
      <c r="L64" s="2389">
        <v>60</v>
      </c>
      <c r="M64" s="780">
        <v>0</v>
      </c>
      <c r="O64" s="1963" t="s">
        <v>1769</v>
      </c>
      <c r="P64" s="1145"/>
      <c r="Q64" s="1330"/>
      <c r="R64" s="1145"/>
    </row>
    <row r="65" spans="1:18" s="1672" customFormat="1" ht="15.75" thickBot="1">
      <c r="A65" s="1369" t="s">
        <v>1416</v>
      </c>
      <c r="B65" s="719" t="s">
        <v>613</v>
      </c>
      <c r="C65" s="49">
        <f ca="1">ROUND(C47*F65,2)</f>
        <v>0</v>
      </c>
      <c r="D65" s="907" t="s">
        <v>630</v>
      </c>
      <c r="E65" s="719" t="s">
        <v>1276</v>
      </c>
      <c r="F65" s="729">
        <f t="shared" ca="1" si="0"/>
        <v>0.01</v>
      </c>
      <c r="I65" s="2388" t="s">
        <v>1726</v>
      </c>
      <c r="J65" s="2389">
        <v>40</v>
      </c>
      <c r="K65" s="2389">
        <v>30</v>
      </c>
      <c r="L65" s="2389">
        <v>50</v>
      </c>
      <c r="M65" s="2391">
        <v>0.02</v>
      </c>
      <c r="O65" s="1954" t="s">
        <v>1729</v>
      </c>
      <c r="P65" s="1955" t="s">
        <v>1730</v>
      </c>
      <c r="Q65" s="1956" t="s">
        <v>1731</v>
      </c>
      <c r="R65" s="1955" t="s">
        <v>1732</v>
      </c>
    </row>
    <row r="66" spans="1:18" s="1672" customFormat="1" ht="24.75" thickBot="1">
      <c r="A66" s="732" t="s">
        <v>1305</v>
      </c>
      <c r="B66" s="2298" t="s">
        <v>2099</v>
      </c>
      <c r="C66" s="734">
        <f ca="1">C47-C57</f>
        <v>-178</v>
      </c>
      <c r="D66" s="906" t="s">
        <v>647</v>
      </c>
      <c r="E66" s="904"/>
      <c r="F66" s="754"/>
      <c r="K66" s="1696"/>
      <c r="O66" s="1957" t="s">
        <v>1733</v>
      </c>
      <c r="P66" s="1958" t="s">
        <v>1763</v>
      </c>
      <c r="Q66" s="1959">
        <f ca="1">C40+J29</f>
        <v>39552</v>
      </c>
      <c r="R66" s="1958" t="s">
        <v>1734</v>
      </c>
    </row>
    <row r="67" spans="1:18" s="1672" customFormat="1" ht="20.25" thickBot="1">
      <c r="A67" s="716" t="s">
        <v>1309</v>
      </c>
      <c r="B67" s="1826" t="s">
        <v>1658</v>
      </c>
      <c r="C67" s="718">
        <f ca="1">ROUND(C66*(1-((1+F69)/(1+F67))^F68)/(F67-F69),0)</f>
        <v>-2503</v>
      </c>
      <c r="D67" s="748" t="s">
        <v>651</v>
      </c>
      <c r="E67" s="719" t="s">
        <v>652</v>
      </c>
      <c r="F67" s="729">
        <f ca="1">F40</f>
        <v>0.06</v>
      </c>
      <c r="K67" s="1696"/>
      <c r="O67" s="1957" t="s">
        <v>1735</v>
      </c>
      <c r="P67" s="1958" t="s">
        <v>1766</v>
      </c>
      <c r="Q67" s="1959">
        <f ca="1">L60</f>
        <v>0</v>
      </c>
      <c r="R67" s="1962" t="s">
        <v>1768</v>
      </c>
    </row>
    <row r="68" spans="1:18" ht="21.75" thickBot="1">
      <c r="A68" s="721"/>
      <c r="B68" s="722"/>
      <c r="C68" s="723"/>
      <c r="D68" s="755" t="s">
        <v>1337</v>
      </c>
      <c r="E68" s="719" t="s">
        <v>1313</v>
      </c>
      <c r="F68" s="756">
        <f ca="1">F41</f>
        <v>31.85</v>
      </c>
      <c r="O68" s="1960" t="s">
        <v>1737</v>
      </c>
      <c r="P68" s="1958" t="s">
        <v>1767</v>
      </c>
      <c r="Q68" s="1964">
        <f ca="1">L51</f>
        <v>18549</v>
      </c>
      <c r="R68" s="1965" t="s">
        <v>1770</v>
      </c>
    </row>
    <row r="69" spans="1:18" ht="20.25" thickBot="1">
      <c r="A69" s="725"/>
      <c r="B69" s="726"/>
      <c r="C69" s="727"/>
      <c r="D69" s="750"/>
      <c r="E69" s="719" t="s">
        <v>657</v>
      </c>
      <c r="F69" s="1934"/>
      <c r="O69" s="1960" t="s">
        <v>1738</v>
      </c>
      <c r="P69" s="1966" t="s">
        <v>1752</v>
      </c>
      <c r="Q69" s="1959">
        <f ca="1">ROUND(Q70-Q71*Q72,0)</f>
        <v>1003</v>
      </c>
      <c r="R69" s="1962"/>
    </row>
    <row r="70" spans="1:18" ht="15.75" thickBot="1">
      <c r="A70" s="757" t="s">
        <v>1316</v>
      </c>
      <c r="B70" s="758" t="s">
        <v>1339</v>
      </c>
      <c r="C70" s="759">
        <f ca="1">ROUND(C67*10000/F70,0)</f>
        <v>-302</v>
      </c>
      <c r="D70" s="760" t="s">
        <v>1340</v>
      </c>
      <c r="E70" s="761" t="s">
        <v>1341</v>
      </c>
      <c r="F70" s="762">
        <f ca="1">F43</f>
        <v>82949.97</v>
      </c>
      <c r="O70" s="1960" t="s">
        <v>1753</v>
      </c>
      <c r="P70" s="1966" t="s">
        <v>1754</v>
      </c>
      <c r="Q70" s="1959">
        <f ca="1">C39</f>
        <v>2518</v>
      </c>
      <c r="R70" s="1958" t="s">
        <v>1734</v>
      </c>
    </row>
    <row r="71" spans="1:18" ht="15.75" thickBot="1">
      <c r="O71" s="1960" t="s">
        <v>1755</v>
      </c>
      <c r="P71" s="1966" t="s">
        <v>1756</v>
      </c>
      <c r="Q71" s="1959">
        <f ca="1">C13</f>
        <v>21643</v>
      </c>
      <c r="R71" s="1958" t="s">
        <v>1734</v>
      </c>
    </row>
    <row r="72" spans="1:18" ht="15.75" thickBot="1">
      <c r="O72" s="1960" t="s">
        <v>1757</v>
      </c>
      <c r="P72" s="1966" t="s">
        <v>1758</v>
      </c>
      <c r="Q72" s="1961">
        <f ca="1">J36</f>
        <v>7.0000000000000007E-2</v>
      </c>
      <c r="R72" s="1962"/>
    </row>
    <row r="73" spans="1:18" ht="15.75" thickBot="1">
      <c r="O73" s="1960" t="s">
        <v>1740</v>
      </c>
      <c r="P73" s="1958" t="s">
        <v>1747</v>
      </c>
      <c r="Q73" s="1961">
        <f>L52</f>
        <v>0</v>
      </c>
      <c r="R73" s="1962"/>
    </row>
    <row r="74" spans="1:18" ht="20.25" thickBot="1">
      <c r="O74" s="1960" t="s">
        <v>1742</v>
      </c>
      <c r="P74" s="1958" t="s">
        <v>1748</v>
      </c>
      <c r="Q74" s="1959" t="e">
        <f ca="1">L58</f>
        <v>#DIV/0!</v>
      </c>
      <c r="R74" s="1962" t="s">
        <v>1749</v>
      </c>
    </row>
    <row r="75" spans="1:18" ht="15.75" thickBot="1">
      <c r="O75" s="1960" t="s">
        <v>1771</v>
      </c>
      <c r="P75" s="1958" t="str">
        <f>K59</f>
        <v>建筑物剩余耐用年限下的土地年期修正系数Kn</v>
      </c>
      <c r="Q75" s="1959" t="e">
        <f ca="1">L59</f>
        <v>#DIV/0!</v>
      </c>
      <c r="R75" s="1962" t="s">
        <v>1751</v>
      </c>
    </row>
    <row r="76" spans="1:18" ht="15.75" thickBot="1">
      <c r="O76" s="1957" t="s">
        <v>1745</v>
      </c>
      <c r="P76" s="1958" t="s">
        <v>1762</v>
      </c>
      <c r="Q76" s="1959">
        <f ca="1">Q66+Q67</f>
        <v>39552</v>
      </c>
      <c r="R76" s="1962" t="s">
        <v>1746</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6" priority="4">
      <formula>$F$10="自定义"</formula>
    </cfRule>
  </conditionalFormatting>
  <conditionalFormatting sqref="C53">
    <cfRule type="expression" dxfId="5" priority="1">
      <formula>$F$52="自定义"</formula>
    </cfRule>
  </conditionalFormatting>
  <conditionalFormatting sqref="I55">
    <cfRule type="expression" dxfId="4" priority="8">
      <formula>$J$51&gt;$L$48</formula>
    </cfRule>
  </conditionalFormatting>
  <conditionalFormatting sqref="I60">
    <cfRule type="expression" dxfId="3" priority="6">
      <formula>$J$51&gt;$L$48</formula>
    </cfRule>
  </conditionalFormatting>
  <conditionalFormatting sqref="J11">
    <cfRule type="expression" dxfId="2" priority="2">
      <formula>$M$10="自定义"</formula>
    </cfRule>
  </conditionalFormatting>
  <conditionalFormatting sqref="K55">
    <cfRule type="expression" dxfId="1" priority="7">
      <formula>$L$48&gt;$J$51</formula>
    </cfRule>
  </conditionalFormatting>
  <conditionalFormatting sqref="K60">
    <cfRule type="expression" dxfId="0" priority="5">
      <formula>$L$48&gt;$J$51</formula>
    </cfRule>
  </conditionalFormatting>
  <dataValidations count="8">
    <dataValidation type="list" allowBlank="1" showInputMessage="1" showErrorMessage="1" sqref="C1:C3" xr:uid="{00000000-0002-0000-1F00-000000000000}">
      <formula1>项目类型</formula1>
    </dataValidation>
    <dataValidation type="list" allowBlank="1" showInputMessage="1" showErrorMessage="1" sqref="K19" xr:uid="{00000000-0002-0000-1F00-000001000000}">
      <formula1>"按租金收入计税,按房产原值计税"</formula1>
    </dataValidation>
    <dataValidation type="list" allowBlank="1" showInputMessage="1" showErrorMessage="1" sqref="D33" xr:uid="{00000000-0002-0000-1F00-000002000000}">
      <formula1>"按租金收入计税,按房产原值计税,按票据"</formula1>
    </dataValidation>
    <dataValidation type="list" allowBlank="1" showInputMessage="1" showErrorMessage="1" sqref="J56" xr:uid="{00000000-0002-0000-1F00-000003000000}">
      <formula1>估价范围判定</formula1>
    </dataValidation>
    <dataValidation type="list" allowBlank="1" showInputMessage="1" showErrorMessage="1" sqref="J47" xr:uid="{00000000-0002-0000-1F00-000004000000}">
      <formula1>"钢,钢混,砖混"</formula1>
    </dataValidation>
    <dataValidation type="list" allowBlank="1" showInputMessage="1" showErrorMessage="1" sqref="J48" xr:uid="{00000000-0002-0000-1F00-000005000000}">
      <formula1>"非生产用房,生产用房,受腐蚀的生产用房"</formula1>
    </dataValidation>
    <dataValidation type="list" allowBlank="1" showInputMessage="1" showErrorMessage="1" sqref="F10 M10 F52" xr:uid="{00000000-0002-0000-1F00-000006000000}">
      <formula1>"押一,押二,押三,自定义"</formula1>
    </dataValidation>
    <dataValidation type="list" allowBlank="1" showInputMessage="1" showErrorMessage="1" sqref="D1" xr:uid="{00000000-0002-0000-1F00-000007000000}">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53A1F2-91C2-438B-BF2C-05E463C21854}">
  <sheetPr>
    <tabColor rgb="FF92D050"/>
  </sheetPr>
  <dimension ref="A1:AJ11"/>
  <sheetViews>
    <sheetView workbookViewId="0">
      <selection activeCell="AH22" sqref="AH22"/>
    </sheetView>
  </sheetViews>
  <sheetFormatPr defaultRowHeight="13.5"/>
  <cols>
    <col min="2" max="2" width="43" customWidth="1"/>
    <col min="13" max="13" width="11.125" customWidth="1"/>
    <col min="16" max="16" width="11" customWidth="1"/>
    <col min="17" max="19" width="11.25" customWidth="1"/>
    <col min="35" max="35" width="14.125" customWidth="1"/>
  </cols>
  <sheetData>
    <row r="1" spans="1:36" s="2235" customFormat="1">
      <c r="B1" s="2235" t="s">
        <v>3280</v>
      </c>
      <c r="C1" s="2235" t="s">
        <v>3281</v>
      </c>
      <c r="D1" s="2235" t="s">
        <v>3282</v>
      </c>
      <c r="E1" s="2235" t="s">
        <v>3283</v>
      </c>
      <c r="F1" s="2235" t="s">
        <v>3284</v>
      </c>
      <c r="G1" s="2235" t="s">
        <v>3285</v>
      </c>
      <c r="H1" s="2235" t="s">
        <v>3286</v>
      </c>
      <c r="I1" s="2235" t="s">
        <v>3287</v>
      </c>
      <c r="J1" s="2235" t="s">
        <v>3288</v>
      </c>
      <c r="K1" s="2235" t="s">
        <v>3289</v>
      </c>
      <c r="L1" s="2235" t="s">
        <v>3290</v>
      </c>
      <c r="M1" s="2235" t="s">
        <v>1550</v>
      </c>
      <c r="N1" s="2235" t="s">
        <v>3291</v>
      </c>
      <c r="O1" s="2235" t="s">
        <v>3292</v>
      </c>
      <c r="P1" s="2235" t="s">
        <v>3293</v>
      </c>
      <c r="Q1" s="2235" t="s">
        <v>3294</v>
      </c>
      <c r="R1" s="2235" t="s">
        <v>3295</v>
      </c>
      <c r="S1" s="2235" t="s">
        <v>3296</v>
      </c>
      <c r="T1" s="2235" t="s">
        <v>3297</v>
      </c>
      <c r="U1" s="2235" t="s">
        <v>3298</v>
      </c>
      <c r="V1" s="2235" t="s">
        <v>3299</v>
      </c>
      <c r="W1" s="2235" t="s">
        <v>3300</v>
      </c>
      <c r="X1" s="2235" t="s">
        <v>3301</v>
      </c>
      <c r="Y1" s="2235" t="s">
        <v>3302</v>
      </c>
      <c r="Z1" s="2235" t="s">
        <v>3303</v>
      </c>
      <c r="AA1" s="2235" t="s">
        <v>3304</v>
      </c>
      <c r="AB1" s="2235" t="s">
        <v>3305</v>
      </c>
      <c r="AC1" s="2235" t="s">
        <v>3306</v>
      </c>
      <c r="AD1" s="2235" t="s">
        <v>3307</v>
      </c>
      <c r="AE1" s="2235" t="s">
        <v>3308</v>
      </c>
      <c r="AF1" s="2235" t="s">
        <v>3309</v>
      </c>
      <c r="AG1" s="2235" t="s">
        <v>3290</v>
      </c>
      <c r="AI1" s="2235" t="s">
        <v>3310</v>
      </c>
    </row>
    <row r="2" spans="1:36" s="3394" customFormat="1" ht="14.25">
      <c r="A2" s="3392">
        <v>1</v>
      </c>
      <c r="B2" s="3392" t="s">
        <v>3346</v>
      </c>
      <c r="C2" s="3392" t="s">
        <v>3311</v>
      </c>
      <c r="D2" s="3392" t="s">
        <v>3312</v>
      </c>
      <c r="E2" s="3392" t="s">
        <v>3313</v>
      </c>
      <c r="F2" s="3392" t="s">
        <v>3314</v>
      </c>
      <c r="G2" s="3392" t="s">
        <v>3315</v>
      </c>
      <c r="H2" s="3392">
        <v>203586.66</v>
      </c>
      <c r="I2" s="3392">
        <v>305379.99</v>
      </c>
      <c r="J2" s="3392" t="s">
        <v>2508</v>
      </c>
      <c r="K2" s="3392" t="s">
        <v>905</v>
      </c>
      <c r="L2" s="3392">
        <v>50</v>
      </c>
      <c r="M2" s="3392" t="s">
        <v>3316</v>
      </c>
      <c r="N2" s="3392">
        <v>1.5</v>
      </c>
      <c r="O2" s="3392" t="s">
        <v>3317</v>
      </c>
      <c r="P2" s="3393">
        <v>45412.333831018521</v>
      </c>
      <c r="Q2" s="3393">
        <v>45432.333831018521</v>
      </c>
      <c r="R2" s="3393">
        <v>45446.333831018521</v>
      </c>
      <c r="S2" s="3393">
        <v>45446.333831018521</v>
      </c>
      <c r="T2" s="3392" t="s">
        <v>3318</v>
      </c>
      <c r="U2" s="3392" t="s">
        <v>3319</v>
      </c>
      <c r="V2" s="3392" t="s">
        <v>3320</v>
      </c>
      <c r="W2" s="3392" t="s">
        <v>3321</v>
      </c>
      <c r="X2" s="3392" t="s">
        <v>3322</v>
      </c>
      <c r="Y2" s="3392">
        <v>36462.370000000003</v>
      </c>
      <c r="Z2" s="3392">
        <v>7300</v>
      </c>
      <c r="AA2" s="3392">
        <v>36462.370000000003</v>
      </c>
      <c r="AB2" s="3392">
        <v>119.4</v>
      </c>
      <c r="AC2" s="3392">
        <v>119.4</v>
      </c>
      <c r="AD2" s="3392">
        <v>1194</v>
      </c>
      <c r="AE2" s="3392">
        <v>1194</v>
      </c>
      <c r="AF2" s="3392">
        <v>0</v>
      </c>
      <c r="AG2" s="3394">
        <v>50</v>
      </c>
      <c r="AH2" s="3394">
        <v>1</v>
      </c>
      <c r="AI2" s="3394">
        <v>1194</v>
      </c>
      <c r="AJ2" s="3394" t="s">
        <v>3349</v>
      </c>
    </row>
    <row r="3" spans="1:36" s="3394" customFormat="1" ht="14.25">
      <c r="A3" s="3392">
        <v>2</v>
      </c>
      <c r="B3" s="3392" t="s">
        <v>3323</v>
      </c>
      <c r="C3" s="3392" t="s">
        <v>3311</v>
      </c>
      <c r="D3" s="3392" t="s">
        <v>3312</v>
      </c>
      <c r="E3" s="3392" t="s">
        <v>3324</v>
      </c>
      <c r="F3" s="3392" t="s">
        <v>3325</v>
      </c>
      <c r="G3" s="3392" t="s">
        <v>3326</v>
      </c>
      <c r="H3" s="3392">
        <v>260416.91</v>
      </c>
      <c r="I3" s="3392">
        <v>260416.91</v>
      </c>
      <c r="J3" s="3392" t="s">
        <v>2508</v>
      </c>
      <c r="K3" s="3392" t="s">
        <v>3327</v>
      </c>
      <c r="L3" s="3392">
        <v>20</v>
      </c>
      <c r="M3" s="3392" t="s">
        <v>3328</v>
      </c>
      <c r="N3" s="3392">
        <v>1</v>
      </c>
      <c r="O3" s="3392" t="s">
        <v>3317</v>
      </c>
      <c r="P3" s="3393">
        <v>45377.333831018521</v>
      </c>
      <c r="Q3" s="3393">
        <v>45397.333831018521</v>
      </c>
      <c r="R3" s="3393">
        <v>45446.333831018521</v>
      </c>
      <c r="S3" s="3393">
        <v>45446.333831018521</v>
      </c>
      <c r="T3" s="3392" t="s">
        <v>3318</v>
      </c>
      <c r="U3" s="3392" t="s">
        <v>3329</v>
      </c>
      <c r="V3" s="3392" t="s">
        <v>3330</v>
      </c>
      <c r="W3" s="3392" t="s">
        <v>3331</v>
      </c>
      <c r="X3" s="3392" t="s">
        <v>3332</v>
      </c>
      <c r="Y3" s="3392">
        <v>22500.02</v>
      </c>
      <c r="Z3" s="3392">
        <v>5625.01</v>
      </c>
      <c r="AA3" s="3392">
        <v>22500.02</v>
      </c>
      <c r="AB3" s="3392">
        <v>57.6</v>
      </c>
      <c r="AC3" s="3392">
        <v>57.6</v>
      </c>
      <c r="AD3" s="3392">
        <v>864</v>
      </c>
      <c r="AE3" s="3392">
        <v>864</v>
      </c>
      <c r="AF3" s="3392">
        <v>0</v>
      </c>
      <c r="AG3" s="3394">
        <v>20</v>
      </c>
      <c r="AH3" s="3394">
        <v>1.4649000000000001</v>
      </c>
      <c r="AI3" s="3394">
        <v>1266</v>
      </c>
      <c r="AJ3" s="3394" t="s">
        <v>3349</v>
      </c>
    </row>
    <row r="4" spans="1:36" s="3394" customFormat="1" ht="14.25">
      <c r="A4" s="3392">
        <v>3</v>
      </c>
      <c r="B4" s="3392" t="s">
        <v>3333</v>
      </c>
      <c r="C4" s="3392" t="s">
        <v>3311</v>
      </c>
      <c r="D4" s="3392" t="s">
        <v>3334</v>
      </c>
      <c r="E4" s="3392" t="s">
        <v>3335</v>
      </c>
      <c r="F4" s="3392" t="s">
        <v>3335</v>
      </c>
      <c r="G4" s="3392" t="s">
        <v>3336</v>
      </c>
      <c r="H4" s="3392">
        <v>14975.1</v>
      </c>
      <c r="I4" s="3392">
        <v>22462.65</v>
      </c>
      <c r="J4" s="3392" t="s">
        <v>2508</v>
      </c>
      <c r="K4" s="3392" t="s">
        <v>905</v>
      </c>
      <c r="L4" s="3392" t="s">
        <v>3337</v>
      </c>
      <c r="M4" s="3392">
        <v>1.5</v>
      </c>
      <c r="N4" s="3392">
        <v>1.5</v>
      </c>
      <c r="O4" s="3392" t="s">
        <v>3317</v>
      </c>
      <c r="P4" s="3393">
        <v>45161.333831018521</v>
      </c>
      <c r="Q4" s="3393">
        <v>45181.333831018521</v>
      </c>
      <c r="R4" s="3393">
        <v>45195.333831018521</v>
      </c>
      <c r="S4" s="3393">
        <v>45195.333831018521</v>
      </c>
      <c r="T4" s="3392" t="s">
        <v>3318</v>
      </c>
      <c r="U4" s="3392" t="s">
        <v>3338</v>
      </c>
      <c r="V4" s="3392" t="s">
        <v>2095</v>
      </c>
      <c r="W4" s="3392" t="s">
        <v>2095</v>
      </c>
      <c r="X4" s="3392" t="s">
        <v>2095</v>
      </c>
      <c r="Y4" s="3392">
        <v>1682.45</v>
      </c>
      <c r="Z4" s="3392">
        <v>420.61</v>
      </c>
      <c r="AA4" s="3392">
        <v>1682.45</v>
      </c>
      <c r="AB4" s="3392">
        <v>74.900000000000006</v>
      </c>
      <c r="AC4" s="3392">
        <v>74.900000000000006</v>
      </c>
      <c r="AD4" s="3392">
        <v>749</v>
      </c>
      <c r="AE4" s="3392">
        <v>749</v>
      </c>
      <c r="AF4" s="3392">
        <v>0</v>
      </c>
      <c r="AG4" s="3394">
        <v>20</v>
      </c>
      <c r="AH4" s="3394">
        <v>1.4649000000000001</v>
      </c>
      <c r="AI4" s="3394">
        <v>1097</v>
      </c>
      <c r="AJ4" s="3394" t="s">
        <v>3350</v>
      </c>
    </row>
    <row r="5" spans="1:36" s="2235" customFormat="1" ht="14.25">
      <c r="A5" s="3392">
        <v>4</v>
      </c>
      <c r="B5" s="2235" t="s">
        <v>3339</v>
      </c>
      <c r="C5" s="2235" t="s">
        <v>3311</v>
      </c>
      <c r="D5" s="2235" t="s">
        <v>3340</v>
      </c>
      <c r="E5" s="2235" t="s">
        <v>3341</v>
      </c>
      <c r="F5" s="2235" t="s">
        <v>3341</v>
      </c>
      <c r="G5" s="2235" t="s">
        <v>3342</v>
      </c>
      <c r="H5" s="2235">
        <v>72656</v>
      </c>
      <c r="I5" s="2235">
        <v>145312</v>
      </c>
      <c r="J5" s="2235" t="s">
        <v>2508</v>
      </c>
      <c r="K5" s="2235" t="s">
        <v>3343</v>
      </c>
      <c r="L5" s="2235" t="s">
        <v>3337</v>
      </c>
      <c r="M5" s="2235" t="s">
        <v>3344</v>
      </c>
      <c r="N5" s="2235">
        <v>2</v>
      </c>
      <c r="O5" s="2235" t="s">
        <v>3317</v>
      </c>
      <c r="P5" s="3395">
        <v>45245.333831018521</v>
      </c>
      <c r="Q5" s="3395">
        <v>45265.333831018521</v>
      </c>
      <c r="R5" s="3395">
        <v>45279.333831018521</v>
      </c>
      <c r="S5" s="3395">
        <v>45279.333831018521</v>
      </c>
      <c r="T5" s="2235" t="s">
        <v>3318</v>
      </c>
      <c r="U5" s="2235" t="s">
        <v>3345</v>
      </c>
      <c r="V5" s="2235" t="s">
        <v>2095</v>
      </c>
      <c r="W5" s="2235" t="s">
        <v>2095</v>
      </c>
      <c r="X5" s="2235" t="s">
        <v>2095</v>
      </c>
      <c r="Y5" s="2235">
        <v>19181.18</v>
      </c>
      <c r="Z5" s="2235">
        <v>4795.3</v>
      </c>
      <c r="AA5" s="2235">
        <v>19181.18</v>
      </c>
      <c r="AB5" s="2235">
        <v>176</v>
      </c>
      <c r="AC5" s="2235">
        <v>176</v>
      </c>
      <c r="AD5" s="2235">
        <v>1320</v>
      </c>
      <c r="AE5" s="2235">
        <v>1320</v>
      </c>
      <c r="AF5" s="2235">
        <v>0</v>
      </c>
      <c r="AG5" s="2235">
        <v>20</v>
      </c>
      <c r="AH5" s="2235">
        <f t="shared" ref="AH5" si="0">ROUND((1-1/1.05^50)/(1-1/1.05^AG5),4)</f>
        <v>1.4649000000000001</v>
      </c>
      <c r="AI5" s="2235">
        <f>ROUND(AE5*AH5,0)</f>
        <v>1934</v>
      </c>
    </row>
    <row r="7" spans="1:36">
      <c r="B7" s="2235" t="s">
        <v>3310</v>
      </c>
    </row>
    <row r="8" spans="1:36" ht="14.25">
      <c r="A8" s="3392">
        <v>1</v>
      </c>
      <c r="B8" s="3394">
        <v>1194</v>
      </c>
    </row>
    <row r="9" spans="1:36" ht="14.25">
      <c r="A9" s="3392">
        <v>2</v>
      </c>
      <c r="B9" s="3394">
        <v>1266</v>
      </c>
    </row>
    <row r="10" spans="1:36" ht="14.25">
      <c r="A10" s="3392">
        <v>3</v>
      </c>
      <c r="B10" s="3394">
        <v>1097</v>
      </c>
    </row>
    <row r="11" spans="1:36" ht="14.25">
      <c r="A11" s="3392">
        <v>4</v>
      </c>
      <c r="B11" s="2235">
        <v>1934</v>
      </c>
    </row>
  </sheetData>
  <phoneticPr fontId="224"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444" t="s">
        <v>1556</v>
      </c>
      <c r="B1" s="3444"/>
      <c r="C1" s="3444"/>
      <c r="D1" s="3444"/>
      <c r="E1" s="3444"/>
      <c r="F1" s="3444"/>
      <c r="G1" s="3444"/>
      <c r="H1" s="3444"/>
      <c r="I1" s="3444"/>
      <c r="J1" s="3444"/>
      <c r="K1" s="3444"/>
      <c r="L1" s="3444"/>
      <c r="M1" s="3444"/>
      <c r="N1" s="3444"/>
      <c r="O1" s="3444"/>
      <c r="P1" s="3444"/>
      <c r="Q1" s="3444"/>
      <c r="R1" s="3444"/>
    </row>
    <row r="2" spans="1:18">
      <c r="A2" s="1502" t="s">
        <v>1558</v>
      </c>
      <c r="B2" s="1502"/>
      <c r="C2" s="1502"/>
      <c r="D2" s="1502"/>
      <c r="E2" s="1502"/>
      <c r="F2" s="1502"/>
      <c r="G2" s="1502"/>
      <c r="H2" s="1502"/>
      <c r="I2" s="1503"/>
      <c r="J2" s="1503"/>
      <c r="K2" s="1504" t="str">
        <f>"估价期日："&amp;TEXT(项目基本情况!D3,"yyyy年m月d日;;")</f>
        <v>估价期日：2024年7月10日</v>
      </c>
      <c r="L2" s="1502"/>
      <c r="M2" s="1502"/>
      <c r="N2" s="1502"/>
      <c r="O2" s="1502"/>
      <c r="P2" s="1502"/>
      <c r="Q2" s="1502"/>
      <c r="R2" s="1504" t="str">
        <f>"估价期日的国有建设用地使用权性质："&amp;项目基本情况!A17</f>
        <v>估价期日的国有建设用地使用权性质：出让</v>
      </c>
    </row>
    <row r="3" spans="1:18" ht="23.25" customHeight="1">
      <c r="A3" s="3445" t="s">
        <v>1547</v>
      </c>
      <c r="B3" s="3445" t="s">
        <v>2013</v>
      </c>
      <c r="C3" s="3446" t="s">
        <v>1548</v>
      </c>
      <c r="D3" s="3445" t="s">
        <v>2017</v>
      </c>
      <c r="E3" s="3440" t="s">
        <v>1549</v>
      </c>
      <c r="F3" s="3440"/>
      <c r="G3" s="3440"/>
      <c r="H3" s="3440" t="s">
        <v>1550</v>
      </c>
      <c r="I3" s="3440"/>
      <c r="J3" s="3440"/>
      <c r="K3" s="3446" t="s">
        <v>1551</v>
      </c>
      <c r="L3" s="3446" t="s">
        <v>1552</v>
      </c>
      <c r="M3" s="3445" t="s">
        <v>2014</v>
      </c>
      <c r="N3" s="3445" t="str">
        <f>"（分摊）"&amp;项目基本情况!A17&amp;"国有建设用地使用权面积/㎡"</f>
        <v>（分摊）出让国有建设用地使用权面积/㎡</v>
      </c>
      <c r="O3" s="3445" t="s">
        <v>1581</v>
      </c>
      <c r="P3" s="3446" t="s">
        <v>1561</v>
      </c>
      <c r="Q3" s="3446" t="s">
        <v>1582</v>
      </c>
      <c r="R3" s="3446" t="s">
        <v>1553</v>
      </c>
    </row>
    <row r="4" spans="1:18" ht="36.75" customHeight="1">
      <c r="A4" s="3445"/>
      <c r="B4" s="3445"/>
      <c r="C4" s="3446"/>
      <c r="D4" s="3445"/>
      <c r="E4" s="1505" t="s">
        <v>1560</v>
      </c>
      <c r="F4" s="1505" t="s">
        <v>2026</v>
      </c>
      <c r="G4" s="1505" t="s">
        <v>1554</v>
      </c>
      <c r="H4" s="1505" t="s">
        <v>1555</v>
      </c>
      <c r="I4" s="1505" t="s">
        <v>2027</v>
      </c>
      <c r="J4" s="1505" t="s">
        <v>1554</v>
      </c>
      <c r="K4" s="3446"/>
      <c r="L4" s="3446"/>
      <c r="M4" s="3445"/>
      <c r="N4" s="3445"/>
      <c r="O4" s="3445"/>
      <c r="P4" s="3446"/>
      <c r="Q4" s="3446"/>
      <c r="R4" s="3446"/>
    </row>
    <row r="5" spans="1:18" ht="135" customHeight="1">
      <c r="A5" s="1602" t="s">
        <v>1937</v>
      </c>
      <c r="B5" s="2172" t="s">
        <v>1935</v>
      </c>
      <c r="C5" s="2089">
        <v>22</v>
      </c>
      <c r="D5" s="2088" t="s">
        <v>1936</v>
      </c>
      <c r="E5" s="1505">
        <f>项目基本情况!B12</f>
        <v>0</v>
      </c>
      <c r="F5" s="2088">
        <v>258</v>
      </c>
      <c r="G5" s="1505">
        <f>项目基本情况!B13</f>
        <v>0</v>
      </c>
      <c r="H5" s="2088">
        <v>1.5</v>
      </c>
      <c r="I5" s="2088">
        <v>1.5</v>
      </c>
      <c r="J5" s="2088">
        <v>1.5</v>
      </c>
      <c r="K5" s="1505" t="str">
        <f>"红线外"&amp;项目基本情况!T40&amp;"、宗地红线内"&amp;项目基本情况!B35</f>
        <v>红线外七通、宗地红线内</v>
      </c>
      <c r="L5" s="1505" t="str">
        <f>"红线外"&amp;项目基本情况!T40&amp;"、宗地红线内场地"&amp;项目基本情况!D36</f>
        <v>红线外七通、宗地红线内场地</v>
      </c>
      <c r="M5" s="1505">
        <f>IF(项目基本情况!A17="出让",项目基本情况!D20,"——")</f>
        <v>0</v>
      </c>
      <c r="N5" s="1505">
        <f>项目基本情况!C22</f>
        <v>82949.97</v>
      </c>
      <c r="O5" s="1505">
        <f>项目基本情况!C21</f>
        <v>82949.97</v>
      </c>
      <c r="P5" s="1505">
        <f ca="1">结果表!E42</f>
        <v>1941</v>
      </c>
      <c r="Q5" s="1505">
        <f ca="1">结果表!D42</f>
        <v>1941</v>
      </c>
      <c r="R5" s="1506">
        <f ca="1">结果表!C42</f>
        <v>16101</v>
      </c>
    </row>
    <row r="6" spans="1:18">
      <c r="A6" s="3441" t="str">
        <f>IF(项目基本情况!B9="市场价格","——","抵押价格")</f>
        <v>抵押价格</v>
      </c>
      <c r="B6" s="3442"/>
      <c r="C6" s="3442"/>
      <c r="D6" s="3442"/>
      <c r="E6" s="3442"/>
      <c r="F6" s="3442"/>
      <c r="G6" s="3442"/>
      <c r="H6" s="3442"/>
      <c r="I6" s="3442"/>
      <c r="J6" s="3442"/>
      <c r="K6" s="3442"/>
      <c r="L6" s="3442"/>
      <c r="M6" s="3442"/>
      <c r="N6" s="3442"/>
      <c r="O6" s="3442"/>
      <c r="P6" s="3442"/>
      <c r="Q6" s="3443"/>
      <c r="R6" s="1507" t="str">
        <f>结果表!O39</f>
        <v>——</v>
      </c>
    </row>
    <row r="7" spans="1:18">
      <c r="A7" s="3441" t="str">
        <f>IF(项目基本情况!B9="市场价格","——",IF(项目基本情况!E8="已注销及未注销","抵押担保权已注销时的抵押价格","——"))</f>
        <v>——</v>
      </c>
      <c r="B7" s="3442"/>
      <c r="C7" s="3442"/>
      <c r="D7" s="3442"/>
      <c r="E7" s="3442"/>
      <c r="F7" s="3442"/>
      <c r="G7" s="3442"/>
      <c r="H7" s="3442"/>
      <c r="I7" s="3442"/>
      <c r="J7" s="3442"/>
      <c r="K7" s="3442"/>
      <c r="L7" s="3442"/>
      <c r="M7" s="3442"/>
      <c r="N7" s="3442"/>
      <c r="O7" s="3442"/>
      <c r="P7" s="3442"/>
      <c r="Q7" s="3443"/>
      <c r="R7" s="1507" t="str">
        <f>结果表!O40</f>
        <v>——</v>
      </c>
    </row>
    <row r="8" spans="1:18">
      <c r="A8" s="3441">
        <f>IF(项目基本情况!B9="市场价格","——",项目基本情况!E9)</f>
        <v>0</v>
      </c>
      <c r="B8" s="3442"/>
      <c r="C8" s="3442"/>
      <c r="D8" s="3442"/>
      <c r="E8" s="3442"/>
      <c r="F8" s="3442"/>
      <c r="G8" s="3442"/>
      <c r="H8" s="3442"/>
      <c r="I8" s="3442"/>
      <c r="J8" s="3442"/>
      <c r="K8" s="3442"/>
      <c r="L8" s="3442"/>
      <c r="M8" s="3442"/>
      <c r="N8" s="3442"/>
      <c r="O8" s="3442"/>
      <c r="P8" s="3442"/>
      <c r="Q8" s="3443"/>
      <c r="R8" s="1507" t="str">
        <f>结果表!O41</f>
        <v>——</v>
      </c>
    </row>
    <row r="9" spans="1:18">
      <c r="A9" s="1508" t="s">
        <v>1559</v>
      </c>
      <c r="B9" s="1502"/>
      <c r="C9" s="1502"/>
      <c r="D9" s="1502"/>
      <c r="E9" s="1502"/>
      <c r="F9" s="1502"/>
      <c r="G9" s="1502"/>
      <c r="H9" s="1502"/>
      <c r="I9" s="1502"/>
      <c r="J9" s="1502"/>
      <c r="K9" s="1502"/>
      <c r="L9" s="1502"/>
      <c r="M9" s="1502"/>
      <c r="N9" s="1502"/>
      <c r="O9" s="1502"/>
      <c r="P9" s="1502"/>
      <c r="Q9" s="1502"/>
      <c r="R9" s="1502"/>
    </row>
    <row r="10" spans="1:18">
      <c r="A10" s="1503"/>
      <c r="B10" s="1502"/>
      <c r="C10" s="1502"/>
      <c r="D10" s="1502"/>
      <c r="E10" s="1502"/>
      <c r="F10" s="1502"/>
      <c r="G10" s="1502"/>
      <c r="H10" s="1502"/>
      <c r="I10" s="1502"/>
      <c r="J10" s="1502"/>
      <c r="K10" s="1502"/>
      <c r="L10" s="1502"/>
      <c r="M10" s="1502"/>
      <c r="N10" s="1502"/>
      <c r="O10" s="1502"/>
      <c r="P10" s="1502"/>
      <c r="Q10" s="1502"/>
      <c r="R10" s="1502"/>
    </row>
    <row r="11" spans="1:18">
      <c r="A11" s="1503" t="s">
        <v>1546</v>
      </c>
      <c r="B11" s="1509"/>
      <c r="C11" s="1509"/>
      <c r="D11" s="1509"/>
      <c r="E11" s="1509"/>
      <c r="F11" s="1509"/>
      <c r="G11" s="1509"/>
      <c r="H11" s="1509"/>
      <c r="I11" s="1509"/>
      <c r="J11" s="1509"/>
      <c r="K11" s="1509"/>
      <c r="L11" s="1509"/>
      <c r="M11" s="1509"/>
      <c r="N11" s="1509"/>
      <c r="O11" s="1509"/>
      <c r="P11" s="1509"/>
      <c r="Q11" s="1509"/>
      <c r="R11" s="1509"/>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2"/>
      <c r="B14" s="2"/>
      <c r="C14" s="2"/>
      <c r="D14" s="2"/>
      <c r="E14" s="2"/>
      <c r="F14" s="2"/>
      <c r="G14" s="2"/>
      <c r="H14" s="2"/>
      <c r="I14" s="2"/>
      <c r="J14" s="2"/>
      <c r="K14" s="2"/>
      <c r="L14" s="2"/>
      <c r="M14" s="2"/>
      <c r="N14" s="2"/>
      <c r="O14" s="2"/>
      <c r="P14" s="2"/>
      <c r="Q14" s="2"/>
      <c r="R14" s="2"/>
    </row>
    <row r="15" spans="1:18">
      <c r="A15" s="1490"/>
    </row>
    <row r="16" spans="1:18">
      <c r="A16" s="1490"/>
    </row>
    <row r="17" spans="1:1">
      <c r="A17" s="1490"/>
    </row>
    <row r="18" spans="1:1">
      <c r="A18" s="1490"/>
    </row>
    <row r="19" spans="1:1">
      <c r="A19" s="1490"/>
    </row>
    <row r="20" spans="1:1">
      <c r="A20" s="1489"/>
    </row>
    <row r="21" spans="1:1">
      <c r="A21" s="1489"/>
    </row>
    <row r="22" spans="1:1">
      <c r="A22" s="1490"/>
    </row>
    <row r="23" spans="1:1">
      <c r="A23" s="1490"/>
    </row>
    <row r="24" spans="1:1">
      <c r="A24" s="1490"/>
    </row>
    <row r="25" spans="1:1">
      <c r="A25" s="1490"/>
    </row>
    <row r="26" spans="1:1">
      <c r="A26" s="1490"/>
    </row>
    <row r="27" spans="1:1">
      <c r="A27" s="1490"/>
    </row>
    <row r="28" spans="1:1">
      <c r="A28" s="1490"/>
    </row>
    <row r="29" spans="1:1">
      <c r="A29" s="1490"/>
    </row>
    <row r="30" spans="1:1">
      <c r="A30" s="1490"/>
    </row>
    <row r="31" spans="1:1">
      <c r="A31" s="1490"/>
    </row>
    <row r="32" spans="1:1">
      <c r="A32" s="1490"/>
    </row>
    <row r="33" spans="1:1">
      <c r="A33" s="1490"/>
    </row>
    <row r="34" spans="1:1">
      <c r="A34" s="1490"/>
    </row>
    <row r="35" spans="1:1">
      <c r="A35" s="1490"/>
    </row>
    <row r="36" spans="1:1">
      <c r="A36" s="1490"/>
    </row>
    <row r="37" spans="1:1">
      <c r="A37" s="1490"/>
    </row>
  </sheetData>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3"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497" customWidth="1"/>
    <col min="2" max="3" width="21.375" style="1497" customWidth="1"/>
    <col min="4" max="4" width="19.875" style="1497" customWidth="1"/>
    <col min="5" max="16384" width="9" style="1497"/>
  </cols>
  <sheetData>
    <row r="1" spans="1:4">
      <c r="A1" s="3447" t="s">
        <v>1583</v>
      </c>
      <c r="B1" s="3447"/>
      <c r="C1" s="3447"/>
      <c r="D1" s="3447"/>
    </row>
    <row r="2" spans="1:4" ht="47.25" customHeight="1">
      <c r="A2" s="3450" t="str">
        <f>"1.权利限制："&amp;项目基本情况!L24&amp;"未设定租赁等其他他项权利。"</f>
        <v>1.权利限制：根据估价对象《不动产权证书》原件、《国有土地使用权》复印件，截至估价期日，估价对象抵押权未见登记。未设定租赁等其他他项权利。</v>
      </c>
      <c r="B2" s="3450"/>
      <c r="C2" s="3450"/>
      <c r="D2" s="3450"/>
    </row>
    <row r="3" spans="1:4" ht="48" customHeight="1">
      <c r="A3" s="3447"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447"/>
      <c r="C3" s="3447"/>
      <c r="D3" s="3447"/>
    </row>
    <row r="4" spans="1:4" ht="36.75" customHeight="1">
      <c r="A4" s="3447" t="str">
        <f>"3.估价规划限制条件：详见"&amp;项目基本情况!E21&amp;"。"</f>
        <v>3.估价规划限制条件：详见《建设工程规划许可证》[]、《出让合同》[]。</v>
      </c>
      <c r="B4" s="3447"/>
      <c r="C4" s="3447"/>
      <c r="D4" s="3447"/>
    </row>
    <row r="5" spans="1:4">
      <c r="A5" s="3449" t="s">
        <v>1584</v>
      </c>
      <c r="B5" s="3449"/>
      <c r="C5" s="3449"/>
      <c r="D5" s="3449"/>
    </row>
    <row r="6" spans="1:4">
      <c r="A6" s="3447" t="s">
        <v>1562</v>
      </c>
      <c r="B6" s="3447"/>
      <c r="C6" s="3447"/>
      <c r="D6" s="3447"/>
    </row>
    <row r="7" spans="1:4" ht="33" customHeight="1">
      <c r="A7" s="3447" t="s">
        <v>1857</v>
      </c>
      <c r="B7" s="3447"/>
      <c r="C7" s="3447"/>
      <c r="D7" s="3447"/>
    </row>
    <row r="8" spans="1:4" ht="32.25" customHeight="1">
      <c r="A8" s="3447"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447"/>
      <c r="C8" s="3447"/>
      <c r="D8" s="3447"/>
    </row>
    <row r="9" spans="1:4" ht="33.75" customHeight="1">
      <c r="A9" s="3447" t="str">
        <f>IF(项目基本情况!B8="抵押","3.抵押双方在办理抵押登记手续时，应使用本公司出具的正式《土地估价报告》，特提请报告使用者注意。","——")</f>
        <v>——</v>
      </c>
      <c r="B9" s="3447"/>
      <c r="C9" s="3447"/>
      <c r="D9" s="3447"/>
    </row>
    <row r="10" spans="1:4">
      <c r="A10" s="3447" t="str">
        <f>IF(项目基本情况!B8="抵押","4.估价师所知悉的法定优先受偿款情况为：","——")</f>
        <v>——</v>
      </c>
      <c r="B10" s="3447"/>
      <c r="C10" s="3447"/>
      <c r="D10" s="3447"/>
    </row>
    <row r="11" spans="1:4" ht="37.5" customHeight="1">
      <c r="A11" s="3447" t="str">
        <f>IF(项目基本情况!B8="抵押","（1）"&amp;CONCATENATE(项目基本情况!L24,项目基本情况!L25,项目基本情况!L26),"——")</f>
        <v>——</v>
      </c>
      <c r="B11" s="3447"/>
      <c r="C11" s="3447"/>
      <c r="D11" s="3447"/>
    </row>
    <row r="12" spans="1:4" ht="168" customHeight="1">
      <c r="A12" s="3449" t="s">
        <v>1586</v>
      </c>
      <c r="B12" s="3449"/>
      <c r="C12" s="3449"/>
      <c r="D12" s="3449"/>
    </row>
    <row r="13" spans="1:4">
      <c r="A13" s="3448" t="s">
        <v>2028</v>
      </c>
      <c r="B13" s="3448"/>
      <c r="C13" s="3448"/>
      <c r="D13" s="3448"/>
    </row>
    <row r="14" spans="1:4">
      <c r="A14" s="3447" t="str">
        <f>IF(项目基本情况!B8="抵押","综上，"&amp;结果表!K47,"——")</f>
        <v>——</v>
      </c>
      <c r="B14" s="3447"/>
      <c r="C14" s="3447"/>
      <c r="D14" s="3447"/>
    </row>
    <row r="15" spans="1:4" ht="58.5" customHeight="1">
      <c r="A15" s="3447"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447"/>
      <c r="C15" s="3447"/>
      <c r="D15" s="3447"/>
    </row>
    <row r="16" spans="1:4" ht="70.5" customHeight="1">
      <c r="A16" s="3447"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447"/>
      <c r="C16" s="3447"/>
      <c r="D16" s="3447"/>
    </row>
    <row r="17" spans="1:4">
      <c r="A17" s="3447" t="s">
        <v>1984</v>
      </c>
      <c r="B17" s="3447"/>
      <c r="C17" s="3447"/>
      <c r="D17" s="3447"/>
    </row>
    <row r="18" spans="1:4">
      <c r="A18" s="3447" t="s">
        <v>1976</v>
      </c>
      <c r="B18" s="3447"/>
      <c r="C18" s="3447"/>
      <c r="D18" s="3447"/>
    </row>
    <row r="19" spans="1:4">
      <c r="A19" s="2173" t="s">
        <v>1977</v>
      </c>
      <c r="B19" s="2173" t="s">
        <v>1978</v>
      </c>
      <c r="C19" s="2173" t="s">
        <v>1979</v>
      </c>
      <c r="D19" s="2173" t="s">
        <v>1980</v>
      </c>
    </row>
    <row r="20" spans="1:4">
      <c r="A20" s="2173" t="str">
        <f>项目基本情况!B4</f>
        <v>土地估价师</v>
      </c>
      <c r="B20" s="2173">
        <f>项目基本情况!C4</f>
        <v>0</v>
      </c>
      <c r="C20" s="2175"/>
      <c r="D20" s="1496" t="s">
        <v>1985</v>
      </c>
    </row>
    <row r="21" spans="1:4">
      <c r="A21" s="2173" t="str">
        <f>项目基本情况!D4</f>
        <v>土地估价师</v>
      </c>
      <c r="B21" s="2173">
        <f>项目基本情况!E4</f>
        <v>0</v>
      </c>
      <c r="C21" s="2175"/>
      <c r="D21" s="1496" t="s">
        <v>1986</v>
      </c>
    </row>
    <row r="23" spans="1:4">
      <c r="A23" s="3447" t="s">
        <v>1981</v>
      </c>
      <c r="B23" s="3447"/>
      <c r="C23" s="3447"/>
      <c r="D23" s="3447"/>
    </row>
    <row r="24" spans="1:4">
      <c r="A24" s="2173" t="s">
        <v>1977</v>
      </c>
      <c r="B24" s="2173" t="s">
        <v>1982</v>
      </c>
      <c r="C24" s="2173" t="s">
        <v>1979</v>
      </c>
      <c r="D24" s="2173" t="s">
        <v>1980</v>
      </c>
    </row>
    <row r="25" spans="1:4">
      <c r="A25" s="2176" t="s">
        <v>1983</v>
      </c>
      <c r="B25" s="2173" t="s">
        <v>877</v>
      </c>
      <c r="C25" s="2175"/>
      <c r="D25" s="1496" t="s">
        <v>1986</v>
      </c>
    </row>
    <row r="29" spans="1:4">
      <c r="D29" s="2174" t="s">
        <v>1557</v>
      </c>
    </row>
    <row r="30" spans="1:4">
      <c r="D30" s="2177">
        <v>42558</v>
      </c>
    </row>
  </sheetData>
  <sheetProtection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010" customWidth="1"/>
    <col min="2" max="16384" width="14.5" style="1008"/>
  </cols>
  <sheetData>
    <row r="1" spans="1:7" s="1006" customFormat="1" ht="18.75">
      <c r="A1" s="1005" t="s">
        <v>39</v>
      </c>
    </row>
    <row r="3" spans="1:7" ht="14.25">
      <c r="A3" s="1007" t="s">
        <v>40</v>
      </c>
      <c r="B3" s="1008" t="s">
        <v>41</v>
      </c>
      <c r="G3" s="1009"/>
    </row>
    <row r="4" spans="1:7">
      <c r="G4" s="1009"/>
    </row>
    <row r="5" spans="1:7" ht="14.25">
      <c r="A5" s="1011" t="s">
        <v>19</v>
      </c>
      <c r="B5" s="1008" t="s">
        <v>20</v>
      </c>
      <c r="G5" s="1009"/>
    </row>
    <row r="6" spans="1:7">
      <c r="G6" s="1009"/>
    </row>
    <row r="7" spans="1:7" ht="14.25">
      <c r="A7" s="1012" t="s">
        <v>21</v>
      </c>
      <c r="B7" s="1008" t="s">
        <v>22</v>
      </c>
      <c r="G7" s="1009"/>
    </row>
    <row r="8" spans="1:7">
      <c r="G8" s="1009"/>
    </row>
    <row r="9" spans="1:7">
      <c r="A9" s="1013" t="s">
        <v>23</v>
      </c>
      <c r="B9" s="1008" t="s">
        <v>24</v>
      </c>
    </row>
    <row r="11" spans="1:7">
      <c r="A11" s="1014" t="s">
        <v>25</v>
      </c>
      <c r="B11" s="1015" t="s">
        <v>809</v>
      </c>
    </row>
    <row r="13" spans="1:7">
      <c r="A13" s="1016" t="s">
        <v>26</v>
      </c>
    </row>
    <row r="15" spans="1:7" ht="14.25">
      <c r="A15" s="3458" t="s">
        <v>27</v>
      </c>
      <c r="B15" s="3459" t="s">
        <v>784</v>
      </c>
      <c r="C15" s="3455"/>
    </row>
    <row r="16" spans="1:7" ht="14.25">
      <c r="A16" s="3458"/>
      <c r="B16" s="3456" t="s">
        <v>28</v>
      </c>
      <c r="C16" s="1017" t="s">
        <v>27</v>
      </c>
    </row>
    <row r="17" spans="1:3" ht="14.25">
      <c r="A17" s="3458"/>
      <c r="B17" s="3456"/>
      <c r="C17" s="1017" t="s">
        <v>29</v>
      </c>
    </row>
    <row r="18" spans="1:3" ht="14.25">
      <c r="A18" s="3458"/>
      <c r="B18" s="3456"/>
      <c r="C18" s="1017" t="s">
        <v>30</v>
      </c>
    </row>
    <row r="19" spans="1:3" ht="14.25">
      <c r="A19" s="3458"/>
      <c r="B19" s="3454" t="s">
        <v>31</v>
      </c>
      <c r="C19" s="3455"/>
    </row>
    <row r="20" spans="1:3" ht="14.25">
      <c r="A20" s="1018" t="s">
        <v>32</v>
      </c>
      <c r="B20" s="1019"/>
      <c r="C20" s="1020"/>
    </row>
    <row r="21" spans="1:3" ht="14.25">
      <c r="A21" s="3457" t="s">
        <v>33</v>
      </c>
      <c r="B21" s="3454" t="s">
        <v>34</v>
      </c>
      <c r="C21" s="3455"/>
    </row>
    <row r="22" spans="1:3" ht="14.25">
      <c r="A22" s="3457"/>
      <c r="B22" s="3454" t="s">
        <v>35</v>
      </c>
      <c r="C22" s="3455"/>
    </row>
    <row r="23" spans="1:3" ht="14.25">
      <c r="A23" s="3457"/>
      <c r="B23" s="3454" t="s">
        <v>36</v>
      </c>
      <c r="C23" s="3455"/>
    </row>
    <row r="24" spans="1:3" ht="14.25">
      <c r="A24" s="3457"/>
      <c r="B24" s="3460" t="s">
        <v>37</v>
      </c>
      <c r="C24" s="1021" t="s">
        <v>775</v>
      </c>
    </row>
    <row r="25" spans="1:3" ht="14.25">
      <c r="A25" s="3457"/>
      <c r="B25" s="3461"/>
      <c r="C25" s="1021" t="s">
        <v>776</v>
      </c>
    </row>
    <row r="26" spans="1:3" ht="14.25">
      <c r="A26" s="3457"/>
      <c r="B26" s="3461"/>
      <c r="C26" s="1021" t="s">
        <v>777</v>
      </c>
    </row>
    <row r="27" spans="1:3" ht="14.25">
      <c r="A27" s="3457"/>
      <c r="B27" s="3461"/>
      <c r="C27" s="1021" t="s">
        <v>778</v>
      </c>
    </row>
    <row r="28" spans="1:3" ht="14.25">
      <c r="A28" s="3457"/>
      <c r="B28" s="3461"/>
      <c r="C28" s="1021" t="s">
        <v>779</v>
      </c>
    </row>
    <row r="29" spans="1:3" ht="14.25">
      <c r="A29" s="3457"/>
      <c r="B29" s="3461"/>
      <c r="C29" s="1021" t="s">
        <v>780</v>
      </c>
    </row>
    <row r="30" spans="1:3" ht="14.25">
      <c r="A30" s="3457"/>
      <c r="B30" s="3461"/>
      <c r="C30" s="1021" t="s">
        <v>781</v>
      </c>
    </row>
    <row r="31" spans="1:3" ht="14.25">
      <c r="A31" s="3457"/>
      <c r="B31" s="3461"/>
      <c r="C31" s="1021" t="s">
        <v>782</v>
      </c>
    </row>
    <row r="32" spans="1:3" ht="14.25">
      <c r="A32" s="3457"/>
      <c r="B32" s="3461"/>
      <c r="C32" s="1021" t="s">
        <v>1181</v>
      </c>
    </row>
    <row r="33" spans="1:3" ht="14.25">
      <c r="A33" s="3457"/>
      <c r="B33" s="3451" t="s">
        <v>1187</v>
      </c>
      <c r="C33" s="1021" t="s">
        <v>1182</v>
      </c>
    </row>
    <row r="34" spans="1:3" ht="14.25">
      <c r="A34" s="3457"/>
      <c r="B34" s="3452"/>
      <c r="C34" s="1026" t="s">
        <v>1183</v>
      </c>
    </row>
    <row r="35" spans="1:3" ht="14.25">
      <c r="A35" s="3457"/>
      <c r="B35" s="3452"/>
      <c r="C35" s="1027" t="s">
        <v>1184</v>
      </c>
    </row>
    <row r="36" spans="1:3" ht="14.25">
      <c r="A36" s="3457"/>
      <c r="B36" s="3452"/>
      <c r="C36" s="1027" t="s">
        <v>1185</v>
      </c>
    </row>
    <row r="37" spans="1:3" ht="14.25">
      <c r="A37" s="3457"/>
      <c r="B37" s="3453"/>
      <c r="C37" s="1028" t="s">
        <v>1186</v>
      </c>
    </row>
    <row r="38" spans="1:3">
      <c r="A38" s="1022" t="s">
        <v>783</v>
      </c>
    </row>
    <row r="41" spans="1:3">
      <c r="A41" s="1022" t="s">
        <v>42</v>
      </c>
    </row>
    <row r="42" spans="1:3" ht="14.25">
      <c r="A42" s="1023" t="s">
        <v>791</v>
      </c>
    </row>
    <row r="43" spans="1:3" ht="14.25">
      <c r="A43" s="1024" t="s">
        <v>43</v>
      </c>
    </row>
    <row r="44" spans="1:3" ht="14.25">
      <c r="A44" s="1023" t="s">
        <v>790</v>
      </c>
    </row>
    <row r="45" spans="1:3" ht="14.25">
      <c r="A45" s="1025" t="s">
        <v>792</v>
      </c>
    </row>
    <row r="46" spans="1:3" ht="14.25">
      <c r="A46" s="1024" t="s">
        <v>38</v>
      </c>
    </row>
  </sheetData>
  <sheetProtection password="CEE9"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G23"/>
  <sheetViews>
    <sheetView view="pageBreakPreview" zoomScale="80" zoomScaleNormal="100" zoomScaleSheetLayoutView="80" workbookViewId="0">
      <selection activeCell="C22" sqref="C22"/>
    </sheetView>
  </sheetViews>
  <sheetFormatPr defaultColWidth="22.625" defaultRowHeight="20.25" customHeight="1"/>
  <cols>
    <col min="1" max="1" width="24.75" style="2394" customWidth="1"/>
    <col min="2" max="2" width="22.75" style="2394" bestFit="1" customWidth="1"/>
    <col min="3" max="3" width="25.75" style="2394" bestFit="1" customWidth="1"/>
    <col min="4" max="4" width="22.625" style="2394"/>
    <col min="5" max="5" width="22.75" style="2394" bestFit="1" customWidth="1"/>
    <col min="6" max="6" width="25.625" style="2394" customWidth="1"/>
    <col min="7" max="16384" width="22.625" style="2394"/>
  </cols>
  <sheetData>
    <row r="1" spans="1:7" ht="20.25" customHeight="1">
      <c r="A1" s="2560"/>
      <c r="B1" s="2560"/>
      <c r="C1" s="2560"/>
      <c r="D1" s="2560"/>
      <c r="E1" s="2560"/>
      <c r="F1" s="2560"/>
      <c r="G1" s="2560"/>
    </row>
    <row r="2" spans="1:7" ht="20.25" customHeight="1">
      <c r="A2" s="2561" t="s">
        <v>1431</v>
      </c>
      <c r="B2" s="2562">
        <f ca="1">TODAY()</f>
        <v>45489</v>
      </c>
      <c r="C2" s="2563" t="s">
        <v>1432</v>
      </c>
      <c r="D2" s="2563"/>
      <c r="E2" s="2560"/>
      <c r="F2" s="2560"/>
      <c r="G2" s="2560"/>
    </row>
    <row r="3" spans="1:7" ht="20.25" customHeight="1">
      <c r="A3" s="2580" t="s">
        <v>1433</v>
      </c>
      <c r="B3" s="2565" t="s">
        <v>1434</v>
      </c>
      <c r="C3" s="2566" t="s">
        <v>1435</v>
      </c>
      <c r="D3" s="2581" t="s">
        <v>1436</v>
      </c>
      <c r="E3" s="2565" t="s">
        <v>1437</v>
      </c>
      <c r="F3" s="2565" t="s">
        <v>1435</v>
      </c>
      <c r="G3" s="2560"/>
    </row>
    <row r="4" spans="1:7" ht="20.25" customHeight="1">
      <c r="A4" s="2565" t="s">
        <v>1438</v>
      </c>
      <c r="B4" s="2565">
        <f ca="1">IF(C4&lt;B2,"已过期",1119970066)</f>
        <v>1119970066</v>
      </c>
      <c r="C4" s="2568">
        <v>45937</v>
      </c>
      <c r="D4" s="2574" t="s">
        <v>1438</v>
      </c>
      <c r="E4" s="2565">
        <f ca="1">IF(F4&lt;B2,"已过期",96010014)</f>
        <v>96010014</v>
      </c>
      <c r="F4" s="2567">
        <v>47118</v>
      </c>
      <c r="G4" s="2560"/>
    </row>
    <row r="5" spans="1:7" ht="20.25" customHeight="1">
      <c r="A5" s="2565" t="s">
        <v>1439</v>
      </c>
      <c r="B5" s="2565">
        <f ca="1">IF(C5&lt;B2,"已过期",1119970111)</f>
        <v>1119970111</v>
      </c>
      <c r="C5" s="2568">
        <v>45937</v>
      </c>
      <c r="D5" s="2574" t="s">
        <v>1439</v>
      </c>
      <c r="E5" s="2565">
        <f ca="1">IF(F5&lt;B2,"已过期",94010078)</f>
        <v>94010078</v>
      </c>
      <c r="F5" s="2567">
        <v>46387</v>
      </c>
      <c r="G5" s="2560"/>
    </row>
    <row r="6" spans="1:7" ht="20.25" customHeight="1">
      <c r="A6" s="2565" t="s">
        <v>1440</v>
      </c>
      <c r="B6" s="2565" t="str">
        <f ca="1">IF(C6&lt;B2,"已过期",1120050019)</f>
        <v>已过期</v>
      </c>
      <c r="C6" s="2568">
        <v>45410</v>
      </c>
      <c r="D6" s="2574" t="s">
        <v>1440</v>
      </c>
      <c r="E6" s="2565">
        <f ca="1">IF(F6&lt;B2,"已过期",2002110030)</f>
        <v>2002110030</v>
      </c>
      <c r="F6" s="2567">
        <v>46387</v>
      </c>
      <c r="G6" s="2560"/>
    </row>
    <row r="7" spans="1:7" ht="20.25" customHeight="1">
      <c r="A7" s="2565" t="s">
        <v>1441</v>
      </c>
      <c r="B7" s="2565">
        <f ca="1">IF(C7&lt;B2,"已过期",1120000080)</f>
        <v>1120000080</v>
      </c>
      <c r="C7" s="2568">
        <v>45937</v>
      </c>
      <c r="D7" s="2574" t="s">
        <v>1441</v>
      </c>
      <c r="E7" s="2565">
        <f ca="1">IF(F7&lt;B2,"已过期",2000110082)</f>
        <v>2000110082</v>
      </c>
      <c r="F7" s="2567">
        <v>46387</v>
      </c>
      <c r="G7" s="2560"/>
    </row>
    <row r="8" spans="1:7" ht="20.25" customHeight="1">
      <c r="A8" s="2565" t="s">
        <v>1442</v>
      </c>
      <c r="B8" s="2565">
        <f ca="1">IF(C8&lt;B2,"已过期",1419970001)</f>
        <v>1419970001</v>
      </c>
      <c r="C8" s="2568">
        <v>45937</v>
      </c>
      <c r="D8" s="2574" t="s">
        <v>1442</v>
      </c>
      <c r="E8" s="2565">
        <f ca="1">IF(F8&lt;B2,"已过期",2002110125)</f>
        <v>2002110125</v>
      </c>
      <c r="F8" s="2567">
        <v>47118</v>
      </c>
      <c r="G8" s="2560"/>
    </row>
    <row r="9" spans="1:7" ht="20.25" customHeight="1">
      <c r="A9" s="2565" t="s">
        <v>1443</v>
      </c>
      <c r="B9" s="2565">
        <f ca="1">IF(C9&lt;B2,"已过期",1120060040)</f>
        <v>1120060040</v>
      </c>
      <c r="C9" s="2568">
        <v>45592</v>
      </c>
      <c r="D9" s="2574" t="s">
        <v>1443</v>
      </c>
      <c r="E9" s="2565">
        <f ca="1">IF(F9&lt;B2,"已过期",2004110096)</f>
        <v>2004110096</v>
      </c>
      <c r="F9" s="2567">
        <v>47118</v>
      </c>
      <c r="G9" s="2560"/>
    </row>
    <row r="10" spans="1:7" ht="20.25" customHeight="1">
      <c r="A10" s="2565" t="s">
        <v>1444</v>
      </c>
      <c r="B10" s="2565">
        <f ca="1">IF(C10&lt;B2,"已过期",1120100036)</f>
        <v>1120100036</v>
      </c>
      <c r="C10" s="2568">
        <v>45752</v>
      </c>
      <c r="D10" s="2574" t="s">
        <v>1444</v>
      </c>
      <c r="E10" s="2565">
        <f ca="1">IF(F10&lt;B2,"已过期",2010110070)</f>
        <v>2010110070</v>
      </c>
      <c r="F10" s="2567">
        <v>47907</v>
      </c>
      <c r="G10" s="2560"/>
    </row>
    <row r="11" spans="1:7" ht="20.25" customHeight="1">
      <c r="A11" s="2565" t="s">
        <v>1445</v>
      </c>
      <c r="B11" s="2565">
        <f ca="1">IF(C11&lt;B2,"已过期",1120070131)</f>
        <v>1120070131</v>
      </c>
      <c r="C11" s="2568">
        <v>45937</v>
      </c>
      <c r="D11" s="2574" t="s">
        <v>1445</v>
      </c>
      <c r="E11" s="2565">
        <f ca="1">IF(F11&lt;B2,"已过期",2014110011)</f>
        <v>2014110011</v>
      </c>
      <c r="F11" s="2567">
        <v>49302</v>
      </c>
      <c r="G11" s="2560"/>
    </row>
    <row r="12" spans="1:7" ht="20.25" customHeight="1">
      <c r="A12" s="2565" t="s">
        <v>2239</v>
      </c>
      <c r="B12" s="2565">
        <f ca="1">IF(C12&lt;B2,"已过期",1120040230)</f>
        <v>1120040230</v>
      </c>
      <c r="C12" s="2568">
        <v>45937</v>
      </c>
      <c r="D12" s="2574" t="s">
        <v>2240</v>
      </c>
      <c r="E12" s="2565">
        <f ca="1">IF(F12&lt;B2,"已过期",98030020)</f>
        <v>98030020</v>
      </c>
      <c r="F12" s="2567">
        <v>47118</v>
      </c>
      <c r="G12" s="2560"/>
    </row>
    <row r="13" spans="1:7" ht="20.25" customHeight="1">
      <c r="A13" s="2565"/>
      <c r="B13" s="2565"/>
      <c r="C13" s="2568"/>
      <c r="D13" s="2574" t="s">
        <v>1446</v>
      </c>
      <c r="E13" s="2565">
        <f ca="1">IF(F13&lt;B2,"已过期",2011110090)</f>
        <v>2011110090</v>
      </c>
      <c r="F13" s="2567">
        <v>48302</v>
      </c>
      <c r="G13" s="2560"/>
    </row>
    <row r="14" spans="1:7" ht="20.25" customHeight="1">
      <c r="A14" s="2565" t="s">
        <v>1447</v>
      </c>
      <c r="B14" s="2565" t="str">
        <f ca="1">IF(C14&lt;B2,"已过期",1120020033)</f>
        <v>已过期</v>
      </c>
      <c r="C14" s="2568">
        <v>45375</v>
      </c>
      <c r="D14" s="2574" t="s">
        <v>1447</v>
      </c>
      <c r="E14" s="2565">
        <f ca="1">IF(F14&lt;B2,"已过期",2000110137)</f>
        <v>2000110137</v>
      </c>
      <c r="F14" s="2567">
        <v>46387</v>
      </c>
      <c r="G14" s="2560"/>
    </row>
    <row r="15" spans="1:7" ht="20.25" customHeight="1">
      <c r="A15" s="2565" t="s">
        <v>2250</v>
      </c>
      <c r="B15" s="2565" t="str">
        <f ca="1">IF(C15&lt;B2,"已过期",1119980106)</f>
        <v>已过期</v>
      </c>
      <c r="C15" s="2568">
        <v>44969</v>
      </c>
      <c r="D15" s="2574"/>
      <c r="E15" s="2565"/>
      <c r="F15" s="2565"/>
      <c r="G15" s="2560"/>
    </row>
    <row r="16" spans="1:7" ht="20.25" customHeight="1">
      <c r="A16" s="2564" t="s">
        <v>2451</v>
      </c>
      <c r="B16" s="2564">
        <v>1120210056</v>
      </c>
      <c r="C16" s="2568">
        <v>45410</v>
      </c>
      <c r="D16" s="2574"/>
      <c r="E16" s="2565"/>
      <c r="F16" s="2565"/>
      <c r="G16" s="2560"/>
    </row>
    <row r="17" spans="1:7" ht="20.25" customHeight="1">
      <c r="A17" s="2564" t="s">
        <v>1571</v>
      </c>
      <c r="B17" s="2564" t="s">
        <v>1571</v>
      </c>
      <c r="C17" s="2568"/>
      <c r="D17" s="2575" t="s">
        <v>1571</v>
      </c>
      <c r="E17" s="2565" t="s">
        <v>1571</v>
      </c>
      <c r="F17" s="2567"/>
      <c r="G17" s="2560"/>
    </row>
    <row r="18" spans="1:7" ht="20.25" customHeight="1">
      <c r="A18" s="3465" t="s">
        <v>1448</v>
      </c>
      <c r="B18" s="3466"/>
      <c r="C18" s="3466"/>
      <c r="D18" s="3466"/>
      <c r="E18" s="3466"/>
      <c r="F18" s="3466"/>
      <c r="G18" s="2560"/>
    </row>
    <row r="19" spans="1:7" ht="20.25" customHeight="1">
      <c r="A19" s="3462" t="s">
        <v>1449</v>
      </c>
      <c r="B19" s="3462"/>
      <c r="C19" s="3463"/>
      <c r="D19" s="3464" t="s">
        <v>1450</v>
      </c>
      <c r="E19" s="3462"/>
      <c r="F19" s="3462"/>
      <c r="G19" s="2560"/>
    </row>
    <row r="20" spans="1:7" s="2393" customFormat="1" ht="20.25" customHeight="1">
      <c r="A20" s="2569" t="s">
        <v>1451</v>
      </c>
      <c r="B20" s="2565" t="s">
        <v>1452</v>
      </c>
      <c r="C20" s="2566" t="s">
        <v>1453</v>
      </c>
      <c r="D20" s="2574" t="s">
        <v>1451</v>
      </c>
      <c r="E20" s="2565" t="s">
        <v>1452</v>
      </c>
      <c r="F20" s="2565" t="s">
        <v>1453</v>
      </c>
      <c r="G20" s="2561"/>
    </row>
    <row r="21" spans="1:7" s="2393" customFormat="1" ht="20.25" customHeight="1">
      <c r="A21" s="2570" t="s">
        <v>1454</v>
      </c>
      <c r="B21" s="2570" t="s">
        <v>1455</v>
      </c>
      <c r="C21" s="2576">
        <v>45898</v>
      </c>
      <c r="D21" s="2578" t="s">
        <v>1456</v>
      </c>
      <c r="E21" s="2570" t="s">
        <v>2452</v>
      </c>
      <c r="F21" s="2571">
        <v>44926</v>
      </c>
      <c r="G21" s="2561"/>
    </row>
    <row r="22" spans="1:7" s="2393" customFormat="1" ht="20.25" customHeight="1">
      <c r="A22" s="2570"/>
      <c r="B22" s="2570"/>
      <c r="C22" s="2577"/>
      <c r="D22" s="2578"/>
      <c r="E22" s="2570"/>
      <c r="F22" s="2571"/>
      <c r="G22" s="2561"/>
    </row>
    <row r="23" spans="1:7" ht="20.25" customHeight="1">
      <c r="A23" s="2560"/>
      <c r="B23" s="2560"/>
      <c r="C23" s="2572"/>
      <c r="D23" s="2579"/>
      <c r="E23" s="2560"/>
      <c r="F23" s="2573"/>
      <c r="G23" s="2560"/>
    </row>
  </sheetData>
  <sheetProtection password="CEE9" sheet="1" objects="1" scenarios="1"/>
  <mergeCells count="3">
    <mergeCell ref="A19:C19"/>
    <mergeCell ref="D19:F19"/>
    <mergeCell ref="A18:F18"/>
  </mergeCells>
  <phoneticPr fontId="3" type="noConversion"/>
  <conditionalFormatting sqref="B4:B16">
    <cfRule type="cellIs" dxfId="172" priority="50" stopIfTrue="1" operator="equal">
      <formula>"已过期"</formula>
    </cfRule>
  </conditionalFormatting>
  <conditionalFormatting sqref="C4">
    <cfRule type="expression" dxfId="171" priority="3">
      <formula>AND($C4-TODAY()&lt;30,TODAY()&lt;$C4)</formula>
    </cfRule>
    <cfRule type="cellIs" dxfId="170" priority="4" stopIfTrue="1" operator="lessThan">
      <formula>$B$2</formula>
    </cfRule>
  </conditionalFormatting>
  <conditionalFormatting sqref="C5:C10">
    <cfRule type="expression" dxfId="169" priority="7">
      <formula>AND($C5-TODAY()&lt;30,TODAY()&lt;$C5)</formula>
    </cfRule>
    <cfRule type="cellIs" dxfId="168" priority="8" stopIfTrue="1" operator="lessThan">
      <formula>$B$2</formula>
    </cfRule>
  </conditionalFormatting>
  <conditionalFormatting sqref="C7:C8">
    <cfRule type="expression" dxfId="167" priority="5">
      <formula>AND($C7-TODAY()&lt;30,TODAY()&lt;$C7)</formula>
    </cfRule>
    <cfRule type="cellIs" dxfId="166" priority="6" stopIfTrue="1" operator="lessThan">
      <formula>$B$2</formula>
    </cfRule>
  </conditionalFormatting>
  <conditionalFormatting sqref="C11">
    <cfRule type="cellIs" dxfId="165" priority="83" stopIfTrue="1" operator="lessThan">
      <formula>$B$2</formula>
    </cfRule>
  </conditionalFormatting>
  <conditionalFormatting sqref="C11:C16">
    <cfRule type="expression" dxfId="164" priority="62">
      <formula>AND($C11-TODAY()&lt;30,TODAY()&lt;$C11)</formula>
    </cfRule>
  </conditionalFormatting>
  <conditionalFormatting sqref="C12">
    <cfRule type="expression" dxfId="163" priority="53">
      <formula>AND($C12-TODAY()&lt;30,TODAY()&lt;$C12)</formula>
    </cfRule>
    <cfRule type="cellIs" dxfId="162" priority="54" stopIfTrue="1" operator="lessThan">
      <formula>$B$2</formula>
    </cfRule>
  </conditionalFormatting>
  <conditionalFormatting sqref="C13:C16">
    <cfRule type="cellIs" dxfId="161" priority="63" stopIfTrue="1" operator="lessThan">
      <formula>$B$2</formula>
    </cfRule>
  </conditionalFormatting>
  <conditionalFormatting sqref="C21">
    <cfRule type="expression" dxfId="160" priority="150">
      <formula>AND($C21-TODAY()&lt;30,TODAY()&lt;$C21)</formula>
    </cfRule>
    <cfRule type="cellIs" dxfId="159" priority="152" stopIfTrue="1" operator="lessThan">
      <formula>$B$2</formula>
    </cfRule>
  </conditionalFormatting>
  <conditionalFormatting sqref="C17:D17">
    <cfRule type="expression" dxfId="158" priority="144">
      <formula>AND($C17-TODAY()&lt;30,TODAY()&lt;$C17)</formula>
    </cfRule>
    <cfRule type="cellIs" dxfId="157" priority="145" stopIfTrue="1" operator="lessThan">
      <formula>$B$2</formula>
    </cfRule>
    <cfRule type="expression" dxfId="156" priority="151">
      <formula>AND($C17-TODAY()&lt;30,TODAY()&lt;$C17)</formula>
    </cfRule>
  </conditionalFormatting>
  <conditionalFormatting sqref="E4:E16">
    <cfRule type="cellIs" dxfId="155" priority="40" stopIfTrue="1" operator="equal">
      <formula>"已过期"</formula>
    </cfRule>
  </conditionalFormatting>
  <conditionalFormatting sqref="F4:F14">
    <cfRule type="cellIs" dxfId="154" priority="39" stopIfTrue="1" operator="lessThan">
      <formula>$B$2</formula>
    </cfRule>
  </conditionalFormatting>
  <conditionalFormatting sqref="F21:F22">
    <cfRule type="cellIs" dxfId="153" priority="1" stopIfTrue="1" operator="lessThan">
      <formula>$B$2</formula>
    </cfRule>
    <cfRule type="expression" dxfId="152"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W58"/>
  <sheetViews>
    <sheetView workbookViewId="0">
      <selection activeCell="C2" sqref="C2"/>
    </sheetView>
  </sheetViews>
  <sheetFormatPr defaultColWidth="9" defaultRowHeight="14.25"/>
  <cols>
    <col min="1" max="1" width="10.375" style="1030" customWidth="1"/>
    <col min="2" max="2" width="18.875" style="1008" customWidth="1"/>
    <col min="3" max="3" width="18.875" style="9" customWidth="1"/>
    <col min="4" max="4" width="5.5" style="7" customWidth="1"/>
    <col min="5" max="5" width="7.125" style="7" customWidth="1"/>
    <col min="6" max="6" width="10.625" style="7" customWidth="1"/>
    <col min="7" max="7" width="7.5" style="7" customWidth="1"/>
    <col min="8" max="8" width="9" style="9" customWidth="1"/>
    <col min="9" max="9" width="11.625" style="9" customWidth="1"/>
    <col min="10" max="10" width="9" style="9" customWidth="1"/>
    <col min="11" max="19" width="9" style="7" customWidth="1"/>
    <col min="20" max="23" width="9" style="9" customWidth="1"/>
    <col min="24" max="24" width="14.625" style="1008" customWidth="1"/>
    <col min="25" max="25" width="7.25" style="1008" customWidth="1"/>
    <col min="26" max="16384" width="9" style="1008"/>
  </cols>
  <sheetData>
    <row r="1" spans="1:23" s="1029" customFormat="1" ht="40.5">
      <c r="A1" s="882" t="s">
        <v>794</v>
      </c>
      <c r="B1" s="3" t="s">
        <v>99</v>
      </c>
      <c r="C1" s="1293" t="s">
        <v>1237</v>
      </c>
      <c r="D1" s="2048" t="s">
        <v>2764</v>
      </c>
      <c r="E1" s="4" t="s">
        <v>100</v>
      </c>
      <c r="F1" s="4" t="s">
        <v>101</v>
      </c>
      <c r="G1" s="4" t="s">
        <v>102</v>
      </c>
      <c r="H1" s="4" t="s">
        <v>103</v>
      </c>
      <c r="I1" s="4" t="s">
        <v>104</v>
      </c>
      <c r="J1" s="4" t="s">
        <v>105</v>
      </c>
      <c r="K1" s="4" t="s">
        <v>106</v>
      </c>
      <c r="L1" s="4" t="s">
        <v>107</v>
      </c>
      <c r="M1" s="4" t="s">
        <v>108</v>
      </c>
      <c r="N1" s="4" t="s">
        <v>109</v>
      </c>
      <c r="O1" s="4" t="s">
        <v>110</v>
      </c>
      <c r="P1" s="4" t="s">
        <v>111</v>
      </c>
      <c r="Q1" s="2048" t="s">
        <v>1828</v>
      </c>
      <c r="R1" s="2047" t="s">
        <v>1822</v>
      </c>
      <c r="S1" s="4" t="s">
        <v>112</v>
      </c>
      <c r="T1" s="5" t="s">
        <v>113</v>
      </c>
      <c r="U1" s="4" t="s">
        <v>114</v>
      </c>
      <c r="V1" s="4" t="s">
        <v>115</v>
      </c>
      <c r="W1" s="917" t="s">
        <v>811</v>
      </c>
    </row>
    <row r="2" spans="1:23">
      <c r="A2" s="6" t="s">
        <v>47</v>
      </c>
      <c r="B2" s="6" t="s">
        <v>116</v>
      </c>
      <c r="C2" s="1294" t="s">
        <v>1238</v>
      </c>
      <c r="D2" s="7" t="s">
        <v>48</v>
      </c>
      <c r="E2" s="7" t="s">
        <v>95</v>
      </c>
      <c r="F2" s="7" t="s">
        <v>96</v>
      </c>
      <c r="G2" s="4">
        <v>20</v>
      </c>
      <c r="H2" s="7" t="s">
        <v>97</v>
      </c>
      <c r="I2" s="7" t="s">
        <v>2750</v>
      </c>
      <c r="J2" s="7" t="s">
        <v>98</v>
      </c>
      <c r="K2" s="7" t="s">
        <v>49</v>
      </c>
      <c r="L2" s="7" t="s">
        <v>49</v>
      </c>
      <c r="M2" s="7" t="s">
        <v>49</v>
      </c>
      <c r="N2" s="7" t="s">
        <v>49</v>
      </c>
      <c r="O2" s="7" t="s">
        <v>49</v>
      </c>
      <c r="P2" s="918" t="s">
        <v>817</v>
      </c>
      <c r="Q2" s="7" t="s">
        <v>49</v>
      </c>
      <c r="R2" s="918" t="s">
        <v>1823</v>
      </c>
      <c r="S2" s="7" t="s">
        <v>49</v>
      </c>
      <c r="T2" s="7" t="s">
        <v>50</v>
      </c>
      <c r="U2" s="7" t="s">
        <v>49</v>
      </c>
      <c r="V2" s="7" t="s">
        <v>51</v>
      </c>
      <c r="W2" s="7" t="s">
        <v>812</v>
      </c>
    </row>
    <row r="3" spans="1:23">
      <c r="A3" s="6" t="s">
        <v>52</v>
      </c>
      <c r="B3" s="8" t="s">
        <v>117</v>
      </c>
      <c r="C3" s="1294" t="s">
        <v>1239</v>
      </c>
      <c r="D3" s="7" t="s">
        <v>53</v>
      </c>
      <c r="E3" s="7" t="s">
        <v>3</v>
      </c>
      <c r="F3" s="7" t="s">
        <v>54</v>
      </c>
      <c r="G3" s="7">
        <v>40</v>
      </c>
      <c r="H3" s="7" t="s">
        <v>55</v>
      </c>
      <c r="I3" s="7" t="s">
        <v>2751</v>
      </c>
      <c r="J3" s="7" t="s">
        <v>56</v>
      </c>
      <c r="K3" s="7" t="s">
        <v>57</v>
      </c>
      <c r="L3" s="7" t="s">
        <v>57</v>
      </c>
      <c r="M3" s="7" t="s">
        <v>57</v>
      </c>
      <c r="N3" s="7" t="s">
        <v>57</v>
      </c>
      <c r="O3" s="7" t="s">
        <v>57</v>
      </c>
      <c r="P3" s="918" t="s">
        <v>548</v>
      </c>
      <c r="Q3" s="7" t="s">
        <v>57</v>
      </c>
      <c r="R3" s="918" t="s">
        <v>1824</v>
      </c>
      <c r="S3" s="7" t="s">
        <v>57</v>
      </c>
      <c r="T3" s="7" t="s">
        <v>58</v>
      </c>
      <c r="U3" s="7" t="s">
        <v>57</v>
      </c>
      <c r="V3" s="7" t="s">
        <v>59</v>
      </c>
      <c r="W3" s="7" t="s">
        <v>813</v>
      </c>
    </row>
    <row r="4" spans="1:23">
      <c r="A4" s="6" t="s">
        <v>60</v>
      </c>
      <c r="B4" s="6" t="s">
        <v>118</v>
      </c>
      <c r="C4" s="1294" t="s">
        <v>1240</v>
      </c>
      <c r="D4" s="7" t="s">
        <v>1512</v>
      </c>
      <c r="E4" s="7" t="s">
        <v>61</v>
      </c>
      <c r="F4" s="7" t="s">
        <v>62</v>
      </c>
      <c r="G4" s="7">
        <v>50</v>
      </c>
      <c r="H4" s="7" t="s">
        <v>63</v>
      </c>
      <c r="I4" s="7" t="s">
        <v>2752</v>
      </c>
      <c r="K4" s="7" t="s">
        <v>64</v>
      </c>
      <c r="L4" s="7" t="s">
        <v>64</v>
      </c>
      <c r="M4" s="7" t="s">
        <v>64</v>
      </c>
      <c r="N4" s="7" t="s">
        <v>64</v>
      </c>
      <c r="O4" s="7" t="s">
        <v>64</v>
      </c>
      <c r="P4" s="918" t="s">
        <v>700</v>
      </c>
      <c r="Q4" s="7" t="s">
        <v>64</v>
      </c>
      <c r="R4" s="918" t="s">
        <v>1825</v>
      </c>
      <c r="S4" s="7" t="s">
        <v>64</v>
      </c>
      <c r="T4" s="7" t="s">
        <v>65</v>
      </c>
      <c r="U4" s="7" t="s">
        <v>64</v>
      </c>
      <c r="W4" s="7" t="s">
        <v>814</v>
      </c>
    </row>
    <row r="5" spans="1:23">
      <c r="A5" s="6" t="s">
        <v>66</v>
      </c>
      <c r="B5" s="6" t="s">
        <v>119</v>
      </c>
      <c r="C5" s="1294" t="s">
        <v>1241</v>
      </c>
      <c r="F5" s="7" t="s">
        <v>67</v>
      </c>
      <c r="G5" s="7">
        <v>70</v>
      </c>
      <c r="H5" s="7" t="s">
        <v>44</v>
      </c>
      <c r="I5" s="7" t="s">
        <v>2753</v>
      </c>
      <c r="K5" s="7" t="s">
        <v>68</v>
      </c>
      <c r="L5" s="7" t="s">
        <v>68</v>
      </c>
      <c r="M5" s="7" t="s">
        <v>68</v>
      </c>
      <c r="N5" s="7" t="s">
        <v>68</v>
      </c>
      <c r="O5" s="7" t="s">
        <v>68</v>
      </c>
      <c r="P5" s="918" t="s">
        <v>495</v>
      </c>
      <c r="Q5" s="7" t="s">
        <v>68</v>
      </c>
      <c r="R5" s="918" t="s">
        <v>1826</v>
      </c>
      <c r="S5" s="7" t="s">
        <v>68</v>
      </c>
      <c r="T5" s="7" t="s">
        <v>69</v>
      </c>
      <c r="U5" s="7" t="s">
        <v>68</v>
      </c>
      <c r="W5" s="7" t="s">
        <v>815</v>
      </c>
    </row>
    <row r="6" spans="1:23">
      <c r="A6" s="6" t="s">
        <v>70</v>
      </c>
      <c r="B6" s="996" t="s">
        <v>1176</v>
      </c>
      <c r="C6" s="1295" t="s">
        <v>1242</v>
      </c>
      <c r="F6" s="7" t="s">
        <v>45</v>
      </c>
      <c r="H6" s="7" t="s">
        <v>46</v>
      </c>
      <c r="I6" s="7" t="s">
        <v>2754</v>
      </c>
      <c r="K6" s="7" t="s">
        <v>71</v>
      </c>
      <c r="L6" s="7" t="s">
        <v>71</v>
      </c>
      <c r="M6" s="7" t="s">
        <v>71</v>
      </c>
      <c r="N6" s="7" t="s">
        <v>71</v>
      </c>
      <c r="O6" s="7" t="s">
        <v>71</v>
      </c>
      <c r="P6" s="918" t="s">
        <v>818</v>
      </c>
      <c r="Q6" s="7" t="s">
        <v>71</v>
      </c>
      <c r="R6" s="918" t="s">
        <v>1827</v>
      </c>
      <c r="S6" s="7" t="s">
        <v>71</v>
      </c>
      <c r="T6" s="7"/>
      <c r="U6" s="7" t="s">
        <v>71</v>
      </c>
      <c r="W6" s="7" t="s">
        <v>816</v>
      </c>
    </row>
    <row r="7" spans="1:23">
      <c r="A7" s="6" t="s">
        <v>72</v>
      </c>
      <c r="B7" s="6" t="s">
        <v>73</v>
      </c>
      <c r="C7" s="1294" t="s">
        <v>1243</v>
      </c>
      <c r="F7" s="7" t="s">
        <v>120</v>
      </c>
      <c r="H7" s="7" t="s">
        <v>74</v>
      </c>
      <c r="I7" s="7" t="s">
        <v>2755</v>
      </c>
    </row>
    <row r="8" spans="1:23">
      <c r="A8" s="6" t="s">
        <v>75</v>
      </c>
      <c r="B8" s="6" t="s">
        <v>76</v>
      </c>
      <c r="C8" s="1294" t="s">
        <v>1244</v>
      </c>
      <c r="F8" s="7" t="s">
        <v>121</v>
      </c>
      <c r="H8" s="3082" t="s">
        <v>2749</v>
      </c>
      <c r="I8" s="7" t="s">
        <v>2756</v>
      </c>
    </row>
    <row r="9" spans="1:23">
      <c r="A9" s="6" t="s">
        <v>77</v>
      </c>
      <c r="B9" s="6" t="s">
        <v>122</v>
      </c>
      <c r="C9" s="1294" t="s">
        <v>1245</v>
      </c>
      <c r="F9" s="7" t="s">
        <v>78</v>
      </c>
      <c r="H9" s="7"/>
      <c r="I9" s="7" t="s">
        <v>2757</v>
      </c>
    </row>
    <row r="10" spans="1:23">
      <c r="A10" s="6" t="s">
        <v>79</v>
      </c>
      <c r="B10" s="6" t="s">
        <v>123</v>
      </c>
      <c r="C10" s="1294" t="s">
        <v>1246</v>
      </c>
      <c r="F10" s="3082" t="s">
        <v>2748</v>
      </c>
      <c r="I10" s="7" t="s">
        <v>2758</v>
      </c>
    </row>
    <row r="11" spans="1:23">
      <c r="A11" s="6" t="s">
        <v>80</v>
      </c>
      <c r="B11" s="6" t="s">
        <v>124</v>
      </c>
      <c r="C11" s="1294" t="s">
        <v>1247</v>
      </c>
      <c r="I11" s="7" t="s">
        <v>2759</v>
      </c>
    </row>
    <row r="12" spans="1:23">
      <c r="A12" s="6" t="s">
        <v>81</v>
      </c>
      <c r="B12" s="6" t="s">
        <v>125</v>
      </c>
      <c r="C12" s="1294" t="s">
        <v>1248</v>
      </c>
      <c r="I12" s="7" t="s">
        <v>2760</v>
      </c>
    </row>
    <row r="13" spans="1:23">
      <c r="A13" s="6" t="s">
        <v>82</v>
      </c>
      <c r="B13" s="6" t="s">
        <v>126</v>
      </c>
      <c r="C13" s="1294" t="s">
        <v>1249</v>
      </c>
      <c r="I13" s="7" t="s">
        <v>2761</v>
      </c>
    </row>
    <row r="14" spans="1:23">
      <c r="A14" s="6" t="s">
        <v>83</v>
      </c>
      <c r="B14" s="6" t="s">
        <v>127</v>
      </c>
      <c r="C14" s="1296" t="s">
        <v>1421</v>
      </c>
      <c r="I14" s="7" t="s">
        <v>2762</v>
      </c>
    </row>
    <row r="15" spans="1:23">
      <c r="A15" s="6" t="s">
        <v>84</v>
      </c>
      <c r="B15" s="6" t="s">
        <v>1214</v>
      </c>
      <c r="C15" s="1296"/>
      <c r="I15" s="7" t="s">
        <v>2763</v>
      </c>
    </row>
    <row r="16" spans="1:23">
      <c r="A16" s="6" t="s">
        <v>85</v>
      </c>
      <c r="B16" s="6" t="s">
        <v>1215</v>
      </c>
      <c r="C16" s="1296"/>
    </row>
    <row r="17" spans="1:3">
      <c r="A17" s="6" t="s">
        <v>86</v>
      </c>
      <c r="B17" s="6" t="s">
        <v>1216</v>
      </c>
      <c r="C17" s="1296"/>
    </row>
    <row r="18" spans="1:3">
      <c r="A18" s="6" t="s">
        <v>87</v>
      </c>
      <c r="B18" s="2357" t="s">
        <v>2216</v>
      </c>
      <c r="C18" s="1296"/>
    </row>
    <row r="19" spans="1:3">
      <c r="A19" s="6" t="s">
        <v>88</v>
      </c>
      <c r="B19" s="2357" t="s">
        <v>2223</v>
      </c>
      <c r="C19" s="1296"/>
    </row>
    <row r="20" spans="1:3">
      <c r="A20" s="6" t="s">
        <v>89</v>
      </c>
      <c r="B20" s="2357" t="s">
        <v>2263</v>
      </c>
      <c r="C20" s="1296"/>
    </row>
    <row r="21" spans="1:3">
      <c r="A21" s="6" t="s">
        <v>90</v>
      </c>
      <c r="B21" s="6" t="s">
        <v>2443</v>
      </c>
      <c r="C21" s="1296"/>
    </row>
    <row r="22" spans="1:3">
      <c r="A22" s="6" t="s">
        <v>91</v>
      </c>
      <c r="B22" s="6" t="s">
        <v>1177</v>
      </c>
      <c r="C22" s="1296"/>
    </row>
    <row r="23" spans="1:3">
      <c r="A23" s="6" t="s">
        <v>92</v>
      </c>
      <c r="B23" s="6" t="s">
        <v>1177</v>
      </c>
      <c r="C23" s="1296"/>
    </row>
    <row r="24" spans="1:3">
      <c r="A24" s="6" t="s">
        <v>9</v>
      </c>
      <c r="B24" s="6" t="s">
        <v>1177</v>
      </c>
      <c r="C24" s="1296"/>
    </row>
    <row r="25" spans="1:3">
      <c r="A25" s="6" t="s">
        <v>93</v>
      </c>
      <c r="B25" s="6" t="s">
        <v>1177</v>
      </c>
      <c r="C25" s="1296"/>
    </row>
    <row r="26" spans="1:3">
      <c r="A26" s="6" t="s">
        <v>94</v>
      </c>
      <c r="B26" s="6" t="s">
        <v>1177</v>
      </c>
      <c r="C26" s="1296"/>
    </row>
    <row r="27" spans="1:3">
      <c r="A27" s="6" t="s">
        <v>1177</v>
      </c>
      <c r="B27" s="6" t="s">
        <v>1177</v>
      </c>
      <c r="C27" s="1296"/>
    </row>
    <row r="28" spans="1:3">
      <c r="A28" s="6" t="s">
        <v>1177</v>
      </c>
      <c r="B28" s="6" t="s">
        <v>1177</v>
      </c>
      <c r="C28" s="1296"/>
    </row>
    <row r="29" spans="1:3">
      <c r="A29" s="6" t="s">
        <v>1177</v>
      </c>
      <c r="B29" s="6" t="s">
        <v>1177</v>
      </c>
      <c r="C29" s="1296"/>
    </row>
    <row r="30" spans="1:3">
      <c r="A30" s="6" t="s">
        <v>1177</v>
      </c>
      <c r="B30" s="6" t="s">
        <v>1177</v>
      </c>
      <c r="C30" s="1296"/>
    </row>
    <row r="31" spans="1:3">
      <c r="A31" s="6" t="s">
        <v>1177</v>
      </c>
      <c r="B31" s="6" t="s">
        <v>1177</v>
      </c>
      <c r="C31" s="1296"/>
    </row>
    <row r="32" spans="1:3">
      <c r="A32" s="6" t="s">
        <v>1177</v>
      </c>
      <c r="B32" s="6" t="s">
        <v>1177</v>
      </c>
      <c r="C32" s="1296"/>
    </row>
    <row r="33" spans="1:3">
      <c r="A33" s="6" t="s">
        <v>1177</v>
      </c>
      <c r="B33" s="6" t="s">
        <v>1177</v>
      </c>
      <c r="C33" s="1296"/>
    </row>
    <row r="34" spans="1:3">
      <c r="A34" s="6" t="s">
        <v>1177</v>
      </c>
      <c r="B34" s="6" t="s">
        <v>1177</v>
      </c>
      <c r="C34" s="1296"/>
    </row>
    <row r="35" spans="1:3">
      <c r="A35" s="6" t="s">
        <v>1177</v>
      </c>
      <c r="B35" s="6" t="s">
        <v>1177</v>
      </c>
      <c r="C35" s="1296"/>
    </row>
    <row r="36" spans="1:3">
      <c r="A36" s="6" t="s">
        <v>1177</v>
      </c>
      <c r="B36" s="6" t="s">
        <v>1177</v>
      </c>
      <c r="C36" s="1296"/>
    </row>
    <row r="37" spans="1:3">
      <c r="A37" s="6" t="s">
        <v>1177</v>
      </c>
      <c r="B37" s="6" t="s">
        <v>1177</v>
      </c>
      <c r="C37" s="1296"/>
    </row>
    <row r="38" spans="1:3">
      <c r="A38" s="6" t="s">
        <v>1177</v>
      </c>
      <c r="B38" s="6" t="s">
        <v>1177</v>
      </c>
      <c r="C38" s="1296"/>
    </row>
    <row r="39" spans="1:3">
      <c r="A39" s="6" t="s">
        <v>1177</v>
      </c>
      <c r="B39" s="6" t="s">
        <v>1177</v>
      </c>
      <c r="C39" s="1296"/>
    </row>
    <row r="40" spans="1:3">
      <c r="A40" s="6" t="s">
        <v>1177</v>
      </c>
      <c r="B40" s="6" t="s">
        <v>1177</v>
      </c>
      <c r="C40" s="1296"/>
    </row>
    <row r="41" spans="1:3">
      <c r="A41" s="6" t="s">
        <v>1177</v>
      </c>
      <c r="B41" s="6" t="s">
        <v>1177</v>
      </c>
      <c r="C41" s="1296"/>
    </row>
    <row r="42" spans="1:3">
      <c r="A42" s="6" t="s">
        <v>1177</v>
      </c>
      <c r="B42" s="6" t="s">
        <v>1177</v>
      </c>
      <c r="C42" s="1296"/>
    </row>
    <row r="43" spans="1:3">
      <c r="A43" s="6" t="s">
        <v>1177</v>
      </c>
      <c r="B43" s="6" t="s">
        <v>1177</v>
      </c>
      <c r="C43" s="1296"/>
    </row>
    <row r="44" spans="1:3">
      <c r="A44" s="6" t="s">
        <v>1177</v>
      </c>
      <c r="B44" s="6" t="s">
        <v>1177</v>
      </c>
      <c r="C44" s="1296"/>
    </row>
    <row r="45" spans="1:3">
      <c r="A45" s="6" t="s">
        <v>1177</v>
      </c>
      <c r="B45" s="6" t="s">
        <v>1177</v>
      </c>
      <c r="C45" s="1296"/>
    </row>
    <row r="46" spans="1:3">
      <c r="A46" s="6" t="s">
        <v>1177</v>
      </c>
      <c r="B46" s="6" t="s">
        <v>1177</v>
      </c>
      <c r="C46" s="1296"/>
    </row>
    <row r="47" spans="1:3">
      <c r="A47" s="6" t="s">
        <v>1177</v>
      </c>
      <c r="B47" s="6" t="s">
        <v>1177</v>
      </c>
      <c r="C47" s="1296"/>
    </row>
    <row r="48" spans="1:3">
      <c r="A48" s="6" t="s">
        <v>1177</v>
      </c>
      <c r="B48" s="6" t="s">
        <v>1177</v>
      </c>
      <c r="C48" s="1296"/>
    </row>
    <row r="49" spans="1:5">
      <c r="A49" s="6" t="s">
        <v>1177</v>
      </c>
      <c r="B49" s="6" t="s">
        <v>1177</v>
      </c>
      <c r="C49" s="1296"/>
    </row>
    <row r="50" spans="1:5">
      <c r="A50" s="6" t="s">
        <v>1177</v>
      </c>
      <c r="B50" s="6" t="s">
        <v>1177</v>
      </c>
      <c r="C50" s="1296"/>
    </row>
    <row r="51" spans="1:5">
      <c r="A51" s="1467" t="s">
        <v>1462</v>
      </c>
      <c r="B51" s="1468"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468"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469"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1469"/>
    </row>
    <row r="52" spans="1:5">
      <c r="A52" s="1467" t="s">
        <v>1504</v>
      </c>
      <c r="B52" s="1469" t="s">
        <v>1505</v>
      </c>
      <c r="C52" s="1468" t="s">
        <v>1506</v>
      </c>
      <c r="D52" s="1468" t="s">
        <v>1507</v>
      </c>
      <c r="E52" s="1469"/>
    </row>
    <row r="53" spans="1:5">
      <c r="A53" s="3467" t="s">
        <v>1508</v>
      </c>
      <c r="B53" s="1468" t="s">
        <v>1514</v>
      </c>
      <c r="C53" s="1468"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2024年7月10日，在规划利用条件下、设定土地开发程度为红线外“七通”、宗地内场地，设定用途为，剩余土地使用年限为的出让国有建设用地使用权价格。</v>
      </c>
      <c r="D53" s="1469"/>
      <c r="E53" s="1469"/>
    </row>
    <row r="54" spans="1:5">
      <c r="A54" s="3467"/>
      <c r="B54" s="1468" t="s">
        <v>1515</v>
      </c>
      <c r="C54" s="1468"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469"/>
      <c r="E54" s="1469"/>
    </row>
    <row r="55" spans="1:5">
      <c r="A55" s="3467"/>
      <c r="B55" s="1468" t="s">
        <v>1509</v>
      </c>
      <c r="C55" s="1468"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469"/>
      <c r="E55" s="1469"/>
    </row>
    <row r="56" spans="1:5">
      <c r="A56" s="3467"/>
      <c r="B56" s="1468" t="s">
        <v>1510</v>
      </c>
      <c r="C56" s="1468"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469"/>
      <c r="E56" s="1469"/>
    </row>
    <row r="57" spans="1:5">
      <c r="A57" s="3467"/>
      <c r="B57" s="1468" t="s">
        <v>1511</v>
      </c>
      <c r="C57" s="1468"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469"/>
      <c r="E57" s="1469"/>
    </row>
    <row r="58" spans="1:5">
      <c r="A58" s="1470" t="s">
        <v>1567</v>
      </c>
      <c r="B58" s="1468" t="s">
        <v>1568</v>
      </c>
      <c r="C58" s="9" t="s">
        <v>1569</v>
      </c>
      <c r="D58" s="1123" t="s">
        <v>1570</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比较法-住宅、综合</vt:lpstr>
      <vt:lpstr>基准地价</vt:lpstr>
      <vt:lpstr>修正</vt:lpstr>
      <vt:lpstr>区片价</vt:lpstr>
      <vt:lpstr>区片价-范围</vt:lpstr>
      <vt:lpstr>容积率修正</vt:lpstr>
      <vt:lpstr>因素修正幅度</vt:lpstr>
      <vt:lpstr>地价</vt:lpstr>
      <vt:lpstr>地价-分区</vt:lpstr>
      <vt:lpstr>基准地价（汇总）</vt:lpstr>
      <vt:lpstr>收益还原法</vt:lpstr>
      <vt:lpstr>成本逼近法</vt:lpstr>
      <vt:lpstr>比较法-工业</vt:lpstr>
      <vt:lpstr>土地成本</vt:lpstr>
      <vt:lpstr>收储案例</vt:lpstr>
      <vt:lpstr>不动产收益法-酒店模型</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剩余法-现房</vt:lpstr>
      <vt:lpstr>剩余法-待开发</vt:lpstr>
      <vt:lpstr>不动产收益法</vt:lpstr>
      <vt:lpstr>案例</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2017-03-09T08:11:21Z</cp:lastPrinted>
  <dcterms:created xsi:type="dcterms:W3CDTF">2015-07-13T07:17:23Z</dcterms:created>
  <dcterms:modified xsi:type="dcterms:W3CDTF">2024-07-16T08:14:38Z</dcterms:modified>
</cp:coreProperties>
</file>